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년\등산로\"/>
    </mc:Choice>
  </mc:AlternateContent>
  <xr:revisionPtr revIDLastSave="0" documentId="8_{94473315-50A5-404A-940C-260B4A97E7A6}" xr6:coauthVersionLast="47" xr6:coauthVersionMax="47" xr10:uidLastSave="{00000000-0000-0000-0000-000000000000}"/>
  <bookViews>
    <workbookView xWindow="28680" yWindow="-120" windowWidth="29040" windowHeight="15720" tabRatio="848" firstSheet="1" activeTab="9" xr2:uid="{00000000-000D-0000-FFFF-FFFF00000000}"/>
  </bookViews>
  <sheets>
    <sheet name="laroux" sheetId="216" state="veryHidden" r:id="rId1"/>
    <sheet name="설계서표지" sheetId="403" r:id="rId2"/>
    <sheet name="설계갑지" sheetId="402" r:id="rId3"/>
    <sheet name="목 차" sheetId="404" r:id="rId4"/>
    <sheet name="설계설명서" sheetId="405" r:id="rId5"/>
    <sheet name="예정공정표" sheetId="406" r:id="rId6"/>
    <sheet name="〓 목 차 〓" sheetId="461" state="hidden" r:id="rId7"/>
    <sheet name="※※안내※※" sheetId="462" state="hidden" r:id="rId8"/>
    <sheet name="공사원가계산서" sheetId="521" r:id="rId9"/>
    <sheet name="총괄내역서" sheetId="522" r:id="rId10"/>
    <sheet name="설계내역서" sheetId="523" r:id="rId11"/>
    <sheet name="일위대가목록표" sheetId="524" r:id="rId12"/>
    <sheet name="일위대가표" sheetId="525" r:id="rId13"/>
    <sheet name="단가산출근거목록표" sheetId="526" r:id="rId14"/>
    <sheet name="단가산출근거" sheetId="527" r:id="rId15"/>
    <sheet name="환율및기초자료" sheetId="528" r:id="rId16"/>
    <sheet name="중기목록표" sheetId="529" r:id="rId17"/>
    <sheet name="중기사용료" sheetId="530" r:id="rId18"/>
    <sheet name="안전로프(H1200,오일)" sheetId="448" r:id="rId19"/>
    <sheet name="안전로프시종점(기초&amp;턴버클)" sheetId="449" r:id="rId20"/>
    <sheet name="안전로프(H1200)" sheetId="409" state="hidden" r:id="rId21"/>
    <sheet name="로프시종점" sheetId="410" state="hidden" r:id="rId22"/>
    <sheet name="목재계단(800)" sheetId="441" r:id="rId23"/>
    <sheet name="목재계단(1000)" sheetId="454" r:id="rId24"/>
    <sheet name="목재계단(1200)" sheetId="411" r:id="rId25"/>
    <sheet name="목재계단(1500)" sheetId="428" r:id="rId26"/>
    <sheet name="목재계단(2000)" sheetId="442" r:id="rId27"/>
    <sheet name="원주목계단(1000)" sheetId="478" r:id="rId28"/>
    <sheet name="원주목계단(1200)" sheetId="477" r:id="rId29"/>
    <sheet name="통나무횡배수대(1.5)" sheetId="430" r:id="rId30"/>
    <sheet name="통나무횡배수대(1.8)" sheetId="455" r:id="rId31"/>
    <sheet name="통나무횡배수대(2.4)" sheetId="429" r:id="rId32"/>
    <sheet name="통나무횡배수대(3.0)" sheetId="456" r:id="rId33"/>
    <sheet name="통나무횡배수대(3.6)" sheetId="436" r:id="rId34"/>
    <sheet name="횡단개거1500" sheetId="446" r:id="rId35"/>
    <sheet name="횡단개거2000" sheetId="443" r:id="rId36"/>
    <sheet name="횡단개거2500" sheetId="408" r:id="rId37"/>
    <sheet name="횡단개거3000" sheetId="431" r:id="rId38"/>
    <sheet name="식생토낭" sheetId="413" r:id="rId39"/>
    <sheet name="통나무편책(W2000xH600)" sheetId="424" r:id="rId40"/>
    <sheet name="통나무편책(W3000XH400)" sheetId="450" r:id="rId41"/>
    <sheet name="통나무편책(W3000XH600)" sheetId="451" r:id="rId42"/>
    <sheet name="보행매트" sheetId="422" r:id="rId43"/>
    <sheet name="평의자 설치" sheetId="437" state="hidden" r:id="rId44"/>
    <sheet name="피크닉테이블" sheetId="457" state="hidden" r:id="rId45"/>
    <sheet name="방향안내이정표 이설" sheetId="459" r:id="rId46"/>
    <sheet name="안전로프보수" sheetId="452" r:id="rId47"/>
    <sheet name="데크보수" sheetId="447" r:id="rId48"/>
    <sheet name="등의자보수" sheetId="458" state="hidden" r:id="rId49"/>
    <sheet name="보행매트 철거" sheetId="460" state="hidden" r:id="rId50"/>
    <sheet name="오일스테인칠 등" sheetId="407" r:id="rId51"/>
    <sheet name="재료비목록표" sheetId="531" r:id="rId52"/>
    <sheet name="노무비목록표" sheetId="532" r:id="rId53"/>
    <sheet name="경비목록표" sheetId="533" r:id="rId54"/>
    <sheet name="자재단가대비표" sheetId="534" r:id="rId55"/>
    <sheet name="오일스테인칠 (2)" sheetId="453" state="hidden" r:id="rId56"/>
    <sheet name="Sheet1" sheetId="445" state="hidden" r:id="rId57"/>
    <sheet name="자재소운반" sheetId="425" state="hidden" r:id="rId58"/>
  </sheets>
  <externalReferences>
    <externalReference r:id="rId59"/>
  </externalReferences>
  <definedNames>
    <definedName name="_xlnm.Print_Area" localSheetId="6">'〓 목 차 〓'!$A:$C</definedName>
    <definedName name="_xlnm.Print_Area" localSheetId="53">경비목록표!$A:$F</definedName>
    <definedName name="_xlnm.Print_Area" localSheetId="8">공사원가계산서!$A:$F</definedName>
    <definedName name="_xlnm.Print_Area" localSheetId="52">노무비목록표!$A:$F</definedName>
    <definedName name="_xlnm.Print_Area" localSheetId="14">단가산출근거!$A:$F</definedName>
    <definedName name="_xlnm.Print_Area" localSheetId="13">단가산출근거목록표!$A:$I</definedName>
    <definedName name="_xlnm.Print_Area" localSheetId="47">데크보수!$A$1:$D$37</definedName>
    <definedName name="_xlnm.Print_Area" localSheetId="21">로프시종점!$A$1:$D$60</definedName>
    <definedName name="_xlnm.Print_Area" localSheetId="23">'목재계단(1000)'!$A$1:$D$37</definedName>
    <definedName name="_xlnm.Print_Area" localSheetId="24">'목재계단(1200)'!$A$1:$D$37</definedName>
    <definedName name="_xlnm.Print_Area" localSheetId="25">'목재계단(1500)'!$A$1:$D$37</definedName>
    <definedName name="_xlnm.Print_Area" localSheetId="26">'목재계단(2000)'!$A$1:$D$37</definedName>
    <definedName name="_xlnm.Print_Area" localSheetId="22">'목재계단(800)'!$A$1:$D$37</definedName>
    <definedName name="_xlnm.Print_Area" localSheetId="45">'방향안내이정표 이설'!$A$1:$D$14</definedName>
    <definedName name="_xlnm.Print_Area" localSheetId="42">보행매트!$A$1:$D$34</definedName>
    <definedName name="_xlnm.Print_Area" localSheetId="49">'보행매트 철거'!$A$1:$D$33</definedName>
    <definedName name="_xlnm.Print_Area" localSheetId="10">설계내역서!$A:$N</definedName>
    <definedName name="_xlnm.Print_Area" localSheetId="20">'안전로프(H1200)'!$A$1:$D$54</definedName>
    <definedName name="_xlnm.Print_Area" localSheetId="46">안전로프보수!$A$1:$D$27</definedName>
    <definedName name="_xlnm.Print_Area" localSheetId="19">'안전로프시종점(기초&amp;턴버클)'!$A$1:$D$37</definedName>
    <definedName name="_xlnm.Print_Area" localSheetId="5">예정공정표!$A$1:$P$33</definedName>
    <definedName name="_xlnm.Print_Area" localSheetId="55">'오일스테인칠 (2)'!$A$1:$D$37</definedName>
    <definedName name="_xlnm.Print_Area" localSheetId="27">'원주목계단(1000)'!$A$1:$D$40</definedName>
    <definedName name="_xlnm.Print_Area" localSheetId="28">'원주목계단(1200)'!$A$1:$D$40</definedName>
    <definedName name="_xlnm.Print_Area" localSheetId="11">일위대가목록표!$A:$I</definedName>
    <definedName name="_xlnm.Print_Area" localSheetId="12">일위대가표!$A:$M</definedName>
    <definedName name="_xlnm.Print_Area" localSheetId="54">자재단가대비표!$A:$Q</definedName>
    <definedName name="_xlnm.Print_Area" localSheetId="51">재료비목록표!$A:$F</definedName>
    <definedName name="_xlnm.Print_Area" localSheetId="16">중기목록표!$A:$I</definedName>
    <definedName name="_xlnm.Print_Area" localSheetId="17">중기사용료!$A:$M</definedName>
    <definedName name="_xlnm.Print_Area" localSheetId="9">총괄내역서!$A:$G</definedName>
    <definedName name="_xlnm.Print_Area" localSheetId="39">'통나무편책(W2000xH600)'!$A$1:$D$45</definedName>
    <definedName name="_xlnm.Print_Area" localSheetId="40">'통나무편책(W3000XH400)'!$A$1:$D$45</definedName>
    <definedName name="_xlnm.Print_Area" localSheetId="41">'통나무편책(W3000XH600)'!$A$1:$D$45</definedName>
    <definedName name="_xlnm.Print_Area" localSheetId="29">'통나무횡배수대(1.5)'!$A$1:$D$37</definedName>
    <definedName name="_xlnm.Print_Area" localSheetId="30">'통나무횡배수대(1.8)'!$A$1:$D$37</definedName>
    <definedName name="_xlnm.Print_Area" localSheetId="31">'통나무횡배수대(2.4)'!$A$1:$D$37</definedName>
    <definedName name="_xlnm.Print_Area" localSheetId="32">'통나무횡배수대(3.0)'!$A$1:$D$34</definedName>
    <definedName name="_xlnm.Print_Area" localSheetId="33">'통나무횡배수대(3.6)'!$A$1:$D$34</definedName>
    <definedName name="_xlnm.Print_Area" localSheetId="43">'평의자 설치'!$A$1:$D$57</definedName>
    <definedName name="_xlnm.Print_Area" localSheetId="44">피크닉테이블!$A$1:$D$46</definedName>
    <definedName name="_xlnm.Print_Area" localSheetId="15">환율및기초자료!$A:$H</definedName>
    <definedName name="_xlnm.Print_Area" localSheetId="34">횡단개거1500!$A$1:$D$37</definedName>
    <definedName name="_xlnm.Print_Titles" localSheetId="53">경비목록표!$1:$3</definedName>
    <definedName name="_xlnm.Print_Titles" localSheetId="8">공사원가계산서!$1:$4</definedName>
    <definedName name="_xlnm.Print_Titles" localSheetId="52">노무비목록표!$1:$3</definedName>
    <definedName name="_xlnm.Print_Titles" localSheetId="14">단가산출근거!$1:$4</definedName>
    <definedName name="_xlnm.Print_Titles" localSheetId="13">단가산출근거목록표!$1:$3</definedName>
    <definedName name="_xlnm.Print_Titles" localSheetId="21">로프시종점!$1:$1</definedName>
    <definedName name="_xlnm.Print_Titles" localSheetId="10">설계내역서!$1:$4</definedName>
    <definedName name="_xlnm.Print_Titles" localSheetId="20">'안전로프(H1200)'!$1:$1</definedName>
    <definedName name="_xlnm.Print_Titles" localSheetId="18">'안전로프(H1200,오일)'!$1:$1</definedName>
    <definedName name="_xlnm.Print_Titles" localSheetId="11">일위대가목록표!$1:$3</definedName>
    <definedName name="_xlnm.Print_Titles" localSheetId="12">일위대가표!$1:$4</definedName>
    <definedName name="_xlnm.Print_Titles" localSheetId="54">자재단가대비표!$1:$4</definedName>
    <definedName name="_xlnm.Print_Titles" localSheetId="51">재료비목록표!$1:$3</definedName>
    <definedName name="_xlnm.Print_Titles" localSheetId="16">중기목록표!$1:$3</definedName>
    <definedName name="_xlnm.Print_Titles" localSheetId="17">중기사용료!$1:$4</definedName>
    <definedName name="_xlnm.Print_Titles" localSheetId="9">총괄내역서!$1:$3</definedName>
    <definedName name="_xlnm.Print_Titles" localSheetId="44">피크닉테이블!$1:$1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4" i="522" l="1"/>
  <c r="D18" i="521" l="1"/>
  <c r="E30" i="522"/>
  <c r="F24" i="521" s="1"/>
  <c r="E29" i="522"/>
  <c r="F23" i="521" s="1"/>
  <c r="V112" i="534" l="1"/>
  <c r="U112" i="534" s="1"/>
  <c r="W112" i="534" s="1"/>
  <c r="V111" i="534"/>
  <c r="U111" i="534" s="1"/>
  <c r="W111" i="534" s="1"/>
  <c r="V110" i="534"/>
  <c r="U110" i="534" s="1"/>
  <c r="W110" i="534" s="1"/>
  <c r="V109" i="534"/>
  <c r="U109" i="534" s="1"/>
  <c r="W109" i="534" s="1"/>
  <c r="V108" i="534"/>
  <c r="U108" i="534" s="1"/>
  <c r="W108" i="534" s="1"/>
  <c r="V107" i="534"/>
  <c r="U107" i="534" s="1"/>
  <c r="W107" i="534" s="1"/>
  <c r="V106" i="534"/>
  <c r="U106" i="534"/>
  <c r="W106" i="534" s="1"/>
  <c r="V105" i="534"/>
  <c r="U105" i="534" s="1"/>
  <c r="W105" i="534" s="1"/>
  <c r="V104" i="534"/>
  <c r="U104" i="534" s="1"/>
  <c r="W104" i="534" s="1"/>
  <c r="V103" i="534"/>
  <c r="U103" i="534" s="1"/>
  <c r="W103" i="534" s="1"/>
  <c r="V102" i="534"/>
  <c r="U102" i="534" s="1"/>
  <c r="W102" i="534" s="1"/>
  <c r="V101" i="534"/>
  <c r="U101" i="534" s="1"/>
  <c r="W101" i="534" s="1"/>
  <c r="V100" i="534"/>
  <c r="U100" i="534"/>
  <c r="W100" i="534" s="1"/>
  <c r="V99" i="534"/>
  <c r="U99" i="534" s="1"/>
  <c r="W99" i="534" s="1"/>
  <c r="V98" i="534"/>
  <c r="U98" i="534" s="1"/>
  <c r="W98" i="534" s="1"/>
  <c r="V97" i="534"/>
  <c r="U97" i="534" s="1"/>
  <c r="W97" i="534" s="1"/>
  <c r="V96" i="534"/>
  <c r="U96" i="534"/>
  <c r="W96" i="534" s="1"/>
  <c r="V95" i="534"/>
  <c r="U95" i="534" s="1"/>
  <c r="W95" i="534" s="1"/>
  <c r="V94" i="534"/>
  <c r="U94" i="534" s="1"/>
  <c r="W94" i="534" s="1"/>
  <c r="V93" i="534"/>
  <c r="U93" i="534"/>
  <c r="W93" i="534" s="1"/>
  <c r="V92" i="534"/>
  <c r="U92" i="534" s="1"/>
  <c r="W92" i="534" s="1"/>
  <c r="V91" i="534"/>
  <c r="U91" i="534" s="1"/>
  <c r="W91" i="534" s="1"/>
  <c r="V90" i="534"/>
  <c r="U90" i="534" s="1"/>
  <c r="W90" i="534" s="1"/>
  <c r="V89" i="534"/>
  <c r="U89" i="534" s="1"/>
  <c r="W89" i="534" s="1"/>
  <c r="V88" i="534"/>
  <c r="U88" i="534" s="1"/>
  <c r="W88" i="534" s="1"/>
  <c r="V87" i="534"/>
  <c r="U87" i="534" s="1"/>
  <c r="W87" i="534" s="1"/>
  <c r="V86" i="534"/>
  <c r="U86" i="534" s="1"/>
  <c r="W86" i="534" s="1"/>
  <c r="V85" i="534"/>
  <c r="U85" i="534" s="1"/>
  <c r="W85" i="534" s="1"/>
  <c r="V84" i="534"/>
  <c r="U84" i="534" s="1"/>
  <c r="W84" i="534" s="1"/>
  <c r="V83" i="534"/>
  <c r="U83" i="534" s="1"/>
  <c r="W83" i="534" s="1"/>
  <c r="V82" i="534"/>
  <c r="U82" i="534"/>
  <c r="W82" i="534" s="1"/>
  <c r="V81" i="534"/>
  <c r="U81" i="534" s="1"/>
  <c r="W81" i="534" s="1"/>
  <c r="V80" i="534"/>
  <c r="U80" i="534" s="1"/>
  <c r="W80" i="534" s="1"/>
  <c r="V79" i="534"/>
  <c r="U79" i="534" s="1"/>
  <c r="W79" i="534" s="1"/>
  <c r="V78" i="534"/>
  <c r="U78" i="534" s="1"/>
  <c r="W78" i="534" s="1"/>
  <c r="V77" i="534"/>
  <c r="U77" i="534" s="1"/>
  <c r="W77" i="534" s="1"/>
  <c r="V76" i="534"/>
  <c r="U76" i="534" s="1"/>
  <c r="W76" i="534" s="1"/>
  <c r="V75" i="534"/>
  <c r="U75" i="534" s="1"/>
  <c r="W75" i="534" s="1"/>
  <c r="V74" i="534"/>
  <c r="U74" i="534" s="1"/>
  <c r="W74" i="534" s="1"/>
  <c r="V73" i="534"/>
  <c r="U73" i="534" s="1"/>
  <c r="W73" i="534" s="1"/>
  <c r="V72" i="534"/>
  <c r="U72" i="534"/>
  <c r="W72" i="534" s="1"/>
  <c r="V71" i="534"/>
  <c r="U71" i="534" s="1"/>
  <c r="W71" i="534" s="1"/>
  <c r="V70" i="534"/>
  <c r="U70" i="534" s="1"/>
  <c r="W70" i="534" s="1"/>
  <c r="V69" i="534"/>
  <c r="U69" i="534"/>
  <c r="W69" i="534" s="1"/>
  <c r="V68" i="534"/>
  <c r="U68" i="534" s="1"/>
  <c r="W68" i="534" s="1"/>
  <c r="V67" i="534"/>
  <c r="U67" i="534" s="1"/>
  <c r="W67" i="534" s="1"/>
  <c r="V66" i="534"/>
  <c r="U66" i="534" s="1"/>
  <c r="W66" i="534" s="1"/>
  <c r="V65" i="534"/>
  <c r="U65" i="534"/>
  <c r="W65" i="534" s="1"/>
  <c r="V64" i="534"/>
  <c r="U64" i="534" s="1"/>
  <c r="W64" i="534" s="1"/>
  <c r="V63" i="534"/>
  <c r="U63" i="534" s="1"/>
  <c r="W63" i="534" s="1"/>
  <c r="V62" i="534"/>
  <c r="U62" i="534"/>
  <c r="W62" i="534" s="1"/>
  <c r="V61" i="534"/>
  <c r="U61" i="534" s="1"/>
  <c r="W61" i="534" s="1"/>
  <c r="V60" i="534"/>
  <c r="U60" i="534" s="1"/>
  <c r="W60" i="534" s="1"/>
  <c r="V59" i="534"/>
  <c r="U59" i="534" s="1"/>
  <c r="W59" i="534" s="1"/>
  <c r="V58" i="534"/>
  <c r="U58" i="534" s="1"/>
  <c r="W58" i="534" s="1"/>
  <c r="V57" i="534"/>
  <c r="U57" i="534" s="1"/>
  <c r="W57" i="534" s="1"/>
  <c r="V56" i="534"/>
  <c r="U56" i="534" s="1"/>
  <c r="W56" i="534" s="1"/>
  <c r="V55" i="534"/>
  <c r="U55" i="534" s="1"/>
  <c r="W55" i="534" s="1"/>
  <c r="V54" i="534"/>
  <c r="U54" i="534" s="1"/>
  <c r="W54" i="534" s="1"/>
  <c r="V53" i="534"/>
  <c r="U53" i="534" s="1"/>
  <c r="W53" i="534" s="1"/>
  <c r="V52" i="534"/>
  <c r="U52" i="534"/>
  <c r="W52" i="534" s="1"/>
  <c r="V51" i="534"/>
  <c r="U51" i="534" s="1"/>
  <c r="W51" i="534" s="1"/>
  <c r="V50" i="534"/>
  <c r="U50" i="534" s="1"/>
  <c r="W50" i="534" s="1"/>
  <c r="V49" i="534"/>
  <c r="U49" i="534" s="1"/>
  <c r="W49" i="534" s="1"/>
  <c r="V48" i="534"/>
  <c r="U48" i="534" s="1"/>
  <c r="W48" i="534" s="1"/>
  <c r="V47" i="534"/>
  <c r="U47" i="534" s="1"/>
  <c r="W47" i="534" s="1"/>
  <c r="V46" i="534"/>
  <c r="U46" i="534" s="1"/>
  <c r="W46" i="534" s="1"/>
  <c r="V45" i="534"/>
  <c r="U45" i="534" s="1"/>
  <c r="W45" i="534" s="1"/>
  <c r="V44" i="534"/>
  <c r="U44" i="534" s="1"/>
  <c r="W44" i="534" s="1"/>
  <c r="V43" i="534"/>
  <c r="U43" i="534" s="1"/>
  <c r="W43" i="534" s="1"/>
  <c r="V42" i="534"/>
  <c r="U42" i="534" s="1"/>
  <c r="W42" i="534" s="1"/>
  <c r="V41" i="534"/>
  <c r="U41" i="534" s="1"/>
  <c r="W41" i="534" s="1"/>
  <c r="V40" i="534"/>
  <c r="U40" i="534" s="1"/>
  <c r="W40" i="534" s="1"/>
  <c r="V39" i="534"/>
  <c r="U39" i="534" s="1"/>
  <c r="W39" i="534" s="1"/>
  <c r="V38" i="534"/>
  <c r="U38" i="534" s="1"/>
  <c r="W38" i="534" s="1"/>
  <c r="V37" i="534"/>
  <c r="U37" i="534" s="1"/>
  <c r="W37" i="534" s="1"/>
  <c r="V36" i="534"/>
  <c r="U36" i="534" s="1"/>
  <c r="W36" i="534" s="1"/>
  <c r="V35" i="534"/>
  <c r="U35" i="534" s="1"/>
  <c r="W35" i="534" s="1"/>
  <c r="V34" i="534"/>
  <c r="U34" i="534"/>
  <c r="W34" i="534" s="1"/>
  <c r="V33" i="534"/>
  <c r="U33" i="534" s="1"/>
  <c r="W33" i="534" s="1"/>
  <c r="V32" i="534"/>
  <c r="U32" i="534" s="1"/>
  <c r="W32" i="534" s="1"/>
  <c r="V31" i="534"/>
  <c r="U31" i="534" s="1"/>
  <c r="W31" i="534" s="1"/>
  <c r="V30" i="534"/>
  <c r="U30" i="534" s="1"/>
  <c r="W30" i="534" s="1"/>
  <c r="V29" i="534"/>
  <c r="U29" i="534" s="1"/>
  <c r="W29" i="534" s="1"/>
  <c r="V28" i="534"/>
  <c r="U28" i="534" s="1"/>
  <c r="W28" i="534" s="1"/>
  <c r="V27" i="534"/>
  <c r="U27" i="534" s="1"/>
  <c r="W27" i="534" s="1"/>
  <c r="V26" i="534"/>
  <c r="U26" i="534" s="1"/>
  <c r="W26" i="534" s="1"/>
  <c r="V25" i="534"/>
  <c r="U25" i="534" s="1"/>
  <c r="W25" i="534" s="1"/>
  <c r="W24" i="534"/>
  <c r="V24" i="534"/>
  <c r="U24" i="534" s="1"/>
  <c r="V23" i="534"/>
  <c r="U23" i="534" s="1"/>
  <c r="W23" i="534" s="1"/>
  <c r="V22" i="534"/>
  <c r="U22" i="534" s="1"/>
  <c r="W22" i="534" s="1"/>
  <c r="V21" i="534"/>
  <c r="U21" i="534" s="1"/>
  <c r="W21" i="534" s="1"/>
  <c r="V20" i="534"/>
  <c r="U20" i="534" s="1"/>
  <c r="W20" i="534" s="1"/>
  <c r="V19" i="534"/>
  <c r="U19" i="534" s="1"/>
  <c r="W19" i="534" s="1"/>
  <c r="V18" i="534"/>
  <c r="U18" i="534" s="1"/>
  <c r="W18" i="534" s="1"/>
  <c r="V17" i="534"/>
  <c r="U17" i="534" s="1"/>
  <c r="W17" i="534" s="1"/>
  <c r="W16" i="534"/>
  <c r="V16" i="534"/>
  <c r="U16" i="534" s="1"/>
  <c r="V15" i="534"/>
  <c r="U15" i="534" s="1"/>
  <c r="W15" i="534" s="1"/>
  <c r="V14" i="534"/>
  <c r="U14" i="534" s="1"/>
  <c r="W14" i="534" s="1"/>
  <c r="V13" i="534"/>
  <c r="U13" i="534" s="1"/>
  <c r="W13" i="534" s="1"/>
  <c r="V12" i="534"/>
  <c r="U12" i="534" s="1"/>
  <c r="W12" i="534" s="1"/>
  <c r="V11" i="534"/>
  <c r="U11" i="534" s="1"/>
  <c r="W11" i="534" s="1"/>
  <c r="V10" i="534"/>
  <c r="U10" i="534" s="1"/>
  <c r="W10" i="534" s="1"/>
  <c r="V9" i="534"/>
  <c r="U9" i="534" s="1"/>
  <c r="W9" i="534" s="1"/>
  <c r="W8" i="534"/>
  <c r="V8" i="534"/>
  <c r="U8" i="534" s="1"/>
  <c r="V7" i="534"/>
  <c r="U7" i="534" s="1"/>
  <c r="W7" i="534" s="1"/>
  <c r="V6" i="534"/>
  <c r="U6" i="534" s="1"/>
  <c r="W6" i="534" s="1"/>
  <c r="V5" i="534"/>
  <c r="U5" i="534" s="1"/>
  <c r="W5" i="534" s="1"/>
  <c r="S4" i="534"/>
  <c r="R2" i="534"/>
  <c r="H111" i="531" s="1"/>
  <c r="H3" i="533"/>
  <c r="G2" i="533"/>
  <c r="Z97" i="530" s="1"/>
  <c r="H3" i="532"/>
  <c r="G2" i="532"/>
  <c r="Y4572" i="527" s="1"/>
  <c r="G111" i="531"/>
  <c r="E111" i="531"/>
  <c r="G110" i="531"/>
  <c r="E110" i="531"/>
  <c r="G109" i="531"/>
  <c r="E109" i="531"/>
  <c r="G108" i="531"/>
  <c r="E108" i="531"/>
  <c r="K8908" i="527" s="1"/>
  <c r="I8908" i="527" s="1"/>
  <c r="G107" i="531"/>
  <c r="E107" i="531"/>
  <c r="K8858" i="527" s="1"/>
  <c r="G106" i="531"/>
  <c r="E106" i="531"/>
  <c r="K8808" i="527" s="1"/>
  <c r="I8808" i="527" s="1"/>
  <c r="G105" i="531"/>
  <c r="E105" i="531"/>
  <c r="G104" i="531"/>
  <c r="E104" i="531"/>
  <c r="K8708" i="527" s="1"/>
  <c r="G103" i="531"/>
  <c r="E103" i="531"/>
  <c r="K8658" i="527" s="1"/>
  <c r="I8658" i="527" s="1"/>
  <c r="G102" i="531"/>
  <c r="E102" i="531"/>
  <c r="K8608" i="527" s="1"/>
  <c r="G101" i="531"/>
  <c r="E101" i="531"/>
  <c r="G100" i="531"/>
  <c r="E100" i="531"/>
  <c r="G99" i="531"/>
  <c r="E99" i="531"/>
  <c r="G98" i="531"/>
  <c r="E98" i="531"/>
  <c r="G97" i="531"/>
  <c r="E97" i="531"/>
  <c r="G96" i="531"/>
  <c r="E96" i="531"/>
  <c r="G95" i="531"/>
  <c r="E95" i="531"/>
  <c r="G94" i="531"/>
  <c r="E94" i="531"/>
  <c r="G93" i="531"/>
  <c r="E93" i="531"/>
  <c r="G92" i="531"/>
  <c r="E92" i="531"/>
  <c r="G91" i="531"/>
  <c r="E91" i="531"/>
  <c r="G90" i="531"/>
  <c r="E90" i="531"/>
  <c r="G89" i="531"/>
  <c r="E89" i="531"/>
  <c r="G88" i="531"/>
  <c r="E88" i="531"/>
  <c r="G87" i="531"/>
  <c r="E87" i="531"/>
  <c r="G86" i="531"/>
  <c r="E86" i="531"/>
  <c r="G85" i="531"/>
  <c r="E85" i="531"/>
  <c r="G84" i="531"/>
  <c r="E84" i="531"/>
  <c r="G83" i="531"/>
  <c r="E83" i="531"/>
  <c r="G82" i="531"/>
  <c r="E82" i="531"/>
  <c r="G81" i="531"/>
  <c r="E81" i="531"/>
  <c r="G80" i="531"/>
  <c r="E80" i="531"/>
  <c r="G79" i="531"/>
  <c r="E79" i="531"/>
  <c r="G78" i="531"/>
  <c r="E78" i="531"/>
  <c r="G77" i="531"/>
  <c r="E77" i="531"/>
  <c r="G76" i="531"/>
  <c r="E76" i="531"/>
  <c r="G75" i="531"/>
  <c r="E75" i="531"/>
  <c r="G74" i="531"/>
  <c r="E74" i="531"/>
  <c r="G73" i="531"/>
  <c r="E73" i="531"/>
  <c r="G72" i="531"/>
  <c r="E72" i="531"/>
  <c r="G71" i="531"/>
  <c r="E71" i="531"/>
  <c r="G70" i="531"/>
  <c r="E70" i="531"/>
  <c r="G69" i="531"/>
  <c r="E69" i="531"/>
  <c r="G68" i="531"/>
  <c r="E68" i="531"/>
  <c r="G67" i="531"/>
  <c r="E67" i="531"/>
  <c r="G66" i="531"/>
  <c r="E66" i="531"/>
  <c r="G65" i="531"/>
  <c r="E65" i="531"/>
  <c r="G64" i="531"/>
  <c r="E64" i="531"/>
  <c r="G63" i="531"/>
  <c r="E63" i="531"/>
  <c r="G62" i="531"/>
  <c r="E62" i="531"/>
  <c r="G61" i="531"/>
  <c r="E61" i="531"/>
  <c r="G60" i="531"/>
  <c r="E60" i="531"/>
  <c r="G59" i="531"/>
  <c r="E59" i="531"/>
  <c r="G58" i="531"/>
  <c r="E58" i="531"/>
  <c r="G57" i="531"/>
  <c r="E57" i="531"/>
  <c r="G56" i="531"/>
  <c r="E56" i="531"/>
  <c r="G55" i="531"/>
  <c r="E55" i="531"/>
  <c r="G54" i="531"/>
  <c r="E54" i="531"/>
  <c r="G53" i="531"/>
  <c r="E53" i="531"/>
  <c r="G52" i="531"/>
  <c r="E52" i="531"/>
  <c r="G51" i="531"/>
  <c r="E51" i="531"/>
  <c r="G50" i="531"/>
  <c r="E50" i="531"/>
  <c r="G49" i="531"/>
  <c r="E49" i="531"/>
  <c r="G48" i="531"/>
  <c r="E48" i="531"/>
  <c r="G47" i="531"/>
  <c r="E47" i="531"/>
  <c r="G46" i="531"/>
  <c r="E46" i="531"/>
  <c r="G45" i="531"/>
  <c r="E45" i="531"/>
  <c r="G44" i="531"/>
  <c r="E44" i="531"/>
  <c r="G43" i="531"/>
  <c r="E43" i="531"/>
  <c r="G42" i="531"/>
  <c r="E42" i="531"/>
  <c r="G41" i="531"/>
  <c r="E41" i="531"/>
  <c r="G40" i="531"/>
  <c r="E40" i="531"/>
  <c r="K7523" i="527" s="1"/>
  <c r="G39" i="531"/>
  <c r="E39" i="531"/>
  <c r="G38" i="531"/>
  <c r="E38" i="531"/>
  <c r="G37" i="531"/>
  <c r="E37" i="531"/>
  <c r="G36" i="531"/>
  <c r="E36" i="531"/>
  <c r="G35" i="531"/>
  <c r="E35" i="531"/>
  <c r="G34" i="531"/>
  <c r="E34" i="531"/>
  <c r="K3364" i="527" s="1"/>
  <c r="I3364" i="527" s="1"/>
  <c r="G33" i="531"/>
  <c r="E33" i="531"/>
  <c r="G32" i="531"/>
  <c r="E32" i="531"/>
  <c r="G31" i="531"/>
  <c r="E31" i="531"/>
  <c r="G30" i="531"/>
  <c r="E30" i="531"/>
  <c r="G29" i="531"/>
  <c r="E29" i="531"/>
  <c r="G28" i="531"/>
  <c r="E28" i="531"/>
  <c r="G27" i="531"/>
  <c r="E27" i="531"/>
  <c r="G26" i="531"/>
  <c r="E26" i="531"/>
  <c r="G25" i="531"/>
  <c r="E25" i="531"/>
  <c r="K8964" i="527" s="1"/>
  <c r="I8964" i="527" s="1"/>
  <c r="G24" i="531"/>
  <c r="E24" i="531"/>
  <c r="G23" i="531"/>
  <c r="E23" i="531"/>
  <c r="G22" i="531"/>
  <c r="E22" i="531"/>
  <c r="G21" i="531"/>
  <c r="E21" i="531"/>
  <c r="G20" i="531"/>
  <c r="E20" i="531"/>
  <c r="G19" i="531"/>
  <c r="E19" i="531"/>
  <c r="G18" i="531"/>
  <c r="E18" i="531"/>
  <c r="G17" i="531"/>
  <c r="E17" i="531"/>
  <c r="G16" i="531"/>
  <c r="E16" i="531"/>
  <c r="G15" i="531"/>
  <c r="E15" i="531"/>
  <c r="G14" i="531"/>
  <c r="E14" i="531"/>
  <c r="G13" i="531"/>
  <c r="E13" i="531"/>
  <c r="G12" i="531"/>
  <c r="E12" i="531"/>
  <c r="G11" i="531"/>
  <c r="E11" i="531"/>
  <c r="G10" i="531"/>
  <c r="E10" i="531"/>
  <c r="G9" i="531"/>
  <c r="E9" i="531"/>
  <c r="G8" i="531"/>
  <c r="E8" i="531"/>
  <c r="G7" i="531"/>
  <c r="E7" i="531"/>
  <c r="K8966" i="527" s="1"/>
  <c r="G6" i="531"/>
  <c r="E6" i="531"/>
  <c r="G5" i="531"/>
  <c r="E5" i="531"/>
  <c r="G4" i="531"/>
  <c r="E4" i="531"/>
  <c r="H3" i="531"/>
  <c r="G2" i="531"/>
  <c r="Z1749" i="525" s="1"/>
  <c r="L128" i="530"/>
  <c r="H128" i="530"/>
  <c r="L127" i="530"/>
  <c r="H127" i="530"/>
  <c r="L126" i="530"/>
  <c r="J126" i="530"/>
  <c r="K125" i="530"/>
  <c r="L125" i="530" s="1"/>
  <c r="L129" i="530" s="1"/>
  <c r="H21" i="529" s="1"/>
  <c r="L3103" i="527" s="1"/>
  <c r="I3103" i="527" s="1"/>
  <c r="J125" i="530"/>
  <c r="H125" i="530"/>
  <c r="N123" i="530"/>
  <c r="L121" i="530"/>
  <c r="H121" i="530"/>
  <c r="L120" i="530"/>
  <c r="H120" i="530"/>
  <c r="L119" i="530"/>
  <c r="J119" i="530"/>
  <c r="K118" i="530"/>
  <c r="E118" i="530" s="1"/>
  <c r="J118" i="530"/>
  <c r="H118" i="530"/>
  <c r="N116" i="530"/>
  <c r="L114" i="530"/>
  <c r="H114" i="530"/>
  <c r="L113" i="530"/>
  <c r="H113" i="530"/>
  <c r="L112" i="530"/>
  <c r="J112" i="530"/>
  <c r="L111" i="530"/>
  <c r="K111" i="530"/>
  <c r="J111" i="530"/>
  <c r="H111" i="530"/>
  <c r="E111" i="530"/>
  <c r="N109" i="530"/>
  <c r="L107" i="530"/>
  <c r="H107" i="530"/>
  <c r="L106" i="530"/>
  <c r="H106" i="530"/>
  <c r="L105" i="530"/>
  <c r="J105" i="530"/>
  <c r="K104" i="530"/>
  <c r="L104" i="530" s="1"/>
  <c r="J104" i="530"/>
  <c r="H104" i="530"/>
  <c r="N102" i="530"/>
  <c r="L100" i="530"/>
  <c r="H100" i="530"/>
  <c r="L99" i="530"/>
  <c r="H99" i="530"/>
  <c r="L98" i="530"/>
  <c r="J98" i="530"/>
  <c r="K97" i="530"/>
  <c r="L97" i="530" s="1"/>
  <c r="J97" i="530"/>
  <c r="H97" i="530"/>
  <c r="N95" i="530"/>
  <c r="K93" i="530"/>
  <c r="L93" i="530" s="1"/>
  <c r="L94" i="530" s="1"/>
  <c r="H16" i="529" s="1"/>
  <c r="J93" i="530"/>
  <c r="J94" i="530" s="1"/>
  <c r="H93" i="530"/>
  <c r="H94" i="530" s="1"/>
  <c r="N91" i="530"/>
  <c r="L89" i="530"/>
  <c r="H89" i="530"/>
  <c r="L88" i="530"/>
  <c r="H88" i="530"/>
  <c r="L87" i="530"/>
  <c r="J87" i="530"/>
  <c r="K86" i="530"/>
  <c r="J86" i="530"/>
  <c r="H86" i="530"/>
  <c r="N84" i="530"/>
  <c r="L82" i="530"/>
  <c r="H82" i="530"/>
  <c r="L81" i="530"/>
  <c r="H81" i="530"/>
  <c r="L80" i="530"/>
  <c r="J80" i="530"/>
  <c r="K79" i="530"/>
  <c r="L79" i="530" s="1"/>
  <c r="J79" i="530"/>
  <c r="H79" i="530"/>
  <c r="N77" i="530"/>
  <c r="L75" i="530"/>
  <c r="H75" i="530"/>
  <c r="L74" i="530"/>
  <c r="H74" i="530"/>
  <c r="L73" i="530"/>
  <c r="L76" i="530" s="1"/>
  <c r="H13" i="529" s="1"/>
  <c r="L102" i="527" s="1"/>
  <c r="I102" i="527" s="1"/>
  <c r="J73" i="530"/>
  <c r="K72" i="530"/>
  <c r="L72" i="530" s="1"/>
  <c r="J72" i="530"/>
  <c r="H72" i="530"/>
  <c r="E72" i="530"/>
  <c r="N70" i="530"/>
  <c r="L68" i="530"/>
  <c r="H68" i="530"/>
  <c r="L67" i="530"/>
  <c r="H67" i="530"/>
  <c r="L66" i="530"/>
  <c r="J66" i="530"/>
  <c r="K65" i="530"/>
  <c r="L65" i="530" s="1"/>
  <c r="J65" i="530"/>
  <c r="H65" i="530"/>
  <c r="N63" i="530"/>
  <c r="L61" i="530"/>
  <c r="H61" i="530"/>
  <c r="L60" i="530"/>
  <c r="H60" i="530"/>
  <c r="L59" i="530"/>
  <c r="J59" i="530"/>
  <c r="K58" i="530"/>
  <c r="L58" i="530" s="1"/>
  <c r="J58" i="530"/>
  <c r="H58" i="530"/>
  <c r="N56" i="530"/>
  <c r="L54" i="530"/>
  <c r="H54" i="530"/>
  <c r="L53" i="530"/>
  <c r="H53" i="530"/>
  <c r="L52" i="530"/>
  <c r="J52" i="530"/>
  <c r="K51" i="530"/>
  <c r="J51" i="530"/>
  <c r="H51" i="530"/>
  <c r="N49" i="530"/>
  <c r="L47" i="530"/>
  <c r="H47" i="530"/>
  <c r="L46" i="530"/>
  <c r="H46" i="530"/>
  <c r="L45" i="530"/>
  <c r="J45" i="530"/>
  <c r="K44" i="530"/>
  <c r="L44" i="530" s="1"/>
  <c r="J44" i="530"/>
  <c r="H44" i="530"/>
  <c r="K43" i="530"/>
  <c r="E43" i="530" s="1"/>
  <c r="J43" i="530"/>
  <c r="H43" i="530"/>
  <c r="N41" i="530"/>
  <c r="L39" i="530"/>
  <c r="H39" i="530"/>
  <c r="L38" i="530"/>
  <c r="H38" i="530"/>
  <c r="L37" i="530"/>
  <c r="J37" i="530"/>
  <c r="K36" i="530"/>
  <c r="L36" i="530" s="1"/>
  <c r="J36" i="530"/>
  <c r="F36" i="530" s="1"/>
  <c r="H36" i="530"/>
  <c r="E36" i="530"/>
  <c r="N34" i="530"/>
  <c r="L32" i="530"/>
  <c r="H32" i="530"/>
  <c r="L31" i="530"/>
  <c r="H31" i="530"/>
  <c r="L30" i="530"/>
  <c r="J30" i="530"/>
  <c r="K29" i="530"/>
  <c r="L29" i="530" s="1"/>
  <c r="J29" i="530"/>
  <c r="F29" i="530" s="1"/>
  <c r="H29" i="530"/>
  <c r="N27" i="530"/>
  <c r="L25" i="530"/>
  <c r="H25" i="530"/>
  <c r="L24" i="530"/>
  <c r="H24" i="530"/>
  <c r="L23" i="530"/>
  <c r="J23" i="530"/>
  <c r="K22" i="530"/>
  <c r="L22" i="530" s="1"/>
  <c r="J22" i="530"/>
  <c r="H22" i="530"/>
  <c r="K21" i="530"/>
  <c r="L21" i="530" s="1"/>
  <c r="J21" i="530"/>
  <c r="H21" i="530"/>
  <c r="E21" i="530"/>
  <c r="N19" i="530"/>
  <c r="L17" i="530"/>
  <c r="H17" i="530"/>
  <c r="L16" i="530"/>
  <c r="H16" i="530"/>
  <c r="L15" i="530"/>
  <c r="J15" i="530"/>
  <c r="K14" i="530"/>
  <c r="L14" i="530" s="1"/>
  <c r="J14" i="530"/>
  <c r="H14" i="530"/>
  <c r="E14" i="530"/>
  <c r="N12" i="530"/>
  <c r="L10" i="530"/>
  <c r="H10" i="530"/>
  <c r="L9" i="530"/>
  <c r="H9" i="530"/>
  <c r="L8" i="530"/>
  <c r="J8" i="530"/>
  <c r="K7" i="530"/>
  <c r="L7" i="530" s="1"/>
  <c r="J7" i="530"/>
  <c r="H7" i="530"/>
  <c r="N5" i="530"/>
  <c r="Z4" i="530"/>
  <c r="N2" i="530"/>
  <c r="K21" i="529" s="1"/>
  <c r="J21" i="529"/>
  <c r="J20" i="529"/>
  <c r="J19" i="529"/>
  <c r="J18" i="529"/>
  <c r="J17" i="529"/>
  <c r="J16" i="529"/>
  <c r="G16" i="529"/>
  <c r="F16" i="529"/>
  <c r="J8228" i="527" s="1"/>
  <c r="I8228" i="527" s="1"/>
  <c r="J15" i="529"/>
  <c r="J14" i="529"/>
  <c r="J13" i="529"/>
  <c r="J12" i="529"/>
  <c r="J11" i="529"/>
  <c r="J10" i="529"/>
  <c r="J9" i="529"/>
  <c r="J8" i="529"/>
  <c r="J7" i="529"/>
  <c r="J6" i="529"/>
  <c r="J5" i="529"/>
  <c r="J4" i="529"/>
  <c r="K3" i="529"/>
  <c r="J2" i="529"/>
  <c r="Y1933" i="527" s="1"/>
  <c r="F14" i="528"/>
  <c r="F13" i="528"/>
  <c r="F12" i="528"/>
  <c r="D8" i="528"/>
  <c r="G8" i="528" s="1"/>
  <c r="D7" i="528"/>
  <c r="G7" i="528" s="1"/>
  <c r="D6" i="528"/>
  <c r="G6" i="528" s="1"/>
  <c r="G37" i="530" s="1"/>
  <c r="E37" i="530" s="1"/>
  <c r="I2" i="528"/>
  <c r="X9031" i="527"/>
  <c r="X9029" i="527"/>
  <c r="X9021" i="527"/>
  <c r="J9021" i="527"/>
  <c r="I9021" i="527" s="1"/>
  <c r="X9019" i="527"/>
  <c r="J9019" i="527"/>
  <c r="I9019" i="527" s="1"/>
  <c r="AB9014" i="527"/>
  <c r="AE9031" i="527" s="1"/>
  <c r="H9031" i="527" s="1"/>
  <c r="B9014" i="527"/>
  <c r="G9005" i="527"/>
  <c r="AC8990" i="527"/>
  <c r="H8990" i="527" s="1"/>
  <c r="AE8985" i="527"/>
  <c r="H8985" i="527" s="1"/>
  <c r="E8985" i="527" s="1"/>
  <c r="X8985" i="527"/>
  <c r="J8985" i="527"/>
  <c r="I8985" i="527" s="1"/>
  <c r="AE8980" i="527"/>
  <c r="H8980" i="527" s="1"/>
  <c r="X8980" i="527"/>
  <c r="J8980" i="527"/>
  <c r="I8980" i="527" s="1"/>
  <c r="AC8968" i="527"/>
  <c r="H8968" i="527" s="1"/>
  <c r="D8968" i="527" s="1"/>
  <c r="AG8966" i="527"/>
  <c r="H8966" i="527" s="1"/>
  <c r="F8966" i="527" s="1"/>
  <c r="X8966" i="527"/>
  <c r="D8966" i="527"/>
  <c r="AG8964" i="527"/>
  <c r="X8964" i="527"/>
  <c r="H8964" i="527"/>
  <c r="D8964" i="527" s="1"/>
  <c r="G8955" i="527"/>
  <c r="AC8908" i="527"/>
  <c r="H8908" i="527" s="1"/>
  <c r="X8908" i="527"/>
  <c r="F8908" i="527"/>
  <c r="F8911" i="527" s="1"/>
  <c r="G8905" i="527"/>
  <c r="E8905" i="527"/>
  <c r="D8905" i="527"/>
  <c r="AC8858" i="527"/>
  <c r="X8858" i="527"/>
  <c r="I8858" i="527"/>
  <c r="H8858" i="527"/>
  <c r="D8858" i="527" s="1"/>
  <c r="D8861" i="527" s="1"/>
  <c r="G8855" i="527"/>
  <c r="E8855" i="527"/>
  <c r="D8855" i="527"/>
  <c r="AC8808" i="527"/>
  <c r="H8808" i="527" s="1"/>
  <c r="F8808" i="527" s="1"/>
  <c r="F8811" i="527" s="1"/>
  <c r="X8808" i="527"/>
  <c r="G8805" i="527"/>
  <c r="E8805" i="527"/>
  <c r="D8805" i="527"/>
  <c r="AC8758" i="527"/>
  <c r="H8758" i="527" s="1"/>
  <c r="D8758" i="527" s="1"/>
  <c r="D8761" i="527" s="1"/>
  <c r="X8758" i="527"/>
  <c r="K8758" i="527"/>
  <c r="I8758" i="527" s="1"/>
  <c r="G8755" i="527"/>
  <c r="E8755" i="527"/>
  <c r="D8755" i="527"/>
  <c r="AC8708" i="527"/>
  <c r="H8708" i="527" s="1"/>
  <c r="X8708" i="527"/>
  <c r="G8705" i="527"/>
  <c r="E8705" i="527"/>
  <c r="D8705" i="527"/>
  <c r="AC8658" i="527"/>
  <c r="H8658" i="527" s="1"/>
  <c r="D8658" i="527" s="1"/>
  <c r="D8661" i="527" s="1"/>
  <c r="X8658" i="527"/>
  <c r="G8655" i="527"/>
  <c r="E8655" i="527"/>
  <c r="D8655" i="527"/>
  <c r="AC8608" i="527"/>
  <c r="H8608" i="527" s="1"/>
  <c r="D8608" i="527" s="1"/>
  <c r="D8611" i="527" s="1"/>
  <c r="X8608" i="527"/>
  <c r="G8605" i="527"/>
  <c r="E8605" i="527"/>
  <c r="D8605" i="527"/>
  <c r="X8568" i="527"/>
  <c r="J8568" i="527"/>
  <c r="I8568" i="527" s="1"/>
  <c r="H8568" i="527"/>
  <c r="F8568" i="527" s="1"/>
  <c r="X8565" i="527"/>
  <c r="J8565" i="527"/>
  <c r="I8565" i="527" s="1"/>
  <c r="AB8563" i="527"/>
  <c r="AE8568" i="527" s="1"/>
  <c r="B8563" i="527"/>
  <c r="G8555" i="527"/>
  <c r="AC8536" i="527"/>
  <c r="H8536" i="527" s="1"/>
  <c r="AE8531" i="527"/>
  <c r="H8531" i="527" s="1"/>
  <c r="X8531" i="527"/>
  <c r="AE8529" i="527"/>
  <c r="H8529" i="527" s="1"/>
  <c r="F8529" i="527" s="1"/>
  <c r="X8529" i="527"/>
  <c r="AE8527" i="527"/>
  <c r="H8527" i="527" s="1"/>
  <c r="X8527" i="527"/>
  <c r="AE8520" i="527"/>
  <c r="H8520" i="527" s="1"/>
  <c r="F8520" i="527" s="1"/>
  <c r="X8520" i="527"/>
  <c r="J8520" i="527"/>
  <c r="I8520" i="527" s="1"/>
  <c r="AE8518" i="527"/>
  <c r="H8518" i="527" s="1"/>
  <c r="F8518" i="527" s="1"/>
  <c r="X8518" i="527"/>
  <c r="J8518" i="527"/>
  <c r="I8518" i="527" s="1"/>
  <c r="G8505" i="527"/>
  <c r="AC8486" i="527"/>
  <c r="H8486" i="527" s="1"/>
  <c r="D8486" i="527" s="1"/>
  <c r="D8489" i="527" s="1"/>
  <c r="AE8481" i="527"/>
  <c r="X8481" i="527"/>
  <c r="H8481" i="527"/>
  <c r="AE8479" i="527"/>
  <c r="H8479" i="527" s="1"/>
  <c r="D8479" i="527" s="1"/>
  <c r="X8479" i="527"/>
  <c r="F8479" i="527"/>
  <c r="AE8477" i="527"/>
  <c r="H8477" i="527" s="1"/>
  <c r="F8477" i="527" s="1"/>
  <c r="X8477" i="527"/>
  <c r="AE8470" i="527"/>
  <c r="X8470" i="527"/>
  <c r="J8470" i="527"/>
  <c r="I8470" i="527" s="1"/>
  <c r="H8470" i="527"/>
  <c r="D8470" i="527"/>
  <c r="AE8468" i="527"/>
  <c r="X8468" i="527"/>
  <c r="J8468" i="527"/>
  <c r="I8468" i="527" s="1"/>
  <c r="H8468" i="527"/>
  <c r="F8468" i="527" s="1"/>
  <c r="G8455" i="527"/>
  <c r="AE8413" i="527"/>
  <c r="X8413" i="527"/>
  <c r="J8413" i="527"/>
  <c r="I8413" i="527" s="1"/>
  <c r="H8413" i="527"/>
  <c r="F8413" i="527" s="1"/>
  <c r="F8415" i="527" s="1"/>
  <c r="F8418" i="527" s="1"/>
  <c r="F8454" i="527" s="1"/>
  <c r="F8405" i="527" s="1"/>
  <c r="G8405" i="527"/>
  <c r="AE8363" i="527"/>
  <c r="H8363" i="527" s="1"/>
  <c r="F8363" i="527" s="1"/>
  <c r="F8365" i="527" s="1"/>
  <c r="F8368" i="527" s="1"/>
  <c r="F8404" i="527" s="1"/>
  <c r="X8363" i="527"/>
  <c r="J8363" i="527"/>
  <c r="I8363" i="527" s="1"/>
  <c r="G8355" i="527"/>
  <c r="AE8313" i="527"/>
  <c r="H8313" i="527" s="1"/>
  <c r="F8313" i="527" s="1"/>
  <c r="F8315" i="527" s="1"/>
  <c r="F8318" i="527" s="1"/>
  <c r="F8354" i="527" s="1"/>
  <c r="F8305" i="527" s="1"/>
  <c r="X8313" i="527"/>
  <c r="J8313" i="527"/>
  <c r="I8313" i="527" s="1"/>
  <c r="G8305" i="527"/>
  <c r="AE8263" i="527"/>
  <c r="H8263" i="527" s="1"/>
  <c r="F8263" i="527" s="1"/>
  <c r="F8265" i="527" s="1"/>
  <c r="F8268" i="527" s="1"/>
  <c r="F8304" i="527" s="1"/>
  <c r="X8263" i="527"/>
  <c r="J8263" i="527"/>
  <c r="I8263" i="527"/>
  <c r="G8255" i="527"/>
  <c r="AC8244" i="527"/>
  <c r="H8244" i="527" s="1"/>
  <c r="AC8239" i="527"/>
  <c r="H8239" i="527" s="1"/>
  <c r="D8239" i="527" s="1"/>
  <c r="D8241" i="527" s="1"/>
  <c r="X8232" i="527"/>
  <c r="L8232" i="527"/>
  <c r="I8232" i="527" s="1"/>
  <c r="X8230" i="527"/>
  <c r="K8230" i="527"/>
  <c r="I8230" i="527" s="1"/>
  <c r="X8228" i="527"/>
  <c r="X8221" i="527"/>
  <c r="J8221" i="527"/>
  <c r="I8221" i="527" s="1"/>
  <c r="X8219" i="527"/>
  <c r="J8219" i="527"/>
  <c r="I8219" i="527" s="1"/>
  <c r="AD8214" i="527"/>
  <c r="AE8228" i="527" s="1"/>
  <c r="H8228" i="527" s="1"/>
  <c r="F8228" i="527" s="1"/>
  <c r="AB8212" i="527"/>
  <c r="B8212" i="527"/>
  <c r="G8205" i="527"/>
  <c r="AC8194" i="527"/>
  <c r="H8194" i="527" s="1"/>
  <c r="F8194" i="527" s="1"/>
  <c r="AC8189" i="527"/>
  <c r="H8189" i="527" s="1"/>
  <c r="X8182" i="527"/>
  <c r="L8182" i="527"/>
  <c r="I8182" i="527" s="1"/>
  <c r="X8180" i="527"/>
  <c r="K8180" i="527"/>
  <c r="I8180" i="527" s="1"/>
  <c r="X8178" i="527"/>
  <c r="X8171" i="527"/>
  <c r="J8171" i="527"/>
  <c r="I8171" i="527"/>
  <c r="X8169" i="527"/>
  <c r="J8169" i="527"/>
  <c r="I8169" i="527" s="1"/>
  <c r="AD8164" i="527"/>
  <c r="AA8182" i="527" s="1"/>
  <c r="AB8162" i="527"/>
  <c r="B8162" i="527"/>
  <c r="G8155" i="527"/>
  <c r="AC8139" i="527"/>
  <c r="H8139" i="527" s="1"/>
  <c r="X8132" i="527"/>
  <c r="L8132" i="527"/>
  <c r="I8132" i="527" s="1"/>
  <c r="X8130" i="527"/>
  <c r="K8130" i="527"/>
  <c r="I8130" i="527" s="1"/>
  <c r="X8128" i="527"/>
  <c r="J8128" i="527"/>
  <c r="I8128" i="527" s="1"/>
  <c r="X8121" i="527"/>
  <c r="J8121" i="527"/>
  <c r="I8121" i="527" s="1"/>
  <c r="X8119" i="527"/>
  <c r="J8119" i="527"/>
  <c r="I8119" i="527" s="1"/>
  <c r="AD8114" i="527"/>
  <c r="AA8132" i="527" s="1"/>
  <c r="AB8112" i="527"/>
  <c r="AE8121" i="527" s="1"/>
  <c r="H8121" i="527" s="1"/>
  <c r="B8112" i="527"/>
  <c r="G8105" i="527"/>
  <c r="AC8085" i="527"/>
  <c r="H8085" i="527"/>
  <c r="X8081" i="527"/>
  <c r="X8074" i="527"/>
  <c r="J8074" i="527"/>
  <c r="I8074" i="527" s="1"/>
  <c r="X8071" i="527"/>
  <c r="J8071" i="527"/>
  <c r="I8071" i="527" s="1"/>
  <c r="AB8062" i="527"/>
  <c r="AE8081" i="527" s="1"/>
  <c r="H8081" i="527" s="1"/>
  <c r="B8062" i="527"/>
  <c r="G8055" i="527"/>
  <c r="AC8035" i="527"/>
  <c r="H8035" i="527" s="1"/>
  <c r="X8031" i="527"/>
  <c r="X8024" i="527"/>
  <c r="J8024" i="527"/>
  <c r="I8024" i="527" s="1"/>
  <c r="X8021" i="527"/>
  <c r="J8021" i="527"/>
  <c r="I8021" i="527" s="1"/>
  <c r="AB8012" i="527"/>
  <c r="AE8031" i="527" s="1"/>
  <c r="H8031" i="527" s="1"/>
  <c r="B8012" i="527"/>
  <c r="G8005" i="527"/>
  <c r="AC7985" i="527"/>
  <c r="H7985" i="527"/>
  <c r="F7985" i="527" s="1"/>
  <c r="F7987" i="527" s="1"/>
  <c r="X7981" i="527"/>
  <c r="X7974" i="527"/>
  <c r="J7974" i="527"/>
  <c r="I7974" i="527" s="1"/>
  <c r="X7971" i="527"/>
  <c r="J7971" i="527"/>
  <c r="I7971" i="527" s="1"/>
  <c r="AB7962" i="527"/>
  <c r="AE7981" i="527" s="1"/>
  <c r="H7981" i="527" s="1"/>
  <c r="B7962" i="527"/>
  <c r="G7955" i="527"/>
  <c r="AC7935" i="527"/>
  <c r="H7935" i="527" s="1"/>
  <c r="X7931" i="527"/>
  <c r="K7931" i="527"/>
  <c r="I7931" i="527" s="1"/>
  <c r="X7924" i="527"/>
  <c r="J7924" i="527"/>
  <c r="I7924" i="527" s="1"/>
  <c r="X7921" i="527"/>
  <c r="J7921" i="527"/>
  <c r="I7921" i="527" s="1"/>
  <c r="AB7912" i="527"/>
  <c r="AC7921" i="527" s="1"/>
  <c r="B7912" i="527"/>
  <c r="G7905" i="527"/>
  <c r="AC7885" i="527"/>
  <c r="H7885" i="527" s="1"/>
  <c r="F7885" i="527" s="1"/>
  <c r="F7887" i="527" s="1"/>
  <c r="X7881" i="527"/>
  <c r="X7874" i="527"/>
  <c r="J7874" i="527"/>
  <c r="I7874" i="527" s="1"/>
  <c r="X7871" i="527"/>
  <c r="J7871" i="527"/>
  <c r="I7871" i="527" s="1"/>
  <c r="AB7862" i="527"/>
  <c r="AE7881" i="527" s="1"/>
  <c r="H7881" i="527" s="1"/>
  <c r="B7862" i="527"/>
  <c r="G7855" i="527"/>
  <c r="AC7835" i="527"/>
  <c r="H7835" i="527"/>
  <c r="F7835" i="527" s="1"/>
  <c r="F7837" i="527" s="1"/>
  <c r="X7831" i="527"/>
  <c r="X7824" i="527"/>
  <c r="J7824" i="527"/>
  <c r="I7824" i="527" s="1"/>
  <c r="X7821" i="527"/>
  <c r="J7821" i="527"/>
  <c r="I7821" i="527" s="1"/>
  <c r="AB7812" i="527"/>
  <c r="AE7831" i="527" s="1"/>
  <c r="H7831" i="527" s="1"/>
  <c r="B7812" i="527"/>
  <c r="G7805" i="527"/>
  <c r="X7781" i="527"/>
  <c r="K7781" i="527"/>
  <c r="I7781" i="527" s="1"/>
  <c r="X7774" i="527"/>
  <c r="J7774" i="527"/>
  <c r="I7774" i="527"/>
  <c r="X7771" i="527"/>
  <c r="J7771" i="527"/>
  <c r="I7771" i="527" s="1"/>
  <c r="AB7762" i="527"/>
  <c r="AE7781" i="527" s="1"/>
  <c r="H7781" i="527" s="1"/>
  <c r="B7762" i="527"/>
  <c r="G7755" i="527"/>
  <c r="X7731" i="527"/>
  <c r="X7724" i="527"/>
  <c r="J7724" i="527"/>
  <c r="I7724" i="527" s="1"/>
  <c r="X7721" i="527"/>
  <c r="J7721" i="527"/>
  <c r="I7721" i="527" s="1"/>
  <c r="AB7712" i="527"/>
  <c r="B7712" i="527"/>
  <c r="G7705" i="527"/>
  <c r="X7681" i="527"/>
  <c r="X7674" i="527"/>
  <c r="J7674" i="527"/>
  <c r="I7674" i="527" s="1"/>
  <c r="X7671" i="527"/>
  <c r="J7671" i="527"/>
  <c r="I7671" i="527" s="1"/>
  <c r="AB7662" i="527"/>
  <c r="B7662" i="527"/>
  <c r="G7655" i="527"/>
  <c r="AC7628" i="527"/>
  <c r="H7628" i="527" s="1"/>
  <c r="D7628" i="527" s="1"/>
  <c r="AE7623" i="527"/>
  <c r="H7623" i="527" s="1"/>
  <c r="X7623" i="527"/>
  <c r="J7623" i="527"/>
  <c r="I7623" i="527" s="1"/>
  <c r="AE7618" i="527"/>
  <c r="H7618" i="527" s="1"/>
  <c r="F7618" i="527" s="1"/>
  <c r="X7618" i="527"/>
  <c r="J7618" i="527"/>
  <c r="I7618" i="527" s="1"/>
  <c r="G7605" i="527"/>
  <c r="AC7562" i="527"/>
  <c r="H7562" i="527" s="1"/>
  <c r="I7562" i="527"/>
  <c r="AG7557" i="527"/>
  <c r="H7557" i="527" s="1"/>
  <c r="E7557" i="527" s="1"/>
  <c r="X7557" i="527"/>
  <c r="J7557" i="527"/>
  <c r="D7557" i="527" s="1"/>
  <c r="I7557" i="527"/>
  <c r="F7557" i="527"/>
  <c r="AG7552" i="527"/>
  <c r="H7552" i="527" s="1"/>
  <c r="E7552" i="527" s="1"/>
  <c r="X7552" i="527"/>
  <c r="J7552" i="527"/>
  <c r="I7552" i="527" s="1"/>
  <c r="AC7542" i="527"/>
  <c r="H7542" i="527" s="1"/>
  <c r="I7542" i="527"/>
  <c r="AE7537" i="527"/>
  <c r="H7537" i="527" s="1"/>
  <c r="E7537" i="527" s="1"/>
  <c r="X7537" i="527"/>
  <c r="J7537" i="527"/>
  <c r="I7537" i="527" s="1"/>
  <c r="AE7532" i="527"/>
  <c r="H7532" i="527" s="1"/>
  <c r="E7532" i="527" s="1"/>
  <c r="X7532" i="527"/>
  <c r="J7532" i="527"/>
  <c r="I7532" i="527" s="1"/>
  <c r="AC7523" i="527"/>
  <c r="H7523" i="527" s="1"/>
  <c r="X7523" i="527"/>
  <c r="I7523" i="527"/>
  <c r="G7505" i="527"/>
  <c r="X7491" i="527"/>
  <c r="X7489" i="527"/>
  <c r="X7487" i="527"/>
  <c r="AB7485" i="527"/>
  <c r="AA7489" i="527" s="1"/>
  <c r="B7485" i="527"/>
  <c r="AC7479" i="527"/>
  <c r="H7479" i="527" s="1"/>
  <c r="I7479" i="527"/>
  <c r="X7475" i="527"/>
  <c r="J7475" i="527"/>
  <c r="I7475" i="527" s="1"/>
  <c r="AB7473" i="527"/>
  <c r="B7473" i="527"/>
  <c r="X7469" i="527"/>
  <c r="J7469" i="527"/>
  <c r="I7469" i="527" s="1"/>
  <c r="AB7467" i="527"/>
  <c r="AD7469" i="527" s="1"/>
  <c r="H7469" i="527" s="1"/>
  <c r="B7467" i="527"/>
  <c r="G7455" i="527"/>
  <c r="X7416" i="527"/>
  <c r="X7414" i="527"/>
  <c r="X7412" i="527"/>
  <c r="AB7410" i="527"/>
  <c r="B7410" i="527"/>
  <c r="X7404" i="527"/>
  <c r="J7404" i="527"/>
  <c r="I7404" i="527" s="1"/>
  <c r="AB7402" i="527"/>
  <c r="Z7404" i="527" s="1"/>
  <c r="B7402" i="527"/>
  <c r="X7391" i="527"/>
  <c r="X7389" i="527"/>
  <c r="X7387" i="527"/>
  <c r="AI7385" i="527"/>
  <c r="AE7416" i="527" s="1"/>
  <c r="H7416" i="527" s="1"/>
  <c r="AC7379" i="527"/>
  <c r="H7379" i="527" s="1"/>
  <c r="E7379" i="527" s="1"/>
  <c r="I7379" i="527"/>
  <c r="X7375" i="527"/>
  <c r="J7375" i="527"/>
  <c r="I7375" i="527" s="1"/>
  <c r="AI7373" i="527"/>
  <c r="AD7375" i="527" s="1"/>
  <c r="H7375" i="527" s="1"/>
  <c r="X7369" i="527"/>
  <c r="J7369" i="527"/>
  <c r="I7369" i="527" s="1"/>
  <c r="AI7367" i="527"/>
  <c r="AD7369" i="527" s="1"/>
  <c r="H7369" i="527" s="1"/>
  <c r="G7355" i="527"/>
  <c r="AC7342" i="527"/>
  <c r="H7342" i="527" s="1"/>
  <c r="X7337" i="527"/>
  <c r="X7335" i="527"/>
  <c r="X7333" i="527"/>
  <c r="AI7331" i="527"/>
  <c r="AE7337" i="527" s="1"/>
  <c r="H7337" i="527" s="1"/>
  <c r="X7326" i="527"/>
  <c r="J7326" i="527"/>
  <c r="I7326" i="527" s="1"/>
  <c r="AI7324" i="527"/>
  <c r="AD7326" i="527" s="1"/>
  <c r="H7326" i="527" s="1"/>
  <c r="E7326" i="527" s="1"/>
  <c r="X7319" i="527"/>
  <c r="J7319" i="527"/>
  <c r="I7319" i="527" s="1"/>
  <c r="AI7317" i="527"/>
  <c r="AD7319" i="527" s="1"/>
  <c r="H7319" i="527" s="1"/>
  <c r="G7305" i="527"/>
  <c r="X7269" i="527"/>
  <c r="J7269" i="527"/>
  <c r="I7269" i="527"/>
  <c r="X7266" i="527"/>
  <c r="J7266" i="527"/>
  <c r="I7266" i="527"/>
  <c r="AB7263" i="527"/>
  <c r="AE7269" i="527" s="1"/>
  <c r="H7269" i="527" s="1"/>
  <c r="B7263" i="527"/>
  <c r="G7255" i="527"/>
  <c r="AE7229" i="527"/>
  <c r="H7229" i="527" s="1"/>
  <c r="D7229" i="527" s="1"/>
  <c r="X7229" i="527"/>
  <c r="AE7227" i="527"/>
  <c r="H7227" i="527" s="1"/>
  <c r="X7227" i="527"/>
  <c r="AE7225" i="527"/>
  <c r="H7225" i="527" s="1"/>
  <c r="F7225" i="527" s="1"/>
  <c r="X7225" i="527"/>
  <c r="AE7216" i="527"/>
  <c r="X7216" i="527"/>
  <c r="J7216" i="527"/>
  <c r="I7216" i="527" s="1"/>
  <c r="H7216" i="527"/>
  <c r="E7216" i="527" s="1"/>
  <c r="AE7214" i="527"/>
  <c r="H7214" i="527" s="1"/>
  <c r="X7214" i="527"/>
  <c r="J7214" i="527"/>
  <c r="I7214" i="527" s="1"/>
  <c r="G7205" i="527"/>
  <c r="X7188" i="527"/>
  <c r="X7186" i="527"/>
  <c r="AC7184" i="527"/>
  <c r="H7184" i="527" s="1"/>
  <c r="E7184" i="527" s="1"/>
  <c r="X7184" i="527"/>
  <c r="AD7182" i="527"/>
  <c r="AC7188" i="527" s="1"/>
  <c r="H7188" i="527" s="1"/>
  <c r="AE7174" i="527"/>
  <c r="H7174" i="527" s="1"/>
  <c r="F7174" i="527" s="1"/>
  <c r="X7174" i="527"/>
  <c r="J7174" i="527"/>
  <c r="I7174" i="527"/>
  <c r="AE7169" i="527"/>
  <c r="H7169" i="527" s="1"/>
  <c r="E7169" i="527" s="1"/>
  <c r="X7169" i="527"/>
  <c r="J7169" i="527"/>
  <c r="I7169" i="527" s="1"/>
  <c r="G7155" i="527"/>
  <c r="AC7117" i="527"/>
  <c r="X7117" i="527"/>
  <c r="J7117" i="527"/>
  <c r="I7117" i="527" s="1"/>
  <c r="X7115" i="527"/>
  <c r="J7115" i="527"/>
  <c r="I7115" i="527" s="1"/>
  <c r="AB7113" i="527"/>
  <c r="AE7117" i="527" s="1"/>
  <c r="H7117" i="527" s="1"/>
  <c r="E7117" i="527" s="1"/>
  <c r="B7113" i="527"/>
  <c r="G7105" i="527"/>
  <c r="AC7078" i="527"/>
  <c r="H7078" i="527" s="1"/>
  <c r="E7078" i="527" s="1"/>
  <c r="AC7073" i="527"/>
  <c r="X7073" i="527"/>
  <c r="J7073" i="527"/>
  <c r="I7073" i="527"/>
  <c r="D7073" i="527"/>
  <c r="X7071" i="527"/>
  <c r="J7071" i="527"/>
  <c r="I7071" i="527"/>
  <c r="AB7064" i="527"/>
  <c r="AE7073" i="527" s="1"/>
  <c r="H7073" i="527" s="1"/>
  <c r="E7073" i="527" s="1"/>
  <c r="B7064" i="527"/>
  <c r="G7055" i="527"/>
  <c r="AC7028" i="527"/>
  <c r="H7028" i="527" s="1"/>
  <c r="E7028" i="527" s="1"/>
  <c r="X7023" i="527"/>
  <c r="J7023" i="527"/>
  <c r="I7023" i="527"/>
  <c r="X7021" i="527"/>
  <c r="J7021" i="527"/>
  <c r="I7021" i="527"/>
  <c r="AB7014" i="527"/>
  <c r="AE7023" i="527" s="1"/>
  <c r="H7023" i="527" s="1"/>
  <c r="E7023" i="527" s="1"/>
  <c r="B7014" i="527"/>
  <c r="G7005" i="527"/>
  <c r="AB6992" i="527"/>
  <c r="I6992" i="527"/>
  <c r="H6992" i="527"/>
  <c r="E6992" i="527" s="1"/>
  <c r="X6984" i="527"/>
  <c r="J6984" i="527"/>
  <c r="I6984" i="527" s="1"/>
  <c r="B6980" i="527"/>
  <c r="AP6968" i="527"/>
  <c r="AB6972" i="527" s="1"/>
  <c r="AJ6968" i="527"/>
  <c r="AF6968" i="527"/>
  <c r="AH6972" i="527" s="1"/>
  <c r="AB6968" i="527"/>
  <c r="AF6972" i="527" s="1"/>
  <c r="B6968" i="527"/>
  <c r="G6955" i="527"/>
  <c r="AB6942" i="527"/>
  <c r="H6942" i="527" s="1"/>
  <c r="D6942" i="527" s="1"/>
  <c r="D6954" i="527" s="1"/>
  <c r="D6905" i="527" s="1"/>
  <c r="I6942" i="527"/>
  <c r="X6934" i="527"/>
  <c r="J6934" i="527"/>
  <c r="I6934" i="527" s="1"/>
  <c r="B6930" i="527"/>
  <c r="AH6922" i="527"/>
  <c r="AP6918" i="527"/>
  <c r="AB6922" i="527" s="1"/>
  <c r="AJ6918" i="527"/>
  <c r="AF6918" i="527"/>
  <c r="AB6918" i="527"/>
  <c r="AF6922" i="527" s="1"/>
  <c r="B6918" i="527"/>
  <c r="G6905" i="527"/>
  <c r="AB6892" i="527"/>
  <c r="H6892" i="527" s="1"/>
  <c r="I6892" i="527"/>
  <c r="X6884" i="527"/>
  <c r="J6884" i="527"/>
  <c r="I6884" i="527"/>
  <c r="B6880" i="527"/>
  <c r="AP6868" i="527"/>
  <c r="AB6872" i="527" s="1"/>
  <c r="AJ6868" i="527"/>
  <c r="AF6868" i="527"/>
  <c r="AB6868" i="527"/>
  <c r="AF6872" i="527" s="1"/>
  <c r="B6868" i="527"/>
  <c r="G6855" i="527"/>
  <c r="AB6842" i="527"/>
  <c r="H6842" i="527" s="1"/>
  <c r="I6842" i="527"/>
  <c r="X6834" i="527"/>
  <c r="J6834" i="527"/>
  <c r="I6834" i="527" s="1"/>
  <c r="B6830" i="527"/>
  <c r="AH6822" i="527"/>
  <c r="AP6818" i="527"/>
  <c r="AB6822" i="527" s="1"/>
  <c r="AJ6818" i="527"/>
  <c r="AF6818" i="527"/>
  <c r="AB6818" i="527"/>
  <c r="AF6822" i="527" s="1"/>
  <c r="B6818" i="527"/>
  <c r="G6805" i="527"/>
  <c r="AB6792" i="527"/>
  <c r="H6792" i="527" s="1"/>
  <c r="I6792" i="527"/>
  <c r="X6784" i="527"/>
  <c r="J6784" i="527"/>
  <c r="I6784" i="527"/>
  <c r="B6780" i="527"/>
  <c r="AP6768" i="527"/>
  <c r="AB6772" i="527" s="1"/>
  <c r="AJ6768" i="527"/>
  <c r="AF6768" i="527"/>
  <c r="AB6768" i="527"/>
  <c r="AF6772" i="527" s="1"/>
  <c r="B6768" i="527"/>
  <c r="G6755" i="527"/>
  <c r="AB6742" i="527"/>
  <c r="H6742" i="527" s="1"/>
  <c r="I6742" i="527"/>
  <c r="X6734" i="527"/>
  <c r="J6734" i="527"/>
  <c r="I6734" i="527" s="1"/>
  <c r="B6730" i="527"/>
  <c r="AP6718" i="527"/>
  <c r="AB6722" i="527" s="1"/>
  <c r="AJ6718" i="527"/>
  <c r="AF6718" i="527"/>
  <c r="AB6718" i="527"/>
  <c r="AF6722" i="527" s="1"/>
  <c r="B6718" i="527"/>
  <c r="G6705" i="527"/>
  <c r="AB6692" i="527"/>
  <c r="H6692" i="527" s="1"/>
  <c r="E6692" i="527" s="1"/>
  <c r="I6692" i="527"/>
  <c r="X6684" i="527"/>
  <c r="J6684" i="527"/>
  <c r="I6684" i="527" s="1"/>
  <c r="B6680" i="527"/>
  <c r="AP6668" i="527"/>
  <c r="AB6672" i="527" s="1"/>
  <c r="AJ6668" i="527"/>
  <c r="AF6668" i="527"/>
  <c r="AB6668" i="527"/>
  <c r="AF6672" i="527" s="1"/>
  <c r="B6668" i="527"/>
  <c r="G6655" i="527"/>
  <c r="AB6642" i="527"/>
  <c r="H6642" i="527" s="1"/>
  <c r="I6642" i="527"/>
  <c r="X6634" i="527"/>
  <c r="J6634" i="527"/>
  <c r="I6634" i="527" s="1"/>
  <c r="B6630" i="527"/>
  <c r="AP6618" i="527"/>
  <c r="AB6622" i="527" s="1"/>
  <c r="AJ6618" i="527"/>
  <c r="AF6618" i="527"/>
  <c r="AB6618" i="527"/>
  <c r="AF6622" i="527" s="1"/>
  <c r="B6618" i="527"/>
  <c r="G6605" i="527"/>
  <c r="AB6592" i="527"/>
  <c r="H6592" i="527" s="1"/>
  <c r="E6592" i="527" s="1"/>
  <c r="I6592" i="527"/>
  <c r="X6584" i="527"/>
  <c r="J6584" i="527"/>
  <c r="I6584" i="527" s="1"/>
  <c r="B6580" i="527"/>
  <c r="AP6568" i="527"/>
  <c r="AB6572" i="527" s="1"/>
  <c r="AJ6568" i="527"/>
  <c r="AF6568" i="527"/>
  <c r="AB6568" i="527"/>
  <c r="AF6572" i="527" s="1"/>
  <c r="B6568" i="527"/>
  <c r="G6555" i="527"/>
  <c r="AB6542" i="527"/>
  <c r="H6542" i="527" s="1"/>
  <c r="I6542" i="527"/>
  <c r="X6534" i="527"/>
  <c r="J6534" i="527"/>
  <c r="I6534" i="527" s="1"/>
  <c r="B6530" i="527"/>
  <c r="AP6518" i="527"/>
  <c r="AB6522" i="527" s="1"/>
  <c r="AJ6518" i="527"/>
  <c r="AF6518" i="527"/>
  <c r="AB6518" i="527"/>
  <c r="AF6522" i="527" s="1"/>
  <c r="B6518" i="527"/>
  <c r="G6505" i="527"/>
  <c r="AB6492" i="527"/>
  <c r="I6492" i="527"/>
  <c r="H6492" i="527"/>
  <c r="X6484" i="527"/>
  <c r="J6484" i="527"/>
  <c r="I6484" i="527" s="1"/>
  <c r="B6480" i="527"/>
  <c r="AP6468" i="527"/>
  <c r="AB6472" i="527" s="1"/>
  <c r="AJ6468" i="527"/>
  <c r="AF6468" i="527"/>
  <c r="AH6472" i="527" s="1"/>
  <c r="AB6468" i="527"/>
  <c r="AF6472" i="527" s="1"/>
  <c r="B6468" i="527"/>
  <c r="G6455" i="527"/>
  <c r="AB6442" i="527"/>
  <c r="H6442" i="527" s="1"/>
  <c r="I6442" i="527"/>
  <c r="X6434" i="527"/>
  <c r="J6434" i="527"/>
  <c r="I6434" i="527" s="1"/>
  <c r="B6430" i="527"/>
  <c r="AH6422" i="527"/>
  <c r="AP6418" i="527"/>
  <c r="AB6422" i="527" s="1"/>
  <c r="AJ6418" i="527"/>
  <c r="AF6418" i="527"/>
  <c r="Z6422" i="527" s="1"/>
  <c r="AB6418" i="527"/>
  <c r="AF6422" i="527" s="1"/>
  <c r="B6418" i="527"/>
  <c r="G6405" i="527"/>
  <c r="AB6392" i="527"/>
  <c r="H6392" i="527" s="1"/>
  <c r="I6392" i="527"/>
  <c r="X6384" i="527"/>
  <c r="J6384" i="527"/>
  <c r="I6384" i="527" s="1"/>
  <c r="B6380" i="527"/>
  <c r="Z6372" i="527"/>
  <c r="AP6368" i="527"/>
  <c r="AB6372" i="527" s="1"/>
  <c r="AJ6368" i="527"/>
  <c r="AF6368" i="527"/>
  <c r="AH6372" i="527" s="1"/>
  <c r="AB6368" i="527"/>
  <c r="AF6372" i="527" s="1"/>
  <c r="B6368" i="527"/>
  <c r="G6355" i="527"/>
  <c r="AB6342" i="527"/>
  <c r="H6342" i="527" s="1"/>
  <c r="I6342" i="527"/>
  <c r="X6334" i="527"/>
  <c r="J6334" i="527"/>
  <c r="I6334" i="527" s="1"/>
  <c r="B6330" i="527"/>
  <c r="AP6318" i="527"/>
  <c r="AB6322" i="527" s="1"/>
  <c r="AJ6318" i="527"/>
  <c r="AF6318" i="527"/>
  <c r="Z6322" i="527" s="1"/>
  <c r="AB6318" i="527"/>
  <c r="AF6322" i="527" s="1"/>
  <c r="B6318" i="527"/>
  <c r="G6305" i="527"/>
  <c r="AB6292" i="527"/>
  <c r="H6292" i="527" s="1"/>
  <c r="I6292" i="527"/>
  <c r="X6284" i="527"/>
  <c r="J6284" i="527"/>
  <c r="I6284" i="527" s="1"/>
  <c r="B6280" i="527"/>
  <c r="AP6268" i="527"/>
  <c r="AB6272" i="527" s="1"/>
  <c r="AJ6268" i="527"/>
  <c r="AF6268" i="527"/>
  <c r="AH6272" i="527" s="1"/>
  <c r="AB6268" i="527"/>
  <c r="AF6272" i="527" s="1"/>
  <c r="B6268" i="527"/>
  <c r="G6255" i="527"/>
  <c r="AB6242" i="527"/>
  <c r="H6242" i="527" s="1"/>
  <c r="I6242" i="527"/>
  <c r="X6234" i="527"/>
  <c r="J6234" i="527"/>
  <c r="I6234" i="527" s="1"/>
  <c r="B6230" i="527"/>
  <c r="AP6218" i="527"/>
  <c r="AB6222" i="527" s="1"/>
  <c r="AJ6218" i="527"/>
  <c r="AF6218" i="527"/>
  <c r="AH6222" i="527" s="1"/>
  <c r="AB6218" i="527"/>
  <c r="AF6222" i="527" s="1"/>
  <c r="B6218" i="527"/>
  <c r="G6205" i="527"/>
  <c r="AB6192" i="527"/>
  <c r="H6192" i="527" s="1"/>
  <c r="I6192" i="527"/>
  <c r="X6184" i="527"/>
  <c r="J6184" i="527"/>
  <c r="I6184" i="527"/>
  <c r="B6180" i="527"/>
  <c r="AP6168" i="527"/>
  <c r="AB6172" i="527" s="1"/>
  <c r="AJ6168" i="527"/>
  <c r="AF6168" i="527"/>
  <c r="AH6172" i="527" s="1"/>
  <c r="AB6168" i="527"/>
  <c r="AF6172" i="527" s="1"/>
  <c r="B6168" i="527"/>
  <c r="G6155" i="527"/>
  <c r="AB6142" i="527"/>
  <c r="H6142" i="527" s="1"/>
  <c r="I6142" i="527"/>
  <c r="X6134" i="527"/>
  <c r="J6134" i="527"/>
  <c r="I6134" i="527" s="1"/>
  <c r="B6130" i="527"/>
  <c r="AP6118" i="527"/>
  <c r="AB6122" i="527" s="1"/>
  <c r="AJ6118" i="527"/>
  <c r="AF6118" i="527"/>
  <c r="AB6118" i="527"/>
  <c r="AF6122" i="527" s="1"/>
  <c r="B6118" i="527"/>
  <c r="G6105" i="527"/>
  <c r="AB6092" i="527"/>
  <c r="I6092" i="527"/>
  <c r="H6092" i="527"/>
  <c r="F6092" i="527" s="1"/>
  <c r="F6104" i="527" s="1"/>
  <c r="F6055" i="527" s="1"/>
  <c r="X6084" i="527"/>
  <c r="J6084" i="527"/>
  <c r="I6084" i="527" s="1"/>
  <c r="B6080" i="527"/>
  <c r="AP6068" i="527"/>
  <c r="AB6072" i="527" s="1"/>
  <c r="AJ6068" i="527"/>
  <c r="AF6068" i="527"/>
  <c r="AH6072" i="527" s="1"/>
  <c r="AB6068" i="527"/>
  <c r="AF6072" i="527" s="1"/>
  <c r="B6068" i="527"/>
  <c r="G6055" i="527"/>
  <c r="AB6042" i="527"/>
  <c r="H6042" i="527" s="1"/>
  <c r="I6042" i="527"/>
  <c r="X6034" i="527"/>
  <c r="J6034" i="527"/>
  <c r="I6034" i="527" s="1"/>
  <c r="B6030" i="527"/>
  <c r="AP6018" i="527"/>
  <c r="AB6022" i="527" s="1"/>
  <c r="AJ6018" i="527"/>
  <c r="AF6018" i="527"/>
  <c r="AB6018" i="527"/>
  <c r="AF6022" i="527" s="1"/>
  <c r="B6018" i="527"/>
  <c r="G6005" i="527"/>
  <c r="AB5992" i="527"/>
  <c r="H5992" i="527" s="1"/>
  <c r="I5992" i="527"/>
  <c r="X5984" i="527"/>
  <c r="J5984" i="527"/>
  <c r="I5984" i="527" s="1"/>
  <c r="B5980" i="527"/>
  <c r="AP5968" i="527"/>
  <c r="AB5972" i="527" s="1"/>
  <c r="AJ5968" i="527"/>
  <c r="AF5968" i="527"/>
  <c r="AH5972" i="527" s="1"/>
  <c r="AB5968" i="527"/>
  <c r="AF5972" i="527" s="1"/>
  <c r="B5968" i="527"/>
  <c r="G5955" i="527"/>
  <c r="AB5942" i="527"/>
  <c r="H5942" i="527" s="1"/>
  <c r="D5942" i="527" s="1"/>
  <c r="D5954" i="527" s="1"/>
  <c r="D5905" i="527" s="1"/>
  <c r="I5942" i="527"/>
  <c r="X5934" i="527"/>
  <c r="J5934" i="527"/>
  <c r="I5934" i="527" s="1"/>
  <c r="B5930" i="527"/>
  <c r="AP5918" i="527"/>
  <c r="AB5922" i="527" s="1"/>
  <c r="AJ5918" i="527"/>
  <c r="AF5918" i="527"/>
  <c r="AB5918" i="527"/>
  <c r="AF5922" i="527" s="1"/>
  <c r="B5918" i="527"/>
  <c r="G5905" i="527"/>
  <c r="AB5892" i="527"/>
  <c r="H5892" i="527" s="1"/>
  <c r="I5892" i="527"/>
  <c r="X5884" i="527"/>
  <c r="J5884" i="527"/>
  <c r="I5884" i="527" s="1"/>
  <c r="B5880" i="527"/>
  <c r="AP5868" i="527"/>
  <c r="AB5872" i="527" s="1"/>
  <c r="AJ5868" i="527"/>
  <c r="AF5868" i="527"/>
  <c r="AH5872" i="527" s="1"/>
  <c r="AB5868" i="527"/>
  <c r="AF5872" i="527" s="1"/>
  <c r="B5868" i="527"/>
  <c r="G5855" i="527"/>
  <c r="AB5842" i="527"/>
  <c r="H5842" i="527" s="1"/>
  <c r="D5842" i="527" s="1"/>
  <c r="D5854" i="527" s="1"/>
  <c r="I5842" i="527"/>
  <c r="X5834" i="527"/>
  <c r="J5834" i="527"/>
  <c r="I5834" i="527" s="1"/>
  <c r="B5830" i="527"/>
  <c r="AP5818" i="527"/>
  <c r="AB5822" i="527" s="1"/>
  <c r="AJ5818" i="527"/>
  <c r="AF5818" i="527"/>
  <c r="AB5818" i="527"/>
  <c r="AF5822" i="527" s="1"/>
  <c r="B5818" i="527"/>
  <c r="G5805" i="527"/>
  <c r="AB5792" i="527"/>
  <c r="H5792" i="527" s="1"/>
  <c r="I5792" i="527"/>
  <c r="X5784" i="527"/>
  <c r="J5784" i="527"/>
  <c r="I5784" i="527" s="1"/>
  <c r="B5780" i="527"/>
  <c r="AP5768" i="527"/>
  <c r="AB5772" i="527" s="1"/>
  <c r="AJ5768" i="527"/>
  <c r="AF5768" i="527"/>
  <c r="AH5772" i="527" s="1"/>
  <c r="AB5768" i="527"/>
  <c r="AF5772" i="527" s="1"/>
  <c r="B5768" i="527"/>
  <c r="G5755" i="527"/>
  <c r="AB5742" i="527"/>
  <c r="H5742" i="527" s="1"/>
  <c r="D5742" i="527" s="1"/>
  <c r="D5754" i="527" s="1"/>
  <c r="D5705" i="527" s="1"/>
  <c r="I5742" i="527"/>
  <c r="X5734" i="527"/>
  <c r="J5734" i="527"/>
  <c r="I5734" i="527" s="1"/>
  <c r="B5730" i="527"/>
  <c r="AP5718" i="527"/>
  <c r="AB5722" i="527" s="1"/>
  <c r="AJ5718" i="527"/>
  <c r="AF5718" i="527"/>
  <c r="AB5718" i="527"/>
  <c r="AF5722" i="527" s="1"/>
  <c r="B5718" i="527"/>
  <c r="G5705" i="527"/>
  <c r="AB5692" i="527"/>
  <c r="H5692" i="527" s="1"/>
  <c r="I5692" i="527"/>
  <c r="X5684" i="527"/>
  <c r="J5684" i="527"/>
  <c r="I5684" i="527" s="1"/>
  <c r="B5680" i="527"/>
  <c r="AP5668" i="527"/>
  <c r="AB5672" i="527" s="1"/>
  <c r="AJ5668" i="527"/>
  <c r="AF5668" i="527"/>
  <c r="AH5672" i="527" s="1"/>
  <c r="AB5668" i="527"/>
  <c r="AF5672" i="527" s="1"/>
  <c r="B5668" i="527"/>
  <c r="G5655" i="527"/>
  <c r="AB5642" i="527"/>
  <c r="H5642" i="527" s="1"/>
  <c r="D5642" i="527" s="1"/>
  <c r="D5654" i="527" s="1"/>
  <c r="D5605" i="527" s="1"/>
  <c r="I5642" i="527"/>
  <c r="X5634" i="527"/>
  <c r="J5634" i="527"/>
  <c r="I5634" i="527" s="1"/>
  <c r="B5630" i="527"/>
  <c r="AP5618" i="527"/>
  <c r="AB5622" i="527" s="1"/>
  <c r="AJ5618" i="527"/>
  <c r="AF5618" i="527"/>
  <c r="AB5618" i="527"/>
  <c r="AF5622" i="527" s="1"/>
  <c r="B5618" i="527"/>
  <c r="G5605" i="527"/>
  <c r="AC5582" i="527"/>
  <c r="H5582" i="527" s="1"/>
  <c r="AC5578" i="527"/>
  <c r="H5578" i="527"/>
  <c r="D5578" i="527" s="1"/>
  <c r="D5580" i="527" s="1"/>
  <c r="X5573" i="527"/>
  <c r="J5573" i="527"/>
  <c r="I5573" i="527" s="1"/>
  <c r="X5571" i="527"/>
  <c r="J5571" i="527"/>
  <c r="I5571" i="527" s="1"/>
  <c r="AB5564" i="527"/>
  <c r="AC5573" i="527" s="1"/>
  <c r="B5564" i="527"/>
  <c r="G5555" i="527"/>
  <c r="AC5532" i="527"/>
  <c r="H5532" i="527"/>
  <c r="AC5528" i="527"/>
  <c r="H5528" i="527" s="1"/>
  <c r="X5523" i="527"/>
  <c r="J5523" i="527"/>
  <c r="I5523" i="527"/>
  <c r="X5521" i="527"/>
  <c r="J5521" i="527"/>
  <c r="I5521" i="527" s="1"/>
  <c r="AB5514" i="527"/>
  <c r="AE5523" i="527" s="1"/>
  <c r="H5523" i="527" s="1"/>
  <c r="B5514" i="527"/>
  <c r="G5505" i="527"/>
  <c r="AC5482" i="527"/>
  <c r="H5482" i="527" s="1"/>
  <c r="AC5478" i="527"/>
  <c r="H5478" i="527" s="1"/>
  <c r="E5478" i="527" s="1"/>
  <c r="E5480" i="527" s="1"/>
  <c r="X5473" i="527"/>
  <c r="J5473" i="527"/>
  <c r="I5473" i="527" s="1"/>
  <c r="X5471" i="527"/>
  <c r="J5471" i="527"/>
  <c r="I5471" i="527" s="1"/>
  <c r="AB5464" i="527"/>
  <c r="AE5473" i="527" s="1"/>
  <c r="H5473" i="527" s="1"/>
  <c r="B5464" i="527"/>
  <c r="G5455" i="527"/>
  <c r="AC5432" i="527"/>
  <c r="H5432" i="527"/>
  <c r="F5432" i="527" s="1"/>
  <c r="F5434" i="527" s="1"/>
  <c r="AC5428" i="527"/>
  <c r="H5428" i="527" s="1"/>
  <c r="X5423" i="527"/>
  <c r="J5423" i="527"/>
  <c r="I5423" i="527"/>
  <c r="X5421" i="527"/>
  <c r="J5421" i="527"/>
  <c r="I5421" i="527"/>
  <c r="AB5414" i="527"/>
  <c r="AE5423" i="527" s="1"/>
  <c r="H5423" i="527" s="1"/>
  <c r="F5423" i="527" s="1"/>
  <c r="B5414" i="527"/>
  <c r="G5405" i="527"/>
  <c r="AC5382" i="527"/>
  <c r="H5382" i="527" s="1"/>
  <c r="AC5378" i="527"/>
  <c r="H5378" i="527"/>
  <c r="X5373" i="527"/>
  <c r="J5373" i="527"/>
  <c r="I5373" i="527" s="1"/>
  <c r="X5371" i="527"/>
  <c r="J5371" i="527"/>
  <c r="I5371" i="527" s="1"/>
  <c r="AB5364" i="527"/>
  <c r="AC5373" i="527" s="1"/>
  <c r="B5364" i="527"/>
  <c r="G5355" i="527"/>
  <c r="AC5332" i="527"/>
  <c r="H5332" i="527" s="1"/>
  <c r="AC5328" i="527"/>
  <c r="H5328" i="527" s="1"/>
  <c r="D5328" i="527" s="1"/>
  <c r="D5330" i="527" s="1"/>
  <c r="AC5323" i="527"/>
  <c r="X5323" i="527"/>
  <c r="J5323" i="527"/>
  <c r="I5323" i="527" s="1"/>
  <c r="X5321" i="527"/>
  <c r="J5321" i="527"/>
  <c r="I5321" i="527" s="1"/>
  <c r="AB5314" i="527"/>
  <c r="AE5323" i="527" s="1"/>
  <c r="H5323" i="527" s="1"/>
  <c r="B5314" i="527"/>
  <c r="G5305" i="527"/>
  <c r="AC5282" i="527"/>
  <c r="H5282" i="527" s="1"/>
  <c r="AC5278" i="527"/>
  <c r="H5278" i="527"/>
  <c r="E5278" i="527" s="1"/>
  <c r="X5273" i="527"/>
  <c r="J5273" i="527"/>
  <c r="I5273" i="527" s="1"/>
  <c r="X5271" i="527"/>
  <c r="J5271" i="527"/>
  <c r="I5271" i="527" s="1"/>
  <c r="AB5264" i="527"/>
  <c r="AE5271" i="527" s="1"/>
  <c r="H5271" i="527" s="1"/>
  <c r="E5271" i="527" s="1"/>
  <c r="B5264" i="527"/>
  <c r="G5255" i="527"/>
  <c r="AC5232" i="527"/>
  <c r="H5232" i="527" s="1"/>
  <c r="E5232" i="527" s="1"/>
  <c r="AC5228" i="527"/>
  <c r="H5228" i="527" s="1"/>
  <c r="X5223" i="527"/>
  <c r="J5223" i="527"/>
  <c r="I5223" i="527" s="1"/>
  <c r="X5221" i="527"/>
  <c r="J5221" i="527"/>
  <c r="I5221" i="527"/>
  <c r="AB5214" i="527"/>
  <c r="B5214" i="527"/>
  <c r="G5205" i="527"/>
  <c r="AC5182" i="527"/>
  <c r="H5182" i="527" s="1"/>
  <c r="F5182" i="527" s="1"/>
  <c r="F5184" i="527" s="1"/>
  <c r="AC5178" i="527"/>
  <c r="H5178" i="527" s="1"/>
  <c r="X5173" i="527"/>
  <c r="J5173" i="527"/>
  <c r="I5173" i="527" s="1"/>
  <c r="AC5171" i="527"/>
  <c r="X5171" i="527"/>
  <c r="J5171" i="527"/>
  <c r="I5171" i="527" s="1"/>
  <c r="AB5164" i="527"/>
  <c r="AE5173" i="527" s="1"/>
  <c r="H5173" i="527" s="1"/>
  <c r="B5164" i="527"/>
  <c r="G5155" i="527"/>
  <c r="AC5132" i="527"/>
  <c r="H5132" i="527" s="1"/>
  <c r="AC5128" i="527"/>
  <c r="H5128" i="527"/>
  <c r="X5123" i="527"/>
  <c r="J5123" i="527"/>
  <c r="I5123" i="527"/>
  <c r="AC5121" i="527"/>
  <c r="X5121" i="527"/>
  <c r="J5121" i="527"/>
  <c r="I5121" i="527" s="1"/>
  <c r="AB5114" i="527"/>
  <c r="AE5123" i="527" s="1"/>
  <c r="H5123" i="527" s="1"/>
  <c r="B5114" i="527"/>
  <c r="G5105" i="527"/>
  <c r="AC5082" i="527"/>
  <c r="H5082" i="527" s="1"/>
  <c r="AC5078" i="527"/>
  <c r="H5078" i="527"/>
  <c r="X5073" i="527"/>
  <c r="J5073" i="527"/>
  <c r="I5073" i="527" s="1"/>
  <c r="X5071" i="527"/>
  <c r="J5071" i="527"/>
  <c r="I5071" i="527" s="1"/>
  <c r="AB5064" i="527"/>
  <c r="B5064" i="527"/>
  <c r="G5055" i="527"/>
  <c r="AC5032" i="527"/>
  <c r="H5032" i="527" s="1"/>
  <c r="AC5028" i="527"/>
  <c r="H5028" i="527" s="1"/>
  <c r="X5023" i="527"/>
  <c r="J5023" i="527"/>
  <c r="I5023" i="527" s="1"/>
  <c r="X5021" i="527"/>
  <c r="J5021" i="527"/>
  <c r="I5021" i="527" s="1"/>
  <c r="AB5014" i="527"/>
  <c r="AC5023" i="527" s="1"/>
  <c r="B5014" i="527"/>
  <c r="G5005" i="527"/>
  <c r="AC4978" i="527"/>
  <c r="H4978" i="527" s="1"/>
  <c r="X4973" i="527"/>
  <c r="J4973" i="527"/>
  <c r="I4973" i="527" s="1"/>
  <c r="X4971" i="527"/>
  <c r="J4971" i="527"/>
  <c r="I4971" i="527" s="1"/>
  <c r="AB4964" i="527"/>
  <c r="B4964" i="527"/>
  <c r="G4955" i="527"/>
  <c r="AC4928" i="527"/>
  <c r="H4928" i="527" s="1"/>
  <c r="X4923" i="527"/>
  <c r="J4923" i="527"/>
  <c r="I4923" i="527" s="1"/>
  <c r="X4921" i="527"/>
  <c r="J4921" i="527"/>
  <c r="I4921" i="527" s="1"/>
  <c r="AB4914" i="527"/>
  <c r="AE4923" i="527" s="1"/>
  <c r="H4923" i="527" s="1"/>
  <c r="B4914" i="527"/>
  <c r="G4905" i="527"/>
  <c r="AC4878" i="527"/>
  <c r="H4878" i="527" s="1"/>
  <c r="X4873" i="527"/>
  <c r="J4873" i="527"/>
  <c r="I4873" i="527" s="1"/>
  <c r="X4871" i="527"/>
  <c r="J4871" i="527"/>
  <c r="I4871" i="527" s="1"/>
  <c r="AB4864" i="527"/>
  <c r="AE4873" i="527" s="1"/>
  <c r="H4873" i="527" s="1"/>
  <c r="B4864" i="527"/>
  <c r="G4855" i="527"/>
  <c r="AC4828" i="527"/>
  <c r="H4828" i="527" s="1"/>
  <c r="X4823" i="527"/>
  <c r="J4823" i="527"/>
  <c r="I4823" i="527" s="1"/>
  <c r="X4821" i="527"/>
  <c r="J4821" i="527"/>
  <c r="I4821" i="527" s="1"/>
  <c r="AB4814" i="527"/>
  <c r="AE4823" i="527" s="1"/>
  <c r="H4823" i="527" s="1"/>
  <c r="B4814" i="527"/>
  <c r="G4805" i="527"/>
  <c r="AC4778" i="527"/>
  <c r="H4778" i="527" s="1"/>
  <c r="X4773" i="527"/>
  <c r="J4773" i="527"/>
  <c r="I4773" i="527" s="1"/>
  <c r="X4771" i="527"/>
  <c r="J4771" i="527"/>
  <c r="I4771" i="527" s="1"/>
  <c r="AB4764" i="527"/>
  <c r="AE4773" i="527" s="1"/>
  <c r="H4773" i="527" s="1"/>
  <c r="B4764" i="527"/>
  <c r="G4755" i="527"/>
  <c r="AC4728" i="527"/>
  <c r="H4728" i="527" s="1"/>
  <c r="X4723" i="527"/>
  <c r="J4723" i="527"/>
  <c r="I4723" i="527" s="1"/>
  <c r="X4721" i="527"/>
  <c r="J4721" i="527"/>
  <c r="I4721" i="527" s="1"/>
  <c r="AB4714" i="527"/>
  <c r="AE4723" i="527" s="1"/>
  <c r="H4723" i="527" s="1"/>
  <c r="B4714" i="527"/>
  <c r="G4705" i="527"/>
  <c r="AC4688" i="527"/>
  <c r="H4688" i="527"/>
  <c r="X4683" i="527"/>
  <c r="X4681" i="527"/>
  <c r="X4679" i="527"/>
  <c r="X4672" i="527"/>
  <c r="J4672" i="527"/>
  <c r="I4672" i="527" s="1"/>
  <c r="X4670" i="527"/>
  <c r="J4670" i="527"/>
  <c r="I4670" i="527" s="1"/>
  <c r="AB4663" i="527"/>
  <c r="AE4683" i="527" s="1"/>
  <c r="H4683" i="527" s="1"/>
  <c r="B4663" i="527"/>
  <c r="G4655" i="527"/>
  <c r="AC4638" i="527"/>
  <c r="H4638" i="527"/>
  <c r="X4633" i="527"/>
  <c r="X4631" i="527"/>
  <c r="X4629" i="527"/>
  <c r="X4622" i="527"/>
  <c r="J4622" i="527"/>
  <c r="I4622" i="527" s="1"/>
  <c r="X4620" i="527"/>
  <c r="J4620" i="527"/>
  <c r="I4620" i="527" s="1"/>
  <c r="AB4613" i="527"/>
  <c r="AE4633" i="527" s="1"/>
  <c r="H4633" i="527" s="1"/>
  <c r="B4613" i="527"/>
  <c r="G4605" i="527"/>
  <c r="AC4588" i="527"/>
  <c r="H4588" i="527"/>
  <c r="X4583" i="527"/>
  <c r="X4581" i="527"/>
  <c r="X4579" i="527"/>
  <c r="X4572" i="527"/>
  <c r="J4572" i="527"/>
  <c r="I4572" i="527" s="1"/>
  <c r="X4570" i="527"/>
  <c r="J4570" i="527"/>
  <c r="I4570" i="527" s="1"/>
  <c r="AB4563" i="527"/>
  <c r="AE4583" i="527" s="1"/>
  <c r="H4583" i="527" s="1"/>
  <c r="B4563" i="527"/>
  <c r="G4555" i="527"/>
  <c r="AC4538" i="527"/>
  <c r="H4538" i="527" s="1"/>
  <c r="X4533" i="527"/>
  <c r="X4531" i="527"/>
  <c r="X4529" i="527"/>
  <c r="X4522" i="527"/>
  <c r="J4522" i="527"/>
  <c r="I4522" i="527" s="1"/>
  <c r="X4520" i="527"/>
  <c r="J4520" i="527"/>
  <c r="I4520" i="527" s="1"/>
  <c r="AB4513" i="527"/>
  <c r="AE4533" i="527" s="1"/>
  <c r="H4533" i="527" s="1"/>
  <c r="B4513" i="527"/>
  <c r="G4505" i="527"/>
  <c r="AC4488" i="527"/>
  <c r="H4488" i="527" s="1"/>
  <c r="X4483" i="527"/>
  <c r="X4481" i="527"/>
  <c r="X4479" i="527"/>
  <c r="X4472" i="527"/>
  <c r="J4472" i="527"/>
  <c r="I4472" i="527" s="1"/>
  <c r="X4470" i="527"/>
  <c r="J4470" i="527"/>
  <c r="I4470" i="527" s="1"/>
  <c r="AB4463" i="527"/>
  <c r="AE4483" i="527" s="1"/>
  <c r="H4483" i="527" s="1"/>
  <c r="B4463" i="527"/>
  <c r="G4455" i="527"/>
  <c r="AC4438" i="527"/>
  <c r="H4438" i="527" s="1"/>
  <c r="X4433" i="527"/>
  <c r="X4431" i="527"/>
  <c r="X4429" i="527"/>
  <c r="X4422" i="527"/>
  <c r="J4422" i="527"/>
  <c r="I4422" i="527" s="1"/>
  <c r="X4420" i="527"/>
  <c r="J4420" i="527"/>
  <c r="I4420" i="527" s="1"/>
  <c r="AB4413" i="527"/>
  <c r="AE4433" i="527" s="1"/>
  <c r="H4433" i="527" s="1"/>
  <c r="B4413" i="527"/>
  <c r="G4405" i="527"/>
  <c r="AC4388" i="527"/>
  <c r="H4388" i="527"/>
  <c r="X4383" i="527"/>
  <c r="X4381" i="527"/>
  <c r="X4379" i="527"/>
  <c r="X4372" i="527"/>
  <c r="J4372" i="527"/>
  <c r="I4372" i="527" s="1"/>
  <c r="X4370" i="527"/>
  <c r="J4370" i="527"/>
  <c r="I4370" i="527" s="1"/>
  <c r="AB4363" i="527"/>
  <c r="AE4383" i="527" s="1"/>
  <c r="H4383" i="527" s="1"/>
  <c r="B4363" i="527"/>
  <c r="G4355" i="527"/>
  <c r="AC4338" i="527"/>
  <c r="H4338" i="527"/>
  <c r="X4333" i="527"/>
  <c r="X4331" i="527"/>
  <c r="X4329" i="527"/>
  <c r="X4322" i="527"/>
  <c r="J4322" i="527"/>
  <c r="I4322" i="527" s="1"/>
  <c r="X4320" i="527"/>
  <c r="J4320" i="527"/>
  <c r="I4320" i="527" s="1"/>
  <c r="AB4313" i="527"/>
  <c r="AE4333" i="527" s="1"/>
  <c r="H4333" i="527" s="1"/>
  <c r="B4313" i="527"/>
  <c r="G4305" i="527"/>
  <c r="AC4276" i="527"/>
  <c r="H4276" i="527" s="1"/>
  <c r="X4271" i="527"/>
  <c r="J4271" i="527"/>
  <c r="I4271" i="527" s="1"/>
  <c r="X4269" i="527"/>
  <c r="J4269" i="527"/>
  <c r="I4269" i="527" s="1"/>
  <c r="AD4262" i="527"/>
  <c r="AE4271" i="527" s="1"/>
  <c r="H4271" i="527" s="1"/>
  <c r="G4255" i="527"/>
  <c r="AC4226" i="527"/>
  <c r="H4226" i="527" s="1"/>
  <c r="X4221" i="527"/>
  <c r="J4221" i="527"/>
  <c r="I4221" i="527" s="1"/>
  <c r="X4219" i="527"/>
  <c r="J4219" i="527"/>
  <c r="I4219" i="527" s="1"/>
  <c r="AD4212" i="527"/>
  <c r="AE4221" i="527" s="1"/>
  <c r="H4221" i="527" s="1"/>
  <c r="G4205" i="527"/>
  <c r="AC4176" i="527"/>
  <c r="H4176" i="527" s="1"/>
  <c r="E4176" i="527" s="1"/>
  <c r="X4171" i="527"/>
  <c r="J4171" i="527"/>
  <c r="I4171" i="527" s="1"/>
  <c r="X4169" i="527"/>
  <c r="J4169" i="527"/>
  <c r="I4169" i="527" s="1"/>
  <c r="AD4162" i="527"/>
  <c r="AE4171" i="527" s="1"/>
  <c r="H4171" i="527" s="1"/>
  <c r="G4155" i="527"/>
  <c r="AC4126" i="527"/>
  <c r="H4126" i="527" s="1"/>
  <c r="E4126" i="527" s="1"/>
  <c r="X4121" i="527"/>
  <c r="J4121" i="527"/>
  <c r="I4121" i="527" s="1"/>
  <c r="X4119" i="527"/>
  <c r="J4119" i="527"/>
  <c r="I4119" i="527" s="1"/>
  <c r="AB4112" i="527"/>
  <c r="AE4121" i="527" s="1"/>
  <c r="H4121" i="527" s="1"/>
  <c r="G4105" i="527"/>
  <c r="AC4076" i="527"/>
  <c r="H4076" i="527" s="1"/>
  <c r="X4071" i="527"/>
  <c r="J4071" i="527"/>
  <c r="I4071" i="527" s="1"/>
  <c r="X4069" i="527"/>
  <c r="J4069" i="527"/>
  <c r="I4069" i="527" s="1"/>
  <c r="AD4062" i="527"/>
  <c r="AE4071" i="527" s="1"/>
  <c r="H4071" i="527" s="1"/>
  <c r="G4055" i="527"/>
  <c r="AC4026" i="527"/>
  <c r="H4026" i="527" s="1"/>
  <c r="X4021" i="527"/>
  <c r="J4021" i="527"/>
  <c r="I4021" i="527" s="1"/>
  <c r="X4019" i="527"/>
  <c r="J4019" i="527"/>
  <c r="I4019" i="527" s="1"/>
  <c r="AD4012" i="527"/>
  <c r="AE4021" i="527" s="1"/>
  <c r="H4021" i="527" s="1"/>
  <c r="G4005" i="527"/>
  <c r="AF3974" i="527"/>
  <c r="H3974" i="527" s="1"/>
  <c r="F3974" i="527" s="1"/>
  <c r="X3974" i="527"/>
  <c r="J3974" i="527"/>
  <c r="I3974" i="527" s="1"/>
  <c r="AF3972" i="527"/>
  <c r="H3972" i="527" s="1"/>
  <c r="X3972" i="527"/>
  <c r="J3972" i="527"/>
  <c r="I3972" i="527" s="1"/>
  <c r="F3967" i="527"/>
  <c r="E3967" i="527"/>
  <c r="D3967" i="527"/>
  <c r="G3955" i="527"/>
  <c r="AF3924" i="527"/>
  <c r="H3924" i="527" s="1"/>
  <c r="X3924" i="527"/>
  <c r="J3924" i="527"/>
  <c r="I3924" i="527" s="1"/>
  <c r="AF3922" i="527"/>
  <c r="H3922" i="527" s="1"/>
  <c r="E3922" i="527" s="1"/>
  <c r="X3922" i="527"/>
  <c r="J3922" i="527"/>
  <c r="I3922" i="527" s="1"/>
  <c r="F3917" i="527"/>
  <c r="E3917" i="527"/>
  <c r="D3917" i="527"/>
  <c r="G3905" i="527"/>
  <c r="AC3871" i="527"/>
  <c r="H3871" i="527" s="1"/>
  <c r="X3871" i="527"/>
  <c r="J3871" i="527"/>
  <c r="I3871" i="527" s="1"/>
  <c r="G3855" i="527"/>
  <c r="X3821" i="527"/>
  <c r="J3821" i="527"/>
  <c r="I3821" i="527" s="1"/>
  <c r="AB3818" i="527"/>
  <c r="B3818" i="527"/>
  <c r="G3805" i="527"/>
  <c r="AC3785" i="527"/>
  <c r="H3785" i="527" s="1"/>
  <c r="X3785" i="527"/>
  <c r="J3785" i="527"/>
  <c r="I3785" i="527" s="1"/>
  <c r="AC3778" i="527"/>
  <c r="H3778" i="527" s="1"/>
  <c r="F3778" i="527" s="1"/>
  <c r="F3780" i="527" s="1"/>
  <c r="X3778" i="527"/>
  <c r="J3778" i="527"/>
  <c r="I3778" i="527" s="1"/>
  <c r="AC3771" i="527"/>
  <c r="H3771" i="527" s="1"/>
  <c r="X3771" i="527"/>
  <c r="J3771" i="527"/>
  <c r="I3771" i="527" s="1"/>
  <c r="AC3764" i="527"/>
  <c r="H3764" i="527" s="1"/>
  <c r="X3764" i="527"/>
  <c r="J3764" i="527"/>
  <c r="I3764" i="527" s="1"/>
  <c r="G3755" i="527"/>
  <c r="AC3696" i="527"/>
  <c r="H3696" i="527" s="1"/>
  <c r="E3696" i="527" s="1"/>
  <c r="X3696" i="527"/>
  <c r="AC3694" i="527"/>
  <c r="X3694" i="527"/>
  <c r="H3694" i="527"/>
  <c r="D3694" i="527" s="1"/>
  <c r="AC3692" i="527"/>
  <c r="H3692" i="527" s="1"/>
  <c r="X3692" i="527"/>
  <c r="AC3686" i="527"/>
  <c r="H3686" i="527" s="1"/>
  <c r="X3686" i="527"/>
  <c r="J3686" i="527"/>
  <c r="I3686" i="527" s="1"/>
  <c r="AC3676" i="527"/>
  <c r="H3676" i="527" s="1"/>
  <c r="E3676" i="527" s="1"/>
  <c r="X3676" i="527"/>
  <c r="J3676" i="527"/>
  <c r="I3676" i="527" s="1"/>
  <c r="AC3674" i="527"/>
  <c r="H3674" i="527" s="1"/>
  <c r="X3674" i="527"/>
  <c r="J3674" i="527"/>
  <c r="I3674" i="527" s="1"/>
  <c r="F3668" i="527"/>
  <c r="E3668" i="527"/>
  <c r="D3668" i="527"/>
  <c r="G3655" i="527"/>
  <c r="X3623" i="527"/>
  <c r="X3621" i="527"/>
  <c r="X3619" i="527"/>
  <c r="AB3614" i="527"/>
  <c r="AE3623" i="527" s="1"/>
  <c r="H3623" i="527" s="1"/>
  <c r="B3614" i="527"/>
  <c r="G3605" i="527"/>
  <c r="AG3571" i="527"/>
  <c r="H3571" i="527" s="1"/>
  <c r="X3571" i="527"/>
  <c r="J3571" i="527"/>
  <c r="I3571" i="527" s="1"/>
  <c r="AG3569" i="527"/>
  <c r="H3569" i="527" s="1"/>
  <c r="X3569" i="527"/>
  <c r="J3569" i="527"/>
  <c r="I3569" i="527" s="1"/>
  <c r="G3555" i="527"/>
  <c r="AG3521" i="527"/>
  <c r="H3521" i="527" s="1"/>
  <c r="X3521" i="527"/>
  <c r="J3521" i="527"/>
  <c r="I3521" i="527" s="1"/>
  <c r="AG3519" i="527"/>
  <c r="H3519" i="527" s="1"/>
  <c r="E3519" i="527" s="1"/>
  <c r="X3519" i="527"/>
  <c r="J3519" i="527"/>
  <c r="I3519" i="527" s="1"/>
  <c r="G3505" i="527"/>
  <c r="X3467" i="527"/>
  <c r="J3467" i="527"/>
  <c r="I3467" i="527" s="1"/>
  <c r="AB3464" i="527"/>
  <c r="AD3467" i="527" s="1"/>
  <c r="H3467" i="527" s="1"/>
  <c r="B3464" i="527"/>
  <c r="G3455" i="527"/>
  <c r="AE3435" i="527"/>
  <c r="X3435" i="527"/>
  <c r="J3435" i="527"/>
  <c r="I3435" i="527"/>
  <c r="H3435" i="527"/>
  <c r="D3435" i="527" s="1"/>
  <c r="D3437" i="527" s="1"/>
  <c r="X3427" i="527"/>
  <c r="X3425" i="527"/>
  <c r="X3423" i="527"/>
  <c r="AF3419" i="527"/>
  <c r="AH3421" i="527" s="1"/>
  <c r="AB3419" i="527"/>
  <c r="AJ3421" i="527" s="1"/>
  <c r="B3419" i="527"/>
  <c r="AL3417" i="527"/>
  <c r="AD3421" i="527" s="1"/>
  <c r="AH3417" i="527"/>
  <c r="B3417" i="527" s="1"/>
  <c r="AB3417" i="527"/>
  <c r="AB3421" i="527" s="1"/>
  <c r="G3405" i="527"/>
  <c r="AC3391" i="527"/>
  <c r="H3391" i="527" s="1"/>
  <c r="AE3388" i="527"/>
  <c r="H3388" i="527" s="1"/>
  <c r="F3388" i="527" s="1"/>
  <c r="X3388" i="527"/>
  <c r="J3388" i="527"/>
  <c r="I3388" i="527" s="1"/>
  <c r="AE3383" i="527"/>
  <c r="H3383" i="527" s="1"/>
  <c r="X3383" i="527"/>
  <c r="J3383" i="527"/>
  <c r="I3383" i="527"/>
  <c r="AC3368" i="527"/>
  <c r="H3368" i="527" s="1"/>
  <c r="F3366" i="527"/>
  <c r="E3366" i="527"/>
  <c r="D3366" i="527"/>
  <c r="AC3364" i="527"/>
  <c r="H3364" i="527" s="1"/>
  <c r="X3364" i="527"/>
  <c r="G3355" i="527"/>
  <c r="AK3334" i="527"/>
  <c r="H3334" i="527" s="1"/>
  <c r="X3334" i="527"/>
  <c r="J3334" i="527"/>
  <c r="I3334" i="527"/>
  <c r="X3326" i="527"/>
  <c r="X3324" i="527"/>
  <c r="X3322" i="527"/>
  <c r="AF3318" i="527"/>
  <c r="AH3320" i="527" s="1"/>
  <c r="AB3318" i="527"/>
  <c r="AJ3320" i="527" s="1"/>
  <c r="B3318" i="527"/>
  <c r="AL3316" i="527"/>
  <c r="AD3320" i="527" s="1"/>
  <c r="AH3316" i="527"/>
  <c r="AF3320" i="527" s="1"/>
  <c r="AB3316" i="527"/>
  <c r="G3305" i="527"/>
  <c r="AI3284" i="527"/>
  <c r="H3284" i="527" s="1"/>
  <c r="X3284" i="527"/>
  <c r="J3284" i="527"/>
  <c r="I3284" i="527" s="1"/>
  <c r="X3276" i="527"/>
  <c r="X3274" i="527"/>
  <c r="X3272" i="527"/>
  <c r="AF3268" i="527"/>
  <c r="B3268" i="527" s="1"/>
  <c r="AB3268" i="527"/>
  <c r="AJ3270" i="527" s="1"/>
  <c r="AL3266" i="527"/>
  <c r="AD3270" i="527" s="1"/>
  <c r="AH3266" i="527"/>
  <c r="B3266" i="527" s="1"/>
  <c r="AB3266" i="527"/>
  <c r="AB3270" i="527" s="1"/>
  <c r="G3255" i="527"/>
  <c r="X3223" i="527"/>
  <c r="X3221" i="527"/>
  <c r="X3219" i="527"/>
  <c r="AB3212" i="527"/>
  <c r="AF3223" i="527" s="1"/>
  <c r="H3223" i="527" s="1"/>
  <c r="B3212" i="527"/>
  <c r="G3205" i="527"/>
  <c r="X3177" i="527"/>
  <c r="X3175" i="527"/>
  <c r="X3173" i="527"/>
  <c r="AF3168" i="527"/>
  <c r="AH3170" i="527" s="1"/>
  <c r="AB3168" i="527"/>
  <c r="AJ3170" i="527" s="1"/>
  <c r="B3168" i="527"/>
  <c r="AL3166" i="527"/>
  <c r="AD3170" i="527" s="1"/>
  <c r="AH3166" i="527"/>
  <c r="AF3170" i="527" s="1"/>
  <c r="AB3166" i="527"/>
  <c r="AL3170" i="527" s="1"/>
  <c r="G3155" i="527"/>
  <c r="X3103" i="527"/>
  <c r="X3101" i="527"/>
  <c r="X3099" i="527"/>
  <c r="AJ3095" i="527"/>
  <c r="AK3097" i="527" s="1"/>
  <c r="AF3095" i="527"/>
  <c r="AI3097" i="527" s="1"/>
  <c r="AB3095" i="527"/>
  <c r="AG3097" i="527" s="1"/>
  <c r="B3095" i="527"/>
  <c r="AJ3093" i="527"/>
  <c r="AE3097" i="527" s="1"/>
  <c r="AF3093" i="527"/>
  <c r="AC3097" i="527" s="1"/>
  <c r="AB3093" i="527"/>
  <c r="B3093" i="527"/>
  <c r="AE3086" i="527"/>
  <c r="H3086" i="527" s="1"/>
  <c r="X3086" i="527"/>
  <c r="J3086" i="527"/>
  <c r="I3086" i="527" s="1"/>
  <c r="X3078" i="527"/>
  <c r="X3076" i="527"/>
  <c r="X3074" i="527"/>
  <c r="AF3070" i="527"/>
  <c r="AH3072" i="527" s="1"/>
  <c r="AB3070" i="527"/>
  <c r="AJ3072" i="527" s="1"/>
  <c r="B3070" i="527"/>
  <c r="AL3068" i="527"/>
  <c r="AD3072" i="527" s="1"/>
  <c r="AH3068" i="527"/>
  <c r="B3068" i="527" s="1"/>
  <c r="AB3068" i="527"/>
  <c r="G3055" i="527"/>
  <c r="AC3039" i="527"/>
  <c r="H3039" i="527" s="1"/>
  <c r="AC3035" i="527"/>
  <c r="H3035" i="527" s="1"/>
  <c r="X3035" i="527"/>
  <c r="AC3031" i="527"/>
  <c r="H3031" i="527" s="1"/>
  <c r="X3031" i="527"/>
  <c r="K3031" i="527"/>
  <c r="I3031" i="527" s="1"/>
  <c r="X3024" i="527"/>
  <c r="J3024" i="527"/>
  <c r="I3024" i="527"/>
  <c r="X3021" i="527"/>
  <c r="J3021" i="527"/>
  <c r="I3021" i="527" s="1"/>
  <c r="AB3012" i="527"/>
  <c r="AE3024" i="527" s="1"/>
  <c r="H3024" i="527" s="1"/>
  <c r="B3012" i="527"/>
  <c r="G3005" i="527"/>
  <c r="AC2988" i="527"/>
  <c r="H2988" i="527" s="1"/>
  <c r="AC2984" i="527"/>
  <c r="H2984" i="527" s="1"/>
  <c r="X2984" i="527"/>
  <c r="K2984" i="527"/>
  <c r="I2984" i="527" s="1"/>
  <c r="AC2981" i="527"/>
  <c r="H2981" i="527" s="1"/>
  <c r="X2981" i="527"/>
  <c r="K2981" i="527"/>
  <c r="I2981" i="527" s="1"/>
  <c r="X2974" i="527"/>
  <c r="J2974" i="527"/>
  <c r="I2974" i="527" s="1"/>
  <c r="AC2971" i="527"/>
  <c r="X2971" i="527"/>
  <c r="J2971" i="527"/>
  <c r="I2971" i="527"/>
  <c r="AB2962" i="527"/>
  <c r="B2962" i="527"/>
  <c r="G2955" i="527"/>
  <c r="AC2938" i="527"/>
  <c r="H2938" i="527" s="1"/>
  <c r="AC2934" i="527"/>
  <c r="H2934" i="527" s="1"/>
  <c r="F2934" i="527" s="1"/>
  <c r="X2934" i="527"/>
  <c r="AC2931" i="527"/>
  <c r="H2931" i="527" s="1"/>
  <c r="X2931" i="527"/>
  <c r="X2924" i="527"/>
  <c r="J2924" i="527"/>
  <c r="I2924" i="527"/>
  <c r="X2921" i="527"/>
  <c r="J2921" i="527"/>
  <c r="I2921" i="527"/>
  <c r="AB2912" i="527"/>
  <c r="AE2924" i="527" s="1"/>
  <c r="H2924" i="527" s="1"/>
  <c r="D2924" i="527" s="1"/>
  <c r="B2912" i="527"/>
  <c r="G2905" i="527"/>
  <c r="AC2889" i="527"/>
  <c r="H2889" i="527" s="1"/>
  <c r="AC2885" i="527"/>
  <c r="X2885" i="527"/>
  <c r="H2885" i="527"/>
  <c r="AC2881" i="527"/>
  <c r="H2881" i="527" s="1"/>
  <c r="F2881" i="527" s="1"/>
  <c r="X2881" i="527"/>
  <c r="K2881" i="527"/>
  <c r="I2881" i="527"/>
  <c r="X2874" i="527"/>
  <c r="J2874" i="527"/>
  <c r="I2874" i="527" s="1"/>
  <c r="AC2871" i="527"/>
  <c r="X2871" i="527"/>
  <c r="J2871" i="527"/>
  <c r="I2871" i="527" s="1"/>
  <c r="AB2862" i="527"/>
  <c r="AE2874" i="527" s="1"/>
  <c r="H2874" i="527" s="1"/>
  <c r="B2862" i="527"/>
  <c r="G2855" i="527"/>
  <c r="AC2838" i="527"/>
  <c r="H2838" i="527" s="1"/>
  <c r="F2838" i="527" s="1"/>
  <c r="F2840" i="527" s="1"/>
  <c r="AC2834" i="527"/>
  <c r="X2834" i="527"/>
  <c r="K2834" i="527"/>
  <c r="I2834" i="527" s="1"/>
  <c r="H2834" i="527"/>
  <c r="F2834" i="527" s="1"/>
  <c r="AC2831" i="527"/>
  <c r="H2831" i="527" s="1"/>
  <c r="X2831" i="527"/>
  <c r="K2831" i="527"/>
  <c r="I2831" i="527" s="1"/>
  <c r="F2831" i="527"/>
  <c r="F2836" i="527" s="1"/>
  <c r="D2831" i="527"/>
  <c r="X2824" i="527"/>
  <c r="J2824" i="527"/>
  <c r="I2824" i="527" s="1"/>
  <c r="X2821" i="527"/>
  <c r="J2821" i="527"/>
  <c r="I2821" i="527" s="1"/>
  <c r="AB2812" i="527"/>
  <c r="AE2824" i="527" s="1"/>
  <c r="H2824" i="527" s="1"/>
  <c r="E2824" i="527" s="1"/>
  <c r="B2812" i="527"/>
  <c r="G2805" i="527"/>
  <c r="AC2789" i="527"/>
  <c r="H2789" i="527" s="1"/>
  <c r="AC2785" i="527"/>
  <c r="H2785" i="527" s="1"/>
  <c r="F2785" i="527" s="1"/>
  <c r="X2785" i="527"/>
  <c r="K2785" i="527"/>
  <c r="I2785" i="527" s="1"/>
  <c r="AC2781" i="527"/>
  <c r="H2781" i="527" s="1"/>
  <c r="X2781" i="527"/>
  <c r="K2781" i="527"/>
  <c r="I2781" i="527" s="1"/>
  <c r="X2774" i="527"/>
  <c r="J2774" i="527"/>
  <c r="I2774" i="527" s="1"/>
  <c r="X2771" i="527"/>
  <c r="J2771" i="527"/>
  <c r="I2771" i="527" s="1"/>
  <c r="AB2762" i="527"/>
  <c r="AE2774" i="527" s="1"/>
  <c r="H2774" i="527" s="1"/>
  <c r="B2762" i="527"/>
  <c r="G2755" i="527"/>
  <c r="AC2738" i="527"/>
  <c r="H2738" i="527" s="1"/>
  <c r="AC2734" i="527"/>
  <c r="H2734" i="527" s="1"/>
  <c r="D2734" i="527" s="1"/>
  <c r="X2734" i="527"/>
  <c r="AC2731" i="527"/>
  <c r="H2731" i="527" s="1"/>
  <c r="X2731" i="527"/>
  <c r="X2724" i="527"/>
  <c r="J2724" i="527"/>
  <c r="I2724" i="527" s="1"/>
  <c r="X2721" i="527"/>
  <c r="J2721" i="527"/>
  <c r="I2721" i="527" s="1"/>
  <c r="AB2712" i="527"/>
  <c r="AE2724" i="527" s="1"/>
  <c r="H2724" i="527" s="1"/>
  <c r="B2712" i="527"/>
  <c r="G2705" i="527"/>
  <c r="AC2688" i="527"/>
  <c r="H2688" i="527" s="1"/>
  <c r="AC2684" i="527"/>
  <c r="H2684" i="527" s="1"/>
  <c r="F2684" i="527" s="1"/>
  <c r="X2684" i="527"/>
  <c r="K2684" i="527"/>
  <c r="I2684" i="527" s="1"/>
  <c r="AC2681" i="527"/>
  <c r="H2681" i="527" s="1"/>
  <c r="D2681" i="527" s="1"/>
  <c r="X2681" i="527"/>
  <c r="K2681" i="527"/>
  <c r="I2681" i="527" s="1"/>
  <c r="X2674" i="527"/>
  <c r="J2674" i="527"/>
  <c r="I2674" i="527" s="1"/>
  <c r="X2671" i="527"/>
  <c r="J2671" i="527"/>
  <c r="I2671" i="527" s="1"/>
  <c r="AB2662" i="527"/>
  <c r="AE2671" i="527" s="1"/>
  <c r="H2671" i="527" s="1"/>
  <c r="E2671" i="527" s="1"/>
  <c r="B2662" i="527"/>
  <c r="G2655" i="527"/>
  <c r="AC2639" i="527"/>
  <c r="H2639" i="527" s="1"/>
  <c r="E2639" i="527" s="1"/>
  <c r="AC2635" i="527"/>
  <c r="H2635" i="527" s="1"/>
  <c r="D2635" i="527" s="1"/>
  <c r="X2635" i="527"/>
  <c r="K2635" i="527"/>
  <c r="I2635" i="527" s="1"/>
  <c r="AC2631" i="527"/>
  <c r="H2631" i="527" s="1"/>
  <c r="X2631" i="527"/>
  <c r="K2631" i="527"/>
  <c r="I2631" i="527" s="1"/>
  <c r="X2624" i="527"/>
  <c r="J2624" i="527"/>
  <c r="I2624" i="527" s="1"/>
  <c r="X2621" i="527"/>
  <c r="J2621" i="527"/>
  <c r="I2621" i="527" s="1"/>
  <c r="AB2612" i="527"/>
  <c r="AE2624" i="527" s="1"/>
  <c r="H2624" i="527" s="1"/>
  <c r="B2612" i="527"/>
  <c r="G2605" i="527"/>
  <c r="AC2588" i="527"/>
  <c r="H2588" i="527" s="1"/>
  <c r="AC2584" i="527"/>
  <c r="X2584" i="527"/>
  <c r="H2584" i="527"/>
  <c r="AC2581" i="527"/>
  <c r="H2581" i="527" s="1"/>
  <c r="D2581" i="527" s="1"/>
  <c r="X2581" i="527"/>
  <c r="X2574" i="527"/>
  <c r="J2574" i="527"/>
  <c r="I2574" i="527" s="1"/>
  <c r="X2571" i="527"/>
  <c r="J2571" i="527"/>
  <c r="I2571" i="527" s="1"/>
  <c r="AB2562" i="527"/>
  <c r="AE2574" i="527" s="1"/>
  <c r="H2574" i="527" s="1"/>
  <c r="B2562" i="527"/>
  <c r="G2555" i="527"/>
  <c r="AC2535" i="527"/>
  <c r="H2535" i="527" s="1"/>
  <c r="X2535" i="527"/>
  <c r="AC2531" i="527"/>
  <c r="H2531" i="527" s="1"/>
  <c r="X2531" i="527"/>
  <c r="X2524" i="527"/>
  <c r="J2524" i="527"/>
  <c r="I2524" i="527" s="1"/>
  <c r="X2521" i="527"/>
  <c r="J2521" i="527"/>
  <c r="I2521" i="527" s="1"/>
  <c r="AB2512" i="527"/>
  <c r="AE2524" i="527" s="1"/>
  <c r="H2524" i="527" s="1"/>
  <c r="F2524" i="527" s="1"/>
  <c r="B2512" i="527"/>
  <c r="G2505" i="527"/>
  <c r="AC2484" i="527"/>
  <c r="H2484" i="527" s="1"/>
  <c r="D2484" i="527" s="1"/>
  <c r="X2484" i="527"/>
  <c r="AC2481" i="527"/>
  <c r="X2481" i="527"/>
  <c r="H2481" i="527"/>
  <c r="X2474" i="527"/>
  <c r="J2474" i="527"/>
  <c r="I2474" i="527" s="1"/>
  <c r="X2471" i="527"/>
  <c r="J2471" i="527"/>
  <c r="I2471" i="527" s="1"/>
  <c r="AB2462" i="527"/>
  <c r="B2462" i="527"/>
  <c r="G2455" i="527"/>
  <c r="AC2434" i="527"/>
  <c r="H2434" i="527" s="1"/>
  <c r="X2434" i="527"/>
  <c r="AC2431" i="527"/>
  <c r="H2431" i="527" s="1"/>
  <c r="D2431" i="527" s="1"/>
  <c r="X2431" i="527"/>
  <c r="K2431" i="527"/>
  <c r="I2431" i="527" s="1"/>
  <c r="X2424" i="527"/>
  <c r="J2424" i="527"/>
  <c r="I2424" i="527" s="1"/>
  <c r="X2421" i="527"/>
  <c r="J2421" i="527"/>
  <c r="I2421" i="527"/>
  <c r="AB2412" i="527"/>
  <c r="AE2424" i="527" s="1"/>
  <c r="H2424" i="527" s="1"/>
  <c r="B2412" i="527"/>
  <c r="G2405" i="527"/>
  <c r="AC2385" i="527"/>
  <c r="H2385" i="527" s="1"/>
  <c r="D2385" i="527" s="1"/>
  <c r="X2385" i="527"/>
  <c r="AC2381" i="527"/>
  <c r="H2381" i="527" s="1"/>
  <c r="E2381" i="527" s="1"/>
  <c r="X2381" i="527"/>
  <c r="K2381" i="527"/>
  <c r="I2381" i="527" s="1"/>
  <c r="X2374" i="527"/>
  <c r="J2374" i="527"/>
  <c r="I2374" i="527" s="1"/>
  <c r="X2371" i="527"/>
  <c r="J2371" i="527"/>
  <c r="I2371" i="527" s="1"/>
  <c r="AB2362" i="527"/>
  <c r="AE2374" i="527" s="1"/>
  <c r="H2374" i="527" s="1"/>
  <c r="B2362" i="527"/>
  <c r="G2355" i="527"/>
  <c r="AC2334" i="527"/>
  <c r="H2334" i="527" s="1"/>
  <c r="X2334" i="527"/>
  <c r="AC2331" i="527"/>
  <c r="H2331" i="527" s="1"/>
  <c r="X2331" i="527"/>
  <c r="K2331" i="527"/>
  <c r="I2331" i="527" s="1"/>
  <c r="X2324" i="527"/>
  <c r="J2324" i="527"/>
  <c r="I2324" i="527" s="1"/>
  <c r="X2321" i="527"/>
  <c r="J2321" i="527"/>
  <c r="I2321" i="527" s="1"/>
  <c r="AB2312" i="527"/>
  <c r="AE2324" i="527" s="1"/>
  <c r="H2324" i="527" s="1"/>
  <c r="F2324" i="527" s="1"/>
  <c r="B2312" i="527"/>
  <c r="G2305" i="527"/>
  <c r="AC2248" i="527"/>
  <c r="H2248" i="527" s="1"/>
  <c r="D2248" i="527" s="1"/>
  <c r="X2248" i="527"/>
  <c r="AC2244" i="527"/>
  <c r="H2244" i="527" s="1"/>
  <c r="X2244" i="527"/>
  <c r="K2244" i="527"/>
  <c r="I2244" i="527" s="1"/>
  <c r="X2235" i="527"/>
  <c r="H2235" i="527"/>
  <c r="X2233" i="527"/>
  <c r="X2231" i="527"/>
  <c r="X2224" i="527"/>
  <c r="J2224" i="527"/>
  <c r="I2224" i="527" s="1"/>
  <c r="X2221" i="527"/>
  <c r="J2221" i="527"/>
  <c r="I2221" i="527" s="1"/>
  <c r="AB2212" i="527"/>
  <c r="AE2235" i="527" s="1"/>
  <c r="B2212" i="527"/>
  <c r="G2205" i="527"/>
  <c r="AC2197" i="527"/>
  <c r="H2197" i="527" s="1"/>
  <c r="X2197" i="527"/>
  <c r="AC2194" i="527"/>
  <c r="H2194" i="527" s="1"/>
  <c r="D2194" i="527" s="1"/>
  <c r="X2194" i="527"/>
  <c r="X2185" i="527"/>
  <c r="X2183" i="527"/>
  <c r="X2181" i="527"/>
  <c r="X2174" i="527"/>
  <c r="J2174" i="527"/>
  <c r="I2174" i="527" s="1"/>
  <c r="X2171" i="527"/>
  <c r="J2171" i="527"/>
  <c r="I2171" i="527" s="1"/>
  <c r="AB2162" i="527"/>
  <c r="B2162" i="527"/>
  <c r="G2155" i="527"/>
  <c r="AC2147" i="527"/>
  <c r="H2147" i="527" s="1"/>
  <c r="X2147" i="527"/>
  <c r="AC2144" i="527"/>
  <c r="H2144" i="527" s="1"/>
  <c r="X2144" i="527"/>
  <c r="X2135" i="527"/>
  <c r="X2133" i="527"/>
  <c r="X2131" i="527"/>
  <c r="X2124" i="527"/>
  <c r="J2124" i="527"/>
  <c r="I2124" i="527" s="1"/>
  <c r="X2121" i="527"/>
  <c r="J2121" i="527"/>
  <c r="I2121" i="527" s="1"/>
  <c r="AB2112" i="527"/>
  <c r="AE2135" i="527" s="1"/>
  <c r="H2135" i="527" s="1"/>
  <c r="B2112" i="527"/>
  <c r="G2105" i="527"/>
  <c r="AC2048" i="527"/>
  <c r="X2048" i="527"/>
  <c r="H2048" i="527"/>
  <c r="AC2044" i="527"/>
  <c r="H2044" i="527" s="1"/>
  <c r="X2044" i="527"/>
  <c r="K2044" i="527"/>
  <c r="I2044" i="527" s="1"/>
  <c r="X2035" i="527"/>
  <c r="X2033" i="527"/>
  <c r="X2031" i="527"/>
  <c r="X2024" i="527"/>
  <c r="J2024" i="527"/>
  <c r="I2024" i="527" s="1"/>
  <c r="X2021" i="527"/>
  <c r="J2021" i="527"/>
  <c r="I2021" i="527" s="1"/>
  <c r="AB2012" i="527"/>
  <c r="AE2035" i="527" s="1"/>
  <c r="H2035" i="527" s="1"/>
  <c r="B2012" i="527"/>
  <c r="G2005" i="527"/>
  <c r="AC1948" i="527"/>
  <c r="H1948" i="527" s="1"/>
  <c r="X1948" i="527"/>
  <c r="K1948" i="527"/>
  <c r="I1948" i="527" s="1"/>
  <c r="D1948" i="527"/>
  <c r="AC1944" i="527"/>
  <c r="H1944" i="527" s="1"/>
  <c r="X1944" i="527"/>
  <c r="K1944" i="527"/>
  <c r="I1944" i="527" s="1"/>
  <c r="X1935" i="527"/>
  <c r="X1933" i="527"/>
  <c r="X1931" i="527"/>
  <c r="X1924" i="527"/>
  <c r="J1924" i="527"/>
  <c r="I1924" i="527" s="1"/>
  <c r="X1921" i="527"/>
  <c r="J1921" i="527"/>
  <c r="I1921" i="527" s="1"/>
  <c r="AB1912" i="527"/>
  <c r="AE1935" i="527" s="1"/>
  <c r="H1935" i="527" s="1"/>
  <c r="B1912" i="527"/>
  <c r="G1905" i="527"/>
  <c r="AC1897" i="527"/>
  <c r="H1897" i="527" s="1"/>
  <c r="X1897" i="527"/>
  <c r="AC1894" i="527"/>
  <c r="H1894" i="527" s="1"/>
  <c r="D1894" i="527" s="1"/>
  <c r="X1894" i="527"/>
  <c r="X1885" i="527"/>
  <c r="X1883" i="527"/>
  <c r="X1881" i="527"/>
  <c r="AC1874" i="527"/>
  <c r="X1874" i="527"/>
  <c r="J1874" i="527"/>
  <c r="I1874" i="527" s="1"/>
  <c r="X1871" i="527"/>
  <c r="J1871" i="527"/>
  <c r="I1871" i="527"/>
  <c r="AB1862" i="527"/>
  <c r="AE1885" i="527" s="1"/>
  <c r="H1885" i="527" s="1"/>
  <c r="B1862" i="527"/>
  <c r="G1855" i="527"/>
  <c r="AC1808" i="527"/>
  <c r="H1808" i="527" s="1"/>
  <c r="X1808" i="527"/>
  <c r="K1808" i="527"/>
  <c r="I1808" i="527" s="1"/>
  <c r="AC1804" i="527"/>
  <c r="H1804" i="527" s="1"/>
  <c r="E1804" i="527" s="1"/>
  <c r="X1804" i="527"/>
  <c r="K1804" i="527"/>
  <c r="I1804" i="527" s="1"/>
  <c r="X1796" i="527"/>
  <c r="X1794" i="527"/>
  <c r="X1792" i="527"/>
  <c r="X1787" i="527"/>
  <c r="X1785" i="527"/>
  <c r="X1783" i="527"/>
  <c r="X1774" i="527"/>
  <c r="J1774" i="527"/>
  <c r="I1774" i="527" s="1"/>
  <c r="X1771" i="527"/>
  <c r="J1771" i="527"/>
  <c r="I1771" i="527" s="1"/>
  <c r="AB1762" i="527"/>
  <c r="B1762" i="527"/>
  <c r="G1755" i="527"/>
  <c r="AC1708" i="527"/>
  <c r="X1708" i="527"/>
  <c r="H1708" i="527"/>
  <c r="AC1704" i="527"/>
  <c r="H1704" i="527" s="1"/>
  <c r="X1704" i="527"/>
  <c r="K1704" i="527"/>
  <c r="I1704" i="527" s="1"/>
  <c r="X1696" i="527"/>
  <c r="X1694" i="527"/>
  <c r="X1692" i="527"/>
  <c r="X1687" i="527"/>
  <c r="X1685" i="527"/>
  <c r="X1683" i="527"/>
  <c r="X1674" i="527"/>
  <c r="J1674" i="527"/>
  <c r="I1674" i="527" s="1"/>
  <c r="X1671" i="527"/>
  <c r="J1671" i="527"/>
  <c r="I1671" i="527" s="1"/>
  <c r="AB1662" i="527"/>
  <c r="AE1696" i="527" s="1"/>
  <c r="H1696" i="527" s="1"/>
  <c r="B1662" i="527"/>
  <c r="G1655" i="527"/>
  <c r="AC1608" i="527"/>
  <c r="H1608" i="527" s="1"/>
  <c r="X1608" i="527"/>
  <c r="AC1604" i="527"/>
  <c r="H1604" i="527" s="1"/>
  <c r="X1604" i="527"/>
  <c r="K1604" i="527"/>
  <c r="I1604" i="527" s="1"/>
  <c r="X1596" i="527"/>
  <c r="X1594" i="527"/>
  <c r="X1592" i="527"/>
  <c r="X1587" i="527"/>
  <c r="X1585" i="527"/>
  <c r="X1583" i="527"/>
  <c r="X1574" i="527"/>
  <c r="J1574" i="527"/>
  <c r="I1574" i="527" s="1"/>
  <c r="X1571" i="527"/>
  <c r="J1571" i="527"/>
  <c r="I1571" i="527" s="1"/>
  <c r="AB1562" i="527"/>
  <c r="B1562" i="527"/>
  <c r="G1555" i="527"/>
  <c r="AC1507" i="527"/>
  <c r="H1507" i="527" s="1"/>
  <c r="X1507" i="527"/>
  <c r="AC1504" i="527"/>
  <c r="H1504" i="527" s="1"/>
  <c r="X1504" i="527"/>
  <c r="K1504" i="527"/>
  <c r="I1504" i="527" s="1"/>
  <c r="X1496" i="527"/>
  <c r="X1494" i="527"/>
  <c r="X1492" i="527"/>
  <c r="X1487" i="527"/>
  <c r="X1485" i="527"/>
  <c r="X1483" i="527"/>
  <c r="X1474" i="527"/>
  <c r="J1474" i="527"/>
  <c r="I1474" i="527" s="1"/>
  <c r="X1471" i="527"/>
  <c r="J1471" i="527"/>
  <c r="I1471" i="527" s="1"/>
  <c r="AB1462" i="527"/>
  <c r="AE1496" i="527" s="1"/>
  <c r="H1496" i="527" s="1"/>
  <c r="B1462" i="527"/>
  <c r="G1455" i="527"/>
  <c r="AC1398" i="527"/>
  <c r="X1398" i="527"/>
  <c r="K1398" i="527"/>
  <c r="I1398" i="527" s="1"/>
  <c r="H1398" i="527"/>
  <c r="F1398" i="527" s="1"/>
  <c r="AC1394" i="527"/>
  <c r="H1394" i="527" s="1"/>
  <c r="X1394" i="527"/>
  <c r="X1385" i="527"/>
  <c r="X1383" i="527"/>
  <c r="X1381" i="527"/>
  <c r="X1374" i="527"/>
  <c r="J1374" i="527"/>
  <c r="I1374" i="527" s="1"/>
  <c r="X1371" i="527"/>
  <c r="J1371" i="527"/>
  <c r="I1371" i="527" s="1"/>
  <c r="AB1362" i="527"/>
  <c r="AE1385" i="527" s="1"/>
  <c r="H1385" i="527" s="1"/>
  <c r="B1362" i="527"/>
  <c r="G1355" i="527"/>
  <c r="AC1335" i="527"/>
  <c r="H1335" i="527" s="1"/>
  <c r="X1331" i="527"/>
  <c r="X1324" i="527"/>
  <c r="J1324" i="527"/>
  <c r="I1324" i="527" s="1"/>
  <c r="X1321" i="527"/>
  <c r="J1321" i="527"/>
  <c r="I1321" i="527" s="1"/>
  <c r="AB1312" i="527"/>
  <c r="AE1331" i="527" s="1"/>
  <c r="H1331" i="527" s="1"/>
  <c r="B1312" i="527"/>
  <c r="G1305" i="527"/>
  <c r="AC1285" i="527"/>
  <c r="H1285" i="527" s="1"/>
  <c r="X1281" i="527"/>
  <c r="K1281" i="527"/>
  <c r="I1281" i="527" s="1"/>
  <c r="X1274" i="527"/>
  <c r="J1274" i="527"/>
  <c r="I1274" i="527" s="1"/>
  <c r="X1271" i="527"/>
  <c r="J1271" i="527"/>
  <c r="I1271" i="527" s="1"/>
  <c r="AB1262" i="527"/>
  <c r="AE1281" i="527" s="1"/>
  <c r="H1281" i="527" s="1"/>
  <c r="B1262" i="527"/>
  <c r="G1255" i="527"/>
  <c r="AC1235" i="527"/>
  <c r="H1235" i="527" s="1"/>
  <c r="X1231" i="527"/>
  <c r="X1224" i="527"/>
  <c r="J1224" i="527"/>
  <c r="I1224" i="527" s="1"/>
  <c r="X1221" i="527"/>
  <c r="J1221" i="527"/>
  <c r="I1221" i="527" s="1"/>
  <c r="AB1212" i="527"/>
  <c r="AE1231" i="527" s="1"/>
  <c r="H1231" i="527" s="1"/>
  <c r="B1212" i="527"/>
  <c r="G1205" i="527"/>
  <c r="AC1185" i="527"/>
  <c r="H1185" i="527" s="1"/>
  <c r="X1181" i="527"/>
  <c r="K1181" i="527"/>
  <c r="I1181" i="527" s="1"/>
  <c r="X1174" i="527"/>
  <c r="J1174" i="527"/>
  <c r="I1174" i="527" s="1"/>
  <c r="X1171" i="527"/>
  <c r="J1171" i="527"/>
  <c r="I1171" i="527" s="1"/>
  <c r="AB1162" i="527"/>
  <c r="AE1181" i="527" s="1"/>
  <c r="H1181" i="527" s="1"/>
  <c r="B1162" i="527"/>
  <c r="G1155" i="527"/>
  <c r="AC1135" i="527"/>
  <c r="H1135" i="527" s="1"/>
  <c r="X1131" i="527"/>
  <c r="X1124" i="527"/>
  <c r="J1124" i="527"/>
  <c r="I1124" i="527" s="1"/>
  <c r="X1121" i="527"/>
  <c r="J1121" i="527"/>
  <c r="I1121" i="527" s="1"/>
  <c r="AB1112" i="527"/>
  <c r="AE1131" i="527" s="1"/>
  <c r="H1131" i="527" s="1"/>
  <c r="B1112" i="527"/>
  <c r="G1105" i="527"/>
  <c r="AC1085" i="527"/>
  <c r="H1085" i="527" s="1"/>
  <c r="X1081" i="527"/>
  <c r="K1081" i="527"/>
  <c r="I1081" i="527" s="1"/>
  <c r="X1074" i="527"/>
  <c r="J1074" i="527"/>
  <c r="I1074" i="527" s="1"/>
  <c r="X1071" i="527"/>
  <c r="J1071" i="527"/>
  <c r="I1071" i="527" s="1"/>
  <c r="AB1062" i="527"/>
  <c r="AE1081" i="527" s="1"/>
  <c r="H1081" i="527" s="1"/>
  <c r="B1062" i="527"/>
  <c r="G1055" i="527"/>
  <c r="AC1035" i="527"/>
  <c r="H1035" i="527" s="1"/>
  <c r="X1031" i="527"/>
  <c r="X1024" i="527"/>
  <c r="J1024" i="527"/>
  <c r="I1024" i="527" s="1"/>
  <c r="X1021" i="527"/>
  <c r="J1021" i="527"/>
  <c r="I1021" i="527" s="1"/>
  <c r="AB1012" i="527"/>
  <c r="AE1031" i="527" s="1"/>
  <c r="H1031" i="527" s="1"/>
  <c r="B1012" i="527"/>
  <c r="G1005" i="527"/>
  <c r="AC985" i="527"/>
  <c r="H985" i="527" s="1"/>
  <c r="X981" i="527"/>
  <c r="K981" i="527"/>
  <c r="I981" i="527" s="1"/>
  <c r="X974" i="527"/>
  <c r="J974" i="527"/>
  <c r="I974" i="527" s="1"/>
  <c r="X971" i="527"/>
  <c r="J971" i="527"/>
  <c r="I971" i="527" s="1"/>
  <c r="AB962" i="527"/>
  <c r="AE981" i="527" s="1"/>
  <c r="H981" i="527" s="1"/>
  <c r="B962" i="527"/>
  <c r="G955" i="527"/>
  <c r="X931" i="527"/>
  <c r="X924" i="527"/>
  <c r="J924" i="527"/>
  <c r="I924" i="527" s="1"/>
  <c r="X921" i="527"/>
  <c r="J921" i="527"/>
  <c r="I921" i="527" s="1"/>
  <c r="AB912" i="527"/>
  <c r="AE931" i="527" s="1"/>
  <c r="H931" i="527" s="1"/>
  <c r="B912" i="527"/>
  <c r="G905" i="527"/>
  <c r="X881" i="527"/>
  <c r="K881" i="527"/>
  <c r="I881" i="527" s="1"/>
  <c r="X874" i="527"/>
  <c r="J874" i="527"/>
  <c r="I874" i="527"/>
  <c r="X871" i="527"/>
  <c r="J871" i="527"/>
  <c r="I871" i="527"/>
  <c r="AB862" i="527"/>
  <c r="AE881" i="527" s="1"/>
  <c r="H881" i="527" s="1"/>
  <c r="B862" i="527"/>
  <c r="G855" i="527"/>
  <c r="X831" i="527"/>
  <c r="K831" i="527"/>
  <c r="I831" i="527" s="1"/>
  <c r="X824" i="527"/>
  <c r="J824" i="527"/>
  <c r="I824" i="527" s="1"/>
  <c r="X821" i="527"/>
  <c r="J821" i="527"/>
  <c r="I821" i="527" s="1"/>
  <c r="AB812" i="527"/>
  <c r="AE831" i="527" s="1"/>
  <c r="H831" i="527" s="1"/>
  <c r="B812" i="527"/>
  <c r="G805" i="527"/>
  <c r="X781" i="527"/>
  <c r="K781" i="527"/>
  <c r="I781" i="527" s="1"/>
  <c r="X774" i="527"/>
  <c r="J774" i="527"/>
  <c r="I774" i="527" s="1"/>
  <c r="X771" i="527"/>
  <c r="J771" i="527"/>
  <c r="I771" i="527" s="1"/>
  <c r="AB762" i="527"/>
  <c r="AE781" i="527" s="1"/>
  <c r="H781" i="527" s="1"/>
  <c r="B762" i="527"/>
  <c r="G755" i="527"/>
  <c r="AC735" i="527"/>
  <c r="H735" i="527" s="1"/>
  <c r="X731" i="527"/>
  <c r="X724" i="527"/>
  <c r="J724" i="527"/>
  <c r="I724" i="527" s="1"/>
  <c r="X721" i="527"/>
  <c r="J721" i="527"/>
  <c r="I721" i="527" s="1"/>
  <c r="AB712" i="527"/>
  <c r="AE731" i="527" s="1"/>
  <c r="H731" i="527" s="1"/>
  <c r="B712" i="527"/>
  <c r="G705" i="527"/>
  <c r="AC685" i="527"/>
  <c r="H685" i="527" s="1"/>
  <c r="X681" i="527"/>
  <c r="K681" i="527"/>
  <c r="I681" i="527" s="1"/>
  <c r="X674" i="527"/>
  <c r="J674" i="527"/>
  <c r="I674" i="527" s="1"/>
  <c r="X671" i="527"/>
  <c r="J671" i="527"/>
  <c r="I671" i="527" s="1"/>
  <c r="AB662" i="527"/>
  <c r="AE681" i="527" s="1"/>
  <c r="H681" i="527" s="1"/>
  <c r="B662" i="527"/>
  <c r="G655" i="527"/>
  <c r="AC635" i="527"/>
  <c r="H635" i="527" s="1"/>
  <c r="X631" i="527"/>
  <c r="X624" i="527"/>
  <c r="J624" i="527"/>
  <c r="I624" i="527" s="1"/>
  <c r="X621" i="527"/>
  <c r="J621" i="527"/>
  <c r="I621" i="527" s="1"/>
  <c r="AB612" i="527"/>
  <c r="AE631" i="527" s="1"/>
  <c r="H631" i="527" s="1"/>
  <c r="B612" i="527"/>
  <c r="G605" i="527"/>
  <c r="AC585" i="527"/>
  <c r="H585" i="527" s="1"/>
  <c r="X581" i="527"/>
  <c r="K581" i="527"/>
  <c r="I581" i="527" s="1"/>
  <c r="X574" i="527"/>
  <c r="J574" i="527"/>
  <c r="I574" i="527" s="1"/>
  <c r="X571" i="527"/>
  <c r="J571" i="527"/>
  <c r="I571" i="527" s="1"/>
  <c r="AB562" i="527"/>
  <c r="AE581" i="527" s="1"/>
  <c r="H581" i="527" s="1"/>
  <c r="B562" i="527"/>
  <c r="G555" i="527"/>
  <c r="AC535" i="527"/>
  <c r="H535" i="527" s="1"/>
  <c r="X531" i="527"/>
  <c r="X524" i="527"/>
  <c r="J524" i="527"/>
  <c r="I524" i="527" s="1"/>
  <c r="X521" i="527"/>
  <c r="J521" i="527"/>
  <c r="I521" i="527" s="1"/>
  <c r="AB512" i="527"/>
  <c r="AE531" i="527" s="1"/>
  <c r="H531" i="527" s="1"/>
  <c r="B512" i="527"/>
  <c r="G505" i="527"/>
  <c r="AC485" i="527"/>
  <c r="H485" i="527" s="1"/>
  <c r="X481" i="527"/>
  <c r="K481" i="527"/>
  <c r="I481" i="527" s="1"/>
  <c r="X474" i="527"/>
  <c r="J474" i="527"/>
  <c r="I474" i="527" s="1"/>
  <c r="X471" i="527"/>
  <c r="J471" i="527"/>
  <c r="I471" i="527" s="1"/>
  <c r="AB462" i="527"/>
  <c r="AE481" i="527" s="1"/>
  <c r="H481" i="527" s="1"/>
  <c r="B462" i="527"/>
  <c r="G455" i="527"/>
  <c r="AC435" i="527"/>
  <c r="H435" i="527" s="1"/>
  <c r="X431" i="527"/>
  <c r="X424" i="527"/>
  <c r="J424" i="527"/>
  <c r="I424" i="527" s="1"/>
  <c r="X421" i="527"/>
  <c r="J421" i="527"/>
  <c r="I421" i="527" s="1"/>
  <c r="AB412" i="527"/>
  <c r="AE431" i="527" s="1"/>
  <c r="H431" i="527" s="1"/>
  <c r="B412" i="527"/>
  <c r="G405" i="527"/>
  <c r="AC385" i="527"/>
  <c r="H385" i="527" s="1"/>
  <c r="F385" i="527" s="1"/>
  <c r="F387" i="527" s="1"/>
  <c r="X381" i="527"/>
  <c r="K381" i="527"/>
  <c r="I381" i="527" s="1"/>
  <c r="AC374" i="527"/>
  <c r="X374" i="527"/>
  <c r="J374" i="527"/>
  <c r="I374" i="527" s="1"/>
  <c r="X371" i="527"/>
  <c r="J371" i="527"/>
  <c r="I371" i="527" s="1"/>
  <c r="AB362" i="527"/>
  <c r="AE381" i="527" s="1"/>
  <c r="H381" i="527" s="1"/>
  <c r="F381" i="527" s="1"/>
  <c r="F383" i="527" s="1"/>
  <c r="B362" i="527"/>
  <c r="G355" i="527"/>
  <c r="X331" i="527"/>
  <c r="X324" i="527"/>
  <c r="J324" i="527"/>
  <c r="I324" i="527" s="1"/>
  <c r="X321" i="527"/>
  <c r="J321" i="527"/>
  <c r="I321" i="527" s="1"/>
  <c r="AB312" i="527"/>
  <c r="AE324" i="527" s="1"/>
  <c r="H324" i="527" s="1"/>
  <c r="E324" i="527" s="1"/>
  <c r="B312" i="527"/>
  <c r="G305" i="527"/>
  <c r="X281" i="527"/>
  <c r="K281" i="527"/>
  <c r="I281" i="527" s="1"/>
  <c r="X274" i="527"/>
  <c r="J274" i="527"/>
  <c r="I274" i="527" s="1"/>
  <c r="AC271" i="527"/>
  <c r="X271" i="527"/>
  <c r="J271" i="527"/>
  <c r="I271" i="527" s="1"/>
  <c r="AB262" i="527"/>
  <c r="B262" i="527"/>
  <c r="G255" i="527"/>
  <c r="X231" i="527"/>
  <c r="K231" i="527"/>
  <c r="I231" i="527" s="1"/>
  <c r="X224" i="527"/>
  <c r="J224" i="527"/>
  <c r="I224" i="527" s="1"/>
  <c r="X221" i="527"/>
  <c r="J221" i="527"/>
  <c r="I221" i="527" s="1"/>
  <c r="AB212" i="527"/>
  <c r="AE231" i="527" s="1"/>
  <c r="H231" i="527" s="1"/>
  <c r="B212" i="527"/>
  <c r="G205" i="527"/>
  <c r="X181" i="527"/>
  <c r="K181" i="527"/>
  <c r="I181" i="527" s="1"/>
  <c r="X174" i="527"/>
  <c r="J174" i="527"/>
  <c r="I174" i="527" s="1"/>
  <c r="X171" i="527"/>
  <c r="J171" i="527"/>
  <c r="I171" i="527" s="1"/>
  <c r="AB162" i="527"/>
  <c r="AE181" i="527" s="1"/>
  <c r="H181" i="527" s="1"/>
  <c r="B162" i="527"/>
  <c r="G155" i="527"/>
  <c r="X102" i="527"/>
  <c r="X100" i="527"/>
  <c r="X98" i="527"/>
  <c r="AB88" i="527"/>
  <c r="AH90" i="527" s="1"/>
  <c r="B88" i="527"/>
  <c r="AF86" i="527"/>
  <c r="AF90" i="527" s="1"/>
  <c r="AB86" i="527"/>
  <c r="AD90" i="527" s="1"/>
  <c r="B86" i="527"/>
  <c r="Z82" i="527"/>
  <c r="AB78" i="527"/>
  <c r="AJ76" i="527"/>
  <c r="AB80" i="527" s="1"/>
  <c r="AF76" i="527"/>
  <c r="AH78" i="527" s="1"/>
  <c r="AB76" i="527"/>
  <c r="AF78" i="527" s="1"/>
  <c r="B76" i="527"/>
  <c r="AJ74" i="527"/>
  <c r="AD78" i="527" s="1"/>
  <c r="AF74" i="527"/>
  <c r="AD94" i="527" s="1"/>
  <c r="AB74" i="527"/>
  <c r="AF82" i="527" s="1"/>
  <c r="B74" i="527"/>
  <c r="AJ72" i="527"/>
  <c r="AF94" i="527" s="1"/>
  <c r="AF72" i="527"/>
  <c r="AD80" i="527" s="1"/>
  <c r="AB72" i="527"/>
  <c r="AA84" i="527" s="1"/>
  <c r="B72" i="527"/>
  <c r="X64" i="527"/>
  <c r="X62" i="527"/>
  <c r="X60" i="527"/>
  <c r="AF54" i="527"/>
  <c r="AH56" i="527" s="1"/>
  <c r="AB54" i="527"/>
  <c r="AJ56" i="527" s="1"/>
  <c r="B54" i="527"/>
  <c r="AJ52" i="527"/>
  <c r="AF52" i="527"/>
  <c r="AF56" i="527" s="1"/>
  <c r="AB52" i="527"/>
  <c r="AB56" i="527" s="1"/>
  <c r="B52" i="527"/>
  <c r="X38" i="527"/>
  <c r="X36" i="527"/>
  <c r="X34" i="527"/>
  <c r="AF30" i="527"/>
  <c r="AH32" i="527" s="1"/>
  <c r="AB30" i="527"/>
  <c r="AJ32" i="527" s="1"/>
  <c r="B30" i="527"/>
  <c r="AB28" i="527"/>
  <c r="AD32" i="527" s="1"/>
  <c r="B28" i="527"/>
  <c r="AH26" i="527"/>
  <c r="AF32" i="527" s="1"/>
  <c r="AB26" i="527"/>
  <c r="AD17" i="527"/>
  <c r="H17" i="527" s="1"/>
  <c r="F17" i="527" s="1"/>
  <c r="F19" i="527" s="1"/>
  <c r="X17" i="527"/>
  <c r="J17" i="527"/>
  <c r="G5" i="527"/>
  <c r="Y4" i="527"/>
  <c r="G2" i="527"/>
  <c r="K161" i="526" s="1"/>
  <c r="J170" i="526"/>
  <c r="J169" i="526"/>
  <c r="J168" i="526"/>
  <c r="G168" i="526"/>
  <c r="F168" i="526"/>
  <c r="J167" i="526"/>
  <c r="G167" i="526"/>
  <c r="F167" i="526"/>
  <c r="J166" i="526"/>
  <c r="G166" i="526"/>
  <c r="F166" i="526"/>
  <c r="J165" i="526"/>
  <c r="G165" i="526"/>
  <c r="F165" i="526"/>
  <c r="J164" i="526"/>
  <c r="G164" i="526"/>
  <c r="F164" i="526"/>
  <c r="J163" i="526"/>
  <c r="G163" i="526"/>
  <c r="F163" i="526"/>
  <c r="J162" i="526"/>
  <c r="G162" i="526"/>
  <c r="F162" i="526"/>
  <c r="J161" i="526"/>
  <c r="J160" i="526"/>
  <c r="J159" i="526"/>
  <c r="J158" i="526"/>
  <c r="H158" i="526"/>
  <c r="J157" i="526"/>
  <c r="J156" i="526"/>
  <c r="H156" i="526"/>
  <c r="J155" i="526"/>
  <c r="J154" i="526"/>
  <c r="J153" i="526"/>
  <c r="J152" i="526"/>
  <c r="J151" i="526"/>
  <c r="J150" i="526"/>
  <c r="J149" i="526"/>
  <c r="J148" i="526"/>
  <c r="J147" i="526"/>
  <c r="J146" i="526"/>
  <c r="J145" i="526"/>
  <c r="J144" i="526"/>
  <c r="J143" i="526"/>
  <c r="J142" i="526"/>
  <c r="J141" i="526"/>
  <c r="J140" i="526"/>
  <c r="J139" i="526"/>
  <c r="J138" i="526"/>
  <c r="J137" i="526"/>
  <c r="J136" i="526"/>
  <c r="J135" i="526"/>
  <c r="J134" i="526"/>
  <c r="J133" i="526"/>
  <c r="J132" i="526"/>
  <c r="J131" i="526"/>
  <c r="J130" i="526"/>
  <c r="F130" i="526"/>
  <c r="J129" i="526"/>
  <c r="J128" i="526"/>
  <c r="J127" i="526"/>
  <c r="J126" i="526"/>
  <c r="J125" i="526"/>
  <c r="J124" i="526"/>
  <c r="J123" i="526"/>
  <c r="J122" i="526"/>
  <c r="J121" i="526"/>
  <c r="J120" i="526"/>
  <c r="J119" i="526"/>
  <c r="J118" i="526"/>
  <c r="J117" i="526"/>
  <c r="J116" i="526"/>
  <c r="J115" i="526"/>
  <c r="J114" i="526"/>
  <c r="J113" i="526"/>
  <c r="H113" i="526"/>
  <c r="J112" i="526"/>
  <c r="J111" i="526"/>
  <c r="J110" i="526"/>
  <c r="F110" i="526"/>
  <c r="J109" i="526"/>
  <c r="J108" i="526"/>
  <c r="J107" i="526"/>
  <c r="J106" i="526"/>
  <c r="F106" i="526"/>
  <c r="J105" i="526"/>
  <c r="J104" i="526"/>
  <c r="F104" i="526"/>
  <c r="J103" i="526"/>
  <c r="J102" i="526"/>
  <c r="J101" i="526"/>
  <c r="J100" i="526"/>
  <c r="J99" i="526"/>
  <c r="J98" i="526"/>
  <c r="J97" i="526"/>
  <c r="J96" i="526"/>
  <c r="J95" i="526"/>
  <c r="J94" i="526"/>
  <c r="J93" i="526"/>
  <c r="J92" i="526"/>
  <c r="J91" i="526"/>
  <c r="J90" i="526"/>
  <c r="J89" i="526"/>
  <c r="J88" i="526"/>
  <c r="J87" i="526"/>
  <c r="J86" i="526"/>
  <c r="J85" i="526"/>
  <c r="J84" i="526"/>
  <c r="J83" i="526"/>
  <c r="J82" i="526"/>
  <c r="J81" i="526"/>
  <c r="J80" i="526"/>
  <c r="J79" i="526"/>
  <c r="J78" i="526"/>
  <c r="J77" i="526"/>
  <c r="J76" i="526"/>
  <c r="J75" i="526"/>
  <c r="J74" i="526"/>
  <c r="J73" i="526"/>
  <c r="J72" i="526"/>
  <c r="J71" i="526"/>
  <c r="J70" i="526"/>
  <c r="J69" i="526"/>
  <c r="J68" i="526"/>
  <c r="J67" i="526"/>
  <c r="J66" i="526"/>
  <c r="J65" i="526"/>
  <c r="J64" i="526"/>
  <c r="J63" i="526"/>
  <c r="J62" i="526"/>
  <c r="J61" i="526"/>
  <c r="J60" i="526"/>
  <c r="J59" i="526"/>
  <c r="J58" i="526"/>
  <c r="J57" i="526"/>
  <c r="J56" i="526"/>
  <c r="J55" i="526"/>
  <c r="J54" i="526"/>
  <c r="J53" i="526"/>
  <c r="J52" i="526"/>
  <c r="J51" i="526"/>
  <c r="J50" i="526"/>
  <c r="J49" i="526"/>
  <c r="J48" i="526"/>
  <c r="J47" i="526"/>
  <c r="J46" i="526"/>
  <c r="J45" i="526"/>
  <c r="J44" i="526"/>
  <c r="J43" i="526"/>
  <c r="J42" i="526"/>
  <c r="J41" i="526"/>
  <c r="J40" i="526"/>
  <c r="J39" i="526"/>
  <c r="J38" i="526"/>
  <c r="J37" i="526"/>
  <c r="J36" i="526"/>
  <c r="J35" i="526"/>
  <c r="J34" i="526"/>
  <c r="J33" i="526"/>
  <c r="J32" i="526"/>
  <c r="J31" i="526"/>
  <c r="J30" i="526"/>
  <c r="J29" i="526"/>
  <c r="J28" i="526"/>
  <c r="J27" i="526"/>
  <c r="J26" i="526"/>
  <c r="J25" i="526"/>
  <c r="J24" i="526"/>
  <c r="J23" i="526"/>
  <c r="J22" i="526"/>
  <c r="J21" i="526"/>
  <c r="J20" i="526"/>
  <c r="J19" i="526"/>
  <c r="J18" i="526"/>
  <c r="J17" i="526"/>
  <c r="J16" i="526"/>
  <c r="J15" i="526"/>
  <c r="J14" i="526"/>
  <c r="J13" i="526"/>
  <c r="J12" i="526"/>
  <c r="J11" i="526"/>
  <c r="J10" i="526"/>
  <c r="J9" i="526"/>
  <c r="J8" i="526"/>
  <c r="J7" i="526"/>
  <c r="J6" i="526"/>
  <c r="J5" i="526"/>
  <c r="J4" i="526"/>
  <c r="K3" i="526"/>
  <c r="J2" i="526"/>
  <c r="Z1843" i="525" s="1"/>
  <c r="L2688" i="525"/>
  <c r="L2689" i="525" s="1"/>
  <c r="I2688" i="525"/>
  <c r="H2688" i="525"/>
  <c r="H2689" i="525" s="1"/>
  <c r="N2686" i="525"/>
  <c r="L2684" i="525"/>
  <c r="J2684" i="525"/>
  <c r="L2683" i="525"/>
  <c r="I2683" i="525"/>
  <c r="J2683" i="525" s="1"/>
  <c r="H2683" i="525"/>
  <c r="L2681" i="525"/>
  <c r="H2681" i="525"/>
  <c r="N2677" i="525"/>
  <c r="L2675" i="525"/>
  <c r="J2675" i="525"/>
  <c r="L2674" i="525"/>
  <c r="I2674" i="525"/>
  <c r="J2674" i="525" s="1"/>
  <c r="H2674" i="525"/>
  <c r="L2672" i="525"/>
  <c r="H2672" i="525"/>
  <c r="N2668" i="525"/>
  <c r="L2666" i="525"/>
  <c r="J2666" i="525"/>
  <c r="L2665" i="525"/>
  <c r="I2665" i="525"/>
  <c r="J2665" i="525" s="1"/>
  <c r="H2665" i="525"/>
  <c r="L2663" i="525"/>
  <c r="I2663" i="525"/>
  <c r="J2663" i="525" s="1"/>
  <c r="H2663" i="525"/>
  <c r="N2659" i="525"/>
  <c r="L2657" i="525"/>
  <c r="J2657" i="525"/>
  <c r="L2656" i="525"/>
  <c r="I2656" i="525"/>
  <c r="J2656" i="525" s="1"/>
  <c r="H2656" i="525"/>
  <c r="L2654" i="525"/>
  <c r="I2654" i="525"/>
  <c r="J2654" i="525" s="1"/>
  <c r="H2654" i="525"/>
  <c r="N2650" i="525"/>
  <c r="L2648" i="525"/>
  <c r="J2648" i="525"/>
  <c r="L2647" i="525"/>
  <c r="I2647" i="525"/>
  <c r="J2647" i="525" s="1"/>
  <c r="H2647" i="525"/>
  <c r="L2645" i="525"/>
  <c r="H2645" i="525"/>
  <c r="N2641" i="525"/>
  <c r="L2639" i="525"/>
  <c r="J2639" i="525"/>
  <c r="L2638" i="525"/>
  <c r="I2638" i="525"/>
  <c r="J2638" i="525" s="1"/>
  <c r="H2638" i="525"/>
  <c r="L2636" i="525"/>
  <c r="I2636" i="525"/>
  <c r="J2636" i="525" s="1"/>
  <c r="H2636" i="525"/>
  <c r="N2632" i="525"/>
  <c r="L2630" i="525"/>
  <c r="J2630" i="525"/>
  <c r="L2629" i="525"/>
  <c r="I2629" i="525"/>
  <c r="J2629" i="525" s="1"/>
  <c r="H2629" i="525"/>
  <c r="L2627" i="525"/>
  <c r="I2627" i="525"/>
  <c r="J2627" i="525" s="1"/>
  <c r="F2627" i="525" s="1"/>
  <c r="H2627" i="525"/>
  <c r="N2623" i="525"/>
  <c r="L2621" i="525"/>
  <c r="J2621" i="525"/>
  <c r="L2620" i="525"/>
  <c r="I2620" i="525"/>
  <c r="J2620" i="525" s="1"/>
  <c r="H2620" i="525"/>
  <c r="L2618" i="525"/>
  <c r="H2618" i="525"/>
  <c r="N2614" i="525"/>
  <c r="L2612" i="525"/>
  <c r="J2612" i="525"/>
  <c r="F2612" i="525" s="1"/>
  <c r="I2612" i="525"/>
  <c r="E2612" i="525" s="1"/>
  <c r="H2612" i="525"/>
  <c r="L2610" i="525"/>
  <c r="I2610" i="525"/>
  <c r="E2610" i="525" s="1"/>
  <c r="H2610" i="525"/>
  <c r="N2606" i="525"/>
  <c r="L2604" i="525"/>
  <c r="I2604" i="525"/>
  <c r="J2604" i="525" s="1"/>
  <c r="H2604" i="525"/>
  <c r="L2602" i="525"/>
  <c r="I2602" i="525"/>
  <c r="J2602" i="525" s="1"/>
  <c r="H2602" i="525"/>
  <c r="N2598" i="525"/>
  <c r="L2596" i="525"/>
  <c r="I2596" i="525"/>
  <c r="J2596" i="525" s="1"/>
  <c r="H2596" i="525"/>
  <c r="E2596" i="525"/>
  <c r="L2594" i="525"/>
  <c r="H2594" i="525"/>
  <c r="N2590" i="525"/>
  <c r="L2588" i="525"/>
  <c r="I2588" i="525"/>
  <c r="J2588" i="525" s="1"/>
  <c r="F2588" i="525" s="1"/>
  <c r="H2588" i="525"/>
  <c r="L2586" i="525"/>
  <c r="H2586" i="525"/>
  <c r="N2582" i="525"/>
  <c r="L2580" i="525"/>
  <c r="J2580" i="525"/>
  <c r="G2580" i="525"/>
  <c r="H2580" i="525" s="1"/>
  <c r="L2579" i="525"/>
  <c r="J2579" i="525"/>
  <c r="G2579" i="525"/>
  <c r="E2579" i="525" s="1"/>
  <c r="L2578" i="525"/>
  <c r="I2578" i="525"/>
  <c r="J2578" i="525" s="1"/>
  <c r="H2578" i="525"/>
  <c r="L2577" i="525"/>
  <c r="I2577" i="525"/>
  <c r="H2577" i="525"/>
  <c r="L2576" i="525"/>
  <c r="J2576" i="525"/>
  <c r="I2576" i="525"/>
  <c r="H2576" i="525"/>
  <c r="E2576" i="525"/>
  <c r="N2574" i="525"/>
  <c r="L2572" i="525"/>
  <c r="J2572" i="525"/>
  <c r="G2572" i="525"/>
  <c r="H2572" i="525" s="1"/>
  <c r="L2571" i="525"/>
  <c r="J2571" i="525"/>
  <c r="G2571" i="525"/>
  <c r="E2571" i="525" s="1"/>
  <c r="L2570" i="525"/>
  <c r="I2570" i="525"/>
  <c r="J2570" i="525" s="1"/>
  <c r="H2570" i="525"/>
  <c r="L2569" i="525"/>
  <c r="J2569" i="525"/>
  <c r="F2569" i="525" s="1"/>
  <c r="I2569" i="525"/>
  <c r="E2569" i="525" s="1"/>
  <c r="H2569" i="525"/>
  <c r="L2568" i="525"/>
  <c r="J2568" i="525"/>
  <c r="J2573" i="525" s="1"/>
  <c r="I2568" i="525"/>
  <c r="E2568" i="525" s="1"/>
  <c r="H2568" i="525"/>
  <c r="N2566" i="525"/>
  <c r="L2564" i="525"/>
  <c r="L2565" i="525" s="1"/>
  <c r="H329" i="524" s="1"/>
  <c r="L179" i="523" s="1"/>
  <c r="M179" i="523" s="1"/>
  <c r="I2564" i="525"/>
  <c r="E2564" i="525" s="1"/>
  <c r="H2564" i="525"/>
  <c r="H2565" i="525" s="1"/>
  <c r="N2562" i="525"/>
  <c r="J2560" i="525"/>
  <c r="H2560" i="525"/>
  <c r="L2559" i="525"/>
  <c r="J2559" i="525"/>
  <c r="I2559" i="525"/>
  <c r="H2559" i="525"/>
  <c r="E2559" i="525"/>
  <c r="L2558" i="525"/>
  <c r="J2558" i="525"/>
  <c r="G2558" i="525"/>
  <c r="H2558" i="525" s="1"/>
  <c r="E2558" i="525"/>
  <c r="L2557" i="525"/>
  <c r="J2557" i="525"/>
  <c r="G2557" i="525"/>
  <c r="H2557" i="525" s="1"/>
  <c r="E2557" i="525"/>
  <c r="N2555" i="525"/>
  <c r="N2550" i="525"/>
  <c r="N2545" i="525"/>
  <c r="L2543" i="525"/>
  <c r="J2543" i="525"/>
  <c r="N2538" i="525"/>
  <c r="L2536" i="525"/>
  <c r="J2536" i="525"/>
  <c r="N2531" i="525"/>
  <c r="N2525" i="525"/>
  <c r="L2523" i="525"/>
  <c r="J2523" i="525"/>
  <c r="L2521" i="525"/>
  <c r="I2521" i="525"/>
  <c r="E2521" i="525" s="1"/>
  <c r="H2521" i="525"/>
  <c r="L2520" i="525"/>
  <c r="I2520" i="525"/>
  <c r="E2520" i="525" s="1"/>
  <c r="H2520" i="525"/>
  <c r="N2513" i="525"/>
  <c r="L2511" i="525"/>
  <c r="J2511" i="525"/>
  <c r="L2509" i="525"/>
  <c r="J2509" i="525"/>
  <c r="I2509" i="525"/>
  <c r="H2509" i="525"/>
  <c r="E2509" i="525"/>
  <c r="L2508" i="525"/>
  <c r="I2508" i="525"/>
  <c r="J2508" i="525" s="1"/>
  <c r="H2508" i="525"/>
  <c r="N2501" i="525"/>
  <c r="L2498" i="525"/>
  <c r="I2498" i="525"/>
  <c r="H2498" i="525"/>
  <c r="L2497" i="525"/>
  <c r="J2497" i="525"/>
  <c r="I2497" i="525"/>
  <c r="H2497" i="525"/>
  <c r="E2497" i="525"/>
  <c r="N2490" i="525"/>
  <c r="L2488" i="525"/>
  <c r="J2488" i="525"/>
  <c r="N2483" i="525"/>
  <c r="L2481" i="525"/>
  <c r="J2481" i="525"/>
  <c r="N2476" i="525"/>
  <c r="N2470" i="525"/>
  <c r="L2468" i="525"/>
  <c r="J2468" i="525"/>
  <c r="L2467" i="525"/>
  <c r="I2467" i="525"/>
  <c r="J2467" i="525" s="1"/>
  <c r="H2467" i="525"/>
  <c r="L2465" i="525"/>
  <c r="I2465" i="525"/>
  <c r="J2465" i="525" s="1"/>
  <c r="H2465" i="525"/>
  <c r="N2460" i="525"/>
  <c r="L2458" i="525"/>
  <c r="J2458" i="525"/>
  <c r="L2457" i="525"/>
  <c r="I2457" i="525"/>
  <c r="E2457" i="525" s="1"/>
  <c r="H2457" i="525"/>
  <c r="L2455" i="525"/>
  <c r="I2455" i="525"/>
  <c r="H2455" i="525"/>
  <c r="N2450" i="525"/>
  <c r="L2448" i="525"/>
  <c r="J2448" i="525"/>
  <c r="L2447" i="525"/>
  <c r="I2447" i="525"/>
  <c r="J2447" i="525" s="1"/>
  <c r="F2447" i="525" s="1"/>
  <c r="H2447" i="525"/>
  <c r="L2445" i="525"/>
  <c r="I2445" i="525"/>
  <c r="J2445" i="525" s="1"/>
  <c r="H2445" i="525"/>
  <c r="E2445" i="525"/>
  <c r="N2440" i="525"/>
  <c r="L2438" i="525"/>
  <c r="J2438" i="525"/>
  <c r="L2437" i="525"/>
  <c r="I2437" i="525"/>
  <c r="J2437" i="525" s="1"/>
  <c r="H2437" i="525"/>
  <c r="L2435" i="525"/>
  <c r="I2435" i="525"/>
  <c r="J2435" i="525" s="1"/>
  <c r="H2435" i="525"/>
  <c r="N2430" i="525"/>
  <c r="L2428" i="525"/>
  <c r="J2428" i="525"/>
  <c r="L2427" i="525"/>
  <c r="I2427" i="525"/>
  <c r="J2427" i="525" s="1"/>
  <c r="H2427" i="525"/>
  <c r="L2425" i="525"/>
  <c r="I2425" i="525"/>
  <c r="J2425" i="525" s="1"/>
  <c r="H2425" i="525"/>
  <c r="N2420" i="525"/>
  <c r="L2418" i="525"/>
  <c r="J2418" i="525"/>
  <c r="L2417" i="525"/>
  <c r="I2417" i="525"/>
  <c r="H2417" i="525"/>
  <c r="L2415" i="525"/>
  <c r="I2415" i="525"/>
  <c r="E2415" i="525" s="1"/>
  <c r="H2415" i="525"/>
  <c r="N2410" i="525"/>
  <c r="L2408" i="525"/>
  <c r="J2408" i="525"/>
  <c r="L2407" i="525"/>
  <c r="I2407" i="525"/>
  <c r="H2407" i="525"/>
  <c r="L2405" i="525"/>
  <c r="F2405" i="525" s="1"/>
  <c r="I2405" i="525"/>
  <c r="J2405" i="525" s="1"/>
  <c r="H2405" i="525"/>
  <c r="N2400" i="525"/>
  <c r="L2398" i="525"/>
  <c r="J2398" i="525"/>
  <c r="L2397" i="525"/>
  <c r="I2397" i="525"/>
  <c r="J2397" i="525" s="1"/>
  <c r="H2397" i="525"/>
  <c r="L2395" i="525"/>
  <c r="I2395" i="525"/>
  <c r="J2395" i="525" s="1"/>
  <c r="H2395" i="525"/>
  <c r="N2390" i="525"/>
  <c r="L2388" i="525"/>
  <c r="J2388" i="525"/>
  <c r="L2387" i="525"/>
  <c r="I2387" i="525"/>
  <c r="J2387" i="525" s="1"/>
  <c r="F2387" i="525" s="1"/>
  <c r="H2387" i="525"/>
  <c r="L2385" i="525"/>
  <c r="I2385" i="525"/>
  <c r="J2385" i="525" s="1"/>
  <c r="H2385" i="525"/>
  <c r="N2380" i="525"/>
  <c r="L2378" i="525"/>
  <c r="J2378" i="525"/>
  <c r="L2377" i="525"/>
  <c r="I2377" i="525"/>
  <c r="H2377" i="525"/>
  <c r="L2375" i="525"/>
  <c r="J2375" i="525"/>
  <c r="I2375" i="525"/>
  <c r="H2375" i="525"/>
  <c r="E2375" i="525"/>
  <c r="N2370" i="525"/>
  <c r="L2368" i="525"/>
  <c r="I2368" i="525"/>
  <c r="J2368" i="525" s="1"/>
  <c r="H2368" i="525"/>
  <c r="L2366" i="525"/>
  <c r="I2366" i="525"/>
  <c r="J2366" i="525" s="1"/>
  <c r="F2366" i="525" s="1"/>
  <c r="H2366" i="525"/>
  <c r="N2361" i="525"/>
  <c r="L2359" i="525"/>
  <c r="I2359" i="525"/>
  <c r="J2359" i="525" s="1"/>
  <c r="H2359" i="525"/>
  <c r="E2359" i="525"/>
  <c r="L2357" i="525"/>
  <c r="I2357" i="525"/>
  <c r="H2357" i="525"/>
  <c r="N2352" i="525"/>
  <c r="L2350" i="525"/>
  <c r="I2350" i="525"/>
  <c r="E2350" i="525" s="1"/>
  <c r="H2350" i="525"/>
  <c r="L2348" i="525"/>
  <c r="I2348" i="525"/>
  <c r="E2348" i="525" s="1"/>
  <c r="H2348" i="525"/>
  <c r="N2343" i="525"/>
  <c r="L2341" i="525"/>
  <c r="I2341" i="525"/>
  <c r="J2341" i="525" s="1"/>
  <c r="H2341" i="525"/>
  <c r="E2341" i="525"/>
  <c r="L2339" i="525"/>
  <c r="I2339" i="525"/>
  <c r="J2339" i="525" s="1"/>
  <c r="H2339" i="525"/>
  <c r="N2334" i="525"/>
  <c r="L2332" i="525"/>
  <c r="I2332" i="525"/>
  <c r="J2332" i="525" s="1"/>
  <c r="H2332" i="525"/>
  <c r="L2330" i="525"/>
  <c r="I2330" i="525"/>
  <c r="J2330" i="525" s="1"/>
  <c r="H2330" i="525"/>
  <c r="N2325" i="525"/>
  <c r="L2323" i="525"/>
  <c r="J2323" i="525"/>
  <c r="L2321" i="525"/>
  <c r="I2321" i="525"/>
  <c r="H2321" i="525"/>
  <c r="L2320" i="525"/>
  <c r="J2320" i="525"/>
  <c r="I2320" i="525"/>
  <c r="H2320" i="525"/>
  <c r="E2320" i="525"/>
  <c r="L2319" i="525"/>
  <c r="I2319" i="525"/>
  <c r="J2319" i="525" s="1"/>
  <c r="H2319" i="525"/>
  <c r="L2318" i="525"/>
  <c r="J2318" i="525"/>
  <c r="I2318" i="525"/>
  <c r="H2318" i="525"/>
  <c r="E2318" i="525"/>
  <c r="L2317" i="525"/>
  <c r="I2317" i="525"/>
  <c r="E2317" i="525" s="1"/>
  <c r="H2317" i="525"/>
  <c r="L2315" i="525"/>
  <c r="J2315" i="525"/>
  <c r="I2315" i="525"/>
  <c r="H2315" i="525"/>
  <c r="E2315" i="525"/>
  <c r="L2312" i="525"/>
  <c r="I2312" i="525"/>
  <c r="J2312" i="525" s="1"/>
  <c r="H2312" i="525"/>
  <c r="E2312" i="525"/>
  <c r="N2305" i="525"/>
  <c r="L2303" i="525"/>
  <c r="J2303" i="525"/>
  <c r="L2301" i="525"/>
  <c r="I2301" i="525"/>
  <c r="J2301" i="525" s="1"/>
  <c r="F2301" i="525" s="1"/>
  <c r="H2301" i="525"/>
  <c r="L2300" i="525"/>
  <c r="I2300" i="525"/>
  <c r="E2300" i="525" s="1"/>
  <c r="H2300" i="525"/>
  <c r="L2299" i="525"/>
  <c r="I2299" i="525"/>
  <c r="J2299" i="525" s="1"/>
  <c r="H2299" i="525"/>
  <c r="E2299" i="525"/>
  <c r="L2298" i="525"/>
  <c r="I2298" i="525"/>
  <c r="J2298" i="525" s="1"/>
  <c r="H2298" i="525"/>
  <c r="L2297" i="525"/>
  <c r="I2297" i="525"/>
  <c r="J2297" i="525" s="1"/>
  <c r="H2297" i="525"/>
  <c r="L2295" i="525"/>
  <c r="I2295" i="525"/>
  <c r="J2295" i="525" s="1"/>
  <c r="H2295" i="525"/>
  <c r="L2292" i="525"/>
  <c r="I2292" i="525"/>
  <c r="J2292" i="525" s="1"/>
  <c r="F2292" i="525" s="1"/>
  <c r="H2292" i="525"/>
  <c r="N2285" i="525"/>
  <c r="L2283" i="525"/>
  <c r="J2283" i="525"/>
  <c r="L2281" i="525"/>
  <c r="I2281" i="525"/>
  <c r="H2281" i="525"/>
  <c r="L2280" i="525"/>
  <c r="I2280" i="525"/>
  <c r="J2280" i="525" s="1"/>
  <c r="H2280" i="525"/>
  <c r="L2279" i="525"/>
  <c r="I2279" i="525"/>
  <c r="E2279" i="525" s="1"/>
  <c r="H2279" i="525"/>
  <c r="L2278" i="525"/>
  <c r="I2278" i="525"/>
  <c r="E2278" i="525" s="1"/>
  <c r="H2278" i="525"/>
  <c r="L2277" i="525"/>
  <c r="I2277" i="525"/>
  <c r="H2277" i="525"/>
  <c r="L2275" i="525"/>
  <c r="I2275" i="525"/>
  <c r="H2275" i="525"/>
  <c r="L2272" i="525"/>
  <c r="I2272" i="525"/>
  <c r="J2272" i="525" s="1"/>
  <c r="F2272" i="525" s="1"/>
  <c r="H2272" i="525"/>
  <c r="E2272" i="525"/>
  <c r="N2265" i="525"/>
  <c r="L2263" i="525"/>
  <c r="J2263" i="525"/>
  <c r="L2261" i="525"/>
  <c r="I2261" i="525"/>
  <c r="E2261" i="525" s="1"/>
  <c r="H2261" i="525"/>
  <c r="L2260" i="525"/>
  <c r="I2260" i="525"/>
  <c r="J2260" i="525" s="1"/>
  <c r="H2260" i="525"/>
  <c r="L2259" i="525"/>
  <c r="I2259" i="525"/>
  <c r="H2259" i="525"/>
  <c r="L2258" i="525"/>
  <c r="I2258" i="525"/>
  <c r="H2258" i="525"/>
  <c r="L2257" i="525"/>
  <c r="I2257" i="525"/>
  <c r="J2257" i="525" s="1"/>
  <c r="H2257" i="525"/>
  <c r="L2255" i="525"/>
  <c r="I2255" i="525"/>
  <c r="J2255" i="525" s="1"/>
  <c r="H2255" i="525"/>
  <c r="L2252" i="525"/>
  <c r="I2252" i="525"/>
  <c r="E2252" i="525" s="1"/>
  <c r="H2252" i="525"/>
  <c r="N2245" i="525"/>
  <c r="L2243" i="525"/>
  <c r="J2243" i="525"/>
  <c r="L2241" i="525"/>
  <c r="I2241" i="525"/>
  <c r="E2241" i="525" s="1"/>
  <c r="H2241" i="525"/>
  <c r="L2240" i="525"/>
  <c r="I2240" i="525"/>
  <c r="J2240" i="525" s="1"/>
  <c r="F2240" i="525" s="1"/>
  <c r="H2240" i="525"/>
  <c r="L2239" i="525"/>
  <c r="I2239" i="525"/>
  <c r="J2239" i="525" s="1"/>
  <c r="H2239" i="525"/>
  <c r="L2238" i="525"/>
  <c r="I2238" i="525"/>
  <c r="H2238" i="525"/>
  <c r="L2237" i="525"/>
  <c r="I2237" i="525"/>
  <c r="H2237" i="525"/>
  <c r="L2235" i="525"/>
  <c r="I2235" i="525"/>
  <c r="H2235" i="525"/>
  <c r="L2232" i="525"/>
  <c r="I2232" i="525"/>
  <c r="E2232" i="525" s="1"/>
  <c r="H2232" i="525"/>
  <c r="N2225" i="525"/>
  <c r="L2223" i="525"/>
  <c r="J2223" i="525"/>
  <c r="L2221" i="525"/>
  <c r="I2221" i="525"/>
  <c r="J2221" i="525" s="1"/>
  <c r="H2221" i="525"/>
  <c r="L2220" i="525"/>
  <c r="I2220" i="525"/>
  <c r="H2220" i="525"/>
  <c r="L2219" i="525"/>
  <c r="I2219" i="525"/>
  <c r="J2219" i="525" s="1"/>
  <c r="F2219" i="525" s="1"/>
  <c r="H2219" i="525"/>
  <c r="L2218" i="525"/>
  <c r="I2218" i="525"/>
  <c r="J2218" i="525" s="1"/>
  <c r="H2218" i="525"/>
  <c r="L2217" i="525"/>
  <c r="I2217" i="525"/>
  <c r="H2217" i="525"/>
  <c r="L2215" i="525"/>
  <c r="I2215" i="525"/>
  <c r="H2215" i="525"/>
  <c r="L2212" i="525"/>
  <c r="I2212" i="525"/>
  <c r="J2212" i="525" s="1"/>
  <c r="F2212" i="525" s="1"/>
  <c r="H2212" i="525"/>
  <c r="N2205" i="525"/>
  <c r="L2202" i="525"/>
  <c r="I2202" i="525"/>
  <c r="J2202" i="525" s="1"/>
  <c r="H2202" i="525"/>
  <c r="E2202" i="525"/>
  <c r="L2201" i="525"/>
  <c r="I2201" i="525"/>
  <c r="J2201" i="525" s="1"/>
  <c r="H2201" i="525"/>
  <c r="L2200" i="525"/>
  <c r="I2200" i="525"/>
  <c r="J2200" i="525" s="1"/>
  <c r="H2200" i="525"/>
  <c r="L2199" i="525"/>
  <c r="I2199" i="525"/>
  <c r="H2199" i="525"/>
  <c r="L2198" i="525"/>
  <c r="I2198" i="525"/>
  <c r="H2198" i="525"/>
  <c r="L2196" i="525"/>
  <c r="I2196" i="525"/>
  <c r="J2196" i="525" s="1"/>
  <c r="H2196" i="525"/>
  <c r="E2196" i="525"/>
  <c r="L2193" i="525"/>
  <c r="I2193" i="525"/>
  <c r="H2193" i="525"/>
  <c r="N2186" i="525"/>
  <c r="L2183" i="525"/>
  <c r="I2183" i="525"/>
  <c r="J2183" i="525" s="1"/>
  <c r="H2183" i="525"/>
  <c r="L2182" i="525"/>
  <c r="I2182" i="525"/>
  <c r="J2182" i="525" s="1"/>
  <c r="H2182" i="525"/>
  <c r="L2181" i="525"/>
  <c r="I2181" i="525"/>
  <c r="H2181" i="525"/>
  <c r="L2180" i="525"/>
  <c r="I2180" i="525"/>
  <c r="H2180" i="525"/>
  <c r="L2179" i="525"/>
  <c r="I2179" i="525"/>
  <c r="J2179" i="525" s="1"/>
  <c r="F2179" i="525" s="1"/>
  <c r="H2179" i="525"/>
  <c r="L2177" i="525"/>
  <c r="I2177" i="525"/>
  <c r="J2177" i="525" s="1"/>
  <c r="H2177" i="525"/>
  <c r="L2174" i="525"/>
  <c r="I2174" i="525"/>
  <c r="E2174" i="525" s="1"/>
  <c r="H2174" i="525"/>
  <c r="N2167" i="525"/>
  <c r="L2164" i="525"/>
  <c r="I2164" i="525"/>
  <c r="J2164" i="525" s="1"/>
  <c r="H2164" i="525"/>
  <c r="L2163" i="525"/>
  <c r="I2163" i="525"/>
  <c r="J2163" i="525" s="1"/>
  <c r="H2163" i="525"/>
  <c r="L2162" i="525"/>
  <c r="I2162" i="525"/>
  <c r="J2162" i="525" s="1"/>
  <c r="H2162" i="525"/>
  <c r="E2162" i="525"/>
  <c r="L2161" i="525"/>
  <c r="I2161" i="525"/>
  <c r="J2161" i="525" s="1"/>
  <c r="H2161" i="525"/>
  <c r="L2160" i="525"/>
  <c r="I2160" i="525"/>
  <c r="J2160" i="525" s="1"/>
  <c r="H2160" i="525"/>
  <c r="L2158" i="525"/>
  <c r="I2158" i="525"/>
  <c r="J2158" i="525" s="1"/>
  <c r="H2158" i="525"/>
  <c r="L2155" i="525"/>
  <c r="I2155" i="525"/>
  <c r="J2155" i="525" s="1"/>
  <c r="H2155" i="525"/>
  <c r="N2148" i="525"/>
  <c r="L2146" i="525"/>
  <c r="J2146" i="525"/>
  <c r="F2146" i="525" s="1"/>
  <c r="I2146" i="525"/>
  <c r="E2146" i="525" s="1"/>
  <c r="H2146" i="525"/>
  <c r="L2139" i="525"/>
  <c r="I2139" i="525"/>
  <c r="H2139" i="525"/>
  <c r="L2138" i="525"/>
  <c r="I2138" i="525"/>
  <c r="H2138" i="525"/>
  <c r="N2135" i="525"/>
  <c r="L2128" i="525"/>
  <c r="I2128" i="525"/>
  <c r="J2128" i="525" s="1"/>
  <c r="H2128" i="525"/>
  <c r="N2125" i="525"/>
  <c r="L2119" i="525"/>
  <c r="I2119" i="525"/>
  <c r="J2119" i="525" s="1"/>
  <c r="H2119" i="525"/>
  <c r="L2118" i="525"/>
  <c r="J2118" i="525"/>
  <c r="I2118" i="525"/>
  <c r="H2118" i="525"/>
  <c r="E2118" i="525"/>
  <c r="N2115" i="525"/>
  <c r="L2110" i="525"/>
  <c r="I2110" i="525"/>
  <c r="H2110" i="525"/>
  <c r="N2107" i="525"/>
  <c r="J2105" i="525"/>
  <c r="H2105" i="525"/>
  <c r="L2104" i="525"/>
  <c r="J2104" i="525"/>
  <c r="G2104" i="525"/>
  <c r="E2104" i="525" s="1"/>
  <c r="L2103" i="525"/>
  <c r="J2103" i="525"/>
  <c r="G2103" i="525"/>
  <c r="E2103" i="525" s="1"/>
  <c r="N2101" i="525"/>
  <c r="N2095" i="525"/>
  <c r="L2092" i="525"/>
  <c r="I2092" i="525"/>
  <c r="J2092" i="525" s="1"/>
  <c r="H2092" i="525"/>
  <c r="N2090" i="525"/>
  <c r="L2087" i="525"/>
  <c r="I2087" i="525"/>
  <c r="E2087" i="525" s="1"/>
  <c r="H2087" i="525"/>
  <c r="N2085" i="525"/>
  <c r="L2082" i="525"/>
  <c r="I2082" i="525"/>
  <c r="J2082" i="525" s="1"/>
  <c r="H2082" i="525"/>
  <c r="N2080" i="525"/>
  <c r="L2077" i="525"/>
  <c r="I2077" i="525"/>
  <c r="H2077" i="525"/>
  <c r="N2075" i="525"/>
  <c r="L2073" i="525"/>
  <c r="L2074" i="525" s="1"/>
  <c r="I2073" i="525"/>
  <c r="E2073" i="525" s="1"/>
  <c r="H2073" i="525"/>
  <c r="H2074" i="525" s="1"/>
  <c r="N2071" i="525"/>
  <c r="L2069" i="525"/>
  <c r="I2069" i="525"/>
  <c r="E2069" i="525" s="1"/>
  <c r="H2069" i="525"/>
  <c r="L2065" i="525"/>
  <c r="J2065" i="525"/>
  <c r="I2065" i="525"/>
  <c r="E2065" i="525" s="1"/>
  <c r="H2065" i="525"/>
  <c r="N2062" i="525"/>
  <c r="L2059" i="525"/>
  <c r="J2059" i="525"/>
  <c r="G2059" i="525"/>
  <c r="E2059" i="525" s="1"/>
  <c r="N2057" i="525"/>
  <c r="L2054" i="525"/>
  <c r="J2054" i="525"/>
  <c r="H2054" i="525"/>
  <c r="G2054" i="525"/>
  <c r="E2054" i="525" s="1"/>
  <c r="N2052" i="525"/>
  <c r="L2049" i="525"/>
  <c r="J2049" i="525"/>
  <c r="G2049" i="525"/>
  <c r="H2049" i="525" s="1"/>
  <c r="E2049" i="525"/>
  <c r="N2047" i="525"/>
  <c r="J2045" i="525"/>
  <c r="H2045" i="525"/>
  <c r="J2044" i="525"/>
  <c r="H2044" i="525"/>
  <c r="L2043" i="525"/>
  <c r="J2043" i="525"/>
  <c r="G2043" i="525"/>
  <c r="H2043" i="525" s="1"/>
  <c r="L2042" i="525"/>
  <c r="J2042" i="525"/>
  <c r="G2042" i="525"/>
  <c r="E2042" i="525" s="1"/>
  <c r="L2041" i="525"/>
  <c r="J2041" i="525"/>
  <c r="G2041" i="525"/>
  <c r="E2041" i="525" s="1"/>
  <c r="L2040" i="525"/>
  <c r="J2040" i="525"/>
  <c r="H2040" i="525"/>
  <c r="G2040" i="525"/>
  <c r="E2040" i="525" s="1"/>
  <c r="N2038" i="525"/>
  <c r="L2036" i="525"/>
  <c r="H2036" i="525"/>
  <c r="J2035" i="525"/>
  <c r="H2035" i="525"/>
  <c r="L2034" i="525"/>
  <c r="J2034" i="525"/>
  <c r="G2034" i="525"/>
  <c r="E2034" i="525" s="1"/>
  <c r="L2033" i="525"/>
  <c r="J2033" i="525"/>
  <c r="G2033" i="525"/>
  <c r="E2033" i="525" s="1"/>
  <c r="L2032" i="525"/>
  <c r="J2032" i="525"/>
  <c r="G2032" i="525"/>
  <c r="E2032" i="525" s="1"/>
  <c r="L2031" i="525"/>
  <c r="J2031" i="525"/>
  <c r="G2031" i="525"/>
  <c r="E2031" i="525" s="1"/>
  <c r="N2029" i="525"/>
  <c r="L2027" i="525"/>
  <c r="L2028" i="525" s="1"/>
  <c r="H275" i="524" s="1"/>
  <c r="J2027" i="525"/>
  <c r="J2028" i="525" s="1"/>
  <c r="G2027" i="525"/>
  <c r="E2027" i="525" s="1"/>
  <c r="N2025" i="525"/>
  <c r="L2023" i="525"/>
  <c r="J2023" i="525"/>
  <c r="L2021" i="525"/>
  <c r="I2021" i="525"/>
  <c r="H2021" i="525"/>
  <c r="N2019" i="525"/>
  <c r="L2017" i="525"/>
  <c r="J2017" i="525"/>
  <c r="L2015" i="525"/>
  <c r="I2015" i="525"/>
  <c r="E2015" i="525" s="1"/>
  <c r="H2015" i="525"/>
  <c r="N2013" i="525"/>
  <c r="L2011" i="525"/>
  <c r="J2011" i="525"/>
  <c r="L2009" i="525"/>
  <c r="I2009" i="525"/>
  <c r="J2009" i="525" s="1"/>
  <c r="H2009" i="525"/>
  <c r="N2007" i="525"/>
  <c r="L2005" i="525"/>
  <c r="J2005" i="525"/>
  <c r="L2003" i="525"/>
  <c r="I2003" i="525"/>
  <c r="E2003" i="525" s="1"/>
  <c r="H2003" i="525"/>
  <c r="N2001" i="525"/>
  <c r="L1998" i="525"/>
  <c r="I1998" i="525"/>
  <c r="J1998" i="525" s="1"/>
  <c r="H1998" i="525"/>
  <c r="N1996" i="525"/>
  <c r="L1993" i="525"/>
  <c r="I1993" i="525"/>
  <c r="H1993" i="525"/>
  <c r="N1991" i="525"/>
  <c r="L1990" i="525"/>
  <c r="L1989" i="525"/>
  <c r="I1989" i="525"/>
  <c r="J1989" i="525" s="1"/>
  <c r="J1990" i="525" s="1"/>
  <c r="H1989" i="525"/>
  <c r="H1990" i="525" s="1"/>
  <c r="F268" i="524" s="1"/>
  <c r="H178" i="523" s="1"/>
  <c r="I178" i="523" s="1"/>
  <c r="E1989" i="525"/>
  <c r="N1987" i="525"/>
  <c r="L1985" i="525"/>
  <c r="L1986" i="525" s="1"/>
  <c r="I1985" i="525"/>
  <c r="E1985" i="525" s="1"/>
  <c r="H1985" i="525"/>
  <c r="H1986" i="525" s="1"/>
  <c r="N1983" i="525"/>
  <c r="L1981" i="525"/>
  <c r="J1981" i="525"/>
  <c r="N1975" i="525"/>
  <c r="L1973" i="525"/>
  <c r="J1973" i="525"/>
  <c r="N1967" i="525"/>
  <c r="N1960" i="525"/>
  <c r="N1951" i="525"/>
  <c r="L1947" i="525"/>
  <c r="I1947" i="525"/>
  <c r="J1947" i="525" s="1"/>
  <c r="F1947" i="525" s="1"/>
  <c r="H1947" i="525"/>
  <c r="N1944" i="525"/>
  <c r="L1940" i="525"/>
  <c r="I1940" i="525"/>
  <c r="J1940" i="525" s="1"/>
  <c r="H1940" i="525"/>
  <c r="N1937" i="525"/>
  <c r="L1933" i="525"/>
  <c r="J1933" i="525"/>
  <c r="I1933" i="525"/>
  <c r="H1933" i="525"/>
  <c r="E1933" i="525"/>
  <c r="N1930" i="525"/>
  <c r="L1926" i="525"/>
  <c r="I1926" i="525"/>
  <c r="H1926" i="525"/>
  <c r="N1923" i="525"/>
  <c r="J1921" i="525"/>
  <c r="H1921" i="525"/>
  <c r="L1920" i="525"/>
  <c r="I1920" i="525"/>
  <c r="E1920" i="525" s="1"/>
  <c r="H1920" i="525"/>
  <c r="L1919" i="525"/>
  <c r="I1919" i="525"/>
  <c r="H1919" i="525"/>
  <c r="L1918" i="525"/>
  <c r="J1918" i="525"/>
  <c r="G1918" i="525"/>
  <c r="L1917" i="525"/>
  <c r="J1917" i="525"/>
  <c r="G1917" i="525"/>
  <c r="H1917" i="525" s="1"/>
  <c r="E1917" i="525"/>
  <c r="N1915" i="525"/>
  <c r="J1913" i="525"/>
  <c r="H1913" i="525"/>
  <c r="L1912" i="525"/>
  <c r="I1912" i="525"/>
  <c r="H1912" i="525"/>
  <c r="L1911" i="525"/>
  <c r="I1911" i="525"/>
  <c r="J1911" i="525" s="1"/>
  <c r="H1911" i="525"/>
  <c r="E1911" i="525"/>
  <c r="L1910" i="525"/>
  <c r="J1910" i="525"/>
  <c r="G1910" i="525"/>
  <c r="H1910" i="525" s="1"/>
  <c r="F1910" i="525" s="1"/>
  <c r="L1909" i="525"/>
  <c r="J1909" i="525"/>
  <c r="G1909" i="525"/>
  <c r="H1909" i="525" s="1"/>
  <c r="N1907" i="525"/>
  <c r="J1905" i="525"/>
  <c r="H1905" i="525"/>
  <c r="L1904" i="525"/>
  <c r="I1904" i="525"/>
  <c r="H1904" i="525"/>
  <c r="L1903" i="525"/>
  <c r="I1903" i="525"/>
  <c r="E1903" i="525" s="1"/>
  <c r="H1903" i="525"/>
  <c r="L1902" i="525"/>
  <c r="J1902" i="525"/>
  <c r="G1902" i="525"/>
  <c r="H1902" i="525" s="1"/>
  <c r="E1902" i="525"/>
  <c r="L1901" i="525"/>
  <c r="J1901" i="525"/>
  <c r="G1901" i="525"/>
  <c r="E1901" i="525" s="1"/>
  <c r="N1899" i="525"/>
  <c r="L1897" i="525"/>
  <c r="J1897" i="525"/>
  <c r="N1892" i="525"/>
  <c r="L1890" i="525"/>
  <c r="J1890" i="525"/>
  <c r="N1885" i="525"/>
  <c r="N1879" i="525"/>
  <c r="L1874" i="525"/>
  <c r="I1874" i="525"/>
  <c r="H1874" i="525"/>
  <c r="N1871" i="525"/>
  <c r="L1870" i="525"/>
  <c r="L1869" i="525"/>
  <c r="I1869" i="525"/>
  <c r="H1869" i="525"/>
  <c r="H1870" i="525" s="1"/>
  <c r="N1867" i="525"/>
  <c r="L1865" i="525"/>
  <c r="J1865" i="525"/>
  <c r="L1863" i="525"/>
  <c r="I1863" i="525"/>
  <c r="H1863" i="525"/>
  <c r="L1862" i="525"/>
  <c r="I1862" i="525"/>
  <c r="H1862" i="525"/>
  <c r="L1861" i="525"/>
  <c r="I1861" i="525"/>
  <c r="H1861" i="525"/>
  <c r="L1859" i="525"/>
  <c r="I1859" i="525"/>
  <c r="E1859" i="525" s="1"/>
  <c r="H1859" i="525"/>
  <c r="N1854" i="525"/>
  <c r="L1852" i="525"/>
  <c r="J1852" i="525"/>
  <c r="L1850" i="525"/>
  <c r="I1850" i="525"/>
  <c r="E1850" i="525" s="1"/>
  <c r="H1850" i="525"/>
  <c r="L1849" i="525"/>
  <c r="I1849" i="525"/>
  <c r="E1849" i="525" s="1"/>
  <c r="H1849" i="525"/>
  <c r="L1848" i="525"/>
  <c r="I1848" i="525"/>
  <c r="E1848" i="525" s="1"/>
  <c r="H1848" i="525"/>
  <c r="L1846" i="525"/>
  <c r="I1846" i="525"/>
  <c r="E1846" i="525" s="1"/>
  <c r="H1846" i="525"/>
  <c r="N1841" i="525"/>
  <c r="L1839" i="525"/>
  <c r="J1839" i="525"/>
  <c r="L1837" i="525"/>
  <c r="I1837" i="525"/>
  <c r="E1837" i="525" s="1"/>
  <c r="H1837" i="525"/>
  <c r="L1836" i="525"/>
  <c r="I1836" i="525"/>
  <c r="E1836" i="525" s="1"/>
  <c r="H1836" i="525"/>
  <c r="L1835" i="525"/>
  <c r="I1835" i="525"/>
  <c r="E1835" i="525" s="1"/>
  <c r="H1835" i="525"/>
  <c r="L1833" i="525"/>
  <c r="I1833" i="525"/>
  <c r="J1833" i="525" s="1"/>
  <c r="H1833" i="525"/>
  <c r="N1828" i="525"/>
  <c r="L1826" i="525"/>
  <c r="J1826" i="525"/>
  <c r="L1824" i="525"/>
  <c r="I1824" i="525"/>
  <c r="J1824" i="525" s="1"/>
  <c r="H1824" i="525"/>
  <c r="L1823" i="525"/>
  <c r="I1823" i="525"/>
  <c r="E1823" i="525" s="1"/>
  <c r="H1823" i="525"/>
  <c r="L1822" i="525"/>
  <c r="I1822" i="525"/>
  <c r="E1822" i="525" s="1"/>
  <c r="H1822" i="525"/>
  <c r="L1820" i="525"/>
  <c r="I1820" i="525"/>
  <c r="E1820" i="525" s="1"/>
  <c r="H1820" i="525"/>
  <c r="N1815" i="525"/>
  <c r="L1813" i="525"/>
  <c r="J1813" i="525"/>
  <c r="N1808" i="525"/>
  <c r="L1806" i="525"/>
  <c r="J1806" i="525"/>
  <c r="N1801" i="525"/>
  <c r="L1799" i="525"/>
  <c r="J1799" i="525"/>
  <c r="N1794" i="525"/>
  <c r="L1792" i="525"/>
  <c r="J1792" i="525"/>
  <c r="N1787" i="525"/>
  <c r="L1785" i="525"/>
  <c r="J1785" i="525"/>
  <c r="N1780" i="525"/>
  <c r="L1778" i="525"/>
  <c r="J1778" i="525"/>
  <c r="N1773" i="525"/>
  <c r="N1767" i="525"/>
  <c r="N1761" i="525"/>
  <c r="N1755" i="525"/>
  <c r="L1753" i="525"/>
  <c r="J1753" i="525"/>
  <c r="L1751" i="525"/>
  <c r="I1751" i="525"/>
  <c r="E1751" i="525" s="1"/>
  <c r="H1751" i="525"/>
  <c r="L1750" i="525"/>
  <c r="I1750" i="525"/>
  <c r="J1750" i="525" s="1"/>
  <c r="H1750" i="525"/>
  <c r="L1749" i="525"/>
  <c r="I1749" i="525"/>
  <c r="J1749" i="525" s="1"/>
  <c r="H1749" i="525"/>
  <c r="N1743" i="525"/>
  <c r="L1741" i="525"/>
  <c r="J1741" i="525"/>
  <c r="L1739" i="525"/>
  <c r="I1739" i="525"/>
  <c r="H1739" i="525"/>
  <c r="L1738" i="525"/>
  <c r="I1738" i="525"/>
  <c r="H1738" i="525"/>
  <c r="L1737" i="525"/>
  <c r="F1737" i="525" s="1"/>
  <c r="I1737" i="525"/>
  <c r="J1737" i="525" s="1"/>
  <c r="H1737" i="525"/>
  <c r="N1731" i="525"/>
  <c r="L1729" i="525"/>
  <c r="J1729" i="525"/>
  <c r="L1727" i="525"/>
  <c r="J1727" i="525"/>
  <c r="F1727" i="525" s="1"/>
  <c r="I1727" i="525"/>
  <c r="E1727" i="525" s="1"/>
  <c r="H1727" i="525"/>
  <c r="L1726" i="525"/>
  <c r="I1726" i="525"/>
  <c r="H1726" i="525"/>
  <c r="L1725" i="525"/>
  <c r="I1725" i="525"/>
  <c r="J1725" i="525" s="1"/>
  <c r="H1725" i="525"/>
  <c r="N1719" i="525"/>
  <c r="L1717" i="525"/>
  <c r="J1717" i="525"/>
  <c r="L1715" i="525"/>
  <c r="I1715" i="525"/>
  <c r="J1715" i="525" s="1"/>
  <c r="H1715" i="525"/>
  <c r="F1715" i="525"/>
  <c r="L1714" i="525"/>
  <c r="I1714" i="525"/>
  <c r="J1714" i="525" s="1"/>
  <c r="H1714" i="525"/>
  <c r="E1714" i="525"/>
  <c r="L1713" i="525"/>
  <c r="I1713" i="525"/>
  <c r="H1713" i="525"/>
  <c r="N1707" i="525"/>
  <c r="L1704" i="525"/>
  <c r="I1704" i="525"/>
  <c r="J1704" i="525" s="1"/>
  <c r="H1704" i="525"/>
  <c r="L1703" i="525"/>
  <c r="I1703" i="525"/>
  <c r="H1703" i="525"/>
  <c r="L1702" i="525"/>
  <c r="I1702" i="525"/>
  <c r="J1702" i="525" s="1"/>
  <c r="H1702" i="525"/>
  <c r="E1702" i="525"/>
  <c r="N1696" i="525"/>
  <c r="L1693" i="525"/>
  <c r="I1693" i="525"/>
  <c r="H1693" i="525"/>
  <c r="L1692" i="525"/>
  <c r="I1692" i="525"/>
  <c r="H1692" i="525"/>
  <c r="L1691" i="525"/>
  <c r="I1691" i="525"/>
  <c r="J1691" i="525" s="1"/>
  <c r="H1691" i="525"/>
  <c r="N1685" i="525"/>
  <c r="L1682" i="525"/>
  <c r="I1682" i="525"/>
  <c r="H1682" i="525"/>
  <c r="L1681" i="525"/>
  <c r="I1681" i="525"/>
  <c r="J1681" i="525" s="1"/>
  <c r="H1681" i="525"/>
  <c r="L1680" i="525"/>
  <c r="I1680" i="525"/>
  <c r="J1680" i="525" s="1"/>
  <c r="H1680" i="525"/>
  <c r="L1678" i="525"/>
  <c r="I1678" i="525"/>
  <c r="J1678" i="525" s="1"/>
  <c r="H1678" i="525"/>
  <c r="N1673" i="525"/>
  <c r="L1670" i="525"/>
  <c r="I1670" i="525"/>
  <c r="H1670" i="525"/>
  <c r="L1669" i="525"/>
  <c r="I1669" i="525"/>
  <c r="H1669" i="525"/>
  <c r="L1668" i="525"/>
  <c r="I1668" i="525"/>
  <c r="H1668" i="525"/>
  <c r="L1666" i="525"/>
  <c r="I1666" i="525"/>
  <c r="E1666" i="525" s="1"/>
  <c r="H1666" i="525"/>
  <c r="N1661" i="525"/>
  <c r="L1659" i="525"/>
  <c r="J1659" i="525"/>
  <c r="L1655" i="525"/>
  <c r="J1655" i="525"/>
  <c r="F1655" i="525" s="1"/>
  <c r="I1655" i="525"/>
  <c r="H1655" i="525"/>
  <c r="E1655" i="525"/>
  <c r="L1654" i="525"/>
  <c r="I1654" i="525"/>
  <c r="J1654" i="525" s="1"/>
  <c r="H1654" i="525"/>
  <c r="N1652" i="525"/>
  <c r="L1650" i="525"/>
  <c r="J1650" i="525"/>
  <c r="L1646" i="525"/>
  <c r="I1646" i="525"/>
  <c r="H1646" i="525"/>
  <c r="L1645" i="525"/>
  <c r="I1645" i="525"/>
  <c r="J1645" i="525" s="1"/>
  <c r="H1645" i="525"/>
  <c r="N1643" i="525"/>
  <c r="L1638" i="525"/>
  <c r="J1638" i="525"/>
  <c r="F1638" i="525" s="1"/>
  <c r="I1638" i="525"/>
  <c r="E1638" i="525" s="1"/>
  <c r="H1638" i="525"/>
  <c r="L1637" i="525"/>
  <c r="I1637" i="525"/>
  <c r="J1637" i="525" s="1"/>
  <c r="H1637" i="525"/>
  <c r="N1635" i="525"/>
  <c r="L1633" i="525"/>
  <c r="L1634" i="525" s="1"/>
  <c r="H226" i="524" s="1"/>
  <c r="L172" i="523" s="1"/>
  <c r="M172" i="523" s="1"/>
  <c r="I1633" i="525"/>
  <c r="J1633" i="525" s="1"/>
  <c r="H1633" i="525"/>
  <c r="H1634" i="525" s="1"/>
  <c r="N1631" i="525"/>
  <c r="L1629" i="525"/>
  <c r="L1630" i="525" s="1"/>
  <c r="H225" i="524" s="1"/>
  <c r="L175" i="523" s="1"/>
  <c r="M175" i="523" s="1"/>
  <c r="I1629" i="525"/>
  <c r="J1629" i="525" s="1"/>
  <c r="H1629" i="525"/>
  <c r="H1630" i="525" s="1"/>
  <c r="N1627" i="525"/>
  <c r="J1625" i="525"/>
  <c r="H1625" i="525"/>
  <c r="L1624" i="525"/>
  <c r="I1624" i="525"/>
  <c r="E1624" i="525" s="1"/>
  <c r="H1624" i="525"/>
  <c r="L1623" i="525"/>
  <c r="I1623" i="525"/>
  <c r="J1623" i="525" s="1"/>
  <c r="H1623" i="525"/>
  <c r="E1623" i="525"/>
  <c r="L1622" i="525"/>
  <c r="I1622" i="525"/>
  <c r="J1622" i="525" s="1"/>
  <c r="H1622" i="525"/>
  <c r="L1621" i="525"/>
  <c r="J1621" i="525"/>
  <c r="G1621" i="525"/>
  <c r="E1621" i="525" s="1"/>
  <c r="L1620" i="525"/>
  <c r="J1620" i="525"/>
  <c r="G1620" i="525"/>
  <c r="H1620" i="525" s="1"/>
  <c r="E1620" i="525"/>
  <c r="N1618" i="525"/>
  <c r="J1616" i="525"/>
  <c r="H1616" i="525"/>
  <c r="L1615" i="525"/>
  <c r="I1615" i="525"/>
  <c r="J1615" i="525" s="1"/>
  <c r="H1615" i="525"/>
  <c r="L1614" i="525"/>
  <c r="I1614" i="525"/>
  <c r="H1614" i="525"/>
  <c r="L1613" i="525"/>
  <c r="I1613" i="525"/>
  <c r="H1613" i="525"/>
  <c r="L1612" i="525"/>
  <c r="J1612" i="525"/>
  <c r="H1612" i="525"/>
  <c r="G1612" i="525"/>
  <c r="E1612" i="525" s="1"/>
  <c r="L1611" i="525"/>
  <c r="J1611" i="525"/>
  <c r="H1611" i="525"/>
  <c r="K1616" i="525" s="1"/>
  <c r="G1611" i="525"/>
  <c r="E1611" i="525" s="1"/>
  <c r="N1609" i="525"/>
  <c r="L1607" i="525"/>
  <c r="L1608" i="525" s="1"/>
  <c r="H222" i="524" s="1"/>
  <c r="L174" i="523" s="1"/>
  <c r="M174" i="523" s="1"/>
  <c r="I1607" i="525"/>
  <c r="J1607" i="525" s="1"/>
  <c r="H1607" i="525"/>
  <c r="H1608" i="525" s="1"/>
  <c r="N1605" i="525"/>
  <c r="L1603" i="525"/>
  <c r="L1604" i="525" s="1"/>
  <c r="H221" i="524" s="1"/>
  <c r="L173" i="523" s="1"/>
  <c r="M173" i="523" s="1"/>
  <c r="I1603" i="525"/>
  <c r="J1603" i="525" s="1"/>
  <c r="H1603" i="525"/>
  <c r="H1604" i="525" s="1"/>
  <c r="N1601" i="525"/>
  <c r="L1598" i="525"/>
  <c r="I1598" i="525"/>
  <c r="J1598" i="525" s="1"/>
  <c r="H1598" i="525"/>
  <c r="N1596" i="525"/>
  <c r="L1593" i="525"/>
  <c r="J1593" i="525"/>
  <c r="I1593" i="525"/>
  <c r="H1593" i="525"/>
  <c r="E1593" i="525"/>
  <c r="N1591" i="525"/>
  <c r="L1588" i="525"/>
  <c r="I1588" i="525"/>
  <c r="J1588" i="525" s="1"/>
  <c r="H1588" i="525"/>
  <c r="E1588" i="525"/>
  <c r="N1586" i="525"/>
  <c r="L1584" i="525"/>
  <c r="L1585" i="525" s="1"/>
  <c r="I1584" i="525"/>
  <c r="E1584" i="525" s="1"/>
  <c r="H1584" i="525"/>
  <c r="H1585" i="525" s="1"/>
  <c r="N1582" i="525"/>
  <c r="L1580" i="525"/>
  <c r="L1581" i="525" s="1"/>
  <c r="H216" i="524" s="1"/>
  <c r="L170" i="523" s="1"/>
  <c r="M170" i="523" s="1"/>
  <c r="J1580" i="525"/>
  <c r="J1581" i="525" s="1"/>
  <c r="G216" i="524" s="1"/>
  <c r="J170" i="523" s="1"/>
  <c r="K170" i="523" s="1"/>
  <c r="I1580" i="525"/>
  <c r="H1580" i="525"/>
  <c r="E1580" i="525"/>
  <c r="N1578" i="525"/>
  <c r="L1576" i="525"/>
  <c r="L1577" i="525" s="1"/>
  <c r="I1576" i="525"/>
  <c r="H1576" i="525"/>
  <c r="N1574" i="525"/>
  <c r="L1572" i="525"/>
  <c r="L1573" i="525" s="1"/>
  <c r="J1572" i="525"/>
  <c r="J1573" i="525" s="1"/>
  <c r="I1572" i="525"/>
  <c r="H1572" i="525"/>
  <c r="E1572" i="525"/>
  <c r="N1570" i="525"/>
  <c r="L1568" i="525"/>
  <c r="L1569" i="525" s="1"/>
  <c r="J1568" i="525"/>
  <c r="J1569" i="525" s="1"/>
  <c r="I1568" i="525"/>
  <c r="E1568" i="525" s="1"/>
  <c r="H1568" i="525"/>
  <c r="N1566" i="525"/>
  <c r="L1564" i="525"/>
  <c r="J1564" i="525"/>
  <c r="L1563" i="525"/>
  <c r="I1563" i="525"/>
  <c r="H1563" i="525"/>
  <c r="L1561" i="525"/>
  <c r="I1561" i="525"/>
  <c r="H1561" i="525"/>
  <c r="L1559" i="525"/>
  <c r="I1559" i="525"/>
  <c r="H1559" i="525"/>
  <c r="L1558" i="525"/>
  <c r="I1558" i="525"/>
  <c r="J1558" i="525" s="1"/>
  <c r="H1558" i="525"/>
  <c r="L1557" i="525"/>
  <c r="I1557" i="525"/>
  <c r="H1557" i="525"/>
  <c r="L1555" i="525"/>
  <c r="I1555" i="525"/>
  <c r="H1555" i="525"/>
  <c r="L1552" i="525"/>
  <c r="I1552" i="525"/>
  <c r="J1552" i="525" s="1"/>
  <c r="H1552" i="525"/>
  <c r="N1545" i="525"/>
  <c r="L1543" i="525"/>
  <c r="J1543" i="525"/>
  <c r="L1542" i="525"/>
  <c r="I1542" i="525"/>
  <c r="E1542" i="525" s="1"/>
  <c r="H1542" i="525"/>
  <c r="L1540" i="525"/>
  <c r="I1540" i="525"/>
  <c r="E1540" i="525" s="1"/>
  <c r="H1540" i="525"/>
  <c r="L1538" i="525"/>
  <c r="I1538" i="525"/>
  <c r="E1538" i="525" s="1"/>
  <c r="H1538" i="525"/>
  <c r="L1537" i="525"/>
  <c r="I1537" i="525"/>
  <c r="J1537" i="525" s="1"/>
  <c r="H1537" i="525"/>
  <c r="L1536" i="525"/>
  <c r="J1536" i="525"/>
  <c r="I1536" i="525"/>
  <c r="E1536" i="525" s="1"/>
  <c r="H1536" i="525"/>
  <c r="L1534" i="525"/>
  <c r="J1534" i="525"/>
  <c r="I1534" i="525"/>
  <c r="E1534" i="525" s="1"/>
  <c r="H1534" i="525"/>
  <c r="L1531" i="525"/>
  <c r="I1531" i="525"/>
  <c r="J1531" i="525" s="1"/>
  <c r="F1531" i="525" s="1"/>
  <c r="H1531" i="525"/>
  <c r="N1524" i="525"/>
  <c r="L1522" i="525"/>
  <c r="J1522" i="525"/>
  <c r="N1516" i="525"/>
  <c r="L1514" i="525"/>
  <c r="J1514" i="525"/>
  <c r="N1508" i="525"/>
  <c r="N1501" i="525"/>
  <c r="L1499" i="525"/>
  <c r="J1499" i="525"/>
  <c r="N1493" i="525"/>
  <c r="L1491" i="525"/>
  <c r="J1491" i="525"/>
  <c r="N1485" i="525"/>
  <c r="N1478" i="525"/>
  <c r="L1476" i="525"/>
  <c r="J1476" i="525"/>
  <c r="L1475" i="525"/>
  <c r="I1475" i="525"/>
  <c r="E1475" i="525" s="1"/>
  <c r="H1475" i="525"/>
  <c r="L1474" i="525"/>
  <c r="I1474" i="525"/>
  <c r="J1474" i="525" s="1"/>
  <c r="H1474" i="525"/>
  <c r="L1472" i="525"/>
  <c r="I1472" i="525"/>
  <c r="J1472" i="525" s="1"/>
  <c r="H1472" i="525"/>
  <c r="N1465" i="525"/>
  <c r="L1463" i="525"/>
  <c r="J1463" i="525"/>
  <c r="L1462" i="525"/>
  <c r="I1462" i="525"/>
  <c r="H1462" i="525"/>
  <c r="L1461" i="525"/>
  <c r="I1461" i="525"/>
  <c r="J1461" i="525" s="1"/>
  <c r="H1461" i="525"/>
  <c r="L1459" i="525"/>
  <c r="I1459" i="525"/>
  <c r="J1459" i="525" s="1"/>
  <c r="H1459" i="525"/>
  <c r="N1452" i="525"/>
  <c r="L1450" i="525"/>
  <c r="I1450" i="525"/>
  <c r="H1450" i="525"/>
  <c r="L1449" i="525"/>
  <c r="I1449" i="525"/>
  <c r="J1449" i="525" s="1"/>
  <c r="H1449" i="525"/>
  <c r="L1447" i="525"/>
  <c r="I1447" i="525"/>
  <c r="J1447" i="525" s="1"/>
  <c r="H1447" i="525"/>
  <c r="N1440" i="525"/>
  <c r="L1438" i="525"/>
  <c r="J1438" i="525"/>
  <c r="L1437" i="525"/>
  <c r="J1437" i="525"/>
  <c r="I1437" i="525"/>
  <c r="E1437" i="525" s="1"/>
  <c r="H1437" i="525"/>
  <c r="L1435" i="525"/>
  <c r="J1435" i="525"/>
  <c r="I1435" i="525"/>
  <c r="H1435" i="525"/>
  <c r="E1435" i="525"/>
  <c r="N1433" i="525"/>
  <c r="L1431" i="525"/>
  <c r="J1431" i="525"/>
  <c r="L1430" i="525"/>
  <c r="J1430" i="525"/>
  <c r="I1430" i="525"/>
  <c r="E1430" i="525" s="1"/>
  <c r="H1430" i="525"/>
  <c r="L1428" i="525"/>
  <c r="I1428" i="525"/>
  <c r="E1428" i="525" s="1"/>
  <c r="H1428" i="525"/>
  <c r="N1426" i="525"/>
  <c r="L1424" i="525"/>
  <c r="J1424" i="525"/>
  <c r="I1424" i="525"/>
  <c r="H1424" i="525"/>
  <c r="E1424" i="525"/>
  <c r="L1422" i="525"/>
  <c r="I1422" i="525"/>
  <c r="H1422" i="525"/>
  <c r="N1420" i="525"/>
  <c r="L1418" i="525"/>
  <c r="J1418" i="525"/>
  <c r="K1414" i="525"/>
  <c r="L1414" i="525" s="1"/>
  <c r="N1412" i="525"/>
  <c r="L1410" i="525"/>
  <c r="J1410" i="525"/>
  <c r="K1406" i="525"/>
  <c r="L1406" i="525" s="1"/>
  <c r="N1404" i="525"/>
  <c r="K1399" i="525"/>
  <c r="L1399" i="525" s="1"/>
  <c r="N1397" i="525"/>
  <c r="N1392" i="525"/>
  <c r="L1390" i="525"/>
  <c r="J1390" i="525"/>
  <c r="F1390" i="525" s="1"/>
  <c r="I1390" i="525"/>
  <c r="H1390" i="525"/>
  <c r="E1390" i="525"/>
  <c r="L1388" i="525"/>
  <c r="I1388" i="525"/>
  <c r="J1388" i="525" s="1"/>
  <c r="H1388" i="525"/>
  <c r="E1388" i="525"/>
  <c r="L1386" i="525"/>
  <c r="I1386" i="525"/>
  <c r="H1386" i="525"/>
  <c r="L1385" i="525"/>
  <c r="I1385" i="525"/>
  <c r="J1385" i="525" s="1"/>
  <c r="H1385" i="525"/>
  <c r="L1384" i="525"/>
  <c r="I1384" i="525"/>
  <c r="E1384" i="525" s="1"/>
  <c r="H1384" i="525"/>
  <c r="L1382" i="525"/>
  <c r="I1382" i="525"/>
  <c r="E1382" i="525" s="1"/>
  <c r="H1382" i="525"/>
  <c r="L1379" i="525"/>
  <c r="I1379" i="525"/>
  <c r="J1379" i="525" s="1"/>
  <c r="H1379" i="525"/>
  <c r="N1372" i="525"/>
  <c r="L1370" i="525"/>
  <c r="J1370" i="525"/>
  <c r="N1365" i="525"/>
  <c r="L1363" i="525"/>
  <c r="J1363" i="525"/>
  <c r="N1357" i="525"/>
  <c r="L1355" i="525"/>
  <c r="J1355" i="525"/>
  <c r="N1349" i="525"/>
  <c r="L1347" i="525"/>
  <c r="J1347" i="525"/>
  <c r="N1341" i="525"/>
  <c r="L1339" i="525"/>
  <c r="J1339" i="525"/>
  <c r="N1334" i="525"/>
  <c r="L1332" i="525"/>
  <c r="J1332" i="525"/>
  <c r="N1326" i="525"/>
  <c r="L1324" i="525"/>
  <c r="J1324" i="525"/>
  <c r="N1318" i="525"/>
  <c r="L1316" i="525"/>
  <c r="J1316" i="525"/>
  <c r="N1310" i="525"/>
  <c r="N1304" i="525"/>
  <c r="N1297" i="525"/>
  <c r="N1290" i="525"/>
  <c r="N1283" i="525"/>
  <c r="L1281" i="525"/>
  <c r="I1281" i="525"/>
  <c r="J1281" i="525" s="1"/>
  <c r="H1281" i="525"/>
  <c r="N1278" i="525"/>
  <c r="L1276" i="525"/>
  <c r="J1276" i="525"/>
  <c r="L1275" i="525"/>
  <c r="I1275" i="525"/>
  <c r="J1275" i="525" s="1"/>
  <c r="H1275" i="525"/>
  <c r="E1275" i="525"/>
  <c r="N1272" i="525"/>
  <c r="L1270" i="525"/>
  <c r="J1270" i="525"/>
  <c r="L1269" i="525"/>
  <c r="I1269" i="525"/>
  <c r="J1269" i="525" s="1"/>
  <c r="H1269" i="525"/>
  <c r="N1266" i="525"/>
  <c r="L1264" i="525"/>
  <c r="J1264" i="525"/>
  <c r="L1263" i="525"/>
  <c r="I1263" i="525"/>
  <c r="H1263" i="525"/>
  <c r="N1260" i="525"/>
  <c r="L1258" i="525"/>
  <c r="J1258" i="525"/>
  <c r="L1257" i="525"/>
  <c r="I1257" i="525"/>
  <c r="J1257" i="525" s="1"/>
  <c r="H1257" i="525"/>
  <c r="N1254" i="525"/>
  <c r="L1252" i="525"/>
  <c r="J1252" i="525"/>
  <c r="L1251" i="525"/>
  <c r="I1251" i="525"/>
  <c r="H1251" i="525"/>
  <c r="N1248" i="525"/>
  <c r="L1246" i="525"/>
  <c r="J1246" i="525"/>
  <c r="L1245" i="525"/>
  <c r="I1245" i="525"/>
  <c r="J1245" i="525" s="1"/>
  <c r="H1245" i="525"/>
  <c r="N1242" i="525"/>
  <c r="L1240" i="525"/>
  <c r="I1240" i="525"/>
  <c r="E1240" i="525" s="1"/>
  <c r="H1240" i="525"/>
  <c r="N1237" i="525"/>
  <c r="L1235" i="525"/>
  <c r="I1235" i="525"/>
  <c r="J1235" i="525" s="1"/>
  <c r="H1235" i="525"/>
  <c r="N1232" i="525"/>
  <c r="L1230" i="525"/>
  <c r="J1230" i="525"/>
  <c r="I1230" i="525"/>
  <c r="E1230" i="525" s="1"/>
  <c r="H1230" i="525"/>
  <c r="N1227" i="525"/>
  <c r="L1225" i="525"/>
  <c r="H1225" i="525"/>
  <c r="L1224" i="525"/>
  <c r="I1224" i="525"/>
  <c r="J1224" i="525" s="1"/>
  <c r="H1224" i="525"/>
  <c r="L1223" i="525"/>
  <c r="I1223" i="525"/>
  <c r="J1223" i="525" s="1"/>
  <c r="H1223" i="525"/>
  <c r="E1223" i="525"/>
  <c r="N1220" i="525"/>
  <c r="L1218" i="525"/>
  <c r="L1219" i="525" s="1"/>
  <c r="I1218" i="525"/>
  <c r="J1218" i="525" s="1"/>
  <c r="H1218" i="525"/>
  <c r="H1219" i="525" s="1"/>
  <c r="N1216" i="525"/>
  <c r="L1214" i="525"/>
  <c r="I1214" i="525"/>
  <c r="J1214" i="525" s="1"/>
  <c r="F1214" i="525" s="1"/>
  <c r="H1214" i="525"/>
  <c r="L1213" i="525"/>
  <c r="I1213" i="525"/>
  <c r="H1213" i="525"/>
  <c r="K1212" i="525"/>
  <c r="J1212" i="525"/>
  <c r="H1212" i="525"/>
  <c r="L1211" i="525"/>
  <c r="J1211" i="525"/>
  <c r="G1211" i="525"/>
  <c r="H1211" i="525" s="1"/>
  <c r="L1210" i="525"/>
  <c r="J1210" i="525"/>
  <c r="G1210" i="525"/>
  <c r="E1210" i="525" s="1"/>
  <c r="N1208" i="525"/>
  <c r="L1206" i="525"/>
  <c r="I1206" i="525"/>
  <c r="J1206" i="525" s="1"/>
  <c r="H1206" i="525"/>
  <c r="L1205" i="525"/>
  <c r="I1205" i="525"/>
  <c r="H1205" i="525"/>
  <c r="K1204" i="525"/>
  <c r="E1204" i="525" s="1"/>
  <c r="J1204" i="525"/>
  <c r="H1204" i="525"/>
  <c r="L1203" i="525"/>
  <c r="J1203" i="525"/>
  <c r="G1203" i="525"/>
  <c r="H1203" i="525" s="1"/>
  <c r="L1202" i="525"/>
  <c r="J1202" i="525"/>
  <c r="G1202" i="525"/>
  <c r="E1202" i="525" s="1"/>
  <c r="N1200" i="525"/>
  <c r="L1198" i="525"/>
  <c r="I1198" i="525"/>
  <c r="J1198" i="525" s="1"/>
  <c r="H1198" i="525"/>
  <c r="L1197" i="525"/>
  <c r="I1197" i="525"/>
  <c r="H1197" i="525"/>
  <c r="K1196" i="525"/>
  <c r="J1196" i="525"/>
  <c r="H1196" i="525"/>
  <c r="L1195" i="525"/>
  <c r="J1195" i="525"/>
  <c r="G1195" i="525"/>
  <c r="H1195" i="525" s="1"/>
  <c r="L1194" i="525"/>
  <c r="J1194" i="525"/>
  <c r="G1194" i="525"/>
  <c r="H1194" i="525" s="1"/>
  <c r="N1192" i="525"/>
  <c r="L1190" i="525"/>
  <c r="I1190" i="525"/>
  <c r="H1190" i="525"/>
  <c r="L1189" i="525"/>
  <c r="I1189" i="525"/>
  <c r="J1189" i="525" s="1"/>
  <c r="H1189" i="525"/>
  <c r="K1188" i="525"/>
  <c r="J1188" i="525"/>
  <c r="H1188" i="525"/>
  <c r="L1187" i="525"/>
  <c r="J1187" i="525"/>
  <c r="G1187" i="525"/>
  <c r="H1187" i="525" s="1"/>
  <c r="L1186" i="525"/>
  <c r="J1186" i="525"/>
  <c r="G1186" i="525"/>
  <c r="N1184" i="525"/>
  <c r="L1182" i="525"/>
  <c r="I1182" i="525"/>
  <c r="H1182" i="525"/>
  <c r="L1181" i="525"/>
  <c r="I1181" i="525"/>
  <c r="J1181" i="525" s="1"/>
  <c r="H1181" i="525"/>
  <c r="K1180" i="525"/>
  <c r="L1180" i="525" s="1"/>
  <c r="J1180" i="525"/>
  <c r="H1180" i="525"/>
  <c r="E1180" i="525"/>
  <c r="L1179" i="525"/>
  <c r="J1179" i="525"/>
  <c r="G1179" i="525"/>
  <c r="E1179" i="525" s="1"/>
  <c r="L1178" i="525"/>
  <c r="J1178" i="525"/>
  <c r="G1178" i="525"/>
  <c r="N1176" i="525"/>
  <c r="L1174" i="525"/>
  <c r="I1174" i="525"/>
  <c r="H1174" i="525"/>
  <c r="L1173" i="525"/>
  <c r="I1173" i="525"/>
  <c r="J1173" i="525" s="1"/>
  <c r="H1173" i="525"/>
  <c r="K1172" i="525"/>
  <c r="L1172" i="525" s="1"/>
  <c r="J1172" i="525"/>
  <c r="H1172" i="525"/>
  <c r="E1172" i="525"/>
  <c r="L1171" i="525"/>
  <c r="J1171" i="525"/>
  <c r="H1171" i="525"/>
  <c r="G1171" i="525"/>
  <c r="E1171" i="525" s="1"/>
  <c r="L1170" i="525"/>
  <c r="J1170" i="525"/>
  <c r="G1170" i="525"/>
  <c r="H1170" i="525" s="1"/>
  <c r="N1168" i="525"/>
  <c r="L1166" i="525"/>
  <c r="I1166" i="525"/>
  <c r="H1166" i="525"/>
  <c r="L1165" i="525"/>
  <c r="I1165" i="525"/>
  <c r="J1165" i="525" s="1"/>
  <c r="H1165" i="525"/>
  <c r="K1164" i="525"/>
  <c r="L1164" i="525" s="1"/>
  <c r="J1164" i="525"/>
  <c r="H1164" i="525"/>
  <c r="E1164" i="525"/>
  <c r="L1163" i="525"/>
  <c r="J1163" i="525"/>
  <c r="G1163" i="525"/>
  <c r="E1163" i="525" s="1"/>
  <c r="L1162" i="525"/>
  <c r="J1162" i="525"/>
  <c r="G1162" i="525"/>
  <c r="H1162" i="525" s="1"/>
  <c r="N1160" i="525"/>
  <c r="L1158" i="525"/>
  <c r="I1158" i="525"/>
  <c r="H1158" i="525"/>
  <c r="L1157" i="525"/>
  <c r="I1157" i="525"/>
  <c r="J1157" i="525" s="1"/>
  <c r="H1157" i="525"/>
  <c r="K1156" i="525"/>
  <c r="L1156" i="525" s="1"/>
  <c r="J1156" i="525"/>
  <c r="H1156" i="525"/>
  <c r="E1156" i="525"/>
  <c r="L1155" i="525"/>
  <c r="J1155" i="525"/>
  <c r="H1155" i="525"/>
  <c r="G1155" i="525"/>
  <c r="E1155" i="525" s="1"/>
  <c r="L1154" i="525"/>
  <c r="L1159" i="525" s="1"/>
  <c r="J1154" i="525"/>
  <c r="G1154" i="525"/>
  <c r="H1154" i="525" s="1"/>
  <c r="N1152" i="525"/>
  <c r="L1150" i="525"/>
  <c r="I1150" i="525"/>
  <c r="H1150" i="525"/>
  <c r="L1149" i="525"/>
  <c r="I1149" i="525"/>
  <c r="J1149" i="525" s="1"/>
  <c r="H1149" i="525"/>
  <c r="K1148" i="525"/>
  <c r="J1148" i="525"/>
  <c r="H1148" i="525"/>
  <c r="L1147" i="525"/>
  <c r="J1147" i="525"/>
  <c r="G1147" i="525"/>
  <c r="L1146" i="525"/>
  <c r="J1146" i="525"/>
  <c r="G1146" i="525"/>
  <c r="H1146" i="525" s="1"/>
  <c r="N1144" i="525"/>
  <c r="L1142" i="525"/>
  <c r="I1142" i="525"/>
  <c r="H1142" i="525"/>
  <c r="L1141" i="525"/>
  <c r="I1141" i="525"/>
  <c r="J1141" i="525" s="1"/>
  <c r="H1141" i="525"/>
  <c r="K1140" i="525"/>
  <c r="L1140" i="525" s="1"/>
  <c r="J1140" i="525"/>
  <c r="H1140" i="525"/>
  <c r="E1140" i="525"/>
  <c r="L1139" i="525"/>
  <c r="J1139" i="525"/>
  <c r="H1139" i="525"/>
  <c r="G1139" i="525"/>
  <c r="E1139" i="525" s="1"/>
  <c r="L1138" i="525"/>
  <c r="J1138" i="525"/>
  <c r="G1138" i="525"/>
  <c r="H1138" i="525" s="1"/>
  <c r="N1136" i="525"/>
  <c r="L1134" i="525"/>
  <c r="I1134" i="525"/>
  <c r="H1134" i="525"/>
  <c r="L1133" i="525"/>
  <c r="I1133" i="525"/>
  <c r="J1133" i="525" s="1"/>
  <c r="H1133" i="525"/>
  <c r="K1132" i="525"/>
  <c r="L1132" i="525" s="1"/>
  <c r="J1132" i="525"/>
  <c r="H1132" i="525"/>
  <c r="E1132" i="525"/>
  <c r="L1131" i="525"/>
  <c r="J1131" i="525"/>
  <c r="G1131" i="525"/>
  <c r="L1130" i="525"/>
  <c r="J1130" i="525"/>
  <c r="G1130" i="525"/>
  <c r="H1130" i="525" s="1"/>
  <c r="N1128" i="525"/>
  <c r="L1126" i="525"/>
  <c r="I1126" i="525"/>
  <c r="H1126" i="525"/>
  <c r="L1125" i="525"/>
  <c r="I1125" i="525"/>
  <c r="J1125" i="525" s="1"/>
  <c r="H1125" i="525"/>
  <c r="K1124" i="525"/>
  <c r="L1124" i="525" s="1"/>
  <c r="J1124" i="525"/>
  <c r="H1124" i="525"/>
  <c r="E1124" i="525"/>
  <c r="L1123" i="525"/>
  <c r="J1123" i="525"/>
  <c r="H1123" i="525"/>
  <c r="G1123" i="525"/>
  <c r="E1123" i="525" s="1"/>
  <c r="L1122" i="525"/>
  <c r="J1122" i="525"/>
  <c r="G1122" i="525"/>
  <c r="H1122" i="525" s="1"/>
  <c r="N1120" i="525"/>
  <c r="L1118" i="525"/>
  <c r="I1118" i="525"/>
  <c r="H1118" i="525"/>
  <c r="L1117" i="525"/>
  <c r="I1117" i="525"/>
  <c r="J1117" i="525" s="1"/>
  <c r="H1117" i="525"/>
  <c r="K1116" i="525"/>
  <c r="L1116" i="525" s="1"/>
  <c r="J1116" i="525"/>
  <c r="H1116" i="525"/>
  <c r="E1116" i="525"/>
  <c r="L1115" i="525"/>
  <c r="J1115" i="525"/>
  <c r="G1115" i="525"/>
  <c r="L1114" i="525"/>
  <c r="J1114" i="525"/>
  <c r="G1114" i="525"/>
  <c r="H1114" i="525" s="1"/>
  <c r="N1112" i="525"/>
  <c r="L1110" i="525"/>
  <c r="J1110" i="525"/>
  <c r="I1110" i="525"/>
  <c r="E1110" i="525" s="1"/>
  <c r="H1110" i="525"/>
  <c r="L1109" i="525"/>
  <c r="I1109" i="525"/>
  <c r="J1109" i="525" s="1"/>
  <c r="H1109" i="525"/>
  <c r="K1108" i="525"/>
  <c r="L1108" i="525" s="1"/>
  <c r="J1108" i="525"/>
  <c r="H1108" i="525"/>
  <c r="L1107" i="525"/>
  <c r="J1107" i="525"/>
  <c r="G1107" i="525"/>
  <c r="L1106" i="525"/>
  <c r="J1106" i="525"/>
  <c r="G1106" i="525"/>
  <c r="H1106" i="525" s="1"/>
  <c r="N1104" i="525"/>
  <c r="L1102" i="525"/>
  <c r="I1102" i="525"/>
  <c r="E1102" i="525" s="1"/>
  <c r="H1102" i="525"/>
  <c r="L1101" i="525"/>
  <c r="I1101" i="525"/>
  <c r="J1101" i="525" s="1"/>
  <c r="H1101" i="525"/>
  <c r="K1100" i="525"/>
  <c r="J1100" i="525"/>
  <c r="H1100" i="525"/>
  <c r="L1099" i="525"/>
  <c r="J1099" i="525"/>
  <c r="G1099" i="525"/>
  <c r="L1098" i="525"/>
  <c r="J1098" i="525"/>
  <c r="G1098" i="525"/>
  <c r="H1098" i="525" s="1"/>
  <c r="N1096" i="525"/>
  <c r="L1094" i="525"/>
  <c r="I1094" i="525"/>
  <c r="E1094" i="525" s="1"/>
  <c r="H1094" i="525"/>
  <c r="L1093" i="525"/>
  <c r="I1093" i="525"/>
  <c r="J1093" i="525" s="1"/>
  <c r="H1093" i="525"/>
  <c r="K1092" i="525"/>
  <c r="J1092" i="525"/>
  <c r="H1092" i="525"/>
  <c r="L1091" i="525"/>
  <c r="J1091" i="525"/>
  <c r="G1091" i="525"/>
  <c r="L1090" i="525"/>
  <c r="J1090" i="525"/>
  <c r="G1090" i="525"/>
  <c r="H1090" i="525" s="1"/>
  <c r="N1088" i="525"/>
  <c r="L1086" i="525"/>
  <c r="I1086" i="525"/>
  <c r="E1086" i="525" s="1"/>
  <c r="H1086" i="525"/>
  <c r="L1085" i="525"/>
  <c r="I1085" i="525"/>
  <c r="J1085" i="525" s="1"/>
  <c r="H1085" i="525"/>
  <c r="K1084" i="525"/>
  <c r="J1084" i="525"/>
  <c r="H1084" i="525"/>
  <c r="L1083" i="525"/>
  <c r="J1083" i="525"/>
  <c r="H1083" i="525"/>
  <c r="G1083" i="525"/>
  <c r="E1083" i="525" s="1"/>
  <c r="L1082" i="525"/>
  <c r="J1082" i="525"/>
  <c r="G1082" i="525"/>
  <c r="H1082" i="525" s="1"/>
  <c r="N1080" i="525"/>
  <c r="L1078" i="525"/>
  <c r="I1078" i="525"/>
  <c r="H1078" i="525"/>
  <c r="L1077" i="525"/>
  <c r="I1077" i="525"/>
  <c r="J1077" i="525" s="1"/>
  <c r="H1077" i="525"/>
  <c r="K1076" i="525"/>
  <c r="L1076" i="525" s="1"/>
  <c r="J1076" i="525"/>
  <c r="F1076" i="525" s="1"/>
  <c r="H1076" i="525"/>
  <c r="L1075" i="525"/>
  <c r="J1075" i="525"/>
  <c r="H1075" i="525"/>
  <c r="G1075" i="525"/>
  <c r="E1075" i="525" s="1"/>
  <c r="L1074" i="525"/>
  <c r="J1074" i="525"/>
  <c r="G1074" i="525"/>
  <c r="H1074" i="525" s="1"/>
  <c r="H1079" i="525" s="1"/>
  <c r="N1072" i="525"/>
  <c r="L1070" i="525"/>
  <c r="I1070" i="525"/>
  <c r="J1070" i="525" s="1"/>
  <c r="H1070" i="525"/>
  <c r="E1070" i="525"/>
  <c r="L1069" i="525"/>
  <c r="I1069" i="525"/>
  <c r="J1069" i="525" s="1"/>
  <c r="H1069" i="525"/>
  <c r="K1068" i="525"/>
  <c r="L1068" i="525" s="1"/>
  <c r="J1068" i="525"/>
  <c r="H1068" i="525"/>
  <c r="L1067" i="525"/>
  <c r="J1067" i="525"/>
  <c r="G1067" i="525"/>
  <c r="E1067" i="525" s="1"/>
  <c r="L1066" i="525"/>
  <c r="J1066" i="525"/>
  <c r="G1066" i="525"/>
  <c r="H1066" i="525" s="1"/>
  <c r="N1064" i="525"/>
  <c r="L1063" i="525"/>
  <c r="H150" i="524" s="1"/>
  <c r="L145" i="523" s="1"/>
  <c r="M145" i="523" s="1"/>
  <c r="L1062" i="525"/>
  <c r="J1062" i="525"/>
  <c r="J1063" i="525" s="1"/>
  <c r="G1062" i="525"/>
  <c r="H1062" i="525" s="1"/>
  <c r="H1063" i="525" s="1"/>
  <c r="N1060" i="525"/>
  <c r="L1059" i="525"/>
  <c r="L1058" i="525"/>
  <c r="J1058" i="525"/>
  <c r="J1059" i="525" s="1"/>
  <c r="G1058" i="525"/>
  <c r="H1058" i="525" s="1"/>
  <c r="H1059" i="525" s="1"/>
  <c r="F149" i="524" s="1"/>
  <c r="H146" i="523" s="1"/>
  <c r="I146" i="523" s="1"/>
  <c r="N1056" i="525"/>
  <c r="L1053" i="525"/>
  <c r="I1053" i="525"/>
  <c r="J1053" i="525" s="1"/>
  <c r="H1053" i="525"/>
  <c r="N1051" i="525"/>
  <c r="L1048" i="525"/>
  <c r="I1048" i="525"/>
  <c r="J1048" i="525" s="1"/>
  <c r="H1048" i="525"/>
  <c r="N1046" i="525"/>
  <c r="L1043" i="525"/>
  <c r="I1043" i="525"/>
  <c r="J1043" i="525" s="1"/>
  <c r="H1043" i="525"/>
  <c r="N1041" i="525"/>
  <c r="L1039" i="525"/>
  <c r="H1039" i="525"/>
  <c r="L1038" i="525"/>
  <c r="I1038" i="525"/>
  <c r="J1038" i="525" s="1"/>
  <c r="H1038" i="525"/>
  <c r="L1037" i="525"/>
  <c r="J1037" i="525"/>
  <c r="F1037" i="525" s="1"/>
  <c r="G1037" i="525"/>
  <c r="H1037" i="525" s="1"/>
  <c r="L1036" i="525"/>
  <c r="J1036" i="525"/>
  <c r="G1036" i="525"/>
  <c r="H1036" i="525" s="1"/>
  <c r="N1034" i="525"/>
  <c r="L1032" i="525"/>
  <c r="J1032" i="525"/>
  <c r="L1031" i="525"/>
  <c r="I1031" i="525"/>
  <c r="J1031" i="525" s="1"/>
  <c r="H1031" i="525"/>
  <c r="L1030" i="525"/>
  <c r="J1030" i="525"/>
  <c r="F1030" i="525" s="1"/>
  <c r="I1030" i="525"/>
  <c r="E1030" i="525" s="1"/>
  <c r="H1030" i="525"/>
  <c r="N1026" i="525"/>
  <c r="L1024" i="525"/>
  <c r="J1024" i="525"/>
  <c r="L1023" i="525"/>
  <c r="I1023" i="525"/>
  <c r="H1023" i="525"/>
  <c r="L1022" i="525"/>
  <c r="I1022" i="525"/>
  <c r="J1022" i="525" s="1"/>
  <c r="H1022" i="525"/>
  <c r="N1018" i="525"/>
  <c r="L1016" i="525"/>
  <c r="J1016" i="525"/>
  <c r="L1015" i="525"/>
  <c r="I1015" i="525"/>
  <c r="J1015" i="525" s="1"/>
  <c r="H1015" i="525"/>
  <c r="L1014" i="525"/>
  <c r="I1014" i="525"/>
  <c r="E1014" i="525" s="1"/>
  <c r="H1014" i="525"/>
  <c r="N1010" i="525"/>
  <c r="L1008" i="525"/>
  <c r="J1008" i="525"/>
  <c r="L1007" i="525"/>
  <c r="I1007" i="525"/>
  <c r="H1007" i="525"/>
  <c r="L1006" i="525"/>
  <c r="I1006" i="525"/>
  <c r="J1006" i="525" s="1"/>
  <c r="H1006" i="525"/>
  <c r="N1002" i="525"/>
  <c r="L1000" i="525"/>
  <c r="J1000" i="525"/>
  <c r="L999" i="525"/>
  <c r="I999" i="525"/>
  <c r="J999" i="525" s="1"/>
  <c r="H999" i="525"/>
  <c r="L998" i="525"/>
  <c r="J998" i="525"/>
  <c r="I998" i="525"/>
  <c r="E998" i="525" s="1"/>
  <c r="H998" i="525"/>
  <c r="N994" i="525"/>
  <c r="L992" i="525"/>
  <c r="J992" i="525"/>
  <c r="L991" i="525"/>
  <c r="J991" i="525"/>
  <c r="I991" i="525"/>
  <c r="E991" i="525" s="1"/>
  <c r="H991" i="525"/>
  <c r="L990" i="525"/>
  <c r="I990" i="525"/>
  <c r="J990" i="525" s="1"/>
  <c r="H990" i="525"/>
  <c r="N986" i="525"/>
  <c r="L984" i="525"/>
  <c r="J984" i="525"/>
  <c r="L983" i="525"/>
  <c r="I983" i="525"/>
  <c r="J983" i="525" s="1"/>
  <c r="H983" i="525"/>
  <c r="L982" i="525"/>
  <c r="J982" i="525"/>
  <c r="I982" i="525"/>
  <c r="H982" i="525"/>
  <c r="E982" i="525"/>
  <c r="N978" i="525"/>
  <c r="L976" i="525"/>
  <c r="J976" i="525"/>
  <c r="L975" i="525"/>
  <c r="I975" i="525"/>
  <c r="H975" i="525"/>
  <c r="L974" i="525"/>
  <c r="I974" i="525"/>
  <c r="J974" i="525" s="1"/>
  <c r="H974" i="525"/>
  <c r="N970" i="525"/>
  <c r="L968" i="525"/>
  <c r="I968" i="525"/>
  <c r="J968" i="525" s="1"/>
  <c r="H968" i="525"/>
  <c r="L967" i="525"/>
  <c r="I967" i="525"/>
  <c r="H967" i="525"/>
  <c r="N963" i="525"/>
  <c r="L961" i="525"/>
  <c r="J961" i="525"/>
  <c r="I961" i="525"/>
  <c r="H961" i="525"/>
  <c r="E961" i="525"/>
  <c r="L960" i="525"/>
  <c r="I960" i="525"/>
  <c r="J960" i="525" s="1"/>
  <c r="H960" i="525"/>
  <c r="N956" i="525"/>
  <c r="L954" i="525"/>
  <c r="I954" i="525"/>
  <c r="J954" i="525" s="1"/>
  <c r="H954" i="525"/>
  <c r="L953" i="525"/>
  <c r="J953" i="525"/>
  <c r="I953" i="525"/>
  <c r="H953" i="525"/>
  <c r="E953" i="525"/>
  <c r="N949" i="525"/>
  <c r="L947" i="525"/>
  <c r="I947" i="525"/>
  <c r="H947" i="525"/>
  <c r="L946" i="525"/>
  <c r="I946" i="525"/>
  <c r="J946" i="525" s="1"/>
  <c r="H946" i="525"/>
  <c r="N942" i="525"/>
  <c r="L940" i="525"/>
  <c r="I940" i="525"/>
  <c r="J940" i="525" s="1"/>
  <c r="H940" i="525"/>
  <c r="L939" i="525"/>
  <c r="I939" i="525"/>
  <c r="H939" i="525"/>
  <c r="N935" i="525"/>
  <c r="L933" i="525"/>
  <c r="J933" i="525"/>
  <c r="I933" i="525"/>
  <c r="E933" i="525" s="1"/>
  <c r="H933" i="525"/>
  <c r="L932" i="525"/>
  <c r="I932" i="525"/>
  <c r="J932" i="525" s="1"/>
  <c r="H932" i="525"/>
  <c r="N928" i="525"/>
  <c r="L926" i="525"/>
  <c r="I926" i="525"/>
  <c r="J926" i="525" s="1"/>
  <c r="H926" i="525"/>
  <c r="L925" i="525"/>
  <c r="I925" i="525"/>
  <c r="E925" i="525" s="1"/>
  <c r="H925" i="525"/>
  <c r="N921" i="525"/>
  <c r="L919" i="525"/>
  <c r="J919" i="525"/>
  <c r="F919" i="525" s="1"/>
  <c r="I919" i="525"/>
  <c r="E919" i="525" s="1"/>
  <c r="H919" i="525"/>
  <c r="L918" i="525"/>
  <c r="I918" i="525"/>
  <c r="J918" i="525" s="1"/>
  <c r="F918" i="525" s="1"/>
  <c r="H918" i="525"/>
  <c r="N914" i="525"/>
  <c r="L912" i="525"/>
  <c r="I912" i="525"/>
  <c r="J912" i="525" s="1"/>
  <c r="H912" i="525"/>
  <c r="L911" i="525"/>
  <c r="I911" i="525"/>
  <c r="E911" i="525" s="1"/>
  <c r="H911" i="525"/>
  <c r="N907" i="525"/>
  <c r="L905" i="525"/>
  <c r="I905" i="525"/>
  <c r="J905" i="525" s="1"/>
  <c r="F905" i="525" s="1"/>
  <c r="H905" i="525"/>
  <c r="L904" i="525"/>
  <c r="I904" i="525"/>
  <c r="J904" i="525" s="1"/>
  <c r="H904" i="525"/>
  <c r="N900" i="525"/>
  <c r="L894" i="525"/>
  <c r="I894" i="525"/>
  <c r="H894" i="525"/>
  <c r="N892" i="525"/>
  <c r="L886" i="525"/>
  <c r="I886" i="525"/>
  <c r="J886" i="525" s="1"/>
  <c r="H886" i="525"/>
  <c r="N884" i="525"/>
  <c r="L882" i="525"/>
  <c r="L883" i="525" s="1"/>
  <c r="I882" i="525"/>
  <c r="J882" i="525" s="1"/>
  <c r="H882" i="525"/>
  <c r="H883" i="525" s="1"/>
  <c r="F124" i="524" s="1"/>
  <c r="H184" i="523" s="1"/>
  <c r="I184" i="523" s="1"/>
  <c r="N880" i="525"/>
  <c r="L878" i="525"/>
  <c r="J878" i="525"/>
  <c r="N872" i="525"/>
  <c r="L870" i="525"/>
  <c r="J870" i="525"/>
  <c r="N864" i="525"/>
  <c r="N857" i="525"/>
  <c r="L855" i="525"/>
  <c r="J855" i="525"/>
  <c r="G855" i="525"/>
  <c r="E855" i="525" s="1"/>
  <c r="N850" i="525"/>
  <c r="H849" i="525"/>
  <c r="L848" i="525"/>
  <c r="L849" i="525" s="1"/>
  <c r="H119" i="524" s="1"/>
  <c r="I848" i="525"/>
  <c r="J848" i="525" s="1"/>
  <c r="H848" i="525"/>
  <c r="N846" i="525"/>
  <c r="L844" i="525"/>
  <c r="L845" i="525" s="1"/>
  <c r="I844" i="525"/>
  <c r="J844" i="525" s="1"/>
  <c r="H844" i="525"/>
  <c r="H845" i="525" s="1"/>
  <c r="F118" i="524" s="1"/>
  <c r="H182" i="523" s="1"/>
  <c r="I182" i="523" s="1"/>
  <c r="N842" i="525"/>
  <c r="L840" i="525"/>
  <c r="L841" i="525" s="1"/>
  <c r="H117" i="524" s="1"/>
  <c r="I840" i="525"/>
  <c r="J840" i="525" s="1"/>
  <c r="H840" i="525"/>
  <c r="H841" i="525" s="1"/>
  <c r="N838" i="525"/>
  <c r="L833" i="525"/>
  <c r="J833" i="525"/>
  <c r="I833" i="525"/>
  <c r="E833" i="525" s="1"/>
  <c r="H833" i="525"/>
  <c r="N830" i="525"/>
  <c r="J828" i="525"/>
  <c r="H828" i="525"/>
  <c r="L827" i="525"/>
  <c r="J827" i="525"/>
  <c r="G827" i="525"/>
  <c r="E827" i="525" s="1"/>
  <c r="L826" i="525"/>
  <c r="J826" i="525"/>
  <c r="G826" i="525"/>
  <c r="E826" i="525" s="1"/>
  <c r="L825" i="525"/>
  <c r="I825" i="525"/>
  <c r="J825" i="525" s="1"/>
  <c r="H825" i="525"/>
  <c r="N823" i="525"/>
  <c r="J821" i="525"/>
  <c r="H821" i="525"/>
  <c r="L820" i="525"/>
  <c r="J820" i="525"/>
  <c r="G820" i="525"/>
  <c r="E820" i="525" s="1"/>
  <c r="L819" i="525"/>
  <c r="J819" i="525"/>
  <c r="G819" i="525"/>
  <c r="E819" i="525" s="1"/>
  <c r="N817" i="525"/>
  <c r="J815" i="525"/>
  <c r="H815" i="525"/>
  <c r="L814" i="525"/>
  <c r="J814" i="525"/>
  <c r="G814" i="525"/>
  <c r="L813" i="525"/>
  <c r="J813" i="525"/>
  <c r="G813" i="525"/>
  <c r="E813" i="525" s="1"/>
  <c r="N811" i="525"/>
  <c r="L809" i="525"/>
  <c r="J809" i="525"/>
  <c r="L808" i="525"/>
  <c r="I808" i="525"/>
  <c r="J808" i="525" s="1"/>
  <c r="H808" i="525"/>
  <c r="L807" i="525"/>
  <c r="J807" i="525"/>
  <c r="I807" i="525"/>
  <c r="H807" i="525"/>
  <c r="E807" i="525"/>
  <c r="L805" i="525"/>
  <c r="J805" i="525"/>
  <c r="I805" i="525"/>
  <c r="H805" i="525"/>
  <c r="E805" i="525"/>
  <c r="N801" i="525"/>
  <c r="L799" i="525"/>
  <c r="J799" i="525"/>
  <c r="L798" i="525"/>
  <c r="I798" i="525"/>
  <c r="H798" i="525"/>
  <c r="L797" i="525"/>
  <c r="I797" i="525"/>
  <c r="J797" i="525" s="1"/>
  <c r="H797" i="525"/>
  <c r="L795" i="525"/>
  <c r="I795" i="525"/>
  <c r="J795" i="525" s="1"/>
  <c r="H795" i="525"/>
  <c r="N791" i="525"/>
  <c r="L789" i="525"/>
  <c r="J789" i="525"/>
  <c r="L788" i="525"/>
  <c r="I788" i="525"/>
  <c r="J788" i="525" s="1"/>
  <c r="H788" i="525"/>
  <c r="L787" i="525"/>
  <c r="J787" i="525"/>
  <c r="I787" i="525"/>
  <c r="E787" i="525" s="1"/>
  <c r="H787" i="525"/>
  <c r="L785" i="525"/>
  <c r="J785" i="525"/>
  <c r="I785" i="525"/>
  <c r="E785" i="525" s="1"/>
  <c r="H785" i="525"/>
  <c r="N781" i="525"/>
  <c r="L779" i="525"/>
  <c r="J779" i="525"/>
  <c r="L778" i="525"/>
  <c r="I778" i="525"/>
  <c r="E778" i="525" s="1"/>
  <c r="H778" i="525"/>
  <c r="L777" i="525"/>
  <c r="I777" i="525"/>
  <c r="J777" i="525" s="1"/>
  <c r="H777" i="525"/>
  <c r="L775" i="525"/>
  <c r="I775" i="525"/>
  <c r="J775" i="525" s="1"/>
  <c r="H775" i="525"/>
  <c r="N771" i="525"/>
  <c r="L769" i="525"/>
  <c r="J769" i="525"/>
  <c r="L768" i="525"/>
  <c r="I768" i="525"/>
  <c r="J768" i="525" s="1"/>
  <c r="H768" i="525"/>
  <c r="L767" i="525"/>
  <c r="I767" i="525"/>
  <c r="E767" i="525" s="1"/>
  <c r="H767" i="525"/>
  <c r="L765" i="525"/>
  <c r="I765" i="525"/>
  <c r="E765" i="525" s="1"/>
  <c r="H765" i="525"/>
  <c r="N761" i="525"/>
  <c r="L759" i="525"/>
  <c r="J759" i="525"/>
  <c r="L758" i="525"/>
  <c r="I758" i="525"/>
  <c r="J758" i="525" s="1"/>
  <c r="H758" i="525"/>
  <c r="L757" i="525"/>
  <c r="I757" i="525"/>
  <c r="J757" i="525" s="1"/>
  <c r="H757" i="525"/>
  <c r="L755" i="525"/>
  <c r="I755" i="525"/>
  <c r="J755" i="525" s="1"/>
  <c r="H755" i="525"/>
  <c r="N751" i="525"/>
  <c r="L749" i="525"/>
  <c r="J749" i="525"/>
  <c r="L748" i="525"/>
  <c r="I748" i="525"/>
  <c r="J748" i="525" s="1"/>
  <c r="F748" i="525" s="1"/>
  <c r="H748" i="525"/>
  <c r="L747" i="525"/>
  <c r="I747" i="525"/>
  <c r="J747" i="525" s="1"/>
  <c r="H747" i="525"/>
  <c r="L745" i="525"/>
  <c r="I745" i="525"/>
  <c r="J745" i="525" s="1"/>
  <c r="H745" i="525"/>
  <c r="N741" i="525"/>
  <c r="L739" i="525"/>
  <c r="J739" i="525"/>
  <c r="L738" i="525"/>
  <c r="I738" i="525"/>
  <c r="J738" i="525" s="1"/>
  <c r="H738" i="525"/>
  <c r="E738" i="525"/>
  <c r="L737" i="525"/>
  <c r="I737" i="525"/>
  <c r="J737" i="525" s="1"/>
  <c r="H737" i="525"/>
  <c r="L735" i="525"/>
  <c r="I735" i="525"/>
  <c r="J735" i="525" s="1"/>
  <c r="H735" i="525"/>
  <c r="N731" i="525"/>
  <c r="L729" i="525"/>
  <c r="J729" i="525"/>
  <c r="L728" i="525"/>
  <c r="I728" i="525"/>
  <c r="J728" i="525" s="1"/>
  <c r="H728" i="525"/>
  <c r="L727" i="525"/>
  <c r="I727" i="525"/>
  <c r="J727" i="525" s="1"/>
  <c r="H727" i="525"/>
  <c r="E727" i="525"/>
  <c r="L725" i="525"/>
  <c r="I725" i="525"/>
  <c r="J725" i="525" s="1"/>
  <c r="H725" i="525"/>
  <c r="E725" i="525"/>
  <c r="N721" i="525"/>
  <c r="L719" i="525"/>
  <c r="J719" i="525"/>
  <c r="L718" i="525"/>
  <c r="I718" i="525"/>
  <c r="J718" i="525" s="1"/>
  <c r="H718" i="525"/>
  <c r="E718" i="525"/>
  <c r="L717" i="525"/>
  <c r="I717" i="525"/>
  <c r="J717" i="525" s="1"/>
  <c r="H717" i="525"/>
  <c r="L715" i="525"/>
  <c r="I715" i="525"/>
  <c r="J715" i="525" s="1"/>
  <c r="H715" i="525"/>
  <c r="N711" i="525"/>
  <c r="L709" i="525"/>
  <c r="J709" i="525"/>
  <c r="N704" i="525"/>
  <c r="L702" i="525"/>
  <c r="J702" i="525"/>
  <c r="N697" i="525"/>
  <c r="L695" i="525"/>
  <c r="J695" i="525"/>
  <c r="N690" i="525"/>
  <c r="L688" i="525"/>
  <c r="J688" i="525"/>
  <c r="N683" i="525"/>
  <c r="L681" i="525"/>
  <c r="J681" i="525"/>
  <c r="N676" i="525"/>
  <c r="L674" i="525"/>
  <c r="J674" i="525"/>
  <c r="N669" i="525"/>
  <c r="L667" i="525"/>
  <c r="J667" i="525"/>
  <c r="N662" i="525"/>
  <c r="L660" i="525"/>
  <c r="J660" i="525"/>
  <c r="N655" i="525"/>
  <c r="L653" i="525"/>
  <c r="J653" i="525"/>
  <c r="N648" i="525"/>
  <c r="L646" i="525"/>
  <c r="J646" i="525"/>
  <c r="N641" i="525"/>
  <c r="N635" i="525"/>
  <c r="N629" i="525"/>
  <c r="N623" i="525"/>
  <c r="N617" i="525"/>
  <c r="N611" i="525"/>
  <c r="L609" i="525"/>
  <c r="J609" i="525"/>
  <c r="L608" i="525"/>
  <c r="I608" i="525"/>
  <c r="J608" i="525" s="1"/>
  <c r="H608" i="525"/>
  <c r="L607" i="525"/>
  <c r="I607" i="525"/>
  <c r="J607" i="525" s="1"/>
  <c r="H607" i="525"/>
  <c r="N602" i="525"/>
  <c r="L600" i="525"/>
  <c r="J600" i="525"/>
  <c r="L599" i="525"/>
  <c r="I599" i="525"/>
  <c r="J599" i="525" s="1"/>
  <c r="H599" i="525"/>
  <c r="L598" i="525"/>
  <c r="I598" i="525"/>
  <c r="E598" i="525" s="1"/>
  <c r="H598" i="525"/>
  <c r="N593" i="525"/>
  <c r="L591" i="525"/>
  <c r="J591" i="525"/>
  <c r="L590" i="525"/>
  <c r="I590" i="525"/>
  <c r="J590" i="525" s="1"/>
  <c r="H590" i="525"/>
  <c r="L589" i="525"/>
  <c r="J589" i="525"/>
  <c r="F589" i="525" s="1"/>
  <c r="I589" i="525"/>
  <c r="E589" i="525" s="1"/>
  <c r="H589" i="525"/>
  <c r="N584" i="525"/>
  <c r="L582" i="525"/>
  <c r="J582" i="525"/>
  <c r="L581" i="525"/>
  <c r="I581" i="525"/>
  <c r="J581" i="525" s="1"/>
  <c r="F581" i="525" s="1"/>
  <c r="H581" i="525"/>
  <c r="L580" i="525"/>
  <c r="I580" i="525"/>
  <c r="J580" i="525" s="1"/>
  <c r="H580" i="525"/>
  <c r="N575" i="525"/>
  <c r="L573" i="525"/>
  <c r="J573" i="525"/>
  <c r="L572" i="525"/>
  <c r="I572" i="525"/>
  <c r="J572" i="525" s="1"/>
  <c r="H572" i="525"/>
  <c r="L571" i="525"/>
  <c r="I571" i="525"/>
  <c r="J571" i="525" s="1"/>
  <c r="H571" i="525"/>
  <c r="F571" i="525" s="1"/>
  <c r="E571" i="525"/>
  <c r="N566" i="525"/>
  <c r="L564" i="525"/>
  <c r="J564" i="525"/>
  <c r="L563" i="525"/>
  <c r="I563" i="525"/>
  <c r="J563" i="525" s="1"/>
  <c r="H563" i="525"/>
  <c r="L562" i="525"/>
  <c r="I562" i="525"/>
  <c r="J562" i="525" s="1"/>
  <c r="H562" i="525"/>
  <c r="E562" i="525"/>
  <c r="N557" i="525"/>
  <c r="L555" i="525"/>
  <c r="I555" i="525"/>
  <c r="E555" i="525" s="1"/>
  <c r="H555" i="525"/>
  <c r="L554" i="525"/>
  <c r="I554" i="525"/>
  <c r="E554" i="525" s="1"/>
  <c r="H554" i="525"/>
  <c r="N549" i="525"/>
  <c r="L547" i="525"/>
  <c r="I547" i="525"/>
  <c r="J547" i="525" s="1"/>
  <c r="H547" i="525"/>
  <c r="L546" i="525"/>
  <c r="J546" i="525"/>
  <c r="I546" i="525"/>
  <c r="E546" i="525" s="1"/>
  <c r="H546" i="525"/>
  <c r="N541" i="525"/>
  <c r="L539" i="525"/>
  <c r="I539" i="525"/>
  <c r="E539" i="525" s="1"/>
  <c r="H539" i="525"/>
  <c r="L538" i="525"/>
  <c r="I538" i="525"/>
  <c r="H538" i="525"/>
  <c r="N533" i="525"/>
  <c r="L531" i="525"/>
  <c r="I531" i="525"/>
  <c r="J531" i="525" s="1"/>
  <c r="H531" i="525"/>
  <c r="L530" i="525"/>
  <c r="I530" i="525"/>
  <c r="J530" i="525" s="1"/>
  <c r="H530" i="525"/>
  <c r="L528" i="525"/>
  <c r="I528" i="525"/>
  <c r="J528" i="525" s="1"/>
  <c r="F528" i="525" s="1"/>
  <c r="H528" i="525"/>
  <c r="N524" i="525"/>
  <c r="L522" i="525"/>
  <c r="J522" i="525"/>
  <c r="I522" i="525"/>
  <c r="H522" i="525"/>
  <c r="E522" i="525"/>
  <c r="L521" i="525"/>
  <c r="I521" i="525"/>
  <c r="J521" i="525" s="1"/>
  <c r="H521" i="525"/>
  <c r="L519" i="525"/>
  <c r="I519" i="525"/>
  <c r="J519" i="525" s="1"/>
  <c r="F519" i="525" s="1"/>
  <c r="H519" i="525"/>
  <c r="N515" i="525"/>
  <c r="L513" i="525"/>
  <c r="J513" i="525"/>
  <c r="I513" i="525"/>
  <c r="H513" i="525"/>
  <c r="F513" i="525"/>
  <c r="E513" i="525"/>
  <c r="L512" i="525"/>
  <c r="I512" i="525"/>
  <c r="H512" i="525"/>
  <c r="L510" i="525"/>
  <c r="I510" i="525"/>
  <c r="H510" i="525"/>
  <c r="N506" i="525"/>
  <c r="L504" i="525"/>
  <c r="J504" i="525"/>
  <c r="I504" i="525"/>
  <c r="E504" i="525" s="1"/>
  <c r="H504" i="525"/>
  <c r="L503" i="525"/>
  <c r="J503" i="525"/>
  <c r="I503" i="525"/>
  <c r="H503" i="525"/>
  <c r="E503" i="525"/>
  <c r="L501" i="525"/>
  <c r="I501" i="525"/>
  <c r="J501" i="525" s="1"/>
  <c r="H501" i="525"/>
  <c r="E501" i="525"/>
  <c r="N497" i="525"/>
  <c r="L495" i="525"/>
  <c r="I495" i="525"/>
  <c r="J495" i="525" s="1"/>
  <c r="F495" i="525" s="1"/>
  <c r="H495" i="525"/>
  <c r="L494" i="525"/>
  <c r="I494" i="525"/>
  <c r="J494" i="525" s="1"/>
  <c r="H494" i="525"/>
  <c r="L492" i="525"/>
  <c r="I492" i="525"/>
  <c r="J492" i="525" s="1"/>
  <c r="H492" i="525"/>
  <c r="N488" i="525"/>
  <c r="L486" i="525"/>
  <c r="J486" i="525"/>
  <c r="G486" i="525"/>
  <c r="H486" i="525" s="1"/>
  <c r="L485" i="525"/>
  <c r="L487" i="525" s="1"/>
  <c r="H73" i="524" s="1"/>
  <c r="J485" i="525"/>
  <c r="G485" i="525"/>
  <c r="E485" i="525" s="1"/>
  <c r="N483" i="525"/>
  <c r="L481" i="525"/>
  <c r="J481" i="525"/>
  <c r="G481" i="525"/>
  <c r="E481" i="525" s="1"/>
  <c r="L480" i="525"/>
  <c r="L482" i="525" s="1"/>
  <c r="H72" i="524" s="1"/>
  <c r="L192" i="523" s="1"/>
  <c r="M192" i="523" s="1"/>
  <c r="J480" i="525"/>
  <c r="G480" i="525"/>
  <c r="E480" i="525" s="1"/>
  <c r="N478" i="525"/>
  <c r="L476" i="525"/>
  <c r="J476" i="525"/>
  <c r="G476" i="525"/>
  <c r="E476" i="525" s="1"/>
  <c r="L475" i="525"/>
  <c r="J475" i="525"/>
  <c r="F475" i="525" s="1"/>
  <c r="I475" i="525"/>
  <c r="H475" i="525"/>
  <c r="E475" i="525"/>
  <c r="L474" i="525"/>
  <c r="I474" i="525"/>
  <c r="J474" i="525" s="1"/>
  <c r="H474" i="525"/>
  <c r="E474" i="525"/>
  <c r="N472" i="525"/>
  <c r="L471" i="525"/>
  <c r="L470" i="525"/>
  <c r="I470" i="525"/>
  <c r="J470" i="525" s="1"/>
  <c r="J471" i="525" s="1"/>
  <c r="H470" i="525"/>
  <c r="H471" i="525" s="1"/>
  <c r="F70" i="524" s="1"/>
  <c r="H166" i="523" s="1"/>
  <c r="I166" i="523" s="1"/>
  <c r="N468" i="525"/>
  <c r="N463" i="525"/>
  <c r="N458" i="525"/>
  <c r="L456" i="525"/>
  <c r="J456" i="525"/>
  <c r="N451" i="525"/>
  <c r="L449" i="525"/>
  <c r="J449" i="525"/>
  <c r="N444" i="525"/>
  <c r="N438" i="525"/>
  <c r="L436" i="525"/>
  <c r="J436" i="525"/>
  <c r="L434" i="525"/>
  <c r="I434" i="525"/>
  <c r="J434" i="525" s="1"/>
  <c r="H434" i="525"/>
  <c r="L433" i="525"/>
  <c r="J433" i="525"/>
  <c r="I433" i="525"/>
  <c r="H433" i="525"/>
  <c r="E433" i="525"/>
  <c r="L428" i="525"/>
  <c r="K428" i="525"/>
  <c r="N426" i="525"/>
  <c r="L424" i="525"/>
  <c r="J424" i="525"/>
  <c r="L422" i="525"/>
  <c r="I422" i="525"/>
  <c r="E422" i="525" s="1"/>
  <c r="H422" i="525"/>
  <c r="L421" i="525"/>
  <c r="I421" i="525"/>
  <c r="J421" i="525" s="1"/>
  <c r="H421" i="525"/>
  <c r="K416" i="525"/>
  <c r="L416" i="525" s="1"/>
  <c r="N414" i="525"/>
  <c r="L411" i="525"/>
  <c r="I411" i="525"/>
  <c r="J411" i="525" s="1"/>
  <c r="H411" i="525"/>
  <c r="L410" i="525"/>
  <c r="I410" i="525"/>
  <c r="H410" i="525"/>
  <c r="K405" i="525"/>
  <c r="L405" i="525" s="1"/>
  <c r="N403" i="525"/>
  <c r="L401" i="525"/>
  <c r="J401" i="525"/>
  <c r="K397" i="525"/>
  <c r="L397" i="525" s="1"/>
  <c r="N395" i="525"/>
  <c r="L393" i="525"/>
  <c r="J393" i="525"/>
  <c r="K389" i="525"/>
  <c r="L389" i="525" s="1"/>
  <c r="N387" i="525"/>
  <c r="L385" i="525"/>
  <c r="J385" i="525"/>
  <c r="K381" i="525"/>
  <c r="L381" i="525" s="1"/>
  <c r="N379" i="525"/>
  <c r="L377" i="525"/>
  <c r="J377" i="525"/>
  <c r="K373" i="525"/>
  <c r="L373" i="525" s="1"/>
  <c r="N371" i="525"/>
  <c r="L369" i="525"/>
  <c r="J369" i="525"/>
  <c r="L365" i="525"/>
  <c r="K365" i="525"/>
  <c r="N363" i="525"/>
  <c r="L361" i="525"/>
  <c r="J361" i="525"/>
  <c r="K357" i="525"/>
  <c r="L357" i="525" s="1"/>
  <c r="N355" i="525"/>
  <c r="L353" i="525"/>
  <c r="J353" i="525"/>
  <c r="K349" i="525"/>
  <c r="L349" i="525" s="1"/>
  <c r="N347" i="525"/>
  <c r="L345" i="525"/>
  <c r="J345" i="525"/>
  <c r="K341" i="525"/>
  <c r="L341" i="525" s="1"/>
  <c r="N339" i="525"/>
  <c r="K334" i="525"/>
  <c r="L334" i="525" s="1"/>
  <c r="N332" i="525"/>
  <c r="K327" i="525"/>
  <c r="L327" i="525" s="1"/>
  <c r="N325" i="525"/>
  <c r="K320" i="525"/>
  <c r="L320" i="525" s="1"/>
  <c r="N318" i="525"/>
  <c r="K313" i="525"/>
  <c r="L313" i="525" s="1"/>
  <c r="N311" i="525"/>
  <c r="L309" i="525"/>
  <c r="J309" i="525"/>
  <c r="K305" i="525"/>
  <c r="L305" i="525" s="1"/>
  <c r="N303" i="525"/>
  <c r="L301" i="525"/>
  <c r="J301" i="525"/>
  <c r="K297" i="525"/>
  <c r="L297" i="525" s="1"/>
  <c r="N295" i="525"/>
  <c r="L293" i="525"/>
  <c r="J293" i="525"/>
  <c r="K289" i="525"/>
  <c r="L289" i="525" s="1"/>
  <c r="N287" i="525"/>
  <c r="L285" i="525"/>
  <c r="J285" i="525"/>
  <c r="K281" i="525"/>
  <c r="L281" i="525" s="1"/>
  <c r="N279" i="525"/>
  <c r="L277" i="525"/>
  <c r="J277" i="525"/>
  <c r="K273" i="525"/>
  <c r="L273" i="525" s="1"/>
  <c r="N271" i="525"/>
  <c r="L269" i="525"/>
  <c r="J269" i="525"/>
  <c r="L265" i="525"/>
  <c r="K265" i="525"/>
  <c r="N263" i="525"/>
  <c r="L261" i="525"/>
  <c r="J261" i="525"/>
  <c r="K257" i="525"/>
  <c r="L257" i="525" s="1"/>
  <c r="N255" i="525"/>
  <c r="L253" i="525"/>
  <c r="J253" i="525"/>
  <c r="K249" i="525"/>
  <c r="L249" i="525" s="1"/>
  <c r="N247" i="525"/>
  <c r="K242" i="525"/>
  <c r="L242" i="525" s="1"/>
  <c r="N240" i="525"/>
  <c r="K235" i="525"/>
  <c r="L235" i="525" s="1"/>
  <c r="N233" i="525"/>
  <c r="L228" i="525"/>
  <c r="K228" i="525"/>
  <c r="N226" i="525"/>
  <c r="K221" i="525"/>
  <c r="L221" i="525" s="1"/>
  <c r="N219" i="525"/>
  <c r="L217" i="525"/>
  <c r="L218" i="525" s="1"/>
  <c r="H37" i="524" s="1"/>
  <c r="J217" i="525"/>
  <c r="J218" i="525" s="1"/>
  <c r="G37" i="524" s="1"/>
  <c r="I867" i="525" s="1"/>
  <c r="G217" i="525"/>
  <c r="H217" i="525" s="1"/>
  <c r="N215" i="525"/>
  <c r="J213" i="525"/>
  <c r="H213" i="525"/>
  <c r="L211" i="525"/>
  <c r="J211" i="525"/>
  <c r="G211" i="525"/>
  <c r="H211" i="525" s="1"/>
  <c r="E211" i="525"/>
  <c r="L210" i="525"/>
  <c r="J210" i="525"/>
  <c r="G210" i="525"/>
  <c r="E210" i="525" s="1"/>
  <c r="L209" i="525"/>
  <c r="J209" i="525"/>
  <c r="G209" i="525"/>
  <c r="E209" i="525" s="1"/>
  <c r="N207" i="525"/>
  <c r="J205" i="525"/>
  <c r="H205" i="525"/>
  <c r="L203" i="525"/>
  <c r="J203" i="525"/>
  <c r="G203" i="525"/>
  <c r="H203" i="525" s="1"/>
  <c r="F203" i="525" s="1"/>
  <c r="L202" i="525"/>
  <c r="J202" i="525"/>
  <c r="G202" i="525"/>
  <c r="H202" i="525" s="1"/>
  <c r="L201" i="525"/>
  <c r="J201" i="525"/>
  <c r="G201" i="525"/>
  <c r="E201" i="525" s="1"/>
  <c r="N199" i="525"/>
  <c r="J197" i="525"/>
  <c r="H197" i="525"/>
  <c r="L195" i="525"/>
  <c r="J195" i="525"/>
  <c r="G195" i="525"/>
  <c r="E195" i="525" s="1"/>
  <c r="L194" i="525"/>
  <c r="J194" i="525"/>
  <c r="G194" i="525"/>
  <c r="H194" i="525" s="1"/>
  <c r="L193" i="525"/>
  <c r="J193" i="525"/>
  <c r="G193" i="525"/>
  <c r="H193" i="525" s="1"/>
  <c r="N191" i="525"/>
  <c r="J189" i="525"/>
  <c r="H189" i="525"/>
  <c r="L187" i="525"/>
  <c r="J187" i="525"/>
  <c r="G187" i="525"/>
  <c r="E187" i="525" s="1"/>
  <c r="L186" i="525"/>
  <c r="J186" i="525"/>
  <c r="G186" i="525"/>
  <c r="E186" i="525" s="1"/>
  <c r="L185" i="525"/>
  <c r="J185" i="525"/>
  <c r="G185" i="525"/>
  <c r="H185" i="525" s="1"/>
  <c r="N183" i="525"/>
  <c r="L181" i="525"/>
  <c r="J181" i="525"/>
  <c r="N174" i="525"/>
  <c r="L172" i="525"/>
  <c r="J172" i="525"/>
  <c r="N165" i="525"/>
  <c r="L163" i="525"/>
  <c r="J163" i="525"/>
  <c r="N156" i="525"/>
  <c r="L154" i="525"/>
  <c r="J154" i="525"/>
  <c r="N147" i="525"/>
  <c r="L145" i="525"/>
  <c r="J145" i="525"/>
  <c r="N138" i="525"/>
  <c r="L136" i="525"/>
  <c r="J136" i="525"/>
  <c r="N129" i="525"/>
  <c r="N121" i="525"/>
  <c r="N113" i="525"/>
  <c r="N105" i="525"/>
  <c r="N100" i="525"/>
  <c r="L98" i="525"/>
  <c r="I98" i="525"/>
  <c r="J98" i="525" s="1"/>
  <c r="H98" i="525"/>
  <c r="L95" i="525"/>
  <c r="I95" i="525"/>
  <c r="J95" i="525" s="1"/>
  <c r="H95" i="525"/>
  <c r="N93" i="525"/>
  <c r="N88" i="525"/>
  <c r="L86" i="525"/>
  <c r="L87" i="525" s="1"/>
  <c r="H20" i="524" s="1"/>
  <c r="L165" i="523" s="1"/>
  <c r="M165" i="523" s="1"/>
  <c r="I86" i="525"/>
  <c r="J86" i="525" s="1"/>
  <c r="H86" i="525"/>
  <c r="H87" i="525" s="1"/>
  <c r="F20" i="524" s="1"/>
  <c r="H165" i="523" s="1"/>
  <c r="I165" i="523" s="1"/>
  <c r="N84" i="525"/>
  <c r="L82" i="525"/>
  <c r="L83" i="525" s="1"/>
  <c r="H19" i="524" s="1"/>
  <c r="L164" i="523" s="1"/>
  <c r="M164" i="523" s="1"/>
  <c r="J82" i="525"/>
  <c r="J83" i="525" s="1"/>
  <c r="G19" i="524" s="1"/>
  <c r="J164" i="523" s="1"/>
  <c r="K164" i="523" s="1"/>
  <c r="I82" i="525"/>
  <c r="H82" i="525"/>
  <c r="E82" i="525"/>
  <c r="N80" i="525"/>
  <c r="L78" i="525"/>
  <c r="L79" i="525" s="1"/>
  <c r="H18" i="524" s="1"/>
  <c r="L163" i="523" s="1"/>
  <c r="M163" i="523" s="1"/>
  <c r="I78" i="525"/>
  <c r="J78" i="525" s="1"/>
  <c r="J79" i="525" s="1"/>
  <c r="G18" i="524" s="1"/>
  <c r="J163" i="523" s="1"/>
  <c r="K163" i="523" s="1"/>
  <c r="H78" i="525"/>
  <c r="N76" i="525"/>
  <c r="J74" i="525"/>
  <c r="H74" i="525"/>
  <c r="L73" i="525"/>
  <c r="I73" i="525"/>
  <c r="E73" i="525" s="1"/>
  <c r="H73" i="525"/>
  <c r="L72" i="525"/>
  <c r="I72" i="525"/>
  <c r="J72" i="525" s="1"/>
  <c r="F72" i="525" s="1"/>
  <c r="H72" i="525"/>
  <c r="L71" i="525"/>
  <c r="J71" i="525"/>
  <c r="G71" i="525"/>
  <c r="E71" i="525" s="1"/>
  <c r="L70" i="525"/>
  <c r="J70" i="525"/>
  <c r="G70" i="525"/>
  <c r="H70" i="525" s="1"/>
  <c r="F70" i="525" s="1"/>
  <c r="E70" i="525"/>
  <c r="N68" i="525"/>
  <c r="J66" i="525"/>
  <c r="H66" i="525"/>
  <c r="L65" i="525"/>
  <c r="I65" i="525"/>
  <c r="J65" i="525" s="1"/>
  <c r="H65" i="525"/>
  <c r="L64" i="525"/>
  <c r="J64" i="525"/>
  <c r="I64" i="525"/>
  <c r="H64" i="525"/>
  <c r="E64" i="525"/>
  <c r="L63" i="525"/>
  <c r="J63" i="525"/>
  <c r="G63" i="525"/>
  <c r="H63" i="525" s="1"/>
  <c r="E63" i="525"/>
  <c r="L62" i="525"/>
  <c r="J62" i="525"/>
  <c r="G62" i="525"/>
  <c r="H62" i="525" s="1"/>
  <c r="E62" i="525"/>
  <c r="N60" i="525"/>
  <c r="K58" i="525"/>
  <c r="L58" i="525" s="1"/>
  <c r="L55" i="525"/>
  <c r="J55" i="525"/>
  <c r="H55" i="525"/>
  <c r="G55" i="525"/>
  <c r="E55" i="525" s="1"/>
  <c r="N53" i="525"/>
  <c r="L52" i="525"/>
  <c r="H14" i="524" s="1"/>
  <c r="L185" i="523" s="1"/>
  <c r="M185" i="523" s="1"/>
  <c r="L51" i="525"/>
  <c r="I51" i="525"/>
  <c r="J51" i="525" s="1"/>
  <c r="H51" i="525"/>
  <c r="H52" i="525" s="1"/>
  <c r="F14" i="524" s="1"/>
  <c r="N49" i="525"/>
  <c r="L48" i="525"/>
  <c r="L47" i="525"/>
  <c r="I47" i="525"/>
  <c r="J47" i="525" s="1"/>
  <c r="H47" i="525"/>
  <c r="H48" i="525" s="1"/>
  <c r="F13" i="524" s="1"/>
  <c r="H162" i="523" s="1"/>
  <c r="I162" i="523" s="1"/>
  <c r="N45" i="525"/>
  <c r="J44" i="525"/>
  <c r="L43" i="525"/>
  <c r="L44" i="525" s="1"/>
  <c r="H12" i="524" s="1"/>
  <c r="L434" i="523" s="1"/>
  <c r="M434" i="523" s="1"/>
  <c r="J43" i="525"/>
  <c r="G43" i="525"/>
  <c r="N41" i="525"/>
  <c r="L39" i="525"/>
  <c r="L40" i="525" s="1"/>
  <c r="H11" i="524" s="1"/>
  <c r="L433" i="523" s="1"/>
  <c r="M433" i="523" s="1"/>
  <c r="J39" i="525"/>
  <c r="J40" i="525" s="1"/>
  <c r="G11" i="524" s="1"/>
  <c r="J433" i="523" s="1"/>
  <c r="K433" i="523" s="1"/>
  <c r="G39" i="525"/>
  <c r="E39" i="525" s="1"/>
  <c r="N37" i="525"/>
  <c r="L35" i="525"/>
  <c r="L36" i="525" s="1"/>
  <c r="J35" i="525"/>
  <c r="J36" i="525" s="1"/>
  <c r="G10" i="524" s="1"/>
  <c r="J432" i="523" s="1"/>
  <c r="K432" i="523" s="1"/>
  <c r="G35" i="525"/>
  <c r="E35" i="525" s="1"/>
  <c r="N33" i="525"/>
  <c r="J32" i="525"/>
  <c r="L31" i="525"/>
  <c r="L32" i="525" s="1"/>
  <c r="H9" i="524" s="1"/>
  <c r="L431" i="523" s="1"/>
  <c r="M431" i="523" s="1"/>
  <c r="J31" i="525"/>
  <c r="G31" i="525"/>
  <c r="N29" i="525"/>
  <c r="L27" i="525"/>
  <c r="L28" i="525" s="1"/>
  <c r="H8" i="524" s="1"/>
  <c r="L429" i="523" s="1"/>
  <c r="M429" i="523" s="1"/>
  <c r="J27" i="525"/>
  <c r="J28" i="525" s="1"/>
  <c r="G8" i="524" s="1"/>
  <c r="J429" i="523" s="1"/>
  <c r="K429" i="523" s="1"/>
  <c r="G27" i="525"/>
  <c r="E27" i="525" s="1"/>
  <c r="N25" i="525"/>
  <c r="L23" i="525"/>
  <c r="L24" i="525" s="1"/>
  <c r="J23" i="525"/>
  <c r="J24" i="525" s="1"/>
  <c r="G7" i="524" s="1"/>
  <c r="J430" i="523" s="1"/>
  <c r="K430" i="523" s="1"/>
  <c r="G23" i="525"/>
  <c r="E23" i="525" s="1"/>
  <c r="N21" i="525"/>
  <c r="L19" i="525"/>
  <c r="L20" i="525" s="1"/>
  <c r="H6" i="524" s="1"/>
  <c r="L189" i="523" s="1"/>
  <c r="M189" i="523" s="1"/>
  <c r="I19" i="525"/>
  <c r="J19" i="525" s="1"/>
  <c r="H19" i="525"/>
  <c r="H20" i="525" s="1"/>
  <c r="F6" i="524" s="1"/>
  <c r="N17" i="525"/>
  <c r="L15" i="525"/>
  <c r="L16" i="525" s="1"/>
  <c r="H5" i="524" s="1"/>
  <c r="L187" i="523" s="1"/>
  <c r="M187" i="523" s="1"/>
  <c r="I15" i="525"/>
  <c r="J15" i="525" s="1"/>
  <c r="H15" i="525"/>
  <c r="H16" i="525" s="1"/>
  <c r="F5" i="524" s="1"/>
  <c r="H187" i="523" s="1"/>
  <c r="I187" i="523" s="1"/>
  <c r="N13" i="525"/>
  <c r="L11" i="525"/>
  <c r="H11" i="525"/>
  <c r="L10" i="525"/>
  <c r="I10" i="525"/>
  <c r="E10" i="525" s="1"/>
  <c r="H10" i="525"/>
  <c r="L9" i="525"/>
  <c r="J9" i="525"/>
  <c r="G9" i="525"/>
  <c r="E9" i="525" s="1"/>
  <c r="L8" i="525"/>
  <c r="J8" i="525"/>
  <c r="G8" i="525"/>
  <c r="E8" i="525" s="1"/>
  <c r="L7" i="525"/>
  <c r="I7" i="525"/>
  <c r="E7" i="525" s="1"/>
  <c r="H7" i="525"/>
  <c r="N5" i="525"/>
  <c r="Z4" i="525"/>
  <c r="N2" i="525"/>
  <c r="K275" i="524" s="1"/>
  <c r="J344" i="524"/>
  <c r="H344" i="524"/>
  <c r="F344" i="524"/>
  <c r="H160" i="523" s="1"/>
  <c r="J343" i="524"/>
  <c r="J342" i="524"/>
  <c r="J341" i="524"/>
  <c r="J340" i="524"/>
  <c r="J339" i="524"/>
  <c r="J338" i="524"/>
  <c r="J337" i="524"/>
  <c r="J336" i="524"/>
  <c r="J335" i="524"/>
  <c r="J334" i="524"/>
  <c r="J333" i="524"/>
  <c r="J332" i="524"/>
  <c r="J331" i="524"/>
  <c r="J330" i="524"/>
  <c r="G330" i="524"/>
  <c r="I127" i="525" s="1"/>
  <c r="J329" i="524"/>
  <c r="F329" i="524"/>
  <c r="H179" i="523" s="1"/>
  <c r="I179" i="523" s="1"/>
  <c r="J328" i="524"/>
  <c r="J327" i="524"/>
  <c r="J326" i="524"/>
  <c r="J325" i="524"/>
  <c r="J324" i="524"/>
  <c r="J323" i="524"/>
  <c r="J322" i="524"/>
  <c r="J321" i="524"/>
  <c r="J320" i="524"/>
  <c r="J319" i="524"/>
  <c r="J318" i="524"/>
  <c r="J317" i="524"/>
  <c r="J316" i="524"/>
  <c r="J315" i="524"/>
  <c r="J314" i="524"/>
  <c r="J313" i="524"/>
  <c r="J312" i="524"/>
  <c r="J311" i="524"/>
  <c r="J310" i="524"/>
  <c r="J309" i="524"/>
  <c r="J308" i="524"/>
  <c r="J307" i="524"/>
  <c r="J306" i="524"/>
  <c r="J305" i="524"/>
  <c r="J304" i="524"/>
  <c r="J303" i="524"/>
  <c r="J302" i="524"/>
  <c r="J301" i="524"/>
  <c r="J300" i="524"/>
  <c r="J299" i="524"/>
  <c r="J298" i="524"/>
  <c r="J297" i="524"/>
  <c r="J296" i="524"/>
  <c r="J295" i="524"/>
  <c r="J294" i="524"/>
  <c r="J293" i="524"/>
  <c r="J292" i="524"/>
  <c r="J291" i="524"/>
  <c r="J290" i="524"/>
  <c r="J289" i="524"/>
  <c r="J288" i="524"/>
  <c r="J287" i="524"/>
  <c r="J286" i="524"/>
  <c r="J285" i="524"/>
  <c r="J284" i="524"/>
  <c r="J283" i="524"/>
  <c r="J282" i="524"/>
  <c r="H282" i="524"/>
  <c r="L188" i="523" s="1"/>
  <c r="M188" i="523" s="1"/>
  <c r="F282" i="524"/>
  <c r="J281" i="524"/>
  <c r="J280" i="524"/>
  <c r="J279" i="524"/>
  <c r="J278" i="524"/>
  <c r="J277" i="524"/>
  <c r="J276" i="524"/>
  <c r="J275" i="524"/>
  <c r="G275" i="524"/>
  <c r="J274" i="524"/>
  <c r="J273" i="524"/>
  <c r="J272" i="524"/>
  <c r="J271" i="524"/>
  <c r="J270" i="524"/>
  <c r="J269" i="524"/>
  <c r="J268" i="524"/>
  <c r="H268" i="524"/>
  <c r="L178" i="523" s="1"/>
  <c r="G268" i="524"/>
  <c r="J267" i="524"/>
  <c r="H267" i="524"/>
  <c r="L177" i="523" s="1"/>
  <c r="M177" i="523" s="1"/>
  <c r="F267" i="524"/>
  <c r="H177" i="523" s="1"/>
  <c r="J266" i="524"/>
  <c r="J265" i="524"/>
  <c r="J264" i="524"/>
  <c r="J263" i="524"/>
  <c r="J262" i="524"/>
  <c r="J261" i="524"/>
  <c r="J260" i="524"/>
  <c r="J259" i="524"/>
  <c r="J258" i="524"/>
  <c r="J257" i="524"/>
  <c r="J256" i="524"/>
  <c r="J255" i="524"/>
  <c r="J254" i="524"/>
  <c r="J253" i="524"/>
  <c r="J252" i="524"/>
  <c r="J251" i="524"/>
  <c r="H251" i="524"/>
  <c r="F251" i="524"/>
  <c r="J250" i="524"/>
  <c r="J249" i="524"/>
  <c r="J248" i="524"/>
  <c r="J247" i="524"/>
  <c r="J246" i="524"/>
  <c r="J245" i="524"/>
  <c r="J244" i="524"/>
  <c r="J243" i="524"/>
  <c r="J242" i="524"/>
  <c r="J241" i="524"/>
  <c r="J240" i="524"/>
  <c r="J239" i="524"/>
  <c r="J238" i="524"/>
  <c r="J237" i="524"/>
  <c r="J236" i="524"/>
  <c r="J235" i="524"/>
  <c r="J234" i="524"/>
  <c r="J233" i="524"/>
  <c r="J232" i="524"/>
  <c r="J231" i="524"/>
  <c r="J230" i="524"/>
  <c r="J229" i="524"/>
  <c r="J228" i="524"/>
  <c r="J227" i="524"/>
  <c r="J226" i="524"/>
  <c r="F226" i="524"/>
  <c r="J225" i="524"/>
  <c r="F225" i="524"/>
  <c r="H175" i="523" s="1"/>
  <c r="I175" i="523" s="1"/>
  <c r="J224" i="524"/>
  <c r="J223" i="524"/>
  <c r="J222" i="524"/>
  <c r="F222" i="524"/>
  <c r="J221" i="524"/>
  <c r="F221" i="524"/>
  <c r="H173" i="523" s="1"/>
  <c r="I173" i="523" s="1"/>
  <c r="J220" i="524"/>
  <c r="J219" i="524"/>
  <c r="J218" i="524"/>
  <c r="J217" i="524"/>
  <c r="H217" i="524"/>
  <c r="L171" i="523" s="1"/>
  <c r="M171" i="523" s="1"/>
  <c r="F217" i="524"/>
  <c r="J216" i="524"/>
  <c r="J215" i="524"/>
  <c r="H215" i="524"/>
  <c r="L168" i="523" s="1"/>
  <c r="M168" i="523" s="1"/>
  <c r="J214" i="524"/>
  <c r="H214" i="524"/>
  <c r="G214" i="524"/>
  <c r="J169" i="523" s="1"/>
  <c r="K169" i="523" s="1"/>
  <c r="J213" i="524"/>
  <c r="H213" i="524"/>
  <c r="G213" i="524"/>
  <c r="J167" i="523" s="1"/>
  <c r="K167" i="523" s="1"/>
  <c r="J212" i="524"/>
  <c r="J211" i="524"/>
  <c r="J210" i="524"/>
  <c r="J209" i="524"/>
  <c r="J208" i="524"/>
  <c r="J207" i="524"/>
  <c r="J206" i="524"/>
  <c r="J205" i="524"/>
  <c r="J204" i="524"/>
  <c r="J203" i="524"/>
  <c r="J202" i="524"/>
  <c r="J201" i="524"/>
  <c r="J200" i="524"/>
  <c r="J199" i="524"/>
  <c r="J198" i="524"/>
  <c r="J197" i="524"/>
  <c r="J196" i="524"/>
  <c r="J195" i="524"/>
  <c r="J194" i="524"/>
  <c r="J193" i="524"/>
  <c r="J192" i="524"/>
  <c r="J191" i="524"/>
  <c r="J190" i="524"/>
  <c r="J189" i="524"/>
  <c r="J188" i="524"/>
  <c r="J187" i="524"/>
  <c r="J186" i="524"/>
  <c r="J185" i="524"/>
  <c r="J184" i="524"/>
  <c r="J183" i="524"/>
  <c r="J182" i="524"/>
  <c r="J181" i="524"/>
  <c r="J180" i="524"/>
  <c r="J179" i="524"/>
  <c r="J178" i="524"/>
  <c r="J177" i="524"/>
  <c r="J176" i="524"/>
  <c r="J175" i="524"/>
  <c r="J174" i="524"/>
  <c r="J173" i="524"/>
  <c r="J172" i="524"/>
  <c r="J171" i="524"/>
  <c r="J170" i="524"/>
  <c r="H170" i="524"/>
  <c r="F170" i="524"/>
  <c r="H186" i="523" s="1"/>
  <c r="I186" i="523" s="1"/>
  <c r="J169" i="524"/>
  <c r="J168" i="524"/>
  <c r="J167" i="524"/>
  <c r="J166" i="524"/>
  <c r="J165" i="524"/>
  <c r="J164" i="524"/>
  <c r="J163" i="524"/>
  <c r="J162" i="524"/>
  <c r="H162" i="524"/>
  <c r="J161" i="524"/>
  <c r="J160" i="524"/>
  <c r="J159" i="524"/>
  <c r="J158" i="524"/>
  <c r="J157" i="524"/>
  <c r="J156" i="524"/>
  <c r="J155" i="524"/>
  <c r="J154" i="524"/>
  <c r="J153" i="524"/>
  <c r="J152" i="524"/>
  <c r="F152" i="524"/>
  <c r="J151" i="524"/>
  <c r="J150" i="524"/>
  <c r="G150" i="524"/>
  <c r="J145" i="523" s="1"/>
  <c r="K145" i="523" s="1"/>
  <c r="F150" i="524"/>
  <c r="J149" i="524"/>
  <c r="H149" i="524"/>
  <c r="G149" i="524"/>
  <c r="J148" i="524"/>
  <c r="J147" i="524"/>
  <c r="J146" i="524"/>
  <c r="J145" i="524"/>
  <c r="J144" i="524"/>
  <c r="J143" i="524"/>
  <c r="J142" i="524"/>
  <c r="J141" i="524"/>
  <c r="J140" i="524"/>
  <c r="J139" i="524"/>
  <c r="J138" i="524"/>
  <c r="J137" i="524"/>
  <c r="J136" i="524"/>
  <c r="J135" i="524"/>
  <c r="J134" i="524"/>
  <c r="J133" i="524"/>
  <c r="J132" i="524"/>
  <c r="J131" i="524"/>
  <c r="J130" i="524"/>
  <c r="J129" i="524"/>
  <c r="J128" i="524"/>
  <c r="J127" i="524"/>
  <c r="J126" i="524"/>
  <c r="J125" i="524"/>
  <c r="J124" i="524"/>
  <c r="H124" i="524"/>
  <c r="L184" i="523" s="1"/>
  <c r="M184" i="523" s="1"/>
  <c r="J123" i="524"/>
  <c r="J122" i="524"/>
  <c r="J121" i="524"/>
  <c r="J120" i="524"/>
  <c r="J119" i="524"/>
  <c r="F119" i="524"/>
  <c r="J118" i="524"/>
  <c r="H118" i="524"/>
  <c r="L182" i="523" s="1"/>
  <c r="M182" i="523" s="1"/>
  <c r="J117" i="524"/>
  <c r="F117" i="524"/>
  <c r="J116" i="524"/>
  <c r="J115" i="524"/>
  <c r="J114" i="524"/>
  <c r="J113" i="524"/>
  <c r="J112" i="524"/>
  <c r="J111" i="524"/>
  <c r="J110" i="524"/>
  <c r="J109" i="524"/>
  <c r="J108" i="524"/>
  <c r="J107" i="524"/>
  <c r="J106" i="524"/>
  <c r="J105" i="524"/>
  <c r="J104" i="524"/>
  <c r="J103" i="524"/>
  <c r="J102" i="524"/>
  <c r="J101" i="524"/>
  <c r="J100" i="524"/>
  <c r="J99" i="524"/>
  <c r="J98" i="524"/>
  <c r="J97" i="524"/>
  <c r="J96" i="524"/>
  <c r="J95" i="524"/>
  <c r="J94" i="524"/>
  <c r="J93" i="524"/>
  <c r="J92" i="524"/>
  <c r="J91" i="524"/>
  <c r="J90" i="524"/>
  <c r="J89" i="524"/>
  <c r="J88" i="524"/>
  <c r="J87" i="524"/>
  <c r="J86" i="524"/>
  <c r="J85" i="524"/>
  <c r="J84" i="524"/>
  <c r="J83" i="524"/>
  <c r="J82" i="524"/>
  <c r="J81" i="524"/>
  <c r="J80" i="524"/>
  <c r="J79" i="524"/>
  <c r="J78" i="524"/>
  <c r="J77" i="524"/>
  <c r="J76" i="524"/>
  <c r="J75" i="524"/>
  <c r="J74" i="524"/>
  <c r="J73" i="524"/>
  <c r="J72" i="524"/>
  <c r="J71" i="524"/>
  <c r="J70" i="524"/>
  <c r="H70" i="524"/>
  <c r="L166" i="523" s="1"/>
  <c r="M166" i="523" s="1"/>
  <c r="J69" i="524"/>
  <c r="J68" i="524"/>
  <c r="J67" i="524"/>
  <c r="J66" i="524"/>
  <c r="J65" i="524"/>
  <c r="J64" i="524"/>
  <c r="J63" i="524"/>
  <c r="J62" i="524"/>
  <c r="J61" i="524"/>
  <c r="J60" i="524"/>
  <c r="J59" i="524"/>
  <c r="J58" i="524"/>
  <c r="J57" i="524"/>
  <c r="J56" i="524"/>
  <c r="J55" i="524"/>
  <c r="J54" i="524"/>
  <c r="J53" i="524"/>
  <c r="J52" i="524"/>
  <c r="J51" i="524"/>
  <c r="J50" i="524"/>
  <c r="J49" i="524"/>
  <c r="J48" i="524"/>
  <c r="J47" i="524"/>
  <c r="J46" i="524"/>
  <c r="J45" i="524"/>
  <c r="J44" i="524"/>
  <c r="J43" i="524"/>
  <c r="J42" i="524"/>
  <c r="J41" i="524"/>
  <c r="J40" i="524"/>
  <c r="J39" i="524"/>
  <c r="J38" i="524"/>
  <c r="J37" i="524"/>
  <c r="J36" i="524"/>
  <c r="J35" i="524"/>
  <c r="J34" i="524"/>
  <c r="J33" i="524"/>
  <c r="J32" i="524"/>
  <c r="J31" i="524"/>
  <c r="J30" i="524"/>
  <c r="J29" i="524"/>
  <c r="J28" i="524"/>
  <c r="J27" i="524"/>
  <c r="J26" i="524"/>
  <c r="J25" i="524"/>
  <c r="J24" i="524"/>
  <c r="J23" i="524"/>
  <c r="J22" i="524"/>
  <c r="J21" i="524"/>
  <c r="J20" i="524"/>
  <c r="J19" i="524"/>
  <c r="J18" i="524"/>
  <c r="J17" i="524"/>
  <c r="J16" i="524"/>
  <c r="J15" i="524"/>
  <c r="J14" i="524"/>
  <c r="J13" i="524"/>
  <c r="H13" i="524"/>
  <c r="J12" i="524"/>
  <c r="G12" i="524"/>
  <c r="J434" i="523" s="1"/>
  <c r="J11" i="524"/>
  <c r="J10" i="524"/>
  <c r="H10" i="524"/>
  <c r="L432" i="523" s="1"/>
  <c r="M432" i="523" s="1"/>
  <c r="J9" i="524"/>
  <c r="G9" i="524"/>
  <c r="J431" i="523" s="1"/>
  <c r="K431" i="523" s="1"/>
  <c r="J8" i="524"/>
  <c r="J7" i="524"/>
  <c r="H7" i="524"/>
  <c r="L430" i="523" s="1"/>
  <c r="M430" i="523" s="1"/>
  <c r="J6" i="524"/>
  <c r="J5" i="524"/>
  <c r="J4" i="524"/>
  <c r="K3" i="524"/>
  <c r="J2" i="524"/>
  <c r="AC333" i="523" s="1"/>
  <c r="K481" i="523"/>
  <c r="J481" i="523"/>
  <c r="H481" i="523"/>
  <c r="J480" i="523"/>
  <c r="K480" i="523" s="1"/>
  <c r="I480" i="523"/>
  <c r="H480" i="523"/>
  <c r="J479" i="523"/>
  <c r="K479" i="523" s="1"/>
  <c r="I479" i="523"/>
  <c r="H479" i="523"/>
  <c r="J478" i="523"/>
  <c r="K478" i="523" s="1"/>
  <c r="H478" i="523"/>
  <c r="I478" i="523" s="1"/>
  <c r="K477" i="523"/>
  <c r="J477" i="523"/>
  <c r="H477" i="523"/>
  <c r="K476" i="523"/>
  <c r="J476" i="523"/>
  <c r="H476" i="523"/>
  <c r="I476" i="523" s="1"/>
  <c r="J475" i="523"/>
  <c r="K475" i="523" s="1"/>
  <c r="I475" i="523"/>
  <c r="H475" i="523"/>
  <c r="O474" i="523"/>
  <c r="L473" i="523"/>
  <c r="M473" i="523" s="1"/>
  <c r="H470" i="523"/>
  <c r="I470" i="523" s="1"/>
  <c r="H466" i="523"/>
  <c r="I466" i="523" s="1"/>
  <c r="I464" i="523"/>
  <c r="H464" i="523"/>
  <c r="H462" i="523"/>
  <c r="I462" i="523" s="1"/>
  <c r="O445" i="523"/>
  <c r="O435" i="523"/>
  <c r="L422" i="523"/>
  <c r="M422" i="523" s="1"/>
  <c r="H412" i="523"/>
  <c r="O407" i="523"/>
  <c r="O373" i="523"/>
  <c r="O301" i="523"/>
  <c r="O237" i="523"/>
  <c r="L193" i="523"/>
  <c r="M193" i="523" s="1"/>
  <c r="O191" i="523"/>
  <c r="H189" i="523"/>
  <c r="I189" i="523" s="1"/>
  <c r="H188" i="523"/>
  <c r="L186" i="523"/>
  <c r="M186" i="523" s="1"/>
  <c r="H185" i="523"/>
  <c r="I185" i="523" s="1"/>
  <c r="L183" i="523"/>
  <c r="M183" i="523" s="1"/>
  <c r="H183" i="523"/>
  <c r="I183" i="523" s="1"/>
  <c r="L181" i="523"/>
  <c r="M181" i="523" s="1"/>
  <c r="H181" i="523"/>
  <c r="I181" i="523" s="1"/>
  <c r="O180" i="523"/>
  <c r="J178" i="523"/>
  <c r="K178" i="523" s="1"/>
  <c r="L176" i="523"/>
  <c r="M176" i="523" s="1"/>
  <c r="H176" i="523"/>
  <c r="I176" i="523" s="1"/>
  <c r="H174" i="523"/>
  <c r="I174" i="523" s="1"/>
  <c r="H172" i="523"/>
  <c r="I172" i="523" s="1"/>
  <c r="H171" i="523"/>
  <c r="L169" i="523"/>
  <c r="M169" i="523" s="1"/>
  <c r="L167" i="523"/>
  <c r="M167" i="523" s="1"/>
  <c r="L162" i="523"/>
  <c r="M162" i="523" s="1"/>
  <c r="O161" i="523"/>
  <c r="L160" i="523"/>
  <c r="M160" i="523" s="1"/>
  <c r="O153" i="523"/>
  <c r="L146" i="523"/>
  <c r="M146" i="523" s="1"/>
  <c r="J146" i="523"/>
  <c r="H145" i="523"/>
  <c r="I145" i="523" s="1"/>
  <c r="O6" i="523"/>
  <c r="O5" i="523"/>
  <c r="AC4" i="523"/>
  <c r="O2" i="523"/>
  <c r="Q14" i="522" s="1"/>
  <c r="E36" i="522"/>
  <c r="E32" i="522"/>
  <c r="E28" i="522"/>
  <c r="F22" i="521" s="1"/>
  <c r="E27" i="522"/>
  <c r="E26" i="522"/>
  <c r="F20" i="521" s="1"/>
  <c r="E24" i="522"/>
  <c r="F18" i="521" s="1"/>
  <c r="E23" i="522"/>
  <c r="F17" i="521" s="1"/>
  <c r="E22" i="522"/>
  <c r="F16" i="521" s="1"/>
  <c r="E21" i="522"/>
  <c r="F15" i="521" s="1"/>
  <c r="E20" i="522"/>
  <c r="F14" i="521" s="1"/>
  <c r="E19" i="522"/>
  <c r="E18" i="522"/>
  <c r="F10" i="521" s="1"/>
  <c r="Q3" i="522"/>
  <c r="H2" i="522"/>
  <c r="H29" i="521" s="1"/>
  <c r="F29" i="521"/>
  <c r="F27" i="521"/>
  <c r="F26" i="521"/>
  <c r="F21" i="521"/>
  <c r="F13" i="521"/>
  <c r="H4" i="521"/>
  <c r="G2" i="521"/>
  <c r="J1190" i="525" l="1"/>
  <c r="F1190" i="525" s="1"/>
  <c r="E1190" i="525"/>
  <c r="E1386" i="525"/>
  <c r="J1386" i="525"/>
  <c r="E1422" i="525"/>
  <c r="J1422" i="525"/>
  <c r="J2455" i="525"/>
  <c r="F2455" i="525" s="1"/>
  <c r="E2455" i="525"/>
  <c r="H8" i="525"/>
  <c r="F8" i="525" s="1"/>
  <c r="J10" i="525"/>
  <c r="J73" i="525"/>
  <c r="F73" i="525" s="1"/>
  <c r="J410" i="525"/>
  <c r="F410" i="525" s="1"/>
  <c r="E410" i="525"/>
  <c r="J911" i="525"/>
  <c r="F911" i="525" s="1"/>
  <c r="L1084" i="525"/>
  <c r="E1084" i="525"/>
  <c r="F1691" i="525"/>
  <c r="F1725" i="525"/>
  <c r="E2021" i="525"/>
  <c r="J2021" i="525"/>
  <c r="E2110" i="525"/>
  <c r="J2110" i="525"/>
  <c r="F2164" i="525"/>
  <c r="J2193" i="525"/>
  <c r="F2193" i="525" s="1"/>
  <c r="E2193" i="525"/>
  <c r="J2241" i="525"/>
  <c r="I853" i="525"/>
  <c r="I132" i="525"/>
  <c r="J132" i="525" s="1"/>
  <c r="E1131" i="525"/>
  <c r="H1131" i="525"/>
  <c r="E1668" i="525"/>
  <c r="J1668" i="525"/>
  <c r="F1668" i="525" s="1"/>
  <c r="J1862" i="525"/>
  <c r="F1862" i="525" s="1"/>
  <c r="E1862" i="525"/>
  <c r="J2215" i="525"/>
  <c r="F2215" i="525" s="1"/>
  <c r="E2215" i="525"/>
  <c r="E2357" i="525"/>
  <c r="J2357" i="525"/>
  <c r="AE2974" i="527"/>
  <c r="H2974" i="527" s="1"/>
  <c r="AC2974" i="527"/>
  <c r="F421" i="525"/>
  <c r="J422" i="525"/>
  <c r="J598" i="525"/>
  <c r="F758" i="525"/>
  <c r="J925" i="525"/>
  <c r="E1150" i="525"/>
  <c r="J1150" i="525"/>
  <c r="J1197" i="525"/>
  <c r="F1197" i="525" s="1"/>
  <c r="E1197" i="525"/>
  <c r="E1205" i="525"/>
  <c r="J1205" i="525"/>
  <c r="J1207" i="525" s="1"/>
  <c r="G168" i="524" s="1"/>
  <c r="J428" i="523" s="1"/>
  <c r="K428" i="523" s="1"/>
  <c r="J1251" i="525"/>
  <c r="F1251" i="525" s="1"/>
  <c r="E1251" i="525"/>
  <c r="J1462" i="525"/>
  <c r="F1462" i="525" s="1"/>
  <c r="E1462" i="525"/>
  <c r="F1681" i="525"/>
  <c r="F1833" i="525"/>
  <c r="J2077" i="525"/>
  <c r="F2077" i="525" s="1"/>
  <c r="E2077" i="525"/>
  <c r="F2158" i="525"/>
  <c r="J7" i="525"/>
  <c r="F7" i="525" s="1"/>
  <c r="H27" i="525"/>
  <c r="F27" i="525" s="1"/>
  <c r="H39" i="525"/>
  <c r="E78" i="525"/>
  <c r="I177" i="525"/>
  <c r="J177" i="525" s="1"/>
  <c r="E193" i="525"/>
  <c r="E194" i="525"/>
  <c r="J512" i="525"/>
  <c r="F512" i="525" s="1"/>
  <c r="E512" i="525"/>
  <c r="E538" i="525"/>
  <c r="J538" i="525"/>
  <c r="F538" i="525" s="1"/>
  <c r="F580" i="525"/>
  <c r="F785" i="525"/>
  <c r="F787" i="525"/>
  <c r="E947" i="525"/>
  <c r="J947" i="525"/>
  <c r="J975" i="525"/>
  <c r="F975" i="525" s="1"/>
  <c r="E975" i="525"/>
  <c r="F998" i="525"/>
  <c r="J1007" i="525"/>
  <c r="F1007" i="525" s="1"/>
  <c r="E1007" i="525"/>
  <c r="L1071" i="525"/>
  <c r="H151" i="524" s="1"/>
  <c r="L411" i="523" s="1"/>
  <c r="M411" i="523" s="1"/>
  <c r="F1149" i="525"/>
  <c r="H1167" i="525"/>
  <c r="F163" i="524" s="1"/>
  <c r="H423" i="523" s="1"/>
  <c r="H1163" i="525"/>
  <c r="F1163" i="525" s="1"/>
  <c r="J1450" i="525"/>
  <c r="F1450" i="525" s="1"/>
  <c r="E1450" i="525"/>
  <c r="E1555" i="525"/>
  <c r="J1555" i="525"/>
  <c r="J1561" i="525"/>
  <c r="F1561" i="525" s="1"/>
  <c r="E1561" i="525"/>
  <c r="E1576" i="525"/>
  <c r="J1576" i="525"/>
  <c r="J1577" i="525" s="1"/>
  <c r="G215" i="524" s="1"/>
  <c r="J168" i="523" s="1"/>
  <c r="K168" i="523" s="1"/>
  <c r="E1614" i="525"/>
  <c r="J1614" i="525"/>
  <c r="F1614" i="525" s="1"/>
  <c r="F1623" i="525"/>
  <c r="J1646" i="525"/>
  <c r="F1646" i="525" s="1"/>
  <c r="E1646" i="525"/>
  <c r="E1670" i="525"/>
  <c r="J1670" i="525"/>
  <c r="F1704" i="525"/>
  <c r="F1750" i="525"/>
  <c r="J1859" i="525"/>
  <c r="E1874" i="525"/>
  <c r="J1874" i="525"/>
  <c r="J1903" i="525"/>
  <c r="F1903" i="525" s="1"/>
  <c r="J2087" i="525"/>
  <c r="H2104" i="525"/>
  <c r="J2138" i="525"/>
  <c r="F2138" i="525" s="1"/>
  <c r="E2138" i="525"/>
  <c r="J2181" i="525"/>
  <c r="E2181" i="525"/>
  <c r="F2239" i="525"/>
  <c r="E2321" i="525"/>
  <c r="J2321" i="525"/>
  <c r="J2377" i="525"/>
  <c r="F2377" i="525" s="1"/>
  <c r="E2377" i="525"/>
  <c r="J2407" i="525"/>
  <c r="F2407" i="525" s="1"/>
  <c r="E2407" i="525"/>
  <c r="E939" i="525"/>
  <c r="J939" i="525"/>
  <c r="J967" i="525"/>
  <c r="F967" i="525" s="1"/>
  <c r="E967" i="525"/>
  <c r="E1682" i="525"/>
  <c r="J1682" i="525"/>
  <c r="J1692" i="525"/>
  <c r="F1692" i="525" s="1"/>
  <c r="E1692" i="525"/>
  <c r="J2220" i="525"/>
  <c r="F2220" i="525" s="1"/>
  <c r="E2220" i="525"/>
  <c r="E2237" i="525"/>
  <c r="J2237" i="525"/>
  <c r="F2237" i="525" s="1"/>
  <c r="F747" i="525"/>
  <c r="J1014" i="525"/>
  <c r="E1023" i="525"/>
  <c r="J1023" i="525"/>
  <c r="J1078" i="525"/>
  <c r="F1078" i="525" s="1"/>
  <c r="E1078" i="525"/>
  <c r="J1166" i="525"/>
  <c r="F1166" i="525" s="1"/>
  <c r="E1166" i="525"/>
  <c r="E1213" i="525"/>
  <c r="J1213" i="525"/>
  <c r="J1263" i="525"/>
  <c r="F1263" i="525" s="1"/>
  <c r="E1263" i="525"/>
  <c r="E1557" i="525"/>
  <c r="J1557" i="525"/>
  <c r="E1563" i="525"/>
  <c r="J1563" i="525"/>
  <c r="F1576" i="525"/>
  <c r="F1615" i="525"/>
  <c r="J1666" i="525"/>
  <c r="F1666" i="525" s="1"/>
  <c r="J1738" i="525"/>
  <c r="F1738" i="525" s="1"/>
  <c r="E1738" i="525"/>
  <c r="J1861" i="525"/>
  <c r="F1861" i="525" s="1"/>
  <c r="E1861" i="525"/>
  <c r="J1904" i="525"/>
  <c r="E1904" i="525"/>
  <c r="J2046" i="525"/>
  <c r="G277" i="524" s="1"/>
  <c r="J2139" i="525"/>
  <c r="F2139" i="525" s="1"/>
  <c r="E2139" i="525"/>
  <c r="F2202" i="525"/>
  <c r="AE1596" i="527"/>
  <c r="H1596" i="527" s="1"/>
  <c r="AA1587" i="527"/>
  <c r="AC1574" i="527"/>
  <c r="AC1571" i="527"/>
  <c r="F10" i="525"/>
  <c r="F65" i="525"/>
  <c r="F98" i="525"/>
  <c r="F194" i="525"/>
  <c r="E202" i="525"/>
  <c r="E203" i="525"/>
  <c r="F433" i="525"/>
  <c r="J510" i="525"/>
  <c r="F510" i="525" s="1"/>
  <c r="E510" i="525"/>
  <c r="F530" i="525"/>
  <c r="E798" i="525"/>
  <c r="J798" i="525"/>
  <c r="H814" i="525"/>
  <c r="E814" i="525"/>
  <c r="F968" i="525"/>
  <c r="F1109" i="525"/>
  <c r="F1110" i="525"/>
  <c r="E1147" i="525"/>
  <c r="H1147" i="525"/>
  <c r="J1158" i="525"/>
  <c r="F1158" i="525" s="1"/>
  <c r="E1158" i="525"/>
  <c r="L1196" i="525"/>
  <c r="E1196" i="525"/>
  <c r="L1212" i="525"/>
  <c r="E1212" i="525"/>
  <c r="F1472" i="525"/>
  <c r="J1559" i="525"/>
  <c r="F1559" i="525" s="1"/>
  <c r="E1559" i="525"/>
  <c r="F1593" i="525"/>
  <c r="E1613" i="525"/>
  <c r="J1613" i="525"/>
  <c r="F1613" i="525" s="1"/>
  <c r="J1863" i="525"/>
  <c r="E1863" i="525"/>
  <c r="J1926" i="525"/>
  <c r="F1926" i="525" s="1"/>
  <c r="E1926" i="525"/>
  <c r="E1993" i="525"/>
  <c r="J1993" i="525"/>
  <c r="F2118" i="525"/>
  <c r="J2217" i="525"/>
  <c r="F2217" i="525" s="1"/>
  <c r="E2217" i="525"/>
  <c r="F2221" i="525"/>
  <c r="E2238" i="525"/>
  <c r="J2238" i="525"/>
  <c r="F2238" i="525" s="1"/>
  <c r="F2295" i="525"/>
  <c r="F2315" i="525"/>
  <c r="E2417" i="525"/>
  <c r="J2417" i="525"/>
  <c r="F2417" i="525" s="1"/>
  <c r="E2688" i="525"/>
  <c r="J2688" i="525"/>
  <c r="J2689" i="525" s="1"/>
  <c r="G344" i="524" s="1"/>
  <c r="J160" i="523" s="1"/>
  <c r="K160" i="523" s="1"/>
  <c r="D5805" i="527"/>
  <c r="F108" i="526"/>
  <c r="H468" i="523" s="1"/>
  <c r="I468" i="523" s="1"/>
  <c r="F2339" i="525"/>
  <c r="F2341" i="525"/>
  <c r="F2368" i="525"/>
  <c r="F2445" i="525"/>
  <c r="AE281" i="527"/>
  <c r="H281" i="527" s="1"/>
  <c r="D281" i="527" s="1"/>
  <c r="D283" i="527" s="1"/>
  <c r="AC274" i="527"/>
  <c r="AC874" i="527"/>
  <c r="AE2474" i="527"/>
  <c r="H2474" i="527" s="1"/>
  <c r="AC2471" i="527"/>
  <c r="F2581" i="527"/>
  <c r="E2789" i="527"/>
  <c r="F2789" i="527"/>
  <c r="F2791" i="527" s="1"/>
  <c r="AE4973" i="527"/>
  <c r="H4973" i="527" s="1"/>
  <c r="AC4971" i="527"/>
  <c r="AE7681" i="527"/>
  <c r="H7681" i="527" s="1"/>
  <c r="AC7681" i="527"/>
  <c r="D8189" i="527"/>
  <c r="D8191" i="527" s="1"/>
  <c r="E8189" i="527"/>
  <c r="E8191" i="527" s="1"/>
  <c r="I2672" i="525"/>
  <c r="J2672" i="525" s="1"/>
  <c r="I2681" i="525"/>
  <c r="J2681" i="525" s="1"/>
  <c r="I2645" i="525"/>
  <c r="J2645" i="525" s="1"/>
  <c r="F2645" i="525" s="1"/>
  <c r="I2618" i="525"/>
  <c r="J2618" i="525" s="1"/>
  <c r="I2594" i="525"/>
  <c r="J2594" i="525" s="1"/>
  <c r="F2594" i="525" s="1"/>
  <c r="I2586" i="525"/>
  <c r="J2586" i="525" s="1"/>
  <c r="F2586" i="525" s="1"/>
  <c r="I113" i="530"/>
  <c r="I16" i="530"/>
  <c r="E16" i="530" s="1"/>
  <c r="I120" i="530"/>
  <c r="E120" i="530" s="1"/>
  <c r="I106" i="530"/>
  <c r="I67" i="530"/>
  <c r="I24" i="530"/>
  <c r="J24" i="530" s="1"/>
  <c r="F24" i="530" s="1"/>
  <c r="I9" i="530"/>
  <c r="I53" i="530"/>
  <c r="E53" i="530" s="1"/>
  <c r="I46" i="530"/>
  <c r="F15" i="528"/>
  <c r="I31" i="530"/>
  <c r="J31" i="530" s="1"/>
  <c r="F31" i="530" s="1"/>
  <c r="K7981" i="527"/>
  <c r="I7981" i="527" s="1"/>
  <c r="K7681" i="527"/>
  <c r="I7681" i="527" s="1"/>
  <c r="K3035" i="527"/>
  <c r="I3035" i="527" s="1"/>
  <c r="K2885" i="527"/>
  <c r="I2885" i="527" s="1"/>
  <c r="K2734" i="527"/>
  <c r="I2734" i="527" s="1"/>
  <c r="K2584" i="527"/>
  <c r="I2584" i="527" s="1"/>
  <c r="K2535" i="527"/>
  <c r="I2535" i="527" s="1"/>
  <c r="K2248" i="527"/>
  <c r="I2248" i="527" s="1"/>
  <c r="K2147" i="527"/>
  <c r="I2147" i="527" s="1"/>
  <c r="K2048" i="527"/>
  <c r="I2048" i="527" s="1"/>
  <c r="K1608" i="527"/>
  <c r="I1608" i="527" s="1"/>
  <c r="K8031" i="527"/>
  <c r="I8031" i="527" s="1"/>
  <c r="K7831" i="527"/>
  <c r="I7831" i="527" s="1"/>
  <c r="K7731" i="527"/>
  <c r="I7731" i="527" s="1"/>
  <c r="K7881" i="527"/>
  <c r="I7881" i="527" s="1"/>
  <c r="K2934" i="527"/>
  <c r="I2934" i="527" s="1"/>
  <c r="K2484" i="527"/>
  <c r="I2484" i="527" s="1"/>
  <c r="K2434" i="527"/>
  <c r="I2434" i="527" s="1"/>
  <c r="K2334" i="527"/>
  <c r="I2334" i="527" s="1"/>
  <c r="K1708" i="527"/>
  <c r="I1708" i="527" s="1"/>
  <c r="K1507" i="527"/>
  <c r="I1507" i="527" s="1"/>
  <c r="K631" i="527"/>
  <c r="I631" i="527" s="1"/>
  <c r="K531" i="527"/>
  <c r="I531" i="527" s="1"/>
  <c r="K431" i="527"/>
  <c r="I431" i="527" s="1"/>
  <c r="K331" i="527"/>
  <c r="I331" i="527" s="1"/>
  <c r="K8081" i="527"/>
  <c r="I8081" i="527" s="1"/>
  <c r="K2385" i="527"/>
  <c r="I2385" i="527" s="1"/>
  <c r="K2197" i="527"/>
  <c r="I2197" i="527" s="1"/>
  <c r="K1897" i="527"/>
  <c r="I1897" i="527" s="1"/>
  <c r="K1331" i="527"/>
  <c r="I1331" i="527" s="1"/>
  <c r="K1231" i="527"/>
  <c r="I1231" i="527" s="1"/>
  <c r="K1131" i="527"/>
  <c r="I1131" i="527" s="1"/>
  <c r="K1031" i="527"/>
  <c r="I1031" i="527" s="1"/>
  <c r="K931" i="527"/>
  <c r="I931" i="527" s="1"/>
  <c r="K731" i="527"/>
  <c r="I731" i="527" s="1"/>
  <c r="K2531" i="527"/>
  <c r="I2531" i="527" s="1"/>
  <c r="K1394" i="527"/>
  <c r="I1394" i="527" s="1"/>
  <c r="K2731" i="527"/>
  <c r="I2731" i="527" s="1"/>
  <c r="K2581" i="527"/>
  <c r="I2581" i="527" s="1"/>
  <c r="K1894" i="527"/>
  <c r="I1894" i="527" s="1"/>
  <c r="K2931" i="527"/>
  <c r="I2931" i="527" s="1"/>
  <c r="K2481" i="527"/>
  <c r="I2481" i="527" s="1"/>
  <c r="K2194" i="527"/>
  <c r="I2194" i="527" s="1"/>
  <c r="K2144" i="527"/>
  <c r="I2144" i="527" s="1"/>
  <c r="I81" i="530"/>
  <c r="F16" i="528"/>
  <c r="J487" i="525"/>
  <c r="F492" i="525"/>
  <c r="F501" i="525"/>
  <c r="F563" i="525"/>
  <c r="F718" i="525"/>
  <c r="F725" i="525"/>
  <c r="F727" i="525"/>
  <c r="F745" i="525"/>
  <c r="F1048" i="525"/>
  <c r="F1070" i="525"/>
  <c r="L1079" i="525"/>
  <c r="H152" i="524" s="1"/>
  <c r="L412" i="523" s="1"/>
  <c r="M412" i="523" s="1"/>
  <c r="L1143" i="525"/>
  <c r="H160" i="524" s="1"/>
  <c r="L420" i="523" s="1"/>
  <c r="M420" i="523" s="1"/>
  <c r="F1156" i="525"/>
  <c r="F1171" i="525"/>
  <c r="L1215" i="525"/>
  <c r="H169" i="524" s="1"/>
  <c r="L410" i="523" s="1"/>
  <c r="M410" i="523" s="1"/>
  <c r="I1225" i="525"/>
  <c r="F1275" i="525"/>
  <c r="F1552" i="525"/>
  <c r="F1580" i="525"/>
  <c r="F1588" i="525"/>
  <c r="F1622" i="525"/>
  <c r="F1680" i="525"/>
  <c r="F1714" i="525"/>
  <c r="F1749" i="525"/>
  <c r="F1933" i="525"/>
  <c r="F1990" i="525"/>
  <c r="E268" i="524" s="1"/>
  <c r="J2106" i="525"/>
  <c r="G288" i="524" s="1"/>
  <c r="F2163" i="525"/>
  <c r="F2183" i="525"/>
  <c r="F2196" i="525"/>
  <c r="F2201" i="525"/>
  <c r="F2298" i="525"/>
  <c r="J2577" i="525"/>
  <c r="F2577" i="525" s="1"/>
  <c r="E2577" i="525"/>
  <c r="F2596" i="525"/>
  <c r="F2602" i="525"/>
  <c r="AE2185" i="527"/>
  <c r="H2185" i="527" s="1"/>
  <c r="AC2171" i="527"/>
  <c r="AC7674" i="527"/>
  <c r="F8255" i="527"/>
  <c r="H155" i="526"/>
  <c r="F8355" i="527"/>
  <c r="H157" i="526"/>
  <c r="F434" i="525"/>
  <c r="J477" i="525"/>
  <c r="F503" i="525"/>
  <c r="F521" i="525"/>
  <c r="F590" i="525"/>
  <c r="F607" i="525"/>
  <c r="F715" i="525"/>
  <c r="F738" i="525"/>
  <c r="J822" i="525"/>
  <c r="G114" i="524" s="1"/>
  <c r="J202" i="523" s="1"/>
  <c r="K202" i="523" s="1"/>
  <c r="H1071" i="525"/>
  <c r="F151" i="524" s="1"/>
  <c r="H411" i="523" s="1"/>
  <c r="I411" i="523" s="1"/>
  <c r="H1067" i="525"/>
  <c r="F1083" i="525"/>
  <c r="F1085" i="525"/>
  <c r="J1094" i="525"/>
  <c r="F1094" i="525" s="1"/>
  <c r="F1147" i="525"/>
  <c r="F1196" i="525"/>
  <c r="F1198" i="525"/>
  <c r="H1202" i="525"/>
  <c r="F1212" i="525"/>
  <c r="F1424" i="525"/>
  <c r="F1437" i="525"/>
  <c r="F1537" i="525"/>
  <c r="J1538" i="525"/>
  <c r="F1538" i="525" s="1"/>
  <c r="J1540" i="525"/>
  <c r="F1540" i="525" s="1"/>
  <c r="F1568" i="525"/>
  <c r="F1620" i="525"/>
  <c r="F1678" i="525"/>
  <c r="J1850" i="525"/>
  <c r="F2021" i="525"/>
  <c r="H2032" i="525"/>
  <c r="H2033" i="525"/>
  <c r="F2033" i="525" s="1"/>
  <c r="H2034" i="525"/>
  <c r="F2034" i="525" s="1"/>
  <c r="F2119" i="525"/>
  <c r="F2128" i="525"/>
  <c r="F2161" i="525"/>
  <c r="F2162" i="525"/>
  <c r="J2174" i="525"/>
  <c r="F2255" i="525"/>
  <c r="F2260" i="525"/>
  <c r="F2319" i="525"/>
  <c r="F2321" i="525"/>
  <c r="F2357" i="525"/>
  <c r="E2405" i="525"/>
  <c r="E2447" i="525"/>
  <c r="J2498" i="525"/>
  <c r="F2498" i="525" s="1"/>
  <c r="E2498" i="525"/>
  <c r="AE1792" i="527"/>
  <c r="H1792" i="527" s="1"/>
  <c r="E1792" i="527" s="1"/>
  <c r="AE1771" i="527"/>
  <c r="H1771" i="527" s="1"/>
  <c r="E1771" i="527" s="1"/>
  <c r="F2385" i="527"/>
  <c r="E5128" i="527"/>
  <c r="E5130" i="527" s="1"/>
  <c r="D5128" i="527"/>
  <c r="D5130" i="527" s="1"/>
  <c r="Z7475" i="527"/>
  <c r="AD7475" i="527"/>
  <c r="H7475" i="527" s="1"/>
  <c r="D7475" i="527" s="1"/>
  <c r="D8708" i="527"/>
  <c r="D8711" i="527" s="1"/>
  <c r="F8708" i="527"/>
  <c r="F8711" i="527" s="1"/>
  <c r="F2559" i="525"/>
  <c r="AL56" i="527"/>
  <c r="B56" i="527" s="1"/>
  <c r="AD56" i="527"/>
  <c r="AC2424" i="527"/>
  <c r="AC2921" i="527"/>
  <c r="AC2924" i="527"/>
  <c r="E2984" i="527"/>
  <c r="AE5073" i="527"/>
  <c r="H5073" i="527" s="1"/>
  <c r="AC5071" i="527"/>
  <c r="AE7724" i="527"/>
  <c r="H7724" i="527" s="1"/>
  <c r="AE7721" i="527"/>
  <c r="H7721" i="527" s="1"/>
  <c r="E7721" i="527" s="1"/>
  <c r="L55" i="530"/>
  <c r="H10" i="529" s="1"/>
  <c r="J2564" i="525"/>
  <c r="J2565" i="525" s="1"/>
  <c r="G329" i="524" s="1"/>
  <c r="J179" i="523" s="1"/>
  <c r="K179" i="523" s="1"/>
  <c r="F2604" i="525"/>
  <c r="AC371" i="527"/>
  <c r="AC2421" i="527"/>
  <c r="AE2674" i="527"/>
  <c r="H2674" i="527" s="1"/>
  <c r="E2674" i="527" s="1"/>
  <c r="AC7266" i="527"/>
  <c r="AC7269" i="527"/>
  <c r="E8518" i="527"/>
  <c r="F22" i="530"/>
  <c r="L51" i="530"/>
  <c r="E51" i="530"/>
  <c r="L86" i="530"/>
  <c r="E86" i="530"/>
  <c r="E97" i="530"/>
  <c r="Z3467" i="527"/>
  <c r="AC5173" i="527"/>
  <c r="AM6572" i="527"/>
  <c r="Z7469" i="527"/>
  <c r="AE7931" i="527"/>
  <c r="H7931" i="527" s="1"/>
  <c r="D7931" i="527" s="1"/>
  <c r="D7933" i="527" s="1"/>
  <c r="AE8182" i="527"/>
  <c r="H8182" i="527" s="1"/>
  <c r="D8182" i="527" s="1"/>
  <c r="L69" i="530"/>
  <c r="H12" i="529" s="1"/>
  <c r="L3623" i="527" s="1"/>
  <c r="I3623" i="527" s="1"/>
  <c r="L83" i="530"/>
  <c r="H14" i="529" s="1"/>
  <c r="L9031" i="527" s="1"/>
  <c r="I9031" i="527" s="1"/>
  <c r="L101" i="530"/>
  <c r="H17" i="529" s="1"/>
  <c r="L108" i="530"/>
  <c r="H18" i="529" s="1"/>
  <c r="L1496" i="527" s="1"/>
  <c r="I1496" i="527" s="1"/>
  <c r="AC1871" i="527"/>
  <c r="C3668" i="527"/>
  <c r="C3967" i="527"/>
  <c r="AC5123" i="527"/>
  <c r="AC5421" i="527"/>
  <c r="AM6122" i="527"/>
  <c r="AC7071" i="527"/>
  <c r="D7214" i="527"/>
  <c r="E125" i="530"/>
  <c r="Y674" i="527"/>
  <c r="Z1066" i="525"/>
  <c r="Z8" i="525"/>
  <c r="Z9" i="525"/>
  <c r="Z55" i="525"/>
  <c r="Z62" i="525"/>
  <c r="Z1114" i="525"/>
  <c r="Z1074" i="525"/>
  <c r="Z435" i="525"/>
  <c r="Z39" i="525"/>
  <c r="Z63" i="525"/>
  <c r="Z70" i="525"/>
  <c r="Z476" i="525"/>
  <c r="Z1058" i="525"/>
  <c r="Z1075" i="525"/>
  <c r="Z1202" i="525"/>
  <c r="Z1918" i="525"/>
  <c r="Z35" i="525"/>
  <c r="Z43" i="525"/>
  <c r="Z202" i="525"/>
  <c r="Z210" i="525"/>
  <c r="Z217" i="525"/>
  <c r="Z826" i="525"/>
  <c r="Z1147" i="525"/>
  <c r="Z71" i="525"/>
  <c r="Z1067" i="525"/>
  <c r="Z209" i="525"/>
  <c r="Z827" i="525"/>
  <c r="Z1123" i="525"/>
  <c r="Z1154" i="525"/>
  <c r="Z27" i="525"/>
  <c r="Z194" i="525"/>
  <c r="Z195" i="525"/>
  <c r="Z203" i="525"/>
  <c r="Z211" i="525"/>
  <c r="Z1036" i="525"/>
  <c r="Z1037" i="525"/>
  <c r="Z1138" i="525"/>
  <c r="Y4071" i="527"/>
  <c r="Z410" i="525"/>
  <c r="Z411" i="525"/>
  <c r="Z1116" i="525"/>
  <c r="Y2174" i="527"/>
  <c r="AC324" i="523"/>
  <c r="AC459" i="523"/>
  <c r="AC388" i="523"/>
  <c r="Y524" i="527"/>
  <c r="Y1674" i="527"/>
  <c r="Y2571" i="527"/>
  <c r="Y2724" i="527"/>
  <c r="Y3764" i="527"/>
  <c r="Y3871" i="527"/>
  <c r="AC339" i="523"/>
  <c r="AC404" i="523"/>
  <c r="AC476" i="523"/>
  <c r="AC477" i="523"/>
  <c r="AC478" i="523"/>
  <c r="AC479" i="523"/>
  <c r="AC355" i="523"/>
  <c r="Z305" i="525"/>
  <c r="Z706" i="525"/>
  <c r="AC315" i="523"/>
  <c r="Z260" i="525"/>
  <c r="Z625" i="525"/>
  <c r="Z631" i="525"/>
  <c r="Z637" i="525"/>
  <c r="AC307" i="523"/>
  <c r="AC327" i="523"/>
  <c r="AC356" i="523"/>
  <c r="AC377" i="523"/>
  <c r="AC448" i="523"/>
  <c r="Z51" i="525"/>
  <c r="Z95" i="525"/>
  <c r="Z242" i="525"/>
  <c r="Z547" i="525"/>
  <c r="AC239" i="523"/>
  <c r="AC316" i="523"/>
  <c r="AC344" i="523"/>
  <c r="AC393" i="523"/>
  <c r="Z98" i="525"/>
  <c r="Z546" i="525"/>
  <c r="AC210" i="523"/>
  <c r="AC240" i="523"/>
  <c r="AC308" i="523"/>
  <c r="AC319" i="523"/>
  <c r="AC334" i="523"/>
  <c r="AC346" i="523"/>
  <c r="AC360" i="523"/>
  <c r="AC382" i="523"/>
  <c r="AC394" i="523"/>
  <c r="AC453" i="523"/>
  <c r="AC462" i="523"/>
  <c r="AC464" i="523"/>
  <c r="AC466" i="523"/>
  <c r="AC470" i="523"/>
  <c r="Z126" i="525"/>
  <c r="Z134" i="525"/>
  <c r="Z360" i="525"/>
  <c r="Z504" i="525"/>
  <c r="AC405" i="523"/>
  <c r="AC152" i="523"/>
  <c r="AC211" i="523"/>
  <c r="AC300" i="523"/>
  <c r="AC311" i="523"/>
  <c r="AC323" i="523"/>
  <c r="AC335" i="523"/>
  <c r="AC350" i="523"/>
  <c r="AC366" i="523"/>
  <c r="AC384" i="523"/>
  <c r="AC398" i="523"/>
  <c r="AC409" i="523"/>
  <c r="AC455" i="523"/>
  <c r="AC463" i="523"/>
  <c r="AC465" i="523"/>
  <c r="AC467" i="523"/>
  <c r="Z300" i="525"/>
  <c r="Z323" i="525"/>
  <c r="Z580" i="525"/>
  <c r="Z581" i="525"/>
  <c r="Z671" i="525"/>
  <c r="Z861" i="525"/>
  <c r="Z866" i="525"/>
  <c r="AC312" i="523"/>
  <c r="AC320" i="523"/>
  <c r="AC328" i="523"/>
  <c r="AC340" i="523"/>
  <c r="AC351" i="523"/>
  <c r="AC362" i="523"/>
  <c r="AC378" i="523"/>
  <c r="AC389" i="523"/>
  <c r="AC400" i="523"/>
  <c r="AC408" i="523"/>
  <c r="AC449" i="523"/>
  <c r="AC460" i="523"/>
  <c r="AC473" i="523"/>
  <c r="Z167" i="525"/>
  <c r="Z224" i="525"/>
  <c r="Z228" i="525"/>
  <c r="Z276" i="525"/>
  <c r="Z389" i="525"/>
  <c r="Z517" i="525"/>
  <c r="Z551" i="525"/>
  <c r="Z170" i="525"/>
  <c r="Z249" i="525"/>
  <c r="Z330" i="525"/>
  <c r="Z392" i="525"/>
  <c r="Z446" i="525"/>
  <c r="Z559" i="525"/>
  <c r="Z650" i="525"/>
  <c r="Z898" i="525"/>
  <c r="Z996" i="525"/>
  <c r="Z1294" i="525"/>
  <c r="Z1328" i="525"/>
  <c r="Z2473" i="525"/>
  <c r="AC194" i="523"/>
  <c r="AC298" i="523"/>
  <c r="AC305" i="523"/>
  <c r="AC309" i="523"/>
  <c r="AC313" i="523"/>
  <c r="AC317" i="523"/>
  <c r="AC321" i="523"/>
  <c r="AC325" i="523"/>
  <c r="AC329" i="523"/>
  <c r="AC336" i="523"/>
  <c r="AC342" i="523"/>
  <c r="AC347" i="523"/>
  <c r="AC352" i="523"/>
  <c r="AC358" i="523"/>
  <c r="AC363" i="523"/>
  <c r="AC374" i="523"/>
  <c r="AC380" i="523"/>
  <c r="AC385" i="523"/>
  <c r="AC390" i="523"/>
  <c r="AC396" i="523"/>
  <c r="AC401" i="523"/>
  <c r="AC406" i="523"/>
  <c r="AC451" i="523"/>
  <c r="AC456" i="523"/>
  <c r="AC461" i="523"/>
  <c r="AC472" i="523"/>
  <c r="AC480" i="523"/>
  <c r="AC481" i="523"/>
  <c r="Z149" i="525"/>
  <c r="Z231" i="525"/>
  <c r="Z235" i="525"/>
  <c r="Z284" i="525"/>
  <c r="Z316" i="525"/>
  <c r="Z344" i="525"/>
  <c r="Z373" i="525"/>
  <c r="Z405" i="525"/>
  <c r="Z440" i="525"/>
  <c r="Z454" i="525"/>
  <c r="Z586" i="525"/>
  <c r="Z678" i="525"/>
  <c r="Z1269" i="525"/>
  <c r="AC147" i="523"/>
  <c r="AC238" i="523"/>
  <c r="AC299" i="523"/>
  <c r="AC306" i="523"/>
  <c r="AC310" i="523"/>
  <c r="AC314" i="523"/>
  <c r="AC318" i="523"/>
  <c r="AC322" i="523"/>
  <c r="AC326" i="523"/>
  <c r="AC330" i="523"/>
  <c r="AC338" i="523"/>
  <c r="AC343" i="523"/>
  <c r="AC348" i="523"/>
  <c r="AC354" i="523"/>
  <c r="AC359" i="523"/>
  <c r="AC364" i="523"/>
  <c r="AC376" i="523"/>
  <c r="AC381" i="523"/>
  <c r="AC386" i="523"/>
  <c r="AC392" i="523"/>
  <c r="AC397" i="523"/>
  <c r="AC402" i="523"/>
  <c r="AC447" i="523"/>
  <c r="AC452" i="523"/>
  <c r="AC457" i="523"/>
  <c r="AC469" i="523"/>
  <c r="Z152" i="525"/>
  <c r="Z179" i="525"/>
  <c r="Z273" i="525"/>
  <c r="Z289" i="525"/>
  <c r="Z337" i="525"/>
  <c r="Z349" i="525"/>
  <c r="Z376" i="525"/>
  <c r="Z408" i="525"/>
  <c r="Z423" i="525"/>
  <c r="Z470" i="525"/>
  <c r="Z475" i="525"/>
  <c r="Z510" i="525"/>
  <c r="Z595" i="525"/>
  <c r="Z643" i="525"/>
  <c r="Z699" i="525"/>
  <c r="Z723" i="525"/>
  <c r="Z733" i="525"/>
  <c r="Z1530" i="525"/>
  <c r="Z763" i="525"/>
  <c r="Z1012" i="525"/>
  <c r="Z1021" i="525"/>
  <c r="Z1429" i="525"/>
  <c r="Z1448" i="525"/>
  <c r="Z2133" i="525"/>
  <c r="Z743" i="525"/>
  <c r="Z887" i="525"/>
  <c r="Z952" i="525"/>
  <c r="Z1301" i="525"/>
  <c r="Z1406" i="525"/>
  <c r="Z1480" i="525"/>
  <c r="Z1498" i="525"/>
  <c r="Z1541" i="525"/>
  <c r="Z2111" i="525"/>
  <c r="Z1963" i="525"/>
  <c r="Z1881" i="525"/>
  <c r="Z1804" i="525"/>
  <c r="Z1733" i="525"/>
  <c r="Z1721" i="525"/>
  <c r="Z1709" i="525"/>
  <c r="Z1675" i="525"/>
  <c r="Z1417" i="525"/>
  <c r="Z1368" i="525"/>
  <c r="Z1307" i="525"/>
  <c r="Z1280" i="525"/>
  <c r="Z1274" i="525"/>
  <c r="Z1268" i="525"/>
  <c r="Z1262" i="525"/>
  <c r="Z1234" i="525"/>
  <c r="Z1049" i="525"/>
  <c r="Z692" i="525"/>
  <c r="Z664" i="525"/>
  <c r="Z577" i="525"/>
  <c r="Z543" i="525"/>
  <c r="Z535" i="525"/>
  <c r="Z526" i="525"/>
  <c r="Z508" i="525"/>
  <c r="Z453" i="525"/>
  <c r="Z432" i="525"/>
  <c r="Z420" i="525"/>
  <c r="Z412" i="525"/>
  <c r="Z400" i="525"/>
  <c r="Z384" i="525"/>
  <c r="Z368" i="525"/>
  <c r="Z357" i="525"/>
  <c r="Z341" i="525"/>
  <c r="Z334" i="525"/>
  <c r="Z327" i="525"/>
  <c r="Z320" i="525"/>
  <c r="Z313" i="525"/>
  <c r="Z297" i="525"/>
  <c r="Z281" i="525"/>
  <c r="Z268" i="525"/>
  <c r="Z257" i="525"/>
  <c r="Z221" i="525"/>
  <c r="Z161" i="525"/>
  <c r="Z143" i="525"/>
  <c r="Z131" i="525"/>
  <c r="Z123" i="525"/>
  <c r="Z118" i="525"/>
  <c r="Z110" i="525"/>
  <c r="Z102" i="525"/>
  <c r="AC475" i="523"/>
  <c r="AC471" i="523"/>
  <c r="AC468" i="523"/>
  <c r="AC458" i="523"/>
  <c r="AC454" i="523"/>
  <c r="AC450" i="523"/>
  <c r="AC446" i="523"/>
  <c r="AC403" i="523"/>
  <c r="AC399" i="523"/>
  <c r="AC395" i="523"/>
  <c r="AC391" i="523"/>
  <c r="AC387" i="523"/>
  <c r="AC383" i="523"/>
  <c r="AC379" i="523"/>
  <c r="AC375" i="523"/>
  <c r="AC365" i="523"/>
  <c r="AC361" i="523"/>
  <c r="AC357" i="523"/>
  <c r="AC353" i="523"/>
  <c r="AC349" i="523"/>
  <c r="AC345" i="523"/>
  <c r="AC341" i="523"/>
  <c r="AC337" i="523"/>
  <c r="Z2004" i="525"/>
  <c r="Z1970" i="525"/>
  <c r="Z1887" i="525"/>
  <c r="Z1776" i="525"/>
  <c r="Z1745" i="525"/>
  <c r="Z1467" i="525"/>
  <c r="Z1460" i="525"/>
  <c r="Z1399" i="525"/>
  <c r="Z1353" i="525"/>
  <c r="Z1314" i="525"/>
  <c r="Z1287" i="525"/>
  <c r="Z981" i="525"/>
  <c r="Z958" i="525"/>
  <c r="Z852" i="525"/>
  <c r="Z803" i="525"/>
  <c r="Z753" i="525"/>
  <c r="Z713" i="525"/>
  <c r="Z685" i="525"/>
  <c r="Z657" i="525"/>
  <c r="Z619" i="525"/>
  <c r="Z613" i="525"/>
  <c r="Z604" i="525"/>
  <c r="Z568" i="525"/>
  <c r="Z499" i="525"/>
  <c r="Z490" i="525"/>
  <c r="Z447" i="525"/>
  <c r="Z441" i="525"/>
  <c r="Z428" i="525"/>
  <c r="Z416" i="525"/>
  <c r="Z397" i="525"/>
  <c r="Z381" i="525"/>
  <c r="Z365" i="525"/>
  <c r="Z352" i="525"/>
  <c r="Z308" i="525"/>
  <c r="Z292" i="525"/>
  <c r="Z265" i="525"/>
  <c r="Z252" i="525"/>
  <c r="Z245" i="525"/>
  <c r="Z238" i="525"/>
  <c r="Z176" i="525"/>
  <c r="Z158" i="525"/>
  <c r="Z140" i="525"/>
  <c r="Z115" i="525"/>
  <c r="Z107" i="525"/>
  <c r="J13" i="528"/>
  <c r="Y2874" i="527"/>
  <c r="Y771" i="527"/>
  <c r="Y574" i="527"/>
  <c r="Y221" i="527"/>
  <c r="Z1106" i="525"/>
  <c r="Z814" i="525"/>
  <c r="Z486" i="525"/>
  <c r="Z485" i="525"/>
  <c r="Z201" i="525"/>
  <c r="Z193" i="525"/>
  <c r="Z187" i="525"/>
  <c r="Z186" i="525"/>
  <c r="Z185" i="525"/>
  <c r="Y8363" i="527"/>
  <c r="Y5071" i="527"/>
  <c r="Y3383" i="527"/>
  <c r="Y2774" i="527"/>
  <c r="Y1921" i="527"/>
  <c r="Y921" i="527"/>
  <c r="Y624" i="527"/>
  <c r="Z1620" i="525"/>
  <c r="Z1178" i="525"/>
  <c r="Z1062" i="525"/>
  <c r="Z855" i="525"/>
  <c r="Z820" i="525"/>
  <c r="Z819" i="525"/>
  <c r="Z813" i="525"/>
  <c r="Z481" i="525"/>
  <c r="Z480" i="525"/>
  <c r="Z31" i="525"/>
  <c r="Z23" i="525"/>
  <c r="Z503" i="525"/>
  <c r="Z513" i="525"/>
  <c r="Z725" i="525"/>
  <c r="Z894" i="525"/>
  <c r="AC148" i="523"/>
  <c r="Z562" i="525"/>
  <c r="Z563" i="525"/>
  <c r="Z727" i="525"/>
  <c r="Z728" i="525"/>
  <c r="Z745" i="525"/>
  <c r="Z747" i="525"/>
  <c r="Z748" i="525"/>
  <c r="Z1188" i="525"/>
  <c r="Z1692" i="525"/>
  <c r="AC31" i="523"/>
  <c r="Z73" i="525"/>
  <c r="Z78" i="525"/>
  <c r="Z82" i="525"/>
  <c r="AC284" i="523"/>
  <c r="Z7" i="525"/>
  <c r="Z15" i="525"/>
  <c r="Z422" i="525"/>
  <c r="Z519" i="525"/>
  <c r="Z521" i="525"/>
  <c r="Z528" i="525"/>
  <c r="Z530" i="525"/>
  <c r="Z531" i="525"/>
  <c r="Z715" i="525"/>
  <c r="Z717" i="525"/>
  <c r="Z755" i="525"/>
  <c r="Z757" i="525"/>
  <c r="Z758" i="525"/>
  <c r="Z1007" i="525"/>
  <c r="Z1022" i="525"/>
  <c r="Z1078" i="525"/>
  <c r="Y4472" i="527"/>
  <c r="Y4773" i="527"/>
  <c r="Y4871" i="527"/>
  <c r="K35" i="526"/>
  <c r="AC79" i="523"/>
  <c r="Z10" i="525"/>
  <c r="Z86" i="525"/>
  <c r="Z421" i="525"/>
  <c r="Z433" i="525"/>
  <c r="Z434" i="525"/>
  <c r="Z492" i="525"/>
  <c r="Z494" i="525"/>
  <c r="Z495" i="525"/>
  <c r="Z501" i="525"/>
  <c r="Z512" i="525"/>
  <c r="Z522" i="525"/>
  <c r="Z538" i="525"/>
  <c r="Z539" i="525"/>
  <c r="Z589" i="525"/>
  <c r="Z590" i="525"/>
  <c r="Z598" i="525"/>
  <c r="Z599" i="525"/>
  <c r="Z718" i="525"/>
  <c r="Z735" i="525"/>
  <c r="Z737" i="525"/>
  <c r="Z765" i="525"/>
  <c r="Z807" i="525"/>
  <c r="Z808" i="525"/>
  <c r="Z1084" i="525"/>
  <c r="AC127" i="523"/>
  <c r="Z19" i="525"/>
  <c r="Z47" i="525"/>
  <c r="Z64" i="525"/>
  <c r="Z65" i="525"/>
  <c r="Z72" i="525"/>
  <c r="Z474" i="525"/>
  <c r="Z554" i="525"/>
  <c r="Z555" i="525"/>
  <c r="Z571" i="525"/>
  <c r="Z572" i="525"/>
  <c r="Z607" i="525"/>
  <c r="Z608" i="525"/>
  <c r="Z738" i="525"/>
  <c r="Z787" i="525"/>
  <c r="Z788" i="525"/>
  <c r="Z939" i="525"/>
  <c r="Z940" i="525"/>
  <c r="Z991" i="525"/>
  <c r="Z1204" i="525"/>
  <c r="Z1212" i="525"/>
  <c r="Z1536" i="525"/>
  <c r="Z1737" i="525"/>
  <c r="Y2684" i="527"/>
  <c r="Z1633" i="525"/>
  <c r="Z1561" i="525"/>
  <c r="Z1552" i="525"/>
  <c r="Z1223" i="525"/>
  <c r="Z1158" i="525"/>
  <c r="Z1038" i="525"/>
  <c r="Z999" i="525"/>
  <c r="Z998" i="525"/>
  <c r="Z983" i="525"/>
  <c r="Z982" i="525"/>
  <c r="Z974" i="525"/>
  <c r="Z954" i="525"/>
  <c r="Z953" i="525"/>
  <c r="Z932" i="525"/>
  <c r="Z918" i="525"/>
  <c r="Z882" i="525"/>
  <c r="Z833" i="525"/>
  <c r="Z825" i="525"/>
  <c r="Z805" i="525"/>
  <c r="Z797" i="525"/>
  <c r="Z795" i="525"/>
  <c r="Z1614" i="525"/>
  <c r="Z1576" i="525"/>
  <c r="Z1382" i="525"/>
  <c r="Z1198" i="525"/>
  <c r="Z1181" i="525"/>
  <c r="Z1093" i="525"/>
  <c r="Z1053" i="525"/>
  <c r="Z1043" i="525"/>
  <c r="Z1023" i="525"/>
  <c r="Z960" i="525"/>
  <c r="Z947" i="525"/>
  <c r="Z844" i="525"/>
  <c r="Z778" i="525"/>
  <c r="Z777" i="525"/>
  <c r="Z775" i="525"/>
  <c r="Z1680" i="525"/>
  <c r="Z1624" i="525"/>
  <c r="Z1459" i="525"/>
  <c r="Z1447" i="525"/>
  <c r="Z1424" i="525"/>
  <c r="Z1214" i="525"/>
  <c r="Z1166" i="525"/>
  <c r="Z1133" i="525"/>
  <c r="Z1126" i="525"/>
  <c r="Z1101" i="525"/>
  <c r="Z1069" i="525"/>
  <c r="Z1048" i="525"/>
  <c r="Z1031" i="525"/>
  <c r="Z1030" i="525"/>
  <c r="Z1015" i="525"/>
  <c r="Z1014" i="525"/>
  <c r="Z1006" i="525"/>
  <c r="Z990" i="525"/>
  <c r="Z975" i="525"/>
  <c r="Z968" i="525"/>
  <c r="Z967" i="525"/>
  <c r="Z961" i="525"/>
  <c r="Z946" i="525"/>
  <c r="Z933" i="525"/>
  <c r="Z926" i="525"/>
  <c r="Z925" i="525"/>
  <c r="Z919" i="525"/>
  <c r="Z912" i="525"/>
  <c r="Z911" i="525"/>
  <c r="Z905" i="525"/>
  <c r="Z904" i="525"/>
  <c r="Z886" i="525"/>
  <c r="Z848" i="525"/>
  <c r="Z840" i="525"/>
  <c r="Z798" i="525"/>
  <c r="Z785" i="525"/>
  <c r="Z768" i="525"/>
  <c r="Z767" i="525"/>
  <c r="Z2625" i="525"/>
  <c r="Z2452" i="525"/>
  <c r="Z2442" i="525"/>
  <c r="Z2363" i="525"/>
  <c r="Z2242" i="525"/>
  <c r="Z2142" i="525"/>
  <c r="Z2016" i="525"/>
  <c r="Z1994" i="525"/>
  <c r="Z1978" i="525"/>
  <c r="Z1956" i="525"/>
  <c r="Z1894" i="525"/>
  <c r="Z1817" i="525"/>
  <c r="Z1790" i="525"/>
  <c r="Z1764" i="525"/>
  <c r="Z1698" i="525"/>
  <c r="Z1599" i="525"/>
  <c r="Z1589" i="525"/>
  <c r="Z1551" i="525"/>
  <c r="Z1519" i="525"/>
  <c r="Z1510" i="525"/>
  <c r="Z1503" i="525"/>
  <c r="Z1490" i="525"/>
  <c r="Z1454" i="525"/>
  <c r="Z1442" i="525"/>
  <c r="Z1389" i="525"/>
  <c r="Z1378" i="525"/>
  <c r="Z1361" i="525"/>
  <c r="Z1345" i="525"/>
  <c r="Z1336" i="525"/>
  <c r="Z1320" i="525"/>
  <c r="Z1244" i="525"/>
  <c r="Z1054" i="525"/>
  <c r="Z1044" i="525"/>
  <c r="Z1029" i="525"/>
  <c r="Z1004" i="525"/>
  <c r="Z988" i="525"/>
  <c r="Z973" i="525"/>
  <c r="Z966" i="525"/>
  <c r="Z944" i="525"/>
  <c r="Z938" i="525"/>
  <c r="Z931" i="525"/>
  <c r="Z924" i="525"/>
  <c r="Z917" i="525"/>
  <c r="Z910" i="525"/>
  <c r="Z902" i="525"/>
  <c r="Z896" i="525"/>
  <c r="Z889" i="525"/>
  <c r="Z874" i="525"/>
  <c r="Z793" i="525"/>
  <c r="Z783" i="525"/>
  <c r="Z2345" i="525"/>
  <c r="Z2327" i="525"/>
  <c r="Z2287" i="525"/>
  <c r="Z2112" i="525"/>
  <c r="Z1977" i="525"/>
  <c r="Z1953" i="525"/>
  <c r="Z1888" i="525"/>
  <c r="Z1882" i="525"/>
  <c r="Z1811" i="525"/>
  <c r="Z1783" i="525"/>
  <c r="Z1770" i="525"/>
  <c r="Z1594" i="525"/>
  <c r="Z1547" i="525"/>
  <c r="Z1518" i="525"/>
  <c r="Z1487" i="525"/>
  <c r="Z1483" i="525"/>
  <c r="Z1473" i="525"/>
  <c r="Z1471" i="525"/>
  <c r="Z1436" i="525"/>
  <c r="Z1423" i="525"/>
  <c r="Z1409" i="525"/>
  <c r="Z1402" i="525"/>
  <c r="Z1394" i="525"/>
  <c r="Z1374" i="525"/>
  <c r="Z1359" i="525"/>
  <c r="Z1343" i="525"/>
  <c r="Z1330" i="525"/>
  <c r="Z1256" i="525"/>
  <c r="Z1250" i="525"/>
  <c r="Z1239" i="525"/>
  <c r="Z1229" i="525"/>
  <c r="Z1222" i="525"/>
  <c r="Z1028" i="525"/>
  <c r="Z1013" i="525"/>
  <c r="Z997" i="525"/>
  <c r="Z972" i="525"/>
  <c r="Z965" i="525"/>
  <c r="Z959" i="525"/>
  <c r="Z937" i="525"/>
  <c r="Z930" i="525"/>
  <c r="Z923" i="525"/>
  <c r="Z916" i="525"/>
  <c r="Z909" i="525"/>
  <c r="Z895" i="525"/>
  <c r="Z888" i="525"/>
  <c r="Z868" i="525"/>
  <c r="Z773" i="525"/>
  <c r="Z2372" i="525"/>
  <c r="Z2336" i="525"/>
  <c r="Z2247" i="525"/>
  <c r="Z2154" i="525"/>
  <c r="Z2143" i="525"/>
  <c r="Z2123" i="525"/>
  <c r="Z2022" i="525"/>
  <c r="Z2010" i="525"/>
  <c r="Z1999" i="525"/>
  <c r="Z1969" i="525"/>
  <c r="Z1962" i="525"/>
  <c r="Z1958" i="525"/>
  <c r="Z1895" i="525"/>
  <c r="Z1856" i="525"/>
  <c r="Z1830" i="525"/>
  <c r="Z1797" i="525"/>
  <c r="Z1758" i="525"/>
  <c r="Z1687" i="525"/>
  <c r="Z1663" i="525"/>
  <c r="Z1562" i="525"/>
  <c r="Z1526" i="525"/>
  <c r="Z1511" i="525"/>
  <c r="Z1504" i="525"/>
  <c r="Z1495" i="525"/>
  <c r="Z1458" i="525"/>
  <c r="Z1446" i="525"/>
  <c r="Z1414" i="525"/>
  <c r="Z1367" i="525"/>
  <c r="Z1351" i="525"/>
  <c r="Z1337" i="525"/>
  <c r="Z1322" i="525"/>
  <c r="Z1312" i="525"/>
  <c r="Z1306" i="525"/>
  <c r="Z1299" i="525"/>
  <c r="Z1292" i="525"/>
  <c r="Z1285" i="525"/>
  <c r="Z1020" i="525"/>
  <c r="Z1005" i="525"/>
  <c r="Z989" i="525"/>
  <c r="Z980" i="525"/>
  <c r="Z951" i="525"/>
  <c r="Z945" i="525"/>
  <c r="Z903" i="525"/>
  <c r="Z897" i="525"/>
  <c r="Z890" i="525"/>
  <c r="Z876" i="525"/>
  <c r="Z859" i="525"/>
  <c r="Y5634" i="527"/>
  <c r="Y5784" i="527"/>
  <c r="Y5884" i="527"/>
  <c r="Y5934" i="527"/>
  <c r="Y8171" i="527"/>
  <c r="H30" i="531"/>
  <c r="Y5123" i="527"/>
  <c r="Z1822" i="525"/>
  <c r="Z1846" i="525"/>
  <c r="Z2073" i="525"/>
  <c r="Y2248" i="527"/>
  <c r="Y2785" i="527"/>
  <c r="Z1912" i="525"/>
  <c r="Z2118" i="525"/>
  <c r="Z2255" i="525"/>
  <c r="Z2665" i="525"/>
  <c r="Y381" i="527"/>
  <c r="Y2381" i="527"/>
  <c r="Y6784" i="527"/>
  <c r="Y7404" i="527"/>
  <c r="Z1862" i="525"/>
  <c r="Z2077" i="525"/>
  <c r="Z2200" i="525"/>
  <c r="Y931" i="527"/>
  <c r="Y2048" i="527"/>
  <c r="H69" i="531"/>
  <c r="K13" i="524"/>
  <c r="K37" i="524"/>
  <c r="K50" i="524"/>
  <c r="K58" i="524"/>
  <c r="K72" i="524"/>
  <c r="K80" i="524"/>
  <c r="K127" i="524"/>
  <c r="K143" i="524"/>
  <c r="K183" i="524"/>
  <c r="K4" i="524"/>
  <c r="K9" i="524"/>
  <c r="K10" i="524"/>
  <c r="K11" i="524"/>
  <c r="K34" i="524"/>
  <c r="K38" i="524"/>
  <c r="K46" i="524"/>
  <c r="K54" i="524"/>
  <c r="K62" i="524"/>
  <c r="K76" i="524"/>
  <c r="K84" i="524"/>
  <c r="K92" i="524"/>
  <c r="K100" i="524"/>
  <c r="K115" i="524"/>
  <c r="K121" i="524"/>
  <c r="K135" i="524"/>
  <c r="K148" i="524"/>
  <c r="K175" i="524"/>
  <c r="K191" i="524"/>
  <c r="K207" i="524"/>
  <c r="H53" i="531"/>
  <c r="H94" i="531"/>
  <c r="K6" i="524"/>
  <c r="K7" i="524"/>
  <c r="K8" i="524"/>
  <c r="K14" i="524"/>
  <c r="K16" i="524"/>
  <c r="K20" i="524"/>
  <c r="K22" i="524"/>
  <c r="K24" i="524"/>
  <c r="K26" i="524"/>
  <c r="K28" i="524"/>
  <c r="K30" i="524"/>
  <c r="K32" i="524"/>
  <c r="K44" i="524"/>
  <c r="K52" i="524"/>
  <c r="K60" i="524"/>
  <c r="K68" i="524"/>
  <c r="K74" i="524"/>
  <c r="K82" i="524"/>
  <c r="K90" i="524"/>
  <c r="K98" i="524"/>
  <c r="K110" i="524"/>
  <c r="K119" i="524"/>
  <c r="K133" i="524"/>
  <c r="K173" i="524"/>
  <c r="K189" i="524"/>
  <c r="K205" i="524"/>
  <c r="K88" i="524"/>
  <c r="K19" i="524"/>
  <c r="K42" i="524"/>
  <c r="K66" i="524"/>
  <c r="K96" i="524"/>
  <c r="K108" i="524"/>
  <c r="K199" i="524"/>
  <c r="K5" i="524"/>
  <c r="K12" i="524"/>
  <c r="K15" i="524"/>
  <c r="K17" i="524"/>
  <c r="K18" i="524"/>
  <c r="K21" i="524"/>
  <c r="K23" i="524"/>
  <c r="K25" i="524"/>
  <c r="K27" i="524"/>
  <c r="K29" i="524"/>
  <c r="K31" i="524"/>
  <c r="K36" i="524"/>
  <c r="K40" i="524"/>
  <c r="K48" i="524"/>
  <c r="K56" i="524"/>
  <c r="K64" i="524"/>
  <c r="K71" i="524"/>
  <c r="K78" i="524"/>
  <c r="K86" i="524"/>
  <c r="K94" i="524"/>
  <c r="K102" i="524"/>
  <c r="K123" i="524"/>
  <c r="K125" i="524"/>
  <c r="K141" i="524"/>
  <c r="K152" i="524"/>
  <c r="K155" i="524"/>
  <c r="K181" i="524"/>
  <c r="K197" i="524"/>
  <c r="Z16" i="530"/>
  <c r="Y2635" i="527"/>
  <c r="Z2627" i="525"/>
  <c r="Z2612" i="525"/>
  <c r="Z2498" i="525"/>
  <c r="Z2181" i="525"/>
  <c r="Z2009" i="525"/>
  <c r="Z1836" i="525"/>
  <c r="Z1738" i="525"/>
  <c r="Z1725" i="525"/>
  <c r="Z1703" i="525"/>
  <c r="Z1638" i="525"/>
  <c r="Z1637" i="525"/>
  <c r="Z1572" i="525"/>
  <c r="Z1555" i="525"/>
  <c r="Z1475" i="525"/>
  <c r="Z1461" i="525"/>
  <c r="Z1449" i="525"/>
  <c r="Z1430" i="525"/>
  <c r="Z1428" i="525"/>
  <c r="Z1422" i="525"/>
  <c r="Z1281" i="525"/>
  <c r="Z1251" i="525"/>
  <c r="Z1218" i="525"/>
  <c r="Z1206" i="525"/>
  <c r="Z1142" i="525"/>
  <c r="Z1125" i="525"/>
  <c r="Z1118" i="525"/>
  <c r="Z1086" i="525"/>
  <c r="Y3031" i="527"/>
  <c r="Y2981" i="527"/>
  <c r="Y2197" i="527"/>
  <c r="Y1944" i="527"/>
  <c r="Z2315" i="525"/>
  <c r="Z2257" i="525"/>
  <c r="Z2241" i="525"/>
  <c r="Z2221" i="525"/>
  <c r="Z2201" i="525"/>
  <c r="Z2119" i="525"/>
  <c r="Z2087" i="525"/>
  <c r="Z1823" i="525"/>
  <c r="Z1750" i="525"/>
  <c r="Z1713" i="525"/>
  <c r="Z1693" i="525"/>
  <c r="Z1682" i="525"/>
  <c r="Z1681" i="525"/>
  <c r="Z1655" i="525"/>
  <c r="Z1654" i="525"/>
  <c r="Z1645" i="525"/>
  <c r="Z1615" i="525"/>
  <c r="Z1557" i="525"/>
  <c r="Z1537" i="525"/>
  <c r="Z1462" i="525"/>
  <c r="Z1450" i="525"/>
  <c r="Z1384" i="525"/>
  <c r="Z1263" i="525"/>
  <c r="Z1224" i="525"/>
  <c r="Z1182" i="525"/>
  <c r="Z1165" i="525"/>
  <c r="Z1157" i="525"/>
  <c r="Z1150" i="525"/>
  <c r="Z1149" i="525"/>
  <c r="Z1102" i="525"/>
  <c r="Y2481" i="527"/>
  <c r="Z2629" i="525"/>
  <c r="Z2359" i="525"/>
  <c r="Z2182" i="525"/>
  <c r="Z2003" i="525"/>
  <c r="Z1998" i="525"/>
  <c r="Z1837" i="525"/>
  <c r="Z1739" i="525"/>
  <c r="Z1727" i="525"/>
  <c r="Z1726" i="525"/>
  <c r="Z1714" i="525"/>
  <c r="Z1704" i="525"/>
  <c r="Z1668" i="525"/>
  <c r="Z1666" i="525"/>
  <c r="Z1646" i="525"/>
  <c r="Z1603" i="525"/>
  <c r="Z1598" i="525"/>
  <c r="Z1593" i="525"/>
  <c r="Z1568" i="525"/>
  <c r="Z1538" i="525"/>
  <c r="Z1390" i="525"/>
  <c r="Z1275" i="525"/>
  <c r="Z1189" i="525"/>
  <c r="Z1173" i="525"/>
  <c r="Y481" i="527"/>
  <c r="Y281" i="527"/>
  <c r="Z2663" i="525"/>
  <c r="Z2576" i="525"/>
  <c r="Z2252" i="525"/>
  <c r="Z2199" i="525"/>
  <c r="Z1985" i="525"/>
  <c r="Z1911" i="525"/>
  <c r="Z1824" i="525"/>
  <c r="Z1820" i="525"/>
  <c r="Z1751" i="525"/>
  <c r="Z1715" i="525"/>
  <c r="Z1678" i="525"/>
  <c r="Z1623" i="525"/>
  <c r="Z1622" i="525"/>
  <c r="Z1607" i="525"/>
  <c r="Z1558" i="525"/>
  <c r="Z1540" i="525"/>
  <c r="Z1531" i="525"/>
  <c r="Z1472" i="525"/>
  <c r="Z1437" i="525"/>
  <c r="Z1435" i="525"/>
  <c r="Z1388" i="525"/>
  <c r="Z1386" i="525"/>
  <c r="Z1385" i="525"/>
  <c r="Z1379" i="525"/>
  <c r="Z1245" i="525"/>
  <c r="Z1240" i="525"/>
  <c r="Z1235" i="525"/>
  <c r="Z1230" i="525"/>
  <c r="Z1213" i="525"/>
  <c r="Z1197" i="525"/>
  <c r="Z1190" i="525"/>
  <c r="Z1109" i="525"/>
  <c r="Z1094" i="525"/>
  <c r="Z1070" i="525"/>
  <c r="Y2831" i="527"/>
  <c r="Y2331" i="527"/>
  <c r="Y1281" i="527"/>
  <c r="Z2445" i="525"/>
  <c r="Z2215" i="525"/>
  <c r="Z2183" i="525"/>
  <c r="Z1702" i="525"/>
  <c r="Z1691" i="525"/>
  <c r="Z1670" i="525"/>
  <c r="Z1669" i="525"/>
  <c r="Z1629" i="525"/>
  <c r="Z1613" i="525"/>
  <c r="Z1588" i="525"/>
  <c r="Z1584" i="525"/>
  <c r="Z1580" i="525"/>
  <c r="Z1563" i="525"/>
  <c r="Z1559" i="525"/>
  <c r="Z1542" i="525"/>
  <c r="Z1534" i="525"/>
  <c r="Z1474" i="525"/>
  <c r="Z1257" i="525"/>
  <c r="Z1205" i="525"/>
  <c r="Z1174" i="525"/>
  <c r="Z1141" i="525"/>
  <c r="Z1134" i="525"/>
  <c r="Z1117" i="525"/>
  <c r="Z1110" i="525"/>
  <c r="Z1085" i="525"/>
  <c r="Z1077" i="525"/>
  <c r="Z1098" i="525"/>
  <c r="Z1107" i="525"/>
  <c r="Z1131" i="525"/>
  <c r="Z1171" i="525"/>
  <c r="Z1187" i="525"/>
  <c r="Z1194" i="525"/>
  <c r="Z1902" i="525"/>
  <c r="Z2034" i="525"/>
  <c r="Z2042" i="525"/>
  <c r="Z2104" i="525"/>
  <c r="Z2572" i="525"/>
  <c r="Z2579" i="525"/>
  <c r="Y171" i="527"/>
  <c r="Y374" i="527"/>
  <c r="Y421" i="527"/>
  <c r="Y971" i="527"/>
  <c r="Y1021" i="527"/>
  <c r="Y1071" i="527"/>
  <c r="Y1121" i="527"/>
  <c r="Y1171" i="527"/>
  <c r="Y1221" i="527"/>
  <c r="Y1271" i="527"/>
  <c r="Y1474" i="527"/>
  <c r="Y1574" i="527"/>
  <c r="Y1774" i="527"/>
  <c r="Y1874" i="527"/>
  <c r="Y2024" i="527"/>
  <c r="Y2121" i="527"/>
  <c r="Y2171" i="527"/>
  <c r="Y2321" i="527"/>
  <c r="Y2421" i="527"/>
  <c r="Y2471" i="527"/>
  <c r="Y2621" i="527"/>
  <c r="Y2671" i="527"/>
  <c r="Y2871" i="527"/>
  <c r="Y2971" i="527"/>
  <c r="Y3024" i="527"/>
  <c r="Y3086" i="527"/>
  <c r="Y3569" i="527"/>
  <c r="Y3676" i="527"/>
  <c r="Y3785" i="527"/>
  <c r="Y4169" i="527"/>
  <c r="Y4821" i="527"/>
  <c r="Y4923" i="527"/>
  <c r="Y5223" i="527"/>
  <c r="Y5273" i="527"/>
  <c r="Y5473" i="527"/>
  <c r="Y5523" i="527"/>
  <c r="Y6034" i="527"/>
  <c r="Y6084" i="527"/>
  <c r="Y6834" i="527"/>
  <c r="Y7375" i="527"/>
  <c r="Y7557" i="527"/>
  <c r="Y7671" i="527"/>
  <c r="Y7771" i="527"/>
  <c r="Y9019" i="527"/>
  <c r="Z1091" i="525"/>
  <c r="Z1130" i="525"/>
  <c r="Z1155" i="525"/>
  <c r="Z1162" i="525"/>
  <c r="Z1163" i="525"/>
  <c r="Z1170" i="525"/>
  <c r="Z1211" i="525"/>
  <c r="Z1611" i="525"/>
  <c r="Z1612" i="525"/>
  <c r="Z1901" i="525"/>
  <c r="Z1917" i="525"/>
  <c r="Z2033" i="525"/>
  <c r="Z2103" i="525"/>
  <c r="K19" i="526"/>
  <c r="Y321" i="527"/>
  <c r="Y471" i="527"/>
  <c r="Y724" i="527"/>
  <c r="Y824" i="527"/>
  <c r="Y1321" i="527"/>
  <c r="Y1371" i="527"/>
  <c r="Y1571" i="527"/>
  <c r="Y2224" i="527"/>
  <c r="Y2374" i="527"/>
  <c r="Y2521" i="527"/>
  <c r="Y2721" i="527"/>
  <c r="Y2824" i="527"/>
  <c r="Y3521" i="527"/>
  <c r="Y3821" i="527"/>
  <c r="Y3924" i="527"/>
  <c r="Y4021" i="527"/>
  <c r="Y4672" i="527"/>
  <c r="Y4971" i="527"/>
  <c r="Y5021" i="527"/>
  <c r="Y6984" i="527"/>
  <c r="Y7269" i="527"/>
  <c r="Y7618" i="527"/>
  <c r="Y7824" i="527"/>
  <c r="Y8169" i="527"/>
  <c r="Z1186" i="525"/>
  <c r="Z1910" i="525"/>
  <c r="Z2032" i="525"/>
  <c r="Z2041" i="525"/>
  <c r="Z2571" i="525"/>
  <c r="Y224" i="527"/>
  <c r="Y274" i="527"/>
  <c r="Y371" i="527"/>
  <c r="Y521" i="527"/>
  <c r="Y571" i="527"/>
  <c r="Y621" i="527"/>
  <c r="Y671" i="527"/>
  <c r="Y774" i="527"/>
  <c r="Y874" i="527"/>
  <c r="Y924" i="527"/>
  <c r="Y1671" i="527"/>
  <c r="Y1771" i="527"/>
  <c r="Y1871" i="527"/>
  <c r="Y1924" i="527"/>
  <c r="Y2574" i="527"/>
  <c r="Y2771" i="527"/>
  <c r="Y2924" i="527"/>
  <c r="Y3021" i="527"/>
  <c r="Y3674" i="527"/>
  <c r="Y3778" i="527"/>
  <c r="Y3922" i="527"/>
  <c r="Y4069" i="527"/>
  <c r="Y4370" i="527"/>
  <c r="Y4470" i="527"/>
  <c r="Y4570" i="527"/>
  <c r="Y5221" i="527"/>
  <c r="Y5521" i="527"/>
  <c r="Y6234" i="527"/>
  <c r="Y6334" i="527"/>
  <c r="Y7023" i="527"/>
  <c r="Y7214" i="527"/>
  <c r="Y7369" i="527"/>
  <c r="Z1083" i="525"/>
  <c r="Z1090" i="525"/>
  <c r="Z1115" i="525"/>
  <c r="Z1122" i="525"/>
  <c r="Z1146" i="525"/>
  <c r="Z1179" i="525"/>
  <c r="Z1203" i="525"/>
  <c r="Z1210" i="525"/>
  <c r="Z1621" i="525"/>
  <c r="Z2031" i="525"/>
  <c r="Z2049" i="525"/>
  <c r="Z2054" i="525"/>
  <c r="Z2059" i="525"/>
  <c r="Z2558" i="525"/>
  <c r="Y17" i="527"/>
  <c r="Y174" i="527"/>
  <c r="Y721" i="527"/>
  <c r="Y974" i="527"/>
  <c r="Y1024" i="527"/>
  <c r="Y1074" i="527"/>
  <c r="Y1124" i="527"/>
  <c r="Y1174" i="527"/>
  <c r="Y1224" i="527"/>
  <c r="Y1274" i="527"/>
  <c r="Y1471" i="527"/>
  <c r="Y2021" i="527"/>
  <c r="Y2124" i="527"/>
  <c r="Y2324" i="527"/>
  <c r="Y2624" i="527"/>
  <c r="Y2674" i="527"/>
  <c r="Y2821" i="527"/>
  <c r="Y2921" i="527"/>
  <c r="Y3334" i="527"/>
  <c r="Y3435" i="527"/>
  <c r="Y3519" i="527"/>
  <c r="Y3771" i="527"/>
  <c r="Y4171" i="527"/>
  <c r="Y4322" i="527"/>
  <c r="Y4823" i="527"/>
  <c r="Y4921" i="527"/>
  <c r="Y5073" i="527"/>
  <c r="Y5173" i="527"/>
  <c r="Y5271" i="527"/>
  <c r="Y5371" i="527"/>
  <c r="Y5421" i="527"/>
  <c r="Y6534" i="527"/>
  <c r="Y6584" i="527"/>
  <c r="Y7073" i="527"/>
  <c r="Y7174" i="527"/>
  <c r="Y8074" i="527"/>
  <c r="Z1082" i="525"/>
  <c r="Z1099" i="525"/>
  <c r="Z1139" i="525"/>
  <c r="Z1195" i="525"/>
  <c r="Z1909" i="525"/>
  <c r="Z2027" i="525"/>
  <c r="Z2040" i="525"/>
  <c r="Z2043" i="525"/>
  <c r="Z2557" i="525"/>
  <c r="Z2580" i="525"/>
  <c r="Y271" i="527"/>
  <c r="Y324" i="527"/>
  <c r="Y424" i="527"/>
  <c r="Y474" i="527"/>
  <c r="Y821" i="527"/>
  <c r="Y871" i="527"/>
  <c r="Y1324" i="527"/>
  <c r="Y1374" i="527"/>
  <c r="Y2221" i="527"/>
  <c r="Y2371" i="527"/>
  <c r="Y2424" i="527"/>
  <c r="Y2474" i="527"/>
  <c r="Y2524" i="527"/>
  <c r="Y2974" i="527"/>
  <c r="Y3284" i="527"/>
  <c r="Y3388" i="527"/>
  <c r="Y3467" i="527"/>
  <c r="Y3571" i="527"/>
  <c r="Y3686" i="527"/>
  <c r="Y3972" i="527"/>
  <c r="Y3974" i="527"/>
  <c r="Y4019" i="527"/>
  <c r="Y4670" i="527"/>
  <c r="Y5321" i="527"/>
  <c r="Y6684" i="527"/>
  <c r="Y7326" i="527"/>
  <c r="Y8024" i="527"/>
  <c r="Y8121" i="527"/>
  <c r="AC35" i="523"/>
  <c r="AC83" i="523"/>
  <c r="AC131" i="523"/>
  <c r="AC195" i="523"/>
  <c r="AC222" i="523"/>
  <c r="AC289" i="523"/>
  <c r="AC304" i="523"/>
  <c r="AC51" i="523"/>
  <c r="AC99" i="523"/>
  <c r="AC190" i="523"/>
  <c r="AC199" i="523"/>
  <c r="AC226" i="523"/>
  <c r="AC242" i="523"/>
  <c r="AC294" i="523"/>
  <c r="Z106" i="530"/>
  <c r="H13" i="531"/>
  <c r="AC7" i="523"/>
  <c r="AC55" i="523"/>
  <c r="AC103" i="523"/>
  <c r="AC154" i="523"/>
  <c r="AC230" i="523"/>
  <c r="AC258" i="523"/>
  <c r="AC11" i="523"/>
  <c r="AC59" i="523"/>
  <c r="AC107" i="523"/>
  <c r="AC144" i="523"/>
  <c r="AC158" i="523"/>
  <c r="AC177" i="523"/>
  <c r="AC184" i="523"/>
  <c r="AC186" i="523"/>
  <c r="AC206" i="523"/>
  <c r="AC262" i="523"/>
  <c r="Z21" i="530"/>
  <c r="AC27" i="523"/>
  <c r="AC75" i="523"/>
  <c r="AC123" i="523"/>
  <c r="AC182" i="523"/>
  <c r="AC266" i="523"/>
  <c r="AC15" i="523"/>
  <c r="AC111" i="523"/>
  <c r="AC150" i="523"/>
  <c r="AC188" i="523"/>
  <c r="AC23" i="523"/>
  <c r="AC47" i="523"/>
  <c r="AC71" i="523"/>
  <c r="AC95" i="523"/>
  <c r="AC119" i="523"/>
  <c r="AC175" i="523"/>
  <c r="F179" i="523"/>
  <c r="AC208" i="523"/>
  <c r="AC218" i="523"/>
  <c r="AC254" i="523"/>
  <c r="AC278" i="523"/>
  <c r="H9" i="525"/>
  <c r="F63" i="525"/>
  <c r="G179" i="523"/>
  <c r="K804" i="525"/>
  <c r="L804" i="525" s="1"/>
  <c r="K108" i="525"/>
  <c r="L108" i="525" s="1"/>
  <c r="K230" i="525"/>
  <c r="L230" i="525" s="1"/>
  <c r="K124" i="525"/>
  <c r="L124" i="525" s="1"/>
  <c r="E31" i="525"/>
  <c r="H31" i="525"/>
  <c r="F31" i="525" s="1"/>
  <c r="I171" i="523"/>
  <c r="AC372" i="523"/>
  <c r="AC63" i="523"/>
  <c r="F145" i="523"/>
  <c r="AC202" i="523"/>
  <c r="AC234" i="523"/>
  <c r="E43" i="525"/>
  <c r="H43" i="525"/>
  <c r="F43" i="525" s="1"/>
  <c r="AC39" i="523"/>
  <c r="AC87" i="523"/>
  <c r="AC135" i="523"/>
  <c r="AC246" i="523"/>
  <c r="AC270" i="523"/>
  <c r="AC19" i="523"/>
  <c r="AC43" i="523"/>
  <c r="AC67" i="523"/>
  <c r="AC91" i="523"/>
  <c r="AC115" i="523"/>
  <c r="AC139" i="523"/>
  <c r="G145" i="523"/>
  <c r="AC173" i="523"/>
  <c r="AC178" i="523"/>
  <c r="AC214" i="523"/>
  <c r="AC250" i="523"/>
  <c r="AC274" i="523"/>
  <c r="F39" i="525"/>
  <c r="H1040" i="525"/>
  <c r="F145" i="524" s="1"/>
  <c r="F1036" i="525"/>
  <c r="F62" i="525"/>
  <c r="I168" i="525"/>
  <c r="J168" i="525" s="1"/>
  <c r="E185" i="525"/>
  <c r="E217" i="525"/>
  <c r="E470" i="525"/>
  <c r="E486" i="525"/>
  <c r="E580" i="525"/>
  <c r="E607" i="525"/>
  <c r="F735" i="525"/>
  <c r="E745" i="525"/>
  <c r="E747" i="525"/>
  <c r="E758" i="525"/>
  <c r="F768" i="525"/>
  <c r="F805" i="525"/>
  <c r="F807" i="525"/>
  <c r="E905" i="525"/>
  <c r="F912" i="525"/>
  <c r="F939" i="525"/>
  <c r="F946" i="525"/>
  <c r="F947" i="525"/>
  <c r="F999" i="525"/>
  <c r="F1031" i="525"/>
  <c r="E1036" i="525"/>
  <c r="E1048" i="525"/>
  <c r="E1091" i="525"/>
  <c r="H1091" i="525"/>
  <c r="F1091" i="525" s="1"/>
  <c r="L1092" i="525"/>
  <c r="L1095" i="525" s="1"/>
  <c r="H154" i="524" s="1"/>
  <c r="L414" i="523" s="1"/>
  <c r="M414" i="523" s="1"/>
  <c r="E1092" i="525"/>
  <c r="E1107" i="525"/>
  <c r="H1107" i="525"/>
  <c r="F1107" i="525" s="1"/>
  <c r="L1188" i="525"/>
  <c r="E1188" i="525"/>
  <c r="F608" i="525"/>
  <c r="F797" i="525"/>
  <c r="F798" i="525"/>
  <c r="F833" i="525"/>
  <c r="F925" i="525"/>
  <c r="F932" i="525"/>
  <c r="F933" i="525"/>
  <c r="F990" i="525"/>
  <c r="F991" i="525"/>
  <c r="F1022" i="525"/>
  <c r="F1023" i="525"/>
  <c r="F1067" i="525"/>
  <c r="F1075" i="525"/>
  <c r="E1134" i="525"/>
  <c r="J1134" i="525"/>
  <c r="F1134" i="525" s="1"/>
  <c r="E1174" i="525"/>
  <c r="J1174" i="525"/>
  <c r="F1174" i="525" s="1"/>
  <c r="F78" i="525"/>
  <c r="F411" i="525"/>
  <c r="L477" i="525"/>
  <c r="H71" i="524" s="1"/>
  <c r="H481" i="525"/>
  <c r="F481" i="525" s="1"/>
  <c r="H485" i="525"/>
  <c r="F485" i="525" s="1"/>
  <c r="J539" i="525"/>
  <c r="F539" i="525" s="1"/>
  <c r="J554" i="525"/>
  <c r="F554" i="525" s="1"/>
  <c r="F728" i="525"/>
  <c r="J765" i="525"/>
  <c r="F765" i="525" s="1"/>
  <c r="J767" i="525"/>
  <c r="F767" i="525" s="1"/>
  <c r="F777" i="525"/>
  <c r="J778" i="525"/>
  <c r="F778" i="525" s="1"/>
  <c r="H1095" i="525"/>
  <c r="F154" i="524" s="1"/>
  <c r="H414" i="523" s="1"/>
  <c r="I414" i="523" s="1"/>
  <c r="F1093" i="525"/>
  <c r="L1148" i="525"/>
  <c r="F1148" i="525" s="1"/>
  <c r="E1148" i="525"/>
  <c r="H1159" i="525"/>
  <c r="F162" i="524" s="1"/>
  <c r="H422" i="523" s="1"/>
  <c r="I422" i="523" s="1"/>
  <c r="F1155" i="525"/>
  <c r="H1186" i="525"/>
  <c r="H1191" i="525" s="1"/>
  <c r="F166" i="524" s="1"/>
  <c r="H426" i="523" s="1"/>
  <c r="I426" i="523" s="1"/>
  <c r="E1186" i="525"/>
  <c r="F1917" i="525"/>
  <c r="F9" i="525"/>
  <c r="I116" i="525"/>
  <c r="J116" i="525" s="1"/>
  <c r="I141" i="525"/>
  <c r="J141" i="525" s="1"/>
  <c r="F486" i="525"/>
  <c r="F494" i="525"/>
  <c r="F531" i="525"/>
  <c r="J555" i="525"/>
  <c r="F555" i="525" s="1"/>
  <c r="F572" i="525"/>
  <c r="F599" i="525"/>
  <c r="F757" i="525"/>
  <c r="F795" i="525"/>
  <c r="H827" i="525"/>
  <c r="F827" i="525" s="1"/>
  <c r="F904" i="525"/>
  <c r="F954" i="525"/>
  <c r="F983" i="525"/>
  <c r="F1015" i="525"/>
  <c r="J1071" i="525"/>
  <c r="G151" i="524" s="1"/>
  <c r="J411" i="523" s="1"/>
  <c r="K411" i="523" s="1"/>
  <c r="G411" i="523" s="1"/>
  <c r="J1079" i="525"/>
  <c r="E1099" i="525"/>
  <c r="H1099" i="525"/>
  <c r="F1099" i="525" s="1"/>
  <c r="L1100" i="525"/>
  <c r="L1103" i="525" s="1"/>
  <c r="H155" i="524" s="1"/>
  <c r="L415" i="523" s="1"/>
  <c r="M415" i="523" s="1"/>
  <c r="E1100" i="525"/>
  <c r="J1111" i="525"/>
  <c r="E1115" i="525"/>
  <c r="H1115" i="525"/>
  <c r="F1115" i="525" s="1"/>
  <c r="E1126" i="525"/>
  <c r="J1126" i="525"/>
  <c r="F1126" i="525" s="1"/>
  <c r="L1175" i="525"/>
  <c r="H164" i="524" s="1"/>
  <c r="L424" i="523" s="1"/>
  <c r="M424" i="523" s="1"/>
  <c r="I150" i="525"/>
  <c r="J150" i="525" s="1"/>
  <c r="H187" i="525"/>
  <c r="F187" i="525" s="1"/>
  <c r="H201" i="525"/>
  <c r="H210" i="525"/>
  <c r="F210" i="525" s="1"/>
  <c r="J482" i="525"/>
  <c r="F546" i="525"/>
  <c r="F547" i="525"/>
  <c r="F737" i="525"/>
  <c r="F775" i="525"/>
  <c r="F808" i="525"/>
  <c r="H820" i="525"/>
  <c r="F820" i="525" s="1"/>
  <c r="F940" i="525"/>
  <c r="F974" i="525"/>
  <c r="F1006" i="525"/>
  <c r="F1069" i="525"/>
  <c r="F1077" i="525"/>
  <c r="J1086" i="525"/>
  <c r="F1086" i="525" s="1"/>
  <c r="J1102" i="525"/>
  <c r="F1102" i="525" s="1"/>
  <c r="L1127" i="525"/>
  <c r="H158" i="524" s="1"/>
  <c r="L418" i="523" s="1"/>
  <c r="M418" i="523" s="1"/>
  <c r="E1182" i="525"/>
  <c r="J1182" i="525"/>
  <c r="F1182" i="525" s="1"/>
  <c r="H1914" i="525"/>
  <c r="F257" i="524" s="1"/>
  <c r="H205" i="523" s="1"/>
  <c r="I205" i="523" s="1"/>
  <c r="K1913" i="525"/>
  <c r="L1913" i="525" s="1"/>
  <c r="L12" i="525"/>
  <c r="H4" i="524" s="1"/>
  <c r="L149" i="523" s="1"/>
  <c r="M149" i="523" s="1"/>
  <c r="H23" i="525"/>
  <c r="F23" i="525" s="1"/>
  <c r="H35" i="525"/>
  <c r="F35" i="525" s="1"/>
  <c r="F55" i="525"/>
  <c r="H67" i="525"/>
  <c r="F16" i="524" s="1"/>
  <c r="G2098" i="525" s="1"/>
  <c r="H2098" i="525" s="1"/>
  <c r="F64" i="525"/>
  <c r="K66" i="525"/>
  <c r="J75" i="525"/>
  <c r="F82" i="525"/>
  <c r="I159" i="525"/>
  <c r="J159" i="525" s="1"/>
  <c r="F202" i="525"/>
  <c r="F211" i="525"/>
  <c r="F422" i="525"/>
  <c r="F504" i="525"/>
  <c r="F522" i="525"/>
  <c r="F562" i="525"/>
  <c r="F598" i="525"/>
  <c r="F717" i="525"/>
  <c r="F755" i="525"/>
  <c r="F788" i="525"/>
  <c r="H813" i="525"/>
  <c r="K815" i="525" s="1"/>
  <c r="J816" i="525"/>
  <c r="F926" i="525"/>
  <c r="F953" i="525"/>
  <c r="F960" i="525"/>
  <c r="F961" i="525"/>
  <c r="F982" i="525"/>
  <c r="F1014" i="525"/>
  <c r="L1040" i="525"/>
  <c r="H145" i="524" s="1"/>
  <c r="E1068" i="525"/>
  <c r="E1076" i="525"/>
  <c r="F1101" i="525"/>
  <c r="E1118" i="525"/>
  <c r="J1118" i="525"/>
  <c r="F1118" i="525" s="1"/>
  <c r="E1142" i="525"/>
  <c r="J1142" i="525"/>
  <c r="F1142" i="525" s="1"/>
  <c r="H1178" i="525"/>
  <c r="E1178" i="525"/>
  <c r="H1127" i="525"/>
  <c r="F158" i="524" s="1"/>
  <c r="H418" i="523" s="1"/>
  <c r="I418" i="523" s="1"/>
  <c r="H1135" i="525"/>
  <c r="F159" i="524" s="1"/>
  <c r="H419" i="523" s="1"/>
  <c r="I419" i="523" s="1"/>
  <c r="H1143" i="525"/>
  <c r="F160" i="524" s="1"/>
  <c r="H420" i="523" s="1"/>
  <c r="H1151" i="525"/>
  <c r="F161" i="524" s="1"/>
  <c r="H421" i="523" s="1"/>
  <c r="I421" i="523" s="1"/>
  <c r="F1165" i="525"/>
  <c r="F1187" i="525"/>
  <c r="L1199" i="525"/>
  <c r="H167" i="524" s="1"/>
  <c r="L427" i="523" s="1"/>
  <c r="M427" i="523" s="1"/>
  <c r="F1202" i="525"/>
  <c r="F1203" i="525"/>
  <c r="F1230" i="525"/>
  <c r="F1235" i="525"/>
  <c r="F1385" i="525"/>
  <c r="F1386" i="525"/>
  <c r="F1388" i="525"/>
  <c r="F1435" i="525"/>
  <c r="F1459" i="525"/>
  <c r="F1563" i="525"/>
  <c r="E1678" i="525"/>
  <c r="E1680" i="525"/>
  <c r="E1704" i="525"/>
  <c r="E1725" i="525"/>
  <c r="E1749" i="525"/>
  <c r="E1824" i="525"/>
  <c r="E1833" i="525"/>
  <c r="F1859" i="525"/>
  <c r="J1906" i="525"/>
  <c r="G256" i="524" s="1"/>
  <c r="F1902" i="525"/>
  <c r="E1909" i="525"/>
  <c r="E1910" i="525"/>
  <c r="E1947" i="525"/>
  <c r="F2032" i="525"/>
  <c r="F2104" i="525"/>
  <c r="E2163" i="525"/>
  <c r="F2177" i="525"/>
  <c r="J2180" i="525"/>
  <c r="F2180" i="525" s="1"/>
  <c r="E2180" i="525"/>
  <c r="E1704" i="527"/>
  <c r="F1704" i="527"/>
  <c r="D3674" i="527"/>
  <c r="F3674" i="527"/>
  <c r="E3674" i="527"/>
  <c r="F1824" i="525"/>
  <c r="E2199" i="525"/>
  <c r="J2199" i="525"/>
  <c r="F2199" i="525" s="1"/>
  <c r="D1394" i="527"/>
  <c r="F1394" i="527"/>
  <c r="F1400" i="527" s="1"/>
  <c r="E1394" i="527"/>
  <c r="E1108" i="525"/>
  <c r="F1117" i="525"/>
  <c r="F1125" i="525"/>
  <c r="F1133" i="525"/>
  <c r="F1141" i="525"/>
  <c r="E1162" i="525"/>
  <c r="F1173" i="525"/>
  <c r="J1183" i="525"/>
  <c r="G165" i="524" s="1"/>
  <c r="J425" i="523" s="1"/>
  <c r="K425" i="523" s="1"/>
  <c r="F1181" i="525"/>
  <c r="E1194" i="525"/>
  <c r="E1195" i="525"/>
  <c r="L1207" i="525"/>
  <c r="H168" i="524" s="1"/>
  <c r="L428" i="523" s="1"/>
  <c r="M428" i="523" s="1"/>
  <c r="L1204" i="525"/>
  <c r="F1204" i="525" s="1"/>
  <c r="E1211" i="525"/>
  <c r="F1224" i="525"/>
  <c r="J1240" i="525"/>
  <c r="F1240" i="525" s="1"/>
  <c r="F1245" i="525"/>
  <c r="F1257" i="525"/>
  <c r="F1269" i="525"/>
  <c r="F1281" i="525"/>
  <c r="F1379" i="525"/>
  <c r="J1382" i="525"/>
  <c r="F1382" i="525" s="1"/>
  <c r="J1384" i="525"/>
  <c r="F1384" i="525" s="1"/>
  <c r="J1428" i="525"/>
  <c r="F1474" i="525"/>
  <c r="J1475" i="525"/>
  <c r="F1475" i="525" s="1"/>
  <c r="J1542" i="525"/>
  <c r="F1542" i="525" s="1"/>
  <c r="J1584" i="525"/>
  <c r="J1617" i="525"/>
  <c r="G223" i="524" s="1"/>
  <c r="J1624" i="525"/>
  <c r="F1624" i="525" s="1"/>
  <c r="J1751" i="525"/>
  <c r="F1751" i="525" s="1"/>
  <c r="J1820" i="525"/>
  <c r="F1820" i="525" s="1"/>
  <c r="J1822" i="525"/>
  <c r="F1822" i="525" s="1"/>
  <c r="J1835" i="525"/>
  <c r="F1835" i="525" s="1"/>
  <c r="J1836" i="525"/>
  <c r="F1836" i="525" s="1"/>
  <c r="J1837" i="525"/>
  <c r="F1837" i="525" s="1"/>
  <c r="J1846" i="525"/>
  <c r="F1846" i="525" s="1"/>
  <c r="J1848" i="525"/>
  <c r="F1848" i="525" s="1"/>
  <c r="J1849" i="525"/>
  <c r="F1849" i="525" s="1"/>
  <c r="F1911" i="525"/>
  <c r="J1920" i="525"/>
  <c r="F1920" i="525" s="1"/>
  <c r="J1985" i="525"/>
  <c r="J1986" i="525" s="1"/>
  <c r="J2003" i="525"/>
  <c r="F2003" i="525" s="1"/>
  <c r="J2015" i="525"/>
  <c r="F2015" i="525" s="1"/>
  <c r="E2043" i="525"/>
  <c r="J2069" i="525"/>
  <c r="F2069" i="525" s="1"/>
  <c r="J2073" i="525"/>
  <c r="J2074" i="525" s="1"/>
  <c r="G282" i="524" s="1"/>
  <c r="J188" i="523" s="1"/>
  <c r="K188" i="523" s="1"/>
  <c r="F2155" i="525"/>
  <c r="F2160" i="525"/>
  <c r="E2258" i="525"/>
  <c r="J2258" i="525"/>
  <c r="F2258" i="525" s="1"/>
  <c r="F1150" i="525"/>
  <c r="F1430" i="525"/>
  <c r="F1534" i="525"/>
  <c r="F1536" i="525"/>
  <c r="J1823" i="525"/>
  <c r="F1823" i="525" s="1"/>
  <c r="F1863" i="525"/>
  <c r="F1909" i="525"/>
  <c r="F1940" i="525"/>
  <c r="F2065" i="525"/>
  <c r="F2174" i="525"/>
  <c r="E2235" i="525"/>
  <c r="J2235" i="525"/>
  <c r="F2235" i="525" s="1"/>
  <c r="D2044" i="527"/>
  <c r="F2044" i="527"/>
  <c r="E2044" i="527"/>
  <c r="D2147" i="527"/>
  <c r="F2147" i="527"/>
  <c r="E2147" i="527"/>
  <c r="D3764" i="527"/>
  <c r="D3766" i="527" s="1"/>
  <c r="E3764" i="527"/>
  <c r="E3766" i="527" s="1"/>
  <c r="H1087" i="525"/>
  <c r="F153" i="524" s="1"/>
  <c r="H413" i="523" s="1"/>
  <c r="I413" i="523" s="1"/>
  <c r="L1087" i="525"/>
  <c r="H153" i="524" s="1"/>
  <c r="L413" i="523" s="1"/>
  <c r="M413" i="523" s="1"/>
  <c r="F1092" i="525"/>
  <c r="F1108" i="525"/>
  <c r="F1157" i="525"/>
  <c r="J1167" i="525"/>
  <c r="G163" i="524" s="1"/>
  <c r="J423" i="523" s="1"/>
  <c r="K423" i="523" s="1"/>
  <c r="E1170" i="525"/>
  <c r="F1189" i="525"/>
  <c r="E1203" i="525"/>
  <c r="H1210" i="525"/>
  <c r="F1210" i="525" s="1"/>
  <c r="F1211" i="525"/>
  <c r="F1449" i="525"/>
  <c r="F1572" i="525"/>
  <c r="F1874" i="525"/>
  <c r="F1904" i="525"/>
  <c r="H2042" i="525"/>
  <c r="F2042" i="525" s="1"/>
  <c r="F2181" i="525"/>
  <c r="E2198" i="525"/>
  <c r="J2198" i="525"/>
  <c r="F2198" i="525" s="1"/>
  <c r="D1507" i="527"/>
  <c r="F1507" i="527"/>
  <c r="E1507" i="527"/>
  <c r="F1808" i="527"/>
  <c r="E1808" i="527"/>
  <c r="D1808" i="527"/>
  <c r="D2331" i="527"/>
  <c r="F2331" i="527"/>
  <c r="E2331" i="527"/>
  <c r="D2531" i="527"/>
  <c r="F2531" i="527"/>
  <c r="E2531" i="527"/>
  <c r="F3035" i="527"/>
  <c r="E3035" i="527"/>
  <c r="F3368" i="527"/>
  <c r="F3370" i="527" s="1"/>
  <c r="D3368" i="527"/>
  <c r="D3370" i="527" s="1"/>
  <c r="H1111" i="525"/>
  <c r="F156" i="524" s="1"/>
  <c r="H416" i="523" s="1"/>
  <c r="L1111" i="525"/>
  <c r="H156" i="524" s="1"/>
  <c r="L416" i="523" s="1"/>
  <c r="M416" i="523" s="1"/>
  <c r="H1119" i="525"/>
  <c r="F157" i="524" s="1"/>
  <c r="H417" i="523" s="1"/>
  <c r="I417" i="523" s="1"/>
  <c r="L1119" i="525"/>
  <c r="H157" i="524" s="1"/>
  <c r="L417" i="523" s="1"/>
  <c r="M417" i="523" s="1"/>
  <c r="F1123" i="525"/>
  <c r="F1124" i="525"/>
  <c r="F1131" i="525"/>
  <c r="F1139" i="525"/>
  <c r="F1140" i="525"/>
  <c r="H1175" i="525"/>
  <c r="F164" i="524" s="1"/>
  <c r="H424" i="523" s="1"/>
  <c r="I424" i="523" s="1"/>
  <c r="F1172" i="525"/>
  <c r="E1187" i="525"/>
  <c r="J1199" i="525"/>
  <c r="G167" i="524" s="1"/>
  <c r="J427" i="523" s="1"/>
  <c r="K427" i="523" s="1"/>
  <c r="F1205" i="525"/>
  <c r="F1206" i="525"/>
  <c r="J1215" i="525"/>
  <c r="G169" i="524" s="1"/>
  <c r="J410" i="523" s="1"/>
  <c r="K410" i="523" s="1"/>
  <c r="F1213" i="525"/>
  <c r="F1447" i="525"/>
  <c r="F1461" i="525"/>
  <c r="F1555" i="525"/>
  <c r="F1557" i="525"/>
  <c r="F1558" i="525"/>
  <c r="J1626" i="525"/>
  <c r="G224" i="524" s="1"/>
  <c r="F1670" i="525"/>
  <c r="F1850" i="525"/>
  <c r="H1901" i="525"/>
  <c r="H1906" i="525" s="1"/>
  <c r="F256" i="524" s="1"/>
  <c r="F2040" i="525"/>
  <c r="F2043" i="525"/>
  <c r="F2110" i="525"/>
  <c r="E2259" i="525"/>
  <c r="J2259" i="525"/>
  <c r="F2259" i="525" s="1"/>
  <c r="D2781" i="527"/>
  <c r="E2781" i="527"/>
  <c r="F2200" i="525"/>
  <c r="E2221" i="525"/>
  <c r="F2241" i="525"/>
  <c r="J2252" i="525"/>
  <c r="F2252" i="525" s="1"/>
  <c r="J2278" i="525"/>
  <c r="F2278" i="525" s="1"/>
  <c r="J2279" i="525"/>
  <c r="F2279" i="525" s="1"/>
  <c r="F2299" i="525"/>
  <c r="J2300" i="525"/>
  <c r="F2300" i="525" s="1"/>
  <c r="F2435" i="525"/>
  <c r="F2467" i="525"/>
  <c r="F2565" i="525"/>
  <c r="E329" i="524" s="1"/>
  <c r="E2572" i="525"/>
  <c r="F2580" i="525"/>
  <c r="F2654" i="525"/>
  <c r="F2672" i="525"/>
  <c r="AC421" i="527"/>
  <c r="AA1585" i="527"/>
  <c r="AA1594" i="527"/>
  <c r="AA1881" i="527"/>
  <c r="AA1885" i="527"/>
  <c r="AA2183" i="527"/>
  <c r="E2385" i="527"/>
  <c r="E2581" i="527"/>
  <c r="F2584" i="527"/>
  <c r="F2824" i="527"/>
  <c r="E2831" i="527"/>
  <c r="E2934" i="527"/>
  <c r="AC3021" i="527"/>
  <c r="AL3072" i="527"/>
  <c r="AB3072" i="527"/>
  <c r="B3316" i="527"/>
  <c r="E3388" i="527"/>
  <c r="E3924" i="527"/>
  <c r="F3924" i="527"/>
  <c r="J113" i="530"/>
  <c r="E113" i="530"/>
  <c r="F2359" i="525"/>
  <c r="E2834" i="527"/>
  <c r="AM3097" i="527"/>
  <c r="AL3320" i="527"/>
  <c r="AB3320" i="527"/>
  <c r="D3871" i="527"/>
  <c r="D3875" i="527" s="1"/>
  <c r="D3904" i="527" s="1"/>
  <c r="E3871" i="527"/>
  <c r="E3875" i="527" s="1"/>
  <c r="D3922" i="527"/>
  <c r="F3922" i="527"/>
  <c r="E5028" i="527"/>
  <c r="E5030" i="527" s="1"/>
  <c r="D5028" i="527"/>
  <c r="D5030" i="527" s="1"/>
  <c r="E5078" i="527"/>
  <c r="E5080" i="527" s="1"/>
  <c r="D5078" i="527"/>
  <c r="D5080" i="527" s="1"/>
  <c r="AE5223" i="527"/>
  <c r="H5223" i="527" s="1"/>
  <c r="AC5221" i="527"/>
  <c r="AC5223" i="527"/>
  <c r="F6192" i="527"/>
  <c r="F6204" i="527" s="1"/>
  <c r="D6192" i="527"/>
  <c r="D6204" i="527" s="1"/>
  <c r="F8121" i="527"/>
  <c r="E8121" i="527"/>
  <c r="J81" i="530"/>
  <c r="E81" i="530"/>
  <c r="F2218" i="525"/>
  <c r="F2257" i="525"/>
  <c r="E2280" i="525"/>
  <c r="J2317" i="525"/>
  <c r="F2317" i="525" s="1"/>
  <c r="F2332" i="525"/>
  <c r="E2339" i="525"/>
  <c r="J2348" i="525"/>
  <c r="F2348" i="525" s="1"/>
  <c r="J2350" i="525"/>
  <c r="F2350" i="525" s="1"/>
  <c r="F2395" i="525"/>
  <c r="J2415" i="525"/>
  <c r="F2415" i="525" s="1"/>
  <c r="F2425" i="525"/>
  <c r="J2457" i="525"/>
  <c r="F2457" i="525" s="1"/>
  <c r="J2520" i="525"/>
  <c r="F2520" i="525" s="1"/>
  <c r="J2521" i="525"/>
  <c r="F2521" i="525" s="1"/>
  <c r="L2573" i="525"/>
  <c r="H330" i="524" s="1"/>
  <c r="H2571" i="525"/>
  <c r="F2571" i="525" s="1"/>
  <c r="F2578" i="525"/>
  <c r="E2594" i="525"/>
  <c r="J2610" i="525"/>
  <c r="F2610" i="525" s="1"/>
  <c r="F2618" i="525"/>
  <c r="F2636" i="525"/>
  <c r="F2683" i="525"/>
  <c r="AE84" i="527"/>
  <c r="AC281" i="527"/>
  <c r="AC871" i="527"/>
  <c r="AE1774" i="527"/>
  <c r="H1774" i="527" s="1"/>
  <c r="E1774" i="527" s="1"/>
  <c r="AE1787" i="527"/>
  <c r="H1787" i="527" s="1"/>
  <c r="E1787" i="527" s="1"/>
  <c r="AA1883" i="527"/>
  <c r="AC2174" i="527"/>
  <c r="D2424" i="527"/>
  <c r="AC2874" i="527"/>
  <c r="B3166" i="527"/>
  <c r="C3366" i="527"/>
  <c r="D4076" i="527"/>
  <c r="D4078" i="527" s="1"/>
  <c r="E4076" i="527"/>
  <c r="E4078" i="527" s="1"/>
  <c r="F5032" i="527"/>
  <c r="F5034" i="527" s="1"/>
  <c r="E5032" i="527"/>
  <c r="E5034" i="527" s="1"/>
  <c r="E8139" i="527"/>
  <c r="D8139" i="527"/>
  <c r="D8141" i="527" s="1"/>
  <c r="F2182" i="525"/>
  <c r="J2232" i="525"/>
  <c r="F2232" i="525" s="1"/>
  <c r="J2261" i="525"/>
  <c r="F2261" i="525" s="1"/>
  <c r="F2320" i="525"/>
  <c r="F2437" i="525"/>
  <c r="F2465" i="525"/>
  <c r="E2570" i="525"/>
  <c r="F2572" i="525"/>
  <c r="E2580" i="525"/>
  <c r="F2656" i="525"/>
  <c r="F2665" i="525"/>
  <c r="F2674" i="525"/>
  <c r="E17" i="527"/>
  <c r="B26" i="527"/>
  <c r="AK84" i="527"/>
  <c r="AB3170" i="527"/>
  <c r="F3372" i="527"/>
  <c r="AA3619" i="527"/>
  <c r="F3694" i="527"/>
  <c r="F3871" i="527"/>
  <c r="F3875" i="527" s="1"/>
  <c r="F3904" i="527" s="1"/>
  <c r="E3972" i="527"/>
  <c r="F3972" i="527"/>
  <c r="F3977" i="527" s="1"/>
  <c r="E4978" i="527"/>
  <c r="D4978" i="527"/>
  <c r="D4980" i="527" s="1"/>
  <c r="F2297" i="525"/>
  <c r="F2375" i="525"/>
  <c r="F2385" i="525"/>
  <c r="F2497" i="525"/>
  <c r="F2509" i="525"/>
  <c r="H2573" i="525"/>
  <c r="F330" i="524" s="1"/>
  <c r="G180" i="525" s="1"/>
  <c r="H180" i="525" s="1"/>
  <c r="J2581" i="525"/>
  <c r="G331" i="524" s="1"/>
  <c r="F2647" i="525"/>
  <c r="D17" i="527"/>
  <c r="D19" i="527" s="1"/>
  <c r="AA1583" i="527"/>
  <c r="AA1592" i="527"/>
  <c r="AA1596" i="527"/>
  <c r="AE1796" i="527"/>
  <c r="H1796" i="527" s="1"/>
  <c r="E1796" i="527" s="1"/>
  <c r="AA2181" i="527"/>
  <c r="AA2185" i="527"/>
  <c r="AC3821" i="527"/>
  <c r="H3821" i="527" s="1"/>
  <c r="AA3821" i="527"/>
  <c r="D4026" i="527"/>
  <c r="D4028" i="527" s="1"/>
  <c r="E4026" i="527"/>
  <c r="E4028" i="527" s="1"/>
  <c r="E6792" i="527"/>
  <c r="D6792" i="527"/>
  <c r="D6804" i="527" s="1"/>
  <c r="D7479" i="527"/>
  <c r="F7479" i="527"/>
  <c r="F2312" i="525"/>
  <c r="F2318" i="525"/>
  <c r="F2330" i="525"/>
  <c r="F2397" i="525"/>
  <c r="F2427" i="525"/>
  <c r="F2508" i="525"/>
  <c r="J2561" i="525"/>
  <c r="G328" i="524" s="1"/>
  <c r="F2570" i="525"/>
  <c r="L2581" i="525"/>
  <c r="H331" i="524" s="1"/>
  <c r="K419" i="525" s="1"/>
  <c r="L419" i="525" s="1"/>
  <c r="H2579" i="525"/>
  <c r="H2581" i="525" s="1"/>
  <c r="F2620" i="525"/>
  <c r="F2629" i="525"/>
  <c r="F2638" i="525"/>
  <c r="F2663" i="525"/>
  <c r="F2681" i="525"/>
  <c r="AC424" i="527"/>
  <c r="AC881" i="527"/>
  <c r="AE1785" i="527"/>
  <c r="H1785" i="527" s="1"/>
  <c r="AC2821" i="527"/>
  <c r="AC2824" i="527"/>
  <c r="AC3024" i="527"/>
  <c r="AL3270" i="527"/>
  <c r="F3435" i="527"/>
  <c r="F3437" i="527" s="1"/>
  <c r="E6892" i="527"/>
  <c r="D6892" i="527"/>
  <c r="D6904" i="527" s="1"/>
  <c r="AM5622" i="527"/>
  <c r="AM5922" i="527"/>
  <c r="AM6472" i="527"/>
  <c r="AM6972" i="527"/>
  <c r="F7073" i="527"/>
  <c r="AC7781" i="527"/>
  <c r="F8608" i="527"/>
  <c r="F8611" i="527" s="1"/>
  <c r="E7" i="530"/>
  <c r="J16" i="530"/>
  <c r="L33" i="530"/>
  <c r="H7" i="529" s="1"/>
  <c r="L43" i="530"/>
  <c r="F43" i="530" s="1"/>
  <c r="J53" i="530"/>
  <c r="E58" i="530"/>
  <c r="I74" i="530"/>
  <c r="I88" i="530"/>
  <c r="E93" i="530"/>
  <c r="L115" i="530"/>
  <c r="H19" i="529" s="1"/>
  <c r="L1596" i="527" s="1"/>
  <c r="I1596" i="527" s="1"/>
  <c r="L118" i="530"/>
  <c r="L122" i="530" s="1"/>
  <c r="H20" i="529" s="1"/>
  <c r="J120" i="530"/>
  <c r="F3980" i="527"/>
  <c r="F4004" i="527" s="1"/>
  <c r="AE5273" i="527"/>
  <c r="H5273" i="527" s="1"/>
  <c r="E5273" i="527" s="1"/>
  <c r="AC5321" i="527"/>
  <c r="AC5523" i="527"/>
  <c r="AM6622" i="527"/>
  <c r="AM6672" i="527"/>
  <c r="AM6922" i="527"/>
  <c r="AC7023" i="527"/>
  <c r="AC7115" i="527"/>
  <c r="AC7671" i="527"/>
  <c r="AE8128" i="527"/>
  <c r="H8128" i="527" s="1"/>
  <c r="F8128" i="527" s="1"/>
  <c r="AE8132" i="527"/>
  <c r="H8132" i="527" s="1"/>
  <c r="AA8180" i="527"/>
  <c r="F8968" i="527"/>
  <c r="F8985" i="527"/>
  <c r="L18" i="530"/>
  <c r="H5" i="529" s="1"/>
  <c r="Z22" i="530"/>
  <c r="Z29" i="530"/>
  <c r="E44" i="530"/>
  <c r="L48" i="530"/>
  <c r="H9" i="529" s="1"/>
  <c r="L7188" i="527" s="1"/>
  <c r="I7188" i="527" s="1"/>
  <c r="E79" i="530"/>
  <c r="L90" i="530"/>
  <c r="H15" i="529" s="1"/>
  <c r="K57" i="525" s="1"/>
  <c r="L57" i="525" s="1"/>
  <c r="I99" i="530"/>
  <c r="D5323" i="527"/>
  <c r="AC5423" i="527"/>
  <c r="AC5521" i="527"/>
  <c r="AM5722" i="527"/>
  <c r="AM6022" i="527"/>
  <c r="AH6322" i="527"/>
  <c r="AM6822" i="527"/>
  <c r="AC7021" i="527"/>
  <c r="D7028" i="527"/>
  <c r="D7030" i="527" s="1"/>
  <c r="E7523" i="527"/>
  <c r="F7537" i="527"/>
  <c r="AC7774" i="527"/>
  <c r="AE7924" i="527"/>
  <c r="H7924" i="527" s="1"/>
  <c r="F7924" i="527" s="1"/>
  <c r="AC8119" i="527"/>
  <c r="AC8121" i="527"/>
  <c r="J8178" i="527"/>
  <c r="I8178" i="527" s="1"/>
  <c r="D8518" i="527"/>
  <c r="L26" i="530"/>
  <c r="H6" i="529" s="1"/>
  <c r="I38" i="530"/>
  <c r="I60" i="530"/>
  <c r="E65" i="530"/>
  <c r="E104" i="530"/>
  <c r="I127" i="530"/>
  <c r="AM6222" i="527"/>
  <c r="AM6722" i="527"/>
  <c r="AM6772" i="527"/>
  <c r="AM6872" i="527"/>
  <c r="AE8119" i="527"/>
  <c r="H8119" i="527" s="1"/>
  <c r="L11" i="530"/>
  <c r="H4" i="529" s="1"/>
  <c r="L62" i="530"/>
  <c r="H11" i="529" s="1"/>
  <c r="E5432" i="527"/>
  <c r="AM5822" i="527"/>
  <c r="AM6522" i="527"/>
  <c r="AC7771" i="527"/>
  <c r="AE8130" i="527"/>
  <c r="H8130" i="527" s="1"/>
  <c r="F8130" i="527" s="1"/>
  <c r="E8194" i="527"/>
  <c r="K5" i="526"/>
  <c r="K11" i="526"/>
  <c r="K27" i="526"/>
  <c r="K47" i="526"/>
  <c r="K89" i="526"/>
  <c r="K15" i="526"/>
  <c r="K31" i="526"/>
  <c r="K59" i="526"/>
  <c r="J6" i="528"/>
  <c r="J8" i="528"/>
  <c r="H6" i="531"/>
  <c r="H21" i="531"/>
  <c r="H105" i="531"/>
  <c r="K266" i="524"/>
  <c r="K7" i="526"/>
  <c r="K23" i="526"/>
  <c r="K39" i="526"/>
  <c r="H41" i="531"/>
  <c r="H62" i="531"/>
  <c r="H77" i="531"/>
  <c r="Z1092" i="525"/>
  <c r="Z1124" i="525"/>
  <c r="Z1148" i="525"/>
  <c r="Z1172" i="525"/>
  <c r="Z1196" i="525"/>
  <c r="K13" i="526"/>
  <c r="K21" i="526"/>
  <c r="K29" i="526"/>
  <c r="K37" i="526"/>
  <c r="K57" i="526"/>
  <c r="K83" i="526"/>
  <c r="Y7674" i="527"/>
  <c r="Y7774" i="527"/>
  <c r="Y8219" i="527"/>
  <c r="Y8518" i="527"/>
  <c r="Z14" i="530"/>
  <c r="H9" i="531"/>
  <c r="H14" i="531"/>
  <c r="H25" i="531"/>
  <c r="H65" i="531"/>
  <c r="H70" i="531"/>
  <c r="H85" i="531"/>
  <c r="K33" i="524"/>
  <c r="K35" i="524"/>
  <c r="K73" i="524"/>
  <c r="K75" i="524"/>
  <c r="K77" i="524"/>
  <c r="K79" i="524"/>
  <c r="K81" i="524"/>
  <c r="K83" i="524"/>
  <c r="K85" i="524"/>
  <c r="K87" i="524"/>
  <c r="K89" i="524"/>
  <c r="K91" i="524"/>
  <c r="K93" i="524"/>
  <c r="K95" i="524"/>
  <c r="K97" i="524"/>
  <c r="K99" i="524"/>
  <c r="K101" i="524"/>
  <c r="K106" i="524"/>
  <c r="K117" i="524"/>
  <c r="K118" i="524"/>
  <c r="K131" i="524"/>
  <c r="K139" i="524"/>
  <c r="K146" i="524"/>
  <c r="K149" i="524"/>
  <c r="K165" i="524"/>
  <c r="K171" i="524"/>
  <c r="K179" i="524"/>
  <c r="K187" i="524"/>
  <c r="K195" i="524"/>
  <c r="K203" i="524"/>
  <c r="K211" i="524"/>
  <c r="K287" i="524"/>
  <c r="K289" i="524"/>
  <c r="Z1068" i="525"/>
  <c r="Z1100" i="525"/>
  <c r="Z1132" i="525"/>
  <c r="Z1164" i="525"/>
  <c r="Z1180" i="525"/>
  <c r="Z2499" i="525"/>
  <c r="Z2503" i="525"/>
  <c r="Y1683" i="527"/>
  <c r="Z65" i="530"/>
  <c r="Z104" i="530"/>
  <c r="K39" i="524"/>
  <c r="K41" i="524"/>
  <c r="K43" i="524"/>
  <c r="K45" i="524"/>
  <c r="K47" i="524"/>
  <c r="K49" i="524"/>
  <c r="K51" i="524"/>
  <c r="K53" i="524"/>
  <c r="K55" i="524"/>
  <c r="K57" i="524"/>
  <c r="K59" i="524"/>
  <c r="K61" i="524"/>
  <c r="K63" i="524"/>
  <c r="K65" i="524"/>
  <c r="K67" i="524"/>
  <c r="K69" i="524"/>
  <c r="K70" i="524"/>
  <c r="K104" i="524"/>
  <c r="K112" i="524"/>
  <c r="K114" i="524"/>
  <c r="K116" i="524"/>
  <c r="K120" i="524"/>
  <c r="K122" i="524"/>
  <c r="K129" i="524"/>
  <c r="K137" i="524"/>
  <c r="K151" i="524"/>
  <c r="K156" i="524"/>
  <c r="K160" i="524"/>
  <c r="K161" i="524"/>
  <c r="K162" i="524"/>
  <c r="K163" i="524"/>
  <c r="K164" i="524"/>
  <c r="K177" i="524"/>
  <c r="K185" i="524"/>
  <c r="K193" i="524"/>
  <c r="K201" i="524"/>
  <c r="K209" i="524"/>
  <c r="Z1076" i="525"/>
  <c r="Z1108" i="525"/>
  <c r="Z1140" i="525"/>
  <c r="Z1156" i="525"/>
  <c r="Z2479" i="525"/>
  <c r="Z2510" i="525"/>
  <c r="K9" i="526"/>
  <c r="K17" i="526"/>
  <c r="K25" i="526"/>
  <c r="K33" i="526"/>
  <c r="K45" i="526"/>
  <c r="Z58" i="530"/>
  <c r="Z86" i="530"/>
  <c r="Z111" i="530"/>
  <c r="Z118" i="530"/>
  <c r="Z125" i="530"/>
  <c r="H37" i="531"/>
  <c r="H46" i="531"/>
  <c r="H57" i="531"/>
  <c r="H97" i="531"/>
  <c r="H110" i="531"/>
  <c r="K260" i="524"/>
  <c r="K270" i="524"/>
  <c r="Y7523" i="527"/>
  <c r="S29" i="534"/>
  <c r="S33" i="534"/>
  <c r="S37" i="534"/>
  <c r="S41" i="534"/>
  <c r="S45" i="534"/>
  <c r="S49" i="534"/>
  <c r="S53" i="534"/>
  <c r="S57" i="534"/>
  <c r="S61" i="534"/>
  <c r="S65" i="534"/>
  <c r="S69" i="534"/>
  <c r="S73" i="534"/>
  <c r="S77" i="534"/>
  <c r="S81" i="534"/>
  <c r="S85" i="534"/>
  <c r="S89" i="534"/>
  <c r="S93" i="534"/>
  <c r="S97" i="534"/>
  <c r="S101" i="534"/>
  <c r="S105" i="534"/>
  <c r="S109" i="534"/>
  <c r="Z9" i="530"/>
  <c r="K283" i="524"/>
  <c r="K315" i="524"/>
  <c r="S110" i="534"/>
  <c r="Y8081" i="527"/>
  <c r="Y8031" i="527"/>
  <c r="Y2931" i="527"/>
  <c r="Y2885" i="527"/>
  <c r="Y2781" i="527"/>
  <c r="Y2734" i="527"/>
  <c r="Y2681" i="527"/>
  <c r="Y2631" i="527"/>
  <c r="Y2581" i="527"/>
  <c r="Y2535" i="527"/>
  <c r="Y2385" i="527"/>
  <c r="Y2244" i="527"/>
  <c r="Y2194" i="527"/>
  <c r="Y1808" i="527"/>
  <c r="Y1804" i="527"/>
  <c r="Y1708" i="527"/>
  <c r="Y1504" i="527"/>
  <c r="Y1398" i="527"/>
  <c r="Y1231" i="527"/>
  <c r="Y881" i="527"/>
  <c r="Y631" i="527"/>
  <c r="Y431" i="527"/>
  <c r="Y331" i="527"/>
  <c r="Y231" i="527"/>
  <c r="Y181" i="527"/>
  <c r="Z2688" i="525"/>
  <c r="Z2656" i="525"/>
  <c r="Z2654" i="525"/>
  <c r="Z2620" i="525"/>
  <c r="Z2618" i="525"/>
  <c r="Z2596" i="525"/>
  <c r="Z2578" i="525"/>
  <c r="Z2577" i="525"/>
  <c r="Z2520" i="525"/>
  <c r="Z2509" i="525"/>
  <c r="Z2455" i="525"/>
  <c r="Z2447" i="525"/>
  <c r="Z2437" i="525"/>
  <c r="Z2435" i="525"/>
  <c r="Z2427" i="525"/>
  <c r="Z2425" i="525"/>
  <c r="Z2417" i="525"/>
  <c r="Z2405" i="525"/>
  <c r="Z2397" i="525"/>
  <c r="Z2395" i="525"/>
  <c r="Z2387" i="525"/>
  <c r="Z2385" i="525"/>
  <c r="Z2377" i="525"/>
  <c r="Z2368" i="525"/>
  <c r="Z2366" i="525"/>
  <c r="Z2341" i="525"/>
  <c r="Z2332" i="525"/>
  <c r="Z2330" i="525"/>
  <c r="Z2320" i="525"/>
  <c r="Z2317" i="525"/>
  <c r="Z2299" i="525"/>
  <c r="Z2281" i="525"/>
  <c r="Z2280" i="525"/>
  <c r="Z2278" i="525"/>
  <c r="Z2237" i="525"/>
  <c r="Z2232" i="525"/>
  <c r="Z2219" i="525"/>
  <c r="Z2218" i="525"/>
  <c r="Z2217" i="525"/>
  <c r="Z2196" i="525"/>
  <c r="Z2179" i="525"/>
  <c r="Z2177" i="525"/>
  <c r="Z2174" i="525"/>
  <c r="Z2162" i="525"/>
  <c r="Z2110" i="525"/>
  <c r="Z2065" i="525"/>
  <c r="Z1940" i="525"/>
  <c r="Z1926" i="525"/>
  <c r="Z1919" i="525"/>
  <c r="Z1903" i="525"/>
  <c r="Z1859" i="525"/>
  <c r="Z1850" i="525"/>
  <c r="Z1835" i="525"/>
  <c r="Y7931" i="527"/>
  <c r="Y3364" i="527"/>
  <c r="Y3035" i="527"/>
  <c r="Y2881" i="527"/>
  <c r="Y2834" i="527"/>
  <c r="Y2584" i="527"/>
  <c r="Y2434" i="527"/>
  <c r="Y2431" i="527"/>
  <c r="Y2334" i="527"/>
  <c r="Y2144" i="527"/>
  <c r="Y2044" i="527"/>
  <c r="Y1948" i="527"/>
  <c r="Y1897" i="527"/>
  <c r="Y1894" i="527"/>
  <c r="Y1608" i="527"/>
  <c r="Y1604" i="527"/>
  <c r="Y1507" i="527"/>
  <c r="Y1181" i="527"/>
  <c r="Y1031" i="527"/>
  <c r="Y831" i="527"/>
  <c r="Y781" i="527"/>
  <c r="Y581" i="527"/>
  <c r="Z2683" i="525"/>
  <c r="Z2681" i="525"/>
  <c r="Z2647" i="525"/>
  <c r="Z2645" i="525"/>
  <c r="Z2610" i="525"/>
  <c r="Z2604" i="525"/>
  <c r="Z2602" i="525"/>
  <c r="Z2570" i="525"/>
  <c r="Z2568" i="525"/>
  <c r="Z2564" i="525"/>
  <c r="Z2521" i="525"/>
  <c r="Z2407" i="525"/>
  <c r="Z2357" i="525"/>
  <c r="Z2348" i="525"/>
  <c r="Z2321" i="525"/>
  <c r="Z2301" i="525"/>
  <c r="Z2300" i="525"/>
  <c r="Z2279" i="525"/>
  <c r="Z2261" i="525"/>
  <c r="Z2258" i="525"/>
  <c r="Z2240" i="525"/>
  <c r="Z2239" i="525"/>
  <c r="Z2238" i="525"/>
  <c r="Z2202" i="525"/>
  <c r="Z2164" i="525"/>
  <c r="Z2163" i="525"/>
  <c r="Z2138" i="525"/>
  <c r="Z2128" i="525"/>
  <c r="Z2015" i="525"/>
  <c r="Z1993" i="525"/>
  <c r="Z1947" i="525"/>
  <c r="Z1933" i="525"/>
  <c r="Z1863" i="525"/>
  <c r="Z1848" i="525"/>
  <c r="J16" i="528"/>
  <c r="Y8808" i="527"/>
  <c r="Y8758" i="527"/>
  <c r="Y7681" i="527"/>
  <c r="Y2984" i="527"/>
  <c r="Y2934" i="527"/>
  <c r="Y2731" i="527"/>
  <c r="Y2531" i="527"/>
  <c r="Y2484" i="527"/>
  <c r="Y2147" i="527"/>
  <c r="Y1704" i="527"/>
  <c r="Y1394" i="527"/>
  <c r="Y1331" i="527"/>
  <c r="Y1131" i="527"/>
  <c r="Y1081" i="527"/>
  <c r="Y981" i="527"/>
  <c r="Y731" i="527"/>
  <c r="Y681" i="527"/>
  <c r="Y531" i="527"/>
  <c r="Z2674" i="525"/>
  <c r="Z2672" i="525"/>
  <c r="Z2638" i="525"/>
  <c r="Z2636" i="525"/>
  <c r="Z2594" i="525"/>
  <c r="Z2588" i="525"/>
  <c r="Z2586" i="525"/>
  <c r="Z2569" i="525"/>
  <c r="Z2559" i="525"/>
  <c r="Z2508" i="525"/>
  <c r="Z2497" i="525"/>
  <c r="Z2467" i="525"/>
  <c r="Z2465" i="525"/>
  <c r="Z2457" i="525"/>
  <c r="Z2415" i="525"/>
  <c r="Z2375" i="525"/>
  <c r="Z2350" i="525"/>
  <c r="Z2339" i="525"/>
  <c r="Z2319" i="525"/>
  <c r="Z2318" i="525"/>
  <c r="Z2312" i="525"/>
  <c r="Z2298" i="525"/>
  <c r="Z2297" i="525"/>
  <c r="Z2295" i="525"/>
  <c r="Z2292" i="525"/>
  <c r="Z2277" i="525"/>
  <c r="Z2275" i="525"/>
  <c r="Z2272" i="525"/>
  <c r="Z2260" i="525"/>
  <c r="Z2259" i="525"/>
  <c r="Z2235" i="525"/>
  <c r="Z2220" i="525"/>
  <c r="Z2212" i="525"/>
  <c r="Z2198" i="525"/>
  <c r="Z2193" i="525"/>
  <c r="Z2180" i="525"/>
  <c r="Z2161" i="525"/>
  <c r="Z2160" i="525"/>
  <c r="Z2158" i="525"/>
  <c r="Z2155" i="525"/>
  <c r="Z2146" i="525"/>
  <c r="Z2139" i="525"/>
  <c r="Z2092" i="525"/>
  <c r="Z2082" i="525"/>
  <c r="Z2069" i="525"/>
  <c r="Z2021" i="525"/>
  <c r="Z1989" i="525"/>
  <c r="Z1920" i="525"/>
  <c r="Z1904" i="525"/>
  <c r="Z1874" i="525"/>
  <c r="Z1869" i="525"/>
  <c r="Z1861" i="525"/>
  <c r="Z1849" i="525"/>
  <c r="Z1833" i="525"/>
  <c r="K43" i="526"/>
  <c r="K51" i="526"/>
  <c r="K67" i="526"/>
  <c r="K73" i="526"/>
  <c r="K104" i="526"/>
  <c r="K106" i="526"/>
  <c r="Z43" i="530"/>
  <c r="Z72" i="530"/>
  <c r="H5" i="531"/>
  <c r="H33" i="531"/>
  <c r="H38" i="531"/>
  <c r="H45" i="531"/>
  <c r="H73" i="531"/>
  <c r="H78" i="531"/>
  <c r="H89" i="531"/>
  <c r="Z2522" i="525"/>
  <c r="Z2540" i="525"/>
  <c r="K41" i="526"/>
  <c r="K49" i="526"/>
  <c r="K65" i="526"/>
  <c r="K71" i="526"/>
  <c r="K99" i="526"/>
  <c r="H9" i="521"/>
  <c r="H26" i="521"/>
  <c r="K258" i="524"/>
  <c r="K285" i="524"/>
  <c r="K309" i="524"/>
  <c r="K331" i="524"/>
  <c r="K55" i="526"/>
  <c r="K63" i="526"/>
  <c r="K81" i="526"/>
  <c r="K97" i="526"/>
  <c r="K125" i="526"/>
  <c r="K127" i="526"/>
  <c r="K129" i="526"/>
  <c r="K131" i="526"/>
  <c r="Y8608" i="527"/>
  <c r="K19" i="529"/>
  <c r="Z38" i="530"/>
  <c r="Z60" i="530"/>
  <c r="Z67" i="530"/>
  <c r="Z74" i="530"/>
  <c r="K53" i="526"/>
  <c r="K61" i="526"/>
  <c r="K75" i="526"/>
  <c r="K91" i="526"/>
  <c r="K123" i="526"/>
  <c r="Y7537" i="527"/>
  <c r="Y7781" i="527"/>
  <c r="Y7831" i="527"/>
  <c r="Y7881" i="527"/>
  <c r="Y7921" i="527"/>
  <c r="Y7924" i="527"/>
  <c r="Z36" i="530"/>
  <c r="Z79" i="530"/>
  <c r="Z81" i="530"/>
  <c r="Z93" i="530"/>
  <c r="H17" i="531"/>
  <c r="H22" i="531"/>
  <c r="H29" i="531"/>
  <c r="H49" i="531"/>
  <c r="H54" i="531"/>
  <c r="H61" i="531"/>
  <c r="H81" i="531"/>
  <c r="H86" i="531"/>
  <c r="H102" i="531"/>
  <c r="H20" i="521"/>
  <c r="K223" i="524"/>
  <c r="K262" i="524"/>
  <c r="K268" i="524"/>
  <c r="K274" i="524"/>
  <c r="Z2643" i="525"/>
  <c r="Z869" i="525"/>
  <c r="AC444" i="523"/>
  <c r="AC440" i="523"/>
  <c r="AC436" i="523"/>
  <c r="AC433" i="523"/>
  <c r="AC432" i="523"/>
  <c r="AC431" i="523"/>
  <c r="AC430" i="523"/>
  <c r="AC429" i="523"/>
  <c r="AC428" i="523"/>
  <c r="AC427" i="523"/>
  <c r="AC426" i="523"/>
  <c r="AC421" i="523"/>
  <c r="AC371" i="523"/>
  <c r="AC367" i="523"/>
  <c r="AC331" i="523"/>
  <c r="AC303" i="523"/>
  <c r="AC295" i="523"/>
  <c r="AC291" i="523"/>
  <c r="AC287" i="523"/>
  <c r="AC283" i="523"/>
  <c r="AC279" i="523"/>
  <c r="AC443" i="523"/>
  <c r="AC439" i="523"/>
  <c r="AC423" i="523"/>
  <c r="AC413" i="523"/>
  <c r="AC370" i="523"/>
  <c r="Y9031" i="527"/>
  <c r="Y7489" i="527"/>
  <c r="Y7391" i="527"/>
  <c r="Y7389" i="527"/>
  <c r="Y4581" i="527"/>
  <c r="Y4379" i="527"/>
  <c r="Y4333" i="527"/>
  <c r="Y3623" i="527"/>
  <c r="Y3621" i="527"/>
  <c r="Y3427" i="527"/>
  <c r="Y3423" i="527"/>
  <c r="Y3322" i="527"/>
  <c r="Y3272" i="527"/>
  <c r="Y3177" i="527"/>
  <c r="Y3175" i="527"/>
  <c r="Y2135" i="527"/>
  <c r="Y2033" i="527"/>
  <c r="Y1935" i="527"/>
  <c r="Y1883" i="527"/>
  <c r="Y1796" i="527"/>
  <c r="Y1794" i="527"/>
  <c r="Y1696" i="527"/>
  <c r="Y1596" i="527"/>
  <c r="Y1592" i="527"/>
  <c r="Y1492" i="527"/>
  <c r="Y1485" i="527"/>
  <c r="Y100" i="527"/>
  <c r="Y64" i="527"/>
  <c r="Z2055" i="525"/>
  <c r="Z188" i="525"/>
  <c r="Y8529" i="527"/>
  <c r="Y7491" i="527"/>
  <c r="Y4681" i="527"/>
  <c r="Y4433" i="527"/>
  <c r="Y4429" i="527"/>
  <c r="Y3221" i="527"/>
  <c r="Y3101" i="527"/>
  <c r="Y3074" i="527"/>
  <c r="Y2235" i="527"/>
  <c r="Y2233" i="527"/>
  <c r="Y2185" i="527"/>
  <c r="Y2181" i="527"/>
  <c r="Y2131" i="527"/>
  <c r="Y2035" i="527"/>
  <c r="Y1931" i="527"/>
  <c r="Y1783" i="527"/>
  <c r="Y1692" i="527"/>
  <c r="Y1685" i="527"/>
  <c r="Y1594" i="527"/>
  <c r="Y1583" i="527"/>
  <c r="Y1383" i="527"/>
  <c r="Y102" i="527"/>
  <c r="Y60" i="527"/>
  <c r="Y38" i="527"/>
  <c r="Y36" i="527"/>
  <c r="Z2050" i="525"/>
  <c r="Z58" i="525"/>
  <c r="Y8479" i="527"/>
  <c r="Y8477" i="527"/>
  <c r="Y8182" i="527"/>
  <c r="Y7337" i="527"/>
  <c r="Y7333" i="527"/>
  <c r="Y7184" i="527"/>
  <c r="Y4533" i="527"/>
  <c r="Y4529" i="527"/>
  <c r="Y3696" i="527"/>
  <c r="Y3694" i="527"/>
  <c r="Y3425" i="527"/>
  <c r="Y3326" i="527"/>
  <c r="Y3324" i="527"/>
  <c r="Y3276" i="527"/>
  <c r="Y3274" i="527"/>
  <c r="Y3173" i="527"/>
  <c r="Y3103" i="527"/>
  <c r="Y2183" i="527"/>
  <c r="Y2031" i="527"/>
  <c r="Y1585" i="527"/>
  <c r="Y1494" i="527"/>
  <c r="Y1487" i="527"/>
  <c r="Y1483" i="527"/>
  <c r="Y1385" i="527"/>
  <c r="Y98" i="527"/>
  <c r="Z212" i="525"/>
  <c r="Z204" i="525"/>
  <c r="Z56" i="525"/>
  <c r="Y3692" i="527"/>
  <c r="Y3219" i="527"/>
  <c r="Y2231" i="527"/>
  <c r="Y2133" i="527"/>
  <c r="Y1687" i="527"/>
  <c r="Y1587" i="527"/>
  <c r="Y34" i="527"/>
  <c r="Z2060" i="525"/>
  <c r="Z196" i="525"/>
  <c r="Y8180" i="527"/>
  <c r="Y8178" i="527"/>
  <c r="Y4633" i="527"/>
  <c r="Y4629" i="527"/>
  <c r="Y3223" i="527"/>
  <c r="Y1881" i="527"/>
  <c r="Y1694" i="527"/>
  <c r="Y4481" i="527"/>
  <c r="Y4331" i="527"/>
  <c r="Y3619" i="527"/>
  <c r="Y1885" i="527"/>
  <c r="Y1496" i="527"/>
  <c r="H12" i="521"/>
  <c r="H17" i="521"/>
  <c r="AC8" i="523"/>
  <c r="AC20" i="523"/>
  <c r="AC32" i="523"/>
  <c r="AC44" i="523"/>
  <c r="AC56" i="523"/>
  <c r="AC68" i="523"/>
  <c r="AC76" i="523"/>
  <c r="AC88" i="523"/>
  <c r="AC96" i="523"/>
  <c r="AC108" i="523"/>
  <c r="AC120" i="523"/>
  <c r="AC136" i="523"/>
  <c r="AC155" i="523"/>
  <c r="AC164" i="523"/>
  <c r="AC243" i="523"/>
  <c r="AC247" i="523"/>
  <c r="AC251" i="523"/>
  <c r="AC255" i="523"/>
  <c r="AC259" i="523"/>
  <c r="AC263" i="523"/>
  <c r="AC267" i="523"/>
  <c r="AC275" i="523"/>
  <c r="AC280" i="523"/>
  <c r="AC285" i="523"/>
  <c r="AC290" i="523"/>
  <c r="AC296" i="523"/>
  <c r="AC410" i="523"/>
  <c r="AC412" i="523"/>
  <c r="AC425" i="523"/>
  <c r="AC438" i="523"/>
  <c r="AC411" i="523"/>
  <c r="AC414" i="523"/>
  <c r="AC417" i="523"/>
  <c r="H14" i="521"/>
  <c r="H30" i="521"/>
  <c r="AC12" i="523"/>
  <c r="AC16" i="523"/>
  <c r="AC24" i="523"/>
  <c r="AC28" i="523"/>
  <c r="AC36" i="523"/>
  <c r="AC40" i="523"/>
  <c r="AC48" i="523"/>
  <c r="AC52" i="523"/>
  <c r="AC60" i="523"/>
  <c r="AC64" i="523"/>
  <c r="AC72" i="523"/>
  <c r="AC80" i="523"/>
  <c r="AC84" i="523"/>
  <c r="AC92" i="523"/>
  <c r="AC100" i="523"/>
  <c r="AC104" i="523"/>
  <c r="AC112" i="523"/>
  <c r="AC116" i="523"/>
  <c r="AC124" i="523"/>
  <c r="AC128" i="523"/>
  <c r="AC132" i="523"/>
  <c r="AC140" i="523"/>
  <c r="AC151" i="523"/>
  <c r="AC159" i="523"/>
  <c r="AC163" i="523"/>
  <c r="AC166" i="523"/>
  <c r="AC172" i="523"/>
  <c r="AC174" i="523"/>
  <c r="AC183" i="523"/>
  <c r="AC196" i="523"/>
  <c r="AC200" i="523"/>
  <c r="AC203" i="523"/>
  <c r="AC204" i="523"/>
  <c r="AC207" i="523"/>
  <c r="AC215" i="523"/>
  <c r="AC219" i="523"/>
  <c r="AC223" i="523"/>
  <c r="AC227" i="523"/>
  <c r="AC231" i="523"/>
  <c r="AC235" i="523"/>
  <c r="AC271" i="523"/>
  <c r="H22" i="521"/>
  <c r="H27" i="521"/>
  <c r="AC13" i="523"/>
  <c r="AC29" i="523"/>
  <c r="AC41" i="523"/>
  <c r="AC61" i="523"/>
  <c r="AC77" i="523"/>
  <c r="AC93" i="523"/>
  <c r="AC105" i="523"/>
  <c r="AC117" i="523"/>
  <c r="AC129" i="523"/>
  <c r="AC137" i="523"/>
  <c r="AC143" i="523"/>
  <c r="AC145" i="523"/>
  <c r="AC146" i="523"/>
  <c r="AC156" i="523"/>
  <c r="AC160" i="523"/>
  <c r="AC162" i="523"/>
  <c r="AC165" i="523"/>
  <c r="AC167" i="523"/>
  <c r="AC168" i="523"/>
  <c r="AC171" i="523"/>
  <c r="AC193" i="523"/>
  <c r="AC197" i="523"/>
  <c r="AC201" i="523"/>
  <c r="AC212" i="523"/>
  <c r="AC216" i="523"/>
  <c r="AC220" i="523"/>
  <c r="AC224" i="523"/>
  <c r="AC228" i="523"/>
  <c r="AC232" i="523"/>
  <c r="AC236" i="523"/>
  <c r="AC244" i="523"/>
  <c r="AC248" i="523"/>
  <c r="AC252" i="523"/>
  <c r="AC256" i="523"/>
  <c r="AC260" i="523"/>
  <c r="AC264" i="523"/>
  <c r="AC268" i="523"/>
  <c r="AC272" i="523"/>
  <c r="AC276" i="523"/>
  <c r="AC281" i="523"/>
  <c r="AC286" i="523"/>
  <c r="AC292" i="523"/>
  <c r="AC297" i="523"/>
  <c r="AC368" i="523"/>
  <c r="AC422" i="523"/>
  <c r="AC424" i="523"/>
  <c r="AC434" i="523"/>
  <c r="AC441" i="523"/>
  <c r="Z57" i="525"/>
  <c r="Y62" i="527"/>
  <c r="Y1381" i="527"/>
  <c r="Y1785" i="527"/>
  <c r="Y1787" i="527"/>
  <c r="Y1792" i="527"/>
  <c r="Y3076" i="527"/>
  <c r="Y3078" i="527"/>
  <c r="Y3099" i="527"/>
  <c r="Y7186" i="527"/>
  <c r="Y7412" i="527"/>
  <c r="AC416" i="523"/>
  <c r="AC420" i="523"/>
  <c r="AC437" i="523"/>
  <c r="AC9" i="523"/>
  <c r="AC17" i="523"/>
  <c r="AC21" i="523"/>
  <c r="AC25" i="523"/>
  <c r="AC33" i="523"/>
  <c r="AC37" i="523"/>
  <c r="AC45" i="523"/>
  <c r="AC49" i="523"/>
  <c r="AC53" i="523"/>
  <c r="AC57" i="523"/>
  <c r="AC65" i="523"/>
  <c r="AC69" i="523"/>
  <c r="AC73" i="523"/>
  <c r="AC81" i="523"/>
  <c r="AC85" i="523"/>
  <c r="AC89" i="523"/>
  <c r="AC97" i="523"/>
  <c r="AC101" i="523"/>
  <c r="AC109" i="523"/>
  <c r="AC113" i="523"/>
  <c r="AC121" i="523"/>
  <c r="AC125" i="523"/>
  <c r="AC133" i="523"/>
  <c r="AC141" i="523"/>
  <c r="H5" i="521"/>
  <c r="H13" i="521"/>
  <c r="H15" i="521"/>
  <c r="H19" i="521"/>
  <c r="H28" i="521"/>
  <c r="AC10" i="523"/>
  <c r="AC14" i="523"/>
  <c r="AC18" i="523"/>
  <c r="AC22" i="523"/>
  <c r="AC26" i="523"/>
  <c r="AC30" i="523"/>
  <c r="AC34" i="523"/>
  <c r="AC38" i="523"/>
  <c r="AC42" i="523"/>
  <c r="AC46" i="523"/>
  <c r="AC50" i="523"/>
  <c r="AC54" i="523"/>
  <c r="AC58" i="523"/>
  <c r="AC62" i="523"/>
  <c r="AC66" i="523"/>
  <c r="AC70" i="523"/>
  <c r="AC74" i="523"/>
  <c r="AC78" i="523"/>
  <c r="AC82" i="523"/>
  <c r="AC86" i="523"/>
  <c r="AC90" i="523"/>
  <c r="AC94" i="523"/>
  <c r="AC98" i="523"/>
  <c r="AC102" i="523"/>
  <c r="AC106" i="523"/>
  <c r="AC110" i="523"/>
  <c r="AC114" i="523"/>
  <c r="AC118" i="523"/>
  <c r="AC122" i="523"/>
  <c r="AC126" i="523"/>
  <c r="AC130" i="523"/>
  <c r="AC134" i="523"/>
  <c r="AC138" i="523"/>
  <c r="AC142" i="523"/>
  <c r="AC149" i="523"/>
  <c r="AC157" i="523"/>
  <c r="AC169" i="523"/>
  <c r="AC170" i="523"/>
  <c r="AC176" i="523"/>
  <c r="AC179" i="523"/>
  <c r="AC181" i="523"/>
  <c r="AC185" i="523"/>
  <c r="AC187" i="523"/>
  <c r="AC189" i="523"/>
  <c r="AC192" i="523"/>
  <c r="AC198" i="523"/>
  <c r="AC205" i="523"/>
  <c r="AC209" i="523"/>
  <c r="AC213" i="523"/>
  <c r="AC217" i="523"/>
  <c r="AC221" i="523"/>
  <c r="AC225" i="523"/>
  <c r="AC229" i="523"/>
  <c r="AC233" i="523"/>
  <c r="AC241" i="523"/>
  <c r="AC245" i="523"/>
  <c r="AC249" i="523"/>
  <c r="AC253" i="523"/>
  <c r="AC257" i="523"/>
  <c r="AC261" i="523"/>
  <c r="AC265" i="523"/>
  <c r="AC269" i="523"/>
  <c r="AC273" i="523"/>
  <c r="AC277" i="523"/>
  <c r="AC282" i="523"/>
  <c r="AC288" i="523"/>
  <c r="AC293" i="523"/>
  <c r="AC302" i="523"/>
  <c r="AC332" i="523"/>
  <c r="AC369" i="523"/>
  <c r="AC415" i="523"/>
  <c r="AC418" i="523"/>
  <c r="AC419" i="523"/>
  <c r="AC442" i="523"/>
  <c r="K344" i="524"/>
  <c r="K333" i="524"/>
  <c r="K317" i="524"/>
  <c r="K297" i="524"/>
  <c r="K291" i="524"/>
  <c r="K256" i="524"/>
  <c r="K255" i="524"/>
  <c r="K253" i="524"/>
  <c r="K251" i="524"/>
  <c r="K250" i="524"/>
  <c r="K248" i="524"/>
  <c r="K246" i="524"/>
  <c r="K244" i="524"/>
  <c r="K242" i="524"/>
  <c r="K240" i="524"/>
  <c r="K238" i="524"/>
  <c r="K236" i="524"/>
  <c r="K234" i="524"/>
  <c r="K232" i="524"/>
  <c r="K230" i="524"/>
  <c r="K228" i="524"/>
  <c r="K226" i="524"/>
  <c r="K225" i="524"/>
  <c r="K224" i="524"/>
  <c r="K219" i="524"/>
  <c r="K217" i="524"/>
  <c r="K339" i="524"/>
  <c r="K323" i="524"/>
  <c r="K305" i="524"/>
  <c r="K299" i="524"/>
  <c r="K293" i="524"/>
  <c r="K286" i="524"/>
  <c r="K284" i="524"/>
  <c r="K282" i="524"/>
  <c r="K276" i="524"/>
  <c r="K273" i="524"/>
  <c r="K271" i="524"/>
  <c r="K269" i="524"/>
  <c r="K267" i="524"/>
  <c r="K265" i="524"/>
  <c r="K263" i="524"/>
  <c r="K261" i="524"/>
  <c r="K259" i="524"/>
  <c r="K257" i="524"/>
  <c r="K216" i="524"/>
  <c r="K215" i="524"/>
  <c r="K214" i="524"/>
  <c r="K341" i="524"/>
  <c r="K325" i="524"/>
  <c r="K313" i="524"/>
  <c r="K307" i="524"/>
  <c r="K301" i="524"/>
  <c r="K279" i="524"/>
  <c r="K277" i="524"/>
  <c r="K254" i="524"/>
  <c r="K252" i="524"/>
  <c r="K249" i="524"/>
  <c r="K247" i="524"/>
  <c r="K245" i="524"/>
  <c r="K243" i="524"/>
  <c r="K241" i="524"/>
  <c r="K239" i="524"/>
  <c r="K237" i="524"/>
  <c r="K235" i="524"/>
  <c r="K233" i="524"/>
  <c r="K231" i="524"/>
  <c r="K229" i="524"/>
  <c r="K227" i="524"/>
  <c r="K222" i="524"/>
  <c r="K221" i="524"/>
  <c r="K220" i="524"/>
  <c r="K218" i="524"/>
  <c r="K103" i="524"/>
  <c r="K105" i="524"/>
  <c r="K107" i="524"/>
  <c r="K109" i="524"/>
  <c r="K111" i="524"/>
  <c r="K113" i="524"/>
  <c r="K124" i="524"/>
  <c r="K126" i="524"/>
  <c r="K128" i="524"/>
  <c r="K130" i="524"/>
  <c r="K132" i="524"/>
  <c r="K134" i="524"/>
  <c r="K136" i="524"/>
  <c r="K138" i="524"/>
  <c r="K140" i="524"/>
  <c r="K142" i="524"/>
  <c r="K144" i="524"/>
  <c r="K145" i="524"/>
  <c r="K147" i="524"/>
  <c r="K150" i="524"/>
  <c r="K153" i="524"/>
  <c r="K154" i="524"/>
  <c r="K157" i="524"/>
  <c r="K158" i="524"/>
  <c r="K159" i="524"/>
  <c r="K166" i="524"/>
  <c r="K167" i="524"/>
  <c r="K168" i="524"/>
  <c r="K169" i="524"/>
  <c r="K170" i="524"/>
  <c r="K172" i="524"/>
  <c r="K174" i="524"/>
  <c r="K176" i="524"/>
  <c r="K178" i="524"/>
  <c r="K180" i="524"/>
  <c r="K182" i="524"/>
  <c r="K184" i="524"/>
  <c r="K186" i="524"/>
  <c r="K188" i="524"/>
  <c r="K190" i="524"/>
  <c r="K192" i="524"/>
  <c r="K194" i="524"/>
  <c r="K196" i="524"/>
  <c r="K198" i="524"/>
  <c r="K200" i="524"/>
  <c r="K202" i="524"/>
  <c r="K204" i="524"/>
  <c r="K206" i="524"/>
  <c r="K208" i="524"/>
  <c r="K210" i="524"/>
  <c r="K212" i="524"/>
  <c r="K213" i="524"/>
  <c r="K264" i="524"/>
  <c r="K272" i="524"/>
  <c r="K280" i="524"/>
  <c r="K79" i="526"/>
  <c r="K87" i="526"/>
  <c r="K95" i="526"/>
  <c r="K103" i="526"/>
  <c r="K109" i="526"/>
  <c r="K111" i="526"/>
  <c r="K113" i="526"/>
  <c r="K117" i="526"/>
  <c r="K139" i="526"/>
  <c r="K153" i="526"/>
  <c r="K155" i="526"/>
  <c r="K163" i="526"/>
  <c r="Y8658" i="527"/>
  <c r="Y8708" i="527"/>
  <c r="Y8858" i="527"/>
  <c r="Y8908" i="527"/>
  <c r="Y8964" i="527"/>
  <c r="Y8966" i="527"/>
  <c r="J15" i="528"/>
  <c r="K9" i="529"/>
  <c r="K15" i="529"/>
  <c r="K16" i="529"/>
  <c r="K18" i="529"/>
  <c r="Z24" i="530"/>
  <c r="H93" i="531"/>
  <c r="H101" i="531"/>
  <c r="H109" i="531"/>
  <c r="K77" i="526"/>
  <c r="K85" i="526"/>
  <c r="K93" i="526"/>
  <c r="K101" i="526"/>
  <c r="K115" i="526"/>
  <c r="K137" i="526"/>
  <c r="K147" i="526"/>
  <c r="Y7731" i="527"/>
  <c r="Y7821" i="527"/>
  <c r="Y7981" i="527"/>
  <c r="Y8021" i="527"/>
  <c r="Y8413" i="527"/>
  <c r="K7" i="529"/>
  <c r="K12" i="529"/>
  <c r="K14" i="529"/>
  <c r="Z7" i="530"/>
  <c r="Z31" i="530"/>
  <c r="Z44" i="530"/>
  <c r="Z46" i="530"/>
  <c r="Z51" i="530"/>
  <c r="Z53" i="530"/>
  <c r="Z99" i="530"/>
  <c r="H10" i="531"/>
  <c r="H18" i="531"/>
  <c r="H26" i="531"/>
  <c r="H34" i="531"/>
  <c r="H42" i="531"/>
  <c r="H50" i="531"/>
  <c r="H58" i="531"/>
  <c r="H66" i="531"/>
  <c r="H74" i="531"/>
  <c r="H82" i="531"/>
  <c r="H90" i="531"/>
  <c r="H98" i="531"/>
  <c r="H106" i="531"/>
  <c r="Q13" i="522"/>
  <c r="H10" i="521"/>
  <c r="H16" i="521"/>
  <c r="H18" i="521"/>
  <c r="H21" i="521"/>
  <c r="Q4" i="522"/>
  <c r="Q9" i="522"/>
  <c r="Q15" i="522"/>
  <c r="K321" i="524"/>
  <c r="K337" i="524"/>
  <c r="Z2670" i="525"/>
  <c r="Z2652" i="525"/>
  <c r="Z2634" i="525"/>
  <c r="Z2616" i="525"/>
  <c r="Z2608" i="525"/>
  <c r="Z2534" i="525"/>
  <c r="Z2528" i="525"/>
  <c r="Z2519" i="525"/>
  <c r="Z2486" i="525"/>
  <c r="Z2478" i="525"/>
  <c r="Z2472" i="525"/>
  <c r="Z2432" i="525"/>
  <c r="Z2392" i="525"/>
  <c r="Z2322" i="525"/>
  <c r="Z2311" i="525"/>
  <c r="Z2282" i="525"/>
  <c r="Z2262" i="525"/>
  <c r="Z2231" i="525"/>
  <c r="Z2192" i="525"/>
  <c r="Z2184" i="525"/>
  <c r="Z2173" i="525"/>
  <c r="Z2150" i="525"/>
  <c r="Z2141" i="525"/>
  <c r="Z2132" i="525"/>
  <c r="Z2122" i="525"/>
  <c r="Z2067" i="525"/>
  <c r="Z2064" i="525"/>
  <c r="Z2541" i="525"/>
  <c r="Z2533" i="525"/>
  <c r="Z2527" i="525"/>
  <c r="Z2515" i="525"/>
  <c r="Z2495" i="525"/>
  <c r="Z2485" i="525"/>
  <c r="Z2462" i="525"/>
  <c r="Z2422" i="525"/>
  <c r="Z2382" i="525"/>
  <c r="Z2354" i="525"/>
  <c r="Z2307" i="525"/>
  <c r="Z2291" i="525"/>
  <c r="Z2271" i="525"/>
  <c r="Z2251" i="525"/>
  <c r="Z2227" i="525"/>
  <c r="Z2188" i="525"/>
  <c r="Z2169" i="525"/>
  <c r="Z2165" i="525"/>
  <c r="Z2129" i="525"/>
  <c r="Z2121" i="525"/>
  <c r="Z2113" i="525"/>
  <c r="Z2066" i="525"/>
  <c r="Q5" i="522"/>
  <c r="Q11" i="522"/>
  <c r="Q16" i="522"/>
  <c r="K278" i="524"/>
  <c r="K281" i="524"/>
  <c r="K295" i="524"/>
  <c r="K303" i="524"/>
  <c r="K311" i="524"/>
  <c r="K319" i="524"/>
  <c r="K327" i="524"/>
  <c r="K329" i="524"/>
  <c r="K335" i="524"/>
  <c r="K343" i="524"/>
  <c r="Z2203" i="525"/>
  <c r="Z2207" i="525"/>
  <c r="Z2402" i="525"/>
  <c r="Z2412" i="525"/>
  <c r="Z2507" i="525"/>
  <c r="Z2592" i="525"/>
  <c r="Z2600" i="525"/>
  <c r="Z2679" i="525"/>
  <c r="K145" i="526"/>
  <c r="Q8" i="522"/>
  <c r="Q7" i="522"/>
  <c r="Q12" i="522"/>
  <c r="Q17" i="522"/>
  <c r="Z2211" i="525"/>
  <c r="Z2222" i="525"/>
  <c r="Z2267" i="525"/>
  <c r="Z2302" i="525"/>
  <c r="Z2492" i="525"/>
  <c r="Z2584" i="525"/>
  <c r="Z2661" i="525"/>
  <c r="K170" i="526"/>
  <c r="K169" i="526"/>
  <c r="K165" i="526"/>
  <c r="K149" i="526"/>
  <c r="K141" i="526"/>
  <c r="K133" i="526"/>
  <c r="K119" i="526"/>
  <c r="K107" i="526"/>
  <c r="K102" i="526"/>
  <c r="K100" i="526"/>
  <c r="K98" i="526"/>
  <c r="K96" i="526"/>
  <c r="K94" i="526"/>
  <c r="K92" i="526"/>
  <c r="K90" i="526"/>
  <c r="K88" i="526"/>
  <c r="K86" i="526"/>
  <c r="K84" i="526"/>
  <c r="K82" i="526"/>
  <c r="K80" i="526"/>
  <c r="K78" i="526"/>
  <c r="K76" i="526"/>
  <c r="K74" i="526"/>
  <c r="K72" i="526"/>
  <c r="K69" i="526"/>
  <c r="K68" i="526"/>
  <c r="K66" i="526"/>
  <c r="K64" i="526"/>
  <c r="K62" i="526"/>
  <c r="K60" i="526"/>
  <c r="K58" i="526"/>
  <c r="K56" i="526"/>
  <c r="K54" i="526"/>
  <c r="K52" i="526"/>
  <c r="K50" i="526"/>
  <c r="K48" i="526"/>
  <c r="K46" i="526"/>
  <c r="K44" i="526"/>
  <c r="K42" i="526"/>
  <c r="K40" i="526"/>
  <c r="K38" i="526"/>
  <c r="K36" i="526"/>
  <c r="K34" i="526"/>
  <c r="K32" i="526"/>
  <c r="K30" i="526"/>
  <c r="K28" i="526"/>
  <c r="K26" i="526"/>
  <c r="K24" i="526"/>
  <c r="K22" i="526"/>
  <c r="K20" i="526"/>
  <c r="K18" i="526"/>
  <c r="K16" i="526"/>
  <c r="K14" i="526"/>
  <c r="K12" i="526"/>
  <c r="K10" i="526"/>
  <c r="K8" i="526"/>
  <c r="K6" i="526"/>
  <c r="K4" i="526"/>
  <c r="K167" i="526"/>
  <c r="K159" i="526"/>
  <c r="K157" i="526"/>
  <c r="K151" i="526"/>
  <c r="K143" i="526"/>
  <c r="K135" i="526"/>
  <c r="K121" i="526"/>
  <c r="K108" i="526"/>
  <c r="K105" i="526"/>
  <c r="K70" i="526"/>
  <c r="Y9029" i="527"/>
  <c r="Y8481" i="527"/>
  <c r="Y8230" i="527"/>
  <c r="Y8228" i="527"/>
  <c r="Y7487" i="527"/>
  <c r="Y7416" i="527"/>
  <c r="Y7414" i="527"/>
  <c r="Y7229" i="527"/>
  <c r="Y7227" i="527"/>
  <c r="Y7225" i="527"/>
  <c r="Y7188" i="527"/>
  <c r="Y4683" i="527"/>
  <c r="Y4583" i="527"/>
  <c r="Y4483" i="527"/>
  <c r="Y4383" i="527"/>
  <c r="Y4381" i="527"/>
  <c r="Y4329" i="527"/>
  <c r="Y8531" i="527"/>
  <c r="Y8527" i="527"/>
  <c r="Y8232" i="527"/>
  <c r="Y8132" i="527"/>
  <c r="Y8130" i="527"/>
  <c r="Y8128" i="527"/>
  <c r="Y7387" i="527"/>
  <c r="Y7335" i="527"/>
  <c r="Y4679" i="527"/>
  <c r="Y4631" i="527"/>
  <c r="Y4579" i="527"/>
  <c r="Y4531" i="527"/>
  <c r="Y4479" i="527"/>
  <c r="Y4431" i="527"/>
  <c r="K5" i="529"/>
  <c r="K17" i="529"/>
  <c r="K10" i="529"/>
  <c r="K8" i="529"/>
  <c r="K6" i="529"/>
  <c r="K4" i="529"/>
  <c r="K20" i="529"/>
  <c r="K13" i="529"/>
  <c r="K11" i="529"/>
  <c r="J14" i="528"/>
  <c r="J12" i="528"/>
  <c r="Y9021" i="527"/>
  <c r="Y8985" i="527"/>
  <c r="Y8568" i="527"/>
  <c r="Y8468" i="527"/>
  <c r="Y8221" i="527"/>
  <c r="Y7971" i="527"/>
  <c r="Y7871" i="527"/>
  <c r="Y7532" i="527"/>
  <c r="Y7319" i="527"/>
  <c r="Y7266" i="527"/>
  <c r="Y7216" i="527"/>
  <c r="Y7117" i="527"/>
  <c r="Y7021" i="527"/>
  <c r="Y6884" i="527"/>
  <c r="Y6634" i="527"/>
  <c r="Y6434" i="527"/>
  <c r="Y6284" i="527"/>
  <c r="Y6134" i="527"/>
  <c r="Y5984" i="527"/>
  <c r="Y5734" i="527"/>
  <c r="Y5571" i="527"/>
  <c r="Y5423" i="527"/>
  <c r="Y5373" i="527"/>
  <c r="Y5121" i="527"/>
  <c r="Y5023" i="527"/>
  <c r="Y4873" i="527"/>
  <c r="Y4721" i="527"/>
  <c r="Y4620" i="527"/>
  <c r="Y4520" i="527"/>
  <c r="Y4420" i="527"/>
  <c r="Y4372" i="527"/>
  <c r="Y4221" i="527"/>
  <c r="Y4219" i="527"/>
  <c r="Y4119" i="527"/>
  <c r="J7" i="528"/>
  <c r="Y8980" i="527"/>
  <c r="Y8565" i="527"/>
  <c r="Y8520" i="527"/>
  <c r="Y8470" i="527"/>
  <c r="Y8313" i="527"/>
  <c r="Y8263" i="527"/>
  <c r="Y8119" i="527"/>
  <c r="Y8071" i="527"/>
  <c r="Y7974" i="527"/>
  <c r="Y7874" i="527"/>
  <c r="Y7724" i="527"/>
  <c r="Y7721" i="527"/>
  <c r="Y7623" i="527"/>
  <c r="Y7552" i="527"/>
  <c r="Y7475" i="527"/>
  <c r="Y7469" i="527"/>
  <c r="Y7169" i="527"/>
  <c r="Y7115" i="527"/>
  <c r="Y7071" i="527"/>
  <c r="Y6934" i="527"/>
  <c r="Y6734" i="527"/>
  <c r="Y6484" i="527"/>
  <c r="Y6384" i="527"/>
  <c r="Y6184" i="527"/>
  <c r="Y5834" i="527"/>
  <c r="Y5684" i="527"/>
  <c r="Y5573" i="527"/>
  <c r="Y5471" i="527"/>
  <c r="Y5323" i="527"/>
  <c r="Y5171" i="527"/>
  <c r="Y4973" i="527"/>
  <c r="Y4771" i="527"/>
  <c r="Y4723" i="527"/>
  <c r="Y4622" i="527"/>
  <c r="Y4522" i="527"/>
  <c r="Y4422" i="527"/>
  <c r="Y4320" i="527"/>
  <c r="Y4271" i="527"/>
  <c r="Y4269" i="527"/>
  <c r="Y4121" i="527"/>
  <c r="H4" i="531"/>
  <c r="H8" i="531"/>
  <c r="H12" i="531"/>
  <c r="H16" i="531"/>
  <c r="H20" i="531"/>
  <c r="H24" i="531"/>
  <c r="H28" i="531"/>
  <c r="H32" i="531"/>
  <c r="H36" i="531"/>
  <c r="H40" i="531"/>
  <c r="H44" i="531"/>
  <c r="H48" i="531"/>
  <c r="H52" i="531"/>
  <c r="H56" i="531"/>
  <c r="H60" i="531"/>
  <c r="H64" i="531"/>
  <c r="H68" i="531"/>
  <c r="H72" i="531"/>
  <c r="H76" i="531"/>
  <c r="H80" i="531"/>
  <c r="H84" i="531"/>
  <c r="H88" i="531"/>
  <c r="H92" i="531"/>
  <c r="H96" i="531"/>
  <c r="H100" i="531"/>
  <c r="H104" i="531"/>
  <c r="H108" i="531"/>
  <c r="Z88" i="530"/>
  <c r="H7" i="531"/>
  <c r="H11" i="531"/>
  <c r="H15" i="531"/>
  <c r="H19" i="531"/>
  <c r="H23" i="531"/>
  <c r="H27" i="531"/>
  <c r="H31" i="531"/>
  <c r="H35" i="531"/>
  <c r="H39" i="531"/>
  <c r="H43" i="531"/>
  <c r="H47" i="531"/>
  <c r="H51" i="531"/>
  <c r="H55" i="531"/>
  <c r="H59" i="531"/>
  <c r="H63" i="531"/>
  <c r="H67" i="531"/>
  <c r="H71" i="531"/>
  <c r="H75" i="531"/>
  <c r="H79" i="531"/>
  <c r="H83" i="531"/>
  <c r="H87" i="531"/>
  <c r="H91" i="531"/>
  <c r="H95" i="531"/>
  <c r="H99" i="531"/>
  <c r="H103" i="531"/>
  <c r="H107" i="531"/>
  <c r="I423" i="523"/>
  <c r="I177" i="523"/>
  <c r="F178" i="523"/>
  <c r="M178" i="523"/>
  <c r="G178" i="523" s="1"/>
  <c r="F146" i="523"/>
  <c r="K474" i="523"/>
  <c r="F16" i="522" s="1"/>
  <c r="G1864" i="525"/>
  <c r="H1864" i="525" s="1"/>
  <c r="G1851" i="525"/>
  <c r="H1851" i="525" s="1"/>
  <c r="G1838" i="525"/>
  <c r="H1838" i="525" s="1"/>
  <c r="G1825" i="525"/>
  <c r="H1825" i="525" s="1"/>
  <c r="G1752" i="525"/>
  <c r="H1752" i="525" s="1"/>
  <c r="G1683" i="525"/>
  <c r="H1683" i="525" s="1"/>
  <c r="G1740" i="525"/>
  <c r="H1740" i="525" s="1"/>
  <c r="G1694" i="525"/>
  <c r="H1694" i="525" s="1"/>
  <c r="G1728" i="525"/>
  <c r="H1728" i="525" s="1"/>
  <c r="G1705" i="525"/>
  <c r="H1705" i="525" s="1"/>
  <c r="G1671" i="525"/>
  <c r="H1671" i="525" s="1"/>
  <c r="G1716" i="525"/>
  <c r="H1716" i="525" s="1"/>
  <c r="G1539" i="525"/>
  <c r="H1539" i="525" s="1"/>
  <c r="G1387" i="525"/>
  <c r="H1387" i="525" s="1"/>
  <c r="G1560" i="525"/>
  <c r="H1560" i="525" s="1"/>
  <c r="J853" i="525"/>
  <c r="J20" i="525"/>
  <c r="F19" i="525"/>
  <c r="J52" i="525"/>
  <c r="F51" i="525"/>
  <c r="J845" i="525"/>
  <c r="F844" i="525"/>
  <c r="E815" i="525"/>
  <c r="L815" i="525"/>
  <c r="J883" i="525"/>
  <c r="F882" i="525"/>
  <c r="I477" i="523"/>
  <c r="J127" i="525"/>
  <c r="H218" i="525"/>
  <c r="F37" i="524" s="1"/>
  <c r="F217" i="525"/>
  <c r="G73" i="524"/>
  <c r="K146" i="523"/>
  <c r="G146" i="523" s="1"/>
  <c r="I160" i="523"/>
  <c r="G160" i="523" s="1"/>
  <c r="I188" i="523"/>
  <c r="I412" i="523"/>
  <c r="I416" i="523"/>
  <c r="I420" i="523"/>
  <c r="K434" i="523"/>
  <c r="J16" i="525"/>
  <c r="F15" i="525"/>
  <c r="J48" i="525"/>
  <c r="F47" i="525"/>
  <c r="J87" i="525"/>
  <c r="F86" i="525"/>
  <c r="G71" i="524"/>
  <c r="K2145" i="525"/>
  <c r="L2145" i="525" s="1"/>
  <c r="K2131" i="525"/>
  <c r="L2131" i="525" s="1"/>
  <c r="G72" i="524"/>
  <c r="K2542" i="525"/>
  <c r="L2542" i="525" s="1"/>
  <c r="K2480" i="525"/>
  <c r="L2480" i="525" s="1"/>
  <c r="K2474" i="525"/>
  <c r="L2474" i="525" s="1"/>
  <c r="K2535" i="525"/>
  <c r="L2535" i="525" s="1"/>
  <c r="K2529" i="525"/>
  <c r="L2529" i="525" s="1"/>
  <c r="K2487" i="525"/>
  <c r="L2487" i="525" s="1"/>
  <c r="K1972" i="525"/>
  <c r="L1972" i="525" s="1"/>
  <c r="K1932" i="525"/>
  <c r="L1932" i="525" s="1"/>
  <c r="K1896" i="525"/>
  <c r="L1896" i="525" s="1"/>
  <c r="K1873" i="525"/>
  <c r="L1873" i="525" s="1"/>
  <c r="K1803" i="525"/>
  <c r="L1803" i="525" s="1"/>
  <c r="K1789" i="525"/>
  <c r="L1789" i="525" s="1"/>
  <c r="K1775" i="525"/>
  <c r="L1775" i="525" s="1"/>
  <c r="K1769" i="525"/>
  <c r="L1769" i="525" s="1"/>
  <c r="K1763" i="525"/>
  <c r="L1763" i="525" s="1"/>
  <c r="K1757" i="525"/>
  <c r="L1757" i="525" s="1"/>
  <c r="K1980" i="525"/>
  <c r="L1980" i="525" s="1"/>
  <c r="K1965" i="525"/>
  <c r="L1965" i="525" s="1"/>
  <c r="K1939" i="525"/>
  <c r="L1939" i="525" s="1"/>
  <c r="K1946" i="525"/>
  <c r="L1946" i="525" s="1"/>
  <c r="K1889" i="525"/>
  <c r="L1889" i="525" s="1"/>
  <c r="K1883" i="525"/>
  <c r="L1883" i="525" s="1"/>
  <c r="K1810" i="525"/>
  <c r="L1810" i="525" s="1"/>
  <c r="K1796" i="525"/>
  <c r="L1796" i="525" s="1"/>
  <c r="K1782" i="525"/>
  <c r="L1782" i="525" s="1"/>
  <c r="K1512" i="525"/>
  <c r="L1512" i="525" s="1"/>
  <c r="K1369" i="525"/>
  <c r="L1369" i="525" s="1"/>
  <c r="K1346" i="525"/>
  <c r="L1346" i="525" s="1"/>
  <c r="K1323" i="525"/>
  <c r="L1323" i="525" s="1"/>
  <c r="K1308" i="525"/>
  <c r="L1308" i="525" s="1"/>
  <c r="K1302" i="525"/>
  <c r="L1302" i="525" s="1"/>
  <c r="K1520" i="525"/>
  <c r="L1520" i="525" s="1"/>
  <c r="K1505" i="525"/>
  <c r="L1505" i="525" s="1"/>
  <c r="K1354" i="525"/>
  <c r="L1354" i="525" s="1"/>
  <c r="K1331" i="525"/>
  <c r="L1331" i="525" s="1"/>
  <c r="K1295" i="525"/>
  <c r="L1295" i="525" s="1"/>
  <c r="K1925" i="525"/>
  <c r="L1925" i="525" s="1"/>
  <c r="K1362" i="525"/>
  <c r="L1362" i="525" s="1"/>
  <c r="K1288" i="525"/>
  <c r="L1288" i="525" s="1"/>
  <c r="K1338" i="525"/>
  <c r="L1338" i="525" s="1"/>
  <c r="K1315" i="525"/>
  <c r="L1315" i="525" s="1"/>
  <c r="K877" i="525"/>
  <c r="L877" i="525" s="1"/>
  <c r="K862" i="525"/>
  <c r="L862" i="525" s="1"/>
  <c r="K701" i="525"/>
  <c r="L701" i="525" s="1"/>
  <c r="K687" i="525"/>
  <c r="L687" i="525" s="1"/>
  <c r="K673" i="525"/>
  <c r="L673" i="525" s="1"/>
  <c r="K659" i="525"/>
  <c r="L659" i="525" s="1"/>
  <c r="K645" i="525"/>
  <c r="L645" i="525" s="1"/>
  <c r="K639" i="525"/>
  <c r="L639" i="525" s="1"/>
  <c r="K633" i="525"/>
  <c r="L633" i="525" s="1"/>
  <c r="K627" i="525"/>
  <c r="L627" i="525" s="1"/>
  <c r="K621" i="525"/>
  <c r="L621" i="525" s="1"/>
  <c r="K615" i="525"/>
  <c r="L615" i="525" s="1"/>
  <c r="K448" i="525"/>
  <c r="L448" i="525" s="1"/>
  <c r="K442" i="525"/>
  <c r="L442" i="525" s="1"/>
  <c r="K832" i="525"/>
  <c r="L832" i="525" s="1"/>
  <c r="K708" i="525"/>
  <c r="L708" i="525" s="1"/>
  <c r="K694" i="525"/>
  <c r="L694" i="525" s="1"/>
  <c r="K680" i="525"/>
  <c r="L680" i="525" s="1"/>
  <c r="K666" i="525"/>
  <c r="L666" i="525" s="1"/>
  <c r="K652" i="525"/>
  <c r="L652" i="525" s="1"/>
  <c r="K869" i="525"/>
  <c r="L869" i="525" s="1"/>
  <c r="K455" i="525"/>
  <c r="L455" i="525" s="1"/>
  <c r="J841" i="525"/>
  <c r="F840" i="525"/>
  <c r="J849" i="525"/>
  <c r="F848" i="525"/>
  <c r="F886" i="525"/>
  <c r="J867" i="525"/>
  <c r="F95" i="525"/>
  <c r="F471" i="525"/>
  <c r="E70" i="524" s="1"/>
  <c r="G70" i="524"/>
  <c r="J166" i="523" s="1"/>
  <c r="Q6" i="522"/>
  <c r="Q10" i="522"/>
  <c r="H206" i="523"/>
  <c r="I206" i="523" s="1"/>
  <c r="I481" i="523"/>
  <c r="K2446" i="525"/>
  <c r="L2446" i="525" s="1"/>
  <c r="K2406" i="525"/>
  <c r="L2406" i="525" s="1"/>
  <c r="K2349" i="525"/>
  <c r="L2349" i="525" s="1"/>
  <c r="K2682" i="525"/>
  <c r="L2682" i="525" s="1"/>
  <c r="K2673" i="525"/>
  <c r="L2673" i="525" s="1"/>
  <c r="K2664" i="525"/>
  <c r="L2664" i="525" s="1"/>
  <c r="K2655" i="525"/>
  <c r="L2655" i="525" s="1"/>
  <c r="K2646" i="525"/>
  <c r="L2646" i="525" s="1"/>
  <c r="K2637" i="525"/>
  <c r="L2637" i="525" s="1"/>
  <c r="K2628" i="525"/>
  <c r="L2628" i="525" s="1"/>
  <c r="K2619" i="525"/>
  <c r="L2619" i="525" s="1"/>
  <c r="K2603" i="525"/>
  <c r="L2603" i="525" s="1"/>
  <c r="K2587" i="525"/>
  <c r="L2587" i="525" s="1"/>
  <c r="K2436" i="525"/>
  <c r="L2436" i="525" s="1"/>
  <c r="K2396" i="525"/>
  <c r="L2396" i="525" s="1"/>
  <c r="K2358" i="525"/>
  <c r="L2358" i="525" s="1"/>
  <c r="K2313" i="525"/>
  <c r="L2313" i="525" s="1"/>
  <c r="K2466" i="525"/>
  <c r="L2466" i="525" s="1"/>
  <c r="K2426" i="525"/>
  <c r="L2426" i="525" s="1"/>
  <c r="K2386" i="525"/>
  <c r="L2386" i="525" s="1"/>
  <c r="K2367" i="525"/>
  <c r="L2367" i="525" s="1"/>
  <c r="K2331" i="525"/>
  <c r="L2331" i="525" s="1"/>
  <c r="K2293" i="525"/>
  <c r="L2293" i="525" s="1"/>
  <c r="K2611" i="525"/>
  <c r="L2611" i="525" s="1"/>
  <c r="K2595" i="525"/>
  <c r="L2595" i="525" s="1"/>
  <c r="K2456" i="525"/>
  <c r="L2456" i="525" s="1"/>
  <c r="K2416" i="525"/>
  <c r="L2416" i="525" s="1"/>
  <c r="K2376" i="525"/>
  <c r="L2376" i="525" s="1"/>
  <c r="K2340" i="525"/>
  <c r="L2340" i="525" s="1"/>
  <c r="K2273" i="525"/>
  <c r="L2273" i="525" s="1"/>
  <c r="K2253" i="525"/>
  <c r="L2253" i="525" s="1"/>
  <c r="K2175" i="525"/>
  <c r="L2175" i="525" s="1"/>
  <c r="K1934" i="525"/>
  <c r="L1934" i="525" s="1"/>
  <c r="K1875" i="525"/>
  <c r="L1875" i="525" s="1"/>
  <c r="K1724" i="525"/>
  <c r="L1724" i="525" s="1"/>
  <c r="K1701" i="525"/>
  <c r="L1701" i="525" s="1"/>
  <c r="K1667" i="525"/>
  <c r="L1667" i="525" s="1"/>
  <c r="K2233" i="525"/>
  <c r="L2233" i="525" s="1"/>
  <c r="K2194" i="525"/>
  <c r="L2194" i="525" s="1"/>
  <c r="K1941" i="525"/>
  <c r="L1941" i="525" s="1"/>
  <c r="K1712" i="525"/>
  <c r="L1712" i="525" s="1"/>
  <c r="K2213" i="525"/>
  <c r="L2213" i="525" s="1"/>
  <c r="K1948" i="525"/>
  <c r="L1948" i="525" s="1"/>
  <c r="K1860" i="525"/>
  <c r="L1860" i="525" s="1"/>
  <c r="K1847" i="525"/>
  <c r="L1847" i="525" s="1"/>
  <c r="K1834" i="525"/>
  <c r="L1834" i="525" s="1"/>
  <c r="K1821" i="525"/>
  <c r="L1821" i="525" s="1"/>
  <c r="K1748" i="525"/>
  <c r="L1748" i="525" s="1"/>
  <c r="K1679" i="525"/>
  <c r="L1679" i="525" s="1"/>
  <c r="K2156" i="525"/>
  <c r="L2156" i="525" s="1"/>
  <c r="K1927" i="525"/>
  <c r="L1927" i="525" s="1"/>
  <c r="K1736" i="525"/>
  <c r="L1736" i="525" s="1"/>
  <c r="K1690" i="525"/>
  <c r="L1690" i="525" s="1"/>
  <c r="K1556" i="525"/>
  <c r="L1556" i="525" s="1"/>
  <c r="K1535" i="525"/>
  <c r="L1535" i="525" s="1"/>
  <c r="K1383" i="525"/>
  <c r="L1383" i="525" s="1"/>
  <c r="K786" i="525"/>
  <c r="L786" i="525" s="1"/>
  <c r="K746" i="525"/>
  <c r="L746" i="525" s="1"/>
  <c r="K606" i="525"/>
  <c r="L606" i="525" s="1"/>
  <c r="K597" i="525"/>
  <c r="L597" i="525" s="1"/>
  <c r="K588" i="525"/>
  <c r="L588" i="525" s="1"/>
  <c r="K579" i="525"/>
  <c r="L579" i="525" s="1"/>
  <c r="K570" i="525"/>
  <c r="L570" i="525" s="1"/>
  <c r="K561" i="525"/>
  <c r="L561" i="525" s="1"/>
  <c r="K545" i="525"/>
  <c r="L545" i="525" s="1"/>
  <c r="K529" i="525"/>
  <c r="L529" i="525" s="1"/>
  <c r="K493" i="525"/>
  <c r="L493" i="525" s="1"/>
  <c r="K796" i="525"/>
  <c r="L796" i="525" s="1"/>
  <c r="K756" i="525"/>
  <c r="L756" i="525" s="1"/>
  <c r="K716" i="525"/>
  <c r="L716" i="525" s="1"/>
  <c r="K520" i="525"/>
  <c r="L520" i="525" s="1"/>
  <c r="K96" i="525"/>
  <c r="L96" i="525" s="1"/>
  <c r="K834" i="525"/>
  <c r="L834" i="525" s="1"/>
  <c r="K806" i="525"/>
  <c r="L806" i="525" s="1"/>
  <c r="K766" i="525"/>
  <c r="L766" i="525" s="1"/>
  <c r="K726" i="525"/>
  <c r="L726" i="525" s="1"/>
  <c r="K553" i="525"/>
  <c r="L553" i="525" s="1"/>
  <c r="K537" i="525"/>
  <c r="L537" i="525" s="1"/>
  <c r="K511" i="525"/>
  <c r="L511" i="525" s="1"/>
  <c r="K776" i="525"/>
  <c r="L776" i="525" s="1"/>
  <c r="K736" i="525"/>
  <c r="L736" i="525" s="1"/>
  <c r="K502" i="525"/>
  <c r="L502" i="525" s="1"/>
  <c r="G17" i="524"/>
  <c r="F185" i="525"/>
  <c r="K2505" i="525"/>
  <c r="L2505" i="525" s="1"/>
  <c r="K2444" i="525"/>
  <c r="L2444" i="525" s="1"/>
  <c r="K2404" i="525"/>
  <c r="L2404" i="525" s="1"/>
  <c r="K2347" i="525"/>
  <c r="L2347" i="525" s="1"/>
  <c r="K2289" i="525"/>
  <c r="L2289" i="525" s="1"/>
  <c r="K2517" i="525"/>
  <c r="L2517" i="525" s="1"/>
  <c r="K2434" i="525"/>
  <c r="L2434" i="525" s="1"/>
  <c r="K2394" i="525"/>
  <c r="L2394" i="525" s="1"/>
  <c r="K2356" i="525"/>
  <c r="L2356" i="525" s="1"/>
  <c r="K2269" i="525"/>
  <c r="L2269" i="525" s="1"/>
  <c r="K2493" i="525"/>
  <c r="L2493" i="525" s="1"/>
  <c r="K2464" i="525"/>
  <c r="L2464" i="525" s="1"/>
  <c r="K2424" i="525"/>
  <c r="L2424" i="525" s="1"/>
  <c r="K2384" i="525"/>
  <c r="L2384" i="525" s="1"/>
  <c r="K2365" i="525"/>
  <c r="L2365" i="525" s="1"/>
  <c r="K2329" i="525"/>
  <c r="L2329" i="525" s="1"/>
  <c r="K2454" i="525"/>
  <c r="L2454" i="525" s="1"/>
  <c r="K2414" i="525"/>
  <c r="L2414" i="525" s="1"/>
  <c r="K2374" i="525"/>
  <c r="L2374" i="525" s="1"/>
  <c r="K2338" i="525"/>
  <c r="L2338" i="525" s="1"/>
  <c r="K2309" i="525"/>
  <c r="L2309" i="525" s="1"/>
  <c r="K2209" i="525"/>
  <c r="L2209" i="525" s="1"/>
  <c r="K1735" i="525"/>
  <c r="L1735" i="525" s="1"/>
  <c r="K1689" i="525"/>
  <c r="L1689" i="525" s="1"/>
  <c r="K1665" i="525"/>
  <c r="L1665" i="525" s="1"/>
  <c r="K2152" i="525"/>
  <c r="L2152" i="525" s="1"/>
  <c r="K1971" i="525"/>
  <c r="L1971" i="525" s="1"/>
  <c r="K1955" i="525"/>
  <c r="L1955" i="525" s="1"/>
  <c r="K1723" i="525"/>
  <c r="L1723" i="525" s="1"/>
  <c r="K1700" i="525"/>
  <c r="L1700" i="525" s="1"/>
  <c r="K2249" i="525"/>
  <c r="L2249" i="525" s="1"/>
  <c r="K2171" i="525"/>
  <c r="L2171" i="525" s="1"/>
  <c r="K1979" i="525"/>
  <c r="L1979" i="525" s="1"/>
  <c r="K1964" i="525"/>
  <c r="L1964" i="525" s="1"/>
  <c r="K1858" i="525"/>
  <c r="L1858" i="525" s="1"/>
  <c r="K1845" i="525"/>
  <c r="L1845" i="525" s="1"/>
  <c r="K1832" i="525"/>
  <c r="L1832" i="525" s="1"/>
  <c r="K1819" i="525"/>
  <c r="L1819" i="525" s="1"/>
  <c r="K1711" i="525"/>
  <c r="L1711" i="525" s="1"/>
  <c r="K1677" i="525"/>
  <c r="L1677" i="525" s="1"/>
  <c r="K2229" i="525"/>
  <c r="L2229" i="525" s="1"/>
  <c r="K2190" i="525"/>
  <c r="L2190" i="525" s="1"/>
  <c r="K1549" i="525"/>
  <c r="L1549" i="525" s="1"/>
  <c r="K1521" i="525"/>
  <c r="L1521" i="525" s="1"/>
  <c r="K1506" i="525"/>
  <c r="L1506" i="525" s="1"/>
  <c r="K1497" i="525"/>
  <c r="L1497" i="525" s="1"/>
  <c r="K1482" i="525"/>
  <c r="L1482" i="525" s="1"/>
  <c r="K1456" i="525"/>
  <c r="L1456" i="525" s="1"/>
  <c r="K1444" i="525"/>
  <c r="L1444" i="525" s="1"/>
  <c r="K1415" i="525"/>
  <c r="L1415" i="525" s="1"/>
  <c r="K1400" i="525"/>
  <c r="L1400" i="525" s="1"/>
  <c r="K1360" i="525"/>
  <c r="L1360" i="525" s="1"/>
  <c r="K1286" i="525"/>
  <c r="L1286" i="525" s="1"/>
  <c r="K1313" i="525"/>
  <c r="L1313" i="525" s="1"/>
  <c r="K1747" i="525"/>
  <c r="L1747" i="525" s="1"/>
  <c r="K1528" i="525"/>
  <c r="L1528" i="525" s="1"/>
  <c r="K1469" i="525"/>
  <c r="L1469" i="525" s="1"/>
  <c r="K1376" i="525"/>
  <c r="L1376" i="525" s="1"/>
  <c r="K1344" i="525"/>
  <c r="L1344" i="525" s="1"/>
  <c r="K1321" i="525"/>
  <c r="L1321" i="525" s="1"/>
  <c r="K1300" i="525"/>
  <c r="L1300" i="525" s="1"/>
  <c r="K1513" i="525"/>
  <c r="L1513" i="525" s="1"/>
  <c r="K1489" i="525"/>
  <c r="L1489" i="525" s="1"/>
  <c r="K1407" i="525"/>
  <c r="L1407" i="525" s="1"/>
  <c r="K1352" i="525"/>
  <c r="L1352" i="525" s="1"/>
  <c r="K1329" i="525"/>
  <c r="L1329" i="525" s="1"/>
  <c r="K1293" i="525"/>
  <c r="L1293" i="525" s="1"/>
  <c r="K854" i="525"/>
  <c r="L854" i="525" s="1"/>
  <c r="K417" i="525"/>
  <c r="L417" i="525" s="1"/>
  <c r="K398" i="525"/>
  <c r="L398" i="525" s="1"/>
  <c r="K366" i="525"/>
  <c r="L366" i="525" s="1"/>
  <c r="K321" i="525"/>
  <c r="L321" i="525" s="1"/>
  <c r="K306" i="525"/>
  <c r="L306" i="525" s="1"/>
  <c r="K274" i="525"/>
  <c r="L274" i="525" s="1"/>
  <c r="K229" i="525"/>
  <c r="L229" i="525" s="1"/>
  <c r="K178" i="525"/>
  <c r="L178" i="525" s="1"/>
  <c r="K169" i="525"/>
  <c r="L169" i="525" s="1"/>
  <c r="K160" i="525"/>
  <c r="L160" i="525" s="1"/>
  <c r="K151" i="525"/>
  <c r="L151" i="525" s="1"/>
  <c r="K142" i="525"/>
  <c r="L142" i="525" s="1"/>
  <c r="K133" i="525"/>
  <c r="L133" i="525" s="1"/>
  <c r="K117" i="525"/>
  <c r="L117" i="525" s="1"/>
  <c r="K867" i="525"/>
  <c r="L867" i="525" s="1"/>
  <c r="K429" i="525"/>
  <c r="L429" i="525" s="1"/>
  <c r="K406" i="525"/>
  <c r="L406" i="525" s="1"/>
  <c r="K374" i="525"/>
  <c r="L374" i="525" s="1"/>
  <c r="K342" i="525"/>
  <c r="L342" i="525" s="1"/>
  <c r="K314" i="525"/>
  <c r="L314" i="525" s="1"/>
  <c r="K282" i="525"/>
  <c r="L282" i="525" s="1"/>
  <c r="K250" i="525"/>
  <c r="L250" i="525" s="1"/>
  <c r="K222" i="525"/>
  <c r="L222" i="525" s="1"/>
  <c r="K875" i="525"/>
  <c r="L875" i="525" s="1"/>
  <c r="K860" i="525"/>
  <c r="L860" i="525" s="1"/>
  <c r="K382" i="525"/>
  <c r="L382" i="525" s="1"/>
  <c r="K350" i="525"/>
  <c r="L350" i="525" s="1"/>
  <c r="K335" i="525"/>
  <c r="L335" i="525" s="1"/>
  <c r="K290" i="525"/>
  <c r="L290" i="525" s="1"/>
  <c r="K258" i="525"/>
  <c r="L258" i="525" s="1"/>
  <c r="K243" i="525"/>
  <c r="L243" i="525" s="1"/>
  <c r="K125" i="525"/>
  <c r="L125" i="525" s="1"/>
  <c r="K109" i="525"/>
  <c r="L109" i="525" s="1"/>
  <c r="K390" i="525"/>
  <c r="L390" i="525" s="1"/>
  <c r="K358" i="525"/>
  <c r="L358" i="525" s="1"/>
  <c r="K328" i="525"/>
  <c r="L328" i="525" s="1"/>
  <c r="K298" i="525"/>
  <c r="L298" i="525" s="1"/>
  <c r="K266" i="525"/>
  <c r="L266" i="525" s="1"/>
  <c r="K236" i="525"/>
  <c r="L236" i="525" s="1"/>
  <c r="G113" i="524"/>
  <c r="I90" i="525" s="1"/>
  <c r="J829" i="525"/>
  <c r="F825" i="525"/>
  <c r="K2310" i="525"/>
  <c r="L2310" i="525" s="1"/>
  <c r="K2290" i="525"/>
  <c r="L2290" i="525" s="1"/>
  <c r="K2270" i="525"/>
  <c r="L2270" i="525" s="1"/>
  <c r="K2153" i="525"/>
  <c r="L2153" i="525" s="1"/>
  <c r="K2250" i="525"/>
  <c r="L2250" i="525" s="1"/>
  <c r="K2172" i="525"/>
  <c r="L2172" i="525" s="1"/>
  <c r="K2144" i="525"/>
  <c r="L2144" i="525" s="1"/>
  <c r="K2130" i="525"/>
  <c r="L2130" i="525" s="1"/>
  <c r="K2230" i="525"/>
  <c r="L2230" i="525" s="1"/>
  <c r="K2191" i="525"/>
  <c r="L2191" i="525" s="1"/>
  <c r="K2210" i="525"/>
  <c r="L2210" i="525" s="1"/>
  <c r="K1957" i="525"/>
  <c r="L1957" i="525" s="1"/>
  <c r="K1529" i="525"/>
  <c r="L1529" i="525" s="1"/>
  <c r="K1470" i="525"/>
  <c r="L1470" i="525" s="1"/>
  <c r="K1377" i="525"/>
  <c r="L1377" i="525" s="1"/>
  <c r="K1550" i="525"/>
  <c r="L1550" i="525" s="1"/>
  <c r="K1457" i="525"/>
  <c r="L1457" i="525" s="1"/>
  <c r="K1445" i="525"/>
  <c r="L1445" i="525" s="1"/>
  <c r="J67" i="525"/>
  <c r="Z96" i="525"/>
  <c r="Z116" i="525"/>
  <c r="Z132" i="525"/>
  <c r="Z141" i="525"/>
  <c r="Z150" i="525"/>
  <c r="Z159" i="525"/>
  <c r="Z168" i="525"/>
  <c r="Z177" i="525"/>
  <c r="I222" i="525"/>
  <c r="Z222" i="525"/>
  <c r="I244" i="525"/>
  <c r="Z244" i="525"/>
  <c r="I250" i="525"/>
  <c r="Z250" i="525"/>
  <c r="I259" i="525"/>
  <c r="Z259" i="525"/>
  <c r="K275" i="525"/>
  <c r="L275" i="525" s="1"/>
  <c r="I282" i="525"/>
  <c r="Z282" i="525"/>
  <c r="I291" i="525"/>
  <c r="Z291" i="525"/>
  <c r="K307" i="525"/>
  <c r="L307" i="525" s="1"/>
  <c r="I314" i="525"/>
  <c r="Z314" i="525"/>
  <c r="K322" i="525"/>
  <c r="L322" i="525" s="1"/>
  <c r="I336" i="525"/>
  <c r="Z336" i="525"/>
  <c r="I342" i="525"/>
  <c r="Z342" i="525"/>
  <c r="I351" i="525"/>
  <c r="Z351" i="525"/>
  <c r="K367" i="525"/>
  <c r="L367" i="525" s="1"/>
  <c r="I374" i="525"/>
  <c r="Z374" i="525"/>
  <c r="I383" i="525"/>
  <c r="Z383" i="525"/>
  <c r="K399" i="525"/>
  <c r="L399" i="525" s="1"/>
  <c r="I406" i="525"/>
  <c r="Z406" i="525"/>
  <c r="K418" i="525"/>
  <c r="L418" i="525" s="1"/>
  <c r="I429" i="525"/>
  <c r="Z429" i="525"/>
  <c r="K431" i="525"/>
  <c r="L431" i="525" s="1"/>
  <c r="Z442" i="525"/>
  <c r="Z448" i="525"/>
  <c r="H487" i="525"/>
  <c r="F73" i="524" s="1"/>
  <c r="K500" i="525"/>
  <c r="L500" i="525" s="1"/>
  <c r="I518" i="525"/>
  <c r="Z518" i="525"/>
  <c r="Z520" i="525"/>
  <c r="K536" i="525"/>
  <c r="L536" i="525" s="1"/>
  <c r="I544" i="525"/>
  <c r="Z544" i="525"/>
  <c r="K552" i="525"/>
  <c r="L552" i="525" s="1"/>
  <c r="I560" i="525"/>
  <c r="Z560" i="525"/>
  <c r="I569" i="525"/>
  <c r="Z569" i="525"/>
  <c r="I578" i="525"/>
  <c r="Z578" i="525"/>
  <c r="I587" i="525"/>
  <c r="Z587" i="525"/>
  <c r="I596" i="525"/>
  <c r="Z596" i="525"/>
  <c r="I605" i="525"/>
  <c r="Z605" i="525"/>
  <c r="I614" i="525"/>
  <c r="Z614" i="525"/>
  <c r="I620" i="525"/>
  <c r="Z620" i="525"/>
  <c r="I626" i="525"/>
  <c r="Z626" i="525"/>
  <c r="I632" i="525"/>
  <c r="Z632" i="525"/>
  <c r="I638" i="525"/>
  <c r="Z638" i="525"/>
  <c r="I644" i="525"/>
  <c r="Z644" i="525"/>
  <c r="K651" i="525"/>
  <c r="L651" i="525" s="1"/>
  <c r="I658" i="525"/>
  <c r="Z658" i="525"/>
  <c r="K665" i="525"/>
  <c r="L665" i="525" s="1"/>
  <c r="I672" i="525"/>
  <c r="Z672" i="525"/>
  <c r="K679" i="525"/>
  <c r="L679" i="525" s="1"/>
  <c r="I686" i="525"/>
  <c r="Z686" i="525"/>
  <c r="K693" i="525"/>
  <c r="L693" i="525" s="1"/>
  <c r="I700" i="525"/>
  <c r="Z700" i="525"/>
  <c r="K707" i="525"/>
  <c r="L707" i="525" s="1"/>
  <c r="I714" i="525"/>
  <c r="Z714" i="525"/>
  <c r="Z716" i="525"/>
  <c r="K734" i="525"/>
  <c r="L734" i="525" s="1"/>
  <c r="I754" i="525"/>
  <c r="Z754" i="525"/>
  <c r="Z756" i="525"/>
  <c r="K774" i="525"/>
  <c r="L774" i="525" s="1"/>
  <c r="I794" i="525"/>
  <c r="Z794" i="525"/>
  <c r="Z796" i="525"/>
  <c r="Z835" i="525"/>
  <c r="Z853" i="525"/>
  <c r="Z867" i="525"/>
  <c r="J894" i="525"/>
  <c r="E894" i="525"/>
  <c r="F1038" i="525"/>
  <c r="J1634" i="525"/>
  <c r="F1633" i="525"/>
  <c r="F1645" i="525"/>
  <c r="I2493" i="525"/>
  <c r="I2464" i="525"/>
  <c r="I2424" i="525"/>
  <c r="I2384" i="525"/>
  <c r="I2365" i="525"/>
  <c r="I2329" i="525"/>
  <c r="I2454" i="525"/>
  <c r="I2414" i="525"/>
  <c r="I2374" i="525"/>
  <c r="I2338" i="525"/>
  <c r="I2309" i="525"/>
  <c r="I2505" i="525"/>
  <c r="I2444" i="525"/>
  <c r="I2404" i="525"/>
  <c r="I2347" i="525"/>
  <c r="I2289" i="525"/>
  <c r="I2517" i="525"/>
  <c r="I2434" i="525"/>
  <c r="I2394" i="525"/>
  <c r="I2356" i="525"/>
  <c r="I2269" i="525"/>
  <c r="I2249" i="525"/>
  <c r="I2171" i="525"/>
  <c r="I1979" i="525"/>
  <c r="I1964" i="525"/>
  <c r="I1858" i="525"/>
  <c r="I1845" i="525"/>
  <c r="I1832" i="525"/>
  <c r="I1819" i="525"/>
  <c r="I1711" i="525"/>
  <c r="I1677" i="525"/>
  <c r="I2229" i="525"/>
  <c r="I2190" i="525"/>
  <c r="I1747" i="525"/>
  <c r="I2209" i="525"/>
  <c r="I1735" i="525"/>
  <c r="I1689" i="525"/>
  <c r="I1665" i="525"/>
  <c r="I2152" i="525"/>
  <c r="I1971" i="525"/>
  <c r="I1955" i="525"/>
  <c r="I1528" i="525"/>
  <c r="I1469" i="525"/>
  <c r="I1376" i="525"/>
  <c r="I1344" i="525"/>
  <c r="I1321" i="525"/>
  <c r="I1300" i="525"/>
  <c r="I1513" i="525"/>
  <c r="I1489" i="525"/>
  <c r="I1407" i="525"/>
  <c r="I1352" i="525"/>
  <c r="I1329" i="525"/>
  <c r="I1293" i="525"/>
  <c r="I1700" i="525"/>
  <c r="I1549" i="525"/>
  <c r="I1521" i="525"/>
  <c r="I1506" i="525"/>
  <c r="I1497" i="525"/>
  <c r="I1482" i="525"/>
  <c r="I1456" i="525"/>
  <c r="I1444" i="525"/>
  <c r="I1415" i="525"/>
  <c r="I1400" i="525"/>
  <c r="I1360" i="525"/>
  <c r="I1286" i="525"/>
  <c r="I1723" i="525"/>
  <c r="I1313" i="525"/>
  <c r="I2516" i="525"/>
  <c r="I2433" i="525"/>
  <c r="I2393" i="525"/>
  <c r="I2355" i="525"/>
  <c r="I2609" i="525"/>
  <c r="I2593" i="525"/>
  <c r="I2463" i="525"/>
  <c r="I2423" i="525"/>
  <c r="I2383" i="525"/>
  <c r="I2364" i="525"/>
  <c r="I2328" i="525"/>
  <c r="I2453" i="525"/>
  <c r="I2413" i="525"/>
  <c r="I2373" i="525"/>
  <c r="I2337" i="525"/>
  <c r="I2308" i="525"/>
  <c r="I2680" i="525"/>
  <c r="I2671" i="525"/>
  <c r="I2662" i="525"/>
  <c r="I2653" i="525"/>
  <c r="I2644" i="525"/>
  <c r="I2635" i="525"/>
  <c r="I2626" i="525"/>
  <c r="I2617" i="525"/>
  <c r="I2601" i="525"/>
  <c r="I2585" i="525"/>
  <c r="I2504" i="525"/>
  <c r="I2494" i="525"/>
  <c r="I2443" i="525"/>
  <c r="I2403" i="525"/>
  <c r="I2346" i="525"/>
  <c r="I2288" i="525"/>
  <c r="I2151" i="525"/>
  <c r="I1954" i="525"/>
  <c r="I1805" i="525"/>
  <c r="I1791" i="525"/>
  <c r="I1777" i="525"/>
  <c r="I1771" i="525"/>
  <c r="I1765" i="525"/>
  <c r="I1759" i="525"/>
  <c r="I1722" i="525"/>
  <c r="I1699" i="525"/>
  <c r="I2268" i="525"/>
  <c r="I2248" i="525"/>
  <c r="I2170" i="525"/>
  <c r="I1857" i="525"/>
  <c r="I1844" i="525"/>
  <c r="I1831" i="525"/>
  <c r="I1818" i="525"/>
  <c r="I1710" i="525"/>
  <c r="I1676" i="525"/>
  <c r="I2228" i="525"/>
  <c r="I2189" i="525"/>
  <c r="I2068" i="525"/>
  <c r="I1812" i="525"/>
  <c r="I1798" i="525"/>
  <c r="I1784" i="525"/>
  <c r="I1746" i="525"/>
  <c r="I2208" i="525"/>
  <c r="I1408" i="525"/>
  <c r="I1664" i="525"/>
  <c r="I1527" i="525"/>
  <c r="I1468" i="525"/>
  <c r="I1416" i="525"/>
  <c r="I1401" i="525"/>
  <c r="I1375" i="525"/>
  <c r="I1734" i="525"/>
  <c r="I1688" i="525"/>
  <c r="I1488" i="525"/>
  <c r="I1548" i="525"/>
  <c r="I1496" i="525"/>
  <c r="I1481" i="525"/>
  <c r="I1455" i="525"/>
  <c r="I1443" i="525"/>
  <c r="I2088" i="525"/>
  <c r="I2083" i="525"/>
  <c r="I2078" i="525"/>
  <c r="I1656" i="525"/>
  <c r="I2093" i="525"/>
  <c r="I1639" i="525"/>
  <c r="I1647" i="525"/>
  <c r="I2506" i="525"/>
  <c r="I2496" i="525"/>
  <c r="I2518" i="525"/>
  <c r="I11" i="525"/>
  <c r="H12" i="525"/>
  <c r="F4" i="524" s="1"/>
  <c r="H149" i="523" s="1"/>
  <c r="I149" i="523" s="1"/>
  <c r="E15" i="525"/>
  <c r="E19" i="525"/>
  <c r="H24" i="525"/>
  <c r="H28" i="525"/>
  <c r="H32" i="525"/>
  <c r="H36" i="525"/>
  <c r="H40" i="525"/>
  <c r="H44" i="525"/>
  <c r="E47" i="525"/>
  <c r="E51" i="525"/>
  <c r="E65" i="525"/>
  <c r="H71" i="525"/>
  <c r="H75" i="525" s="1"/>
  <c r="E72" i="525"/>
  <c r="E95" i="525"/>
  <c r="I97" i="525"/>
  <c r="Z97" i="525"/>
  <c r="I111" i="525"/>
  <c r="Z111" i="525"/>
  <c r="I117" i="525"/>
  <c r="Z117" i="525"/>
  <c r="G119" i="525"/>
  <c r="H119" i="525" s="1"/>
  <c r="K119" i="525"/>
  <c r="L119" i="525" s="1"/>
  <c r="Z127" i="525"/>
  <c r="I133" i="525"/>
  <c r="Z133" i="525"/>
  <c r="G135" i="525"/>
  <c r="H135" i="525" s="1"/>
  <c r="K135" i="525"/>
  <c r="L135" i="525" s="1"/>
  <c r="I142" i="525"/>
  <c r="Z142" i="525"/>
  <c r="G144" i="525"/>
  <c r="H144" i="525" s="1"/>
  <c r="K144" i="525"/>
  <c r="L144" i="525" s="1"/>
  <c r="I151" i="525"/>
  <c r="Z151" i="525"/>
  <c r="G153" i="525"/>
  <c r="H153" i="525" s="1"/>
  <c r="K153" i="525"/>
  <c r="L153" i="525" s="1"/>
  <c r="I160" i="525"/>
  <c r="Z160" i="525"/>
  <c r="G162" i="525"/>
  <c r="H162" i="525" s="1"/>
  <c r="K162" i="525"/>
  <c r="L162" i="525" s="1"/>
  <c r="I169" i="525"/>
  <c r="Z169" i="525"/>
  <c r="G171" i="525"/>
  <c r="H171" i="525" s="1"/>
  <c r="K171" i="525"/>
  <c r="L171" i="525" s="1"/>
  <c r="I178" i="525"/>
  <c r="Z178" i="525"/>
  <c r="K180" i="525"/>
  <c r="L180" i="525" s="1"/>
  <c r="H186" i="525"/>
  <c r="F186" i="525" s="1"/>
  <c r="F193" i="525"/>
  <c r="H195" i="525"/>
  <c r="F195" i="525" s="1"/>
  <c r="H209" i="525"/>
  <c r="I223" i="525"/>
  <c r="Z223" i="525"/>
  <c r="I229" i="525"/>
  <c r="Z229" i="525"/>
  <c r="K237" i="525"/>
  <c r="L237" i="525" s="1"/>
  <c r="I251" i="525"/>
  <c r="Z251" i="525"/>
  <c r="K267" i="525"/>
  <c r="L267" i="525" s="1"/>
  <c r="I274" i="525"/>
  <c r="Z274" i="525"/>
  <c r="I283" i="525"/>
  <c r="Z283" i="525"/>
  <c r="K299" i="525"/>
  <c r="L299" i="525" s="1"/>
  <c r="I306" i="525"/>
  <c r="Z306" i="525"/>
  <c r="I315" i="525"/>
  <c r="Z315" i="525"/>
  <c r="I321" i="525"/>
  <c r="Z321" i="525"/>
  <c r="K329" i="525"/>
  <c r="L329" i="525" s="1"/>
  <c r="I343" i="525"/>
  <c r="Z343" i="525"/>
  <c r="K359" i="525"/>
  <c r="L359" i="525" s="1"/>
  <c r="I366" i="525"/>
  <c r="Z366" i="525"/>
  <c r="I375" i="525"/>
  <c r="Z375" i="525"/>
  <c r="K391" i="525"/>
  <c r="L391" i="525" s="1"/>
  <c r="I398" i="525"/>
  <c r="Z398" i="525"/>
  <c r="I407" i="525"/>
  <c r="Z407" i="525"/>
  <c r="K409" i="525"/>
  <c r="L409" i="525" s="1"/>
  <c r="I417" i="525"/>
  <c r="Z417" i="525"/>
  <c r="E421" i="525"/>
  <c r="I430" i="525"/>
  <c r="Z430" i="525"/>
  <c r="Z465" i="525"/>
  <c r="F470" i="525"/>
  <c r="F474" i="525"/>
  <c r="H476" i="525"/>
  <c r="F476" i="525" s="1"/>
  <c r="H480" i="525"/>
  <c r="I491" i="525"/>
  <c r="Z491" i="525"/>
  <c r="Z493" i="525"/>
  <c r="E495" i="525"/>
  <c r="K509" i="525"/>
  <c r="L509" i="525" s="1"/>
  <c r="E519" i="525"/>
  <c r="E521" i="525"/>
  <c r="I527" i="525"/>
  <c r="Z527" i="525"/>
  <c r="Z529" i="525"/>
  <c r="E531" i="525"/>
  <c r="Z545" i="525"/>
  <c r="E547" i="525"/>
  <c r="Z561" i="525"/>
  <c r="E563" i="525"/>
  <c r="Z570" i="525"/>
  <c r="E572" i="525"/>
  <c r="Z579" i="525"/>
  <c r="E581" i="525"/>
  <c r="Z588" i="525"/>
  <c r="E590" i="525"/>
  <c r="Z597" i="525"/>
  <c r="E599" i="525"/>
  <c r="Z606" i="525"/>
  <c r="E608" i="525"/>
  <c r="Z615" i="525"/>
  <c r="Z621" i="525"/>
  <c r="Z627" i="525"/>
  <c r="Z633" i="525"/>
  <c r="Z639" i="525"/>
  <c r="Z645" i="525"/>
  <c r="Z659" i="525"/>
  <c r="Z673" i="525"/>
  <c r="Z687" i="525"/>
  <c r="Z701" i="525"/>
  <c r="E715" i="525"/>
  <c r="E717" i="525"/>
  <c r="K724" i="525"/>
  <c r="L724" i="525" s="1"/>
  <c r="I744" i="525"/>
  <c r="Z744" i="525"/>
  <c r="Z746" i="525"/>
  <c r="E748" i="525"/>
  <c r="E755" i="525"/>
  <c r="E757" i="525"/>
  <c r="K764" i="525"/>
  <c r="L764" i="525" s="1"/>
  <c r="I784" i="525"/>
  <c r="Z784" i="525"/>
  <c r="Z786" i="525"/>
  <c r="E788" i="525"/>
  <c r="E795" i="525"/>
  <c r="E797" i="525"/>
  <c r="F814" i="525"/>
  <c r="H819" i="525"/>
  <c r="F819" i="525" s="1"/>
  <c r="H826" i="525"/>
  <c r="K828" i="525" s="1"/>
  <c r="I836" i="525"/>
  <c r="Z836" i="525"/>
  <c r="I854" i="525"/>
  <c r="Z854" i="525"/>
  <c r="H855" i="525"/>
  <c r="F855" i="525" s="1"/>
  <c r="Z862" i="525"/>
  <c r="Z877" i="525"/>
  <c r="E882" i="525"/>
  <c r="E886" i="525"/>
  <c r="F1053" i="525"/>
  <c r="F1063" i="525"/>
  <c r="E150" i="524" s="1"/>
  <c r="F1068" i="525"/>
  <c r="F1100" i="525"/>
  <c r="L1135" i="525"/>
  <c r="H159" i="524" s="1"/>
  <c r="L419" i="523" s="1"/>
  <c r="M419" i="523" s="1"/>
  <c r="F1132" i="525"/>
  <c r="J1151" i="525"/>
  <c r="F1164" i="525"/>
  <c r="J1175" i="525"/>
  <c r="L1183" i="525"/>
  <c r="H165" i="524" s="1"/>
  <c r="L425" i="523" s="1"/>
  <c r="M425" i="523" s="1"/>
  <c r="F1180" i="525"/>
  <c r="J1191" i="525"/>
  <c r="F1195" i="525"/>
  <c r="J1604" i="525"/>
  <c r="F1603" i="525"/>
  <c r="E1616" i="525"/>
  <c r="L1616" i="525"/>
  <c r="F1616" i="525" s="1"/>
  <c r="F1637" i="525"/>
  <c r="F1654" i="525"/>
  <c r="K1864" i="525"/>
  <c r="L1864" i="525" s="1"/>
  <c r="K1851" i="525"/>
  <c r="L1851" i="525" s="1"/>
  <c r="K1838" i="525"/>
  <c r="L1838" i="525" s="1"/>
  <c r="K1825" i="525"/>
  <c r="L1825" i="525" s="1"/>
  <c r="K1752" i="525"/>
  <c r="L1752" i="525" s="1"/>
  <c r="K1683" i="525"/>
  <c r="L1683" i="525" s="1"/>
  <c r="K1740" i="525"/>
  <c r="L1740" i="525" s="1"/>
  <c r="K1694" i="525"/>
  <c r="L1694" i="525" s="1"/>
  <c r="K1728" i="525"/>
  <c r="L1728" i="525" s="1"/>
  <c r="K1705" i="525"/>
  <c r="L1705" i="525" s="1"/>
  <c r="K1671" i="525"/>
  <c r="L1671" i="525" s="1"/>
  <c r="K1539" i="525"/>
  <c r="L1539" i="525" s="1"/>
  <c r="K1387" i="525"/>
  <c r="L1387" i="525" s="1"/>
  <c r="K1716" i="525"/>
  <c r="L1716" i="525" s="1"/>
  <c r="K1560" i="525"/>
  <c r="L1560" i="525" s="1"/>
  <c r="K2453" i="525"/>
  <c r="L2453" i="525" s="1"/>
  <c r="K2413" i="525"/>
  <c r="L2413" i="525" s="1"/>
  <c r="K2373" i="525"/>
  <c r="L2373" i="525" s="1"/>
  <c r="K2337" i="525"/>
  <c r="L2337" i="525" s="1"/>
  <c r="K2308" i="525"/>
  <c r="L2308" i="525" s="1"/>
  <c r="K2680" i="525"/>
  <c r="L2680" i="525" s="1"/>
  <c r="K2671" i="525"/>
  <c r="L2671" i="525" s="1"/>
  <c r="K2662" i="525"/>
  <c r="L2662" i="525" s="1"/>
  <c r="K2653" i="525"/>
  <c r="L2653" i="525" s="1"/>
  <c r="K2644" i="525"/>
  <c r="L2644" i="525" s="1"/>
  <c r="K2635" i="525"/>
  <c r="L2635" i="525" s="1"/>
  <c r="K2626" i="525"/>
  <c r="L2626" i="525" s="1"/>
  <c r="K2617" i="525"/>
  <c r="L2617" i="525" s="1"/>
  <c r="K2601" i="525"/>
  <c r="L2601" i="525" s="1"/>
  <c r="K2585" i="525"/>
  <c r="L2585" i="525" s="1"/>
  <c r="K2504" i="525"/>
  <c r="L2504" i="525" s="1"/>
  <c r="K2494" i="525"/>
  <c r="L2494" i="525" s="1"/>
  <c r="K2443" i="525"/>
  <c r="L2443" i="525" s="1"/>
  <c r="K2403" i="525"/>
  <c r="L2403" i="525" s="1"/>
  <c r="K2346" i="525"/>
  <c r="L2346" i="525" s="1"/>
  <c r="K2288" i="525"/>
  <c r="L2288" i="525" s="1"/>
  <c r="K2516" i="525"/>
  <c r="L2516" i="525" s="1"/>
  <c r="K2433" i="525"/>
  <c r="L2433" i="525" s="1"/>
  <c r="K2393" i="525"/>
  <c r="L2393" i="525" s="1"/>
  <c r="K2355" i="525"/>
  <c r="L2355" i="525" s="1"/>
  <c r="K2268" i="525"/>
  <c r="L2268" i="525" s="1"/>
  <c r="K2609" i="525"/>
  <c r="L2609" i="525" s="1"/>
  <c r="K2593" i="525"/>
  <c r="L2593" i="525" s="1"/>
  <c r="K2463" i="525"/>
  <c r="L2463" i="525" s="1"/>
  <c r="K2423" i="525"/>
  <c r="L2423" i="525" s="1"/>
  <c r="K2383" i="525"/>
  <c r="L2383" i="525" s="1"/>
  <c r="K2364" i="525"/>
  <c r="L2364" i="525" s="1"/>
  <c r="K2328" i="525"/>
  <c r="L2328" i="525" s="1"/>
  <c r="K2228" i="525"/>
  <c r="L2228" i="525" s="1"/>
  <c r="K2189" i="525"/>
  <c r="L2189" i="525" s="1"/>
  <c r="K2068" i="525"/>
  <c r="L2068" i="525" s="1"/>
  <c r="K1812" i="525"/>
  <c r="L1812" i="525" s="1"/>
  <c r="K1798" i="525"/>
  <c r="L1798" i="525" s="1"/>
  <c r="K1784" i="525"/>
  <c r="L1784" i="525" s="1"/>
  <c r="K1746" i="525"/>
  <c r="L1746" i="525" s="1"/>
  <c r="K2208" i="525"/>
  <c r="L2208" i="525" s="1"/>
  <c r="K1734" i="525"/>
  <c r="L1734" i="525" s="1"/>
  <c r="K1688" i="525"/>
  <c r="L1688" i="525" s="1"/>
  <c r="K1664" i="525"/>
  <c r="L1664" i="525" s="1"/>
  <c r="K2151" i="525"/>
  <c r="L2151" i="525" s="1"/>
  <c r="K1954" i="525"/>
  <c r="L1954" i="525" s="1"/>
  <c r="K1805" i="525"/>
  <c r="L1805" i="525" s="1"/>
  <c r="K1791" i="525"/>
  <c r="L1791" i="525" s="1"/>
  <c r="K1777" i="525"/>
  <c r="L1777" i="525" s="1"/>
  <c r="K1771" i="525"/>
  <c r="L1771" i="525" s="1"/>
  <c r="K1765" i="525"/>
  <c r="L1765" i="525" s="1"/>
  <c r="K1759" i="525"/>
  <c r="L1759" i="525" s="1"/>
  <c r="K1722" i="525"/>
  <c r="L1722" i="525" s="1"/>
  <c r="K1699" i="525"/>
  <c r="L1699" i="525" s="1"/>
  <c r="K2248" i="525"/>
  <c r="L2248" i="525" s="1"/>
  <c r="K2170" i="525"/>
  <c r="L2170" i="525" s="1"/>
  <c r="K1676" i="525"/>
  <c r="L1676" i="525" s="1"/>
  <c r="K1488" i="525"/>
  <c r="L1488" i="525" s="1"/>
  <c r="K1844" i="525"/>
  <c r="L1844" i="525" s="1"/>
  <c r="K1818" i="525"/>
  <c r="L1818" i="525" s="1"/>
  <c r="K1710" i="525"/>
  <c r="L1710" i="525" s="1"/>
  <c r="K1548" i="525"/>
  <c r="L1548" i="525" s="1"/>
  <c r="K1496" i="525"/>
  <c r="L1496" i="525" s="1"/>
  <c r="K1481" i="525"/>
  <c r="L1481" i="525" s="1"/>
  <c r="K1455" i="525"/>
  <c r="L1455" i="525" s="1"/>
  <c r="K1443" i="525"/>
  <c r="L1443" i="525" s="1"/>
  <c r="K1408" i="525"/>
  <c r="L1408" i="525" s="1"/>
  <c r="K1857" i="525"/>
  <c r="L1857" i="525" s="1"/>
  <c r="K1831" i="525"/>
  <c r="L1831" i="525" s="1"/>
  <c r="K1527" i="525"/>
  <c r="L1527" i="525" s="1"/>
  <c r="K1468" i="525"/>
  <c r="L1468" i="525" s="1"/>
  <c r="K1416" i="525"/>
  <c r="L1416" i="525" s="1"/>
  <c r="K1401" i="525"/>
  <c r="L1401" i="525" s="1"/>
  <c r="K1375" i="525"/>
  <c r="L1375" i="525" s="1"/>
  <c r="K288" i="524"/>
  <c r="K290" i="524"/>
  <c r="K292" i="524"/>
  <c r="K294" i="524"/>
  <c r="K296" i="524"/>
  <c r="K298" i="524"/>
  <c r="K300" i="524"/>
  <c r="K302" i="524"/>
  <c r="K304" i="524"/>
  <c r="K306" i="524"/>
  <c r="K308" i="524"/>
  <c r="K310" i="524"/>
  <c r="K312" i="524"/>
  <c r="K314" i="524"/>
  <c r="K316" i="524"/>
  <c r="K318" i="524"/>
  <c r="K320" i="524"/>
  <c r="K322" i="524"/>
  <c r="K324" i="524"/>
  <c r="K326" i="524"/>
  <c r="K328" i="524"/>
  <c r="G2310" i="525"/>
  <c r="H2310" i="525" s="1"/>
  <c r="G2290" i="525"/>
  <c r="H2290" i="525" s="1"/>
  <c r="G2153" i="525"/>
  <c r="H2153" i="525" s="1"/>
  <c r="G2270" i="525"/>
  <c r="H2270" i="525" s="1"/>
  <c r="G2250" i="525"/>
  <c r="H2250" i="525" s="1"/>
  <c r="G2172" i="525"/>
  <c r="H2172" i="525" s="1"/>
  <c r="G2144" i="525"/>
  <c r="H2144" i="525" s="1"/>
  <c r="G2130" i="525"/>
  <c r="H2130" i="525" s="1"/>
  <c r="G2230" i="525"/>
  <c r="H2230" i="525" s="1"/>
  <c r="G2191" i="525"/>
  <c r="H2191" i="525" s="1"/>
  <c r="G2210" i="525"/>
  <c r="H2210" i="525" s="1"/>
  <c r="G1957" i="525"/>
  <c r="H1957" i="525" s="1"/>
  <c r="G1529" i="525"/>
  <c r="H1529" i="525" s="1"/>
  <c r="G1470" i="525"/>
  <c r="H1470" i="525" s="1"/>
  <c r="G1377" i="525"/>
  <c r="H1377" i="525" s="1"/>
  <c r="G1550" i="525"/>
  <c r="H1550" i="525" s="1"/>
  <c r="G1457" i="525"/>
  <c r="H1457" i="525" s="1"/>
  <c r="G1445" i="525"/>
  <c r="H1445" i="525" s="1"/>
  <c r="K330" i="524"/>
  <c r="K2518" i="525"/>
  <c r="L2518" i="525" s="1"/>
  <c r="K2506" i="525"/>
  <c r="L2506" i="525" s="1"/>
  <c r="K2496" i="525"/>
  <c r="L2496" i="525" s="1"/>
  <c r="K332" i="524"/>
  <c r="K334" i="524"/>
  <c r="K336" i="524"/>
  <c r="K338" i="524"/>
  <c r="K340" i="524"/>
  <c r="K342" i="524"/>
  <c r="H79" i="525"/>
  <c r="F18" i="524" s="1"/>
  <c r="H163" i="523" s="1"/>
  <c r="H83" i="525"/>
  <c r="F19" i="524" s="1"/>
  <c r="H164" i="523" s="1"/>
  <c r="E86" i="525"/>
  <c r="Z90" i="525"/>
  <c r="E98" i="525"/>
  <c r="I108" i="525"/>
  <c r="Z108" i="525"/>
  <c r="K116" i="525"/>
  <c r="L116" i="525" s="1"/>
  <c r="I124" i="525"/>
  <c r="Z124" i="525"/>
  <c r="K132" i="525"/>
  <c r="L132" i="525" s="1"/>
  <c r="K141" i="525"/>
  <c r="L141" i="525" s="1"/>
  <c r="K150" i="525"/>
  <c r="L150" i="525" s="1"/>
  <c r="K159" i="525"/>
  <c r="L159" i="525" s="1"/>
  <c r="K168" i="525"/>
  <c r="L168" i="525" s="1"/>
  <c r="K177" i="525"/>
  <c r="L177" i="525" s="1"/>
  <c r="F201" i="525"/>
  <c r="I230" i="525"/>
  <c r="Z230" i="525"/>
  <c r="I236" i="525"/>
  <c r="Z236" i="525"/>
  <c r="K244" i="525"/>
  <c r="L244" i="525" s="1"/>
  <c r="K259" i="525"/>
  <c r="L259" i="525" s="1"/>
  <c r="I266" i="525"/>
  <c r="Z266" i="525"/>
  <c r="I275" i="525"/>
  <c r="Z275" i="525"/>
  <c r="K291" i="525"/>
  <c r="L291" i="525" s="1"/>
  <c r="I298" i="525"/>
  <c r="Z298" i="525"/>
  <c r="I307" i="525"/>
  <c r="Z307" i="525"/>
  <c r="I322" i="525"/>
  <c r="Z322" i="525"/>
  <c r="I328" i="525"/>
  <c r="Z328" i="525"/>
  <c r="K336" i="525"/>
  <c r="L336" i="525" s="1"/>
  <c r="K351" i="525"/>
  <c r="L351" i="525" s="1"/>
  <c r="I358" i="525"/>
  <c r="Z358" i="525"/>
  <c r="I367" i="525"/>
  <c r="Z367" i="525"/>
  <c r="K383" i="525"/>
  <c r="L383" i="525" s="1"/>
  <c r="I390" i="525"/>
  <c r="Z390" i="525"/>
  <c r="I399" i="525"/>
  <c r="Z399" i="525"/>
  <c r="I418" i="525"/>
  <c r="Z418" i="525"/>
  <c r="I431" i="525"/>
  <c r="Z431" i="525"/>
  <c r="Z455" i="525"/>
  <c r="Z460" i="525"/>
  <c r="Z466" i="525"/>
  <c r="E492" i="525"/>
  <c r="E494" i="525"/>
  <c r="I500" i="525"/>
  <c r="Z500" i="525"/>
  <c r="Z502" i="525"/>
  <c r="K518" i="525"/>
  <c r="L518" i="525" s="1"/>
  <c r="E528" i="525"/>
  <c r="E530" i="525"/>
  <c r="I536" i="525"/>
  <c r="Z536" i="525"/>
  <c r="K544" i="525"/>
  <c r="L544" i="525" s="1"/>
  <c r="I552" i="525"/>
  <c r="Z552" i="525"/>
  <c r="K560" i="525"/>
  <c r="L560" i="525" s="1"/>
  <c r="K569" i="525"/>
  <c r="L569" i="525" s="1"/>
  <c r="K578" i="525"/>
  <c r="L578" i="525" s="1"/>
  <c r="K587" i="525"/>
  <c r="L587" i="525" s="1"/>
  <c r="K596" i="525"/>
  <c r="L596" i="525" s="1"/>
  <c r="K605" i="525"/>
  <c r="L605" i="525" s="1"/>
  <c r="K614" i="525"/>
  <c r="L614" i="525" s="1"/>
  <c r="K620" i="525"/>
  <c r="L620" i="525" s="1"/>
  <c r="K626" i="525"/>
  <c r="L626" i="525" s="1"/>
  <c r="K632" i="525"/>
  <c r="L632" i="525" s="1"/>
  <c r="K638" i="525"/>
  <c r="L638" i="525" s="1"/>
  <c r="K644" i="525"/>
  <c r="L644" i="525" s="1"/>
  <c r="I651" i="525"/>
  <c r="Z651" i="525"/>
  <c r="K658" i="525"/>
  <c r="L658" i="525" s="1"/>
  <c r="I665" i="525"/>
  <c r="Z665" i="525"/>
  <c r="K672" i="525"/>
  <c r="L672" i="525" s="1"/>
  <c r="I679" i="525"/>
  <c r="Z679" i="525"/>
  <c r="K686" i="525"/>
  <c r="L686" i="525" s="1"/>
  <c r="I693" i="525"/>
  <c r="Z693" i="525"/>
  <c r="K700" i="525"/>
  <c r="L700" i="525" s="1"/>
  <c r="I707" i="525"/>
  <c r="Z707" i="525"/>
  <c r="K714" i="525"/>
  <c r="L714" i="525" s="1"/>
  <c r="I734" i="525"/>
  <c r="Z734" i="525"/>
  <c r="Z736" i="525"/>
  <c r="K754" i="525"/>
  <c r="L754" i="525" s="1"/>
  <c r="I774" i="525"/>
  <c r="Z774" i="525"/>
  <c r="Z776" i="525"/>
  <c r="K794" i="525"/>
  <c r="L794" i="525" s="1"/>
  <c r="F813" i="525"/>
  <c r="H816" i="525"/>
  <c r="F113" i="524" s="1"/>
  <c r="G90" i="525" s="1"/>
  <c r="H90" i="525" s="1"/>
  <c r="K853" i="525"/>
  <c r="L853" i="525" s="1"/>
  <c r="J1095" i="525"/>
  <c r="J1127" i="525"/>
  <c r="L1191" i="525"/>
  <c r="H166" i="524" s="1"/>
  <c r="L426" i="523" s="1"/>
  <c r="M426" i="523" s="1"/>
  <c r="F1188" i="525"/>
  <c r="J1219" i="525"/>
  <c r="F1218" i="525"/>
  <c r="J1225" i="525"/>
  <c r="F1225" i="525" s="1"/>
  <c r="E1225" i="525"/>
  <c r="Z2535" i="525"/>
  <c r="Z2529" i="525"/>
  <c r="Z2516" i="525"/>
  <c r="Z2493" i="525"/>
  <c r="Z2466" i="525"/>
  <c r="Z2464" i="525"/>
  <c r="Z2433" i="525"/>
  <c r="Z2426" i="525"/>
  <c r="Z2424" i="525"/>
  <c r="Z2393" i="525"/>
  <c r="Z2386" i="525"/>
  <c r="Z2384" i="525"/>
  <c r="Z2367" i="525"/>
  <c r="Z2365" i="525"/>
  <c r="Z2355" i="525"/>
  <c r="Z2331" i="525"/>
  <c r="Z2329" i="525"/>
  <c r="Z2310" i="525"/>
  <c r="Z2293" i="525"/>
  <c r="Z2611" i="525"/>
  <c r="Z2609" i="525"/>
  <c r="Z2595" i="525"/>
  <c r="Z2593" i="525"/>
  <c r="Z2548" i="525"/>
  <c r="Z2506" i="525"/>
  <c r="Z2496" i="525"/>
  <c r="Z2487" i="525"/>
  <c r="Z2463" i="525"/>
  <c r="Z2456" i="525"/>
  <c r="Z2454" i="525"/>
  <c r="Z2423" i="525"/>
  <c r="Z2416" i="525"/>
  <c r="Z2414" i="525"/>
  <c r="Z2383" i="525"/>
  <c r="Z2376" i="525"/>
  <c r="Z2374" i="525"/>
  <c r="Z2364" i="525"/>
  <c r="Z2340" i="525"/>
  <c r="Z2338" i="525"/>
  <c r="Z2328" i="525"/>
  <c r="Z2309" i="525"/>
  <c r="Z2290" i="525"/>
  <c r="Z2273" i="525"/>
  <c r="Z2553" i="525"/>
  <c r="Z2547" i="525"/>
  <c r="Z2542" i="525"/>
  <c r="Z2518" i="525"/>
  <c r="Z2505" i="525"/>
  <c r="Z2453" i="525"/>
  <c r="Z2446" i="525"/>
  <c r="Z2444" i="525"/>
  <c r="Z2413" i="525"/>
  <c r="Z2406" i="525"/>
  <c r="Z2404" i="525"/>
  <c r="Z2373" i="525"/>
  <c r="Z2349" i="525"/>
  <c r="Z2347" i="525"/>
  <c r="Z2337" i="525"/>
  <c r="Z2316" i="525"/>
  <c r="Z2314" i="525"/>
  <c r="Z2308" i="525"/>
  <c r="Z2289" i="525"/>
  <c r="Z2270" i="525"/>
  <c r="Z2682" i="525"/>
  <c r="Z2680" i="525"/>
  <c r="Z2673" i="525"/>
  <c r="Z2671" i="525"/>
  <c r="Z2664" i="525"/>
  <c r="Z2662" i="525"/>
  <c r="Z2655" i="525"/>
  <c r="Z2653" i="525"/>
  <c r="Z2646" i="525"/>
  <c r="Z2644" i="525"/>
  <c r="Z2637" i="525"/>
  <c r="Z2635" i="525"/>
  <c r="Z2628" i="525"/>
  <c r="Z2626" i="525"/>
  <c r="Z2619" i="525"/>
  <c r="Z2617" i="525"/>
  <c r="Z2603" i="525"/>
  <c r="Z2601" i="525"/>
  <c r="Z2587" i="525"/>
  <c r="Z2585" i="525"/>
  <c r="Z2552" i="525"/>
  <c r="Z2517" i="525"/>
  <c r="Z2504" i="525"/>
  <c r="Z2494" i="525"/>
  <c r="Z2480" i="525"/>
  <c r="Z2474" i="525"/>
  <c r="Z2443" i="525"/>
  <c r="Z2436" i="525"/>
  <c r="Z2434" i="525"/>
  <c r="Z2403" i="525"/>
  <c r="Z2396" i="525"/>
  <c r="Z2394" i="525"/>
  <c r="Z2358" i="525"/>
  <c r="Z2356" i="525"/>
  <c r="Z2346" i="525"/>
  <c r="Z2313" i="525"/>
  <c r="Z2296" i="525"/>
  <c r="Z2294" i="525"/>
  <c r="Z2288" i="525"/>
  <c r="Z2269" i="525"/>
  <c r="Z2268" i="525"/>
  <c r="Z2249" i="525"/>
  <c r="Z2230" i="525"/>
  <c r="Z2213" i="525"/>
  <c r="Z2191" i="525"/>
  <c r="Z2171" i="525"/>
  <c r="Z2159" i="525"/>
  <c r="Z2157" i="525"/>
  <c r="Z2151" i="525"/>
  <c r="Z2127" i="525"/>
  <c r="Z2117" i="525"/>
  <c r="Z2109" i="525"/>
  <c r="Z2098" i="525"/>
  <c r="Z2088" i="525"/>
  <c r="Z1979" i="525"/>
  <c r="Z1964" i="525"/>
  <c r="Z1954" i="525"/>
  <c r="Z1948" i="525"/>
  <c r="Z1946" i="525"/>
  <c r="Z1928" i="525"/>
  <c r="Z1889" i="525"/>
  <c r="Z1883" i="525"/>
  <c r="Z1877" i="525"/>
  <c r="Z1860" i="525"/>
  <c r="Z1858" i="525"/>
  <c r="Z1847" i="525"/>
  <c r="Z1845" i="525"/>
  <c r="Z1834" i="525"/>
  <c r="Z1832" i="525"/>
  <c r="Z1821" i="525"/>
  <c r="Z1819" i="525"/>
  <c r="Z1810" i="525"/>
  <c r="Z1805" i="525"/>
  <c r="Z1796" i="525"/>
  <c r="Z1791" i="525"/>
  <c r="Z1782" i="525"/>
  <c r="Z1777" i="525"/>
  <c r="Z1771" i="525"/>
  <c r="Z1765" i="525"/>
  <c r="Z1759" i="525"/>
  <c r="Z1748" i="525"/>
  <c r="Z1728" i="525"/>
  <c r="Z1722" i="525"/>
  <c r="Z1711" i="525"/>
  <c r="Z1705" i="525"/>
  <c r="Z1699" i="525"/>
  <c r="Z1679" i="525"/>
  <c r="Z1677" i="525"/>
  <c r="Z1671" i="525"/>
  <c r="Z1658" i="525"/>
  <c r="Z2256" i="525"/>
  <c r="Z2254" i="525"/>
  <c r="Z2248" i="525"/>
  <c r="Z2229" i="525"/>
  <c r="Z2210" i="525"/>
  <c r="Z2190" i="525"/>
  <c r="Z2178" i="525"/>
  <c r="Z2176" i="525"/>
  <c r="Z2170" i="525"/>
  <c r="Z2156" i="525"/>
  <c r="Z2120" i="525"/>
  <c r="Z2097" i="525"/>
  <c r="Z2083" i="525"/>
  <c r="Z1957" i="525"/>
  <c r="Z1935" i="525"/>
  <c r="Z1927" i="525"/>
  <c r="Z1925" i="525"/>
  <c r="Z1876" i="525"/>
  <c r="Z1857" i="525"/>
  <c r="Z1844" i="525"/>
  <c r="Z1831" i="525"/>
  <c r="Z1818" i="525"/>
  <c r="Z1747" i="525"/>
  <c r="Z1736" i="525"/>
  <c r="Z1716" i="525"/>
  <c r="Z1710" i="525"/>
  <c r="Z1690" i="525"/>
  <c r="Z1676" i="525"/>
  <c r="Z2274" i="525"/>
  <c r="Z2253" i="525"/>
  <c r="Z2236" i="525"/>
  <c r="Z2234" i="525"/>
  <c r="Z2228" i="525"/>
  <c r="Z2209" i="525"/>
  <c r="Z2197" i="525"/>
  <c r="Z2195" i="525"/>
  <c r="Z2189" i="525"/>
  <c r="Z2175" i="525"/>
  <c r="Z2153" i="525"/>
  <c r="Z2145" i="525"/>
  <c r="Z2137" i="525"/>
  <c r="Z2131" i="525"/>
  <c r="Z2078" i="525"/>
  <c r="Z2068" i="525"/>
  <c r="Z1972" i="525"/>
  <c r="Z1942" i="525"/>
  <c r="Z1934" i="525"/>
  <c r="Z1932" i="525"/>
  <c r="Z1896" i="525"/>
  <c r="Z1875" i="525"/>
  <c r="Z1873" i="525"/>
  <c r="Z1864" i="525"/>
  <c r="Z1851" i="525"/>
  <c r="Z1838" i="525"/>
  <c r="Z1825" i="525"/>
  <c r="Z1812" i="525"/>
  <c r="Z1803" i="525"/>
  <c r="Z1798" i="525"/>
  <c r="Z1789" i="525"/>
  <c r="Z1784" i="525"/>
  <c r="Z1775" i="525"/>
  <c r="Z1769" i="525"/>
  <c r="Z1763" i="525"/>
  <c r="Z1757" i="525"/>
  <c r="Z1752" i="525"/>
  <c r="Z1746" i="525"/>
  <c r="Z1735" i="525"/>
  <c r="Z1724" i="525"/>
  <c r="Z1701" i="525"/>
  <c r="Z1689" i="525"/>
  <c r="Z1683" i="525"/>
  <c r="Z1667" i="525"/>
  <c r="Z1665" i="525"/>
  <c r="Z1656" i="525"/>
  <c r="Z2276" i="525"/>
  <c r="Z2250" i="525"/>
  <c r="Z2233" i="525"/>
  <c r="Z2216" i="525"/>
  <c r="Z2214" i="525"/>
  <c r="Z2208" i="525"/>
  <c r="Z2194" i="525"/>
  <c r="Z2172" i="525"/>
  <c r="Z2152" i="525"/>
  <c r="Z2144" i="525"/>
  <c r="Z2140" i="525"/>
  <c r="Z2130" i="525"/>
  <c r="Z2099" i="525"/>
  <c r="Z2093" i="525"/>
  <c r="Z1980" i="525"/>
  <c r="Z1971" i="525"/>
  <c r="Z1965" i="525"/>
  <c r="Z1955" i="525"/>
  <c r="Z1949" i="525"/>
  <c r="Z1941" i="525"/>
  <c r="Z1939" i="525"/>
  <c r="Z1712" i="525"/>
  <c r="Z1664" i="525"/>
  <c r="Z1640" i="525"/>
  <c r="Z1553" i="525"/>
  <c r="Z1528" i="525"/>
  <c r="Z1469" i="525"/>
  <c r="Z1408" i="525"/>
  <c r="Z1376" i="525"/>
  <c r="Z1362" i="525"/>
  <c r="Z1344" i="525"/>
  <c r="Z1321" i="525"/>
  <c r="Z1300" i="525"/>
  <c r="Z1288" i="525"/>
  <c r="Z1734" i="525"/>
  <c r="Z1700" i="525"/>
  <c r="Z1688" i="525"/>
  <c r="Z1649" i="525"/>
  <c r="Z1639" i="525"/>
  <c r="Z1560" i="525"/>
  <c r="Z1550" i="525"/>
  <c r="Z1535" i="525"/>
  <c r="Z1533" i="525"/>
  <c r="Z1527" i="525"/>
  <c r="Z1513" i="525"/>
  <c r="Z1489" i="525"/>
  <c r="Z1468" i="525"/>
  <c r="Z1457" i="525"/>
  <c r="Z1445" i="525"/>
  <c r="Z1416" i="525"/>
  <c r="Z1407" i="525"/>
  <c r="Z1401" i="525"/>
  <c r="Z1395" i="525"/>
  <c r="Z1383" i="525"/>
  <c r="Z1381" i="525"/>
  <c r="Z1375" i="525"/>
  <c r="Z1352" i="525"/>
  <c r="Z1338" i="525"/>
  <c r="Z1329" i="525"/>
  <c r="Z1315" i="525"/>
  <c r="Z1293" i="525"/>
  <c r="Z1723" i="525"/>
  <c r="Z1648" i="525"/>
  <c r="Z1549" i="525"/>
  <c r="Z1532" i="525"/>
  <c r="Z1521" i="525"/>
  <c r="Z1512" i="525"/>
  <c r="Z1506" i="525"/>
  <c r="Z1497" i="525"/>
  <c r="Z1488" i="525"/>
  <c r="Z1482" i="525"/>
  <c r="Z1456" i="525"/>
  <c r="Z1444" i="525"/>
  <c r="Z1415" i="525"/>
  <c r="Z1400" i="525"/>
  <c r="Z1380" i="525"/>
  <c r="Z1369" i="525"/>
  <c r="Z1360" i="525"/>
  <c r="Z1346" i="525"/>
  <c r="Z1323" i="525"/>
  <c r="Z1308" i="525"/>
  <c r="Z1302" i="525"/>
  <c r="Z1286" i="525"/>
  <c r="Z1740" i="525"/>
  <c r="Z1694" i="525"/>
  <c r="Z1657" i="525"/>
  <c r="Z1647" i="525"/>
  <c r="Z1641" i="525"/>
  <c r="Z1556" i="525"/>
  <c r="Z1554" i="525"/>
  <c r="Z1548" i="525"/>
  <c r="Z1539" i="525"/>
  <c r="Z1529" i="525"/>
  <c r="Z1520" i="525"/>
  <c r="Z1505" i="525"/>
  <c r="Z1496" i="525"/>
  <c r="Z1481" i="525"/>
  <c r="Z1470" i="525"/>
  <c r="Z1455" i="525"/>
  <c r="Z1443" i="525"/>
  <c r="Z1387" i="525"/>
  <c r="Z1377" i="525"/>
  <c r="Z1354" i="525"/>
  <c r="Z1331" i="525"/>
  <c r="Z1313" i="525"/>
  <c r="Z1295" i="525"/>
  <c r="I2548" i="525"/>
  <c r="I2553" i="525"/>
  <c r="I2314" i="525"/>
  <c r="I2294" i="525"/>
  <c r="I2157" i="525"/>
  <c r="I1928" i="525"/>
  <c r="I1877" i="525"/>
  <c r="I2254" i="525"/>
  <c r="I2176" i="525"/>
  <c r="I1935" i="525"/>
  <c r="I2234" i="525"/>
  <c r="I2195" i="525"/>
  <c r="I1942" i="525"/>
  <c r="I2274" i="525"/>
  <c r="I2214" i="525"/>
  <c r="I1949" i="525"/>
  <c r="I1395" i="525"/>
  <c r="I2097" i="525"/>
  <c r="I1553" i="525"/>
  <c r="I1532" i="525"/>
  <c r="I1380" i="525"/>
  <c r="I1640" i="525"/>
  <c r="I1657" i="525"/>
  <c r="I1648" i="525"/>
  <c r="I2310" i="525"/>
  <c r="I2290" i="525"/>
  <c r="I2270" i="525"/>
  <c r="I2230" i="525"/>
  <c r="I2191" i="525"/>
  <c r="I2210" i="525"/>
  <c r="I1957" i="525"/>
  <c r="I2153" i="525"/>
  <c r="I2250" i="525"/>
  <c r="I2172" i="525"/>
  <c r="I2144" i="525"/>
  <c r="I2130" i="525"/>
  <c r="I1550" i="525"/>
  <c r="I1457" i="525"/>
  <c r="I1445" i="525"/>
  <c r="I1529" i="525"/>
  <c r="I1470" i="525"/>
  <c r="I1377" i="525"/>
  <c r="Z91" i="525"/>
  <c r="I103" i="525"/>
  <c r="Z103" i="525"/>
  <c r="I109" i="525"/>
  <c r="Z109" i="525"/>
  <c r="G111" i="525"/>
  <c r="H111" i="525" s="1"/>
  <c r="K111" i="525"/>
  <c r="L111" i="525" s="1"/>
  <c r="I119" i="525"/>
  <c r="Z119" i="525"/>
  <c r="I125" i="525"/>
  <c r="Z125" i="525"/>
  <c r="G127" i="525"/>
  <c r="H127" i="525" s="1"/>
  <c r="K127" i="525"/>
  <c r="L127" i="525" s="1"/>
  <c r="I135" i="525"/>
  <c r="Z135" i="525"/>
  <c r="I144" i="525"/>
  <c r="Z144" i="525"/>
  <c r="I153" i="525"/>
  <c r="Z153" i="525"/>
  <c r="I162" i="525"/>
  <c r="Z162" i="525"/>
  <c r="I171" i="525"/>
  <c r="Z171" i="525"/>
  <c r="I180" i="525"/>
  <c r="Z180" i="525"/>
  <c r="K223" i="525"/>
  <c r="L223" i="525" s="1"/>
  <c r="I237" i="525"/>
  <c r="Z237" i="525"/>
  <c r="I243" i="525"/>
  <c r="Z243" i="525"/>
  <c r="K251" i="525"/>
  <c r="L251" i="525" s="1"/>
  <c r="I258" i="525"/>
  <c r="Z258" i="525"/>
  <c r="I267" i="525"/>
  <c r="Z267" i="525"/>
  <c r="K283" i="525"/>
  <c r="L283" i="525" s="1"/>
  <c r="I290" i="525"/>
  <c r="Z290" i="525"/>
  <c r="I299" i="525"/>
  <c r="Z299" i="525"/>
  <c r="K315" i="525"/>
  <c r="L315" i="525" s="1"/>
  <c r="I329" i="525"/>
  <c r="Z329" i="525"/>
  <c r="I335" i="525"/>
  <c r="Z335" i="525"/>
  <c r="K343" i="525"/>
  <c r="L343" i="525" s="1"/>
  <c r="I350" i="525"/>
  <c r="Z350" i="525"/>
  <c r="I359" i="525"/>
  <c r="Z359" i="525"/>
  <c r="K375" i="525"/>
  <c r="L375" i="525" s="1"/>
  <c r="I382" i="525"/>
  <c r="Z382" i="525"/>
  <c r="I391" i="525"/>
  <c r="Z391" i="525"/>
  <c r="K407" i="525"/>
  <c r="L407" i="525" s="1"/>
  <c r="I409" i="525"/>
  <c r="Z409" i="525"/>
  <c r="E411" i="525"/>
  <c r="I419" i="525"/>
  <c r="Z419" i="525"/>
  <c r="K430" i="525"/>
  <c r="L430" i="525" s="1"/>
  <c r="E434" i="525"/>
  <c r="I461" i="525"/>
  <c r="Z461" i="525"/>
  <c r="K491" i="525"/>
  <c r="L491" i="525" s="1"/>
  <c r="I509" i="525"/>
  <c r="Z509" i="525"/>
  <c r="Z511" i="525"/>
  <c r="K527" i="525"/>
  <c r="L527" i="525" s="1"/>
  <c r="Z537" i="525"/>
  <c r="Z553" i="525"/>
  <c r="Z652" i="525"/>
  <c r="Z666" i="525"/>
  <c r="Z680" i="525"/>
  <c r="Z694" i="525"/>
  <c r="Z708" i="525"/>
  <c r="I724" i="525"/>
  <c r="Z724" i="525"/>
  <c r="Z726" i="525"/>
  <c r="E728" i="525"/>
  <c r="E735" i="525"/>
  <c r="E737" i="525"/>
  <c r="K744" i="525"/>
  <c r="L744" i="525" s="1"/>
  <c r="I764" i="525"/>
  <c r="Z764" i="525"/>
  <c r="Z766" i="525"/>
  <c r="E768" i="525"/>
  <c r="E775" i="525"/>
  <c r="E777" i="525"/>
  <c r="K784" i="525"/>
  <c r="L784" i="525" s="1"/>
  <c r="I804" i="525"/>
  <c r="Z804" i="525"/>
  <c r="Z806" i="525"/>
  <c r="E808" i="525"/>
  <c r="E825" i="525"/>
  <c r="Z832" i="525"/>
  <c r="Z834" i="525"/>
  <c r="E840" i="525"/>
  <c r="E844" i="525"/>
  <c r="E848" i="525"/>
  <c r="I860" i="525"/>
  <c r="Z860" i="525"/>
  <c r="I875" i="525"/>
  <c r="Z875" i="525"/>
  <c r="F1043" i="525"/>
  <c r="F1059" i="525"/>
  <c r="E149" i="524" s="1"/>
  <c r="F1071" i="525"/>
  <c r="E151" i="524" s="1"/>
  <c r="F1084" i="525"/>
  <c r="F1116" i="525"/>
  <c r="J1159" i="525"/>
  <c r="L1167" i="525"/>
  <c r="H163" i="524" s="1"/>
  <c r="L423" i="523" s="1"/>
  <c r="M423" i="523" s="1"/>
  <c r="G423" i="523" s="1"/>
  <c r="H1199" i="525"/>
  <c r="F167" i="524" s="1"/>
  <c r="H427" i="523" s="1"/>
  <c r="F1598" i="525"/>
  <c r="J1608" i="525"/>
  <c r="F1607" i="525"/>
  <c r="L1617" i="525"/>
  <c r="H223" i="524" s="1"/>
  <c r="J1630" i="525"/>
  <c r="F1629" i="525"/>
  <c r="E1037" i="525"/>
  <c r="E1058" i="525"/>
  <c r="E1062" i="525"/>
  <c r="E1066" i="525"/>
  <c r="E1074" i="525"/>
  <c r="E1082" i="525"/>
  <c r="E1090" i="525"/>
  <c r="E1098" i="525"/>
  <c r="E1106" i="525"/>
  <c r="E1114" i="525"/>
  <c r="E1122" i="525"/>
  <c r="E1130" i="525"/>
  <c r="E1138" i="525"/>
  <c r="E1146" i="525"/>
  <c r="E1154" i="525"/>
  <c r="E1198" i="525"/>
  <c r="E1206" i="525"/>
  <c r="H1207" i="525"/>
  <c r="F168" i="524" s="1"/>
  <c r="H428" i="523" s="1"/>
  <c r="E1214" i="525"/>
  <c r="H1215" i="525"/>
  <c r="F169" i="524" s="1"/>
  <c r="H410" i="523" s="1"/>
  <c r="E1218" i="525"/>
  <c r="E1224" i="525"/>
  <c r="E1235" i="525"/>
  <c r="E1257" i="525"/>
  <c r="E1281" i="525"/>
  <c r="F1422" i="525"/>
  <c r="F1428" i="525"/>
  <c r="E1447" i="525"/>
  <c r="E1449" i="525"/>
  <c r="E1459" i="525"/>
  <c r="E1461" i="525"/>
  <c r="E1552" i="525"/>
  <c r="E1558" i="525"/>
  <c r="E1603" i="525"/>
  <c r="E1607" i="525"/>
  <c r="F1612" i="525"/>
  <c r="E1615" i="525"/>
  <c r="H1621" i="525"/>
  <c r="F1621" i="525" s="1"/>
  <c r="E1622" i="525"/>
  <c r="E1629" i="525"/>
  <c r="E1633" i="525"/>
  <c r="E1637" i="525"/>
  <c r="F1682" i="525"/>
  <c r="F1702" i="525"/>
  <c r="J1703" i="525"/>
  <c r="F1703" i="525" s="1"/>
  <c r="E1703" i="525"/>
  <c r="L1914" i="525"/>
  <c r="H257" i="524" s="1"/>
  <c r="L205" i="523" s="1"/>
  <c r="M205" i="523" s="1"/>
  <c r="J1912" i="525"/>
  <c r="F1912" i="525" s="1"/>
  <c r="E1912" i="525"/>
  <c r="E1918" i="525"/>
  <c r="H1918" i="525"/>
  <c r="H1922" i="525" s="1"/>
  <c r="F258" i="524" s="1"/>
  <c r="F2074" i="525"/>
  <c r="E282" i="524" s="1"/>
  <c r="E904" i="525"/>
  <c r="E912" i="525"/>
  <c r="E932" i="525"/>
  <c r="E940" i="525"/>
  <c r="E960" i="525"/>
  <c r="E968" i="525"/>
  <c r="E983" i="525"/>
  <c r="E990" i="525"/>
  <c r="E1015" i="525"/>
  <c r="E1022" i="525"/>
  <c r="I1039" i="525"/>
  <c r="E1043" i="525"/>
  <c r="F1058" i="525"/>
  <c r="F1062" i="525"/>
  <c r="F1066" i="525"/>
  <c r="E1069" i="525"/>
  <c r="F1074" i="525"/>
  <c r="E1077" i="525"/>
  <c r="F1082" i="525"/>
  <c r="E1085" i="525"/>
  <c r="F1090" i="525"/>
  <c r="E1093" i="525"/>
  <c r="F1098" i="525"/>
  <c r="E1101" i="525"/>
  <c r="F1106" i="525"/>
  <c r="E1109" i="525"/>
  <c r="F1114" i="525"/>
  <c r="E1117" i="525"/>
  <c r="F1122" i="525"/>
  <c r="E1125" i="525"/>
  <c r="F1130" i="525"/>
  <c r="E1133" i="525"/>
  <c r="F1138" i="525"/>
  <c r="E1141" i="525"/>
  <c r="F1146" i="525"/>
  <c r="E1149" i="525"/>
  <c r="F1154" i="525"/>
  <c r="E1157" i="525"/>
  <c r="F1162" i="525"/>
  <c r="E1165" i="525"/>
  <c r="F1170" i="525"/>
  <c r="E1173" i="525"/>
  <c r="F1178" i="525"/>
  <c r="E1181" i="525"/>
  <c r="F1186" i="525"/>
  <c r="E1189" i="525"/>
  <c r="F1194" i="525"/>
  <c r="H1569" i="525"/>
  <c r="F213" i="524" s="1"/>
  <c r="H167" i="523" s="1"/>
  <c r="H1573" i="525"/>
  <c r="F214" i="524" s="1"/>
  <c r="H169" i="523" s="1"/>
  <c r="H1577" i="525"/>
  <c r="F215" i="524" s="1"/>
  <c r="H168" i="523" s="1"/>
  <c r="H1581" i="525"/>
  <c r="F216" i="524" s="1"/>
  <c r="H170" i="523" s="1"/>
  <c r="F1611" i="525"/>
  <c r="J1669" i="525"/>
  <c r="F1669" i="525" s="1"/>
  <c r="E1669" i="525"/>
  <c r="J1713" i="525"/>
  <c r="F1713" i="525" s="1"/>
  <c r="E1713" i="525"/>
  <c r="F1901" i="525"/>
  <c r="K1905" i="525"/>
  <c r="F1913" i="525"/>
  <c r="J1919" i="525"/>
  <c r="F1919" i="525" s="1"/>
  <c r="E1919" i="525"/>
  <c r="F2082" i="525"/>
  <c r="F2092" i="525"/>
  <c r="H1179" i="525"/>
  <c r="F1179" i="525" s="1"/>
  <c r="F1223" i="525"/>
  <c r="E1245" i="525"/>
  <c r="E1269" i="525"/>
  <c r="E1379" i="525"/>
  <c r="E1385" i="525"/>
  <c r="E1472" i="525"/>
  <c r="E1474" i="525"/>
  <c r="E1531" i="525"/>
  <c r="E1537" i="525"/>
  <c r="H1617" i="525"/>
  <c r="F223" i="524" s="1"/>
  <c r="E1645" i="525"/>
  <c r="E1654" i="525"/>
  <c r="J1869" i="525"/>
  <c r="E1869" i="525"/>
  <c r="F1998" i="525"/>
  <c r="F2009" i="525"/>
  <c r="E918" i="525"/>
  <c r="E926" i="525"/>
  <c r="E946" i="525"/>
  <c r="E954" i="525"/>
  <c r="E974" i="525"/>
  <c r="E999" i="525"/>
  <c r="E1006" i="525"/>
  <c r="E1031" i="525"/>
  <c r="E1038" i="525"/>
  <c r="E1053" i="525"/>
  <c r="E1598" i="525"/>
  <c r="J1693" i="525"/>
  <c r="F1693" i="525" s="1"/>
  <c r="E1693" i="525"/>
  <c r="J1726" i="525"/>
  <c r="F1726" i="525" s="1"/>
  <c r="E1726" i="525"/>
  <c r="J1739" i="525"/>
  <c r="F1739" i="525" s="1"/>
  <c r="E1739" i="525"/>
  <c r="E1913" i="525"/>
  <c r="E2128" i="525"/>
  <c r="E2158" i="525"/>
  <c r="E2160" i="525"/>
  <c r="E2164" i="525"/>
  <c r="E2182" i="525"/>
  <c r="E2200" i="525"/>
  <c r="E2212" i="525"/>
  <c r="E2218" i="525"/>
  <c r="E2239" i="525"/>
  <c r="E2260" i="525"/>
  <c r="F2280" i="525"/>
  <c r="J2281" i="525"/>
  <c r="F2281" i="525" s="1"/>
  <c r="E2281" i="525"/>
  <c r="K2560" i="525"/>
  <c r="E1940" i="525"/>
  <c r="F1985" i="525"/>
  <c r="F1989" i="525"/>
  <c r="F1993" i="525"/>
  <c r="E1998" i="525"/>
  <c r="E2009" i="525"/>
  <c r="H2027" i="525"/>
  <c r="H2031" i="525"/>
  <c r="H2041" i="525"/>
  <c r="F2049" i="525"/>
  <c r="H2059" i="525"/>
  <c r="F2087" i="525"/>
  <c r="E2092" i="525"/>
  <c r="H2103" i="525"/>
  <c r="H2561" i="525"/>
  <c r="F328" i="524" s="1"/>
  <c r="F2558" i="525"/>
  <c r="E181" i="527"/>
  <c r="D181" i="527"/>
  <c r="D183" i="527" s="1"/>
  <c r="F181" i="527"/>
  <c r="F183" i="527" s="1"/>
  <c r="F231" i="527"/>
  <c r="F233" i="527" s="1"/>
  <c r="E231" i="527"/>
  <c r="D231" i="527"/>
  <c r="D233" i="527" s="1"/>
  <c r="F2054" i="525"/>
  <c r="J2277" i="525"/>
  <c r="F2277" i="525" s="1"/>
  <c r="E2277" i="525"/>
  <c r="F2689" i="525"/>
  <c r="E344" i="524" s="1"/>
  <c r="E1681" i="525"/>
  <c r="E1691" i="525"/>
  <c r="E1715" i="525"/>
  <c r="E1737" i="525"/>
  <c r="E1750" i="525"/>
  <c r="F2073" i="525"/>
  <c r="E2082" i="525"/>
  <c r="E2119" i="525"/>
  <c r="E2155" i="525"/>
  <c r="E2161" i="525"/>
  <c r="E2177" i="525"/>
  <c r="E2179" i="525"/>
  <c r="E2183" i="525"/>
  <c r="E2201" i="525"/>
  <c r="E2219" i="525"/>
  <c r="E2240" i="525"/>
  <c r="E2255" i="525"/>
  <c r="E2257" i="525"/>
  <c r="J2275" i="525"/>
  <c r="F2275" i="525" s="1"/>
  <c r="E2275" i="525"/>
  <c r="E2292" i="525"/>
  <c r="E2298" i="525"/>
  <c r="E2319" i="525"/>
  <c r="E2330" i="525"/>
  <c r="E2332" i="525"/>
  <c r="E2366" i="525"/>
  <c r="E2368" i="525"/>
  <c r="E2385" i="525"/>
  <c r="E2387" i="525"/>
  <c r="E2425" i="525"/>
  <c r="E2427" i="525"/>
  <c r="E2465" i="525"/>
  <c r="E2467" i="525"/>
  <c r="E2508" i="525"/>
  <c r="F2557" i="525"/>
  <c r="F2564" i="525"/>
  <c r="F2568" i="525"/>
  <c r="F2576" i="525"/>
  <c r="F2688" i="525"/>
  <c r="E19" i="527"/>
  <c r="C17" i="527"/>
  <c r="AJ78" i="527"/>
  <c r="AC331" i="527"/>
  <c r="AC324" i="527"/>
  <c r="AC321" i="527"/>
  <c r="AE331" i="527"/>
  <c r="H331" i="527" s="1"/>
  <c r="E385" i="527"/>
  <c r="F431" i="527"/>
  <c r="F433" i="527" s="1"/>
  <c r="E431" i="527"/>
  <c r="D431" i="527"/>
  <c r="D433" i="527" s="1"/>
  <c r="F485" i="527"/>
  <c r="F487" i="527" s="1"/>
  <c r="E485" i="527"/>
  <c r="F581" i="527"/>
  <c r="F583" i="527" s="1"/>
  <c r="E581" i="527"/>
  <c r="D581" i="527"/>
  <c r="D583" i="527" s="1"/>
  <c r="F731" i="527"/>
  <c r="F733" i="527" s="1"/>
  <c r="E731" i="527"/>
  <c r="D731" i="527"/>
  <c r="D733" i="527" s="1"/>
  <c r="F781" i="527"/>
  <c r="F783" i="527" s="1"/>
  <c r="E781" i="527"/>
  <c r="D781" i="527"/>
  <c r="D783" i="527" s="1"/>
  <c r="F831" i="527"/>
  <c r="F833" i="527" s="1"/>
  <c r="E831" i="527"/>
  <c r="D831" i="527"/>
  <c r="D833" i="527" s="1"/>
  <c r="D881" i="527"/>
  <c r="D883" i="527" s="1"/>
  <c r="F881" i="527"/>
  <c r="F883" i="527" s="1"/>
  <c r="E881" i="527"/>
  <c r="F1031" i="527"/>
  <c r="F1033" i="527" s="1"/>
  <c r="E1031" i="527"/>
  <c r="D1031" i="527"/>
  <c r="D1033" i="527" s="1"/>
  <c r="F1131" i="527"/>
  <c r="F1133" i="527" s="1"/>
  <c r="E1131" i="527"/>
  <c r="D1131" i="527"/>
  <c r="D1133" i="527" s="1"/>
  <c r="F1181" i="527"/>
  <c r="F1183" i="527" s="1"/>
  <c r="E1181" i="527"/>
  <c r="D1181" i="527"/>
  <c r="D1183" i="527" s="1"/>
  <c r="F1285" i="527"/>
  <c r="F1287" i="527" s="1"/>
  <c r="E1285" i="527"/>
  <c r="E1385" i="527"/>
  <c r="D1385" i="527"/>
  <c r="E1504" i="527"/>
  <c r="D1504" i="527"/>
  <c r="D1509" i="527" s="1"/>
  <c r="F1504" i="527"/>
  <c r="F1509" i="527" s="1"/>
  <c r="E2295" i="525"/>
  <c r="E2297" i="525"/>
  <c r="E2301" i="525"/>
  <c r="E2395" i="525"/>
  <c r="E2397" i="525"/>
  <c r="E2435" i="525"/>
  <c r="E2437" i="525"/>
  <c r="E2578" i="525"/>
  <c r="E2586" i="525"/>
  <c r="E2588" i="525"/>
  <c r="E2602" i="525"/>
  <c r="E2604" i="525"/>
  <c r="E2618" i="525"/>
  <c r="E2620" i="525"/>
  <c r="E2627" i="525"/>
  <c r="E2629" i="525"/>
  <c r="E2636" i="525"/>
  <c r="E2638" i="525"/>
  <c r="E2645" i="525"/>
  <c r="E2647" i="525"/>
  <c r="E2654" i="525"/>
  <c r="E2656" i="525"/>
  <c r="E2663" i="525"/>
  <c r="E2665" i="525"/>
  <c r="E2672" i="525"/>
  <c r="E2674" i="525"/>
  <c r="E2681" i="525"/>
  <c r="E2683" i="525"/>
  <c r="I17" i="527"/>
  <c r="B17" i="527" s="1"/>
  <c r="AL32" i="527"/>
  <c r="AA60" i="527"/>
  <c r="AA62" i="527"/>
  <c r="AA64" i="527"/>
  <c r="AE321" i="527"/>
  <c r="H321" i="527" s="1"/>
  <c r="F535" i="527"/>
  <c r="F537" i="527" s="1"/>
  <c r="E535" i="527"/>
  <c r="F631" i="527"/>
  <c r="F633" i="527" s="1"/>
  <c r="E631" i="527"/>
  <c r="D631" i="527"/>
  <c r="D633" i="527" s="1"/>
  <c r="F685" i="527"/>
  <c r="F687" i="527" s="1"/>
  <c r="E685" i="527"/>
  <c r="F735" i="527"/>
  <c r="F737" i="527" s="1"/>
  <c r="E735" i="527"/>
  <c r="F985" i="527"/>
  <c r="F987" i="527" s="1"/>
  <c r="E985" i="527"/>
  <c r="F1081" i="527"/>
  <c r="F1083" i="527" s="1"/>
  <c r="E1081" i="527"/>
  <c r="D1081" i="527"/>
  <c r="D1083" i="527" s="1"/>
  <c r="F1085" i="527"/>
  <c r="F1087" i="527" s="1"/>
  <c r="E1085" i="527"/>
  <c r="F1135" i="527"/>
  <c r="F1137" i="527" s="1"/>
  <c r="E1135" i="527"/>
  <c r="F1231" i="527"/>
  <c r="F1233" i="527" s="1"/>
  <c r="E1231" i="527"/>
  <c r="D1231" i="527"/>
  <c r="D1233" i="527" s="1"/>
  <c r="F1335" i="527"/>
  <c r="F1337" i="527" s="1"/>
  <c r="E1335" i="527"/>
  <c r="E1496" i="527"/>
  <c r="D1496" i="527"/>
  <c r="F1496" i="527"/>
  <c r="C1507" i="527"/>
  <c r="B1507" i="527" s="1"/>
  <c r="D1604" i="527"/>
  <c r="F1604" i="527"/>
  <c r="E1604" i="527"/>
  <c r="E1608" i="527"/>
  <c r="D1608" i="527"/>
  <c r="F1608" i="527"/>
  <c r="D2374" i="527"/>
  <c r="F2374" i="527"/>
  <c r="E2374" i="527"/>
  <c r="E2641" i="527"/>
  <c r="AC60" i="527"/>
  <c r="H60" i="527" s="1"/>
  <c r="AC62" i="527"/>
  <c r="H62" i="527" s="1"/>
  <c r="AC64" i="527"/>
  <c r="H64" i="527" s="1"/>
  <c r="F281" i="527"/>
  <c r="F283" i="527" s="1"/>
  <c r="E281" i="527"/>
  <c r="D324" i="527"/>
  <c r="F324" i="527"/>
  <c r="F481" i="527"/>
  <c r="F483" i="527" s="1"/>
  <c r="E481" i="527"/>
  <c r="D481" i="527"/>
  <c r="D483" i="527" s="1"/>
  <c r="F585" i="527"/>
  <c r="F587" i="527" s="1"/>
  <c r="E585" i="527"/>
  <c r="F681" i="527"/>
  <c r="F683" i="527" s="1"/>
  <c r="E681" i="527"/>
  <c r="D681" i="527"/>
  <c r="D683" i="527" s="1"/>
  <c r="E931" i="527"/>
  <c r="D931" i="527"/>
  <c r="D933" i="527" s="1"/>
  <c r="F931" i="527"/>
  <c r="F933" i="527" s="1"/>
  <c r="F981" i="527"/>
  <c r="F983" i="527" s="1"/>
  <c r="E981" i="527"/>
  <c r="D981" i="527"/>
  <c r="D983" i="527" s="1"/>
  <c r="F1035" i="527"/>
  <c r="F1037" i="527" s="1"/>
  <c r="E1035" i="527"/>
  <c r="F1185" i="527"/>
  <c r="F1187" i="527" s="1"/>
  <c r="E1185" i="527"/>
  <c r="F1281" i="527"/>
  <c r="F1283" i="527" s="1"/>
  <c r="E1281" i="527"/>
  <c r="D1281" i="527"/>
  <c r="D1283" i="527" s="1"/>
  <c r="D1596" i="527"/>
  <c r="F1596" i="527"/>
  <c r="E1596" i="527"/>
  <c r="E1935" i="527"/>
  <c r="D1935" i="527"/>
  <c r="D2135" i="527"/>
  <c r="E2135" i="527"/>
  <c r="D2574" i="527"/>
  <c r="F2574" i="527"/>
  <c r="E2574" i="527"/>
  <c r="E381" i="527"/>
  <c r="D381" i="527"/>
  <c r="D383" i="527" s="1"/>
  <c r="F435" i="527"/>
  <c r="F437" i="527" s="1"/>
  <c r="E435" i="527"/>
  <c r="F531" i="527"/>
  <c r="F533" i="527" s="1"/>
  <c r="E531" i="527"/>
  <c r="D531" i="527"/>
  <c r="D533" i="527" s="1"/>
  <c r="F635" i="527"/>
  <c r="F637" i="527" s="1"/>
  <c r="E635" i="527"/>
  <c r="F1235" i="527"/>
  <c r="F1237" i="527" s="1"/>
  <c r="E1235" i="527"/>
  <c r="F1331" i="527"/>
  <c r="F1333" i="527" s="1"/>
  <c r="E1331" i="527"/>
  <c r="D1331" i="527"/>
  <c r="D1333" i="527" s="1"/>
  <c r="D2774" i="527"/>
  <c r="F2774" i="527"/>
  <c r="E2774" i="527"/>
  <c r="AC221" i="527"/>
  <c r="AC224" i="527"/>
  <c r="AC231" i="527"/>
  <c r="AE271" i="527"/>
  <c r="H271" i="527" s="1"/>
  <c r="AE274" i="527"/>
  <c r="H274" i="527" s="1"/>
  <c r="AC821" i="527"/>
  <c r="AC824" i="527"/>
  <c r="AC831" i="527"/>
  <c r="AE871" i="527"/>
  <c r="H871" i="527" s="1"/>
  <c r="AE874" i="527"/>
  <c r="H874" i="527" s="1"/>
  <c r="D1398" i="527"/>
  <c r="D1400" i="527" s="1"/>
  <c r="AE1571" i="527"/>
  <c r="H1571" i="527" s="1"/>
  <c r="AE1574" i="527"/>
  <c r="H1574" i="527" s="1"/>
  <c r="AE1583" i="527"/>
  <c r="H1583" i="527" s="1"/>
  <c r="AE1585" i="527"/>
  <c r="H1585" i="527" s="1"/>
  <c r="AE1587" i="527"/>
  <c r="H1587" i="527" s="1"/>
  <c r="AE1592" i="527"/>
  <c r="H1592" i="527" s="1"/>
  <c r="AE1594" i="527"/>
  <c r="H1594" i="527" s="1"/>
  <c r="F1792" i="527"/>
  <c r="E1810" i="527"/>
  <c r="D1804" i="527"/>
  <c r="D1810" i="527" s="1"/>
  <c r="F1804" i="527"/>
  <c r="F1810" i="527" s="1"/>
  <c r="E1885" i="527"/>
  <c r="D1885" i="527"/>
  <c r="F1894" i="527"/>
  <c r="E1894" i="527"/>
  <c r="E2035" i="527"/>
  <c r="D2035" i="527"/>
  <c r="AE2121" i="527"/>
  <c r="H2121" i="527" s="1"/>
  <c r="AE2133" i="527"/>
  <c r="H2133" i="527" s="1"/>
  <c r="AE2371" i="527"/>
  <c r="H2371" i="527" s="1"/>
  <c r="AE2571" i="527"/>
  <c r="H2571" i="527" s="1"/>
  <c r="F2586" i="527"/>
  <c r="F2588" i="527"/>
  <c r="F2590" i="527" s="1"/>
  <c r="E2588" i="527"/>
  <c r="D2674" i="527"/>
  <c r="F2674" i="527"/>
  <c r="F2724" i="527"/>
  <c r="E2724" i="527"/>
  <c r="D2724" i="527"/>
  <c r="F2734" i="527"/>
  <c r="E2734" i="527"/>
  <c r="F2738" i="527"/>
  <c r="F2740" i="527" s="1"/>
  <c r="AE2771" i="527"/>
  <c r="H2771" i="527" s="1"/>
  <c r="K110" i="526"/>
  <c r="K112" i="526"/>
  <c r="K114" i="526"/>
  <c r="K116" i="526"/>
  <c r="K118" i="526"/>
  <c r="K120" i="526"/>
  <c r="K122" i="526"/>
  <c r="K124" i="526"/>
  <c r="K126" i="526"/>
  <c r="K128" i="526"/>
  <c r="K130" i="526"/>
  <c r="K132" i="526"/>
  <c r="K134" i="526"/>
  <c r="K136" i="526"/>
  <c r="K138" i="526"/>
  <c r="K140" i="526"/>
  <c r="K142" i="526"/>
  <c r="K144" i="526"/>
  <c r="K146" i="526"/>
  <c r="K148" i="526"/>
  <c r="K150" i="526"/>
  <c r="K152" i="526"/>
  <c r="K154" i="526"/>
  <c r="K156" i="526"/>
  <c r="K158" i="526"/>
  <c r="K160" i="526"/>
  <c r="K162" i="526"/>
  <c r="K164" i="526"/>
  <c r="K166" i="526"/>
  <c r="K168" i="526"/>
  <c r="AB32" i="527"/>
  <c r="AC171" i="527"/>
  <c r="AC174" i="527"/>
  <c r="AC181" i="527"/>
  <c r="AE221" i="527"/>
  <c r="H221" i="527" s="1"/>
  <c r="AE224" i="527"/>
  <c r="H224" i="527" s="1"/>
  <c r="AC381" i="527"/>
  <c r="AC431" i="527"/>
  <c r="AC471" i="527"/>
  <c r="AC474" i="527"/>
  <c r="AC481" i="527"/>
  <c r="AC521" i="527"/>
  <c r="AC524" i="527"/>
  <c r="AC531" i="527"/>
  <c r="AC571" i="527"/>
  <c r="AC574" i="527"/>
  <c r="AC581" i="527"/>
  <c r="AC621" i="527"/>
  <c r="AC624" i="527"/>
  <c r="AC631" i="527"/>
  <c r="AC671" i="527"/>
  <c r="AC674" i="527"/>
  <c r="AC681" i="527"/>
  <c r="AC721" i="527"/>
  <c r="AC724" i="527"/>
  <c r="AC731" i="527"/>
  <c r="AC771" i="527"/>
  <c r="AC774" i="527"/>
  <c r="AC781" i="527"/>
  <c r="AE821" i="527"/>
  <c r="H821" i="527" s="1"/>
  <c r="AE824" i="527"/>
  <c r="H824" i="527" s="1"/>
  <c r="AC971" i="527"/>
  <c r="AC974" i="527"/>
  <c r="AC981" i="527"/>
  <c r="AC1021" i="527"/>
  <c r="AC1024" i="527"/>
  <c r="AC1031" i="527"/>
  <c r="AC1071" i="527"/>
  <c r="AC1074" i="527"/>
  <c r="AC1081" i="527"/>
  <c r="AC1121" i="527"/>
  <c r="AC1124" i="527"/>
  <c r="AC1131" i="527"/>
  <c r="AC1171" i="527"/>
  <c r="AC1174" i="527"/>
  <c r="AC1181" i="527"/>
  <c r="AC1221" i="527"/>
  <c r="AC1224" i="527"/>
  <c r="AC1231" i="527"/>
  <c r="AC1271" i="527"/>
  <c r="AC1274" i="527"/>
  <c r="AC1281" i="527"/>
  <c r="AC1321" i="527"/>
  <c r="AC1324" i="527"/>
  <c r="AC1331" i="527"/>
  <c r="AC1371" i="527"/>
  <c r="AC1374" i="527"/>
  <c r="AA1381" i="527"/>
  <c r="AA1383" i="527"/>
  <c r="AA1385" i="527"/>
  <c r="E1398" i="527"/>
  <c r="F1708" i="527"/>
  <c r="E1708" i="527"/>
  <c r="D1708" i="527"/>
  <c r="AA1796" i="527"/>
  <c r="AA1794" i="527"/>
  <c r="AA1792" i="527"/>
  <c r="AA1787" i="527"/>
  <c r="AA1785" i="527"/>
  <c r="AA1783" i="527"/>
  <c r="AC1774" i="527"/>
  <c r="AC1771" i="527"/>
  <c r="AE1783" i="527"/>
  <c r="H1783" i="527" s="1"/>
  <c r="AE1794" i="527"/>
  <c r="H1794" i="527" s="1"/>
  <c r="E1897" i="527"/>
  <c r="D1897" i="527"/>
  <c r="F1897" i="527"/>
  <c r="F1948" i="527"/>
  <c r="E1948" i="527"/>
  <c r="AE2124" i="527"/>
  <c r="H2124" i="527" s="1"/>
  <c r="C2147" i="527"/>
  <c r="B2147" i="527" s="1"/>
  <c r="F2244" i="527"/>
  <c r="E2244" i="527"/>
  <c r="D2244" i="527"/>
  <c r="D2250" i="527" s="1"/>
  <c r="C2385" i="527"/>
  <c r="B2385" i="527" s="1"/>
  <c r="F2431" i="527"/>
  <c r="E2431" i="527"/>
  <c r="F2481" i="527"/>
  <c r="E2481" i="527"/>
  <c r="D2481" i="527"/>
  <c r="D2486" i="527" s="1"/>
  <c r="F2631" i="527"/>
  <c r="E2631" i="527"/>
  <c r="D2631" i="527"/>
  <c r="D2637" i="527" s="1"/>
  <c r="F2688" i="527"/>
  <c r="F2690" i="527" s="1"/>
  <c r="E2688" i="527"/>
  <c r="E2885" i="527"/>
  <c r="D2885" i="527"/>
  <c r="F2885" i="527"/>
  <c r="F2887" i="527" s="1"/>
  <c r="AE171" i="527"/>
  <c r="H171" i="527" s="1"/>
  <c r="AE174" i="527"/>
  <c r="H174" i="527" s="1"/>
  <c r="AE371" i="527"/>
  <c r="H371" i="527" s="1"/>
  <c r="AE374" i="527"/>
  <c r="H374" i="527" s="1"/>
  <c r="AE421" i="527"/>
  <c r="H421" i="527" s="1"/>
  <c r="AE424" i="527"/>
  <c r="H424" i="527" s="1"/>
  <c r="AE471" i="527"/>
  <c r="H471" i="527" s="1"/>
  <c r="AE474" i="527"/>
  <c r="H474" i="527" s="1"/>
  <c r="AE521" i="527"/>
  <c r="H521" i="527" s="1"/>
  <c r="AE524" i="527"/>
  <c r="H524" i="527" s="1"/>
  <c r="AE571" i="527"/>
  <c r="H571" i="527" s="1"/>
  <c r="AE574" i="527"/>
  <c r="H574" i="527" s="1"/>
  <c r="AE621" i="527"/>
  <c r="H621" i="527" s="1"/>
  <c r="AE624" i="527"/>
  <c r="H624" i="527" s="1"/>
  <c r="AE671" i="527"/>
  <c r="H671" i="527" s="1"/>
  <c r="AE674" i="527"/>
  <c r="H674" i="527" s="1"/>
  <c r="AE721" i="527"/>
  <c r="H721" i="527" s="1"/>
  <c r="AE724" i="527"/>
  <c r="H724" i="527" s="1"/>
  <c r="AE771" i="527"/>
  <c r="H771" i="527" s="1"/>
  <c r="AE774" i="527"/>
  <c r="H774" i="527" s="1"/>
  <c r="AC921" i="527"/>
  <c r="AC924" i="527"/>
  <c r="AC931" i="527"/>
  <c r="AE971" i="527"/>
  <c r="H971" i="527" s="1"/>
  <c r="AE974" i="527"/>
  <c r="H974" i="527" s="1"/>
  <c r="AE1021" i="527"/>
  <c r="H1021" i="527" s="1"/>
  <c r="AE1024" i="527"/>
  <c r="H1024" i="527" s="1"/>
  <c r="AE1071" i="527"/>
  <c r="H1071" i="527" s="1"/>
  <c r="AE1074" i="527"/>
  <c r="H1074" i="527" s="1"/>
  <c r="AE1121" i="527"/>
  <c r="H1121" i="527" s="1"/>
  <c r="AE1124" i="527"/>
  <c r="H1124" i="527" s="1"/>
  <c r="AE1171" i="527"/>
  <c r="H1171" i="527" s="1"/>
  <c r="AE1174" i="527"/>
  <c r="H1174" i="527" s="1"/>
  <c r="AE1221" i="527"/>
  <c r="H1221" i="527" s="1"/>
  <c r="AE1224" i="527"/>
  <c r="H1224" i="527" s="1"/>
  <c r="AE1271" i="527"/>
  <c r="H1271" i="527" s="1"/>
  <c r="AE1274" i="527"/>
  <c r="H1274" i="527" s="1"/>
  <c r="AE1321" i="527"/>
  <c r="H1321" i="527" s="1"/>
  <c r="AE1324" i="527"/>
  <c r="H1324" i="527" s="1"/>
  <c r="AE1371" i="527"/>
  <c r="H1371" i="527" s="1"/>
  <c r="AE1374" i="527"/>
  <c r="H1374" i="527" s="1"/>
  <c r="AE1381" i="527"/>
  <c r="H1381" i="527" s="1"/>
  <c r="AE1383" i="527"/>
  <c r="H1383" i="527" s="1"/>
  <c r="AC1471" i="527"/>
  <c r="AC1474" i="527"/>
  <c r="AA1483" i="527"/>
  <c r="AA1485" i="527"/>
  <c r="AA1487" i="527"/>
  <c r="AA1492" i="527"/>
  <c r="AA1494" i="527"/>
  <c r="AA1496" i="527"/>
  <c r="F1710" i="527"/>
  <c r="E1776" i="527"/>
  <c r="D1771" i="527"/>
  <c r="F1771" i="527"/>
  <c r="D1785" i="527"/>
  <c r="F1785" i="527"/>
  <c r="D1796" i="527"/>
  <c r="E2185" i="527"/>
  <c r="D2185" i="527"/>
  <c r="F2194" i="527"/>
  <c r="E2194" i="527"/>
  <c r="E2324" i="527"/>
  <c r="D2324" i="527"/>
  <c r="F2424" i="527"/>
  <c r="E2424" i="527"/>
  <c r="E2434" i="527"/>
  <c r="D2434" i="527"/>
  <c r="D2436" i="527" s="1"/>
  <c r="F2434" i="527"/>
  <c r="F2474" i="527"/>
  <c r="E2474" i="527"/>
  <c r="D2474" i="527"/>
  <c r="E2524" i="527"/>
  <c r="D2524" i="527"/>
  <c r="AC2674" i="527"/>
  <c r="AC2671" i="527"/>
  <c r="E2681" i="527"/>
  <c r="E2684" i="527"/>
  <c r="D2684" i="527"/>
  <c r="D2686" i="527" s="1"/>
  <c r="F2731" i="527"/>
  <c r="F2736" i="527" s="1"/>
  <c r="E2731" i="527"/>
  <c r="D2731" i="527"/>
  <c r="D2736" i="527" s="1"/>
  <c r="E2738" i="527"/>
  <c r="F2889" i="527"/>
  <c r="F2891" i="527" s="1"/>
  <c r="E2889" i="527"/>
  <c r="AE921" i="527"/>
  <c r="H921" i="527" s="1"/>
  <c r="AE924" i="527"/>
  <c r="H924" i="527" s="1"/>
  <c r="AE1471" i="527"/>
  <c r="H1471" i="527" s="1"/>
  <c r="AE1474" i="527"/>
  <c r="H1474" i="527" s="1"/>
  <c r="AE1483" i="527"/>
  <c r="H1483" i="527" s="1"/>
  <c r="AE1485" i="527"/>
  <c r="H1485" i="527" s="1"/>
  <c r="AE1487" i="527"/>
  <c r="H1487" i="527" s="1"/>
  <c r="AE1492" i="527"/>
  <c r="H1492" i="527" s="1"/>
  <c r="AE1494" i="527"/>
  <c r="H1494" i="527" s="1"/>
  <c r="E1696" i="527"/>
  <c r="D1696" i="527"/>
  <c r="E1710" i="527"/>
  <c r="D1774" i="527"/>
  <c r="F1774" i="527"/>
  <c r="D1787" i="527"/>
  <c r="D1899" i="527"/>
  <c r="F1944" i="527"/>
  <c r="F1950" i="527" s="1"/>
  <c r="E1944" i="527"/>
  <c r="D1944" i="527"/>
  <c r="D1950" i="527" s="1"/>
  <c r="F2048" i="527"/>
  <c r="F2050" i="527" s="1"/>
  <c r="E2048" i="527"/>
  <c r="D2048" i="527"/>
  <c r="D2050" i="527" s="1"/>
  <c r="AA2135" i="527"/>
  <c r="AA2133" i="527"/>
  <c r="AA2131" i="527"/>
  <c r="AC2124" i="527"/>
  <c r="AC2121" i="527"/>
  <c r="AE2131" i="527"/>
  <c r="H2131" i="527" s="1"/>
  <c r="D2144" i="527"/>
  <c r="D2149" i="527" s="1"/>
  <c r="F2144" i="527"/>
  <c r="F2149" i="527" s="1"/>
  <c r="D2197" i="527"/>
  <c r="D2199" i="527" s="1"/>
  <c r="F2197" i="527"/>
  <c r="E2235" i="527"/>
  <c r="D2235" i="527"/>
  <c r="F2248" i="527"/>
  <c r="E2248" i="527"/>
  <c r="F2334" i="527"/>
  <c r="F2336" i="527" s="1"/>
  <c r="E2334" i="527"/>
  <c r="D2334" i="527"/>
  <c r="D2336" i="527" s="1"/>
  <c r="AC2374" i="527"/>
  <c r="AC2371" i="527"/>
  <c r="E2387" i="527"/>
  <c r="D2381" i="527"/>
  <c r="D2387" i="527" s="1"/>
  <c r="F2381" i="527"/>
  <c r="F2387" i="527" s="1"/>
  <c r="F2484" i="527"/>
  <c r="E2484" i="527"/>
  <c r="F2535" i="527"/>
  <c r="F2537" i="527" s="1"/>
  <c r="E2535" i="527"/>
  <c r="D2535" i="527"/>
  <c r="D2537" i="527" s="1"/>
  <c r="AC2574" i="527"/>
  <c r="AC2571" i="527"/>
  <c r="C2581" i="527"/>
  <c r="B2581" i="527" s="1"/>
  <c r="F2624" i="527"/>
  <c r="E2624" i="527"/>
  <c r="D2624" i="527"/>
  <c r="F2635" i="527"/>
  <c r="E2635" i="527"/>
  <c r="F2639" i="527"/>
  <c r="F2641" i="527" s="1"/>
  <c r="E2676" i="527"/>
  <c r="D2671" i="527"/>
  <c r="F2671" i="527"/>
  <c r="C2671" i="527" s="1"/>
  <c r="B2671" i="527" s="1"/>
  <c r="AC2774" i="527"/>
  <c r="AC2771" i="527"/>
  <c r="E2785" i="527"/>
  <c r="D2785" i="527"/>
  <c r="D2787" i="527" s="1"/>
  <c r="D2874" i="527"/>
  <c r="E2874" i="527"/>
  <c r="F2874" i="527"/>
  <c r="F2931" i="527"/>
  <c r="F2936" i="527" s="1"/>
  <c r="E2931" i="527"/>
  <c r="D2931" i="527"/>
  <c r="F3039" i="527"/>
  <c r="F3041" i="527" s="1"/>
  <c r="E3039" i="527"/>
  <c r="AC3103" i="527"/>
  <c r="H3103" i="527" s="1"/>
  <c r="AC3101" i="527"/>
  <c r="H3101" i="527" s="1"/>
  <c r="AC3099" i="527"/>
  <c r="H3099" i="527" s="1"/>
  <c r="AA3103" i="527"/>
  <c r="AA3101" i="527"/>
  <c r="AA3099" i="527"/>
  <c r="B3097" i="527"/>
  <c r="F3383" i="527"/>
  <c r="E3383" i="527"/>
  <c r="D3383" i="527"/>
  <c r="F3569" i="527"/>
  <c r="E3569" i="527"/>
  <c r="D3569" i="527"/>
  <c r="F3571" i="527"/>
  <c r="E3571" i="527"/>
  <c r="D3571" i="527"/>
  <c r="F3821" i="527"/>
  <c r="F3825" i="527" s="1"/>
  <c r="F3854" i="527" s="1"/>
  <c r="E3821" i="527"/>
  <c r="D3821" i="527"/>
  <c r="D3825" i="527" s="1"/>
  <c r="D3854" i="527" s="1"/>
  <c r="AE1871" i="527"/>
  <c r="H1871" i="527" s="1"/>
  <c r="AE1874" i="527"/>
  <c r="H1874" i="527" s="1"/>
  <c r="AE1881" i="527"/>
  <c r="H1881" i="527" s="1"/>
  <c r="AE1883" i="527"/>
  <c r="H1883" i="527" s="1"/>
  <c r="AC1921" i="527"/>
  <c r="AC1924" i="527"/>
  <c r="AA1931" i="527"/>
  <c r="AA1933" i="527"/>
  <c r="AA1935" i="527"/>
  <c r="AE2171" i="527"/>
  <c r="H2171" i="527" s="1"/>
  <c r="AE2174" i="527"/>
  <c r="H2174" i="527" s="1"/>
  <c r="AE2181" i="527"/>
  <c r="H2181" i="527" s="1"/>
  <c r="AE2183" i="527"/>
  <c r="H2183" i="527" s="1"/>
  <c r="AC2221" i="527"/>
  <c r="AC2224" i="527"/>
  <c r="AA2231" i="527"/>
  <c r="AA2233" i="527"/>
  <c r="AA2235" i="527"/>
  <c r="AE2421" i="527"/>
  <c r="H2421" i="527" s="1"/>
  <c r="AC2474" i="527"/>
  <c r="AC2621" i="527"/>
  <c r="AC2624" i="527"/>
  <c r="F2681" i="527"/>
  <c r="F2686" i="527" s="1"/>
  <c r="AC2721" i="527"/>
  <c r="AC2724" i="527"/>
  <c r="F2781" i="527"/>
  <c r="F2787" i="527" s="1"/>
  <c r="E2838" i="527"/>
  <c r="D2981" i="527"/>
  <c r="F2981" i="527"/>
  <c r="E2981" i="527"/>
  <c r="F3031" i="527"/>
  <c r="F3037" i="527" s="1"/>
  <c r="E3031" i="527"/>
  <c r="D3031" i="527"/>
  <c r="AC3177" i="527"/>
  <c r="H3177" i="527" s="1"/>
  <c r="AC3175" i="527"/>
  <c r="H3175" i="527" s="1"/>
  <c r="AC3173" i="527"/>
  <c r="H3173" i="527" s="1"/>
  <c r="AA3177" i="527"/>
  <c r="AA3175" i="527"/>
  <c r="AA3173" i="527"/>
  <c r="B3170" i="527"/>
  <c r="F3364" i="527"/>
  <c r="E3364" i="527"/>
  <c r="D3364" i="527"/>
  <c r="E3678" i="527"/>
  <c r="D3785" i="527"/>
  <c r="D3787" i="527" s="1"/>
  <c r="F3785" i="527"/>
  <c r="F3787" i="527" s="1"/>
  <c r="E3785" i="527"/>
  <c r="E4071" i="527"/>
  <c r="D4071" i="527"/>
  <c r="F4071" i="527"/>
  <c r="E4178" i="527"/>
  <c r="AC1671" i="527"/>
  <c r="AC1674" i="527"/>
  <c r="AA1683" i="527"/>
  <c r="AA1685" i="527"/>
  <c r="AA1687" i="527"/>
  <c r="AA1692" i="527"/>
  <c r="AA1694" i="527"/>
  <c r="AA1696" i="527"/>
  <c r="D1704" i="527"/>
  <c r="C1704" i="527" s="1"/>
  <c r="B1704" i="527" s="1"/>
  <c r="AE1921" i="527"/>
  <c r="H1921" i="527" s="1"/>
  <c r="AE1924" i="527"/>
  <c r="H1924" i="527" s="1"/>
  <c r="AE1931" i="527"/>
  <c r="H1931" i="527" s="1"/>
  <c r="AE1933" i="527"/>
  <c r="H1933" i="527" s="1"/>
  <c r="AC2021" i="527"/>
  <c r="AC2024" i="527"/>
  <c r="AA2031" i="527"/>
  <c r="AA2033" i="527"/>
  <c r="AA2035" i="527"/>
  <c r="AE2221" i="527"/>
  <c r="H2221" i="527" s="1"/>
  <c r="AE2224" i="527"/>
  <c r="H2224" i="527" s="1"/>
  <c r="AE2231" i="527"/>
  <c r="H2231" i="527" s="1"/>
  <c r="AE2233" i="527"/>
  <c r="H2233" i="527" s="1"/>
  <c r="AC2321" i="527"/>
  <c r="AC2324" i="527"/>
  <c r="AE2471" i="527"/>
  <c r="H2471" i="527" s="1"/>
  <c r="AC2521" i="527"/>
  <c r="AC2524" i="527"/>
  <c r="D2584" i="527"/>
  <c r="D2586" i="527" s="1"/>
  <c r="AE2621" i="527"/>
  <c r="H2621" i="527" s="1"/>
  <c r="AE2721" i="527"/>
  <c r="H2721" i="527" s="1"/>
  <c r="E2791" i="527"/>
  <c r="D2881" i="527"/>
  <c r="D2887" i="527" s="1"/>
  <c r="E2881" i="527"/>
  <c r="D2974" i="527"/>
  <c r="F2974" i="527"/>
  <c r="E2974" i="527"/>
  <c r="C2974" i="527" s="1"/>
  <c r="B2974" i="527" s="1"/>
  <c r="F3024" i="527"/>
  <c r="E3024" i="527"/>
  <c r="D3024" i="527"/>
  <c r="AA3078" i="527"/>
  <c r="AA3076" i="527"/>
  <c r="AA3074" i="527"/>
  <c r="B3072" i="527"/>
  <c r="AE3078" i="527"/>
  <c r="H3078" i="527" s="1"/>
  <c r="AE3076" i="527"/>
  <c r="H3076" i="527" s="1"/>
  <c r="AE3074" i="527"/>
  <c r="H3074" i="527" s="1"/>
  <c r="D3086" i="527"/>
  <c r="D3088" i="527" s="1"/>
  <c r="F3086" i="527"/>
  <c r="F3088" i="527" s="1"/>
  <c r="E3086" i="527"/>
  <c r="AE3326" i="527"/>
  <c r="H3326" i="527" s="1"/>
  <c r="AE3324" i="527"/>
  <c r="H3324" i="527" s="1"/>
  <c r="AE3322" i="527"/>
  <c r="H3322" i="527" s="1"/>
  <c r="AA3326" i="527"/>
  <c r="AA3324" i="527"/>
  <c r="AA3322" i="527"/>
  <c r="B3320" i="527"/>
  <c r="D3372" i="527"/>
  <c r="F3467" i="527"/>
  <c r="F3470" i="527" s="1"/>
  <c r="F3504" i="527" s="1"/>
  <c r="E3467" i="527"/>
  <c r="D3467" i="527"/>
  <c r="D3470" i="527" s="1"/>
  <c r="D3504" i="527" s="1"/>
  <c r="F3521" i="527"/>
  <c r="E3521" i="527"/>
  <c r="E3524" i="527" s="1"/>
  <c r="D3521" i="527"/>
  <c r="C3674" i="527"/>
  <c r="B3674" i="527" s="1"/>
  <c r="F3692" i="527"/>
  <c r="E3692" i="527"/>
  <c r="C3922" i="527"/>
  <c r="B3922" i="527" s="1"/>
  <c r="E4021" i="527"/>
  <c r="D4021" i="527"/>
  <c r="F4021" i="527"/>
  <c r="F4171" i="527"/>
  <c r="D4171" i="527"/>
  <c r="E4171" i="527"/>
  <c r="AE1671" i="527"/>
  <c r="H1671" i="527" s="1"/>
  <c r="AE1674" i="527"/>
  <c r="H1674" i="527" s="1"/>
  <c r="AE1683" i="527"/>
  <c r="H1683" i="527" s="1"/>
  <c r="AE1685" i="527"/>
  <c r="H1685" i="527" s="1"/>
  <c r="AE1687" i="527"/>
  <c r="H1687" i="527" s="1"/>
  <c r="AE1692" i="527"/>
  <c r="H1692" i="527" s="1"/>
  <c r="AE1694" i="527"/>
  <c r="H1694" i="527" s="1"/>
  <c r="AE2021" i="527"/>
  <c r="H2021" i="527" s="1"/>
  <c r="AE2024" i="527"/>
  <c r="H2024" i="527" s="1"/>
  <c r="AE2031" i="527"/>
  <c r="H2031" i="527" s="1"/>
  <c r="AE2033" i="527"/>
  <c r="H2033" i="527" s="1"/>
  <c r="AE2321" i="527"/>
  <c r="H2321" i="527" s="1"/>
  <c r="AE2521" i="527"/>
  <c r="H2521" i="527" s="1"/>
  <c r="D2824" i="527"/>
  <c r="C2824" i="527" s="1"/>
  <c r="B2824" i="527" s="1"/>
  <c r="E2836" i="527"/>
  <c r="C2831" i="527"/>
  <c r="B2831" i="527" s="1"/>
  <c r="F2924" i="527"/>
  <c r="E2924" i="527"/>
  <c r="F2938" i="527"/>
  <c r="F2940" i="527" s="1"/>
  <c r="E2938" i="527"/>
  <c r="F2988" i="527"/>
  <c r="F2990" i="527" s="1"/>
  <c r="E2988" i="527"/>
  <c r="E3223" i="527"/>
  <c r="D3223" i="527"/>
  <c r="AA3276" i="527"/>
  <c r="AA3274" i="527"/>
  <c r="AA3272" i="527"/>
  <c r="B3270" i="527"/>
  <c r="AE3276" i="527"/>
  <c r="H3276" i="527" s="1"/>
  <c r="AE3274" i="527"/>
  <c r="H3274" i="527" s="1"/>
  <c r="AE3272" i="527"/>
  <c r="H3272" i="527" s="1"/>
  <c r="D3284" i="527"/>
  <c r="D3286" i="527" s="1"/>
  <c r="F3284" i="527"/>
  <c r="F3286" i="527" s="1"/>
  <c r="E3284" i="527"/>
  <c r="F3334" i="527"/>
  <c r="F3336" i="527" s="1"/>
  <c r="E3334" i="527"/>
  <c r="D3334" i="527"/>
  <c r="D3336" i="527" s="1"/>
  <c r="D3391" i="527"/>
  <c r="E3391" i="527"/>
  <c r="E3623" i="527"/>
  <c r="D3623" i="527"/>
  <c r="F3623" i="527"/>
  <c r="F3686" i="527"/>
  <c r="F3688" i="527" s="1"/>
  <c r="E3686" i="527"/>
  <c r="D3686" i="527"/>
  <c r="D3688" i="527" s="1"/>
  <c r="F3771" i="527"/>
  <c r="F3773" i="527" s="1"/>
  <c r="E3771" i="527"/>
  <c r="D3771" i="527"/>
  <c r="D3773" i="527" s="1"/>
  <c r="C3875" i="527"/>
  <c r="E3904" i="527"/>
  <c r="E4128" i="527"/>
  <c r="E4121" i="527"/>
  <c r="D4121" i="527"/>
  <c r="F4121" i="527"/>
  <c r="D2834" i="527"/>
  <c r="D2836" i="527" s="1"/>
  <c r="AE2871" i="527"/>
  <c r="H2871" i="527" s="1"/>
  <c r="D2934" i="527"/>
  <c r="C2934" i="527" s="1"/>
  <c r="B2934" i="527" s="1"/>
  <c r="AE2971" i="527"/>
  <c r="H2971" i="527" s="1"/>
  <c r="F2984" i="527"/>
  <c r="D3035" i="527"/>
  <c r="C3035" i="527" s="1"/>
  <c r="B3035" i="527" s="1"/>
  <c r="AA3219" i="527"/>
  <c r="AA3221" i="527"/>
  <c r="AA3223" i="527"/>
  <c r="D3388" i="527"/>
  <c r="C3388" i="527" s="1"/>
  <c r="B3388" i="527" s="1"/>
  <c r="AL3421" i="527"/>
  <c r="E3435" i="527"/>
  <c r="F3519" i="527"/>
  <c r="F3676" i="527"/>
  <c r="F3678" i="527" s="1"/>
  <c r="F3764" i="527"/>
  <c r="F3766" i="527" s="1"/>
  <c r="D3778" i="527"/>
  <c r="D3780" i="527" s="1"/>
  <c r="C3917" i="527"/>
  <c r="E3927" i="527"/>
  <c r="D3974" i="527"/>
  <c r="B4162" i="527"/>
  <c r="F4221" i="527"/>
  <c r="E4221" i="527"/>
  <c r="D4221" i="527"/>
  <c r="F4271" i="527"/>
  <c r="E4271" i="527"/>
  <c r="D4271" i="527"/>
  <c r="E4383" i="527"/>
  <c r="D4383" i="527"/>
  <c r="F4873" i="527"/>
  <c r="E4873" i="527"/>
  <c r="D4873" i="527"/>
  <c r="F4973" i="527"/>
  <c r="E4973" i="527"/>
  <c r="D4973" i="527"/>
  <c r="F5073" i="527"/>
  <c r="D5073" i="527"/>
  <c r="E5073" i="527"/>
  <c r="AF3072" i="527"/>
  <c r="AA3097" i="527"/>
  <c r="AF3219" i="527"/>
  <c r="H3219" i="527" s="1"/>
  <c r="AF3221" i="527"/>
  <c r="H3221" i="527" s="1"/>
  <c r="AF3270" i="527"/>
  <c r="AF3421" i="527"/>
  <c r="E3778" i="527"/>
  <c r="C3871" i="527"/>
  <c r="B3871" i="527" s="1"/>
  <c r="D3924" i="527"/>
  <c r="C3924" i="527" s="1"/>
  <c r="B3924" i="527" s="1"/>
  <c r="D3972" i="527"/>
  <c r="E3974" i="527"/>
  <c r="C3974" i="527" s="1"/>
  <c r="B3974" i="527" s="1"/>
  <c r="AC4171" i="527"/>
  <c r="AC4169" i="527"/>
  <c r="AE4169" i="527"/>
  <c r="H4169" i="527" s="1"/>
  <c r="D4176" i="527"/>
  <c r="D4178" i="527" s="1"/>
  <c r="E4483" i="527"/>
  <c r="D4483" i="527"/>
  <c r="E4583" i="527"/>
  <c r="D4583" i="527"/>
  <c r="E4683" i="527"/>
  <c r="D4683" i="527"/>
  <c r="F4823" i="527"/>
  <c r="E4823" i="527"/>
  <c r="D4823" i="527"/>
  <c r="AE2821" i="527"/>
  <c r="H2821" i="527" s="1"/>
  <c r="AE2921" i="527"/>
  <c r="H2921" i="527" s="1"/>
  <c r="D2984" i="527"/>
  <c r="C2984" i="527" s="1"/>
  <c r="B2984" i="527" s="1"/>
  <c r="AE3021" i="527"/>
  <c r="H3021" i="527" s="1"/>
  <c r="AH3270" i="527"/>
  <c r="D3519" i="527"/>
  <c r="D3524" i="527" s="1"/>
  <c r="D3527" i="527" s="1"/>
  <c r="D3554" i="527" s="1"/>
  <c r="AA3621" i="527"/>
  <c r="AA3623" i="527"/>
  <c r="D3676" i="527"/>
  <c r="D3678" i="527" s="1"/>
  <c r="D3696" i="527"/>
  <c r="B4012" i="527"/>
  <c r="AC4019" i="527"/>
  <c r="AC4021" i="527"/>
  <c r="B4062" i="527"/>
  <c r="AC4069" i="527"/>
  <c r="AC4071" i="527"/>
  <c r="B4112" i="527"/>
  <c r="AC4119" i="527"/>
  <c r="AC4121" i="527"/>
  <c r="D4126" i="527"/>
  <c r="D4128" i="527" s="1"/>
  <c r="E4226" i="527"/>
  <c r="D4226" i="527"/>
  <c r="D4228" i="527" s="1"/>
  <c r="E4276" i="527"/>
  <c r="D4276" i="527"/>
  <c r="D4278" i="527" s="1"/>
  <c r="E4333" i="527"/>
  <c r="D4333" i="527"/>
  <c r="F4773" i="527"/>
  <c r="E4773" i="527"/>
  <c r="D4773" i="527"/>
  <c r="AE3619" i="527"/>
  <c r="H3619" i="527" s="1"/>
  <c r="AE3621" i="527"/>
  <c r="H3621" i="527" s="1"/>
  <c r="AE4019" i="527"/>
  <c r="H4019" i="527" s="1"/>
  <c r="AE4069" i="527"/>
  <c r="H4069" i="527" s="1"/>
  <c r="AE4119" i="527"/>
  <c r="H4119" i="527" s="1"/>
  <c r="E4433" i="527"/>
  <c r="D4433" i="527"/>
  <c r="E4533" i="527"/>
  <c r="D4533" i="527"/>
  <c r="E4633" i="527"/>
  <c r="D4633" i="527"/>
  <c r="F4723" i="527"/>
  <c r="E4723" i="527"/>
  <c r="D4723" i="527"/>
  <c r="F4923" i="527"/>
  <c r="E4923" i="527"/>
  <c r="D4923" i="527"/>
  <c r="AE5023" i="527"/>
  <c r="H5023" i="527" s="1"/>
  <c r="E5082" i="527"/>
  <c r="F5082" i="527"/>
  <c r="F5084" i="527" s="1"/>
  <c r="E5123" i="527"/>
  <c r="F5123" i="527"/>
  <c r="D5173" i="527"/>
  <c r="F5173" i="527"/>
  <c r="E5173" i="527"/>
  <c r="D5178" i="527"/>
  <c r="D5180" i="527" s="1"/>
  <c r="E5178" i="527"/>
  <c r="E5223" i="527"/>
  <c r="D5223" i="527"/>
  <c r="E5282" i="527"/>
  <c r="F5282" i="527"/>
  <c r="F5284" i="527" s="1"/>
  <c r="E5382" i="527"/>
  <c r="E5482" i="527"/>
  <c r="F5482" i="527"/>
  <c r="F5484" i="527" s="1"/>
  <c r="F5582" i="527"/>
  <c r="F5584" i="527" s="1"/>
  <c r="E5582" i="527"/>
  <c r="AD5626" i="527"/>
  <c r="B5622" i="527"/>
  <c r="Z5626" i="527"/>
  <c r="F5992" i="527"/>
  <c r="F6004" i="527" s="1"/>
  <c r="E5992" i="527"/>
  <c r="D5992" i="527"/>
  <c r="D6004" i="527" s="1"/>
  <c r="AD6026" i="527"/>
  <c r="B6022" i="527"/>
  <c r="Z6026" i="527"/>
  <c r="D6142" i="527"/>
  <c r="D6154" i="527" s="1"/>
  <c r="F6142" i="527"/>
  <c r="F6154" i="527" s="1"/>
  <c r="E6142" i="527"/>
  <c r="F6292" i="527"/>
  <c r="F6304" i="527" s="1"/>
  <c r="E6292" i="527"/>
  <c r="D6292" i="527"/>
  <c r="D6304" i="527" s="1"/>
  <c r="B4212" i="527"/>
  <c r="AC4219" i="527"/>
  <c r="AC4221" i="527"/>
  <c r="B4262" i="527"/>
  <c r="AC4269" i="527"/>
  <c r="AC4271" i="527"/>
  <c r="AC4320" i="527"/>
  <c r="AC4322" i="527"/>
  <c r="AA4329" i="527"/>
  <c r="AA4331" i="527"/>
  <c r="AA4333" i="527"/>
  <c r="D4338" i="527"/>
  <c r="AC4370" i="527"/>
  <c r="AC4372" i="527"/>
  <c r="AA4379" i="527"/>
  <c r="AA4381" i="527"/>
  <c r="AA4383" i="527"/>
  <c r="D4388" i="527"/>
  <c r="AC4420" i="527"/>
  <c r="AC4422" i="527"/>
  <c r="AA4429" i="527"/>
  <c r="AA4431" i="527"/>
  <c r="AA4433" i="527"/>
  <c r="D4438" i="527"/>
  <c r="AC4470" i="527"/>
  <c r="AC4472" i="527"/>
  <c r="AA4479" i="527"/>
  <c r="AA4481" i="527"/>
  <c r="AA4483" i="527"/>
  <c r="D4488" i="527"/>
  <c r="AC4520" i="527"/>
  <c r="AC4522" i="527"/>
  <c r="AA4529" i="527"/>
  <c r="AA4531" i="527"/>
  <c r="AA4533" i="527"/>
  <c r="D4538" i="527"/>
  <c r="AC4570" i="527"/>
  <c r="AC4572" i="527"/>
  <c r="AA4579" i="527"/>
  <c r="AA4581" i="527"/>
  <c r="AA4583" i="527"/>
  <c r="D4588" i="527"/>
  <c r="AC4620" i="527"/>
  <c r="AC4622" i="527"/>
  <c r="AA4629" i="527"/>
  <c r="AA4631" i="527"/>
  <c r="AA4633" i="527"/>
  <c r="D4638" i="527"/>
  <c r="AC4670" i="527"/>
  <c r="AC4672" i="527"/>
  <c r="AA4679" i="527"/>
  <c r="AA4681" i="527"/>
  <c r="AA4683" i="527"/>
  <c r="D4688" i="527"/>
  <c r="AC4721" i="527"/>
  <c r="AC4723" i="527"/>
  <c r="D4728" i="527"/>
  <c r="D4730" i="527" s="1"/>
  <c r="AC4771" i="527"/>
  <c r="AC4773" i="527"/>
  <c r="D4778" i="527"/>
  <c r="D4780" i="527" s="1"/>
  <c r="AC4821" i="527"/>
  <c r="AC4823" i="527"/>
  <c r="D4828" i="527"/>
  <c r="D4830" i="527" s="1"/>
  <c r="AC4871" i="527"/>
  <c r="AC4873" i="527"/>
  <c r="D4878" i="527"/>
  <c r="D4880" i="527" s="1"/>
  <c r="AC4921" i="527"/>
  <c r="AC4923" i="527"/>
  <c r="D4928" i="527"/>
  <c r="D4930" i="527" s="1"/>
  <c r="AC4973" i="527"/>
  <c r="AC5021" i="527"/>
  <c r="AE5071" i="527"/>
  <c r="H5071" i="527" s="1"/>
  <c r="E5182" i="527"/>
  <c r="F5223" i="527"/>
  <c r="AC5273" i="527"/>
  <c r="AC5271" i="527"/>
  <c r="E5280" i="527"/>
  <c r="E5428" i="527"/>
  <c r="D5428" i="527"/>
  <c r="D5430" i="527" s="1"/>
  <c r="F5892" i="527"/>
  <c r="F5904" i="527" s="1"/>
  <c r="E5892" i="527"/>
  <c r="D5892" i="527"/>
  <c r="D5904" i="527" s="1"/>
  <c r="AD5926" i="527"/>
  <c r="B5922" i="527"/>
  <c r="Z5926" i="527"/>
  <c r="D6042" i="527"/>
  <c r="D6054" i="527" s="1"/>
  <c r="F6042" i="527"/>
  <c r="F6054" i="527" s="1"/>
  <c r="E6042" i="527"/>
  <c r="AD6226" i="527"/>
  <c r="B6222" i="527"/>
  <c r="Z6226" i="527"/>
  <c r="D6342" i="527"/>
  <c r="D6354" i="527" s="1"/>
  <c r="F6342" i="527"/>
  <c r="F6354" i="527" s="1"/>
  <c r="E6342" i="527"/>
  <c r="AE4219" i="527"/>
  <c r="H4219" i="527" s="1"/>
  <c r="AE4269" i="527"/>
  <c r="H4269" i="527" s="1"/>
  <c r="AE4320" i="527"/>
  <c r="H4320" i="527" s="1"/>
  <c r="AE4322" i="527"/>
  <c r="H4322" i="527" s="1"/>
  <c r="AE4329" i="527"/>
  <c r="H4329" i="527" s="1"/>
  <c r="AE4331" i="527"/>
  <c r="H4331" i="527" s="1"/>
  <c r="E4338" i="527"/>
  <c r="AE4370" i="527"/>
  <c r="H4370" i="527" s="1"/>
  <c r="AE4372" i="527"/>
  <c r="H4372" i="527" s="1"/>
  <c r="AE4379" i="527"/>
  <c r="H4379" i="527" s="1"/>
  <c r="AE4381" i="527"/>
  <c r="H4381" i="527" s="1"/>
  <c r="E4388" i="527"/>
  <c r="AE4420" i="527"/>
  <c r="H4420" i="527" s="1"/>
  <c r="AE4422" i="527"/>
  <c r="H4422" i="527" s="1"/>
  <c r="AE4429" i="527"/>
  <c r="H4429" i="527" s="1"/>
  <c r="AE4431" i="527"/>
  <c r="H4431" i="527" s="1"/>
  <c r="E4438" i="527"/>
  <c r="AE4470" i="527"/>
  <c r="H4470" i="527" s="1"/>
  <c r="AE4472" i="527"/>
  <c r="H4472" i="527" s="1"/>
  <c r="AE4479" i="527"/>
  <c r="H4479" i="527" s="1"/>
  <c r="AE4481" i="527"/>
  <c r="H4481" i="527" s="1"/>
  <c r="E4488" i="527"/>
  <c r="AE4520" i="527"/>
  <c r="H4520" i="527" s="1"/>
  <c r="AE4522" i="527"/>
  <c r="H4522" i="527" s="1"/>
  <c r="AE4529" i="527"/>
  <c r="H4529" i="527" s="1"/>
  <c r="AE4531" i="527"/>
  <c r="H4531" i="527" s="1"/>
  <c r="E4538" i="527"/>
  <c r="AE4570" i="527"/>
  <c r="H4570" i="527" s="1"/>
  <c r="AE4572" i="527"/>
  <c r="H4572" i="527" s="1"/>
  <c r="AE4579" i="527"/>
  <c r="H4579" i="527" s="1"/>
  <c r="AE4581" i="527"/>
  <c r="H4581" i="527" s="1"/>
  <c r="E4588" i="527"/>
  <c r="AE4620" i="527"/>
  <c r="H4620" i="527" s="1"/>
  <c r="AE4622" i="527"/>
  <c r="H4622" i="527" s="1"/>
  <c r="AE4629" i="527"/>
  <c r="H4629" i="527" s="1"/>
  <c r="AE4631" i="527"/>
  <c r="H4631" i="527" s="1"/>
  <c r="E4638" i="527"/>
  <c r="AE4670" i="527"/>
  <c r="H4670" i="527" s="1"/>
  <c r="AE4672" i="527"/>
  <c r="H4672" i="527" s="1"/>
  <c r="AE4679" i="527"/>
  <c r="H4679" i="527" s="1"/>
  <c r="AE4681" i="527"/>
  <c r="H4681" i="527" s="1"/>
  <c r="E4688" i="527"/>
  <c r="AE4721" i="527"/>
  <c r="H4721" i="527" s="1"/>
  <c r="E4728" i="527"/>
  <c r="AE4771" i="527"/>
  <c r="H4771" i="527" s="1"/>
  <c r="E4778" i="527"/>
  <c r="AE4821" i="527"/>
  <c r="H4821" i="527" s="1"/>
  <c r="E4828" i="527"/>
  <c r="AE4871" i="527"/>
  <c r="H4871" i="527" s="1"/>
  <c r="E4878" i="527"/>
  <c r="AE4921" i="527"/>
  <c r="H4921" i="527" s="1"/>
  <c r="E4928" i="527"/>
  <c r="AE4971" i="527"/>
  <c r="H4971" i="527" s="1"/>
  <c r="AE5021" i="527"/>
  <c r="H5021" i="527" s="1"/>
  <c r="AC5073" i="527"/>
  <c r="E5228" i="527"/>
  <c r="D5228" i="527"/>
  <c r="D5230" i="527" s="1"/>
  <c r="F5232" i="527"/>
  <c r="F5234" i="527" s="1"/>
  <c r="E5275" i="527"/>
  <c r="F5271" i="527"/>
  <c r="D5271" i="527"/>
  <c r="F5332" i="527"/>
  <c r="F5334" i="527" s="1"/>
  <c r="E5332" i="527"/>
  <c r="F5473" i="527"/>
  <c r="E5473" i="527"/>
  <c r="D5473" i="527"/>
  <c r="E5528" i="527"/>
  <c r="D5528" i="527"/>
  <c r="D5530" i="527" s="1"/>
  <c r="F5792" i="527"/>
  <c r="F5804" i="527" s="1"/>
  <c r="E5792" i="527"/>
  <c r="D5792" i="527"/>
  <c r="D5804" i="527" s="1"/>
  <c r="AD5826" i="527"/>
  <c r="B5822" i="527"/>
  <c r="Z5826" i="527"/>
  <c r="D6242" i="527"/>
  <c r="D6254" i="527" s="1"/>
  <c r="F6242" i="527"/>
  <c r="F6254" i="527" s="1"/>
  <c r="E6242" i="527"/>
  <c r="E4980" i="527"/>
  <c r="D5123" i="527"/>
  <c r="F5132" i="527"/>
  <c r="F5134" i="527" s="1"/>
  <c r="E5132" i="527"/>
  <c r="E5234" i="527"/>
  <c r="F5273" i="527"/>
  <c r="D5273" i="527"/>
  <c r="E5323" i="527"/>
  <c r="C5323" i="527" s="1"/>
  <c r="B5323" i="527" s="1"/>
  <c r="F5323" i="527"/>
  <c r="E5328" i="527"/>
  <c r="D5378" i="527"/>
  <c r="D5380" i="527" s="1"/>
  <c r="E5378" i="527"/>
  <c r="F5382" i="527"/>
  <c r="F5384" i="527" s="1"/>
  <c r="E5423" i="527"/>
  <c r="C5423" i="527" s="1"/>
  <c r="B5423" i="527" s="1"/>
  <c r="D5423" i="527"/>
  <c r="E5434" i="527"/>
  <c r="E5523" i="527"/>
  <c r="D5523" i="527"/>
  <c r="F5523" i="527"/>
  <c r="F5692" i="527"/>
  <c r="F5704" i="527" s="1"/>
  <c r="E5692" i="527"/>
  <c r="D5692" i="527"/>
  <c r="D5704" i="527" s="1"/>
  <c r="AD5726" i="527"/>
  <c r="B5722" i="527"/>
  <c r="Z5726" i="527"/>
  <c r="AD6126" i="527"/>
  <c r="B6122" i="527"/>
  <c r="Z6126" i="527"/>
  <c r="F6392" i="527"/>
  <c r="F6404" i="527" s="1"/>
  <c r="E6392" i="527"/>
  <c r="D6392" i="527"/>
  <c r="D6404" i="527" s="1"/>
  <c r="AE5171" i="527"/>
  <c r="H5171" i="527" s="1"/>
  <c r="AE5371" i="527"/>
  <c r="H5371" i="527" s="1"/>
  <c r="AE5373" i="527"/>
  <c r="H5373" i="527" s="1"/>
  <c r="E5532" i="527"/>
  <c r="AE5571" i="527"/>
  <c r="H5571" i="527" s="1"/>
  <c r="AE5573" i="527"/>
  <c r="H5573" i="527" s="1"/>
  <c r="E5578" i="527"/>
  <c r="E5642" i="527"/>
  <c r="Z5672" i="527"/>
  <c r="AM5672" i="527"/>
  <c r="E5742" i="527"/>
  <c r="Z5772" i="527"/>
  <c r="AM5772" i="527"/>
  <c r="E5842" i="527"/>
  <c r="Z5872" i="527"/>
  <c r="AM5872" i="527"/>
  <c r="E5942" i="527"/>
  <c r="Z5972" i="527"/>
  <c r="AM5972" i="527"/>
  <c r="Z6072" i="527"/>
  <c r="AM6072" i="527"/>
  <c r="Z6172" i="527"/>
  <c r="AM6172" i="527"/>
  <c r="Z6272" i="527"/>
  <c r="AM6272" i="527"/>
  <c r="AM6372" i="527"/>
  <c r="F6442" i="527"/>
  <c r="F6454" i="527" s="1"/>
  <c r="D6442" i="527"/>
  <c r="D6454" i="527" s="1"/>
  <c r="AD6526" i="527"/>
  <c r="B6522" i="527"/>
  <c r="Z6526" i="527"/>
  <c r="F6642" i="527"/>
  <c r="F6654" i="527" s="1"/>
  <c r="E6642" i="527"/>
  <c r="D6642" i="527"/>
  <c r="D6654" i="527" s="1"/>
  <c r="Z6676" i="527"/>
  <c r="AD6676" i="527"/>
  <c r="B6672" i="527"/>
  <c r="E6704" i="527"/>
  <c r="AD6826" i="527"/>
  <c r="B6822" i="527"/>
  <c r="Z6826" i="527"/>
  <c r="E6904" i="527"/>
  <c r="F7369" i="527"/>
  <c r="E7369" i="527"/>
  <c r="D7369" i="527"/>
  <c r="D7375" i="527"/>
  <c r="F7375" i="527"/>
  <c r="E7375" i="527"/>
  <c r="AE5221" i="527"/>
  <c r="H5221" i="527" s="1"/>
  <c r="D5278" i="527"/>
  <c r="D5280" i="527" s="1"/>
  <c r="AE5421" i="527"/>
  <c r="H5421" i="527" s="1"/>
  <c r="AC5471" i="527"/>
  <c r="AC5473" i="527"/>
  <c r="D5478" i="527"/>
  <c r="D5480" i="527" s="1"/>
  <c r="F5532" i="527"/>
  <c r="F5534" i="527" s="1"/>
  <c r="AH5622" i="527"/>
  <c r="F5642" i="527"/>
  <c r="F5654" i="527" s="1"/>
  <c r="AH5722" i="527"/>
  <c r="F5742" i="527"/>
  <c r="F5754" i="527" s="1"/>
  <c r="AH5822" i="527"/>
  <c r="F5842" i="527"/>
  <c r="F5854" i="527" s="1"/>
  <c r="AH5922" i="527"/>
  <c r="F5942" i="527"/>
  <c r="F5954" i="527" s="1"/>
  <c r="AH6022" i="527"/>
  <c r="D6092" i="527"/>
  <c r="D6104" i="527" s="1"/>
  <c r="AH6122" i="527"/>
  <c r="AM6322" i="527"/>
  <c r="AM6422" i="527"/>
  <c r="Z6476" i="527"/>
  <c r="AD6476" i="527"/>
  <c r="B6472" i="527"/>
  <c r="F6542" i="527"/>
  <c r="F6554" i="527" s="1"/>
  <c r="E6542" i="527"/>
  <c r="D6542" i="527"/>
  <c r="D6554" i="527" s="1"/>
  <c r="Z6576" i="527"/>
  <c r="AD6576" i="527"/>
  <c r="B6572" i="527"/>
  <c r="E6604" i="527"/>
  <c r="F6842" i="527"/>
  <c r="F6854" i="527" s="1"/>
  <c r="E6842" i="527"/>
  <c r="D6842" i="527"/>
  <c r="D6854" i="527" s="1"/>
  <c r="Z6876" i="527"/>
  <c r="AD6876" i="527"/>
  <c r="B6872" i="527"/>
  <c r="E7004" i="527"/>
  <c r="D7188" i="527"/>
  <c r="F7188" i="527"/>
  <c r="E7188" i="527"/>
  <c r="E7337" i="527"/>
  <c r="D7337" i="527"/>
  <c r="AE5471" i="527"/>
  <c r="H5471" i="527" s="1"/>
  <c r="Z5622" i="527"/>
  <c r="Z5722" i="527"/>
  <c r="Z5822" i="527"/>
  <c r="Z5922" i="527"/>
  <c r="Z6022" i="527"/>
  <c r="E6092" i="527"/>
  <c r="Z6122" i="527"/>
  <c r="E6192" i="527"/>
  <c r="Z6222" i="527"/>
  <c r="E6492" i="527"/>
  <c r="D6492" i="527"/>
  <c r="D6504" i="527" s="1"/>
  <c r="F6492" i="527"/>
  <c r="F6504" i="527" s="1"/>
  <c r="AD6726" i="527"/>
  <c r="B6722" i="527"/>
  <c r="Z6726" i="527"/>
  <c r="E6804" i="527"/>
  <c r="AD6926" i="527"/>
  <c r="B6922" i="527"/>
  <c r="Z6926" i="527"/>
  <c r="AE5121" i="527"/>
  <c r="H5121" i="527" s="1"/>
  <c r="AE5321" i="527"/>
  <c r="H5321" i="527" s="1"/>
  <c r="AC5371" i="527"/>
  <c r="AE5521" i="527"/>
  <c r="H5521" i="527" s="1"/>
  <c r="AC5571" i="527"/>
  <c r="E6442" i="527"/>
  <c r="Z6472" i="527"/>
  <c r="AD6626" i="527"/>
  <c r="B6622" i="527"/>
  <c r="Z6626" i="527"/>
  <c r="F6742" i="527"/>
  <c r="F6754" i="527" s="1"/>
  <c r="E6742" i="527"/>
  <c r="D6742" i="527"/>
  <c r="D6754" i="527" s="1"/>
  <c r="Z6776" i="527"/>
  <c r="AD6776" i="527"/>
  <c r="B6772" i="527"/>
  <c r="AH6572" i="527"/>
  <c r="F6592" i="527"/>
  <c r="F6604" i="527" s="1"/>
  <c r="AH6672" i="527"/>
  <c r="F6692" i="527"/>
  <c r="F6704" i="527" s="1"/>
  <c r="AH6772" i="527"/>
  <c r="F6792" i="527"/>
  <c r="F6804" i="527" s="1"/>
  <c r="AH6872" i="527"/>
  <c r="F6892" i="527"/>
  <c r="F6904" i="527" s="1"/>
  <c r="F6942" i="527"/>
  <c r="F6954" i="527" s="1"/>
  <c r="Z6972" i="527"/>
  <c r="D7023" i="527"/>
  <c r="C7073" i="527"/>
  <c r="B7073" i="527" s="1"/>
  <c r="D7078" i="527"/>
  <c r="D7080" i="527" s="1"/>
  <c r="D7117" i="527"/>
  <c r="E7174" i="527"/>
  <c r="D7174" i="527"/>
  <c r="AC7186" i="527"/>
  <c r="H7186" i="527" s="1"/>
  <c r="F7214" i="527"/>
  <c r="E7214" i="527"/>
  <c r="E7225" i="527"/>
  <c r="AD7404" i="527"/>
  <c r="H7404" i="527" s="1"/>
  <c r="Z6572" i="527"/>
  <c r="Z6672" i="527"/>
  <c r="Z6772" i="527"/>
  <c r="Z6872" i="527"/>
  <c r="D6992" i="527"/>
  <c r="D7004" i="527" s="1"/>
  <c r="F6992" i="527"/>
  <c r="F7004" i="527" s="1"/>
  <c r="F7023" i="527"/>
  <c r="C7023" i="527" s="1"/>
  <c r="B7023" i="527" s="1"/>
  <c r="E7030" i="527"/>
  <c r="F7117" i="527"/>
  <c r="C7117" i="527" s="1"/>
  <c r="B7117" i="527" s="1"/>
  <c r="D7169" i="527"/>
  <c r="E7269" i="527"/>
  <c r="D7269" i="527"/>
  <c r="E7416" i="527"/>
  <c r="D7416" i="527"/>
  <c r="D7724" i="527"/>
  <c r="F7724" i="527"/>
  <c r="E7724" i="527"/>
  <c r="AH6522" i="527"/>
  <c r="D6592" i="527"/>
  <c r="D6604" i="527" s="1"/>
  <c r="AH6622" i="527"/>
  <c r="D6692" i="527"/>
  <c r="D6704" i="527" s="1"/>
  <c r="AH6722" i="527"/>
  <c r="AD6976" i="527"/>
  <c r="B6972" i="527"/>
  <c r="AA7188" i="527"/>
  <c r="AA7186" i="527"/>
  <c r="AA7184" i="527"/>
  <c r="B7182" i="527"/>
  <c r="D7216" i="527"/>
  <c r="C7216" i="527" s="1"/>
  <c r="B7216" i="527" s="1"/>
  <c r="F7227" i="527"/>
  <c r="D7227" i="527"/>
  <c r="E7229" i="527"/>
  <c r="F7269" i="527"/>
  <c r="F7319" i="527"/>
  <c r="E7319" i="527"/>
  <c r="D7319" i="527"/>
  <c r="Z7326" i="527"/>
  <c r="B7324" i="527"/>
  <c r="Z6522" i="527"/>
  <c r="Z6622" i="527"/>
  <c r="Z6722" i="527"/>
  <c r="Z6822" i="527"/>
  <c r="Z6922" i="527"/>
  <c r="E6942" i="527"/>
  <c r="Z6976" i="527"/>
  <c r="E7080" i="527"/>
  <c r="F7184" i="527"/>
  <c r="D7326" i="527"/>
  <c r="F7326" i="527"/>
  <c r="E7342" i="527"/>
  <c r="D7342" i="527"/>
  <c r="Z7375" i="527"/>
  <c r="B7373" i="527"/>
  <c r="D7379" i="527"/>
  <c r="F7379" i="527"/>
  <c r="F7469" i="527"/>
  <c r="E7469" i="527"/>
  <c r="D7469" i="527"/>
  <c r="D7481" i="527" s="1"/>
  <c r="F7562" i="527"/>
  <c r="D7562" i="527"/>
  <c r="E7562" i="527"/>
  <c r="E7564" i="527" s="1"/>
  <c r="AE7489" i="527"/>
  <c r="H7489" i="527" s="1"/>
  <c r="E7525" i="527"/>
  <c r="D7542" i="527"/>
  <c r="F7542" i="527"/>
  <c r="F7623" i="527"/>
  <c r="E7623" i="527"/>
  <c r="D7623" i="527"/>
  <c r="D7721" i="527"/>
  <c r="C7721" i="527" s="1"/>
  <c r="B7721" i="527" s="1"/>
  <c r="F7721" i="527"/>
  <c r="F7169" i="527"/>
  <c r="F7177" i="527" s="1"/>
  <c r="F7216" i="527"/>
  <c r="B7317" i="527"/>
  <c r="Z7319" i="527"/>
  <c r="B7331" i="527"/>
  <c r="AA7333" i="527"/>
  <c r="AA7335" i="527"/>
  <c r="AA7337" i="527"/>
  <c r="B7367" i="527"/>
  <c r="Z7369" i="527"/>
  <c r="B7385" i="527"/>
  <c r="AA7387" i="527"/>
  <c r="AA7389" i="527"/>
  <c r="AA7391" i="527"/>
  <c r="AA7412" i="527"/>
  <c r="AA7414" i="527"/>
  <c r="AA7416" i="527"/>
  <c r="AA7487" i="527"/>
  <c r="AA7491" i="527"/>
  <c r="F7532" i="527"/>
  <c r="D7532" i="527"/>
  <c r="F7681" i="527"/>
  <c r="F7683" i="527" s="1"/>
  <c r="E7681" i="527"/>
  <c r="E8031" i="527"/>
  <c r="D8031" i="527"/>
  <c r="D8033" i="527" s="1"/>
  <c r="F8031" i="527"/>
  <c r="F8033" i="527" s="1"/>
  <c r="AE7333" i="527"/>
  <c r="H7333" i="527" s="1"/>
  <c r="AE7335" i="527"/>
  <c r="H7335" i="527" s="1"/>
  <c r="AE7387" i="527"/>
  <c r="H7387" i="527" s="1"/>
  <c r="AE7389" i="527"/>
  <c r="H7389" i="527" s="1"/>
  <c r="AE7391" i="527"/>
  <c r="H7391" i="527" s="1"/>
  <c r="AE7412" i="527"/>
  <c r="H7412" i="527" s="1"/>
  <c r="AE7414" i="527"/>
  <c r="H7414" i="527" s="1"/>
  <c r="E7475" i="527"/>
  <c r="AE7487" i="527"/>
  <c r="H7487" i="527" s="1"/>
  <c r="AE7491" i="527"/>
  <c r="H7491" i="527" s="1"/>
  <c r="D7523" i="527"/>
  <c r="D7525" i="527" s="1"/>
  <c r="E7618" i="527"/>
  <c r="D7618" i="527"/>
  <c r="E7781" i="527"/>
  <c r="D7781" i="527"/>
  <c r="D7783" i="527" s="1"/>
  <c r="E8081" i="527"/>
  <c r="D8081" i="527"/>
  <c r="D8083" i="527" s="1"/>
  <c r="F8081" i="527"/>
  <c r="F8083" i="527" s="1"/>
  <c r="AE7021" i="527"/>
  <c r="H7021" i="527" s="1"/>
  <c r="AE7071" i="527"/>
  <c r="H7071" i="527" s="1"/>
  <c r="AE7115" i="527"/>
  <c r="H7115" i="527" s="1"/>
  <c r="AE7266" i="527"/>
  <c r="H7266" i="527" s="1"/>
  <c r="F7475" i="527"/>
  <c r="E7479" i="527"/>
  <c r="C7479" i="527" s="1"/>
  <c r="B7479" i="527" s="1"/>
  <c r="F7523" i="527"/>
  <c r="F7525" i="527" s="1"/>
  <c r="C7532" i="527"/>
  <c r="B7532" i="527" s="1"/>
  <c r="D7537" i="527"/>
  <c r="C7537" i="527" s="1"/>
  <c r="B7537" i="527" s="1"/>
  <c r="E7542" i="527"/>
  <c r="E7545" i="527" s="1"/>
  <c r="D7552" i="527"/>
  <c r="D7564" i="527" s="1"/>
  <c r="F7552" i="527"/>
  <c r="C7557" i="527"/>
  <c r="B7557" i="527" s="1"/>
  <c r="E7628" i="527"/>
  <c r="D7681" i="527"/>
  <c r="D7683" i="527" s="1"/>
  <c r="AC7731" i="527"/>
  <c r="AC7724" i="527"/>
  <c r="AC7721" i="527"/>
  <c r="AE7731" i="527"/>
  <c r="H7731" i="527" s="1"/>
  <c r="F7781" i="527"/>
  <c r="F7783" i="527" s="1"/>
  <c r="F7831" i="527"/>
  <c r="F7833" i="527" s="1"/>
  <c r="E7831" i="527"/>
  <c r="D7831" i="527"/>
  <c r="D7833" i="527" s="1"/>
  <c r="F7881" i="527"/>
  <c r="F7883" i="527" s="1"/>
  <c r="E7881" i="527"/>
  <c r="D7881" i="527"/>
  <c r="D7883" i="527" s="1"/>
  <c r="E7981" i="527"/>
  <c r="D7981" i="527"/>
  <c r="D7983" i="527" s="1"/>
  <c r="F7981" i="527"/>
  <c r="F7983" i="527" s="1"/>
  <c r="E8035" i="527"/>
  <c r="F8035" i="527"/>
  <c r="F8037" i="527" s="1"/>
  <c r="E8085" i="527"/>
  <c r="F8132" i="527"/>
  <c r="F8134" i="527" s="1"/>
  <c r="F8182" i="527"/>
  <c r="E8182" i="527"/>
  <c r="E8536" i="527"/>
  <c r="D8536" i="527"/>
  <c r="D8539" i="527" s="1"/>
  <c r="I8608" i="527"/>
  <c r="E8608" i="527"/>
  <c r="I8708" i="527"/>
  <c r="E8708" i="527"/>
  <c r="D8908" i="527"/>
  <c r="D8911" i="527" s="1"/>
  <c r="E8908" i="527"/>
  <c r="J38" i="530"/>
  <c r="E38" i="530"/>
  <c r="I121" i="530"/>
  <c r="F120" i="530"/>
  <c r="I8966" i="527"/>
  <c r="E8966" i="527"/>
  <c r="C8966" i="527" s="1"/>
  <c r="AE7671" i="527"/>
  <c r="H7671" i="527" s="1"/>
  <c r="AE7674" i="527"/>
  <c r="H7674" i="527" s="1"/>
  <c r="AC7821" i="527"/>
  <c r="AC7824" i="527"/>
  <c r="AC7831" i="527"/>
  <c r="AC7871" i="527"/>
  <c r="AC7874" i="527"/>
  <c r="AC7881" i="527"/>
  <c r="D7924" i="527"/>
  <c r="B8114" i="527"/>
  <c r="D8128" i="527"/>
  <c r="D8130" i="527"/>
  <c r="D8132" i="527"/>
  <c r="D8228" i="527"/>
  <c r="E8228" i="527"/>
  <c r="F8244" i="527"/>
  <c r="E8244" i="527"/>
  <c r="C8518" i="527"/>
  <c r="D8808" i="527"/>
  <c r="D8811" i="527" s="1"/>
  <c r="E8808" i="527"/>
  <c r="AE7821" i="527"/>
  <c r="H7821" i="527" s="1"/>
  <c r="AE7824" i="527"/>
  <c r="H7824" i="527" s="1"/>
  <c r="E7835" i="527"/>
  <c r="AE7871" i="527"/>
  <c r="H7871" i="527" s="1"/>
  <c r="AE7874" i="527"/>
  <c r="H7874" i="527" s="1"/>
  <c r="E7885" i="527"/>
  <c r="AC7931" i="527"/>
  <c r="AC7924" i="527"/>
  <c r="AE7921" i="527"/>
  <c r="H7921" i="527" s="1"/>
  <c r="E7924" i="527"/>
  <c r="E7931" i="527"/>
  <c r="E7935" i="527"/>
  <c r="E7985" i="527"/>
  <c r="E8128" i="527"/>
  <c r="E8130" i="527"/>
  <c r="E8132" i="527"/>
  <c r="E8141" i="527"/>
  <c r="AC8221" i="527"/>
  <c r="AC8219" i="527"/>
  <c r="AE8221" i="527"/>
  <c r="H8221" i="527" s="1"/>
  <c r="AE8219" i="527"/>
  <c r="H8219" i="527" s="1"/>
  <c r="D8531" i="527"/>
  <c r="E8531" i="527"/>
  <c r="D9031" i="527"/>
  <c r="F9031" i="527"/>
  <c r="E9031" i="527"/>
  <c r="AE7771" i="527"/>
  <c r="H7771" i="527" s="1"/>
  <c r="AE7774" i="527"/>
  <c r="H7774" i="527" s="1"/>
  <c r="F7931" i="527"/>
  <c r="F7933" i="527" s="1"/>
  <c r="F7935" i="527"/>
  <c r="F7937" i="527" s="1"/>
  <c r="F8085" i="527"/>
  <c r="F8087" i="527" s="1"/>
  <c r="D8119" i="527"/>
  <c r="D8121" i="527"/>
  <c r="C8121" i="527" s="1"/>
  <c r="B8121" i="527" s="1"/>
  <c r="AA8128" i="527"/>
  <c r="AA8130" i="527"/>
  <c r="AE8171" i="527"/>
  <c r="H8171" i="527" s="1"/>
  <c r="AE8169" i="527"/>
  <c r="H8169" i="527" s="1"/>
  <c r="AC8171" i="527"/>
  <c r="AC8169" i="527"/>
  <c r="B8518" i="527"/>
  <c r="F8980" i="527"/>
  <c r="E8980" i="527"/>
  <c r="D8980" i="527"/>
  <c r="G119" i="530"/>
  <c r="G112" i="530"/>
  <c r="G105" i="530"/>
  <c r="G87" i="530"/>
  <c r="G8" i="530"/>
  <c r="I17" i="530"/>
  <c r="F16" i="530"/>
  <c r="AA8232" i="527"/>
  <c r="AA8230" i="527"/>
  <c r="AA8228" i="527"/>
  <c r="B8214" i="527"/>
  <c r="E8313" i="527"/>
  <c r="D8313" i="527"/>
  <c r="D8315" i="527" s="1"/>
  <c r="D8318" i="527" s="1"/>
  <c r="D8354" i="527" s="1"/>
  <c r="E8413" i="527"/>
  <c r="D8413" i="527"/>
  <c r="D8415" i="527" s="1"/>
  <c r="D8418" i="527" s="1"/>
  <c r="D8454" i="527" s="1"/>
  <c r="F8470" i="527"/>
  <c r="F8472" i="527" s="1"/>
  <c r="E8470" i="527"/>
  <c r="F8522" i="527"/>
  <c r="E8520" i="527"/>
  <c r="E8522" i="527" s="1"/>
  <c r="D8520" i="527"/>
  <c r="L8536" i="527" s="1"/>
  <c r="I8536" i="527" s="1"/>
  <c r="E8568" i="527"/>
  <c r="D8568" i="527"/>
  <c r="D8971" i="527"/>
  <c r="AA9031" i="527"/>
  <c r="AA9029" i="527"/>
  <c r="AC9021" i="527"/>
  <c r="AC9019" i="527"/>
  <c r="AE9029" i="527"/>
  <c r="H9029" i="527" s="1"/>
  <c r="AE9021" i="527"/>
  <c r="H9021" i="527" s="1"/>
  <c r="AE9019" i="527"/>
  <c r="H9019" i="527" s="1"/>
  <c r="Z126" i="530"/>
  <c r="Z119" i="530"/>
  <c r="Z112" i="530"/>
  <c r="Z105" i="530"/>
  <c r="Z98" i="530"/>
  <c r="Z87" i="530"/>
  <c r="Z80" i="530"/>
  <c r="Z73" i="530"/>
  <c r="Z66" i="530"/>
  <c r="Z59" i="530"/>
  <c r="Z52" i="530"/>
  <c r="Z45" i="530"/>
  <c r="Z15" i="530"/>
  <c r="Z8" i="530"/>
  <c r="Z30" i="530"/>
  <c r="Z23" i="530"/>
  <c r="Z37" i="530"/>
  <c r="AC7971" i="527"/>
  <c r="AC7974" i="527"/>
  <c r="AC7981" i="527"/>
  <c r="AC8021" i="527"/>
  <c r="AC8024" i="527"/>
  <c r="AC8031" i="527"/>
  <c r="AC8071" i="527"/>
  <c r="AC8074" i="527"/>
  <c r="AC8081" i="527"/>
  <c r="B8164" i="527"/>
  <c r="AA8178" i="527"/>
  <c r="AE8180" i="527"/>
  <c r="H8180" i="527" s="1"/>
  <c r="AE8232" i="527"/>
  <c r="H8232" i="527" s="1"/>
  <c r="E8239" i="527"/>
  <c r="E8468" i="527"/>
  <c r="D8468" i="527"/>
  <c r="E8477" i="527"/>
  <c r="E8481" i="527"/>
  <c r="D8481" i="527"/>
  <c r="D8522" i="527"/>
  <c r="F8527" i="527"/>
  <c r="E8527" i="527"/>
  <c r="F8658" i="527"/>
  <c r="F8661" i="527" s="1"/>
  <c r="E8658" i="527"/>
  <c r="F8758" i="527"/>
  <c r="F8761" i="527" s="1"/>
  <c r="E8758" i="527"/>
  <c r="F8964" i="527"/>
  <c r="F8971" i="527" s="1"/>
  <c r="E8964" i="527"/>
  <c r="D8990" i="527"/>
  <c r="E8990" i="527"/>
  <c r="AE7971" i="527"/>
  <c r="H7971" i="527" s="1"/>
  <c r="AE7974" i="527"/>
  <c r="H7974" i="527" s="1"/>
  <c r="AE8021" i="527"/>
  <c r="H8021" i="527" s="1"/>
  <c r="AE8024" i="527"/>
  <c r="H8024" i="527" s="1"/>
  <c r="AE8071" i="527"/>
  <c r="H8071" i="527" s="1"/>
  <c r="AE8074" i="527"/>
  <c r="H8074" i="527" s="1"/>
  <c r="AE8178" i="527"/>
  <c r="H8178" i="527" s="1"/>
  <c r="AE8230" i="527"/>
  <c r="H8230" i="527" s="1"/>
  <c r="E8263" i="527"/>
  <c r="D8263" i="527"/>
  <c r="D8265" i="527" s="1"/>
  <c r="D8268" i="527" s="1"/>
  <c r="D8304" i="527" s="1"/>
  <c r="E8363" i="527"/>
  <c r="D8363" i="527"/>
  <c r="D8365" i="527" s="1"/>
  <c r="D8368" i="527" s="1"/>
  <c r="D8404" i="527" s="1"/>
  <c r="E8486" i="527"/>
  <c r="D8529" i="527"/>
  <c r="F8858" i="527"/>
  <c r="F8861" i="527" s="1"/>
  <c r="E8858" i="527"/>
  <c r="D8985" i="527"/>
  <c r="C8985" i="527" s="1"/>
  <c r="B8985" i="527" s="1"/>
  <c r="F14" i="530"/>
  <c r="I25" i="530"/>
  <c r="I32" i="530"/>
  <c r="F51" i="530"/>
  <c r="AC8565" i="527"/>
  <c r="AC8568" i="527"/>
  <c r="G98" i="530"/>
  <c r="G73" i="530"/>
  <c r="G66" i="530"/>
  <c r="G59" i="530"/>
  <c r="G52" i="530"/>
  <c r="G45" i="530"/>
  <c r="G15" i="530"/>
  <c r="G30" i="530"/>
  <c r="G23" i="530"/>
  <c r="E22" i="530"/>
  <c r="E29" i="530"/>
  <c r="H37" i="530"/>
  <c r="F37" i="530" s="1"/>
  <c r="AE8565" i="527"/>
  <c r="H8565" i="527" s="1"/>
  <c r="G126" i="530"/>
  <c r="G80" i="530"/>
  <c r="F7" i="530"/>
  <c r="F21" i="530"/>
  <c r="L40" i="530"/>
  <c r="H8" i="529" s="1"/>
  <c r="F44" i="530"/>
  <c r="I54" i="530"/>
  <c r="F53" i="530"/>
  <c r="I82" i="530"/>
  <c r="F81" i="530"/>
  <c r="I114" i="530"/>
  <c r="F113" i="530"/>
  <c r="E24" i="530"/>
  <c r="E31" i="530"/>
  <c r="F58" i="530"/>
  <c r="F94" i="530"/>
  <c r="E16" i="529" s="1"/>
  <c r="S5" i="534"/>
  <c r="S6" i="534"/>
  <c r="S7" i="534"/>
  <c r="S8" i="534"/>
  <c r="S9" i="534"/>
  <c r="S10" i="534"/>
  <c r="S11" i="534"/>
  <c r="S12" i="534"/>
  <c r="S13" i="534"/>
  <c r="S14" i="534"/>
  <c r="S15" i="534"/>
  <c r="S16" i="534"/>
  <c r="S17" i="534"/>
  <c r="S18" i="534"/>
  <c r="S19" i="534"/>
  <c r="S20" i="534"/>
  <c r="S21" i="534"/>
  <c r="S22" i="534"/>
  <c r="S23" i="534"/>
  <c r="S24" i="534"/>
  <c r="S25" i="534"/>
  <c r="S26" i="534"/>
  <c r="S27" i="534"/>
  <c r="S28" i="534"/>
  <c r="S32" i="534"/>
  <c r="S36" i="534"/>
  <c r="S40" i="534"/>
  <c r="S44" i="534"/>
  <c r="S48" i="534"/>
  <c r="S52" i="534"/>
  <c r="S56" i="534"/>
  <c r="S60" i="534"/>
  <c r="S64" i="534"/>
  <c r="S68" i="534"/>
  <c r="S72" i="534"/>
  <c r="S76" i="534"/>
  <c r="S80" i="534"/>
  <c r="S84" i="534"/>
  <c r="S88" i="534"/>
  <c r="S92" i="534"/>
  <c r="S96" i="534"/>
  <c r="S100" i="534"/>
  <c r="S104" i="534"/>
  <c r="S108" i="534"/>
  <c r="S112" i="534"/>
  <c r="Z113" i="530"/>
  <c r="Z120" i="530"/>
  <c r="Z127" i="530"/>
  <c r="S31" i="534"/>
  <c r="S35" i="534"/>
  <c r="S39" i="534"/>
  <c r="S43" i="534"/>
  <c r="S47" i="534"/>
  <c r="S51" i="534"/>
  <c r="S55" i="534"/>
  <c r="S59" i="534"/>
  <c r="S63" i="534"/>
  <c r="S67" i="534"/>
  <c r="S71" i="534"/>
  <c r="S75" i="534"/>
  <c r="S79" i="534"/>
  <c r="S83" i="534"/>
  <c r="S87" i="534"/>
  <c r="S91" i="534"/>
  <c r="S95" i="534"/>
  <c r="S99" i="534"/>
  <c r="S103" i="534"/>
  <c r="S107" i="534"/>
  <c r="S111" i="534"/>
  <c r="F65" i="530"/>
  <c r="F72" i="530"/>
  <c r="F79" i="530"/>
  <c r="F86" i="530"/>
  <c r="F93" i="530"/>
  <c r="F97" i="530"/>
  <c r="F104" i="530"/>
  <c r="F111" i="530"/>
  <c r="F118" i="530"/>
  <c r="F125" i="530"/>
  <c r="S30" i="534"/>
  <c r="S34" i="534"/>
  <c r="S38" i="534"/>
  <c r="S42" i="534"/>
  <c r="S46" i="534"/>
  <c r="S50" i="534"/>
  <c r="S54" i="534"/>
  <c r="S58" i="534"/>
  <c r="S62" i="534"/>
  <c r="S66" i="534"/>
  <c r="S70" i="534"/>
  <c r="S74" i="534"/>
  <c r="S78" i="534"/>
  <c r="S82" i="534"/>
  <c r="S86" i="534"/>
  <c r="S90" i="534"/>
  <c r="S94" i="534"/>
  <c r="S98" i="534"/>
  <c r="S102" i="534"/>
  <c r="S106" i="534"/>
  <c r="B4" i="477"/>
  <c r="B16" i="477"/>
  <c r="B7" i="478"/>
  <c r="D10" i="478"/>
  <c r="B10" i="478"/>
  <c r="B7" i="477"/>
  <c r="B10" i="477"/>
  <c r="D10" i="477"/>
  <c r="B16" i="478"/>
  <c r="B14" i="478"/>
  <c r="B13" i="478"/>
  <c r="B4" i="478"/>
  <c r="B26" i="478"/>
  <c r="D25" i="478"/>
  <c r="B19" i="478"/>
  <c r="D25" i="477"/>
  <c r="B26" i="477"/>
  <c r="B22" i="477"/>
  <c r="B19" i="477"/>
  <c r="C7724" i="527" l="1"/>
  <c r="B7724" i="527" s="1"/>
  <c r="F7219" i="527"/>
  <c r="C2434" i="527"/>
  <c r="B2434" i="527" s="1"/>
  <c r="H1626" i="525"/>
  <c r="F224" i="524" s="1"/>
  <c r="J1119" i="525"/>
  <c r="L3276" i="527"/>
  <c r="I3276" i="527" s="1"/>
  <c r="L3326" i="527"/>
  <c r="I3326" i="527" s="1"/>
  <c r="L3177" i="527"/>
  <c r="I3177" i="527" s="1"/>
  <c r="L64" i="527"/>
  <c r="I64" i="527" s="1"/>
  <c r="K2055" i="525"/>
  <c r="L2055" i="525" s="1"/>
  <c r="L2056" i="525" s="1"/>
  <c r="H279" i="524" s="1"/>
  <c r="L143" i="523" s="1"/>
  <c r="M143" i="523" s="1"/>
  <c r="L3078" i="527"/>
  <c r="I3078" i="527" s="1"/>
  <c r="K2060" i="525"/>
  <c r="L2060" i="525" s="1"/>
  <c r="L2061" i="525" s="1"/>
  <c r="H280" i="524" s="1"/>
  <c r="L144" i="523" s="1"/>
  <c r="M144" i="523" s="1"/>
  <c r="K2679" i="525"/>
  <c r="L2679" i="525" s="1"/>
  <c r="L2685" i="525" s="1"/>
  <c r="H343" i="524" s="1"/>
  <c r="L95" i="523" s="1"/>
  <c r="M95" i="523" s="1"/>
  <c r="K2616" i="525"/>
  <c r="L2616" i="525" s="1"/>
  <c r="L2622" i="525" s="1"/>
  <c r="H336" i="524" s="1"/>
  <c r="L88" i="523" s="1"/>
  <c r="M88" i="523" s="1"/>
  <c r="K2492" i="525"/>
  <c r="L2492" i="525" s="1"/>
  <c r="K2652" i="525"/>
  <c r="L2652" i="525" s="1"/>
  <c r="L2658" i="525" s="1"/>
  <c r="H340" i="524" s="1"/>
  <c r="L92" i="523" s="1"/>
  <c r="M92" i="523" s="1"/>
  <c r="K2625" i="525"/>
  <c r="L2625" i="525" s="1"/>
  <c r="L2631" i="525" s="1"/>
  <c r="H337" i="524" s="1"/>
  <c r="L89" i="523" s="1"/>
  <c r="M89" i="523" s="1"/>
  <c r="K2608" i="525"/>
  <c r="L2608" i="525" s="1"/>
  <c r="L2613" i="525" s="1"/>
  <c r="H335" i="524" s="1"/>
  <c r="L99" i="523" s="1"/>
  <c r="M99" i="523" s="1"/>
  <c r="K2600" i="525"/>
  <c r="L2600" i="525" s="1"/>
  <c r="L2605" i="525" s="1"/>
  <c r="H334" i="524" s="1"/>
  <c r="L98" i="523" s="1"/>
  <c r="M98" i="523" s="1"/>
  <c r="K2540" i="525"/>
  <c r="L2540" i="525" s="1"/>
  <c r="K2533" i="525"/>
  <c r="L2533" i="525" s="1"/>
  <c r="K2392" i="525"/>
  <c r="L2392" i="525" s="1"/>
  <c r="L2399" i="525" s="1"/>
  <c r="H309" i="524" s="1"/>
  <c r="L75" i="523" s="1"/>
  <c r="M75" i="523" s="1"/>
  <c r="K2267" i="525"/>
  <c r="L2267" i="525" s="1"/>
  <c r="K2150" i="525"/>
  <c r="L2150" i="525" s="1"/>
  <c r="K1953" i="525"/>
  <c r="L1953" i="525" s="1"/>
  <c r="K1894" i="525"/>
  <c r="L1894" i="525" s="1"/>
  <c r="K1887" i="525"/>
  <c r="L1887" i="525" s="1"/>
  <c r="K1843" i="525"/>
  <c r="L1843" i="525" s="1"/>
  <c r="L1853" i="525" s="1"/>
  <c r="H249" i="524" s="1"/>
  <c r="L63" i="523" s="1"/>
  <c r="M63" i="523" s="1"/>
  <c r="K1830" i="525"/>
  <c r="L1830" i="525" s="1"/>
  <c r="L1840" i="525" s="1"/>
  <c r="H248" i="524" s="1"/>
  <c r="L62" i="523" s="1"/>
  <c r="M62" i="523" s="1"/>
  <c r="K1817" i="525"/>
  <c r="L1817" i="525" s="1"/>
  <c r="L1827" i="525" s="1"/>
  <c r="H247" i="524" s="1"/>
  <c r="L61" i="523" s="1"/>
  <c r="M61" i="523" s="1"/>
  <c r="K1811" i="525"/>
  <c r="L1811" i="525" s="1"/>
  <c r="K1804" i="525"/>
  <c r="L1804" i="525" s="1"/>
  <c r="K1797" i="525"/>
  <c r="L1797" i="525" s="1"/>
  <c r="K1790" i="525"/>
  <c r="L1790" i="525" s="1"/>
  <c r="K1783" i="525"/>
  <c r="L1783" i="525" s="1"/>
  <c r="K1776" i="525"/>
  <c r="L1776" i="525" s="1"/>
  <c r="K1764" i="525"/>
  <c r="L1764" i="525" s="1"/>
  <c r="K1721" i="525"/>
  <c r="L1721" i="525" s="1"/>
  <c r="L1730" i="525" s="1"/>
  <c r="H235" i="524" s="1"/>
  <c r="L68" i="523" s="1"/>
  <c r="M68" i="523" s="1"/>
  <c r="K1698" i="525"/>
  <c r="L1698" i="525" s="1"/>
  <c r="L1706" i="525" s="1"/>
  <c r="H233" i="524" s="1"/>
  <c r="L72" i="523" s="1"/>
  <c r="M72" i="523" s="1"/>
  <c r="K1547" i="525"/>
  <c r="L1547" i="525" s="1"/>
  <c r="K1480" i="525"/>
  <c r="L1480" i="525" s="1"/>
  <c r="K1285" i="525"/>
  <c r="L1285" i="525" s="1"/>
  <c r="K866" i="525"/>
  <c r="L866" i="525" s="1"/>
  <c r="K852" i="525"/>
  <c r="L852" i="525" s="1"/>
  <c r="K803" i="525"/>
  <c r="L803" i="525" s="1"/>
  <c r="L810" i="525" s="1"/>
  <c r="H112" i="524" s="1"/>
  <c r="L42" i="523" s="1"/>
  <c r="M42" i="523" s="1"/>
  <c r="K773" i="525"/>
  <c r="L773" i="525" s="1"/>
  <c r="K723" i="525"/>
  <c r="L723" i="525" s="1"/>
  <c r="K631" i="525"/>
  <c r="L631" i="525" s="1"/>
  <c r="K613" i="525"/>
  <c r="L613" i="525" s="1"/>
  <c r="K577" i="525"/>
  <c r="L577" i="525" s="1"/>
  <c r="K568" i="525"/>
  <c r="L568" i="525" s="1"/>
  <c r="K559" i="525"/>
  <c r="L559" i="525" s="1"/>
  <c r="K551" i="525"/>
  <c r="L551" i="525" s="1"/>
  <c r="K526" i="525"/>
  <c r="L526" i="525" s="1"/>
  <c r="K499" i="525"/>
  <c r="L499" i="525" s="1"/>
  <c r="K176" i="525"/>
  <c r="L176" i="525" s="1"/>
  <c r="K167" i="525"/>
  <c r="L167" i="525" s="1"/>
  <c r="K158" i="525"/>
  <c r="L158" i="525" s="1"/>
  <c r="K149" i="525"/>
  <c r="L149" i="525" s="1"/>
  <c r="K140" i="525"/>
  <c r="L140" i="525" s="1"/>
  <c r="K2661" i="525"/>
  <c r="L2661" i="525" s="1"/>
  <c r="L2667" i="525" s="1"/>
  <c r="H341" i="524" s="1"/>
  <c r="L93" i="523" s="1"/>
  <c r="M93" i="523" s="1"/>
  <c r="K2634" i="525"/>
  <c r="L2634" i="525" s="1"/>
  <c r="L2640" i="525" s="1"/>
  <c r="H338" i="524" s="1"/>
  <c r="L90" i="523" s="1"/>
  <c r="M90" i="523" s="1"/>
  <c r="K2584" i="525"/>
  <c r="L2584" i="525" s="1"/>
  <c r="K2515" i="525"/>
  <c r="L2515" i="525" s="1"/>
  <c r="K2503" i="525"/>
  <c r="L2503" i="525" s="1"/>
  <c r="K2472" i="525"/>
  <c r="L2472" i="525" s="1"/>
  <c r="K2442" i="525"/>
  <c r="L2442" i="525" s="1"/>
  <c r="L2449" i="525" s="1"/>
  <c r="H314" i="524" s="1"/>
  <c r="L80" i="523" s="1"/>
  <c r="M80" i="523" s="1"/>
  <c r="K2422" i="525"/>
  <c r="L2422" i="525" s="1"/>
  <c r="L2429" i="525" s="1"/>
  <c r="H312" i="524" s="1"/>
  <c r="L78" i="523" s="1"/>
  <c r="M78" i="523" s="1"/>
  <c r="K2412" i="525"/>
  <c r="L2412" i="525" s="1"/>
  <c r="L2419" i="525" s="1"/>
  <c r="H311" i="524" s="1"/>
  <c r="L77" i="523" s="1"/>
  <c r="M77" i="523" s="1"/>
  <c r="K2336" i="525"/>
  <c r="L2336" i="525" s="1"/>
  <c r="L2342" i="525" s="1"/>
  <c r="H303" i="524" s="1"/>
  <c r="L84" i="523" s="1"/>
  <c r="M84" i="523" s="1"/>
  <c r="K2327" i="525"/>
  <c r="L2327" i="525" s="1"/>
  <c r="L2333" i="525" s="1"/>
  <c r="H302" i="524" s="1"/>
  <c r="L83" i="523" s="1"/>
  <c r="M83" i="523" s="1"/>
  <c r="K2307" i="525"/>
  <c r="L2307" i="525" s="1"/>
  <c r="K2287" i="525"/>
  <c r="L2287" i="525" s="1"/>
  <c r="K2247" i="525"/>
  <c r="L2247" i="525" s="1"/>
  <c r="K2207" i="525"/>
  <c r="L2207" i="525" s="1"/>
  <c r="K1733" i="525"/>
  <c r="L1733" i="525" s="1"/>
  <c r="L1742" i="525" s="1"/>
  <c r="H236" i="524" s="1"/>
  <c r="L69" i="523" s="1"/>
  <c r="M69" i="523" s="1"/>
  <c r="K1526" i="525"/>
  <c r="L1526" i="525" s="1"/>
  <c r="K1503" i="525"/>
  <c r="L1503" i="525" s="1"/>
  <c r="K1495" i="525"/>
  <c r="L1495" i="525" s="1"/>
  <c r="K1467" i="525"/>
  <c r="L1467" i="525" s="1"/>
  <c r="K1374" i="525"/>
  <c r="L1374" i="525" s="1"/>
  <c r="K1367" i="525"/>
  <c r="L1367" i="525" s="1"/>
  <c r="K1359" i="525"/>
  <c r="L1359" i="525" s="1"/>
  <c r="K1351" i="525"/>
  <c r="L1351" i="525" s="1"/>
  <c r="K1306" i="525"/>
  <c r="L1306" i="525" s="1"/>
  <c r="K1292" i="525"/>
  <c r="L1292" i="525" s="1"/>
  <c r="K763" i="525"/>
  <c r="L763" i="525" s="1"/>
  <c r="K733" i="525"/>
  <c r="L733" i="525" s="1"/>
  <c r="K637" i="525"/>
  <c r="L637" i="525" s="1"/>
  <c r="K619" i="525"/>
  <c r="L619" i="525" s="1"/>
  <c r="L622" i="525" s="1"/>
  <c r="H89" i="524" s="1"/>
  <c r="L253" i="523" s="1"/>
  <c r="M253" i="523" s="1"/>
  <c r="K535" i="525"/>
  <c r="L535" i="525" s="1"/>
  <c r="K517" i="525"/>
  <c r="L517" i="525" s="1"/>
  <c r="K508" i="525"/>
  <c r="L508" i="525" s="1"/>
  <c r="K2592" i="525"/>
  <c r="L2592" i="525" s="1"/>
  <c r="L2597" i="525" s="1"/>
  <c r="H333" i="524" s="1"/>
  <c r="L97" i="523" s="1"/>
  <c r="M97" i="523" s="1"/>
  <c r="K2402" i="525"/>
  <c r="L2402" i="525" s="1"/>
  <c r="L2409" i="525" s="1"/>
  <c r="H310" i="524" s="1"/>
  <c r="L76" i="523" s="1"/>
  <c r="M76" i="523" s="1"/>
  <c r="K2382" i="525"/>
  <c r="L2382" i="525" s="1"/>
  <c r="L2389" i="525" s="1"/>
  <c r="H308" i="524" s="1"/>
  <c r="L74" i="523" s="1"/>
  <c r="M74" i="523" s="1"/>
  <c r="K2485" i="525"/>
  <c r="L2485" i="525" s="1"/>
  <c r="K2478" i="525"/>
  <c r="L2478" i="525" s="1"/>
  <c r="K2372" i="525"/>
  <c r="L2372" i="525" s="1"/>
  <c r="L2379" i="525" s="1"/>
  <c r="H307" i="524" s="1"/>
  <c r="L73" i="523" s="1"/>
  <c r="M73" i="523" s="1"/>
  <c r="K2363" i="525"/>
  <c r="L2363" i="525" s="1"/>
  <c r="L2369" i="525" s="1"/>
  <c r="H306" i="524" s="1"/>
  <c r="L87" i="523" s="1"/>
  <c r="M87" i="523" s="1"/>
  <c r="K2188" i="525"/>
  <c r="L2188" i="525" s="1"/>
  <c r="K1977" i="525"/>
  <c r="L1977" i="525" s="1"/>
  <c r="K1969" i="525"/>
  <c r="L1969" i="525" s="1"/>
  <c r="K1687" i="525"/>
  <c r="L1687" i="525" s="1"/>
  <c r="K1518" i="525"/>
  <c r="L1518" i="525" s="1"/>
  <c r="K1510" i="525"/>
  <c r="L1510" i="525" s="1"/>
  <c r="K1487" i="525"/>
  <c r="L1487" i="525" s="1"/>
  <c r="K783" i="525"/>
  <c r="L783" i="525" s="1"/>
  <c r="L790" i="525" s="1"/>
  <c r="H110" i="524" s="1"/>
  <c r="L45" i="523" s="1"/>
  <c r="M45" i="523" s="1"/>
  <c r="K713" i="525"/>
  <c r="L713" i="525" s="1"/>
  <c r="K706" i="525"/>
  <c r="L706" i="525" s="1"/>
  <c r="K699" i="525"/>
  <c r="L699" i="525" s="1"/>
  <c r="L703" i="525" s="1"/>
  <c r="H101" i="524" s="1"/>
  <c r="L250" i="523" s="1"/>
  <c r="M250" i="523" s="1"/>
  <c r="K692" i="525"/>
  <c r="L692" i="525" s="1"/>
  <c r="K685" i="525"/>
  <c r="L685" i="525" s="1"/>
  <c r="K678" i="525"/>
  <c r="L678" i="525" s="1"/>
  <c r="L682" i="525" s="1"/>
  <c r="H98" i="524" s="1"/>
  <c r="L247" i="523" s="1"/>
  <c r="M247" i="523" s="1"/>
  <c r="K671" i="525"/>
  <c r="L671" i="525" s="1"/>
  <c r="K664" i="525"/>
  <c r="L664" i="525" s="1"/>
  <c r="K657" i="525"/>
  <c r="L657" i="525" s="1"/>
  <c r="K650" i="525"/>
  <c r="L650" i="525" s="1"/>
  <c r="K643" i="525"/>
  <c r="L643" i="525" s="1"/>
  <c r="L647" i="525" s="1"/>
  <c r="H93" i="524" s="1"/>
  <c r="L242" i="523" s="1"/>
  <c r="M242" i="523" s="1"/>
  <c r="K123" i="525"/>
  <c r="L123" i="525" s="1"/>
  <c r="K107" i="525"/>
  <c r="L107" i="525" s="1"/>
  <c r="K2670" i="525"/>
  <c r="L2670" i="525" s="1"/>
  <c r="L2676" i="525" s="1"/>
  <c r="H342" i="524" s="1"/>
  <c r="L94" i="523" s="1"/>
  <c r="M94" i="523" s="1"/>
  <c r="K1881" i="525"/>
  <c r="L1881" i="525" s="1"/>
  <c r="K1770" i="525"/>
  <c r="L1770" i="525" s="1"/>
  <c r="K1745" i="525"/>
  <c r="L1745" i="525" s="1"/>
  <c r="L1754" i="525" s="1"/>
  <c r="H237" i="524" s="1"/>
  <c r="L70" i="523" s="1"/>
  <c r="M70" i="523" s="1"/>
  <c r="K1675" i="525"/>
  <c r="L1675" i="525" s="1"/>
  <c r="L1684" i="525" s="1"/>
  <c r="H231" i="524" s="1"/>
  <c r="L66" i="523" s="1"/>
  <c r="M66" i="523" s="1"/>
  <c r="K1454" i="525"/>
  <c r="L1454" i="525" s="1"/>
  <c r="K1312" i="525"/>
  <c r="L1312" i="525" s="1"/>
  <c r="K2462" i="525"/>
  <c r="L2462" i="525" s="1"/>
  <c r="L2469" i="525" s="1"/>
  <c r="H316" i="524" s="1"/>
  <c r="L82" i="523" s="1"/>
  <c r="M82" i="523" s="1"/>
  <c r="K2227" i="525"/>
  <c r="L2227" i="525" s="1"/>
  <c r="K2169" i="525"/>
  <c r="L2169" i="525" s="1"/>
  <c r="K2643" i="525"/>
  <c r="L2643" i="525" s="1"/>
  <c r="L2649" i="525" s="1"/>
  <c r="H339" i="524" s="1"/>
  <c r="L91" i="523" s="1"/>
  <c r="M91" i="523" s="1"/>
  <c r="K2452" i="525"/>
  <c r="L2452" i="525" s="1"/>
  <c r="L2459" i="525" s="1"/>
  <c r="H315" i="524" s="1"/>
  <c r="L81" i="523" s="1"/>
  <c r="M81" i="523" s="1"/>
  <c r="K2354" i="525"/>
  <c r="L2354" i="525" s="1"/>
  <c r="K2345" i="525"/>
  <c r="L2345" i="525" s="1"/>
  <c r="L2351" i="525" s="1"/>
  <c r="H304" i="524" s="1"/>
  <c r="L85" i="523" s="1"/>
  <c r="M85" i="523" s="1"/>
  <c r="K1856" i="525"/>
  <c r="L1856" i="525" s="1"/>
  <c r="L1866" i="525" s="1"/>
  <c r="H250" i="524" s="1"/>
  <c r="L64" i="523" s="1"/>
  <c r="M64" i="523" s="1"/>
  <c r="K1758" i="525"/>
  <c r="L1758" i="525" s="1"/>
  <c r="K1663" i="525"/>
  <c r="L1663" i="525" s="1"/>
  <c r="L1672" i="525" s="1"/>
  <c r="H230" i="524" s="1"/>
  <c r="L65" i="523" s="1"/>
  <c r="M65" i="523" s="1"/>
  <c r="K1442" i="525"/>
  <c r="L1442" i="525" s="1"/>
  <c r="K1343" i="525"/>
  <c r="L1343" i="525" s="1"/>
  <c r="K1336" i="525"/>
  <c r="L1336" i="525" s="1"/>
  <c r="K1328" i="525"/>
  <c r="L1328" i="525" s="1"/>
  <c r="K1299" i="525"/>
  <c r="L1299" i="525" s="1"/>
  <c r="K859" i="525"/>
  <c r="L859" i="525" s="1"/>
  <c r="K793" i="525"/>
  <c r="L793" i="525" s="1"/>
  <c r="K625" i="525"/>
  <c r="L625" i="525" s="1"/>
  <c r="K586" i="525"/>
  <c r="L586" i="525" s="1"/>
  <c r="L592" i="525" s="1"/>
  <c r="H85" i="524" s="1"/>
  <c r="L55" i="523" s="1"/>
  <c r="M55" i="523" s="1"/>
  <c r="K131" i="525"/>
  <c r="L131" i="525" s="1"/>
  <c r="K1709" i="525"/>
  <c r="L1709" i="525" s="1"/>
  <c r="K490" i="525"/>
  <c r="L490" i="525" s="1"/>
  <c r="K743" i="525"/>
  <c r="L743" i="525" s="1"/>
  <c r="K543" i="525"/>
  <c r="L543" i="525" s="1"/>
  <c r="K2527" i="525"/>
  <c r="L2527" i="525" s="1"/>
  <c r="K2432" i="525"/>
  <c r="L2432" i="525" s="1"/>
  <c r="L2439" i="525" s="1"/>
  <c r="H313" i="524" s="1"/>
  <c r="L79" i="523" s="1"/>
  <c r="M79" i="523" s="1"/>
  <c r="K1962" i="525"/>
  <c r="L1962" i="525" s="1"/>
  <c r="K1320" i="525"/>
  <c r="L1320" i="525" s="1"/>
  <c r="K753" i="525"/>
  <c r="L753" i="525" s="1"/>
  <c r="L760" i="525" s="1"/>
  <c r="H107" i="524" s="1"/>
  <c r="L37" i="523" s="1"/>
  <c r="M37" i="523" s="1"/>
  <c r="K604" i="525"/>
  <c r="L604" i="525" s="1"/>
  <c r="L610" i="525" s="1"/>
  <c r="H87" i="524" s="1"/>
  <c r="L57" i="523" s="1"/>
  <c r="M57" i="523" s="1"/>
  <c r="K595" i="525"/>
  <c r="L595" i="525" s="1"/>
  <c r="K115" i="525"/>
  <c r="L115" i="525" s="1"/>
  <c r="K874" i="525"/>
  <c r="L874" i="525" s="1"/>
  <c r="E106" i="530"/>
  <c r="J106" i="530"/>
  <c r="C9031" i="527"/>
  <c r="B9031" i="527" s="1"/>
  <c r="C6792" i="527"/>
  <c r="B6792" i="527" s="1"/>
  <c r="D3977" i="527"/>
  <c r="D3980" i="527" s="1"/>
  <c r="D4004" i="527" s="1"/>
  <c r="C3764" i="527"/>
  <c r="B3764" i="527" s="1"/>
  <c r="C2924" i="527"/>
  <c r="B2924" i="527" s="1"/>
  <c r="F2436" i="527"/>
  <c r="C324" i="527"/>
  <c r="B324" i="527" s="1"/>
  <c r="C1496" i="527"/>
  <c r="B1496" i="527" s="1"/>
  <c r="L532" i="525"/>
  <c r="H78" i="524" s="1"/>
  <c r="L47" i="523" s="1"/>
  <c r="M47" i="523" s="1"/>
  <c r="L496" i="525"/>
  <c r="H74" i="524" s="1"/>
  <c r="L48" i="523" s="1"/>
  <c r="M48" i="523" s="1"/>
  <c r="L800" i="525"/>
  <c r="H111" i="524" s="1"/>
  <c r="L46" i="523" s="1"/>
  <c r="M46" i="523" s="1"/>
  <c r="L720" i="525"/>
  <c r="H103" i="524" s="1"/>
  <c r="L38" i="523" s="1"/>
  <c r="M38" i="523" s="1"/>
  <c r="L661" i="525"/>
  <c r="H95" i="524" s="1"/>
  <c r="L244" i="523" s="1"/>
  <c r="M244" i="523" s="1"/>
  <c r="L640" i="525"/>
  <c r="H92" i="524" s="1"/>
  <c r="L251" i="523" s="1"/>
  <c r="M251" i="523" s="1"/>
  <c r="L616" i="525"/>
  <c r="H88" i="524" s="1"/>
  <c r="L252" i="523" s="1"/>
  <c r="M252" i="523" s="1"/>
  <c r="L583" i="525"/>
  <c r="H84" i="524" s="1"/>
  <c r="L54" i="523" s="1"/>
  <c r="M54" i="523" s="1"/>
  <c r="L1718" i="525"/>
  <c r="H234" i="524" s="1"/>
  <c r="L67" i="523" s="1"/>
  <c r="M67" i="523" s="1"/>
  <c r="L2360" i="525"/>
  <c r="H305" i="524" s="1"/>
  <c r="L86" i="523" s="1"/>
  <c r="M86" i="523" s="1"/>
  <c r="L696" i="525"/>
  <c r="H100" i="524" s="1"/>
  <c r="L249" i="523" s="1"/>
  <c r="M249" i="523" s="1"/>
  <c r="F218" i="525"/>
  <c r="E37" i="524" s="1"/>
  <c r="L1796" i="527"/>
  <c r="L1696" i="527"/>
  <c r="E9" i="530"/>
  <c r="J9" i="530"/>
  <c r="E2144" i="527"/>
  <c r="E2584" i="527"/>
  <c r="E2586" i="527" s="1"/>
  <c r="L856" i="525"/>
  <c r="H120" i="524" s="1"/>
  <c r="L190" i="523" s="1"/>
  <c r="M190" i="523" s="1"/>
  <c r="M180" i="523" s="1"/>
  <c r="G8" i="522" s="1"/>
  <c r="L675" i="525"/>
  <c r="H97" i="524" s="1"/>
  <c r="L241" i="523" s="1"/>
  <c r="M241" i="523" s="1"/>
  <c r="L634" i="525"/>
  <c r="H91" i="524" s="1"/>
  <c r="L255" i="523" s="1"/>
  <c r="M255" i="523" s="1"/>
  <c r="L574" i="525"/>
  <c r="H83" i="524" s="1"/>
  <c r="L53" i="523" s="1"/>
  <c r="M53" i="523" s="1"/>
  <c r="L548" i="525"/>
  <c r="H80" i="524" s="1"/>
  <c r="L59" i="523" s="1"/>
  <c r="M59" i="523" s="1"/>
  <c r="L730" i="525"/>
  <c r="H104" i="524" s="1"/>
  <c r="L39" i="523" s="1"/>
  <c r="M39" i="523" s="1"/>
  <c r="L780" i="525"/>
  <c r="H109" i="524" s="1"/>
  <c r="L44" i="523" s="1"/>
  <c r="M44" i="523" s="1"/>
  <c r="L740" i="525"/>
  <c r="H105" i="524" s="1"/>
  <c r="L40" i="523" s="1"/>
  <c r="M40" i="523" s="1"/>
  <c r="L710" i="525"/>
  <c r="H102" i="524" s="1"/>
  <c r="L246" i="523" s="1"/>
  <c r="M246" i="523" s="1"/>
  <c r="L654" i="525"/>
  <c r="H94" i="524" s="1"/>
  <c r="L243" i="523" s="1"/>
  <c r="M243" i="523" s="1"/>
  <c r="L540" i="525"/>
  <c r="H79" i="524" s="1"/>
  <c r="L58" i="523" s="1"/>
  <c r="M58" i="523" s="1"/>
  <c r="F3927" i="527"/>
  <c r="F3930" i="527" s="1"/>
  <c r="F3954" i="527" s="1"/>
  <c r="H70" i="526" s="1"/>
  <c r="K453" i="525"/>
  <c r="L453" i="525" s="1"/>
  <c r="K446" i="525"/>
  <c r="L446" i="525" s="1"/>
  <c r="K440" i="525"/>
  <c r="L440" i="525" s="1"/>
  <c r="C8470" i="527"/>
  <c r="B8470" i="527" s="1"/>
  <c r="D3791" i="527"/>
  <c r="D3804" i="527" s="1"/>
  <c r="C2734" i="527"/>
  <c r="B2734" i="527" s="1"/>
  <c r="L750" i="525"/>
  <c r="H106" i="524" s="1"/>
  <c r="L41" i="523" s="1"/>
  <c r="M41" i="523" s="1"/>
  <c r="L689" i="525"/>
  <c r="H99" i="524" s="1"/>
  <c r="L248" i="523" s="1"/>
  <c r="M248" i="523" s="1"/>
  <c r="L628" i="525"/>
  <c r="H90" i="524" s="1"/>
  <c r="L254" i="523" s="1"/>
  <c r="M254" i="523" s="1"/>
  <c r="L601" i="525"/>
  <c r="H86" i="524" s="1"/>
  <c r="L56" i="523" s="1"/>
  <c r="M56" i="523" s="1"/>
  <c r="L565" i="525"/>
  <c r="H82" i="524" s="1"/>
  <c r="L52" i="523" s="1"/>
  <c r="M52" i="523" s="1"/>
  <c r="L523" i="525"/>
  <c r="H77" i="524" s="1"/>
  <c r="L51" i="523" s="1"/>
  <c r="M51" i="523" s="1"/>
  <c r="L1695" i="525"/>
  <c r="H232" i="524" s="1"/>
  <c r="L71" i="523" s="1"/>
  <c r="M71" i="523" s="1"/>
  <c r="L2589" i="525"/>
  <c r="H332" i="524" s="1"/>
  <c r="L96" i="523" s="1"/>
  <c r="M96" i="523" s="1"/>
  <c r="L770" i="525"/>
  <c r="H108" i="524" s="1"/>
  <c r="L43" i="523" s="1"/>
  <c r="M43" i="523" s="1"/>
  <c r="L514" i="525"/>
  <c r="H76" i="524" s="1"/>
  <c r="L50" i="523" s="1"/>
  <c r="M50" i="523" s="1"/>
  <c r="L668" i="525"/>
  <c r="H96" i="524" s="1"/>
  <c r="L245" i="523" s="1"/>
  <c r="M245" i="523" s="1"/>
  <c r="F2579" i="525"/>
  <c r="E46" i="530"/>
  <c r="J46" i="530"/>
  <c r="E67" i="530"/>
  <c r="J67" i="530"/>
  <c r="E2197" i="527"/>
  <c r="F160" i="523"/>
  <c r="G188" i="523"/>
  <c r="F331" i="524"/>
  <c r="F2581" i="525"/>
  <c r="E331" i="524" s="1"/>
  <c r="L8481" i="527"/>
  <c r="L8531" i="527"/>
  <c r="C7552" i="527"/>
  <c r="B7552" i="527" s="1"/>
  <c r="D7177" i="527"/>
  <c r="K196" i="525"/>
  <c r="L196" i="525" s="1"/>
  <c r="K212" i="525"/>
  <c r="L212" i="525" s="1"/>
  <c r="K188" i="525"/>
  <c r="L188" i="525" s="1"/>
  <c r="K204" i="525"/>
  <c r="L204" i="525" s="1"/>
  <c r="L7491" i="527"/>
  <c r="I7491" i="527" s="1"/>
  <c r="L7416" i="527"/>
  <c r="L7391" i="527"/>
  <c r="I7391" i="527" s="1"/>
  <c r="L7337" i="527"/>
  <c r="J99" i="530"/>
  <c r="E99" i="530"/>
  <c r="D6755" i="527"/>
  <c r="F127" i="526"/>
  <c r="H459" i="523" s="1"/>
  <c r="I459" i="523" s="1"/>
  <c r="D6155" i="527"/>
  <c r="F115" i="526"/>
  <c r="H447" i="523" s="1"/>
  <c r="I447" i="523" s="1"/>
  <c r="D3855" i="527"/>
  <c r="F69" i="526"/>
  <c r="C1808" i="527"/>
  <c r="B1808" i="527" s="1"/>
  <c r="I91" i="525"/>
  <c r="J91" i="525" s="1"/>
  <c r="J208" i="523"/>
  <c r="K208" i="523" s="1"/>
  <c r="L1151" i="525"/>
  <c r="H161" i="524" s="1"/>
  <c r="L421" i="523" s="1"/>
  <c r="M421" i="523" s="1"/>
  <c r="C1394" i="527"/>
  <c r="B1394" i="527" s="1"/>
  <c r="F1111" i="525"/>
  <c r="E156" i="524" s="1"/>
  <c r="G156" i="524"/>
  <c r="J416" i="523" s="1"/>
  <c r="K416" i="523" s="1"/>
  <c r="G416" i="523" s="1"/>
  <c r="F1079" i="525"/>
  <c r="E152" i="524" s="1"/>
  <c r="G152" i="524"/>
  <c r="J412" i="523" s="1"/>
  <c r="J1143" i="525"/>
  <c r="F188" i="523"/>
  <c r="C7379" i="527"/>
  <c r="B7379" i="527" s="1"/>
  <c r="C7326" i="527"/>
  <c r="B7326" i="527" s="1"/>
  <c r="C2387" i="527"/>
  <c r="C2885" i="527"/>
  <c r="B2885" i="527" s="1"/>
  <c r="C1897" i="527"/>
  <c r="B1897" i="527" s="1"/>
  <c r="C2674" i="527"/>
  <c r="B2674" i="527" s="1"/>
  <c r="J1922" i="525"/>
  <c r="L4633" i="527"/>
  <c r="L4333" i="527"/>
  <c r="L4583" i="527"/>
  <c r="L4433" i="527"/>
  <c r="L4683" i="527"/>
  <c r="L4383" i="527"/>
  <c r="L4533" i="527"/>
  <c r="L4483" i="527"/>
  <c r="J127" i="530"/>
  <c r="E127" i="530"/>
  <c r="L38" i="527"/>
  <c r="I38" i="527" s="1"/>
  <c r="K56" i="525"/>
  <c r="L56" i="525" s="1"/>
  <c r="L59" i="525" s="1"/>
  <c r="H15" i="524" s="1"/>
  <c r="F3905" i="527"/>
  <c r="B84" i="527"/>
  <c r="AB90" i="527"/>
  <c r="F6155" i="527"/>
  <c r="H115" i="526"/>
  <c r="L447" i="523" s="1"/>
  <c r="M447" i="523" s="1"/>
  <c r="F2573" i="525"/>
  <c r="E330" i="524" s="1"/>
  <c r="J1585" i="525"/>
  <c r="F1584" i="525"/>
  <c r="L66" i="525"/>
  <c r="E66" i="525"/>
  <c r="F411" i="523"/>
  <c r="C8182" i="527"/>
  <c r="B8182" i="527" s="1"/>
  <c r="D7726" i="527"/>
  <c r="D7219" i="527"/>
  <c r="C5223" i="527"/>
  <c r="B5223" i="527" s="1"/>
  <c r="C4873" i="527"/>
  <c r="B4873" i="527" s="1"/>
  <c r="C4271" i="527"/>
  <c r="B4271" i="527" s="1"/>
  <c r="F2986" i="527"/>
  <c r="C2635" i="527"/>
  <c r="B2635" i="527" s="1"/>
  <c r="C2484" i="527"/>
  <c r="B2484" i="527" s="1"/>
  <c r="C2381" i="527"/>
  <c r="B2381" i="527" s="1"/>
  <c r="C2474" i="527"/>
  <c r="B2474" i="527" s="1"/>
  <c r="C2424" i="527"/>
  <c r="B2424" i="527" s="1"/>
  <c r="F8119" i="527"/>
  <c r="F8123" i="527" s="1"/>
  <c r="E8119" i="527"/>
  <c r="F3855" i="527"/>
  <c r="H69" i="526"/>
  <c r="I466" i="525"/>
  <c r="J466" i="525" s="1"/>
  <c r="J209" i="523"/>
  <c r="K209" i="523" s="1"/>
  <c r="C2331" i="527"/>
  <c r="B2331" i="527" s="1"/>
  <c r="J1135" i="525"/>
  <c r="C5123" i="527"/>
  <c r="B5123" i="527" s="1"/>
  <c r="E3977" i="527"/>
  <c r="E3980" i="527" s="1"/>
  <c r="F1776" i="527"/>
  <c r="L1885" i="527"/>
  <c r="L2235" i="527"/>
  <c r="L2185" i="527"/>
  <c r="L2135" i="527"/>
  <c r="L1935" i="527"/>
  <c r="L2035" i="527"/>
  <c r="L1385" i="527"/>
  <c r="D6855" i="527"/>
  <c r="F129" i="526"/>
  <c r="H461" i="523" s="1"/>
  <c r="I461" i="523" s="1"/>
  <c r="J1103" i="525"/>
  <c r="C7174" i="527"/>
  <c r="B7174" i="527" s="1"/>
  <c r="C5273" i="527"/>
  <c r="B5273" i="527" s="1"/>
  <c r="F5275" i="527"/>
  <c r="D3037" i="527"/>
  <c r="F3574" i="527"/>
  <c r="F3577" i="527" s="1"/>
  <c r="F3604" i="527" s="1"/>
  <c r="D2676" i="527"/>
  <c r="C1774" i="527"/>
  <c r="B1774" i="527" s="1"/>
  <c r="C2834" i="527"/>
  <c r="B2834" i="527" s="1"/>
  <c r="C2584" i="527"/>
  <c r="B2584" i="527" s="1"/>
  <c r="J1914" i="525"/>
  <c r="L556" i="525"/>
  <c r="H81" i="524" s="1"/>
  <c r="L60" i="523" s="1"/>
  <c r="M60" i="523" s="1"/>
  <c r="J60" i="530"/>
  <c r="E60" i="530"/>
  <c r="E88" i="530"/>
  <c r="J88" i="530"/>
  <c r="H40" i="530"/>
  <c r="F8" i="529" s="1"/>
  <c r="C8130" i="527"/>
  <c r="B8130" i="527" s="1"/>
  <c r="F7545" i="527"/>
  <c r="C7623" i="527"/>
  <c r="B7623" i="527" s="1"/>
  <c r="C5173" i="527"/>
  <c r="B5173" i="527" s="1"/>
  <c r="C4221" i="527"/>
  <c r="B4221" i="527" s="1"/>
  <c r="C2624" i="527"/>
  <c r="B2624" i="527" s="1"/>
  <c r="C1771" i="527"/>
  <c r="B1771" i="527" s="1"/>
  <c r="L505" i="525"/>
  <c r="H75" i="524" s="1"/>
  <c r="L49" i="523" s="1"/>
  <c r="M49" i="523" s="1"/>
  <c r="F3955" i="527"/>
  <c r="H71" i="526"/>
  <c r="E74" i="530"/>
  <c r="J74" i="530"/>
  <c r="G2099" i="525"/>
  <c r="H2099" i="525" s="1"/>
  <c r="H204" i="523"/>
  <c r="I204" i="523" s="1"/>
  <c r="C2531" i="527"/>
  <c r="B2531" i="527" s="1"/>
  <c r="C2044" i="527"/>
  <c r="B2044" i="527" s="1"/>
  <c r="F1986" i="525"/>
  <c r="E267" i="524" s="1"/>
  <c r="G267" i="524"/>
  <c r="J177" i="523" s="1"/>
  <c r="I2099" i="525"/>
  <c r="J2099" i="525" s="1"/>
  <c r="J204" i="523"/>
  <c r="K204" i="523" s="1"/>
  <c r="H1103" i="525"/>
  <c r="F155" i="524" s="1"/>
  <c r="H415" i="523" s="1"/>
  <c r="J1087" i="525"/>
  <c r="D3955" i="527"/>
  <c r="F71" i="526"/>
  <c r="F17" i="524"/>
  <c r="H23" i="530"/>
  <c r="E23" i="530"/>
  <c r="E52" i="530"/>
  <c r="H52" i="530"/>
  <c r="E98" i="530"/>
  <c r="H98" i="530"/>
  <c r="E7771" i="527"/>
  <c r="D7771" i="527"/>
  <c r="F7771" i="527"/>
  <c r="E7937" i="527"/>
  <c r="E8911" i="527"/>
  <c r="C8908" i="527"/>
  <c r="B8908" i="527" s="1"/>
  <c r="F7414" i="527"/>
  <c r="D7414" i="527"/>
  <c r="F7387" i="527"/>
  <c r="E7387" i="527"/>
  <c r="E5121" i="527"/>
  <c r="F5121" i="527"/>
  <c r="F5125" i="527" s="1"/>
  <c r="D5121" i="527"/>
  <c r="D6805" i="527"/>
  <c r="F128" i="526"/>
  <c r="H460" i="523" s="1"/>
  <c r="I460" i="523" s="1"/>
  <c r="C6604" i="527"/>
  <c r="E6555" i="527"/>
  <c r="G123" i="526"/>
  <c r="J455" i="523" s="1"/>
  <c r="C6704" i="527"/>
  <c r="E6655" i="527"/>
  <c r="G125" i="526"/>
  <c r="J457" i="523" s="1"/>
  <c r="AD5976" i="527"/>
  <c r="B5972" i="527"/>
  <c r="Z5976" i="527"/>
  <c r="E5754" i="527"/>
  <c r="C5742" i="527"/>
  <c r="B5742" i="527" s="1"/>
  <c r="D5755" i="527"/>
  <c r="F107" i="526"/>
  <c r="H467" i="523" s="1"/>
  <c r="I467" i="523" s="1"/>
  <c r="E5021" i="527"/>
  <c r="D5021" i="527"/>
  <c r="F5021" i="527"/>
  <c r="E4780" i="527"/>
  <c r="F4622" i="527"/>
  <c r="E4622" i="527"/>
  <c r="D4622" i="527"/>
  <c r="F4331" i="527"/>
  <c r="D4331" i="527"/>
  <c r="AB5630" i="527"/>
  <c r="B5626" i="527"/>
  <c r="AD5630" i="527"/>
  <c r="E5484" i="527"/>
  <c r="E3930" i="527"/>
  <c r="F3272" i="527"/>
  <c r="E3272" i="527"/>
  <c r="E2990" i="527"/>
  <c r="D2033" i="527"/>
  <c r="F2033" i="527"/>
  <c r="E1683" i="527"/>
  <c r="F1683" i="527"/>
  <c r="C3977" i="527"/>
  <c r="C2881" i="527"/>
  <c r="B2881" i="527" s="1"/>
  <c r="E2887" i="527"/>
  <c r="C2887" i="527" s="1"/>
  <c r="F1924" i="527"/>
  <c r="E1924" i="527"/>
  <c r="D1924" i="527"/>
  <c r="E3787" i="527"/>
  <c r="C3787" i="527" s="1"/>
  <c r="C3785" i="527"/>
  <c r="B3785" i="527" s="1"/>
  <c r="C2981" i="527"/>
  <c r="B2981" i="527" s="1"/>
  <c r="E2986" i="527"/>
  <c r="E1492" i="527"/>
  <c r="F1492" i="527"/>
  <c r="F1321" i="527"/>
  <c r="E1321" i="527"/>
  <c r="D1321" i="527"/>
  <c r="F1021" i="527"/>
  <c r="E1021" i="527"/>
  <c r="D1021" i="527"/>
  <c r="F524" i="527"/>
  <c r="E524" i="527"/>
  <c r="D524" i="527"/>
  <c r="F2250" i="527"/>
  <c r="E1400" i="527"/>
  <c r="C1400" i="527" s="1"/>
  <c r="C1398" i="527"/>
  <c r="B1398" i="527" s="1"/>
  <c r="F221" i="527"/>
  <c r="E221" i="527"/>
  <c r="D221" i="527"/>
  <c r="D1594" i="527"/>
  <c r="F1594" i="527"/>
  <c r="E59" i="530"/>
  <c r="H59" i="530"/>
  <c r="E8265" i="527"/>
  <c r="C8263" i="527"/>
  <c r="B8263" i="527" s="1"/>
  <c r="E126" i="530"/>
  <c r="H126" i="530"/>
  <c r="E45" i="530"/>
  <c r="H45" i="530"/>
  <c r="E73" i="530"/>
  <c r="H73" i="530"/>
  <c r="J32" i="530"/>
  <c r="E32" i="530"/>
  <c r="C8858" i="527"/>
  <c r="B8858" i="527" s="1"/>
  <c r="E8861" i="527"/>
  <c r="E8489" i="527"/>
  <c r="E8365" i="527"/>
  <c r="C8363" i="527"/>
  <c r="B8363" i="527" s="1"/>
  <c r="D8230" i="527"/>
  <c r="F8230" i="527"/>
  <c r="E8230" i="527"/>
  <c r="E8071" i="527"/>
  <c r="D8071" i="527"/>
  <c r="F8071" i="527"/>
  <c r="E7971" i="527"/>
  <c r="D7971" i="527"/>
  <c r="F7971" i="527"/>
  <c r="E8241" i="527"/>
  <c r="C8520" i="527"/>
  <c r="B8520" i="527" s="1"/>
  <c r="C8313" i="527"/>
  <c r="B8313" i="527" s="1"/>
  <c r="E8315" i="527"/>
  <c r="E87" i="530"/>
  <c r="H87" i="530"/>
  <c r="D8123" i="527"/>
  <c r="L8139" i="527"/>
  <c r="E7774" i="527"/>
  <c r="D7774" i="527"/>
  <c r="F7774" i="527"/>
  <c r="C8132" i="527"/>
  <c r="B8132" i="527" s="1"/>
  <c r="E7987" i="527"/>
  <c r="F7921" i="527"/>
  <c r="F7926" i="527" s="1"/>
  <c r="F7939" i="527" s="1"/>
  <c r="F7954" i="527" s="1"/>
  <c r="E7921" i="527"/>
  <c r="D7921" i="527"/>
  <c r="D7926" i="527" s="1"/>
  <c r="F7874" i="527"/>
  <c r="E7874" i="527"/>
  <c r="D7874" i="527"/>
  <c r="F7821" i="527"/>
  <c r="E7821" i="527"/>
  <c r="D7821" i="527"/>
  <c r="E8811" i="527"/>
  <c r="C8808" i="527"/>
  <c r="B8808" i="527" s="1"/>
  <c r="J121" i="530"/>
  <c r="E121" i="530"/>
  <c r="E8711" i="527"/>
  <c r="C8708" i="527"/>
  <c r="B8708" i="527" s="1"/>
  <c r="F8536" i="527"/>
  <c r="F8539" i="527" s="1"/>
  <c r="E8037" i="527"/>
  <c r="D7731" i="527"/>
  <c r="D7733" i="527" s="1"/>
  <c r="D7735" i="527" s="1"/>
  <c r="D7754" i="527" s="1"/>
  <c r="F7731" i="527"/>
  <c r="F7733" i="527" s="1"/>
  <c r="E7731" i="527"/>
  <c r="C7542" i="527"/>
  <c r="B7542" i="527" s="1"/>
  <c r="E7071" i="527"/>
  <c r="F7071" i="527"/>
  <c r="F7075" i="527" s="1"/>
  <c r="D7071" i="527"/>
  <c r="C7475" i="527"/>
  <c r="B7475" i="527" s="1"/>
  <c r="F7389" i="527"/>
  <c r="D7389" i="527"/>
  <c r="C7525" i="527"/>
  <c r="E7566" i="527"/>
  <c r="F7481" i="527"/>
  <c r="C7319" i="527"/>
  <c r="B7319" i="527" s="1"/>
  <c r="D6955" i="527"/>
  <c r="F131" i="526"/>
  <c r="H463" i="523" s="1"/>
  <c r="I463" i="523" s="1"/>
  <c r="C7214" i="527"/>
  <c r="B7214" i="527" s="1"/>
  <c r="E7219" i="527"/>
  <c r="F6755" i="527"/>
  <c r="H127" i="526"/>
  <c r="L459" i="523" s="1"/>
  <c r="M459" i="523" s="1"/>
  <c r="F6555" i="527"/>
  <c r="H123" i="526"/>
  <c r="L455" i="523" s="1"/>
  <c r="M455" i="523" s="1"/>
  <c r="E5321" i="527"/>
  <c r="F5321" i="527"/>
  <c r="F5325" i="527" s="1"/>
  <c r="D5321" i="527"/>
  <c r="AD6930" i="527"/>
  <c r="AB6930" i="527"/>
  <c r="B6926" i="527"/>
  <c r="F6455" i="527"/>
  <c r="H121" i="526"/>
  <c r="L453" i="523" s="1"/>
  <c r="M453" i="523" s="1"/>
  <c r="E6204" i="527"/>
  <c r="C6192" i="527"/>
  <c r="B6192" i="527" s="1"/>
  <c r="F5471" i="527"/>
  <c r="F5475" i="527" s="1"/>
  <c r="E5471" i="527"/>
  <c r="D5471" i="527"/>
  <c r="C7188" i="527"/>
  <c r="B7188" i="527" s="1"/>
  <c r="C7004" i="527"/>
  <c r="E6955" i="527"/>
  <c r="G131" i="526"/>
  <c r="J463" i="523" s="1"/>
  <c r="C6592" i="527"/>
  <c r="B6592" i="527" s="1"/>
  <c r="D6055" i="527"/>
  <c r="F113" i="526"/>
  <c r="H473" i="523" s="1"/>
  <c r="I473" i="523" s="1"/>
  <c r="F5805" i="527"/>
  <c r="H108" i="526"/>
  <c r="L468" i="523" s="1"/>
  <c r="M468" i="523" s="1"/>
  <c r="F5605" i="527"/>
  <c r="H104" i="526"/>
  <c r="L464" i="523" s="1"/>
  <c r="M464" i="523" s="1"/>
  <c r="E5421" i="527"/>
  <c r="D5421" i="527"/>
  <c r="F5421" i="527"/>
  <c r="F5425" i="527" s="1"/>
  <c r="F7381" i="527"/>
  <c r="C6904" i="527"/>
  <c r="E6855" i="527"/>
  <c r="G129" i="526"/>
  <c r="J461" i="523" s="1"/>
  <c r="C6692" i="527"/>
  <c r="B6692" i="527" s="1"/>
  <c r="D6405" i="527"/>
  <c r="F120" i="526"/>
  <c r="H452" i="523" s="1"/>
  <c r="I452" i="523" s="1"/>
  <c r="AD5876" i="527"/>
  <c r="B5872" i="527"/>
  <c r="Z5876" i="527"/>
  <c r="E5654" i="527"/>
  <c r="C5642" i="527"/>
  <c r="B5642" i="527" s="1"/>
  <c r="E5534" i="527"/>
  <c r="D5171" i="527"/>
  <c r="F5171" i="527"/>
  <c r="F5175" i="527" s="1"/>
  <c r="E5171" i="527"/>
  <c r="F6355" i="527"/>
  <c r="H119" i="526"/>
  <c r="L451" i="523" s="1"/>
  <c r="M451" i="523" s="1"/>
  <c r="E5704" i="527"/>
  <c r="C5692" i="527"/>
  <c r="B5692" i="527" s="1"/>
  <c r="D6205" i="527"/>
  <c r="F116" i="526"/>
  <c r="H448" i="523" s="1"/>
  <c r="I448" i="523" s="1"/>
  <c r="AB5830" i="527"/>
  <c r="B5826" i="527"/>
  <c r="AD5830" i="527"/>
  <c r="E5530" i="527"/>
  <c r="C5473" i="527"/>
  <c r="B5473" i="527" s="1"/>
  <c r="D5275" i="527"/>
  <c r="L5278" i="527"/>
  <c r="F4921" i="527"/>
  <c r="F4925" i="527" s="1"/>
  <c r="E4921" i="527"/>
  <c r="D4921" i="527"/>
  <c r="F4821" i="527"/>
  <c r="F4825" i="527" s="1"/>
  <c r="E4821" i="527"/>
  <c r="D4821" i="527"/>
  <c r="F4721" i="527"/>
  <c r="F4725" i="527" s="1"/>
  <c r="E4721" i="527"/>
  <c r="D4721" i="527"/>
  <c r="F4672" i="527"/>
  <c r="E4672" i="527"/>
  <c r="D4672" i="527"/>
  <c r="F4629" i="527"/>
  <c r="E4629" i="527"/>
  <c r="F4581" i="527"/>
  <c r="D4581" i="527"/>
  <c r="F4520" i="527"/>
  <c r="E4520" i="527"/>
  <c r="D4520" i="527"/>
  <c r="F4472" i="527"/>
  <c r="E4472" i="527"/>
  <c r="D4472" i="527"/>
  <c r="F4429" i="527"/>
  <c r="E4429" i="527"/>
  <c r="F4381" i="527"/>
  <c r="D4381" i="527"/>
  <c r="F4320" i="527"/>
  <c r="E4320" i="527"/>
  <c r="D4320" i="527"/>
  <c r="F6305" i="527"/>
  <c r="H118" i="526"/>
  <c r="L450" i="523" s="1"/>
  <c r="M450" i="523" s="1"/>
  <c r="D6005" i="527"/>
  <c r="F112" i="526"/>
  <c r="H472" i="523" s="1"/>
  <c r="I472" i="523" s="1"/>
  <c r="AB5930" i="527"/>
  <c r="B5926" i="527"/>
  <c r="AD5930" i="527"/>
  <c r="E5184" i="527"/>
  <c r="F5071" i="527"/>
  <c r="F5075" i="527" s="1"/>
  <c r="E5071" i="527"/>
  <c r="D5071" i="527"/>
  <c r="F6255" i="527"/>
  <c r="H117" i="526"/>
  <c r="L449" i="523" s="1"/>
  <c r="M449" i="523" s="1"/>
  <c r="D6105" i="527"/>
  <c r="F114" i="526"/>
  <c r="H446" i="523" s="1"/>
  <c r="I446" i="523" s="1"/>
  <c r="AB6030" i="527"/>
  <c r="B6026" i="527"/>
  <c r="AD6030" i="527"/>
  <c r="C4723" i="527"/>
  <c r="B4723" i="527" s="1"/>
  <c r="E4069" i="527"/>
  <c r="D4069" i="527"/>
  <c r="F4069" i="527"/>
  <c r="F4073" i="527" s="1"/>
  <c r="E4278" i="527"/>
  <c r="D3505" i="527"/>
  <c r="F63" i="526"/>
  <c r="H239" i="523" s="1"/>
  <c r="I239" i="523" s="1"/>
  <c r="F2921" i="527"/>
  <c r="F2926" i="527" s="1"/>
  <c r="F2942" i="527" s="1"/>
  <c r="F2954" i="527" s="1"/>
  <c r="E2921" i="527"/>
  <c r="D2921" i="527"/>
  <c r="D2926" i="527" s="1"/>
  <c r="E3780" i="527"/>
  <c r="C3780" i="527" s="1"/>
  <c r="C3778" i="527"/>
  <c r="B3778" i="527" s="1"/>
  <c r="F3221" i="527"/>
  <c r="D3221" i="527"/>
  <c r="C5073" i="527"/>
  <c r="B5073" i="527" s="1"/>
  <c r="F3791" i="527"/>
  <c r="F3804" i="527" s="1"/>
  <c r="F3524" i="527"/>
  <c r="F3527" i="527" s="1"/>
  <c r="F3554" i="527" s="1"/>
  <c r="C4121" i="527"/>
  <c r="B4121" i="527" s="1"/>
  <c r="E3773" i="527"/>
  <c r="C3771" i="527"/>
  <c r="B3771" i="527" s="1"/>
  <c r="E3688" i="527"/>
  <c r="C3686" i="527"/>
  <c r="B3686" i="527" s="1"/>
  <c r="E2940" i="527"/>
  <c r="C2836" i="527"/>
  <c r="E2321" i="527"/>
  <c r="D2321" i="527"/>
  <c r="D2326" i="527" s="1"/>
  <c r="D2338" i="527" s="1"/>
  <c r="D2354" i="527" s="1"/>
  <c r="F2321" i="527"/>
  <c r="F2326" i="527" s="1"/>
  <c r="F2338" i="527" s="1"/>
  <c r="F2354" i="527" s="1"/>
  <c r="E2021" i="527"/>
  <c r="D2021" i="527"/>
  <c r="F2021" i="527"/>
  <c r="D1685" i="527"/>
  <c r="F1685" i="527"/>
  <c r="C4171" i="527"/>
  <c r="B4171" i="527" s="1"/>
  <c r="C3972" i="527"/>
  <c r="B3972" i="527" s="1"/>
  <c r="C3521" i="527"/>
  <c r="B3521" i="527" s="1"/>
  <c r="D3455" i="527"/>
  <c r="F62" i="526"/>
  <c r="H152" i="523" s="1"/>
  <c r="I152" i="523" s="1"/>
  <c r="F3322" i="527"/>
  <c r="E3322" i="527"/>
  <c r="D3078" i="527"/>
  <c r="F3078" i="527"/>
  <c r="E3078" i="527"/>
  <c r="F2224" i="527"/>
  <c r="E2224" i="527"/>
  <c r="D2224" i="527"/>
  <c r="F1931" i="527"/>
  <c r="E1931" i="527"/>
  <c r="C3676" i="527"/>
  <c r="B3676" i="527" s="1"/>
  <c r="F3177" i="527"/>
  <c r="E3177" i="527"/>
  <c r="D3177" i="527"/>
  <c r="F2183" i="527"/>
  <c r="D2183" i="527"/>
  <c r="F1871" i="527"/>
  <c r="E1871" i="527"/>
  <c r="D1871" i="527"/>
  <c r="E3825" i="527"/>
  <c r="C3821" i="527"/>
  <c r="B3821" i="527" s="1"/>
  <c r="D3574" i="527"/>
  <c r="D3577" i="527" s="1"/>
  <c r="D3604" i="527" s="1"/>
  <c r="D3393" i="527"/>
  <c r="L3391" i="527"/>
  <c r="E3103" i="527"/>
  <c r="D3103" i="527"/>
  <c r="F3103" i="527"/>
  <c r="J2688" i="527"/>
  <c r="C2586" i="527"/>
  <c r="C2248" i="527"/>
  <c r="B2248" i="527" s="1"/>
  <c r="C2197" i="527"/>
  <c r="B2197" i="527" s="1"/>
  <c r="E1950" i="527"/>
  <c r="C1950" i="527" s="1"/>
  <c r="C1944" i="527"/>
  <c r="B1944" i="527" s="1"/>
  <c r="D1494" i="527"/>
  <c r="F1494" i="527"/>
  <c r="E1483" i="527"/>
  <c r="F1483" i="527"/>
  <c r="E921" i="527"/>
  <c r="D921" i="527"/>
  <c r="F921" i="527"/>
  <c r="D1776" i="527"/>
  <c r="F1383" i="527"/>
  <c r="D1383" i="527"/>
  <c r="F1324" i="527"/>
  <c r="E1324" i="527"/>
  <c r="D1324" i="527"/>
  <c r="F1224" i="527"/>
  <c r="E1224" i="527"/>
  <c r="D1224" i="527"/>
  <c r="F1124" i="527"/>
  <c r="E1124" i="527"/>
  <c r="D1124" i="527"/>
  <c r="F1024" i="527"/>
  <c r="E1024" i="527"/>
  <c r="D1024" i="527"/>
  <c r="F771" i="527"/>
  <c r="E771" i="527"/>
  <c r="D771" i="527"/>
  <c r="F671" i="527"/>
  <c r="E671" i="527"/>
  <c r="D671" i="527"/>
  <c r="F571" i="527"/>
  <c r="E571" i="527"/>
  <c r="D571" i="527"/>
  <c r="F471" i="527"/>
  <c r="E471" i="527"/>
  <c r="D471" i="527"/>
  <c r="E371" i="527"/>
  <c r="D371" i="527"/>
  <c r="F371" i="527"/>
  <c r="F2486" i="527"/>
  <c r="E2250" i="527"/>
  <c r="C2250" i="527" s="1"/>
  <c r="C2244" i="527"/>
  <c r="B2244" i="527" s="1"/>
  <c r="D2124" i="527"/>
  <c r="F2124" i="527"/>
  <c r="E2124" i="527"/>
  <c r="C1948" i="527"/>
  <c r="B1948" i="527" s="1"/>
  <c r="D1794" i="527"/>
  <c r="F1794" i="527"/>
  <c r="F821" i="527"/>
  <c r="E821" i="527"/>
  <c r="D821" i="527"/>
  <c r="F224" i="527"/>
  <c r="E224" i="527"/>
  <c r="D224" i="527"/>
  <c r="E2590" i="527"/>
  <c r="D2571" i="527"/>
  <c r="D2576" i="527" s="1"/>
  <c r="F2571" i="527"/>
  <c r="F2576" i="527" s="1"/>
  <c r="F2592" i="527" s="1"/>
  <c r="F2604" i="527" s="1"/>
  <c r="E2571" i="527"/>
  <c r="D2121" i="527"/>
  <c r="F2121" i="527"/>
  <c r="F2126" i="527" s="1"/>
  <c r="E2121" i="527"/>
  <c r="C1804" i="527"/>
  <c r="B1804" i="527" s="1"/>
  <c r="D1585" i="527"/>
  <c r="F1585" i="527"/>
  <c r="E1333" i="527"/>
  <c r="C1333" i="527" s="1"/>
  <c r="C1331" i="527"/>
  <c r="B1331" i="527" s="1"/>
  <c r="E1237" i="527"/>
  <c r="E533" i="527"/>
  <c r="C533" i="527" s="1"/>
  <c r="C531" i="527"/>
  <c r="B531" i="527" s="1"/>
  <c r="E437" i="527"/>
  <c r="C2574" i="527"/>
  <c r="B2574" i="527" s="1"/>
  <c r="C1596" i="527"/>
  <c r="B1596" i="527" s="1"/>
  <c r="E1283" i="527"/>
  <c r="C1283" i="527" s="1"/>
  <c r="C1281" i="527"/>
  <c r="B1281" i="527" s="1"/>
  <c r="E1187" i="527"/>
  <c r="E1037" i="527"/>
  <c r="E983" i="527"/>
  <c r="C983" i="527" s="1"/>
  <c r="C981" i="527"/>
  <c r="B981" i="527" s="1"/>
  <c r="F64" i="527"/>
  <c r="D64" i="527"/>
  <c r="E64" i="527"/>
  <c r="C1604" i="527"/>
  <c r="B1604" i="527" s="1"/>
  <c r="E1610" i="527"/>
  <c r="E1083" i="527"/>
  <c r="C1083" i="527" s="1"/>
  <c r="C1081" i="527"/>
  <c r="B1081" i="527" s="1"/>
  <c r="E987" i="527"/>
  <c r="AE38" i="527"/>
  <c r="H38" i="527" s="1"/>
  <c r="AE36" i="527"/>
  <c r="H36" i="527" s="1"/>
  <c r="AE34" i="527"/>
  <c r="H34" i="527" s="1"/>
  <c r="AA38" i="527"/>
  <c r="AA36" i="527"/>
  <c r="AA34" i="527"/>
  <c r="B32" i="527"/>
  <c r="E1183" i="527"/>
  <c r="C1183" i="527" s="1"/>
  <c r="C1181" i="527"/>
  <c r="B1181" i="527" s="1"/>
  <c r="E387" i="527"/>
  <c r="C19" i="527"/>
  <c r="E233" i="527"/>
  <c r="C233" i="527" s="1"/>
  <c r="C231" i="527"/>
  <c r="B231" i="527" s="1"/>
  <c r="E183" i="527"/>
  <c r="C183" i="527" s="1"/>
  <c r="C181" i="527"/>
  <c r="B181" i="527" s="1"/>
  <c r="G1648" i="525"/>
  <c r="H1648" i="525" s="1"/>
  <c r="G1657" i="525"/>
  <c r="H1657" i="525" s="1"/>
  <c r="G1640" i="525"/>
  <c r="H1640" i="525" s="1"/>
  <c r="F2059" i="525"/>
  <c r="F2027" i="525"/>
  <c r="H2028" i="525"/>
  <c r="J1870" i="525"/>
  <c r="F1869" i="525"/>
  <c r="G91" i="525"/>
  <c r="H208" i="523"/>
  <c r="F167" i="523"/>
  <c r="I167" i="523"/>
  <c r="G167" i="523" s="1"/>
  <c r="F410" i="523"/>
  <c r="I410" i="523"/>
  <c r="G410" i="523" s="1"/>
  <c r="F1207" i="525"/>
  <c r="E168" i="524" s="1"/>
  <c r="F1159" i="525"/>
  <c r="E162" i="524" s="1"/>
  <c r="G162" i="524"/>
  <c r="J422" i="523" s="1"/>
  <c r="J764" i="525"/>
  <c r="J409" i="525"/>
  <c r="J359" i="525"/>
  <c r="J290" i="525"/>
  <c r="J243" i="525"/>
  <c r="J1445" i="525"/>
  <c r="F1445" i="525" s="1"/>
  <c r="E1445" i="525"/>
  <c r="J2144" i="525"/>
  <c r="F2144" i="525" s="1"/>
  <c r="E2144" i="525"/>
  <c r="J1957" i="525"/>
  <c r="F1957" i="525" s="1"/>
  <c r="E1957" i="525"/>
  <c r="J2270" i="525"/>
  <c r="F2270" i="525" s="1"/>
  <c r="E2270" i="525"/>
  <c r="J1657" i="525"/>
  <c r="J1553" i="525"/>
  <c r="J1395" i="525"/>
  <c r="J1942" i="525"/>
  <c r="J2176" i="525"/>
  <c r="J2157" i="525"/>
  <c r="J2548" i="525"/>
  <c r="K1625" i="525"/>
  <c r="F1581" i="525"/>
  <c r="E216" i="524" s="1"/>
  <c r="J774" i="525"/>
  <c r="J734" i="525"/>
  <c r="J665" i="525"/>
  <c r="J536" i="525"/>
  <c r="J358" i="525"/>
  <c r="J328" i="525"/>
  <c r="J307" i="525"/>
  <c r="F1604" i="525"/>
  <c r="E221" i="524" s="1"/>
  <c r="G221" i="524"/>
  <c r="J173" i="523" s="1"/>
  <c r="J836" i="525"/>
  <c r="J744" i="525"/>
  <c r="J366" i="525"/>
  <c r="J315" i="525"/>
  <c r="F209" i="525"/>
  <c r="J117" i="525"/>
  <c r="J97" i="525"/>
  <c r="F40" i="525"/>
  <c r="E11" i="524" s="1"/>
  <c r="F11" i="524"/>
  <c r="H433" i="523" s="1"/>
  <c r="F24" i="525"/>
  <c r="E7" i="524" s="1"/>
  <c r="F7" i="524"/>
  <c r="H430" i="523" s="1"/>
  <c r="J11" i="525"/>
  <c r="E11" i="525"/>
  <c r="J1647" i="525"/>
  <c r="J2078" i="525"/>
  <c r="J1455" i="525"/>
  <c r="J1488" i="525"/>
  <c r="J1401" i="525"/>
  <c r="J1664" i="525"/>
  <c r="J1784" i="525"/>
  <c r="J2189" i="525"/>
  <c r="J1818" i="525"/>
  <c r="J2170" i="525"/>
  <c r="J1722" i="525"/>
  <c r="J1777" i="525"/>
  <c r="J2151" i="525"/>
  <c r="J2443" i="525"/>
  <c r="J2601" i="525"/>
  <c r="J2644" i="525"/>
  <c r="J2680" i="525"/>
  <c r="J2413" i="525"/>
  <c r="J2383" i="525"/>
  <c r="J2609" i="525"/>
  <c r="J2516" i="525"/>
  <c r="J1360" i="525"/>
  <c r="J1456" i="525"/>
  <c r="J1521" i="525"/>
  <c r="J1329" i="525"/>
  <c r="J1513" i="525"/>
  <c r="J1376" i="525"/>
  <c r="J1971" i="525"/>
  <c r="J1735" i="525"/>
  <c r="J2229" i="525"/>
  <c r="J1832" i="525"/>
  <c r="J1979" i="525"/>
  <c r="J2356" i="525"/>
  <c r="J2289" i="525"/>
  <c r="J2505" i="525"/>
  <c r="J2414" i="525"/>
  <c r="J2384" i="525"/>
  <c r="F1617" i="525"/>
  <c r="E223" i="524" s="1"/>
  <c r="F894" i="525"/>
  <c r="J686" i="525"/>
  <c r="G2542" i="525"/>
  <c r="H2542" i="525" s="1"/>
  <c r="G2480" i="525"/>
  <c r="H2480" i="525" s="1"/>
  <c r="G2474" i="525"/>
  <c r="H2474" i="525" s="1"/>
  <c r="G2535" i="525"/>
  <c r="H2535" i="525" s="1"/>
  <c r="G2529" i="525"/>
  <c r="H2529" i="525" s="1"/>
  <c r="G2487" i="525"/>
  <c r="H2487" i="525" s="1"/>
  <c r="G1972" i="525"/>
  <c r="H1972" i="525" s="1"/>
  <c r="G1932" i="525"/>
  <c r="H1932" i="525" s="1"/>
  <c r="G1896" i="525"/>
  <c r="H1896" i="525" s="1"/>
  <c r="G1873" i="525"/>
  <c r="H1873" i="525" s="1"/>
  <c r="G1803" i="525"/>
  <c r="H1803" i="525" s="1"/>
  <c r="G1789" i="525"/>
  <c r="H1789" i="525" s="1"/>
  <c r="G1775" i="525"/>
  <c r="H1775" i="525" s="1"/>
  <c r="G1769" i="525"/>
  <c r="H1769" i="525" s="1"/>
  <c r="G1763" i="525"/>
  <c r="H1763" i="525" s="1"/>
  <c r="G1757" i="525"/>
  <c r="H1757" i="525" s="1"/>
  <c r="G1980" i="525"/>
  <c r="H1980" i="525" s="1"/>
  <c r="G1965" i="525"/>
  <c r="H1965" i="525" s="1"/>
  <c r="G1939" i="525"/>
  <c r="H1939" i="525" s="1"/>
  <c r="G1946" i="525"/>
  <c r="H1946" i="525" s="1"/>
  <c r="G1889" i="525"/>
  <c r="H1889" i="525" s="1"/>
  <c r="G1883" i="525"/>
  <c r="H1883" i="525" s="1"/>
  <c r="G1810" i="525"/>
  <c r="H1810" i="525" s="1"/>
  <c r="G1796" i="525"/>
  <c r="H1796" i="525" s="1"/>
  <c r="G1782" i="525"/>
  <c r="H1782" i="525" s="1"/>
  <c r="G1512" i="525"/>
  <c r="H1512" i="525" s="1"/>
  <c r="G1369" i="525"/>
  <c r="H1369" i="525" s="1"/>
  <c r="G1346" i="525"/>
  <c r="H1346" i="525" s="1"/>
  <c r="G1323" i="525"/>
  <c r="H1323" i="525" s="1"/>
  <c r="G1308" i="525"/>
  <c r="H1308" i="525" s="1"/>
  <c r="G1302" i="525"/>
  <c r="H1302" i="525" s="1"/>
  <c r="G1520" i="525"/>
  <c r="H1520" i="525" s="1"/>
  <c r="G1505" i="525"/>
  <c r="H1505" i="525" s="1"/>
  <c r="G1354" i="525"/>
  <c r="H1354" i="525" s="1"/>
  <c r="G1331" i="525"/>
  <c r="H1331" i="525" s="1"/>
  <c r="G1295" i="525"/>
  <c r="H1295" i="525" s="1"/>
  <c r="G1362" i="525"/>
  <c r="H1362" i="525" s="1"/>
  <c r="G1288" i="525"/>
  <c r="H1288" i="525" s="1"/>
  <c r="G1925" i="525"/>
  <c r="H1925" i="525" s="1"/>
  <c r="G1338" i="525"/>
  <c r="H1338" i="525" s="1"/>
  <c r="G1315" i="525"/>
  <c r="H1315" i="525" s="1"/>
  <c r="G877" i="525"/>
  <c r="H877" i="525" s="1"/>
  <c r="G862" i="525"/>
  <c r="H862" i="525" s="1"/>
  <c r="G701" i="525"/>
  <c r="H701" i="525" s="1"/>
  <c r="G687" i="525"/>
  <c r="H687" i="525" s="1"/>
  <c r="G673" i="525"/>
  <c r="H673" i="525" s="1"/>
  <c r="G659" i="525"/>
  <c r="H659" i="525" s="1"/>
  <c r="G645" i="525"/>
  <c r="H645" i="525" s="1"/>
  <c r="G639" i="525"/>
  <c r="H639" i="525" s="1"/>
  <c r="G633" i="525"/>
  <c r="H633" i="525" s="1"/>
  <c r="G627" i="525"/>
  <c r="H627" i="525" s="1"/>
  <c r="G621" i="525"/>
  <c r="H621" i="525" s="1"/>
  <c r="G615" i="525"/>
  <c r="H615" i="525" s="1"/>
  <c r="G448" i="525"/>
  <c r="H448" i="525" s="1"/>
  <c r="G442" i="525"/>
  <c r="H442" i="525" s="1"/>
  <c r="G832" i="525"/>
  <c r="H832" i="525" s="1"/>
  <c r="G708" i="525"/>
  <c r="H708" i="525" s="1"/>
  <c r="G694" i="525"/>
  <c r="H694" i="525" s="1"/>
  <c r="G680" i="525"/>
  <c r="H680" i="525" s="1"/>
  <c r="G666" i="525"/>
  <c r="H666" i="525" s="1"/>
  <c r="G652" i="525"/>
  <c r="H652" i="525" s="1"/>
  <c r="G869" i="525"/>
  <c r="H869" i="525" s="1"/>
  <c r="G455" i="525"/>
  <c r="H455" i="525" s="1"/>
  <c r="H193" i="523"/>
  <c r="I193" i="523" s="1"/>
  <c r="J383" i="525"/>
  <c r="J314" i="525"/>
  <c r="J259" i="525"/>
  <c r="J244" i="525"/>
  <c r="G16" i="524"/>
  <c r="K166" i="523"/>
  <c r="G166" i="523" s="1"/>
  <c r="F166" i="523"/>
  <c r="F849" i="525"/>
  <c r="E119" i="524" s="1"/>
  <c r="G119" i="524"/>
  <c r="J183" i="523" s="1"/>
  <c r="L1786" i="525"/>
  <c r="H242" i="524" s="1"/>
  <c r="L257" i="523" s="1"/>
  <c r="M257" i="523" s="1"/>
  <c r="L1779" i="525"/>
  <c r="H241" i="524" s="1"/>
  <c r="L256" i="523" s="1"/>
  <c r="M256" i="523" s="1"/>
  <c r="F83" i="525"/>
  <c r="E19" i="524" s="1"/>
  <c r="I474" i="523"/>
  <c r="E16" i="522" s="1"/>
  <c r="G124" i="524"/>
  <c r="J184" i="523" s="1"/>
  <c r="F883" i="525"/>
  <c r="E124" i="524" s="1"/>
  <c r="G14" i="524"/>
  <c r="J185" i="523" s="1"/>
  <c r="F52" i="525"/>
  <c r="E14" i="524" s="1"/>
  <c r="M161" i="523"/>
  <c r="G7" i="522" s="1"/>
  <c r="E933" i="527"/>
  <c r="C933" i="527" s="1"/>
  <c r="C931" i="527"/>
  <c r="B931" i="527" s="1"/>
  <c r="E683" i="527"/>
  <c r="C683" i="527" s="1"/>
  <c r="C681" i="527"/>
  <c r="B681" i="527" s="1"/>
  <c r="E587" i="527"/>
  <c r="C281" i="527"/>
  <c r="B281" i="527" s="1"/>
  <c r="E283" i="527"/>
  <c r="C283" i="527" s="1"/>
  <c r="F62" i="527"/>
  <c r="D62" i="527"/>
  <c r="C2374" i="527"/>
  <c r="B2374" i="527" s="1"/>
  <c r="F1610" i="527"/>
  <c r="E1337" i="527"/>
  <c r="E1087" i="527"/>
  <c r="E687" i="527"/>
  <c r="E883" i="527"/>
  <c r="C883" i="527" s="1"/>
  <c r="C881" i="527"/>
  <c r="B881" i="527" s="1"/>
  <c r="E733" i="527"/>
  <c r="C733" i="527" s="1"/>
  <c r="C731" i="527"/>
  <c r="B731" i="527" s="1"/>
  <c r="E433" i="527"/>
  <c r="C433" i="527" s="1"/>
  <c r="C431" i="527"/>
  <c r="B431" i="527" s="1"/>
  <c r="D331" i="527"/>
  <c r="D333" i="527" s="1"/>
  <c r="F331" i="527"/>
  <c r="F333" i="527" s="1"/>
  <c r="E331" i="527"/>
  <c r="H2106" i="525"/>
  <c r="K2105" i="525"/>
  <c r="F1914" i="525"/>
  <c r="E257" i="524" s="1"/>
  <c r="G257" i="524"/>
  <c r="J205" i="523" s="1"/>
  <c r="L1905" i="525"/>
  <c r="E1905" i="525"/>
  <c r="F170" i="523"/>
  <c r="I170" i="523"/>
  <c r="G170" i="523" s="1"/>
  <c r="J1039" i="525"/>
  <c r="E1039" i="525"/>
  <c r="G1554" i="525"/>
  <c r="H1554" i="525" s="1"/>
  <c r="G1533" i="525"/>
  <c r="H1533" i="525" s="1"/>
  <c r="G1381" i="525"/>
  <c r="H1381" i="525" s="1"/>
  <c r="G2553" i="525"/>
  <c r="H2553" i="525" s="1"/>
  <c r="G2314" i="525"/>
  <c r="H2314" i="525" s="1"/>
  <c r="G2294" i="525"/>
  <c r="H2294" i="525" s="1"/>
  <c r="G2274" i="525"/>
  <c r="H2274" i="525" s="1"/>
  <c r="G2548" i="525"/>
  <c r="H2548" i="525" s="1"/>
  <c r="G2234" i="525"/>
  <c r="H2234" i="525" s="1"/>
  <c r="G2195" i="525"/>
  <c r="H2195" i="525" s="1"/>
  <c r="G1942" i="525"/>
  <c r="H1942" i="525" s="1"/>
  <c r="G2214" i="525"/>
  <c r="H2214" i="525" s="1"/>
  <c r="G1949" i="525"/>
  <c r="H1949" i="525" s="1"/>
  <c r="G2157" i="525"/>
  <c r="H2157" i="525" s="1"/>
  <c r="G1928" i="525"/>
  <c r="H1928" i="525" s="1"/>
  <c r="G1877" i="525"/>
  <c r="H1877" i="525" s="1"/>
  <c r="G2254" i="525"/>
  <c r="H2254" i="525" s="1"/>
  <c r="G2176" i="525"/>
  <c r="H2176" i="525" s="1"/>
  <c r="G1935" i="525"/>
  <c r="H1935" i="525" s="1"/>
  <c r="G1395" i="525"/>
  <c r="H1395" i="525" s="1"/>
  <c r="G836" i="525"/>
  <c r="H836" i="525" s="1"/>
  <c r="G97" i="525"/>
  <c r="H97" i="525" s="1"/>
  <c r="G461" i="525"/>
  <c r="H461" i="525" s="1"/>
  <c r="G103" i="525"/>
  <c r="H103" i="525" s="1"/>
  <c r="G466" i="525"/>
  <c r="H209" i="523"/>
  <c r="K91" i="525"/>
  <c r="L91" i="525" s="1"/>
  <c r="L208" i="523"/>
  <c r="M208" i="523" s="1"/>
  <c r="I427" i="523"/>
  <c r="G427" i="523" s="1"/>
  <c r="F427" i="523"/>
  <c r="J875" i="525"/>
  <c r="J804" i="525"/>
  <c r="J461" i="525"/>
  <c r="J419" i="525"/>
  <c r="J382" i="525"/>
  <c r="J335" i="525"/>
  <c r="J258" i="525"/>
  <c r="E180" i="525"/>
  <c r="J180" i="525"/>
  <c r="F180" i="525" s="1"/>
  <c r="E162" i="525"/>
  <c r="J162" i="525"/>
  <c r="F162" i="525" s="1"/>
  <c r="E144" i="525"/>
  <c r="J144" i="525"/>
  <c r="F144" i="525" s="1"/>
  <c r="E119" i="525"/>
  <c r="J119" i="525"/>
  <c r="F119" i="525" s="1"/>
  <c r="J109" i="525"/>
  <c r="J1377" i="525"/>
  <c r="F1377" i="525" s="1"/>
  <c r="E1377" i="525"/>
  <c r="J1457" i="525"/>
  <c r="F1457" i="525" s="1"/>
  <c r="E1457" i="525"/>
  <c r="J2172" i="525"/>
  <c r="F2172" i="525" s="1"/>
  <c r="E2172" i="525"/>
  <c r="J2210" i="525"/>
  <c r="F2210" i="525" s="1"/>
  <c r="E2210" i="525"/>
  <c r="J2290" i="525"/>
  <c r="F2290" i="525" s="1"/>
  <c r="E2290" i="525"/>
  <c r="J1640" i="525"/>
  <c r="J2097" i="525"/>
  <c r="J1949" i="525"/>
  <c r="J2195" i="525"/>
  <c r="J2254" i="525"/>
  <c r="J2294" i="525"/>
  <c r="F1577" i="525"/>
  <c r="E215" i="524" s="1"/>
  <c r="F1167" i="525"/>
  <c r="E163" i="524" s="1"/>
  <c r="J679" i="525"/>
  <c r="J552" i="525"/>
  <c r="J431" i="525"/>
  <c r="J399" i="525"/>
  <c r="J275" i="525"/>
  <c r="J230" i="525"/>
  <c r="F1573" i="525"/>
  <c r="E214" i="524" s="1"/>
  <c r="F1175" i="525"/>
  <c r="E164" i="524" s="1"/>
  <c r="G164" i="524"/>
  <c r="J424" i="523" s="1"/>
  <c r="L828" i="525"/>
  <c r="E828" i="525"/>
  <c r="J784" i="525"/>
  <c r="J430" i="525"/>
  <c r="J417" i="525"/>
  <c r="J407" i="525"/>
  <c r="J283" i="525"/>
  <c r="J229" i="525"/>
  <c r="F10" i="524"/>
  <c r="H432" i="523" s="1"/>
  <c r="F36" i="525"/>
  <c r="E10" i="524" s="1"/>
  <c r="J2518" i="525"/>
  <c r="J1639" i="525"/>
  <c r="J2083" i="525"/>
  <c r="J1481" i="525"/>
  <c r="J1688" i="525"/>
  <c r="J1416" i="525"/>
  <c r="J1408" i="525"/>
  <c r="J1798" i="525"/>
  <c r="J2228" i="525"/>
  <c r="J1831" i="525"/>
  <c r="J2248" i="525"/>
  <c r="J1759" i="525"/>
  <c r="J1791" i="525"/>
  <c r="J2288" i="525"/>
  <c r="J2494" i="525"/>
  <c r="J2617" i="525"/>
  <c r="J2653" i="525"/>
  <c r="J2308" i="525"/>
  <c r="J2453" i="525"/>
  <c r="J2423" i="525"/>
  <c r="J2355" i="525"/>
  <c r="J1313" i="525"/>
  <c r="J1400" i="525"/>
  <c r="J1482" i="525"/>
  <c r="J1549" i="525"/>
  <c r="J1352" i="525"/>
  <c r="J1300" i="525"/>
  <c r="J1469" i="525"/>
  <c r="J2152" i="525"/>
  <c r="J2209" i="525"/>
  <c r="J1677" i="525"/>
  <c r="J1845" i="525"/>
  <c r="J2171" i="525"/>
  <c r="J2394" i="525"/>
  <c r="J2347" i="525"/>
  <c r="J2309" i="525"/>
  <c r="J2454" i="525"/>
  <c r="J2424" i="525"/>
  <c r="F1569" i="525"/>
  <c r="E213" i="524" s="1"/>
  <c r="F1199" i="525"/>
  <c r="E167" i="524" s="1"/>
  <c r="J700" i="525"/>
  <c r="J644" i="525"/>
  <c r="J632" i="525"/>
  <c r="J620" i="525"/>
  <c r="J605" i="525"/>
  <c r="J587" i="525"/>
  <c r="J569" i="525"/>
  <c r="J406" i="525"/>
  <c r="J351" i="525"/>
  <c r="J336" i="525"/>
  <c r="J282" i="525"/>
  <c r="F826" i="525"/>
  <c r="L1800" i="525"/>
  <c r="H244" i="524" s="1"/>
  <c r="L259" i="523" s="1"/>
  <c r="M259" i="523" s="1"/>
  <c r="L1760" i="525"/>
  <c r="H238" i="524" s="1"/>
  <c r="L262" i="523" s="1"/>
  <c r="M262" i="523" s="1"/>
  <c r="L1793" i="525"/>
  <c r="H243" i="524" s="1"/>
  <c r="L258" i="523" s="1"/>
  <c r="M258" i="523" s="1"/>
  <c r="I2145" i="525"/>
  <c r="I2131" i="525"/>
  <c r="G5" i="524"/>
  <c r="J187" i="523" s="1"/>
  <c r="F16" i="525"/>
  <c r="E5" i="524" s="1"/>
  <c r="G2505" i="525"/>
  <c r="H2505" i="525" s="1"/>
  <c r="G2444" i="525"/>
  <c r="H2444" i="525" s="1"/>
  <c r="G2404" i="525"/>
  <c r="H2404" i="525" s="1"/>
  <c r="G2347" i="525"/>
  <c r="H2347" i="525" s="1"/>
  <c r="G2289" i="525"/>
  <c r="H2289" i="525" s="1"/>
  <c r="G2517" i="525"/>
  <c r="H2517" i="525" s="1"/>
  <c r="G2434" i="525"/>
  <c r="H2434" i="525" s="1"/>
  <c r="G2394" i="525"/>
  <c r="H2394" i="525" s="1"/>
  <c r="G2356" i="525"/>
  <c r="H2356" i="525" s="1"/>
  <c r="G2269" i="525"/>
  <c r="H2269" i="525" s="1"/>
  <c r="G2493" i="525"/>
  <c r="H2493" i="525" s="1"/>
  <c r="G2464" i="525"/>
  <c r="H2464" i="525" s="1"/>
  <c r="G2424" i="525"/>
  <c r="H2424" i="525" s="1"/>
  <c r="G2384" i="525"/>
  <c r="H2384" i="525" s="1"/>
  <c r="G2365" i="525"/>
  <c r="H2365" i="525" s="1"/>
  <c r="G2329" i="525"/>
  <c r="H2329" i="525" s="1"/>
  <c r="G2454" i="525"/>
  <c r="H2454" i="525" s="1"/>
  <c r="G2414" i="525"/>
  <c r="H2414" i="525" s="1"/>
  <c r="G2374" i="525"/>
  <c r="H2374" i="525" s="1"/>
  <c r="G2338" i="525"/>
  <c r="H2338" i="525" s="1"/>
  <c r="G2309" i="525"/>
  <c r="H2309" i="525" s="1"/>
  <c r="G2209" i="525"/>
  <c r="H2209" i="525" s="1"/>
  <c r="G1735" i="525"/>
  <c r="H1735" i="525" s="1"/>
  <c r="G1689" i="525"/>
  <c r="H1689" i="525" s="1"/>
  <c r="G1665" i="525"/>
  <c r="H1665" i="525" s="1"/>
  <c r="G2152" i="525"/>
  <c r="H2152" i="525" s="1"/>
  <c r="G1971" i="525"/>
  <c r="H1971" i="525" s="1"/>
  <c r="G1955" i="525"/>
  <c r="H1955" i="525" s="1"/>
  <c r="G1723" i="525"/>
  <c r="H1723" i="525" s="1"/>
  <c r="G1700" i="525"/>
  <c r="H1700" i="525" s="1"/>
  <c r="G2249" i="525"/>
  <c r="H2249" i="525" s="1"/>
  <c r="G2171" i="525"/>
  <c r="H2171" i="525" s="1"/>
  <c r="G1979" i="525"/>
  <c r="H1979" i="525" s="1"/>
  <c r="G1964" i="525"/>
  <c r="H1964" i="525" s="1"/>
  <c r="G1858" i="525"/>
  <c r="H1858" i="525" s="1"/>
  <c r="G1845" i="525"/>
  <c r="H1845" i="525" s="1"/>
  <c r="G1832" i="525"/>
  <c r="H1832" i="525" s="1"/>
  <c r="G1819" i="525"/>
  <c r="H1819" i="525" s="1"/>
  <c r="G1711" i="525"/>
  <c r="H1711" i="525" s="1"/>
  <c r="G1677" i="525"/>
  <c r="H1677" i="525" s="1"/>
  <c r="G2229" i="525"/>
  <c r="H2229" i="525" s="1"/>
  <c r="G2190" i="525"/>
  <c r="H2190" i="525" s="1"/>
  <c r="G1549" i="525"/>
  <c r="H1549" i="525" s="1"/>
  <c r="G1521" i="525"/>
  <c r="H1521" i="525" s="1"/>
  <c r="G1506" i="525"/>
  <c r="H1506" i="525" s="1"/>
  <c r="G1497" i="525"/>
  <c r="H1497" i="525" s="1"/>
  <c r="G1482" i="525"/>
  <c r="H1482" i="525" s="1"/>
  <c r="G1456" i="525"/>
  <c r="H1456" i="525" s="1"/>
  <c r="G1444" i="525"/>
  <c r="H1444" i="525" s="1"/>
  <c r="G1415" i="525"/>
  <c r="H1415" i="525" s="1"/>
  <c r="G1400" i="525"/>
  <c r="H1400" i="525" s="1"/>
  <c r="G1360" i="525"/>
  <c r="H1360" i="525" s="1"/>
  <c r="G1286" i="525"/>
  <c r="H1286" i="525" s="1"/>
  <c r="G1313" i="525"/>
  <c r="H1313" i="525" s="1"/>
  <c r="G1528" i="525"/>
  <c r="H1528" i="525" s="1"/>
  <c r="G1469" i="525"/>
  <c r="H1469" i="525" s="1"/>
  <c r="G1376" i="525"/>
  <c r="H1376" i="525" s="1"/>
  <c r="G1344" i="525"/>
  <c r="H1344" i="525" s="1"/>
  <c r="G1321" i="525"/>
  <c r="H1321" i="525" s="1"/>
  <c r="G1300" i="525"/>
  <c r="H1300" i="525" s="1"/>
  <c r="G1747" i="525"/>
  <c r="H1747" i="525" s="1"/>
  <c r="G1513" i="525"/>
  <c r="H1513" i="525" s="1"/>
  <c r="G1489" i="525"/>
  <c r="H1489" i="525" s="1"/>
  <c r="G1407" i="525"/>
  <c r="H1407" i="525" s="1"/>
  <c r="G1352" i="525"/>
  <c r="H1352" i="525" s="1"/>
  <c r="G1329" i="525"/>
  <c r="H1329" i="525" s="1"/>
  <c r="G1293" i="525"/>
  <c r="H1293" i="525" s="1"/>
  <c r="G854" i="525"/>
  <c r="H854" i="525" s="1"/>
  <c r="G417" i="525"/>
  <c r="H417" i="525" s="1"/>
  <c r="G398" i="525"/>
  <c r="H398" i="525" s="1"/>
  <c r="G366" i="525"/>
  <c r="H366" i="525" s="1"/>
  <c r="G321" i="525"/>
  <c r="H321" i="525" s="1"/>
  <c r="G306" i="525"/>
  <c r="H306" i="525" s="1"/>
  <c r="G274" i="525"/>
  <c r="H274" i="525" s="1"/>
  <c r="G229" i="525"/>
  <c r="H229" i="525" s="1"/>
  <c r="G178" i="525"/>
  <c r="H178" i="525" s="1"/>
  <c r="G169" i="525"/>
  <c r="H169" i="525" s="1"/>
  <c r="G160" i="525"/>
  <c r="H160" i="525" s="1"/>
  <c r="G151" i="525"/>
  <c r="H151" i="525" s="1"/>
  <c r="G142" i="525"/>
  <c r="H142" i="525" s="1"/>
  <c r="G133" i="525"/>
  <c r="H133" i="525" s="1"/>
  <c r="G117" i="525"/>
  <c r="H117" i="525" s="1"/>
  <c r="G867" i="525"/>
  <c r="G429" i="525"/>
  <c r="H429" i="525" s="1"/>
  <c r="G406" i="525"/>
  <c r="H406" i="525" s="1"/>
  <c r="G374" i="525"/>
  <c r="H374" i="525" s="1"/>
  <c r="G342" i="525"/>
  <c r="H342" i="525" s="1"/>
  <c r="G314" i="525"/>
  <c r="H314" i="525" s="1"/>
  <c r="G282" i="525"/>
  <c r="H282" i="525" s="1"/>
  <c r="G250" i="525"/>
  <c r="H250" i="525" s="1"/>
  <c r="G222" i="525"/>
  <c r="H222" i="525" s="1"/>
  <c r="G875" i="525"/>
  <c r="H875" i="525" s="1"/>
  <c r="G860" i="525"/>
  <c r="H860" i="525" s="1"/>
  <c r="G382" i="525"/>
  <c r="H382" i="525" s="1"/>
  <c r="G350" i="525"/>
  <c r="H350" i="525" s="1"/>
  <c r="G335" i="525"/>
  <c r="H335" i="525" s="1"/>
  <c r="G290" i="525"/>
  <c r="H290" i="525" s="1"/>
  <c r="G258" i="525"/>
  <c r="H258" i="525" s="1"/>
  <c r="G243" i="525"/>
  <c r="H243" i="525" s="1"/>
  <c r="G125" i="525"/>
  <c r="H125" i="525" s="1"/>
  <c r="G109" i="525"/>
  <c r="H109" i="525" s="1"/>
  <c r="G390" i="525"/>
  <c r="H390" i="525" s="1"/>
  <c r="G358" i="525"/>
  <c r="H358" i="525" s="1"/>
  <c r="G328" i="525"/>
  <c r="H328" i="525" s="1"/>
  <c r="G298" i="525"/>
  <c r="H298" i="525" s="1"/>
  <c r="G266" i="525"/>
  <c r="H266" i="525" s="1"/>
  <c r="G236" i="525"/>
  <c r="H236" i="525" s="1"/>
  <c r="E127" i="525"/>
  <c r="G118" i="524"/>
  <c r="J182" i="523" s="1"/>
  <c r="F845" i="525"/>
  <c r="E118" i="524" s="1"/>
  <c r="F423" i="523"/>
  <c r="E8565" i="527"/>
  <c r="D8565" i="527"/>
  <c r="D8571" i="527" s="1"/>
  <c r="D8604" i="527" s="1"/>
  <c r="F8565" i="527"/>
  <c r="F8571" i="527" s="1"/>
  <c r="F8604" i="527" s="1"/>
  <c r="J25" i="530"/>
  <c r="E25" i="530"/>
  <c r="D8405" i="527"/>
  <c r="F158" i="526"/>
  <c r="E105" i="530"/>
  <c r="H105" i="530"/>
  <c r="F7871" i="527"/>
  <c r="F7876" i="527" s="1"/>
  <c r="F7889" i="527" s="1"/>
  <c r="F7904" i="527" s="1"/>
  <c r="E7871" i="527"/>
  <c r="D7871" i="527"/>
  <c r="D7876" i="527" s="1"/>
  <c r="E7833" i="527"/>
  <c r="C7833" i="527" s="1"/>
  <c r="C7831" i="527"/>
  <c r="B7831" i="527" s="1"/>
  <c r="E7021" i="527"/>
  <c r="F7021" i="527"/>
  <c r="F7025" i="527" s="1"/>
  <c r="D7021" i="527"/>
  <c r="F7489" i="527"/>
  <c r="D7489" i="527"/>
  <c r="F6905" i="527"/>
  <c r="H130" i="526"/>
  <c r="L462" i="523" s="1"/>
  <c r="M462" i="523" s="1"/>
  <c r="AD6730" i="527"/>
  <c r="AB6730" i="527"/>
  <c r="B6726" i="527"/>
  <c r="D6505" i="527"/>
  <c r="F122" i="526"/>
  <c r="H454" i="523" s="1"/>
  <c r="I454" i="523" s="1"/>
  <c r="F6405" i="527"/>
  <c r="H120" i="526"/>
  <c r="L452" i="523" s="1"/>
  <c r="M452" i="523" s="1"/>
  <c r="AB6130" i="527"/>
  <c r="B6126" i="527"/>
  <c r="AD6130" i="527"/>
  <c r="F4670" i="527"/>
  <c r="F4674" i="527" s="1"/>
  <c r="E4670" i="527"/>
  <c r="D4670" i="527"/>
  <c r="F4531" i="527"/>
  <c r="D4531" i="527"/>
  <c r="F4422" i="527"/>
  <c r="E4422" i="527"/>
  <c r="D4422" i="527"/>
  <c r="F4269" i="527"/>
  <c r="F4273" i="527" s="1"/>
  <c r="E4269" i="527"/>
  <c r="D4269" i="527"/>
  <c r="AB6230" i="527"/>
  <c r="B6226" i="527"/>
  <c r="AD6230" i="527"/>
  <c r="E3437" i="527"/>
  <c r="C3437" i="527" s="1"/>
  <c r="C3435" i="527"/>
  <c r="B3435" i="527" s="1"/>
  <c r="C3904" i="527"/>
  <c r="E3855" i="527"/>
  <c r="G69" i="526"/>
  <c r="D1694" i="527"/>
  <c r="F1694" i="527"/>
  <c r="F3324" i="527"/>
  <c r="D3324" i="527"/>
  <c r="C3678" i="527"/>
  <c r="F2181" i="527"/>
  <c r="E2181" i="527"/>
  <c r="F1883" i="527"/>
  <c r="D1883" i="527"/>
  <c r="E3393" i="527"/>
  <c r="C3383" i="527"/>
  <c r="B3383" i="527" s="1"/>
  <c r="F1221" i="527"/>
  <c r="F1226" i="527" s="1"/>
  <c r="F1239" i="527" s="1"/>
  <c r="F1254" i="527" s="1"/>
  <c r="E1221" i="527"/>
  <c r="D1221" i="527"/>
  <c r="D1226" i="527" s="1"/>
  <c r="F724" i="527"/>
  <c r="E724" i="527"/>
  <c r="D724" i="527"/>
  <c r="F424" i="527"/>
  <c r="E424" i="527"/>
  <c r="D424" i="527"/>
  <c r="F1783" i="527"/>
  <c r="E1783" i="527"/>
  <c r="D2371" i="527"/>
  <c r="D2376" i="527" s="1"/>
  <c r="D2389" i="527" s="1"/>
  <c r="D2404" i="527" s="1"/>
  <c r="F2371" i="527"/>
  <c r="F2376" i="527" s="1"/>
  <c r="F2389" i="527" s="1"/>
  <c r="F2404" i="527" s="1"/>
  <c r="E2371" i="527"/>
  <c r="F1583" i="527"/>
  <c r="E1583" i="527"/>
  <c r="D874" i="527"/>
  <c r="F874" i="527"/>
  <c r="E874" i="527"/>
  <c r="L7229" i="527"/>
  <c r="L3696" i="527"/>
  <c r="L3223" i="527"/>
  <c r="L3427" i="527"/>
  <c r="I3427" i="527" s="1"/>
  <c r="L1687" i="527"/>
  <c r="I1687" i="527" s="1"/>
  <c r="L1487" i="527"/>
  <c r="I1487" i="527" s="1"/>
  <c r="L1787" i="527"/>
  <c r="L1587" i="527"/>
  <c r="I1587" i="527" s="1"/>
  <c r="K2050" i="525"/>
  <c r="L2050" i="525" s="1"/>
  <c r="L2051" i="525" s="1"/>
  <c r="H278" i="524" s="1"/>
  <c r="L142" i="523" s="1"/>
  <c r="M142" i="523" s="1"/>
  <c r="E8178" i="527"/>
  <c r="D8178" i="527"/>
  <c r="F8178" i="527"/>
  <c r="E8021" i="527"/>
  <c r="D8021" i="527"/>
  <c r="F8021" i="527"/>
  <c r="D9021" i="527"/>
  <c r="F9021" i="527"/>
  <c r="E9021" i="527"/>
  <c r="C8568" i="527"/>
  <c r="B8568" i="527" s="1"/>
  <c r="E8415" i="527"/>
  <c r="C8413" i="527"/>
  <c r="B8413" i="527" s="1"/>
  <c r="J17" i="530"/>
  <c r="E17" i="530"/>
  <c r="E112" i="530"/>
  <c r="H112" i="530"/>
  <c r="C8980" i="527"/>
  <c r="B8980" i="527" s="1"/>
  <c r="E8993" i="527"/>
  <c r="E8169" i="527"/>
  <c r="D8169" i="527"/>
  <c r="F8169" i="527"/>
  <c r="D8219" i="527"/>
  <c r="F8219" i="527"/>
  <c r="E8219" i="527"/>
  <c r="C8128" i="527"/>
  <c r="B8128" i="527" s="1"/>
  <c r="E8134" i="527"/>
  <c r="E7933" i="527"/>
  <c r="C7933" i="527" s="1"/>
  <c r="C7931" i="527"/>
  <c r="B7931" i="527" s="1"/>
  <c r="E7837" i="527"/>
  <c r="C8522" i="527"/>
  <c r="C8228" i="527"/>
  <c r="B8228" i="527" s="1"/>
  <c r="F7674" i="527"/>
  <c r="E7674" i="527"/>
  <c r="D7674" i="527"/>
  <c r="B8966" i="527"/>
  <c r="I39" i="530"/>
  <c r="F38" i="530"/>
  <c r="E8611" i="527"/>
  <c r="C8608" i="527"/>
  <c r="E8539" i="527"/>
  <c r="C8539" i="527" s="1"/>
  <c r="C8536" i="527"/>
  <c r="B8536" i="527" s="1"/>
  <c r="E7883" i="527"/>
  <c r="C7883" i="527" s="1"/>
  <c r="C7881" i="527"/>
  <c r="B7881" i="527" s="1"/>
  <c r="F7564" i="527"/>
  <c r="E7266" i="527"/>
  <c r="D7266" i="527"/>
  <c r="D7272" i="527" s="1"/>
  <c r="D7304" i="527" s="1"/>
  <c r="F7266" i="527"/>
  <c r="F7272" i="527" s="1"/>
  <c r="F7304" i="527" s="1"/>
  <c r="E7631" i="527"/>
  <c r="C7618" i="527"/>
  <c r="B7618" i="527" s="1"/>
  <c r="F7491" i="527"/>
  <c r="E7491" i="527"/>
  <c r="D7491" i="527"/>
  <c r="F7412" i="527"/>
  <c r="E7412" i="527"/>
  <c r="F7335" i="527"/>
  <c r="D7335" i="527"/>
  <c r="E7726" i="527"/>
  <c r="D7404" i="527"/>
  <c r="D7406" i="527" s="1"/>
  <c r="F7404" i="527"/>
  <c r="F7406" i="527" s="1"/>
  <c r="E7404" i="527"/>
  <c r="E7177" i="527"/>
  <c r="F6855" i="527"/>
  <c r="H129" i="526"/>
  <c r="L461" i="523" s="1"/>
  <c r="M461" i="523" s="1"/>
  <c r="F6655" i="527"/>
  <c r="H125" i="526"/>
  <c r="L457" i="523" s="1"/>
  <c r="M457" i="523" s="1"/>
  <c r="C6742" i="527"/>
  <c r="B6742" i="527" s="1"/>
  <c r="E6754" i="527"/>
  <c r="E6454" i="527"/>
  <c r="C6442" i="527"/>
  <c r="B6442" i="527" s="1"/>
  <c r="E5521" i="527"/>
  <c r="D5521" i="527"/>
  <c r="F5521" i="527"/>
  <c r="F5525" i="527" s="1"/>
  <c r="C6804" i="527"/>
  <c r="E6755" i="527"/>
  <c r="G127" i="526"/>
  <c r="J459" i="523" s="1"/>
  <c r="E6504" i="527"/>
  <c r="C6492" i="527"/>
  <c r="B6492" i="527" s="1"/>
  <c r="E6104" i="527"/>
  <c r="C6092" i="527"/>
  <c r="B6092" i="527" s="1"/>
  <c r="C6842" i="527"/>
  <c r="B6842" i="527" s="1"/>
  <c r="E6854" i="527"/>
  <c r="C6542" i="527"/>
  <c r="B6542" i="527" s="1"/>
  <c r="E6554" i="527"/>
  <c r="AD6326" i="527"/>
  <c r="Z6326" i="527"/>
  <c r="B6322" i="527"/>
  <c r="F5905" i="527"/>
  <c r="H110" i="526"/>
  <c r="L470" i="523" s="1"/>
  <c r="M470" i="523" s="1"/>
  <c r="F5705" i="527"/>
  <c r="H106" i="526"/>
  <c r="L466" i="523" s="1"/>
  <c r="M466" i="523" s="1"/>
  <c r="E5221" i="527"/>
  <c r="D5221" i="527"/>
  <c r="F5221" i="527"/>
  <c r="F5225" i="527" s="1"/>
  <c r="D7381" i="527"/>
  <c r="C6642" i="527"/>
  <c r="B6642" i="527" s="1"/>
  <c r="E6654" i="527"/>
  <c r="AD6376" i="527"/>
  <c r="B6372" i="527"/>
  <c r="Z6376" i="527"/>
  <c r="E5854" i="527"/>
  <c r="C5842" i="527"/>
  <c r="B5842" i="527" s="1"/>
  <c r="AD5676" i="527"/>
  <c r="B5672" i="527"/>
  <c r="Z5676" i="527"/>
  <c r="D5573" i="527"/>
  <c r="F5573" i="527"/>
  <c r="E5573" i="527"/>
  <c r="D5373" i="527"/>
  <c r="F5373" i="527"/>
  <c r="E5373" i="527"/>
  <c r="D6355" i="527"/>
  <c r="F119" i="526"/>
  <c r="H451" i="523" s="1"/>
  <c r="I451" i="523" s="1"/>
  <c r="AB5730" i="527"/>
  <c r="B5726" i="527"/>
  <c r="AD5730" i="527"/>
  <c r="E5380" i="527"/>
  <c r="E5330" i="527"/>
  <c r="E6254" i="527"/>
  <c r="C6242" i="527"/>
  <c r="B6242" i="527" s="1"/>
  <c r="E5804" i="527"/>
  <c r="C5792" i="527"/>
  <c r="B5792" i="527" s="1"/>
  <c r="C5271" i="527"/>
  <c r="B5271" i="527" s="1"/>
  <c r="F4971" i="527"/>
  <c r="F4975" i="527" s="1"/>
  <c r="E4971" i="527"/>
  <c r="D4971" i="527"/>
  <c r="F4871" i="527"/>
  <c r="F4875" i="527" s="1"/>
  <c r="E4871" i="527"/>
  <c r="D4871" i="527"/>
  <c r="F4771" i="527"/>
  <c r="F4775" i="527" s="1"/>
  <c r="E4771" i="527"/>
  <c r="D4771" i="527"/>
  <c r="F4681" i="527"/>
  <c r="D4681" i="527"/>
  <c r="F4620" i="527"/>
  <c r="F4624" i="527" s="1"/>
  <c r="E4620" i="527"/>
  <c r="D4620" i="527"/>
  <c r="F4572" i="527"/>
  <c r="E4572" i="527"/>
  <c r="D4572" i="527"/>
  <c r="F4529" i="527"/>
  <c r="E4529" i="527"/>
  <c r="F4481" i="527"/>
  <c r="D4481" i="527"/>
  <c r="F4420" i="527"/>
  <c r="E4420" i="527"/>
  <c r="D4420" i="527"/>
  <c r="F4372" i="527"/>
  <c r="E4372" i="527"/>
  <c r="D4372" i="527"/>
  <c r="F4329" i="527"/>
  <c r="E4329" i="527"/>
  <c r="F4219" i="527"/>
  <c r="F4223" i="527" s="1"/>
  <c r="E4219" i="527"/>
  <c r="D4219" i="527"/>
  <c r="E6054" i="527"/>
  <c r="C6042" i="527"/>
  <c r="B6042" i="527" s="1"/>
  <c r="E5904" i="527"/>
  <c r="C5892" i="527"/>
  <c r="B5892" i="527" s="1"/>
  <c r="D6255" i="527"/>
  <c r="F117" i="526"/>
  <c r="H449" i="523" s="1"/>
  <c r="I449" i="523" s="1"/>
  <c r="E6154" i="527"/>
  <c r="C6142" i="527"/>
  <c r="B6142" i="527" s="1"/>
  <c r="E6004" i="527"/>
  <c r="C5992" i="527"/>
  <c r="B5992" i="527" s="1"/>
  <c r="E5180" i="527"/>
  <c r="C4923" i="527"/>
  <c r="B4923" i="527" s="1"/>
  <c r="D3621" i="527"/>
  <c r="F3621" i="527"/>
  <c r="C4773" i="527"/>
  <c r="B4773" i="527" s="1"/>
  <c r="F3021" i="527"/>
  <c r="F3026" i="527" s="1"/>
  <c r="F3043" i="527" s="1"/>
  <c r="F3054" i="527" s="1"/>
  <c r="E3021" i="527"/>
  <c r="D3021" i="527"/>
  <c r="D3026" i="527" s="1"/>
  <c r="C4823" i="527"/>
  <c r="B4823" i="527" s="1"/>
  <c r="C4973" i="527"/>
  <c r="B4973" i="527" s="1"/>
  <c r="AA3427" i="527"/>
  <c r="AA3425" i="527"/>
  <c r="AA3423" i="527"/>
  <c r="B3421" i="527"/>
  <c r="AE3427" i="527"/>
  <c r="H3427" i="527" s="1"/>
  <c r="AE3425" i="527"/>
  <c r="H3425" i="527" s="1"/>
  <c r="AE3423" i="527"/>
  <c r="H3423" i="527" s="1"/>
  <c r="E3336" i="527"/>
  <c r="C3336" i="527" s="1"/>
  <c r="C3334" i="527"/>
  <c r="B3334" i="527" s="1"/>
  <c r="E3286" i="527"/>
  <c r="C3286" i="527" s="1"/>
  <c r="C3284" i="527"/>
  <c r="B3284" i="527" s="1"/>
  <c r="D3274" i="527"/>
  <c r="F3274" i="527"/>
  <c r="E2031" i="527"/>
  <c r="F2031" i="527"/>
  <c r="E1692" i="527"/>
  <c r="F1692" i="527"/>
  <c r="E1674" i="527"/>
  <c r="D1674" i="527"/>
  <c r="F1674" i="527"/>
  <c r="D3755" i="527"/>
  <c r="F67" i="526"/>
  <c r="F3455" i="527"/>
  <c r="H62" i="526"/>
  <c r="L152" i="523" s="1"/>
  <c r="M152" i="523" s="1"/>
  <c r="F3326" i="527"/>
  <c r="E3326" i="527"/>
  <c r="C3326" i="527" s="1"/>
  <c r="B3326" i="527" s="1"/>
  <c r="D3326" i="527"/>
  <c r="F3074" i="527"/>
  <c r="E3074" i="527"/>
  <c r="F2721" i="527"/>
  <c r="F2726" i="527" s="1"/>
  <c r="F2742" i="527" s="1"/>
  <c r="F2754" i="527" s="1"/>
  <c r="E2721" i="527"/>
  <c r="D2721" i="527"/>
  <c r="D2726" i="527" s="1"/>
  <c r="F2233" i="527"/>
  <c r="D2233" i="527"/>
  <c r="F1921" i="527"/>
  <c r="F1926" i="527" s="1"/>
  <c r="E1921" i="527"/>
  <c r="D1921" i="527"/>
  <c r="D1926" i="527" s="1"/>
  <c r="C4071" i="527"/>
  <c r="B4071" i="527" s="1"/>
  <c r="C3524" i="527"/>
  <c r="E3527" i="527"/>
  <c r="K3368" i="527"/>
  <c r="C3364" i="527"/>
  <c r="B3364" i="527" s="1"/>
  <c r="F3173" i="527"/>
  <c r="E3173" i="527"/>
  <c r="E3037" i="527"/>
  <c r="C3037" i="527" s="1"/>
  <c r="C3031" i="527"/>
  <c r="B3031" i="527" s="1"/>
  <c r="F2421" i="527"/>
  <c r="F2426" i="527" s="1"/>
  <c r="F2438" i="527" s="1"/>
  <c r="F2454" i="527" s="1"/>
  <c r="E2421" i="527"/>
  <c r="D2421" i="527"/>
  <c r="D2426" i="527" s="1"/>
  <c r="D2438" i="527" s="1"/>
  <c r="D2454" i="527" s="1"/>
  <c r="F2174" i="527"/>
  <c r="E2174" i="527"/>
  <c r="D2174" i="527"/>
  <c r="F1881" i="527"/>
  <c r="E1881" i="527"/>
  <c r="D3927" i="527"/>
  <c r="D3930" i="527" s="1"/>
  <c r="D3954" i="527" s="1"/>
  <c r="C3571" i="527"/>
  <c r="B3571" i="527" s="1"/>
  <c r="F3555" i="527"/>
  <c r="H64" i="526"/>
  <c r="L240" i="523" s="1"/>
  <c r="M240" i="523" s="1"/>
  <c r="E3099" i="527"/>
  <c r="F3099" i="527"/>
  <c r="D2936" i="527"/>
  <c r="C2785" i="527"/>
  <c r="B2785" i="527" s="1"/>
  <c r="C2334" i="527"/>
  <c r="B2334" i="527" s="1"/>
  <c r="E2336" i="527"/>
  <c r="C2336" i="527" s="1"/>
  <c r="F2131" i="527"/>
  <c r="E2131" i="527"/>
  <c r="E1487" i="527"/>
  <c r="D1487" i="527"/>
  <c r="F1487" i="527"/>
  <c r="E1471" i="527"/>
  <c r="D1471" i="527"/>
  <c r="F1471" i="527"/>
  <c r="E2891" i="527"/>
  <c r="C2684" i="527"/>
  <c r="B2684" i="527" s="1"/>
  <c r="C2524" i="527"/>
  <c r="B2524" i="527" s="1"/>
  <c r="C2194" i="527"/>
  <c r="B2194" i="527" s="1"/>
  <c r="E2199" i="527"/>
  <c r="C1776" i="527"/>
  <c r="F1374" i="527"/>
  <c r="E1374" i="527"/>
  <c r="D1374" i="527"/>
  <c r="F1274" i="527"/>
  <c r="E1274" i="527"/>
  <c r="D1274" i="527"/>
  <c r="F1174" i="527"/>
  <c r="E1174" i="527"/>
  <c r="D1174" i="527"/>
  <c r="F1074" i="527"/>
  <c r="E1074" i="527"/>
  <c r="D1074" i="527"/>
  <c r="F974" i="527"/>
  <c r="E974" i="527"/>
  <c r="D974" i="527"/>
  <c r="F721" i="527"/>
  <c r="F726" i="527" s="1"/>
  <c r="F739" i="527" s="1"/>
  <c r="F754" i="527" s="1"/>
  <c r="E721" i="527"/>
  <c r="D721" i="527"/>
  <c r="F621" i="527"/>
  <c r="E621" i="527"/>
  <c r="D621" i="527"/>
  <c r="F521" i="527"/>
  <c r="F526" i="527" s="1"/>
  <c r="F539" i="527" s="1"/>
  <c r="F554" i="527" s="1"/>
  <c r="E521" i="527"/>
  <c r="D521" i="527"/>
  <c r="D526" i="527" s="1"/>
  <c r="F421" i="527"/>
  <c r="F426" i="527" s="1"/>
  <c r="F439" i="527" s="1"/>
  <c r="F454" i="527" s="1"/>
  <c r="E421" i="527"/>
  <c r="D421" i="527"/>
  <c r="D426" i="527" s="1"/>
  <c r="E171" i="527"/>
  <c r="D171" i="527"/>
  <c r="F171" i="527"/>
  <c r="E2690" i="527"/>
  <c r="E2637" i="527"/>
  <c r="C2631" i="527"/>
  <c r="B2631" i="527" s="1"/>
  <c r="C2724" i="527"/>
  <c r="B2724" i="527" s="1"/>
  <c r="C1894" i="527"/>
  <c r="B1894" i="527" s="1"/>
  <c r="E1899" i="527"/>
  <c r="F1592" i="527"/>
  <c r="E1592" i="527"/>
  <c r="D1574" i="527"/>
  <c r="F1574" i="527"/>
  <c r="E1574" i="527"/>
  <c r="D871" i="527"/>
  <c r="D876" i="527" s="1"/>
  <c r="D885" i="527" s="1"/>
  <c r="D904" i="527" s="1"/>
  <c r="F871" i="527"/>
  <c r="F876" i="527" s="1"/>
  <c r="F885" i="527" s="1"/>
  <c r="F904" i="527" s="1"/>
  <c r="E871" i="527"/>
  <c r="F274" i="527"/>
  <c r="E274" i="527"/>
  <c r="D274" i="527"/>
  <c r="E483" i="527"/>
  <c r="C483" i="527" s="1"/>
  <c r="C481" i="527"/>
  <c r="B481" i="527" s="1"/>
  <c r="F60" i="527"/>
  <c r="F67" i="527" s="1"/>
  <c r="E60" i="527"/>
  <c r="D1610" i="527"/>
  <c r="E1233" i="527"/>
  <c r="C1233" i="527" s="1"/>
  <c r="C1231" i="527"/>
  <c r="B1231" i="527" s="1"/>
  <c r="E1137" i="527"/>
  <c r="E633" i="527"/>
  <c r="C633" i="527" s="1"/>
  <c r="C631" i="527"/>
  <c r="B631" i="527" s="1"/>
  <c r="E537" i="527"/>
  <c r="D321" i="527"/>
  <c r="D326" i="527" s="1"/>
  <c r="D335" i="527" s="1"/>
  <c r="D354" i="527" s="1"/>
  <c r="F321" i="527"/>
  <c r="F326" i="527" s="1"/>
  <c r="F335" i="527" s="1"/>
  <c r="F354" i="527" s="1"/>
  <c r="E321" i="527"/>
  <c r="C831" i="527"/>
  <c r="B831" i="527" s="1"/>
  <c r="E833" i="527"/>
  <c r="C833" i="527" s="1"/>
  <c r="E783" i="527"/>
  <c r="C783" i="527" s="1"/>
  <c r="C781" i="527"/>
  <c r="B781" i="527" s="1"/>
  <c r="E583" i="527"/>
  <c r="C583" i="527" s="1"/>
  <c r="C581" i="527"/>
  <c r="B581" i="527" s="1"/>
  <c r="E487" i="527"/>
  <c r="B78" i="527"/>
  <c r="AG80" i="527"/>
  <c r="AB94" i="527"/>
  <c r="Z80" i="527"/>
  <c r="K2044" i="525"/>
  <c r="F2041" i="525"/>
  <c r="H2046" i="525"/>
  <c r="L2560" i="525"/>
  <c r="E2560" i="525"/>
  <c r="F2103" i="525"/>
  <c r="G258" i="524"/>
  <c r="F168" i="523"/>
  <c r="I168" i="523"/>
  <c r="G168" i="523" s="1"/>
  <c r="F428" i="523"/>
  <c r="I428" i="523"/>
  <c r="G428" i="523" s="1"/>
  <c r="F1630" i="525"/>
  <c r="E225" i="524" s="1"/>
  <c r="G225" i="524"/>
  <c r="J175" i="523" s="1"/>
  <c r="H1183" i="525"/>
  <c r="J509" i="525"/>
  <c r="E350" i="525"/>
  <c r="J350" i="525"/>
  <c r="F350" i="525" s="1"/>
  <c r="J299" i="525"/>
  <c r="J237" i="525"/>
  <c r="J1470" i="525"/>
  <c r="F1470" i="525" s="1"/>
  <c r="E1470" i="525"/>
  <c r="J1550" i="525"/>
  <c r="F1550" i="525" s="1"/>
  <c r="E1550" i="525"/>
  <c r="J2250" i="525"/>
  <c r="F2250" i="525" s="1"/>
  <c r="E2250" i="525"/>
  <c r="E2191" i="525"/>
  <c r="J2191" i="525"/>
  <c r="F2191" i="525" s="1"/>
  <c r="E2310" i="525"/>
  <c r="J2310" i="525"/>
  <c r="F2310" i="525" s="1"/>
  <c r="J1380" i="525"/>
  <c r="J2214" i="525"/>
  <c r="J2234" i="525"/>
  <c r="J1877" i="525"/>
  <c r="J2314" i="525"/>
  <c r="F1219" i="525"/>
  <c r="E170" i="524" s="1"/>
  <c r="G170" i="524"/>
  <c r="J186" i="523" s="1"/>
  <c r="F1127" i="525"/>
  <c r="E158" i="524" s="1"/>
  <c r="G158" i="524"/>
  <c r="J418" i="523" s="1"/>
  <c r="J693" i="525"/>
  <c r="J500" i="525"/>
  <c r="J367" i="525"/>
  <c r="J322" i="525"/>
  <c r="J298" i="525"/>
  <c r="F298" i="525" s="1"/>
  <c r="E298" i="525"/>
  <c r="J108" i="525"/>
  <c r="F164" i="523"/>
  <c r="I164" i="523"/>
  <c r="G164" i="523" s="1"/>
  <c r="F1191" i="525"/>
  <c r="E166" i="524" s="1"/>
  <c r="G166" i="524"/>
  <c r="J426" i="523" s="1"/>
  <c r="J854" i="525"/>
  <c r="F854" i="525" s="1"/>
  <c r="E854" i="525"/>
  <c r="H822" i="525"/>
  <c r="K821" i="525"/>
  <c r="J491" i="525"/>
  <c r="J375" i="525"/>
  <c r="J321" i="525"/>
  <c r="F321" i="525" s="1"/>
  <c r="E321" i="525"/>
  <c r="J306" i="525"/>
  <c r="F306" i="525" s="1"/>
  <c r="E306" i="525"/>
  <c r="J251" i="525"/>
  <c r="J111" i="525"/>
  <c r="F111" i="525" s="1"/>
  <c r="E111" i="525"/>
  <c r="F32" i="525"/>
  <c r="E9" i="524" s="1"/>
  <c r="F9" i="524"/>
  <c r="H431" i="523" s="1"/>
  <c r="J2496" i="525"/>
  <c r="J2093" i="525"/>
  <c r="J2088" i="525"/>
  <c r="J1496" i="525"/>
  <c r="J1734" i="525"/>
  <c r="J1468" i="525"/>
  <c r="J2208" i="525"/>
  <c r="J1812" i="525"/>
  <c r="J1676" i="525"/>
  <c r="J1844" i="525"/>
  <c r="J2268" i="525"/>
  <c r="J1765" i="525"/>
  <c r="J1805" i="525"/>
  <c r="J2346" i="525"/>
  <c r="J2504" i="525"/>
  <c r="J2626" i="525"/>
  <c r="J2662" i="525"/>
  <c r="J2337" i="525"/>
  <c r="J2328" i="525"/>
  <c r="J2463" i="525"/>
  <c r="J2393" i="525"/>
  <c r="J1723" i="525"/>
  <c r="F1723" i="525" s="1"/>
  <c r="E1723" i="525"/>
  <c r="J1415" i="525"/>
  <c r="F1415" i="525" s="1"/>
  <c r="E1415" i="525"/>
  <c r="J1497" i="525"/>
  <c r="F1497" i="525" s="1"/>
  <c r="E1497" i="525"/>
  <c r="J1700" i="525"/>
  <c r="F1700" i="525" s="1"/>
  <c r="E1700" i="525"/>
  <c r="J1407" i="525"/>
  <c r="F1407" i="525" s="1"/>
  <c r="E1407" i="525"/>
  <c r="E1321" i="525"/>
  <c r="J1321" i="525"/>
  <c r="F1321" i="525" s="1"/>
  <c r="E1528" i="525"/>
  <c r="J1528" i="525"/>
  <c r="F1528" i="525" s="1"/>
  <c r="J1665" i="525"/>
  <c r="F1665" i="525" s="1"/>
  <c r="E1665" i="525"/>
  <c r="J1747" i="525"/>
  <c r="F1747" i="525" s="1"/>
  <c r="E1747" i="525"/>
  <c r="E1711" i="525"/>
  <c r="J1711" i="525"/>
  <c r="F1711" i="525" s="1"/>
  <c r="E1858" i="525"/>
  <c r="J1858" i="525"/>
  <c r="F1858" i="525" s="1"/>
  <c r="E2249" i="525"/>
  <c r="J2249" i="525"/>
  <c r="F2249" i="525" s="1"/>
  <c r="J2434" i="525"/>
  <c r="F2434" i="525" s="1"/>
  <c r="E2434" i="525"/>
  <c r="J2404" i="525"/>
  <c r="F2404" i="525" s="1"/>
  <c r="E2404" i="525"/>
  <c r="J2338" i="525"/>
  <c r="F2338" i="525" s="1"/>
  <c r="E2338" i="525"/>
  <c r="E2329" i="525"/>
  <c r="J2329" i="525"/>
  <c r="F2329" i="525" s="1"/>
  <c r="E2464" i="525"/>
  <c r="J2464" i="525"/>
  <c r="F2464" i="525" s="1"/>
  <c r="F1634" i="525"/>
  <c r="E226" i="524" s="1"/>
  <c r="G226" i="524"/>
  <c r="J172" i="523" s="1"/>
  <c r="J794" i="525"/>
  <c r="J754" i="525"/>
  <c r="J714" i="525"/>
  <c r="J658" i="525"/>
  <c r="J544" i="525"/>
  <c r="J518" i="525"/>
  <c r="J429" i="525"/>
  <c r="F429" i="525" s="1"/>
  <c r="E429" i="525"/>
  <c r="J374" i="525"/>
  <c r="F374" i="525" s="1"/>
  <c r="E374" i="525"/>
  <c r="J250" i="525"/>
  <c r="F250" i="525" s="1"/>
  <c r="E250" i="525"/>
  <c r="J222" i="525"/>
  <c r="F222" i="525" s="1"/>
  <c r="E222" i="525"/>
  <c r="J90" i="525"/>
  <c r="F79" i="525"/>
  <c r="E18" i="524" s="1"/>
  <c r="F841" i="525"/>
  <c r="E117" i="524" s="1"/>
  <c r="G117" i="524"/>
  <c r="J181" i="523" s="1"/>
  <c r="L1814" i="525"/>
  <c r="H246" i="524" s="1"/>
  <c r="L261" i="523" s="1"/>
  <c r="M261" i="523" s="1"/>
  <c r="L1766" i="525"/>
  <c r="H239" i="524" s="1"/>
  <c r="L263" i="523" s="1"/>
  <c r="M263" i="523" s="1"/>
  <c r="L1807" i="525"/>
  <c r="H245" i="524" s="1"/>
  <c r="L260" i="523" s="1"/>
  <c r="M260" i="523" s="1"/>
  <c r="I2466" i="525"/>
  <c r="I2426" i="525"/>
  <c r="I2386" i="525"/>
  <c r="I2367" i="525"/>
  <c r="I2331" i="525"/>
  <c r="I2293" i="525"/>
  <c r="I2611" i="525"/>
  <c r="I2595" i="525"/>
  <c r="I2456" i="525"/>
  <c r="I2416" i="525"/>
  <c r="I2376" i="525"/>
  <c r="I2340" i="525"/>
  <c r="I2273" i="525"/>
  <c r="I2446" i="525"/>
  <c r="I2406" i="525"/>
  <c r="I2349" i="525"/>
  <c r="I2682" i="525"/>
  <c r="I2673" i="525"/>
  <c r="I2664" i="525"/>
  <c r="I2655" i="525"/>
  <c r="I2646" i="525"/>
  <c r="I2637" i="525"/>
  <c r="I2628" i="525"/>
  <c r="I2619" i="525"/>
  <c r="I2603" i="525"/>
  <c r="I2587" i="525"/>
  <c r="I2436" i="525"/>
  <c r="I2396" i="525"/>
  <c r="I2358" i="525"/>
  <c r="I2313" i="525"/>
  <c r="I2213" i="525"/>
  <c r="I1948" i="525"/>
  <c r="I1860" i="525"/>
  <c r="I1847" i="525"/>
  <c r="I1834" i="525"/>
  <c r="I1821" i="525"/>
  <c r="I1748" i="525"/>
  <c r="I1679" i="525"/>
  <c r="I2156" i="525"/>
  <c r="I1927" i="525"/>
  <c r="I1736" i="525"/>
  <c r="I1690" i="525"/>
  <c r="I2253" i="525"/>
  <c r="I2175" i="525"/>
  <c r="I1934" i="525"/>
  <c r="I1875" i="525"/>
  <c r="I1724" i="525"/>
  <c r="I1701" i="525"/>
  <c r="I1667" i="525"/>
  <c r="I2233" i="525"/>
  <c r="I2194" i="525"/>
  <c r="I1941" i="525"/>
  <c r="I1712" i="525"/>
  <c r="I1535" i="525"/>
  <c r="I1383" i="525"/>
  <c r="I1556" i="525"/>
  <c r="I834" i="525"/>
  <c r="I806" i="525"/>
  <c r="I766" i="525"/>
  <c r="I726" i="525"/>
  <c r="I553" i="525"/>
  <c r="I537" i="525"/>
  <c r="I511" i="525"/>
  <c r="I776" i="525"/>
  <c r="I736" i="525"/>
  <c r="I502" i="525"/>
  <c r="I786" i="525"/>
  <c r="I746" i="525"/>
  <c r="I606" i="525"/>
  <c r="I597" i="525"/>
  <c r="I588" i="525"/>
  <c r="I579" i="525"/>
  <c r="I570" i="525"/>
  <c r="I561" i="525"/>
  <c r="I545" i="525"/>
  <c r="I529" i="525"/>
  <c r="I493" i="525"/>
  <c r="I796" i="525"/>
  <c r="I756" i="525"/>
  <c r="I716" i="525"/>
  <c r="I520" i="525"/>
  <c r="I96" i="525"/>
  <c r="J192" i="523"/>
  <c r="I2535" i="525"/>
  <c r="I2529" i="525"/>
  <c r="I2487" i="525"/>
  <c r="I2542" i="525"/>
  <c r="I2480" i="525"/>
  <c r="I2474" i="525"/>
  <c r="I1946" i="525"/>
  <c r="I1889" i="525"/>
  <c r="I1883" i="525"/>
  <c r="I1810" i="525"/>
  <c r="I1796" i="525"/>
  <c r="I1782" i="525"/>
  <c r="I1925" i="525"/>
  <c r="I1972" i="525"/>
  <c r="I1932" i="525"/>
  <c r="I1896" i="525"/>
  <c r="I1873" i="525"/>
  <c r="I1803" i="525"/>
  <c r="I1789" i="525"/>
  <c r="I1775" i="525"/>
  <c r="I1769" i="525"/>
  <c r="I1763" i="525"/>
  <c r="I1757" i="525"/>
  <c r="I1980" i="525"/>
  <c r="I1965" i="525"/>
  <c r="I1362" i="525"/>
  <c r="I1288" i="525"/>
  <c r="I1939" i="525"/>
  <c r="I1338" i="525"/>
  <c r="I1315" i="525"/>
  <c r="I1512" i="525"/>
  <c r="I1369" i="525"/>
  <c r="I1346" i="525"/>
  <c r="I1323" i="525"/>
  <c r="I1308" i="525"/>
  <c r="I1302" i="525"/>
  <c r="I1520" i="525"/>
  <c r="I1505" i="525"/>
  <c r="I1354" i="525"/>
  <c r="I1331" i="525"/>
  <c r="I1295" i="525"/>
  <c r="I832" i="525"/>
  <c r="I708" i="525"/>
  <c r="I694" i="525"/>
  <c r="I680" i="525"/>
  <c r="I666" i="525"/>
  <c r="I652" i="525"/>
  <c r="I869" i="525"/>
  <c r="I455" i="525"/>
  <c r="I877" i="525"/>
  <c r="I862" i="525"/>
  <c r="I701" i="525"/>
  <c r="I687" i="525"/>
  <c r="I673" i="525"/>
  <c r="I659" i="525"/>
  <c r="I645" i="525"/>
  <c r="I639" i="525"/>
  <c r="I633" i="525"/>
  <c r="I627" i="525"/>
  <c r="I621" i="525"/>
  <c r="I615" i="525"/>
  <c r="I448" i="525"/>
  <c r="I442" i="525"/>
  <c r="J193" i="523"/>
  <c r="F127" i="525"/>
  <c r="L816" i="525"/>
  <c r="H113" i="524" s="1"/>
  <c r="K90" i="525" s="1"/>
  <c r="L90" i="525" s="1"/>
  <c r="L92" i="525" s="1"/>
  <c r="H21" i="524" s="1"/>
  <c r="L196" i="523" s="1"/>
  <c r="M196" i="523" s="1"/>
  <c r="F815" i="525"/>
  <c r="H477" i="525"/>
  <c r="G6" i="524"/>
  <c r="J189" i="523" s="1"/>
  <c r="F20" i="525"/>
  <c r="E6" i="524" s="1"/>
  <c r="J114" i="530"/>
  <c r="E114" i="530"/>
  <c r="J7225" i="527"/>
  <c r="J3692" i="527"/>
  <c r="J3219" i="527"/>
  <c r="I3219" i="527" s="1"/>
  <c r="J3423" i="527"/>
  <c r="I3423" i="527" s="1"/>
  <c r="J1683" i="527"/>
  <c r="I1683" i="527" s="1"/>
  <c r="J1483" i="527"/>
  <c r="I1483" i="527" s="1"/>
  <c r="J1783" i="527"/>
  <c r="I1783" i="527" s="1"/>
  <c r="J1583" i="527"/>
  <c r="I1583" i="527" s="1"/>
  <c r="G2050" i="525"/>
  <c r="H2050" i="525" s="1"/>
  <c r="H2051" i="525" s="1"/>
  <c r="F278" i="524" s="1"/>
  <c r="H142" i="523" s="1"/>
  <c r="I142" i="523" s="1"/>
  <c r="D8255" i="527"/>
  <c r="F155" i="526"/>
  <c r="E8024" i="527"/>
  <c r="D8024" i="527"/>
  <c r="F8024" i="527"/>
  <c r="K8968" i="527"/>
  <c r="C8964" i="527"/>
  <c r="B8964" i="527" s="1"/>
  <c r="E8661" i="527"/>
  <c r="C8658" i="527"/>
  <c r="B8658" i="527" s="1"/>
  <c r="D8232" i="527"/>
  <c r="D8234" i="527" s="1"/>
  <c r="F8232" i="527"/>
  <c r="E8232" i="527"/>
  <c r="E8234" i="527" s="1"/>
  <c r="D9019" i="527"/>
  <c r="D9023" i="527" s="1"/>
  <c r="F9019" i="527"/>
  <c r="F9023" i="527" s="1"/>
  <c r="E9019" i="527"/>
  <c r="D8993" i="527"/>
  <c r="D8996" i="527" s="1"/>
  <c r="D9004" i="527" s="1"/>
  <c r="L8990" i="527"/>
  <c r="E8083" i="527"/>
  <c r="C8083" i="527" s="1"/>
  <c r="C8081" i="527"/>
  <c r="B8081" i="527" s="1"/>
  <c r="L7628" i="527"/>
  <c r="D7631" i="527"/>
  <c r="D7654" i="527" s="1"/>
  <c r="D6655" i="527"/>
  <c r="F125" i="526"/>
  <c r="H457" i="523" s="1"/>
  <c r="I457" i="523" s="1"/>
  <c r="D6705" i="527"/>
  <c r="F126" i="526"/>
  <c r="H458" i="523" s="1"/>
  <c r="I458" i="523" s="1"/>
  <c r="D6455" i="527"/>
  <c r="F121" i="526"/>
  <c r="H453" i="523" s="1"/>
  <c r="I453" i="523" s="1"/>
  <c r="AD6426" i="527"/>
  <c r="Z6426" i="527"/>
  <c r="B6422" i="527"/>
  <c r="D6605" i="527"/>
  <c r="F124" i="526"/>
  <c r="H456" i="523" s="1"/>
  <c r="I456" i="523" s="1"/>
  <c r="AD6176" i="527"/>
  <c r="B6172" i="527"/>
  <c r="Z6176" i="527"/>
  <c r="E5580" i="527"/>
  <c r="F5655" i="527"/>
  <c r="H105" i="526"/>
  <c r="L465" i="523" s="1"/>
  <c r="M465" i="523" s="1"/>
  <c r="E4880" i="527"/>
  <c r="F4579" i="527"/>
  <c r="E4579" i="527"/>
  <c r="F4470" i="527"/>
  <c r="F4474" i="527" s="1"/>
  <c r="E4470" i="527"/>
  <c r="D4470" i="527"/>
  <c r="F4379" i="527"/>
  <c r="E4379" i="527"/>
  <c r="D6305" i="527"/>
  <c r="F118" i="526"/>
  <c r="H450" i="523" s="1"/>
  <c r="I450" i="523" s="1"/>
  <c r="D5855" i="527"/>
  <c r="F109" i="526"/>
  <c r="H469" i="523" s="1"/>
  <c r="I469" i="523" s="1"/>
  <c r="D5955" i="527"/>
  <c r="F111" i="526"/>
  <c r="H471" i="523" s="1"/>
  <c r="I471" i="523" s="1"/>
  <c r="E5284" i="527"/>
  <c r="E4019" i="527"/>
  <c r="D4019" i="527"/>
  <c r="F4019" i="527"/>
  <c r="F4023" i="527" s="1"/>
  <c r="E2821" i="527"/>
  <c r="D2821" i="527"/>
  <c r="D2826" i="527" s="1"/>
  <c r="F2821" i="527"/>
  <c r="F2826" i="527" s="1"/>
  <c r="F2842" i="527" s="1"/>
  <c r="F2854" i="527" s="1"/>
  <c r="F3219" i="527"/>
  <c r="E3219" i="527"/>
  <c r="D3219" i="527"/>
  <c r="D3225" i="527" s="1"/>
  <c r="D3254" i="527" s="1"/>
  <c r="D2971" i="527"/>
  <c r="D2976" i="527" s="1"/>
  <c r="F2971" i="527"/>
  <c r="F2976" i="527" s="1"/>
  <c r="F2992" i="527" s="1"/>
  <c r="F3004" i="527" s="1"/>
  <c r="E2971" i="527"/>
  <c r="E3470" i="527"/>
  <c r="C3467" i="527"/>
  <c r="B3467" i="527" s="1"/>
  <c r="F2221" i="527"/>
  <c r="F2226" i="527" s="1"/>
  <c r="E2221" i="527"/>
  <c r="D2221" i="527"/>
  <c r="D2226" i="527" s="1"/>
  <c r="F3805" i="527"/>
  <c r="H68" i="526"/>
  <c r="E3574" i="527"/>
  <c r="C3569" i="527"/>
  <c r="B3569" i="527" s="1"/>
  <c r="E3041" i="527"/>
  <c r="C2535" i="527"/>
  <c r="B2535" i="527" s="1"/>
  <c r="E2537" i="527"/>
  <c r="C2537" i="527" s="1"/>
  <c r="C2048" i="527"/>
  <c r="B2048" i="527" s="1"/>
  <c r="E2050" i="527"/>
  <c r="C2050" i="527" s="1"/>
  <c r="E1474" i="527"/>
  <c r="D1474" i="527"/>
  <c r="F1474" i="527"/>
  <c r="E2740" i="527"/>
  <c r="F1381" i="527"/>
  <c r="E1381" i="527"/>
  <c r="F1121" i="527"/>
  <c r="F1126" i="527" s="1"/>
  <c r="F1139" i="527" s="1"/>
  <c r="F1154" i="527" s="1"/>
  <c r="E1121" i="527"/>
  <c r="D1121" i="527"/>
  <c r="D1126" i="527" s="1"/>
  <c r="F624" i="527"/>
  <c r="E624" i="527"/>
  <c r="D624" i="527"/>
  <c r="E174" i="527"/>
  <c r="D174" i="527"/>
  <c r="F174" i="527"/>
  <c r="C2431" i="527"/>
  <c r="B2431" i="527" s="1"/>
  <c r="E2436" i="527"/>
  <c r="C2436" i="527" s="1"/>
  <c r="H30" i="530"/>
  <c r="E30" i="530"/>
  <c r="D8472" i="527"/>
  <c r="L8486" i="527"/>
  <c r="J82" i="530"/>
  <c r="E82" i="530"/>
  <c r="J54" i="530"/>
  <c r="E54" i="530"/>
  <c r="E80" i="530"/>
  <c r="H80" i="530"/>
  <c r="H15" i="530"/>
  <c r="E15" i="530"/>
  <c r="E66" i="530"/>
  <c r="H66" i="530"/>
  <c r="D8355" i="527"/>
  <c r="F157" i="526"/>
  <c r="E8074" i="527"/>
  <c r="D8074" i="527"/>
  <c r="F8074" i="527"/>
  <c r="E7974" i="527"/>
  <c r="D7974" i="527"/>
  <c r="F7974" i="527"/>
  <c r="E8761" i="527"/>
  <c r="C8758" i="527"/>
  <c r="B8758" i="527" s="1"/>
  <c r="E8472" i="527"/>
  <c r="C8468" i="527"/>
  <c r="B8468" i="527" s="1"/>
  <c r="E8180" i="527"/>
  <c r="D8180" i="527"/>
  <c r="F8180" i="527"/>
  <c r="D9029" i="527"/>
  <c r="D9033" i="527" s="1"/>
  <c r="F9029" i="527"/>
  <c r="F9033" i="527" s="1"/>
  <c r="D8305" i="527"/>
  <c r="F156" i="526"/>
  <c r="H8" i="530"/>
  <c r="E8" i="530"/>
  <c r="E119" i="530"/>
  <c r="H119" i="530"/>
  <c r="E8171" i="527"/>
  <c r="D8171" i="527"/>
  <c r="F8171" i="527"/>
  <c r="D8221" i="527"/>
  <c r="F8221" i="527"/>
  <c r="E8221" i="527"/>
  <c r="C7924" i="527"/>
  <c r="B7924" i="527" s="1"/>
  <c r="E7887" i="527"/>
  <c r="F7824" i="527"/>
  <c r="E7824" i="527"/>
  <c r="D7824" i="527"/>
  <c r="D8134" i="527"/>
  <c r="F7671" i="527"/>
  <c r="F7676" i="527" s="1"/>
  <c r="F7685" i="527" s="1"/>
  <c r="F7704" i="527" s="1"/>
  <c r="E7671" i="527"/>
  <c r="D7671" i="527"/>
  <c r="D7676" i="527" s="1"/>
  <c r="D7685" i="527" s="1"/>
  <c r="D7704" i="527" s="1"/>
  <c r="B8608" i="527"/>
  <c r="E8087" i="527"/>
  <c r="E7983" i="527"/>
  <c r="C7983" i="527" s="1"/>
  <c r="C7981" i="527"/>
  <c r="B7981" i="527" s="1"/>
  <c r="F7566" i="527"/>
  <c r="F7604" i="527" s="1"/>
  <c r="E7115" i="527"/>
  <c r="F7115" i="527"/>
  <c r="F7119" i="527" s="1"/>
  <c r="F7154" i="527" s="1"/>
  <c r="D7115" i="527"/>
  <c r="D7119" i="527" s="1"/>
  <c r="D7154" i="527" s="1"/>
  <c r="E7783" i="527"/>
  <c r="C7783" i="527" s="1"/>
  <c r="C7781" i="527"/>
  <c r="B7781" i="527" s="1"/>
  <c r="C7564" i="527"/>
  <c r="F7487" i="527"/>
  <c r="F7493" i="527" s="1"/>
  <c r="E7487" i="527"/>
  <c r="F7391" i="527"/>
  <c r="E7391" i="527"/>
  <c r="D7391" i="527"/>
  <c r="F7333" i="527"/>
  <c r="E7333" i="527"/>
  <c r="E8033" i="527"/>
  <c r="C8033" i="527" s="1"/>
  <c r="C8031" i="527"/>
  <c r="B8031" i="527" s="1"/>
  <c r="C7681" i="527"/>
  <c r="B7681" i="527" s="1"/>
  <c r="E7683" i="527"/>
  <c r="C7683" i="527" s="1"/>
  <c r="D7545" i="527"/>
  <c r="D7566" i="527" s="1"/>
  <c r="D7604" i="527" s="1"/>
  <c r="F7726" i="527"/>
  <c r="F7735" i="527" s="1"/>
  <c r="F7754" i="527" s="1"/>
  <c r="C7523" i="527"/>
  <c r="B7523" i="527" s="1"/>
  <c r="C7562" i="527"/>
  <c r="B7562" i="527" s="1"/>
  <c r="E7481" i="527"/>
  <c r="C7469" i="527"/>
  <c r="B7469" i="527" s="1"/>
  <c r="E6954" i="527"/>
  <c r="C6942" i="527"/>
  <c r="B6942" i="527" s="1"/>
  <c r="AB6980" i="527"/>
  <c r="B6976" i="527"/>
  <c r="AD6980" i="527"/>
  <c r="D6555" i="527"/>
  <c r="F123" i="526"/>
  <c r="H455" i="523" s="1"/>
  <c r="I455" i="523" s="1"/>
  <c r="C7269" i="527"/>
  <c r="B7269" i="527" s="1"/>
  <c r="F6955" i="527"/>
  <c r="H131" i="526"/>
  <c r="L463" i="523" s="1"/>
  <c r="M463" i="523" s="1"/>
  <c r="D7186" i="527"/>
  <c r="F7186" i="527"/>
  <c r="F7191" i="527" s="1"/>
  <c r="F7194" i="527" s="1"/>
  <c r="F7204" i="527" s="1"/>
  <c r="C7169" i="527"/>
  <c r="B7169" i="527" s="1"/>
  <c r="AD6780" i="527"/>
  <c r="AB6780" i="527"/>
  <c r="B6776" i="527"/>
  <c r="F6705" i="527"/>
  <c r="H126" i="526"/>
  <c r="L458" i="523" s="1"/>
  <c r="M458" i="523" s="1"/>
  <c r="AD6630" i="527"/>
  <c r="AB6630" i="527"/>
  <c r="B6626" i="527"/>
  <c r="C6992" i="527"/>
  <c r="B6992" i="527" s="1"/>
  <c r="AD6880" i="527"/>
  <c r="AB6880" i="527"/>
  <c r="B6876" i="527"/>
  <c r="F6805" i="527"/>
  <c r="H128" i="526"/>
  <c r="L460" i="523" s="1"/>
  <c r="M460" i="523" s="1"/>
  <c r="AD6580" i="527"/>
  <c r="AB6580" i="527"/>
  <c r="B6576" i="527"/>
  <c r="F6505" i="527"/>
  <c r="H122" i="526"/>
  <c r="L454" i="523" s="1"/>
  <c r="M454" i="523" s="1"/>
  <c r="AD6480" i="527"/>
  <c r="AB6480" i="527"/>
  <c r="B6476" i="527"/>
  <c r="C7375" i="527"/>
  <c r="B7375" i="527" s="1"/>
  <c r="E7381" i="527"/>
  <c r="C7369" i="527"/>
  <c r="B7369" i="527" s="1"/>
  <c r="C6892" i="527"/>
  <c r="B6892" i="527" s="1"/>
  <c r="AD6830" i="527"/>
  <c r="AB6830" i="527"/>
  <c r="B6826" i="527"/>
  <c r="AD6680" i="527"/>
  <c r="AB6680" i="527"/>
  <c r="B6676" i="527"/>
  <c r="F6605" i="527"/>
  <c r="H124" i="526"/>
  <c r="L456" i="523" s="1"/>
  <c r="M456" i="523" s="1"/>
  <c r="AD6530" i="527"/>
  <c r="AB6530" i="527"/>
  <c r="B6526" i="527"/>
  <c r="AD6276" i="527"/>
  <c r="B6272" i="527"/>
  <c r="Z6276" i="527"/>
  <c r="AD6076" i="527"/>
  <c r="B6072" i="527"/>
  <c r="Z6076" i="527"/>
  <c r="E5954" i="527"/>
  <c r="C5942" i="527"/>
  <c r="B5942" i="527" s="1"/>
  <c r="AD5776" i="527"/>
  <c r="B5772" i="527"/>
  <c r="Z5776" i="527"/>
  <c r="D5571" i="527"/>
  <c r="F5571" i="527"/>
  <c r="F5575" i="527" s="1"/>
  <c r="E5571" i="527"/>
  <c r="D5371" i="527"/>
  <c r="F5371" i="527"/>
  <c r="F5375" i="527" s="1"/>
  <c r="E5371" i="527"/>
  <c r="C6392" i="527"/>
  <c r="B6392" i="527" s="1"/>
  <c r="E6404" i="527"/>
  <c r="D5655" i="527"/>
  <c r="F105" i="526"/>
  <c r="H465" i="523" s="1"/>
  <c r="I465" i="523" s="1"/>
  <c r="C5523" i="527"/>
  <c r="B5523" i="527" s="1"/>
  <c r="E5134" i="527"/>
  <c r="F6205" i="527"/>
  <c r="H116" i="526"/>
  <c r="L448" i="523" s="1"/>
  <c r="M448" i="523" s="1"/>
  <c r="F5755" i="527"/>
  <c r="H107" i="526"/>
  <c r="L467" i="523" s="1"/>
  <c r="M467" i="523" s="1"/>
  <c r="E5334" i="527"/>
  <c r="E5286" i="527"/>
  <c r="C5275" i="527"/>
  <c r="E5230" i="527"/>
  <c r="E4930" i="527"/>
  <c r="E4830" i="527"/>
  <c r="E4730" i="527"/>
  <c r="F4679" i="527"/>
  <c r="E4679" i="527"/>
  <c r="F4631" i="527"/>
  <c r="D4631" i="527"/>
  <c r="F4570" i="527"/>
  <c r="F4574" i="527" s="1"/>
  <c r="E4570" i="527"/>
  <c r="D4570" i="527"/>
  <c r="F4522" i="527"/>
  <c r="E4522" i="527"/>
  <c r="D4522" i="527"/>
  <c r="F4479" i="527"/>
  <c r="E4479" i="527"/>
  <c r="F4431" i="527"/>
  <c r="D4431" i="527"/>
  <c r="F4370" i="527"/>
  <c r="F4374" i="527" s="1"/>
  <c r="E4370" i="527"/>
  <c r="D4370" i="527"/>
  <c r="F4322" i="527"/>
  <c r="E4322" i="527"/>
  <c r="C4322" i="527" s="1"/>
  <c r="B4322" i="527" s="1"/>
  <c r="D4322" i="527"/>
  <c r="E6354" i="527"/>
  <c r="C6342" i="527"/>
  <c r="B6342" i="527" s="1"/>
  <c r="F6005" i="527"/>
  <c r="H112" i="526"/>
  <c r="L472" i="523" s="1"/>
  <c r="M472" i="523" s="1"/>
  <c r="F5855" i="527"/>
  <c r="H109" i="526"/>
  <c r="L469" i="523" s="1"/>
  <c r="M469" i="523" s="1"/>
  <c r="E5430" i="527"/>
  <c r="C6292" i="527"/>
  <c r="B6292" i="527" s="1"/>
  <c r="E6304" i="527"/>
  <c r="F6105" i="527"/>
  <c r="H114" i="526"/>
  <c r="L446" i="523" s="1"/>
  <c r="M446" i="523" s="1"/>
  <c r="F5955" i="527"/>
  <c r="H111" i="526"/>
  <c r="L471" i="523" s="1"/>
  <c r="M471" i="523" s="1"/>
  <c r="E5584" i="527"/>
  <c r="E5384" i="527"/>
  <c r="E5084" i="527"/>
  <c r="F5023" i="527"/>
  <c r="E5023" i="527"/>
  <c r="D5023" i="527"/>
  <c r="E4119" i="527"/>
  <c r="D4119" i="527"/>
  <c r="F4119" i="527"/>
  <c r="F4123" i="527" s="1"/>
  <c r="E3619" i="527"/>
  <c r="F3619" i="527"/>
  <c r="F3629" i="527" s="1"/>
  <c r="F3654" i="527" s="1"/>
  <c r="E4228" i="527"/>
  <c r="F4169" i="527"/>
  <c r="F4173" i="527" s="1"/>
  <c r="D4169" i="527"/>
  <c r="E4169" i="527"/>
  <c r="D2871" i="527"/>
  <c r="D2876" i="527" s="1"/>
  <c r="E2871" i="527"/>
  <c r="F2871" i="527"/>
  <c r="F2876" i="527" s="1"/>
  <c r="F2893" i="527" s="1"/>
  <c r="F2904" i="527" s="1"/>
  <c r="C3623" i="527"/>
  <c r="B3623" i="527" s="1"/>
  <c r="D3276" i="527"/>
  <c r="F3276" i="527"/>
  <c r="E3276" i="527"/>
  <c r="C3276" i="527" s="1"/>
  <c r="B3276" i="527" s="1"/>
  <c r="E2521" i="527"/>
  <c r="D2521" i="527"/>
  <c r="D2526" i="527" s="1"/>
  <c r="D2539" i="527" s="1"/>
  <c r="D2554" i="527" s="1"/>
  <c r="F2521" i="527"/>
  <c r="F2526" i="527" s="1"/>
  <c r="F2539" i="527" s="1"/>
  <c r="F2554" i="527" s="1"/>
  <c r="E2024" i="527"/>
  <c r="D2024" i="527"/>
  <c r="F2024" i="527"/>
  <c r="E1687" i="527"/>
  <c r="D1687" i="527"/>
  <c r="F1687" i="527"/>
  <c r="E1671" i="527"/>
  <c r="D1671" i="527"/>
  <c r="D1676" i="527" s="1"/>
  <c r="F1671" i="527"/>
  <c r="F1676" i="527" s="1"/>
  <c r="C4021" i="527"/>
  <c r="B4021" i="527" s="1"/>
  <c r="D3396" i="527"/>
  <c r="D3404" i="527" s="1"/>
  <c r="E3088" i="527"/>
  <c r="C3088" i="527" s="1"/>
  <c r="C3086" i="527"/>
  <c r="B3086" i="527" s="1"/>
  <c r="D3076" i="527"/>
  <c r="F3076" i="527"/>
  <c r="C3024" i="527"/>
  <c r="B3024" i="527" s="1"/>
  <c r="F2621" i="527"/>
  <c r="F2626" i="527" s="1"/>
  <c r="E2621" i="527"/>
  <c r="D2621" i="527"/>
  <c r="D2626" i="527" s="1"/>
  <c r="F2471" i="527"/>
  <c r="F2476" i="527" s="1"/>
  <c r="F2488" i="527" s="1"/>
  <c r="F2504" i="527" s="1"/>
  <c r="E2471" i="527"/>
  <c r="D2471" i="527"/>
  <c r="D2476" i="527" s="1"/>
  <c r="D2488" i="527" s="1"/>
  <c r="D2504" i="527" s="1"/>
  <c r="F2231" i="527"/>
  <c r="E2231" i="527"/>
  <c r="F1933" i="527"/>
  <c r="D1933" i="527"/>
  <c r="D1710" i="527"/>
  <c r="C1710" i="527" s="1"/>
  <c r="C3766" i="527"/>
  <c r="C3519" i="527"/>
  <c r="B3519" i="527" s="1"/>
  <c r="F3175" i="527"/>
  <c r="D3175" i="527"/>
  <c r="D2986" i="527"/>
  <c r="E2840" i="527"/>
  <c r="F2171" i="527"/>
  <c r="F2176" i="527" s="1"/>
  <c r="E2171" i="527"/>
  <c r="D2171" i="527"/>
  <c r="D2176" i="527" s="1"/>
  <c r="F1874" i="527"/>
  <c r="E1874" i="527"/>
  <c r="D1874" i="527"/>
  <c r="D3805" i="527"/>
  <c r="F68" i="526"/>
  <c r="D3101" i="527"/>
  <c r="F3101" i="527"/>
  <c r="E2936" i="527"/>
  <c r="C2936" i="527" s="1"/>
  <c r="C2931" i="527"/>
  <c r="B2931" i="527" s="1"/>
  <c r="C2874" i="527"/>
  <c r="B2874" i="527" s="1"/>
  <c r="C2781" i="527"/>
  <c r="B2781" i="527" s="1"/>
  <c r="F2676" i="527"/>
  <c r="F2692" i="527" s="1"/>
  <c r="F2704" i="527" s="1"/>
  <c r="D1485" i="527"/>
  <c r="F1485" i="527"/>
  <c r="E924" i="527"/>
  <c r="D924" i="527"/>
  <c r="F924" i="527"/>
  <c r="E2736" i="527"/>
  <c r="C2736" i="527" s="1"/>
  <c r="C2731" i="527"/>
  <c r="B2731" i="527" s="1"/>
  <c r="C2681" i="527"/>
  <c r="B2681" i="527" s="1"/>
  <c r="E2686" i="527"/>
  <c r="C2686" i="527" s="1"/>
  <c r="C2324" i="527"/>
  <c r="B2324" i="527" s="1"/>
  <c r="F2199" i="527"/>
  <c r="F1371" i="527"/>
  <c r="F1376" i="527" s="1"/>
  <c r="E1371" i="527"/>
  <c r="D1371" i="527"/>
  <c r="D1376" i="527" s="1"/>
  <c r="F1271" i="527"/>
  <c r="F1276" i="527" s="1"/>
  <c r="F1289" i="527" s="1"/>
  <c r="F1304" i="527" s="1"/>
  <c r="E1271" i="527"/>
  <c r="D1271" i="527"/>
  <c r="D1276" i="527" s="1"/>
  <c r="F1171" i="527"/>
  <c r="F1176" i="527" s="1"/>
  <c r="F1189" i="527" s="1"/>
  <c r="F1204" i="527" s="1"/>
  <c r="E1171" i="527"/>
  <c r="D1171" i="527"/>
  <c r="D1176" i="527" s="1"/>
  <c r="F1071" i="527"/>
  <c r="F1076" i="527" s="1"/>
  <c r="F1089" i="527" s="1"/>
  <c r="F1104" i="527" s="1"/>
  <c r="E1071" i="527"/>
  <c r="D1071" i="527"/>
  <c r="D1076" i="527" s="1"/>
  <c r="F971" i="527"/>
  <c r="F976" i="527" s="1"/>
  <c r="F989" i="527" s="1"/>
  <c r="F1004" i="527" s="1"/>
  <c r="E971" i="527"/>
  <c r="D971" i="527"/>
  <c r="D976" i="527" s="1"/>
  <c r="F774" i="527"/>
  <c r="E774" i="527"/>
  <c r="D774" i="527"/>
  <c r="F674" i="527"/>
  <c r="E674" i="527"/>
  <c r="D674" i="527"/>
  <c r="F574" i="527"/>
  <c r="E574" i="527"/>
  <c r="D574" i="527"/>
  <c r="F474" i="527"/>
  <c r="E474" i="527"/>
  <c r="D474" i="527"/>
  <c r="E374" i="527"/>
  <c r="D374" i="527"/>
  <c r="F374" i="527"/>
  <c r="F2637" i="527"/>
  <c r="E2486" i="527"/>
  <c r="C2486" i="527" s="1"/>
  <c r="C2481" i="527"/>
  <c r="B2481" i="527" s="1"/>
  <c r="C1708" i="527"/>
  <c r="B1708" i="527" s="1"/>
  <c r="F824" i="527"/>
  <c r="E824" i="527"/>
  <c r="D824" i="527"/>
  <c r="D2771" i="527"/>
  <c r="D2776" i="527" s="1"/>
  <c r="F2771" i="527"/>
  <c r="F2776" i="527" s="1"/>
  <c r="F2793" i="527" s="1"/>
  <c r="F2804" i="527" s="1"/>
  <c r="E2771" i="527"/>
  <c r="D2133" i="527"/>
  <c r="F2133" i="527"/>
  <c r="F1899" i="527"/>
  <c r="C1810" i="527"/>
  <c r="D1587" i="527"/>
  <c r="F1587" i="527"/>
  <c r="E1587" i="527"/>
  <c r="D1571" i="527"/>
  <c r="D1576" i="527" s="1"/>
  <c r="F1571" i="527"/>
  <c r="F1576" i="527" s="1"/>
  <c r="E1571" i="527"/>
  <c r="F271" i="527"/>
  <c r="F276" i="527" s="1"/>
  <c r="F285" i="527" s="1"/>
  <c r="F304" i="527" s="1"/>
  <c r="E271" i="527"/>
  <c r="D271" i="527"/>
  <c r="D276" i="527" s="1"/>
  <c r="D285" i="527" s="1"/>
  <c r="D304" i="527" s="1"/>
  <c r="C2774" i="527"/>
  <c r="B2774" i="527" s="1"/>
  <c r="E637" i="527"/>
  <c r="E383" i="527"/>
  <c r="C383" i="527" s="1"/>
  <c r="C381" i="527"/>
  <c r="B381" i="527" s="1"/>
  <c r="E2787" i="527"/>
  <c r="C2787" i="527" s="1"/>
  <c r="C1608" i="527"/>
  <c r="B1608" i="527" s="1"/>
  <c r="E737" i="527"/>
  <c r="C1504" i="527"/>
  <c r="B1504" i="527" s="1"/>
  <c r="E1509" i="527"/>
  <c r="C1509" i="527" s="1"/>
  <c r="E1287" i="527"/>
  <c r="E1133" i="527"/>
  <c r="C1133" i="527" s="1"/>
  <c r="C1131" i="527"/>
  <c r="B1131" i="527" s="1"/>
  <c r="E1033" i="527"/>
  <c r="C1033" i="527" s="1"/>
  <c r="C1031" i="527"/>
  <c r="B1031" i="527" s="1"/>
  <c r="H2037" i="525"/>
  <c r="F276" i="524" s="1"/>
  <c r="I2036" i="525"/>
  <c r="F2031" i="525"/>
  <c r="K2035" i="525"/>
  <c r="K2045" i="525"/>
  <c r="I169" i="523"/>
  <c r="G169" i="523" s="1"/>
  <c r="F169" i="523"/>
  <c r="K1921" i="525"/>
  <c r="F1918" i="525"/>
  <c r="F1608" i="525"/>
  <c r="E222" i="524" s="1"/>
  <c r="G222" i="524"/>
  <c r="J174" i="523" s="1"/>
  <c r="F1215" i="525"/>
  <c r="E169" i="524" s="1"/>
  <c r="E860" i="525"/>
  <c r="J860" i="525"/>
  <c r="F860" i="525" s="1"/>
  <c r="J724" i="525"/>
  <c r="J391" i="525"/>
  <c r="J329" i="525"/>
  <c r="J267" i="525"/>
  <c r="E171" i="525"/>
  <c r="J171" i="525"/>
  <c r="F171" i="525" s="1"/>
  <c r="E153" i="525"/>
  <c r="J153" i="525"/>
  <c r="F153" i="525" s="1"/>
  <c r="E135" i="525"/>
  <c r="J135" i="525"/>
  <c r="F135" i="525" s="1"/>
  <c r="E125" i="525"/>
  <c r="J125" i="525"/>
  <c r="F125" i="525" s="1"/>
  <c r="J103" i="525"/>
  <c r="J1529" i="525"/>
  <c r="F1529" i="525" s="1"/>
  <c r="E1529" i="525"/>
  <c r="J2130" i="525"/>
  <c r="F2130" i="525" s="1"/>
  <c r="E2130" i="525"/>
  <c r="J2153" i="525"/>
  <c r="F2153" i="525" s="1"/>
  <c r="E2153" i="525"/>
  <c r="E2230" i="525"/>
  <c r="J2230" i="525"/>
  <c r="F2230" i="525" s="1"/>
  <c r="J1648" i="525"/>
  <c r="J1532" i="525"/>
  <c r="J2274" i="525"/>
  <c r="J1935" i="525"/>
  <c r="J1928" i="525"/>
  <c r="J2553" i="525"/>
  <c r="F1095" i="525"/>
  <c r="E154" i="524" s="1"/>
  <c r="G154" i="524"/>
  <c r="J414" i="523" s="1"/>
  <c r="J707" i="525"/>
  <c r="J651" i="525"/>
  <c r="J418" i="525"/>
  <c r="J390" i="525"/>
  <c r="F390" i="525" s="1"/>
  <c r="E390" i="525"/>
  <c r="J266" i="525"/>
  <c r="F266" i="525" s="1"/>
  <c r="E266" i="525"/>
  <c r="J236" i="525"/>
  <c r="F236" i="525" s="1"/>
  <c r="E236" i="525"/>
  <c r="J124" i="525"/>
  <c r="F163" i="523"/>
  <c r="I163" i="523"/>
  <c r="F1151" i="525"/>
  <c r="E161" i="524" s="1"/>
  <c r="G161" i="524"/>
  <c r="J421" i="523" s="1"/>
  <c r="J527" i="525"/>
  <c r="F480" i="525"/>
  <c r="H482" i="525"/>
  <c r="J398" i="525"/>
  <c r="F398" i="525" s="1"/>
  <c r="E398" i="525"/>
  <c r="J343" i="525"/>
  <c r="J274" i="525"/>
  <c r="F274" i="525" s="1"/>
  <c r="E274" i="525"/>
  <c r="J223" i="525"/>
  <c r="J178" i="525"/>
  <c r="F178" i="525" s="1"/>
  <c r="E178" i="525"/>
  <c r="J169" i="525"/>
  <c r="F169" i="525" s="1"/>
  <c r="E169" i="525"/>
  <c r="J160" i="525"/>
  <c r="F160" i="525" s="1"/>
  <c r="E160" i="525"/>
  <c r="J151" i="525"/>
  <c r="F151" i="525" s="1"/>
  <c r="E151" i="525"/>
  <c r="J142" i="525"/>
  <c r="F142" i="525" s="1"/>
  <c r="E142" i="525"/>
  <c r="J133" i="525"/>
  <c r="F133" i="525" s="1"/>
  <c r="E133" i="525"/>
  <c r="K74" i="525"/>
  <c r="F71" i="525"/>
  <c r="F12" i="524"/>
  <c r="H434" i="523" s="1"/>
  <c r="F44" i="525"/>
  <c r="E12" i="524" s="1"/>
  <c r="F8" i="524"/>
  <c r="H429" i="523" s="1"/>
  <c r="F28" i="525"/>
  <c r="E8" i="524" s="1"/>
  <c r="J2506" i="525"/>
  <c r="J1656" i="525"/>
  <c r="J1443" i="525"/>
  <c r="J1548" i="525"/>
  <c r="J1375" i="525"/>
  <c r="J1527" i="525"/>
  <c r="J1746" i="525"/>
  <c r="J2068" i="525"/>
  <c r="J1710" i="525"/>
  <c r="J1857" i="525"/>
  <c r="J1699" i="525"/>
  <c r="J1771" i="525"/>
  <c r="J1954" i="525"/>
  <c r="J2403" i="525"/>
  <c r="J2585" i="525"/>
  <c r="J2635" i="525"/>
  <c r="J2671" i="525"/>
  <c r="J2373" i="525"/>
  <c r="J2364" i="525"/>
  <c r="J2593" i="525"/>
  <c r="J2433" i="525"/>
  <c r="J1286" i="525"/>
  <c r="F1286" i="525" s="1"/>
  <c r="E1286" i="525"/>
  <c r="J1444" i="525"/>
  <c r="F1444" i="525" s="1"/>
  <c r="E1444" i="525"/>
  <c r="J1506" i="525"/>
  <c r="F1506" i="525" s="1"/>
  <c r="E1506" i="525"/>
  <c r="J1293" i="525"/>
  <c r="F1293" i="525" s="1"/>
  <c r="E1293" i="525"/>
  <c r="J1489" i="525"/>
  <c r="F1489" i="525" s="1"/>
  <c r="E1489" i="525"/>
  <c r="E1344" i="525"/>
  <c r="J1344" i="525"/>
  <c r="F1344" i="525" s="1"/>
  <c r="J1955" i="525"/>
  <c r="F1955" i="525" s="1"/>
  <c r="E1955" i="525"/>
  <c r="J1689" i="525"/>
  <c r="F1689" i="525" s="1"/>
  <c r="E1689" i="525"/>
  <c r="J2190" i="525"/>
  <c r="F2190" i="525" s="1"/>
  <c r="E2190" i="525"/>
  <c r="E1819" i="525"/>
  <c r="J1819" i="525"/>
  <c r="F1819" i="525" s="1"/>
  <c r="E1964" i="525"/>
  <c r="J1964" i="525"/>
  <c r="F1964" i="525" s="1"/>
  <c r="J2269" i="525"/>
  <c r="F2269" i="525" s="1"/>
  <c r="E2269" i="525"/>
  <c r="J2517" i="525"/>
  <c r="F2517" i="525" s="1"/>
  <c r="E2517" i="525"/>
  <c r="J2444" i="525"/>
  <c r="F2444" i="525" s="1"/>
  <c r="E2444" i="525"/>
  <c r="J2374" i="525"/>
  <c r="F2374" i="525" s="1"/>
  <c r="E2374" i="525"/>
  <c r="E2365" i="525"/>
  <c r="J2365" i="525"/>
  <c r="F2365" i="525" s="1"/>
  <c r="E2493" i="525"/>
  <c r="J2493" i="525"/>
  <c r="F2493" i="525" s="1"/>
  <c r="J672" i="525"/>
  <c r="J638" i="525"/>
  <c r="J626" i="525"/>
  <c r="J614" i="525"/>
  <c r="J596" i="525"/>
  <c r="J578" i="525"/>
  <c r="J560" i="525"/>
  <c r="J342" i="525"/>
  <c r="F342" i="525" s="1"/>
  <c r="E342" i="525"/>
  <c r="J291" i="525"/>
  <c r="G115" i="524"/>
  <c r="F816" i="525"/>
  <c r="E113" i="524" s="1"/>
  <c r="I1658" i="525"/>
  <c r="I1649" i="525"/>
  <c r="I1641" i="525"/>
  <c r="J207" i="523"/>
  <c r="H829" i="525"/>
  <c r="F115" i="524" s="1"/>
  <c r="L1772" i="525"/>
  <c r="H240" i="524" s="1"/>
  <c r="L264" i="523" s="1"/>
  <c r="M264" i="523" s="1"/>
  <c r="G20" i="524"/>
  <c r="J165" i="523" s="1"/>
  <c r="F87" i="525"/>
  <c r="E20" i="524" s="1"/>
  <c r="G13" i="524"/>
  <c r="J162" i="523" s="1"/>
  <c r="F48" i="525"/>
  <c r="E13" i="524" s="1"/>
  <c r="F487" i="525"/>
  <c r="E73" i="524" s="1"/>
  <c r="B14" i="477"/>
  <c r="B13" i="477"/>
  <c r="C474" i="527" l="1"/>
  <c r="B474" i="527" s="1"/>
  <c r="C5573" i="527"/>
  <c r="B5573" i="527" s="1"/>
  <c r="C4622" i="527"/>
  <c r="B4622" i="527" s="1"/>
  <c r="C2144" i="527"/>
  <c r="B2144" i="527" s="1"/>
  <c r="E2149" i="527"/>
  <c r="C2149" i="527" s="1"/>
  <c r="I1796" i="527"/>
  <c r="F1796" i="527"/>
  <c r="C1796" i="527" s="1"/>
  <c r="B1796" i="527" s="1"/>
  <c r="G157" i="524"/>
  <c r="J417" i="523" s="1"/>
  <c r="F1119" i="525"/>
  <c r="E157" i="524" s="1"/>
  <c r="F46" i="530"/>
  <c r="I47" i="530"/>
  <c r="I10" i="530"/>
  <c r="F9" i="530"/>
  <c r="C824" i="527"/>
  <c r="B824" i="527" s="1"/>
  <c r="C674" i="527"/>
  <c r="B674" i="527" s="1"/>
  <c r="C924" i="527"/>
  <c r="B924" i="527" s="1"/>
  <c r="E2309" i="525"/>
  <c r="I107" i="530"/>
  <c r="F106" i="530"/>
  <c r="F67" i="530"/>
  <c r="I68" i="530"/>
  <c r="I1696" i="527"/>
  <c r="F1696" i="527"/>
  <c r="C1696" i="527" s="1"/>
  <c r="F2424" i="525"/>
  <c r="I2235" i="527"/>
  <c r="F2235" i="527"/>
  <c r="C2235" i="527" s="1"/>
  <c r="B2235" i="527" s="1"/>
  <c r="L67" i="525"/>
  <c r="F66" i="525"/>
  <c r="I4433" i="527"/>
  <c r="F4433" i="527"/>
  <c r="C4433" i="527" s="1"/>
  <c r="B4433" i="527" s="1"/>
  <c r="K412" i="523"/>
  <c r="G412" i="523" s="1"/>
  <c r="F412" i="523"/>
  <c r="F99" i="530"/>
  <c r="I100" i="530"/>
  <c r="C1587" i="527"/>
  <c r="C1874" i="527"/>
  <c r="B1874" i="527" s="1"/>
  <c r="C5023" i="527"/>
  <c r="B5023" i="527" s="1"/>
  <c r="C8074" i="527"/>
  <c r="B8074" i="527" s="1"/>
  <c r="C2174" i="527"/>
  <c r="B2174" i="527" s="1"/>
  <c r="C4672" i="527"/>
  <c r="B4672" i="527" s="1"/>
  <c r="C7874" i="527"/>
  <c r="B7874" i="527" s="1"/>
  <c r="C8230" i="527"/>
  <c r="B8230" i="527" s="1"/>
  <c r="K177" i="523"/>
  <c r="G177" i="523" s="1"/>
  <c r="F177" i="523"/>
  <c r="F74" i="530"/>
  <c r="I75" i="530"/>
  <c r="I1385" i="527"/>
  <c r="F1385" i="527"/>
  <c r="C1385" i="527" s="1"/>
  <c r="I1885" i="527"/>
  <c r="F1885" i="527"/>
  <c r="C1885" i="527" s="1"/>
  <c r="I128" i="530"/>
  <c r="F127" i="530"/>
  <c r="I4583" i="527"/>
  <c r="F4583" i="527"/>
  <c r="C4583" i="527" s="1"/>
  <c r="I7337" i="527"/>
  <c r="F7337" i="527"/>
  <c r="C7337" i="527" s="1"/>
  <c r="I8531" i="527"/>
  <c r="F8531" i="527"/>
  <c r="C2024" i="527"/>
  <c r="B2024" i="527" s="1"/>
  <c r="M445" i="523"/>
  <c r="G15" i="522" s="1"/>
  <c r="I61" i="530"/>
  <c r="F60" i="530"/>
  <c r="G155" i="524"/>
  <c r="J415" i="523" s="1"/>
  <c r="K415" i="523" s="1"/>
  <c r="F1103" i="525"/>
  <c r="E155" i="524" s="1"/>
  <c r="I2035" i="527"/>
  <c r="F2035" i="527"/>
  <c r="C2035" i="527" s="1"/>
  <c r="G217" i="524"/>
  <c r="J171" i="523" s="1"/>
  <c r="F1585" i="525"/>
  <c r="E217" i="524" s="1"/>
  <c r="K1013" i="525"/>
  <c r="L1013" i="525" s="1"/>
  <c r="K981" i="525"/>
  <c r="L981" i="525" s="1"/>
  <c r="K917" i="525"/>
  <c r="L917" i="525" s="1"/>
  <c r="K1021" i="525"/>
  <c r="L1021" i="525" s="1"/>
  <c r="K989" i="525"/>
  <c r="L989" i="525" s="1"/>
  <c r="K966" i="525"/>
  <c r="L966" i="525" s="1"/>
  <c r="K931" i="525"/>
  <c r="L931" i="525" s="1"/>
  <c r="K959" i="525"/>
  <c r="L959" i="525" s="1"/>
  <c r="K910" i="525"/>
  <c r="L910" i="525" s="1"/>
  <c r="K1005" i="525"/>
  <c r="L1005" i="525" s="1"/>
  <c r="K973" i="525"/>
  <c r="L973" i="525" s="1"/>
  <c r="K924" i="525"/>
  <c r="L924" i="525" s="1"/>
  <c r="K938" i="525"/>
  <c r="L938" i="525" s="1"/>
  <c r="K903" i="525"/>
  <c r="L903" i="525" s="1"/>
  <c r="I4483" i="527"/>
  <c r="F4483" i="527"/>
  <c r="C4483" i="527" s="1"/>
  <c r="I4333" i="527"/>
  <c r="F4333" i="527"/>
  <c r="C4333" i="527" s="1"/>
  <c r="I8481" i="527"/>
  <c r="F8481" i="527"/>
  <c r="F1389" i="527"/>
  <c r="F1402" i="527" s="1"/>
  <c r="F1454" i="527" s="1"/>
  <c r="C1487" i="527"/>
  <c r="C724" i="527"/>
  <c r="B724" i="527" s="1"/>
  <c r="E1482" i="525"/>
  <c r="C1024" i="527"/>
  <c r="B1024" i="527" s="1"/>
  <c r="C1224" i="527"/>
  <c r="B1224" i="527" s="1"/>
  <c r="G153" i="524"/>
  <c r="J413" i="523" s="1"/>
  <c r="F1087" i="525"/>
  <c r="E153" i="524" s="1"/>
  <c r="K952" i="525"/>
  <c r="L952" i="525" s="1"/>
  <c r="K945" i="525"/>
  <c r="L945" i="525" s="1"/>
  <c r="K1029" i="525"/>
  <c r="L1029" i="525" s="1"/>
  <c r="K997" i="525"/>
  <c r="L997" i="525" s="1"/>
  <c r="I1935" i="527"/>
  <c r="F1935" i="527"/>
  <c r="C1935" i="527" s="1"/>
  <c r="K1498" i="525"/>
  <c r="L1498" i="525" s="1"/>
  <c r="L1500" i="525" s="1"/>
  <c r="H207" i="524" s="1"/>
  <c r="L215" i="523" s="1"/>
  <c r="M215" i="523" s="1"/>
  <c r="K1402" i="525"/>
  <c r="L1402" i="525" s="1"/>
  <c r="L1403" i="525" s="1"/>
  <c r="H196" i="524" s="1"/>
  <c r="L219" i="523" s="1"/>
  <c r="M219" i="523" s="1"/>
  <c r="K1417" i="525"/>
  <c r="L1417" i="525" s="1"/>
  <c r="L1419" i="525" s="1"/>
  <c r="H198" i="524" s="1"/>
  <c r="L218" i="523" s="1"/>
  <c r="M218" i="523" s="1"/>
  <c r="K1490" i="525"/>
  <c r="L1490" i="525" s="1"/>
  <c r="L1492" i="525" s="1"/>
  <c r="H206" i="524" s="1"/>
  <c r="L214" i="523" s="1"/>
  <c r="M214" i="523" s="1"/>
  <c r="K1483" i="525"/>
  <c r="L1483" i="525" s="1"/>
  <c r="L1484" i="525" s="1"/>
  <c r="H205" i="524" s="1"/>
  <c r="L216" i="523" s="1"/>
  <c r="M216" i="523" s="1"/>
  <c r="K1409" i="525"/>
  <c r="L1409" i="525" s="1"/>
  <c r="L1411" i="525" s="1"/>
  <c r="H197" i="524" s="1"/>
  <c r="L217" i="523" s="1"/>
  <c r="M217" i="523" s="1"/>
  <c r="I4533" i="527"/>
  <c r="F4533" i="527"/>
  <c r="C4533" i="527" s="1"/>
  <c r="I4633" i="527"/>
  <c r="F4633" i="527"/>
  <c r="C4633" i="527" s="1"/>
  <c r="I7416" i="527"/>
  <c r="F7416" i="527"/>
  <c r="C7416" i="527" s="1"/>
  <c r="F2239" i="527"/>
  <c r="F2252" i="527" s="1"/>
  <c r="F2304" i="527" s="1"/>
  <c r="F2643" i="527"/>
  <c r="F2654" i="527" s="1"/>
  <c r="C7391" i="527"/>
  <c r="B7391" i="527" s="1"/>
  <c r="D726" i="527"/>
  <c r="C7491" i="527"/>
  <c r="B7491" i="527" s="1"/>
  <c r="C3103" i="527"/>
  <c r="B3103" i="527" s="1"/>
  <c r="C7774" i="527"/>
  <c r="B7774" i="527" s="1"/>
  <c r="F415" i="523"/>
  <c r="I415" i="523"/>
  <c r="G415" i="523" s="1"/>
  <c r="I2135" i="527"/>
  <c r="F2135" i="527"/>
  <c r="C2135" i="527" s="1"/>
  <c r="B2135" i="527" s="1"/>
  <c r="K2140" i="525"/>
  <c r="L2140" i="525" s="1"/>
  <c r="K2120" i="525"/>
  <c r="L2120" i="525" s="1"/>
  <c r="I4383" i="527"/>
  <c r="F4383" i="527"/>
  <c r="C4383" i="527" s="1"/>
  <c r="B4383" i="527" s="1"/>
  <c r="F416" i="523"/>
  <c r="G409" i="525"/>
  <c r="G431" i="525"/>
  <c r="G2518" i="525"/>
  <c r="G2506" i="525"/>
  <c r="G419" i="525"/>
  <c r="G2496" i="525"/>
  <c r="C1574" i="527"/>
  <c r="B1574" i="527" s="1"/>
  <c r="C1074" i="527"/>
  <c r="B1074" i="527" s="1"/>
  <c r="C1274" i="527"/>
  <c r="B1274" i="527" s="1"/>
  <c r="F1889" i="527"/>
  <c r="F4424" i="527"/>
  <c r="C4572" i="527"/>
  <c r="B4572" i="527" s="1"/>
  <c r="I89" i="530"/>
  <c r="F88" i="530"/>
  <c r="I2185" i="527"/>
  <c r="F2185" i="527"/>
  <c r="C2185" i="527" s="1"/>
  <c r="G159" i="524"/>
  <c r="J419" i="523" s="1"/>
  <c r="F1135" i="525"/>
  <c r="E159" i="524" s="1"/>
  <c r="C8119" i="527"/>
  <c r="B8119" i="527" s="1"/>
  <c r="E8123" i="527"/>
  <c r="I4683" i="527"/>
  <c r="F4683" i="527"/>
  <c r="C4683" i="527" s="1"/>
  <c r="F1143" i="525"/>
  <c r="E160" i="524" s="1"/>
  <c r="G160" i="524"/>
  <c r="J420" i="523" s="1"/>
  <c r="G1483" i="525"/>
  <c r="H1483" i="525" s="1"/>
  <c r="G1409" i="525"/>
  <c r="H1409" i="525" s="1"/>
  <c r="G1402" i="525"/>
  <c r="H1402" i="525" s="1"/>
  <c r="G1498" i="525"/>
  <c r="H1498" i="525" s="1"/>
  <c r="G1417" i="525"/>
  <c r="H1417" i="525" s="1"/>
  <c r="G1490" i="525"/>
  <c r="H1490" i="525" s="1"/>
  <c r="D8955" i="527"/>
  <c r="F169" i="526"/>
  <c r="F7155" i="527"/>
  <c r="H135" i="526"/>
  <c r="K2064" i="525" s="1"/>
  <c r="L2064" i="525" s="1"/>
  <c r="D7505" i="527"/>
  <c r="F141" i="526"/>
  <c r="J1641" i="525"/>
  <c r="E74" i="525"/>
  <c r="L74" i="525"/>
  <c r="G163" i="523"/>
  <c r="I161" i="523"/>
  <c r="E7" i="522" s="1"/>
  <c r="D255" i="527"/>
  <c r="F7" i="526"/>
  <c r="H356" i="523" s="1"/>
  <c r="I356" i="523" s="1"/>
  <c r="E2776" i="527"/>
  <c r="C2771" i="527"/>
  <c r="B2771" i="527" s="1"/>
  <c r="J1085" i="527"/>
  <c r="E1176" i="527"/>
  <c r="C1171" i="527"/>
  <c r="B1171" i="527" s="1"/>
  <c r="F2455" i="527"/>
  <c r="H43" i="526"/>
  <c r="L326" i="523" s="1"/>
  <c r="M326" i="523" s="1"/>
  <c r="C6354" i="527"/>
  <c r="E6305" i="527"/>
  <c r="G118" i="526"/>
  <c r="J450" i="523" s="1"/>
  <c r="E5304" i="527"/>
  <c r="L5378" i="527"/>
  <c r="D5375" i="527"/>
  <c r="C5954" i="527"/>
  <c r="E5905" i="527"/>
  <c r="G110" i="526"/>
  <c r="J470" i="523" s="1"/>
  <c r="C7381" i="527"/>
  <c r="AC6484" i="527"/>
  <c r="H6484" i="527" s="1"/>
  <c r="AA6484" i="527"/>
  <c r="D7105" i="527"/>
  <c r="F134" i="526"/>
  <c r="H374" i="523" s="1"/>
  <c r="I374" i="523" s="1"/>
  <c r="H122" i="530"/>
  <c r="F20" i="529" s="1"/>
  <c r="F119" i="530"/>
  <c r="G1406" i="525"/>
  <c r="H1406" i="525" s="1"/>
  <c r="G1414" i="525"/>
  <c r="H1414" i="525" s="1"/>
  <c r="G1399" i="525"/>
  <c r="H1399" i="525" s="1"/>
  <c r="G416" i="525"/>
  <c r="H416" i="525" s="1"/>
  <c r="G428" i="525"/>
  <c r="H428" i="525" s="1"/>
  <c r="G405" i="525"/>
  <c r="H405" i="525" s="1"/>
  <c r="F80" i="530"/>
  <c r="H83" i="530"/>
  <c r="F14" i="529" s="1"/>
  <c r="I8486" i="527"/>
  <c r="F8486" i="527"/>
  <c r="F30" i="530"/>
  <c r="H33" i="530"/>
  <c r="F7" i="529" s="1"/>
  <c r="K1436" i="525"/>
  <c r="L1436" i="525" s="1"/>
  <c r="L1439" i="525" s="1"/>
  <c r="H201" i="524" s="1"/>
  <c r="L221" i="523" s="1"/>
  <c r="M221" i="523" s="1"/>
  <c r="K1429" i="525"/>
  <c r="L1429" i="525" s="1"/>
  <c r="L1432" i="525" s="1"/>
  <c r="H200" i="524" s="1"/>
  <c r="L220" i="523" s="1"/>
  <c r="M220" i="523" s="1"/>
  <c r="K1423" i="525"/>
  <c r="L1423" i="525" s="1"/>
  <c r="L1425" i="525" s="1"/>
  <c r="H199" i="524" s="1"/>
  <c r="L222" i="523" s="1"/>
  <c r="M222" i="523" s="1"/>
  <c r="D3205" i="527"/>
  <c r="F57" i="526"/>
  <c r="G2066" i="525" s="1"/>
  <c r="H2066" i="525" s="1"/>
  <c r="J2838" i="527"/>
  <c r="E4023" i="527"/>
  <c r="C4019" i="527"/>
  <c r="B4019" i="527" s="1"/>
  <c r="L4488" i="527"/>
  <c r="D4474" i="527"/>
  <c r="AD6180" i="527"/>
  <c r="AB6180" i="527"/>
  <c r="B6176" i="527"/>
  <c r="D7605" i="527"/>
  <c r="F142" i="526"/>
  <c r="I8990" i="527"/>
  <c r="F8990" i="527"/>
  <c r="D9038" i="527"/>
  <c r="D9054" i="527" s="1"/>
  <c r="I8968" i="527"/>
  <c r="E8968" i="527"/>
  <c r="G453" i="525"/>
  <c r="H453" i="525" s="1"/>
  <c r="G446" i="525"/>
  <c r="H446" i="525" s="1"/>
  <c r="G440" i="525"/>
  <c r="H440" i="525" s="1"/>
  <c r="I7225" i="527"/>
  <c r="D7225" i="527"/>
  <c r="J448" i="525"/>
  <c r="F448" i="525" s="1"/>
  <c r="E448" i="525"/>
  <c r="J633" i="525"/>
  <c r="F633" i="525" s="1"/>
  <c r="E633" i="525"/>
  <c r="J673" i="525"/>
  <c r="F673" i="525" s="1"/>
  <c r="E673" i="525"/>
  <c r="J877" i="525"/>
  <c r="F877" i="525" s="1"/>
  <c r="E877" i="525"/>
  <c r="E666" i="525"/>
  <c r="J666" i="525"/>
  <c r="F666" i="525" s="1"/>
  <c r="E832" i="525"/>
  <c r="J832" i="525"/>
  <c r="J1505" i="525"/>
  <c r="F1505" i="525" s="1"/>
  <c r="E1505" i="525"/>
  <c r="J1323" i="525"/>
  <c r="F1323" i="525" s="1"/>
  <c r="E1323" i="525"/>
  <c r="J1315" i="525"/>
  <c r="F1315" i="525" s="1"/>
  <c r="E1315" i="525"/>
  <c r="E1362" i="525"/>
  <c r="J1362" i="525"/>
  <c r="F1362" i="525" s="1"/>
  <c r="J1763" i="525"/>
  <c r="E1763" i="525"/>
  <c r="J1803" i="525"/>
  <c r="E1803" i="525"/>
  <c r="J1972" i="525"/>
  <c r="F1972" i="525" s="1"/>
  <c r="E1972" i="525"/>
  <c r="E1810" i="525"/>
  <c r="J1810" i="525"/>
  <c r="J2474" i="525"/>
  <c r="F2474" i="525" s="1"/>
  <c r="E2474" i="525"/>
  <c r="E2529" i="525"/>
  <c r="J2529" i="525"/>
  <c r="F2529" i="525" s="1"/>
  <c r="J716" i="525"/>
  <c r="J529" i="525"/>
  <c r="J579" i="525"/>
  <c r="J746" i="525"/>
  <c r="J776" i="525"/>
  <c r="J726" i="525"/>
  <c r="J1556" i="525"/>
  <c r="J1941" i="525"/>
  <c r="J1701" i="525"/>
  <c r="J2175" i="525"/>
  <c r="J1927" i="525"/>
  <c r="J1821" i="525"/>
  <c r="J1948" i="525"/>
  <c r="J2396" i="525"/>
  <c r="J2619" i="525"/>
  <c r="J2655" i="525"/>
  <c r="J2349" i="525"/>
  <c r="J2340" i="525"/>
  <c r="J2595" i="525"/>
  <c r="J2367" i="525"/>
  <c r="K181" i="523"/>
  <c r="F181" i="523"/>
  <c r="F90" i="525"/>
  <c r="J92" i="525"/>
  <c r="J2094" i="525"/>
  <c r="I1533" i="525"/>
  <c r="I1381" i="525"/>
  <c r="I1554" i="525"/>
  <c r="L2561" i="525"/>
  <c r="F2560" i="525"/>
  <c r="J435" i="527"/>
  <c r="E526" i="527"/>
  <c r="C521" i="527"/>
  <c r="B521" i="527" s="1"/>
  <c r="F626" i="527"/>
  <c r="F639" i="527" s="1"/>
  <c r="F654" i="527" s="1"/>
  <c r="D1476" i="527"/>
  <c r="D2405" i="527"/>
  <c r="F42" i="526"/>
  <c r="H325" i="523" s="1"/>
  <c r="I325" i="523" s="1"/>
  <c r="E2726" i="527"/>
  <c r="C2721" i="527"/>
  <c r="B2721" i="527" s="1"/>
  <c r="F3005" i="527"/>
  <c r="H54" i="526"/>
  <c r="C6154" i="527"/>
  <c r="E6105" i="527"/>
  <c r="G114" i="526"/>
  <c r="J446" i="523" s="1"/>
  <c r="L4226" i="527"/>
  <c r="D4223" i="527"/>
  <c r="D4231" i="527" s="1"/>
  <c r="D4254" i="527" s="1"/>
  <c r="L4878" i="527"/>
  <c r="D4875" i="527"/>
  <c r="D4883" i="527" s="1"/>
  <c r="D4904" i="527" s="1"/>
  <c r="E4975" i="527"/>
  <c r="C4971" i="527"/>
  <c r="B4971" i="527" s="1"/>
  <c r="C5804" i="527"/>
  <c r="E5755" i="527"/>
  <c r="G107" i="526"/>
  <c r="J467" i="523" s="1"/>
  <c r="AA5734" i="527"/>
  <c r="AC5734" i="527"/>
  <c r="H5734" i="527" s="1"/>
  <c r="C5221" i="527"/>
  <c r="B5221" i="527" s="1"/>
  <c r="E5225" i="527"/>
  <c r="C6554" i="527"/>
  <c r="E6505" i="527"/>
  <c r="G122" i="526"/>
  <c r="J454" i="523" s="1"/>
  <c r="C6504" i="527"/>
  <c r="E6455" i="527"/>
  <c r="G121" i="526"/>
  <c r="J453" i="523" s="1"/>
  <c r="C6454" i="527"/>
  <c r="E6405" i="527"/>
  <c r="G120" i="526"/>
  <c r="J452" i="523" s="1"/>
  <c r="E7406" i="527"/>
  <c r="C7404" i="527"/>
  <c r="B7404" i="527" s="1"/>
  <c r="E7272" i="527"/>
  <c r="C7266" i="527"/>
  <c r="B7266" i="527" s="1"/>
  <c r="F8654" i="527"/>
  <c r="C8611" i="527"/>
  <c r="E8173" i="527"/>
  <c r="C8169" i="527"/>
  <c r="B8169" i="527" s="1"/>
  <c r="C8415" i="527"/>
  <c r="E8418" i="527"/>
  <c r="D8026" i="527"/>
  <c r="E8184" i="527"/>
  <c r="C8178" i="527"/>
  <c r="B8178" i="527" s="1"/>
  <c r="B1487" i="527"/>
  <c r="I3696" i="527"/>
  <c r="F3696" i="527"/>
  <c r="E2376" i="527"/>
  <c r="C2371" i="527"/>
  <c r="B2371" i="527" s="1"/>
  <c r="J1235" i="527"/>
  <c r="AA6234" i="527"/>
  <c r="AC6234" i="527"/>
  <c r="H6234" i="527" s="1"/>
  <c r="E4273" i="527"/>
  <c r="C4269" i="527"/>
  <c r="B4269" i="527" s="1"/>
  <c r="L4688" i="527"/>
  <c r="D4674" i="527"/>
  <c r="AA6134" i="527"/>
  <c r="AC6134" i="527"/>
  <c r="H6134" i="527" s="1"/>
  <c r="C7021" i="527"/>
  <c r="B7021" i="527" s="1"/>
  <c r="E7025" i="527"/>
  <c r="E7876" i="527"/>
  <c r="C7871" i="527"/>
  <c r="B7871" i="527" s="1"/>
  <c r="G389" i="525"/>
  <c r="H389" i="525" s="1"/>
  <c r="G357" i="525"/>
  <c r="H357" i="525" s="1"/>
  <c r="G327" i="525"/>
  <c r="H327" i="525" s="1"/>
  <c r="G297" i="525"/>
  <c r="H297" i="525" s="1"/>
  <c r="G265" i="525"/>
  <c r="H265" i="525" s="1"/>
  <c r="G235" i="525"/>
  <c r="H235" i="525" s="1"/>
  <c r="G397" i="525"/>
  <c r="H397" i="525" s="1"/>
  <c r="G365" i="525"/>
  <c r="H365" i="525" s="1"/>
  <c r="G320" i="525"/>
  <c r="H320" i="525" s="1"/>
  <c r="G305" i="525"/>
  <c r="H305" i="525" s="1"/>
  <c r="G273" i="525"/>
  <c r="H273" i="525" s="1"/>
  <c r="G228" i="525"/>
  <c r="H228" i="525" s="1"/>
  <c r="G373" i="525"/>
  <c r="H373" i="525" s="1"/>
  <c r="G341" i="525"/>
  <c r="H341" i="525" s="1"/>
  <c r="G313" i="525"/>
  <c r="H313" i="525" s="1"/>
  <c r="G281" i="525"/>
  <c r="H281" i="525" s="1"/>
  <c r="G249" i="525"/>
  <c r="H249" i="525" s="1"/>
  <c r="G221" i="525"/>
  <c r="H221" i="525" s="1"/>
  <c r="G381" i="525"/>
  <c r="H381" i="525" s="1"/>
  <c r="G349" i="525"/>
  <c r="H349" i="525" s="1"/>
  <c r="G334" i="525"/>
  <c r="H334" i="525" s="1"/>
  <c r="G289" i="525"/>
  <c r="H289" i="525" s="1"/>
  <c r="G257" i="525"/>
  <c r="H257" i="525" s="1"/>
  <c r="G242" i="525"/>
  <c r="H242" i="525" s="1"/>
  <c r="F8555" i="527"/>
  <c r="H161" i="526"/>
  <c r="E406" i="525"/>
  <c r="E2454" i="525"/>
  <c r="E2347" i="525"/>
  <c r="F2171" i="525"/>
  <c r="F1677" i="525"/>
  <c r="E2152" i="525"/>
  <c r="F1300" i="525"/>
  <c r="E1549" i="525"/>
  <c r="E1400" i="525"/>
  <c r="E229" i="525"/>
  <c r="F258" i="525"/>
  <c r="F382" i="525"/>
  <c r="F875" i="525"/>
  <c r="L2105" i="525"/>
  <c r="E2105" i="525"/>
  <c r="F184" i="523"/>
  <c r="K184" i="523"/>
  <c r="G184" i="523" s="1"/>
  <c r="E2384" i="525"/>
  <c r="F2505" i="525"/>
  <c r="F2356" i="525"/>
  <c r="E1832" i="525"/>
  <c r="F1735" i="525"/>
  <c r="E1376" i="525"/>
  <c r="F1329" i="525"/>
  <c r="F1456" i="525"/>
  <c r="E366" i="525"/>
  <c r="E358" i="525"/>
  <c r="F290" i="525"/>
  <c r="K422" i="523"/>
  <c r="G422" i="523" s="1"/>
  <c r="F422" i="523"/>
  <c r="F208" i="523"/>
  <c r="I208" i="523"/>
  <c r="G208" i="523" s="1"/>
  <c r="F275" i="524"/>
  <c r="F2028" i="525"/>
  <c r="E275" i="524" s="1"/>
  <c r="C1610" i="527"/>
  <c r="E2126" i="527"/>
  <c r="C2121" i="527"/>
  <c r="B2121" i="527" s="1"/>
  <c r="F2555" i="527"/>
  <c r="H45" i="526"/>
  <c r="L305" i="523" s="1"/>
  <c r="M305" i="523" s="1"/>
  <c r="C821" i="527"/>
  <c r="B821" i="527" s="1"/>
  <c r="E826" i="527"/>
  <c r="F376" i="527"/>
  <c r="F389" i="527" s="1"/>
  <c r="F404" i="527" s="1"/>
  <c r="E476" i="527"/>
  <c r="C471" i="527"/>
  <c r="B471" i="527" s="1"/>
  <c r="F576" i="527"/>
  <c r="F589" i="527" s="1"/>
  <c r="F604" i="527" s="1"/>
  <c r="D776" i="527"/>
  <c r="D785" i="527" s="1"/>
  <c r="D804" i="527" s="1"/>
  <c r="D926" i="527"/>
  <c r="D935" i="527" s="1"/>
  <c r="D954" i="527" s="1"/>
  <c r="F1876" i="527"/>
  <c r="F1901" i="527" s="1"/>
  <c r="F1904" i="527" s="1"/>
  <c r="F3328" i="527"/>
  <c r="F3339" i="527" s="1"/>
  <c r="F3354" i="527" s="1"/>
  <c r="D2026" i="527"/>
  <c r="E2326" i="527"/>
  <c r="C2321" i="527"/>
  <c r="B2321" i="527" s="1"/>
  <c r="F2905" i="527"/>
  <c r="H52" i="526"/>
  <c r="L322" i="523" s="1"/>
  <c r="M322" i="523" s="1"/>
  <c r="I445" i="523"/>
  <c r="E15" i="522" s="1"/>
  <c r="D5075" i="527"/>
  <c r="L5078" i="527"/>
  <c r="L4338" i="527"/>
  <c r="D4324" i="527"/>
  <c r="L4928" i="527"/>
  <c r="D4925" i="527"/>
  <c r="D4933" i="527" s="1"/>
  <c r="D4954" i="527" s="1"/>
  <c r="J5282" i="527"/>
  <c r="AA5834" i="527"/>
  <c r="AC5834" i="527"/>
  <c r="H5834" i="527" s="1"/>
  <c r="C6855" i="527"/>
  <c r="E129" i="526"/>
  <c r="C5421" i="527"/>
  <c r="B5421" i="527" s="1"/>
  <c r="E5425" i="527"/>
  <c r="K463" i="523"/>
  <c r="G463" i="523" s="1"/>
  <c r="F463" i="523"/>
  <c r="L5478" i="527"/>
  <c r="D5475" i="527"/>
  <c r="C6204" i="527"/>
  <c r="E6155" i="527"/>
  <c r="G115" i="526"/>
  <c r="J447" i="523" s="1"/>
  <c r="C5321" i="527"/>
  <c r="B5321" i="527" s="1"/>
  <c r="E5325" i="527"/>
  <c r="D7705" i="527"/>
  <c r="F144" i="526"/>
  <c r="H366" i="523" s="1"/>
  <c r="I366" i="523" s="1"/>
  <c r="F8754" i="527"/>
  <c r="C8711" i="527"/>
  <c r="F7826" i="527"/>
  <c r="F7839" i="527" s="1"/>
  <c r="F7854" i="527" s="1"/>
  <c r="J7935" i="527"/>
  <c r="E7976" i="527"/>
  <c r="C7971" i="527"/>
  <c r="B7971" i="527" s="1"/>
  <c r="C8365" i="527"/>
  <c r="E8368" i="527"/>
  <c r="F226" i="527"/>
  <c r="F235" i="527" s="1"/>
  <c r="F254" i="527" s="1"/>
  <c r="E1026" i="527"/>
  <c r="C1021" i="527"/>
  <c r="B1021" i="527" s="1"/>
  <c r="F1326" i="527"/>
  <c r="F1339" i="527" s="1"/>
  <c r="F1354" i="527" s="1"/>
  <c r="C2986" i="527"/>
  <c r="D1683" i="527"/>
  <c r="C3930" i="527"/>
  <c r="E3954" i="527"/>
  <c r="AA5634" i="527"/>
  <c r="AC5634" i="527"/>
  <c r="H5634" i="527" s="1"/>
  <c r="F5025" i="527"/>
  <c r="C6555" i="527"/>
  <c r="E123" i="526"/>
  <c r="F7776" i="527"/>
  <c r="F7785" i="527" s="1"/>
  <c r="F7804" i="527" s="1"/>
  <c r="H101" i="530"/>
  <c r="F17" i="529" s="1"/>
  <c r="F98" i="530"/>
  <c r="K165" i="523"/>
  <c r="G165" i="523" s="1"/>
  <c r="F165" i="523"/>
  <c r="J2036" i="525"/>
  <c r="E2036" i="525"/>
  <c r="K162" i="523"/>
  <c r="F162" i="523"/>
  <c r="I429" i="523"/>
  <c r="G429" i="523" s="1"/>
  <c r="F429" i="523"/>
  <c r="E1921" i="525"/>
  <c r="L1921" i="525"/>
  <c r="L2035" i="525"/>
  <c r="E2035" i="525"/>
  <c r="C374" i="527"/>
  <c r="B374" i="527" s="1"/>
  <c r="F1255" i="527"/>
  <c r="H27" i="526"/>
  <c r="L340" i="523" s="1"/>
  <c r="M340" i="523" s="1"/>
  <c r="E4173" i="527"/>
  <c r="C4169" i="527"/>
  <c r="B4169" i="527" s="1"/>
  <c r="L4388" i="527"/>
  <c r="D4374" i="527"/>
  <c r="C6404" i="527"/>
  <c r="E6355" i="527"/>
  <c r="G119" i="526"/>
  <c r="J451" i="523" s="1"/>
  <c r="G2547" i="525"/>
  <c r="H2547" i="525" s="1"/>
  <c r="H2549" i="525" s="1"/>
  <c r="F326" i="524" s="1"/>
  <c r="H197" i="523" s="1"/>
  <c r="I197" i="523" s="1"/>
  <c r="G2552" i="525"/>
  <c r="H2552" i="525" s="1"/>
  <c r="H2554" i="525" s="1"/>
  <c r="F327" i="524" s="1"/>
  <c r="H198" i="523" s="1"/>
  <c r="I198" i="523" s="1"/>
  <c r="G1876" i="525"/>
  <c r="H1876" i="525" s="1"/>
  <c r="G465" i="525"/>
  <c r="H465" i="525" s="1"/>
  <c r="G835" i="525"/>
  <c r="H835" i="525" s="1"/>
  <c r="G460" i="525"/>
  <c r="H460" i="525" s="1"/>
  <c r="H462" i="525" s="1"/>
  <c r="F68" i="524" s="1"/>
  <c r="H199" i="523" s="1"/>
  <c r="I199" i="523" s="1"/>
  <c r="H203" i="523"/>
  <c r="I203" i="523" s="1"/>
  <c r="J1649" i="525"/>
  <c r="J1651" i="525" s="1"/>
  <c r="F72" i="524"/>
  <c r="F482" i="525"/>
  <c r="E72" i="524" s="1"/>
  <c r="K421" i="523"/>
  <c r="G421" i="523" s="1"/>
  <c r="F421" i="523"/>
  <c r="K414" i="523"/>
  <c r="G414" i="523" s="1"/>
  <c r="F414" i="523"/>
  <c r="K174" i="523"/>
  <c r="G174" i="523" s="1"/>
  <c r="F174" i="523"/>
  <c r="C271" i="527"/>
  <c r="B271" i="527" s="1"/>
  <c r="E276" i="527"/>
  <c r="F2755" i="527"/>
  <c r="H49" i="526"/>
  <c r="C574" i="527"/>
  <c r="B574" i="527" s="1"/>
  <c r="J985" i="527"/>
  <c r="E1076" i="527"/>
  <c r="C1071" i="527"/>
  <c r="B1071" i="527" s="1"/>
  <c r="F1155" i="527"/>
  <c r="H25" i="526"/>
  <c r="L339" i="523" s="1"/>
  <c r="M339" i="523" s="1"/>
  <c r="C2171" i="527"/>
  <c r="B2171" i="527" s="1"/>
  <c r="E2176" i="527"/>
  <c r="J2639" i="527"/>
  <c r="C1687" i="527"/>
  <c r="B1687" i="527" s="1"/>
  <c r="F2505" i="527"/>
  <c r="H44" i="526"/>
  <c r="F2855" i="527"/>
  <c r="H51" i="526"/>
  <c r="L308" i="523" s="1"/>
  <c r="M308" i="523" s="1"/>
  <c r="L4176" i="527"/>
  <c r="D4173" i="527"/>
  <c r="D4181" i="527" s="1"/>
  <c r="D4204" i="527" s="1"/>
  <c r="E4374" i="527"/>
  <c r="C4370" i="527"/>
  <c r="B4370" i="527" s="1"/>
  <c r="L4588" i="527"/>
  <c r="D4574" i="527"/>
  <c r="E5575" i="527"/>
  <c r="C5571" i="527"/>
  <c r="B5571" i="527" s="1"/>
  <c r="AC6534" i="527"/>
  <c r="H6534" i="527" s="1"/>
  <c r="AA6534" i="527"/>
  <c r="AC6834" i="527"/>
  <c r="H6834" i="527" s="1"/>
  <c r="AA6834" i="527"/>
  <c r="AC6584" i="527"/>
  <c r="H6584" i="527" s="1"/>
  <c r="AA6584" i="527"/>
  <c r="F7705" i="527"/>
  <c r="H144" i="526"/>
  <c r="L366" i="523" s="1"/>
  <c r="M366" i="523" s="1"/>
  <c r="F7105" i="527"/>
  <c r="H134" i="526"/>
  <c r="L374" i="523" s="1"/>
  <c r="M374" i="523" s="1"/>
  <c r="D7655" i="527"/>
  <c r="F143" i="526"/>
  <c r="H365" i="523" s="1"/>
  <c r="I365" i="523" s="1"/>
  <c r="C8221" i="527"/>
  <c r="B8221" i="527" s="1"/>
  <c r="C8472" i="527"/>
  <c r="C7974" i="527"/>
  <c r="B7974" i="527" s="1"/>
  <c r="G2608" i="525"/>
  <c r="H2608" i="525" s="1"/>
  <c r="G2592" i="525"/>
  <c r="H2592" i="525" s="1"/>
  <c r="G2533" i="525"/>
  <c r="H2533" i="525" s="1"/>
  <c r="G2527" i="525"/>
  <c r="H2527" i="525" s="1"/>
  <c r="G2462" i="525"/>
  <c r="H2462" i="525" s="1"/>
  <c r="G2422" i="525"/>
  <c r="H2422" i="525" s="1"/>
  <c r="G2382" i="525"/>
  <c r="H2382" i="525" s="1"/>
  <c r="G2363" i="525"/>
  <c r="H2363" i="525" s="1"/>
  <c r="G2327" i="525"/>
  <c r="H2327" i="525" s="1"/>
  <c r="G2485" i="525"/>
  <c r="H2485" i="525" s="1"/>
  <c r="G2452" i="525"/>
  <c r="H2452" i="525" s="1"/>
  <c r="G2412" i="525"/>
  <c r="H2412" i="525" s="1"/>
  <c r="G2372" i="525"/>
  <c r="H2372" i="525" s="1"/>
  <c r="G2336" i="525"/>
  <c r="H2336" i="525" s="1"/>
  <c r="G2307" i="525"/>
  <c r="H2307" i="525" s="1"/>
  <c r="G2679" i="525"/>
  <c r="H2679" i="525" s="1"/>
  <c r="G2670" i="525"/>
  <c r="H2670" i="525" s="1"/>
  <c r="G2661" i="525"/>
  <c r="H2661" i="525" s="1"/>
  <c r="G2652" i="525"/>
  <c r="H2652" i="525" s="1"/>
  <c r="G2643" i="525"/>
  <c r="H2643" i="525" s="1"/>
  <c r="G2634" i="525"/>
  <c r="H2634" i="525" s="1"/>
  <c r="G2625" i="525"/>
  <c r="H2625" i="525" s="1"/>
  <c r="G2616" i="525"/>
  <c r="H2616" i="525" s="1"/>
  <c r="G2600" i="525"/>
  <c r="H2600" i="525" s="1"/>
  <c r="G2584" i="525"/>
  <c r="H2584" i="525" s="1"/>
  <c r="G2540" i="525"/>
  <c r="H2540" i="525" s="1"/>
  <c r="G2503" i="525"/>
  <c r="H2503" i="525" s="1"/>
  <c r="G2442" i="525"/>
  <c r="H2442" i="525" s="1"/>
  <c r="G2402" i="525"/>
  <c r="H2402" i="525" s="1"/>
  <c r="G2345" i="525"/>
  <c r="H2345" i="525" s="1"/>
  <c r="G2287" i="525"/>
  <c r="H2287" i="525" s="1"/>
  <c r="G2515" i="525"/>
  <c r="H2515" i="525" s="1"/>
  <c r="G2492" i="525"/>
  <c r="H2492" i="525" s="1"/>
  <c r="G2478" i="525"/>
  <c r="H2478" i="525" s="1"/>
  <c r="G2472" i="525"/>
  <c r="H2472" i="525" s="1"/>
  <c r="G2432" i="525"/>
  <c r="H2432" i="525" s="1"/>
  <c r="G2392" i="525"/>
  <c r="H2392" i="525" s="1"/>
  <c r="G2354" i="525"/>
  <c r="H2354" i="525" s="1"/>
  <c r="G2267" i="525"/>
  <c r="H2267" i="525" s="1"/>
  <c r="G2247" i="525"/>
  <c r="H2247" i="525" s="1"/>
  <c r="G2169" i="525"/>
  <c r="H2169" i="525" s="1"/>
  <c r="G1977" i="525"/>
  <c r="H1977" i="525" s="1"/>
  <c r="G1962" i="525"/>
  <c r="H1962" i="525" s="1"/>
  <c r="G1887" i="525"/>
  <c r="H1887" i="525" s="1"/>
  <c r="G1881" i="525"/>
  <c r="H1881" i="525" s="1"/>
  <c r="G1856" i="525"/>
  <c r="H1856" i="525" s="1"/>
  <c r="G1843" i="525"/>
  <c r="H1843" i="525" s="1"/>
  <c r="G1830" i="525"/>
  <c r="H1830" i="525" s="1"/>
  <c r="G1817" i="525"/>
  <c r="H1817" i="525" s="1"/>
  <c r="G1709" i="525"/>
  <c r="H1709" i="525" s="1"/>
  <c r="G1675" i="525"/>
  <c r="H1675" i="525" s="1"/>
  <c r="G2227" i="525"/>
  <c r="H2227" i="525" s="1"/>
  <c r="G2188" i="525"/>
  <c r="H2188" i="525" s="1"/>
  <c r="G1811" i="525"/>
  <c r="H1811" i="525" s="1"/>
  <c r="G1797" i="525"/>
  <c r="H1797" i="525" s="1"/>
  <c r="G1783" i="525"/>
  <c r="H1783" i="525" s="1"/>
  <c r="G1745" i="525"/>
  <c r="H1745" i="525" s="1"/>
  <c r="G2207" i="525"/>
  <c r="H2207" i="525" s="1"/>
  <c r="G1894" i="525"/>
  <c r="H1894" i="525" s="1"/>
  <c r="G1733" i="525"/>
  <c r="H1733" i="525" s="1"/>
  <c r="G1687" i="525"/>
  <c r="H1687" i="525" s="1"/>
  <c r="G1663" i="525"/>
  <c r="H1663" i="525" s="1"/>
  <c r="G2150" i="525"/>
  <c r="H2150" i="525" s="1"/>
  <c r="G1969" i="525"/>
  <c r="H1969" i="525" s="1"/>
  <c r="G1953" i="525"/>
  <c r="H1953" i="525" s="1"/>
  <c r="G1790" i="525"/>
  <c r="H1790" i="525" s="1"/>
  <c r="G1764" i="525"/>
  <c r="H1764" i="525" s="1"/>
  <c r="G1698" i="525"/>
  <c r="H1698" i="525" s="1"/>
  <c r="G1526" i="525"/>
  <c r="H1526" i="525" s="1"/>
  <c r="G1467" i="525"/>
  <c r="H1467" i="525" s="1"/>
  <c r="G1374" i="525"/>
  <c r="H1374" i="525" s="1"/>
  <c r="G1351" i="525"/>
  <c r="H1351" i="525" s="1"/>
  <c r="G1328" i="525"/>
  <c r="H1328" i="525" s="1"/>
  <c r="G1292" i="525"/>
  <c r="H1292" i="525" s="1"/>
  <c r="G1758" i="525"/>
  <c r="H1758" i="525" s="1"/>
  <c r="G1721" i="525"/>
  <c r="H1721" i="525" s="1"/>
  <c r="G1487" i="525"/>
  <c r="H1487" i="525" s="1"/>
  <c r="G1359" i="525"/>
  <c r="H1359" i="525" s="1"/>
  <c r="G1336" i="525"/>
  <c r="H1336" i="525" s="1"/>
  <c r="G1285" i="525"/>
  <c r="H1285" i="525" s="1"/>
  <c r="G1804" i="525"/>
  <c r="H1804" i="525" s="1"/>
  <c r="G1776" i="525"/>
  <c r="H1776" i="525" s="1"/>
  <c r="G1547" i="525"/>
  <c r="H1547" i="525" s="1"/>
  <c r="G1510" i="525"/>
  <c r="H1510" i="525" s="1"/>
  <c r="G1495" i="525"/>
  <c r="H1495" i="525" s="1"/>
  <c r="G1480" i="525"/>
  <c r="H1480" i="525" s="1"/>
  <c r="G1454" i="525"/>
  <c r="H1454" i="525" s="1"/>
  <c r="G1442" i="525"/>
  <c r="H1442" i="525" s="1"/>
  <c r="G1367" i="525"/>
  <c r="H1367" i="525" s="1"/>
  <c r="G1312" i="525"/>
  <c r="H1312" i="525" s="1"/>
  <c r="G1306" i="525"/>
  <c r="H1306" i="525" s="1"/>
  <c r="G1770" i="525"/>
  <c r="H1770" i="525" s="1"/>
  <c r="G1518" i="525"/>
  <c r="H1518" i="525" s="1"/>
  <c r="G1503" i="525"/>
  <c r="H1503" i="525" s="1"/>
  <c r="G1343" i="525"/>
  <c r="H1343" i="525" s="1"/>
  <c r="G1320" i="525"/>
  <c r="H1320" i="525" s="1"/>
  <c r="G1299" i="525"/>
  <c r="H1299" i="525" s="1"/>
  <c r="G773" i="525"/>
  <c r="H773" i="525" s="1"/>
  <c r="G733" i="525"/>
  <c r="H733" i="525" s="1"/>
  <c r="G706" i="525"/>
  <c r="H706" i="525" s="1"/>
  <c r="G692" i="525"/>
  <c r="H692" i="525" s="1"/>
  <c r="G678" i="525"/>
  <c r="H678" i="525" s="1"/>
  <c r="G664" i="525"/>
  <c r="H664" i="525" s="1"/>
  <c r="G650" i="525"/>
  <c r="H650" i="525" s="1"/>
  <c r="G551" i="525"/>
  <c r="H551" i="525" s="1"/>
  <c r="G535" i="525"/>
  <c r="H535" i="525" s="1"/>
  <c r="G499" i="525"/>
  <c r="H499" i="525" s="1"/>
  <c r="G123" i="525"/>
  <c r="H123" i="525" s="1"/>
  <c r="G107" i="525"/>
  <c r="H107" i="525" s="1"/>
  <c r="G783" i="525"/>
  <c r="H783" i="525" s="1"/>
  <c r="G743" i="525"/>
  <c r="H743" i="525" s="1"/>
  <c r="G526" i="525"/>
  <c r="H526" i="525" s="1"/>
  <c r="G490" i="525"/>
  <c r="H490" i="525" s="1"/>
  <c r="G866" i="525"/>
  <c r="H866" i="525" s="1"/>
  <c r="G852" i="525"/>
  <c r="H852" i="525" s="1"/>
  <c r="G793" i="525"/>
  <c r="H793" i="525" s="1"/>
  <c r="G753" i="525"/>
  <c r="H753" i="525" s="1"/>
  <c r="G713" i="525"/>
  <c r="H713" i="525" s="1"/>
  <c r="G699" i="525"/>
  <c r="H699" i="525" s="1"/>
  <c r="G685" i="525"/>
  <c r="H685" i="525" s="1"/>
  <c r="G671" i="525"/>
  <c r="H671" i="525" s="1"/>
  <c r="G657" i="525"/>
  <c r="H657" i="525" s="1"/>
  <c r="G643" i="525"/>
  <c r="H643" i="525" s="1"/>
  <c r="G637" i="525"/>
  <c r="H637" i="525" s="1"/>
  <c r="G631" i="525"/>
  <c r="H631" i="525" s="1"/>
  <c r="G625" i="525"/>
  <c r="H625" i="525" s="1"/>
  <c r="G619" i="525"/>
  <c r="H619" i="525" s="1"/>
  <c r="G613" i="525"/>
  <c r="H613" i="525" s="1"/>
  <c r="G604" i="525"/>
  <c r="H604" i="525" s="1"/>
  <c r="G595" i="525"/>
  <c r="H595" i="525" s="1"/>
  <c r="G586" i="525"/>
  <c r="H586" i="525" s="1"/>
  <c r="G577" i="525"/>
  <c r="H577" i="525" s="1"/>
  <c r="G568" i="525"/>
  <c r="H568" i="525" s="1"/>
  <c r="G559" i="525"/>
  <c r="H559" i="525" s="1"/>
  <c r="G543" i="525"/>
  <c r="H543" i="525" s="1"/>
  <c r="G517" i="525"/>
  <c r="H517" i="525" s="1"/>
  <c r="G176" i="525"/>
  <c r="H176" i="525" s="1"/>
  <c r="G167" i="525"/>
  <c r="H167" i="525" s="1"/>
  <c r="G158" i="525"/>
  <c r="H158" i="525" s="1"/>
  <c r="G149" i="525"/>
  <c r="H149" i="525" s="1"/>
  <c r="G140" i="525"/>
  <c r="H140" i="525" s="1"/>
  <c r="G131" i="525"/>
  <c r="H131" i="525" s="1"/>
  <c r="G115" i="525"/>
  <c r="H115" i="525" s="1"/>
  <c r="G874" i="525"/>
  <c r="H874" i="525" s="1"/>
  <c r="G859" i="525"/>
  <c r="H859" i="525" s="1"/>
  <c r="G803" i="525"/>
  <c r="H803" i="525" s="1"/>
  <c r="G763" i="525"/>
  <c r="H763" i="525" s="1"/>
  <c r="G723" i="525"/>
  <c r="H723" i="525" s="1"/>
  <c r="G508" i="525"/>
  <c r="H508" i="525" s="1"/>
  <c r="H18" i="530"/>
  <c r="F5" i="529" s="1"/>
  <c r="F15" i="530"/>
  <c r="F82" i="530"/>
  <c r="J83" i="530"/>
  <c r="C174" i="527"/>
  <c r="B174" i="527" s="1"/>
  <c r="J1135" i="527"/>
  <c r="E2976" i="527"/>
  <c r="C2971" i="527"/>
  <c r="B2971" i="527" s="1"/>
  <c r="C3219" i="527"/>
  <c r="C2821" i="527"/>
  <c r="B2821" i="527" s="1"/>
  <c r="E2826" i="527"/>
  <c r="E4474" i="527"/>
  <c r="C4470" i="527"/>
  <c r="B4470" i="527" s="1"/>
  <c r="AB6430" i="527"/>
  <c r="B6426" i="527"/>
  <c r="AD6430" i="527"/>
  <c r="I7628" i="527"/>
  <c r="F7628" i="527"/>
  <c r="C8232" i="527"/>
  <c r="B8232" i="527" s="1"/>
  <c r="F8704" i="527"/>
  <c r="C8661" i="527"/>
  <c r="K189" i="523"/>
  <c r="G189" i="523" s="1"/>
  <c r="F189" i="523"/>
  <c r="J615" i="525"/>
  <c r="F615" i="525" s="1"/>
  <c r="E615" i="525"/>
  <c r="J639" i="525"/>
  <c r="F639" i="525" s="1"/>
  <c r="E639" i="525"/>
  <c r="J687" i="525"/>
  <c r="F687" i="525" s="1"/>
  <c r="E687" i="525"/>
  <c r="J455" i="525"/>
  <c r="F455" i="525" s="1"/>
  <c r="E455" i="525"/>
  <c r="E680" i="525"/>
  <c r="J680" i="525"/>
  <c r="F680" i="525" s="1"/>
  <c r="J1295" i="525"/>
  <c r="F1295" i="525" s="1"/>
  <c r="E1295" i="525"/>
  <c r="J1520" i="525"/>
  <c r="F1520" i="525" s="1"/>
  <c r="E1520" i="525"/>
  <c r="J1346" i="525"/>
  <c r="F1346" i="525" s="1"/>
  <c r="E1346" i="525"/>
  <c r="J1338" i="525"/>
  <c r="F1338" i="525" s="1"/>
  <c r="E1338" i="525"/>
  <c r="J1965" i="525"/>
  <c r="F1965" i="525" s="1"/>
  <c r="E1965" i="525"/>
  <c r="J1769" i="525"/>
  <c r="E1769" i="525"/>
  <c r="J1873" i="525"/>
  <c r="E1873" i="525"/>
  <c r="J1925" i="525"/>
  <c r="E1925" i="525"/>
  <c r="E1883" i="525"/>
  <c r="J1883" i="525"/>
  <c r="F1883" i="525" s="1"/>
  <c r="J2480" i="525"/>
  <c r="F2480" i="525" s="1"/>
  <c r="E2480" i="525"/>
  <c r="E2535" i="525"/>
  <c r="J2535" i="525"/>
  <c r="F2535" i="525" s="1"/>
  <c r="K192" i="523"/>
  <c r="J756" i="525"/>
  <c r="J545" i="525"/>
  <c r="J588" i="525"/>
  <c r="J786" i="525"/>
  <c r="J511" i="525"/>
  <c r="J766" i="525"/>
  <c r="J1383" i="525"/>
  <c r="J2194" i="525"/>
  <c r="J1724" i="525"/>
  <c r="J2253" i="525"/>
  <c r="J2156" i="525"/>
  <c r="J1834" i="525"/>
  <c r="J2213" i="525"/>
  <c r="J2436" i="525"/>
  <c r="J2628" i="525"/>
  <c r="J2664" i="525"/>
  <c r="J2406" i="525"/>
  <c r="J2376" i="525"/>
  <c r="J2611" i="525"/>
  <c r="J2386" i="525"/>
  <c r="F172" i="523"/>
  <c r="K172" i="523"/>
  <c r="G172" i="523" s="1"/>
  <c r="J2089" i="525"/>
  <c r="L821" i="525"/>
  <c r="E821" i="525"/>
  <c r="F426" i="523"/>
  <c r="K426" i="523"/>
  <c r="G426" i="523" s="1"/>
  <c r="K418" i="523"/>
  <c r="G418" i="523" s="1"/>
  <c r="F418" i="523"/>
  <c r="F165" i="524"/>
  <c r="H425" i="523" s="1"/>
  <c r="F1183" i="525"/>
  <c r="E165" i="524" s="1"/>
  <c r="F277" i="524"/>
  <c r="E326" i="527"/>
  <c r="C321" i="527"/>
  <c r="B321" i="527" s="1"/>
  <c r="E876" i="527"/>
  <c r="C871" i="527"/>
  <c r="B871" i="527" s="1"/>
  <c r="F176" i="527"/>
  <c r="F185" i="527" s="1"/>
  <c r="F204" i="527" s="1"/>
  <c r="E426" i="527"/>
  <c r="C421" i="527"/>
  <c r="B421" i="527" s="1"/>
  <c r="F505" i="527"/>
  <c r="H12" i="526"/>
  <c r="L349" i="523" s="1"/>
  <c r="M349" i="523" s="1"/>
  <c r="J735" i="527"/>
  <c r="C974" i="527"/>
  <c r="B974" i="527" s="1"/>
  <c r="C1374" i="527"/>
  <c r="B1374" i="527" s="1"/>
  <c r="C2199" i="527"/>
  <c r="E1476" i="527"/>
  <c r="C1471" i="527"/>
  <c r="B1471" i="527" s="1"/>
  <c r="D3905" i="527"/>
  <c r="F70" i="526"/>
  <c r="C2421" i="527"/>
  <c r="B2421" i="527" s="1"/>
  <c r="E2426" i="527"/>
  <c r="E3368" i="527"/>
  <c r="I3368" i="527"/>
  <c r="F2705" i="527"/>
  <c r="H48" i="526"/>
  <c r="L320" i="523" s="1"/>
  <c r="M320" i="523" s="1"/>
  <c r="D3423" i="527"/>
  <c r="F3423" i="527"/>
  <c r="E3423" i="527"/>
  <c r="C5904" i="527"/>
  <c r="E5855" i="527"/>
  <c r="G109" i="526"/>
  <c r="J469" i="523" s="1"/>
  <c r="E4223" i="527"/>
  <c r="C4219" i="527"/>
  <c r="B4219" i="527" s="1"/>
  <c r="L4438" i="527"/>
  <c r="D4424" i="527"/>
  <c r="L4778" i="527"/>
  <c r="D4775" i="527"/>
  <c r="D4783" i="527" s="1"/>
  <c r="D4804" i="527" s="1"/>
  <c r="E4875" i="527"/>
  <c r="C4871" i="527"/>
  <c r="B4871" i="527" s="1"/>
  <c r="C5373" i="527"/>
  <c r="B5373" i="527" s="1"/>
  <c r="AD5680" i="527"/>
  <c r="AB5680" i="527"/>
  <c r="B5676" i="527"/>
  <c r="K459" i="523"/>
  <c r="G459" i="523" s="1"/>
  <c r="F459" i="523"/>
  <c r="L5528" i="527"/>
  <c r="D5525" i="527"/>
  <c r="C6754" i="527"/>
  <c r="E6705" i="527"/>
  <c r="G126" i="526"/>
  <c r="J458" i="523" s="1"/>
  <c r="C7545" i="527"/>
  <c r="E7654" i="527"/>
  <c r="C7674" i="527"/>
  <c r="B7674" i="527" s="1"/>
  <c r="E8223" i="527"/>
  <c r="C8219" i="527"/>
  <c r="B8219" i="527" s="1"/>
  <c r="E8026" i="527"/>
  <c r="C8021" i="527"/>
  <c r="B8021" i="527" s="1"/>
  <c r="I7229" i="527"/>
  <c r="F7229" i="527"/>
  <c r="F2355" i="527"/>
  <c r="H41" i="526"/>
  <c r="L310" i="523" s="1"/>
  <c r="M310" i="523" s="1"/>
  <c r="D1783" i="527"/>
  <c r="E1226" i="527"/>
  <c r="C1221" i="527"/>
  <c r="B1221" i="527" s="1"/>
  <c r="C3855" i="527"/>
  <c r="E69" i="526"/>
  <c r="E4674" i="527"/>
  <c r="C4670" i="527"/>
  <c r="B4670" i="527" s="1"/>
  <c r="AC6734" i="527"/>
  <c r="H6734" i="527" s="1"/>
  <c r="AA6734" i="527"/>
  <c r="F7855" i="527"/>
  <c r="H147" i="526"/>
  <c r="L360" i="523" s="1"/>
  <c r="M360" i="523" s="1"/>
  <c r="D8555" i="527"/>
  <c r="F161" i="526"/>
  <c r="H867" i="525"/>
  <c r="F867" i="525" s="1"/>
  <c r="E867" i="525"/>
  <c r="K187" i="523"/>
  <c r="G187" i="523" s="1"/>
  <c r="F187" i="523"/>
  <c r="F406" i="525"/>
  <c r="F2454" i="525"/>
  <c r="F2347" i="525"/>
  <c r="E2171" i="525"/>
  <c r="E1677" i="525"/>
  <c r="F2152" i="525"/>
  <c r="E1300" i="525"/>
  <c r="F1549" i="525"/>
  <c r="F1400" i="525"/>
  <c r="J2084" i="525"/>
  <c r="F229" i="525"/>
  <c r="L829" i="525"/>
  <c r="F828" i="525"/>
  <c r="E258" i="525"/>
  <c r="E382" i="525"/>
  <c r="E875" i="525"/>
  <c r="F1039" i="525"/>
  <c r="J1040" i="525"/>
  <c r="L1906" i="525"/>
  <c r="F1905" i="525"/>
  <c r="F288" i="524"/>
  <c r="I2098" i="525"/>
  <c r="J206" i="523"/>
  <c r="E2414" i="525"/>
  <c r="E2289" i="525"/>
  <c r="F1979" i="525"/>
  <c r="E2229" i="525"/>
  <c r="E1971" i="525"/>
  <c r="E1513" i="525"/>
  <c r="E1521" i="525"/>
  <c r="E1360" i="525"/>
  <c r="I433" i="523"/>
  <c r="G433" i="523" s="1"/>
  <c r="F433" i="523"/>
  <c r="E117" i="525"/>
  <c r="F366" i="525"/>
  <c r="F358" i="525"/>
  <c r="E290" i="525"/>
  <c r="H91" i="525"/>
  <c r="E91" i="525"/>
  <c r="E34" i="527"/>
  <c r="F34" i="527"/>
  <c r="J2588" i="527"/>
  <c r="C224" i="527"/>
  <c r="B224" i="527" s="1"/>
  <c r="F826" i="527"/>
  <c r="F835" i="527" s="1"/>
  <c r="F854" i="527" s="1"/>
  <c r="D376" i="527"/>
  <c r="F476" i="527"/>
  <c r="F489" i="527" s="1"/>
  <c r="F504" i="527" s="1"/>
  <c r="D676" i="527"/>
  <c r="E776" i="527"/>
  <c r="C771" i="527"/>
  <c r="B771" i="527" s="1"/>
  <c r="C1324" i="527"/>
  <c r="B1324" i="527" s="1"/>
  <c r="E926" i="527"/>
  <c r="C921" i="527"/>
  <c r="B921" i="527" s="1"/>
  <c r="I2688" i="527"/>
  <c r="D2688" i="527"/>
  <c r="I3391" i="527"/>
  <c r="F3391" i="527"/>
  <c r="C3825" i="527"/>
  <c r="E3854" i="527"/>
  <c r="C3177" i="527"/>
  <c r="B3177" i="527" s="1"/>
  <c r="C2224" i="527"/>
  <c r="B2224" i="527" s="1"/>
  <c r="E2026" i="527"/>
  <c r="C2021" i="527"/>
  <c r="B2021" i="527" s="1"/>
  <c r="C3688" i="527"/>
  <c r="F3505" i="527"/>
  <c r="H63" i="526"/>
  <c r="L239" i="523" s="1"/>
  <c r="M239" i="523" s="1"/>
  <c r="AA6034" i="527"/>
  <c r="AC6034" i="527"/>
  <c r="H6034" i="527" s="1"/>
  <c r="E5075" i="527"/>
  <c r="C5071" i="527"/>
  <c r="B5071" i="527" s="1"/>
  <c r="AA5934" i="527"/>
  <c r="AC5934" i="527"/>
  <c r="H5934" i="527" s="1"/>
  <c r="E4324" i="527"/>
  <c r="C4320" i="527"/>
  <c r="B4320" i="527" s="1"/>
  <c r="L4538" i="527"/>
  <c r="D4524" i="527"/>
  <c r="L4828" i="527"/>
  <c r="D4825" i="527"/>
  <c r="D4833" i="527" s="1"/>
  <c r="D4854" i="527" s="1"/>
  <c r="E4925" i="527"/>
  <c r="C4921" i="527"/>
  <c r="B4921" i="527" s="1"/>
  <c r="E5175" i="527"/>
  <c r="C5171" i="527"/>
  <c r="B5171" i="527" s="1"/>
  <c r="E5475" i="527"/>
  <c r="C5471" i="527"/>
  <c r="B5471" i="527" s="1"/>
  <c r="AC6934" i="527"/>
  <c r="H6934" i="527" s="1"/>
  <c r="AA6934" i="527"/>
  <c r="C7219" i="527"/>
  <c r="F7495" i="527"/>
  <c r="F7504" i="527" s="1"/>
  <c r="L7078" i="527"/>
  <c r="D7075" i="527"/>
  <c r="D7083" i="527" s="1"/>
  <c r="D7104" i="527" s="1"/>
  <c r="E7733" i="527"/>
  <c r="C7733" i="527" s="1"/>
  <c r="C7731" i="527"/>
  <c r="B7731" i="527" s="1"/>
  <c r="C8811" i="527"/>
  <c r="F8854" i="527"/>
  <c r="E7926" i="527"/>
  <c r="C7921" i="527"/>
  <c r="B7921" i="527" s="1"/>
  <c r="I8139" i="527"/>
  <c r="F8139" i="527"/>
  <c r="C8315" i="527"/>
  <c r="E8318" i="527"/>
  <c r="F8076" i="527"/>
  <c r="F8089" i="527" s="1"/>
  <c r="F8104" i="527" s="1"/>
  <c r="F8234" i="527"/>
  <c r="C8234" i="527" s="1"/>
  <c r="F45" i="530"/>
  <c r="H48" i="530"/>
  <c r="F9" i="529" s="1"/>
  <c r="J7184" i="527" s="1"/>
  <c r="C524" i="527"/>
  <c r="B524" i="527" s="1"/>
  <c r="F1026" i="527"/>
  <c r="F1039" i="527" s="1"/>
  <c r="F1054" i="527" s="1"/>
  <c r="C1924" i="527"/>
  <c r="B1924" i="527" s="1"/>
  <c r="C1683" i="527"/>
  <c r="B1683" i="527" s="1"/>
  <c r="F3278" i="527"/>
  <c r="F3289" i="527" s="1"/>
  <c r="F3304" i="527" s="1"/>
  <c r="C3927" i="527"/>
  <c r="D5025" i="527"/>
  <c r="L5028" i="527"/>
  <c r="C6655" i="527"/>
  <c r="E125" i="526"/>
  <c r="E5125" i="527"/>
  <c r="C5121" i="527"/>
  <c r="B5121" i="527" s="1"/>
  <c r="C8911" i="527"/>
  <c r="F8954" i="527"/>
  <c r="D7776" i="527"/>
  <c r="D7785" i="527" s="1"/>
  <c r="D7804" i="527" s="1"/>
  <c r="F23" i="530"/>
  <c r="H26" i="530"/>
  <c r="F6" i="529" s="1"/>
  <c r="G1658" i="525"/>
  <c r="H1658" i="525" s="1"/>
  <c r="G1659" i="525" s="1"/>
  <c r="G1641" i="525"/>
  <c r="H1641" i="525" s="1"/>
  <c r="G1649" i="525"/>
  <c r="H1649" i="525" s="1"/>
  <c r="H207" i="523"/>
  <c r="I207" i="523" s="1"/>
  <c r="J2789" i="527"/>
  <c r="E976" i="527"/>
  <c r="C971" i="527"/>
  <c r="B971" i="527" s="1"/>
  <c r="F1055" i="527"/>
  <c r="H23" i="526"/>
  <c r="L336" i="523" s="1"/>
  <c r="M336" i="523" s="1"/>
  <c r="J1285" i="527"/>
  <c r="E1376" i="527"/>
  <c r="C1371" i="527"/>
  <c r="B1371" i="527" s="1"/>
  <c r="D2455" i="527"/>
  <c r="F43" i="526"/>
  <c r="H326" i="523" s="1"/>
  <c r="I326" i="523" s="1"/>
  <c r="E2626" i="527"/>
  <c r="C2621" i="527"/>
  <c r="B2621" i="527" s="1"/>
  <c r="D3355" i="527"/>
  <c r="F60" i="526"/>
  <c r="H194" i="523" s="1"/>
  <c r="I194" i="523" s="1"/>
  <c r="E1676" i="527"/>
  <c r="C1671" i="527"/>
  <c r="B1671" i="527" s="1"/>
  <c r="D2505" i="527"/>
  <c r="F44" i="526"/>
  <c r="E2876" i="527"/>
  <c r="C2871" i="527"/>
  <c r="B2871" i="527" s="1"/>
  <c r="F3605" i="527"/>
  <c r="H65" i="526"/>
  <c r="L147" i="523" s="1"/>
  <c r="M147" i="523" s="1"/>
  <c r="L4126" i="527"/>
  <c r="D4123" i="527"/>
  <c r="D4131" i="527" s="1"/>
  <c r="D4154" i="527" s="1"/>
  <c r="C6304" i="527"/>
  <c r="E6255" i="527"/>
  <c r="G117" i="526"/>
  <c r="J449" i="523" s="1"/>
  <c r="E4574" i="527"/>
  <c r="C4570" i="527"/>
  <c r="B4570" i="527" s="1"/>
  <c r="E5375" i="527"/>
  <c r="C5371" i="527"/>
  <c r="B5371" i="527" s="1"/>
  <c r="AD5780" i="527"/>
  <c r="AB5780" i="527"/>
  <c r="B5776" i="527"/>
  <c r="AD6280" i="527"/>
  <c r="AB6280" i="527"/>
  <c r="B6276" i="527"/>
  <c r="AC6684" i="527"/>
  <c r="H6684" i="527" s="1"/>
  <c r="AA6684" i="527"/>
  <c r="AC6884" i="527"/>
  <c r="H6884" i="527" s="1"/>
  <c r="AA6884" i="527"/>
  <c r="AC6634" i="527"/>
  <c r="H6634" i="527" s="1"/>
  <c r="AA6634" i="527"/>
  <c r="E6905" i="527"/>
  <c r="C6954" i="527"/>
  <c r="G130" i="526"/>
  <c r="J462" i="523" s="1"/>
  <c r="C7481" i="527"/>
  <c r="C7115" i="527"/>
  <c r="B7115" i="527" s="1"/>
  <c r="E7119" i="527"/>
  <c r="C7671" i="527"/>
  <c r="B7671" i="527" s="1"/>
  <c r="E7676" i="527"/>
  <c r="C8171" i="527"/>
  <c r="B8171" i="527" s="1"/>
  <c r="F8804" i="527"/>
  <c r="C8761" i="527"/>
  <c r="F66" i="530"/>
  <c r="H69" i="530"/>
  <c r="F12" i="529" s="1"/>
  <c r="J3619" i="527" s="1"/>
  <c r="E1126" i="527"/>
  <c r="C1121" i="527"/>
  <c r="B1121" i="527" s="1"/>
  <c r="F2955" i="527"/>
  <c r="H53" i="526"/>
  <c r="L323" i="523" s="1"/>
  <c r="M323" i="523" s="1"/>
  <c r="E9023" i="527"/>
  <c r="C9019" i="527"/>
  <c r="B9019" i="527" s="1"/>
  <c r="B3219" i="527"/>
  <c r="F114" i="530"/>
  <c r="J115" i="530"/>
  <c r="F71" i="524"/>
  <c r="F477" i="525"/>
  <c r="E71" i="524" s="1"/>
  <c r="K193" i="523"/>
  <c r="G193" i="523" s="1"/>
  <c r="F193" i="523"/>
  <c r="J621" i="525"/>
  <c r="F621" i="525" s="1"/>
  <c r="E621" i="525"/>
  <c r="J645" i="525"/>
  <c r="F645" i="525" s="1"/>
  <c r="E645" i="525"/>
  <c r="J701" i="525"/>
  <c r="F701" i="525" s="1"/>
  <c r="E701" i="525"/>
  <c r="J869" i="525"/>
  <c r="F869" i="525" s="1"/>
  <c r="E869" i="525"/>
  <c r="E694" i="525"/>
  <c r="J694" i="525"/>
  <c r="F694" i="525" s="1"/>
  <c r="J1331" i="525"/>
  <c r="F1331" i="525" s="1"/>
  <c r="E1331" i="525"/>
  <c r="J1302" i="525"/>
  <c r="F1302" i="525" s="1"/>
  <c r="E1302" i="525"/>
  <c r="J1369" i="525"/>
  <c r="F1369" i="525" s="1"/>
  <c r="E1369" i="525"/>
  <c r="J1939" i="525"/>
  <c r="E1939" i="525"/>
  <c r="J1980" i="525"/>
  <c r="F1980" i="525" s="1"/>
  <c r="E1980" i="525"/>
  <c r="J1775" i="525"/>
  <c r="E1775" i="525"/>
  <c r="J1896" i="525"/>
  <c r="F1896" i="525" s="1"/>
  <c r="E1896" i="525"/>
  <c r="E1782" i="525"/>
  <c r="J1782" i="525"/>
  <c r="E1889" i="525"/>
  <c r="J1889" i="525"/>
  <c r="F1889" i="525" s="1"/>
  <c r="J2542" i="525"/>
  <c r="F2542" i="525" s="1"/>
  <c r="E2542" i="525"/>
  <c r="J96" i="525"/>
  <c r="J796" i="525"/>
  <c r="J561" i="525"/>
  <c r="J597" i="525"/>
  <c r="J502" i="525"/>
  <c r="J537" i="525"/>
  <c r="J806" i="525"/>
  <c r="J1535" i="525"/>
  <c r="J2233" i="525"/>
  <c r="J1875" i="525"/>
  <c r="J1690" i="525"/>
  <c r="J1679" i="525"/>
  <c r="J1847" i="525"/>
  <c r="J2313" i="525"/>
  <c r="J2587" i="525"/>
  <c r="J2637" i="525"/>
  <c r="J2673" i="525"/>
  <c r="J2446" i="525"/>
  <c r="J2416" i="525"/>
  <c r="J2293" i="525"/>
  <c r="J2426" i="525"/>
  <c r="F114" i="524"/>
  <c r="H202" i="523" s="1"/>
  <c r="K175" i="523"/>
  <c r="G175" i="523" s="1"/>
  <c r="F175" i="523"/>
  <c r="AB82" i="527"/>
  <c r="AI82" i="527"/>
  <c r="B80" i="527"/>
  <c r="F305" i="527"/>
  <c r="H8" i="526"/>
  <c r="L357" i="523" s="1"/>
  <c r="M357" i="523" s="1"/>
  <c r="F855" i="527"/>
  <c r="H19" i="526"/>
  <c r="L344" i="523" s="1"/>
  <c r="M344" i="523" s="1"/>
  <c r="C1899" i="527"/>
  <c r="C2637" i="527"/>
  <c r="D176" i="527"/>
  <c r="D185" i="527" s="1"/>
  <c r="D204" i="527" s="1"/>
  <c r="F405" i="527"/>
  <c r="H10" i="526"/>
  <c r="L346" i="523" s="1"/>
  <c r="M346" i="523" s="1"/>
  <c r="D626" i="527"/>
  <c r="E726" i="527"/>
  <c r="C721" i="527"/>
  <c r="B721" i="527" s="1"/>
  <c r="F2139" i="527"/>
  <c r="F2151" i="527" s="1"/>
  <c r="F2154" i="527" s="1"/>
  <c r="C2676" i="527"/>
  <c r="F3107" i="527"/>
  <c r="F2405" i="527"/>
  <c r="H42" i="526"/>
  <c r="L325" i="523" s="1"/>
  <c r="M325" i="523" s="1"/>
  <c r="C3527" i="527"/>
  <c r="E3554" i="527"/>
  <c r="E1926" i="527"/>
  <c r="C1921" i="527"/>
  <c r="B1921" i="527" s="1"/>
  <c r="G1268" i="525"/>
  <c r="H1268" i="525" s="1"/>
  <c r="G1244" i="525"/>
  <c r="H1244" i="525" s="1"/>
  <c r="G1274" i="525"/>
  <c r="H1274" i="525" s="1"/>
  <c r="G1250" i="525"/>
  <c r="H1250" i="525" s="1"/>
  <c r="G1239" i="525"/>
  <c r="H1239" i="525" s="1"/>
  <c r="H1241" i="525" s="1"/>
  <c r="F174" i="524" s="1"/>
  <c r="H108" i="523" s="1"/>
  <c r="I108" i="523" s="1"/>
  <c r="G1280" i="525"/>
  <c r="H1280" i="525" s="1"/>
  <c r="H1282" i="525" s="1"/>
  <c r="F181" i="524" s="1"/>
  <c r="H109" i="523" s="1"/>
  <c r="I109" i="523" s="1"/>
  <c r="G1256" i="525"/>
  <c r="H1256" i="525" s="1"/>
  <c r="G1234" i="525"/>
  <c r="H1234" i="525" s="1"/>
  <c r="H1236" i="525" s="1"/>
  <c r="F173" i="524" s="1"/>
  <c r="H107" i="523" s="1"/>
  <c r="I107" i="523" s="1"/>
  <c r="G1262" i="525"/>
  <c r="H1262" i="525" s="1"/>
  <c r="G1229" i="525"/>
  <c r="H1229" i="525" s="1"/>
  <c r="H1231" i="525" s="1"/>
  <c r="F172" i="524" s="1"/>
  <c r="H106" i="523" s="1"/>
  <c r="I106" i="523" s="1"/>
  <c r="C1674" i="527"/>
  <c r="B1674" i="527" s="1"/>
  <c r="D3425" i="527"/>
  <c r="F3425" i="527"/>
  <c r="J3039" i="527"/>
  <c r="C6004" i="527"/>
  <c r="E5955" i="527"/>
  <c r="G111" i="526"/>
  <c r="J471" i="523" s="1"/>
  <c r="E4424" i="527"/>
  <c r="C4420" i="527"/>
  <c r="B4420" i="527" s="1"/>
  <c r="L4638" i="527"/>
  <c r="D4624" i="527"/>
  <c r="E4775" i="527"/>
  <c r="C4771" i="527"/>
  <c r="B4771" i="527" s="1"/>
  <c r="C6254" i="527"/>
  <c r="E6205" i="527"/>
  <c r="G116" i="526"/>
  <c r="J448" i="523" s="1"/>
  <c r="AD6380" i="527"/>
  <c r="B6376" i="527"/>
  <c r="AB6380" i="527"/>
  <c r="C6854" i="527"/>
  <c r="E6805" i="527"/>
  <c r="G128" i="526"/>
  <c r="J460" i="523" s="1"/>
  <c r="C6104" i="527"/>
  <c r="E6055" i="527"/>
  <c r="G113" i="526"/>
  <c r="J473" i="523" s="1"/>
  <c r="E5525" i="527"/>
  <c r="C5521" i="527"/>
  <c r="B5521" i="527" s="1"/>
  <c r="E7735" i="527"/>
  <c r="C7726" i="527"/>
  <c r="F7255" i="527"/>
  <c r="H137" i="526"/>
  <c r="E39" i="530"/>
  <c r="J39" i="530"/>
  <c r="F8223" i="527"/>
  <c r="F8173" i="527"/>
  <c r="F17" i="530"/>
  <c r="J18" i="530"/>
  <c r="F8184" i="527"/>
  <c r="B1587" i="527"/>
  <c r="C874" i="527"/>
  <c r="B874" i="527" s="1"/>
  <c r="F1599" i="527"/>
  <c r="F1612" i="527" s="1"/>
  <c r="F1654" i="527" s="1"/>
  <c r="D2355" i="527"/>
  <c r="F41" i="526"/>
  <c r="H310" i="523" s="1"/>
  <c r="I310" i="523" s="1"/>
  <c r="F1205" i="527"/>
  <c r="H26" i="526"/>
  <c r="L338" i="523" s="1"/>
  <c r="M338" i="523" s="1"/>
  <c r="L7028" i="527"/>
  <c r="D7025" i="527"/>
  <c r="D7033" i="527" s="1"/>
  <c r="D7054" i="527" s="1"/>
  <c r="F105" i="530"/>
  <c r="H108" i="530"/>
  <c r="F18" i="529" s="1"/>
  <c r="J1492" i="527" s="1"/>
  <c r="E8571" i="527"/>
  <c r="C8565" i="527"/>
  <c r="B8565" i="527" s="1"/>
  <c r="J2131" i="525"/>
  <c r="E282" i="525"/>
  <c r="E2394" i="525"/>
  <c r="F1845" i="525"/>
  <c r="E2209" i="525"/>
  <c r="F1469" i="525"/>
  <c r="E1352" i="525"/>
  <c r="E1313" i="525"/>
  <c r="E417" i="525"/>
  <c r="F424" i="523"/>
  <c r="K424" i="523"/>
  <c r="G424" i="523" s="1"/>
  <c r="F109" i="525"/>
  <c r="F335" i="525"/>
  <c r="I209" i="523"/>
  <c r="F205" i="523"/>
  <c r="K205" i="523"/>
  <c r="G205" i="523" s="1"/>
  <c r="E333" i="527"/>
  <c r="C333" i="527" s="1"/>
  <c r="C331" i="527"/>
  <c r="B331" i="527" s="1"/>
  <c r="F185" i="523"/>
  <c r="K185" i="523"/>
  <c r="G185" i="523" s="1"/>
  <c r="E314" i="525"/>
  <c r="F2414" i="525"/>
  <c r="F2289" i="525"/>
  <c r="E1979" i="525"/>
  <c r="F2229" i="525"/>
  <c r="F1971" i="525"/>
  <c r="F1513" i="525"/>
  <c r="F1521" i="525"/>
  <c r="F1360" i="525"/>
  <c r="J2079" i="525"/>
  <c r="F11" i="525"/>
  <c r="J12" i="525"/>
  <c r="F117" i="525"/>
  <c r="K173" i="523"/>
  <c r="G173" i="523" s="1"/>
  <c r="F173" i="523"/>
  <c r="E328" i="525"/>
  <c r="F243" i="525"/>
  <c r="G1650" i="525"/>
  <c r="D36" i="527"/>
  <c r="F36" i="527"/>
  <c r="C64" i="527"/>
  <c r="B64" i="527" s="1"/>
  <c r="D2126" i="527"/>
  <c r="C2124" i="527"/>
  <c r="B2124" i="527" s="1"/>
  <c r="E376" i="527"/>
  <c r="C371" i="527"/>
  <c r="B371" i="527" s="1"/>
  <c r="D576" i="527"/>
  <c r="E676" i="527"/>
  <c r="C671" i="527"/>
  <c r="B671" i="527" s="1"/>
  <c r="F776" i="527"/>
  <c r="F785" i="527" s="1"/>
  <c r="F804" i="527" s="1"/>
  <c r="F1499" i="527"/>
  <c r="D1876" i="527"/>
  <c r="F2305" i="527"/>
  <c r="H40" i="526"/>
  <c r="L309" i="523" s="1"/>
  <c r="M309" i="523" s="1"/>
  <c r="F3755" i="527"/>
  <c r="H67" i="526"/>
  <c r="J2938" i="527"/>
  <c r="L4076" i="527"/>
  <c r="D4073" i="527"/>
  <c r="D4081" i="527" s="1"/>
  <c r="D4104" i="527" s="1"/>
  <c r="F4324" i="527"/>
  <c r="E4524" i="527"/>
  <c r="C4520" i="527"/>
  <c r="B4520" i="527" s="1"/>
  <c r="L4728" i="527"/>
  <c r="D4725" i="527"/>
  <c r="D4733" i="527" s="1"/>
  <c r="D4754" i="527" s="1"/>
  <c r="E4825" i="527"/>
  <c r="C4821" i="527"/>
  <c r="B4821" i="527" s="1"/>
  <c r="C5704" i="527"/>
  <c r="E5655" i="527"/>
  <c r="G105" i="526"/>
  <c r="J465" i="523" s="1"/>
  <c r="AD5880" i="527"/>
  <c r="AB5880" i="527"/>
  <c r="B5876" i="527"/>
  <c r="F461" i="523"/>
  <c r="K461" i="523"/>
  <c r="G461" i="523" s="1"/>
  <c r="C6955" i="527"/>
  <c r="E131" i="526"/>
  <c r="L5328" i="527"/>
  <c r="D5325" i="527"/>
  <c r="C7566" i="527"/>
  <c r="E7604" i="527"/>
  <c r="F121" i="530"/>
  <c r="J122" i="530"/>
  <c r="D7826" i="527"/>
  <c r="F7905" i="527"/>
  <c r="H148" i="526"/>
  <c r="L358" i="523" s="1"/>
  <c r="M358" i="523" s="1"/>
  <c r="D8144" i="527"/>
  <c r="D8154" i="527" s="1"/>
  <c r="F7976" i="527"/>
  <c r="F7989" i="527" s="1"/>
  <c r="F8004" i="527" s="1"/>
  <c r="D8076" i="527"/>
  <c r="F32" i="530"/>
  <c r="J33" i="530"/>
  <c r="C8265" i="527"/>
  <c r="E8268" i="527"/>
  <c r="D226" i="527"/>
  <c r="D235" i="527" s="1"/>
  <c r="D254" i="527" s="1"/>
  <c r="D1326" i="527"/>
  <c r="E4004" i="527"/>
  <c r="C3980" i="527"/>
  <c r="C5021" i="527"/>
  <c r="B5021" i="527" s="1"/>
  <c r="E5025" i="527"/>
  <c r="AD5980" i="527"/>
  <c r="AB5980" i="527"/>
  <c r="B5976" i="527"/>
  <c r="K455" i="523"/>
  <c r="G455" i="523" s="1"/>
  <c r="F455" i="523"/>
  <c r="F7393" i="527"/>
  <c r="F7395" i="527" s="1"/>
  <c r="E7776" i="527"/>
  <c r="C7771" i="527"/>
  <c r="B7771" i="527" s="1"/>
  <c r="F52" i="530"/>
  <c r="H55" i="530"/>
  <c r="F10" i="529" s="1"/>
  <c r="G1029" i="525"/>
  <c r="H1029" i="525" s="1"/>
  <c r="G997" i="525"/>
  <c r="H997" i="525" s="1"/>
  <c r="G952" i="525"/>
  <c r="H952" i="525" s="1"/>
  <c r="G945" i="525"/>
  <c r="H945" i="525" s="1"/>
  <c r="J1658" i="525"/>
  <c r="I434" i="523"/>
  <c r="G434" i="523" s="1"/>
  <c r="F434" i="523"/>
  <c r="F255" i="527"/>
  <c r="H7" i="526"/>
  <c r="L356" i="523" s="1"/>
  <c r="M356" i="523" s="1"/>
  <c r="K207" i="523"/>
  <c r="I2547" i="525"/>
  <c r="I2552" i="525"/>
  <c r="I1876" i="525"/>
  <c r="I460" i="525"/>
  <c r="I465" i="525"/>
  <c r="I835" i="525"/>
  <c r="J203" i="523"/>
  <c r="J1660" i="525"/>
  <c r="L2045" i="525"/>
  <c r="F2045" i="525" s="1"/>
  <c r="E2045" i="525"/>
  <c r="G2316" i="525"/>
  <c r="H2316" i="525" s="1"/>
  <c r="G2296" i="525"/>
  <c r="H2296" i="525" s="1"/>
  <c r="G2276" i="525"/>
  <c r="H2276" i="525" s="1"/>
  <c r="G2236" i="525"/>
  <c r="H2236" i="525" s="1"/>
  <c r="G2197" i="525"/>
  <c r="H2197" i="525" s="1"/>
  <c r="G2216" i="525"/>
  <c r="H2216" i="525" s="1"/>
  <c r="G2159" i="525"/>
  <c r="H2159" i="525" s="1"/>
  <c r="G2256" i="525"/>
  <c r="H2256" i="525" s="1"/>
  <c r="G2178" i="525"/>
  <c r="H2178" i="525" s="1"/>
  <c r="E1576" i="527"/>
  <c r="C1571" i="527"/>
  <c r="B1571" i="527" s="1"/>
  <c r="C774" i="527"/>
  <c r="B774" i="527" s="1"/>
  <c r="F955" i="527"/>
  <c r="H21" i="526"/>
  <c r="L335" i="523" s="1"/>
  <c r="M335" i="523" s="1"/>
  <c r="J1185" i="527"/>
  <c r="E1276" i="527"/>
  <c r="C1271" i="527"/>
  <c r="B1271" i="527" s="1"/>
  <c r="F2655" i="527"/>
  <c r="H47" i="526"/>
  <c r="L319" i="523" s="1"/>
  <c r="M319" i="523" s="1"/>
  <c r="G1436" i="525"/>
  <c r="H1436" i="525" s="1"/>
  <c r="G1429" i="525"/>
  <c r="H1429" i="525" s="1"/>
  <c r="G1423" i="525"/>
  <c r="H1423" i="525" s="1"/>
  <c r="H1425" i="525" s="1"/>
  <c r="F199" i="524" s="1"/>
  <c r="H222" i="523" s="1"/>
  <c r="I222" i="523" s="1"/>
  <c r="E2476" i="527"/>
  <c r="C2471" i="527"/>
  <c r="B2471" i="527" s="1"/>
  <c r="F2605" i="527"/>
  <c r="H46" i="526"/>
  <c r="L306" i="523" s="1"/>
  <c r="M306" i="523" s="1"/>
  <c r="E2526" i="527"/>
  <c r="C2521" i="527"/>
  <c r="B2521" i="527" s="1"/>
  <c r="J2889" i="527"/>
  <c r="E4123" i="527"/>
  <c r="C4119" i="527"/>
  <c r="B4119" i="527" s="1"/>
  <c r="C4522" i="527"/>
  <c r="B4522" i="527" s="1"/>
  <c r="D5575" i="527"/>
  <c r="L5578" i="527"/>
  <c r="AD6080" i="527"/>
  <c r="AB6080" i="527"/>
  <c r="B6076" i="527"/>
  <c r="AC6784" i="527"/>
  <c r="H6784" i="527" s="1"/>
  <c r="AA6784" i="527"/>
  <c r="AA6984" i="527"/>
  <c r="AC6984" i="527"/>
  <c r="H6984" i="527" s="1"/>
  <c r="F7505" i="527"/>
  <c r="H141" i="526"/>
  <c r="F7655" i="527"/>
  <c r="H143" i="526"/>
  <c r="L365" i="523" s="1"/>
  <c r="M365" i="523" s="1"/>
  <c r="C7824" i="527"/>
  <c r="B7824" i="527" s="1"/>
  <c r="H11" i="530"/>
  <c r="F8" i="530"/>
  <c r="C8180" i="527"/>
  <c r="B8180" i="527" s="1"/>
  <c r="F54" i="530"/>
  <c r="J55" i="530"/>
  <c r="C624" i="527"/>
  <c r="B624" i="527" s="1"/>
  <c r="F1105" i="527"/>
  <c r="H24" i="526"/>
  <c r="L337" i="523" s="1"/>
  <c r="M337" i="523" s="1"/>
  <c r="C1474" i="527"/>
  <c r="B1474" i="527" s="1"/>
  <c r="E3577" i="527"/>
  <c r="C3574" i="527"/>
  <c r="E2226" i="527"/>
  <c r="C2221" i="527"/>
  <c r="B2221" i="527" s="1"/>
  <c r="C3470" i="527"/>
  <c r="E3504" i="527"/>
  <c r="J2988" i="527"/>
  <c r="F2805" i="527"/>
  <c r="H50" i="526"/>
  <c r="L307" i="523" s="1"/>
  <c r="M307" i="523" s="1"/>
  <c r="L4026" i="527"/>
  <c r="D4023" i="527"/>
  <c r="D4031" i="527" s="1"/>
  <c r="D4054" i="527" s="1"/>
  <c r="F9038" i="527"/>
  <c r="F9054" i="527" s="1"/>
  <c r="C8024" i="527"/>
  <c r="B8024" i="527" s="1"/>
  <c r="I3692" i="527"/>
  <c r="D3692" i="527"/>
  <c r="J442" i="525"/>
  <c r="F442" i="525" s="1"/>
  <c r="E442" i="525"/>
  <c r="J627" i="525"/>
  <c r="F627" i="525" s="1"/>
  <c r="E627" i="525"/>
  <c r="J659" i="525"/>
  <c r="F659" i="525" s="1"/>
  <c r="E659" i="525"/>
  <c r="J862" i="525"/>
  <c r="F862" i="525" s="1"/>
  <c r="E862" i="525"/>
  <c r="E652" i="525"/>
  <c r="J652" i="525"/>
  <c r="F652" i="525" s="1"/>
  <c r="E708" i="525"/>
  <c r="J708" i="525"/>
  <c r="F708" i="525" s="1"/>
  <c r="J1354" i="525"/>
  <c r="F1354" i="525" s="1"/>
  <c r="E1354" i="525"/>
  <c r="J1308" i="525"/>
  <c r="F1308" i="525" s="1"/>
  <c r="E1308" i="525"/>
  <c r="J1512" i="525"/>
  <c r="F1512" i="525" s="1"/>
  <c r="E1512" i="525"/>
  <c r="E1288" i="525"/>
  <c r="J1288" i="525"/>
  <c r="F1288" i="525" s="1"/>
  <c r="J1757" i="525"/>
  <c r="E1757" i="525"/>
  <c r="J1789" i="525"/>
  <c r="E1789" i="525"/>
  <c r="J1932" i="525"/>
  <c r="E1932" i="525"/>
  <c r="E1796" i="525"/>
  <c r="J1796" i="525"/>
  <c r="E1946" i="525"/>
  <c r="J1946" i="525"/>
  <c r="J2487" i="525"/>
  <c r="F2487" i="525" s="1"/>
  <c r="E2487" i="525"/>
  <c r="J520" i="525"/>
  <c r="J493" i="525"/>
  <c r="J570" i="525"/>
  <c r="J606" i="525"/>
  <c r="J736" i="525"/>
  <c r="J553" i="525"/>
  <c r="J834" i="525"/>
  <c r="J1712" i="525"/>
  <c r="J1667" i="525"/>
  <c r="J1934" i="525"/>
  <c r="J1736" i="525"/>
  <c r="J1748" i="525"/>
  <c r="J1860" i="525"/>
  <c r="J2358" i="525"/>
  <c r="J2603" i="525"/>
  <c r="J2646" i="525"/>
  <c r="J2682" i="525"/>
  <c r="J2273" i="525"/>
  <c r="J2456" i="525"/>
  <c r="J2331" i="525"/>
  <c r="J2466" i="525"/>
  <c r="E90" i="525"/>
  <c r="F431" i="523"/>
  <c r="I431" i="523"/>
  <c r="G431" i="523" s="1"/>
  <c r="K186" i="523"/>
  <c r="G186" i="523" s="1"/>
  <c r="F186" i="523"/>
  <c r="E2044" i="525"/>
  <c r="L2044" i="525"/>
  <c r="D305" i="527"/>
  <c r="F8" i="526"/>
  <c r="H357" i="523" s="1"/>
  <c r="I357" i="523" s="1"/>
  <c r="C274" i="527"/>
  <c r="B274" i="527" s="1"/>
  <c r="D855" i="527"/>
  <c r="F19" i="526"/>
  <c r="H344" i="523" s="1"/>
  <c r="I344" i="523" s="1"/>
  <c r="E176" i="527"/>
  <c r="C171" i="527"/>
  <c r="B171" i="527" s="1"/>
  <c r="J535" i="527"/>
  <c r="E626" i="527"/>
  <c r="C621" i="527"/>
  <c r="B621" i="527" s="1"/>
  <c r="F705" i="527"/>
  <c r="H16" i="526"/>
  <c r="L353" i="523" s="1"/>
  <c r="M353" i="523" s="1"/>
  <c r="C1174" i="527"/>
  <c r="B1174" i="527" s="1"/>
  <c r="F1476" i="527"/>
  <c r="F1511" i="527" s="1"/>
  <c r="F1554" i="527" s="1"/>
  <c r="E2692" i="527"/>
  <c r="F3179" i="527"/>
  <c r="F3204" i="527" s="1"/>
  <c r="J2738" i="527"/>
  <c r="F3080" i="527"/>
  <c r="F3112" i="527" s="1"/>
  <c r="F3154" i="527" s="1"/>
  <c r="D3427" i="527"/>
  <c r="F3427" i="527"/>
  <c r="E3427" i="527"/>
  <c r="C3427" i="527" s="1"/>
  <c r="B3427" i="527" s="1"/>
  <c r="E3026" i="527"/>
  <c r="C3021" i="527"/>
  <c r="B3021" i="527" s="1"/>
  <c r="C6054" i="527"/>
  <c r="E6005" i="527"/>
  <c r="G112" i="526"/>
  <c r="J472" i="523" s="1"/>
  <c r="C4372" i="527"/>
  <c r="B4372" i="527" s="1"/>
  <c r="E4624" i="527"/>
  <c r="C4620" i="527"/>
  <c r="B4620" i="527" s="1"/>
  <c r="L4978" i="527"/>
  <c r="D4975" i="527"/>
  <c r="D4983" i="527" s="1"/>
  <c r="D5004" i="527" s="1"/>
  <c r="C5854" i="527"/>
  <c r="E5805" i="527"/>
  <c r="G108" i="526"/>
  <c r="J468" i="523" s="1"/>
  <c r="C6654" i="527"/>
  <c r="E6605" i="527"/>
  <c r="G124" i="526"/>
  <c r="J456" i="523" s="1"/>
  <c r="D5225" i="527"/>
  <c r="L5228" i="527"/>
  <c r="AB6330" i="527"/>
  <c r="B6326" i="527"/>
  <c r="AD6330" i="527"/>
  <c r="C6755" i="527"/>
  <c r="E127" i="526"/>
  <c r="C7177" i="527"/>
  <c r="D7255" i="527"/>
  <c r="F137" i="526"/>
  <c r="C8134" i="527"/>
  <c r="D8223" i="527"/>
  <c r="L8239" i="527"/>
  <c r="L8189" i="527"/>
  <c r="D8173" i="527"/>
  <c r="H115" i="530"/>
  <c r="F19" i="529" s="1"/>
  <c r="J1592" i="527" s="1"/>
  <c r="F112" i="530"/>
  <c r="C9021" i="527"/>
  <c r="B9021" i="527" s="1"/>
  <c r="F8026" i="527"/>
  <c r="F8039" i="527" s="1"/>
  <c r="F8054" i="527" s="1"/>
  <c r="D8184" i="527"/>
  <c r="I1787" i="527"/>
  <c r="F1787" i="527"/>
  <c r="C1787" i="527" s="1"/>
  <c r="I3223" i="527"/>
  <c r="F3223" i="527"/>
  <c r="C3223" i="527" s="1"/>
  <c r="D1583" i="527"/>
  <c r="C1583" i="527" s="1"/>
  <c r="B1583" i="527" s="1"/>
  <c r="C1783" i="527"/>
  <c r="B1783" i="527" s="1"/>
  <c r="C424" i="527"/>
  <c r="B424" i="527" s="1"/>
  <c r="I1490" i="525"/>
  <c r="I1417" i="525"/>
  <c r="I1402" i="525"/>
  <c r="I1498" i="525"/>
  <c r="I1483" i="525"/>
  <c r="I1409" i="525"/>
  <c r="L4276" i="527"/>
  <c r="D4273" i="527"/>
  <c r="D4281" i="527" s="1"/>
  <c r="D4304" i="527" s="1"/>
  <c r="C4422" i="527"/>
  <c r="B4422" i="527" s="1"/>
  <c r="J7885" i="527"/>
  <c r="F25" i="530"/>
  <c r="J26" i="530"/>
  <c r="F182" i="523"/>
  <c r="K182" i="523"/>
  <c r="G182" i="523" s="1"/>
  <c r="J2145" i="525"/>
  <c r="F282" i="525"/>
  <c r="E2424" i="525"/>
  <c r="F2309" i="525"/>
  <c r="F2394" i="525"/>
  <c r="E1845" i="525"/>
  <c r="F2209" i="525"/>
  <c r="E1469" i="525"/>
  <c r="F1352" i="525"/>
  <c r="F1482" i="525"/>
  <c r="F1313" i="525"/>
  <c r="J1642" i="525"/>
  <c r="F432" i="523"/>
  <c r="I432" i="523"/>
  <c r="G432" i="523" s="1"/>
  <c r="F417" i="525"/>
  <c r="E109" i="525"/>
  <c r="E335" i="525"/>
  <c r="H466" i="525"/>
  <c r="K183" i="523"/>
  <c r="G183" i="523" s="1"/>
  <c r="F183" i="523"/>
  <c r="F314" i="525"/>
  <c r="F2384" i="525"/>
  <c r="E2505" i="525"/>
  <c r="E2356" i="525"/>
  <c r="F1832" i="525"/>
  <c r="E1735" i="525"/>
  <c r="F1376" i="525"/>
  <c r="E1329" i="525"/>
  <c r="E1456" i="525"/>
  <c r="I430" i="523"/>
  <c r="G430" i="523" s="1"/>
  <c r="F430" i="523"/>
  <c r="F328" i="525"/>
  <c r="L1625" i="525"/>
  <c r="E1625" i="525"/>
  <c r="E243" i="525"/>
  <c r="F1870" i="525"/>
  <c r="E251" i="524" s="1"/>
  <c r="G251" i="524"/>
  <c r="J176" i="523" s="1"/>
  <c r="E38" i="527"/>
  <c r="D38" i="527"/>
  <c r="F38" i="527"/>
  <c r="E2576" i="527"/>
  <c r="C2571" i="527"/>
  <c r="B2571" i="527" s="1"/>
  <c r="D826" i="527"/>
  <c r="D835" i="527" s="1"/>
  <c r="D854" i="527" s="1"/>
  <c r="D476" i="527"/>
  <c r="E576" i="527"/>
  <c r="C571" i="527"/>
  <c r="B571" i="527" s="1"/>
  <c r="F676" i="527"/>
  <c r="F689" i="527" s="1"/>
  <c r="F704" i="527" s="1"/>
  <c r="C1124" i="527"/>
  <c r="B1124" i="527" s="1"/>
  <c r="F926" i="527"/>
  <c r="F935" i="527" s="1"/>
  <c r="F954" i="527" s="1"/>
  <c r="D1483" i="527"/>
  <c r="D3555" i="527"/>
  <c r="F64" i="526"/>
  <c r="H240" i="523" s="1"/>
  <c r="I240" i="523" s="1"/>
  <c r="C1871" i="527"/>
  <c r="B1871" i="527" s="1"/>
  <c r="E1876" i="527"/>
  <c r="F1939" i="527"/>
  <c r="F1952" i="527" s="1"/>
  <c r="F2004" i="527" s="1"/>
  <c r="C3078" i="527"/>
  <c r="B3078" i="527" s="1"/>
  <c r="F2026" i="527"/>
  <c r="D2305" i="527"/>
  <c r="F40" i="526"/>
  <c r="H309" i="523" s="1"/>
  <c r="I309" i="523" s="1"/>
  <c r="C3773" i="527"/>
  <c r="E3791" i="527"/>
  <c r="E2926" i="527"/>
  <c r="C2921" i="527"/>
  <c r="B2921" i="527" s="1"/>
  <c r="E4073" i="527"/>
  <c r="C4069" i="527"/>
  <c r="B4069" i="527" s="1"/>
  <c r="C4472" i="527"/>
  <c r="B4472" i="527" s="1"/>
  <c r="F4524" i="527"/>
  <c r="E4725" i="527"/>
  <c r="C4721" i="527"/>
  <c r="B4721" i="527" s="1"/>
  <c r="I5278" i="527"/>
  <c r="F5278" i="527"/>
  <c r="L5178" i="527"/>
  <c r="D5175" i="527"/>
  <c r="C5654" i="527"/>
  <c r="E5605" i="527"/>
  <c r="G104" i="526"/>
  <c r="J464" i="523" s="1"/>
  <c r="D5425" i="527"/>
  <c r="L5428" i="527"/>
  <c r="C7071" i="527"/>
  <c r="B7071" i="527" s="1"/>
  <c r="E7075" i="527"/>
  <c r="E7826" i="527"/>
  <c r="C7821" i="527"/>
  <c r="B7821" i="527" s="1"/>
  <c r="H90" i="530"/>
  <c r="F15" i="529" s="1"/>
  <c r="G57" i="525" s="1"/>
  <c r="H57" i="525" s="1"/>
  <c r="F87" i="530"/>
  <c r="D7976" i="527"/>
  <c r="E8076" i="527"/>
  <c r="C8071" i="527"/>
  <c r="B8071" i="527" s="1"/>
  <c r="F8904" i="527"/>
  <c r="C8861" i="527"/>
  <c r="F73" i="530"/>
  <c r="H76" i="530"/>
  <c r="F13" i="529" s="1"/>
  <c r="J98" i="527" s="1"/>
  <c r="I98" i="527" s="1"/>
  <c r="F126" i="530"/>
  <c r="H129" i="530"/>
  <c r="F21" i="529" s="1"/>
  <c r="F59" i="530"/>
  <c r="H62" i="530"/>
  <c r="F11" i="529" s="1"/>
  <c r="E226" i="527"/>
  <c r="C221" i="527"/>
  <c r="B221" i="527" s="1"/>
  <c r="D1026" i="527"/>
  <c r="E1326" i="527"/>
  <c r="C1321" i="527"/>
  <c r="B1321" i="527" s="1"/>
  <c r="F1699" i="527"/>
  <c r="F1712" i="527" s="1"/>
  <c r="F1754" i="527" s="1"/>
  <c r="C5754" i="527"/>
  <c r="E5705" i="527"/>
  <c r="G106" i="526"/>
  <c r="J466" i="523" s="1"/>
  <c r="F457" i="523"/>
  <c r="K457" i="523"/>
  <c r="G457" i="523" s="1"/>
  <c r="L5128" i="527"/>
  <c r="D5125" i="527"/>
  <c r="A30" i="406"/>
  <c r="A28" i="406"/>
  <c r="A26" i="406"/>
  <c r="A24" i="406"/>
  <c r="A22" i="406"/>
  <c r="A20" i="406"/>
  <c r="A18" i="406"/>
  <c r="A16" i="406"/>
  <c r="H29" i="526" l="1"/>
  <c r="L314" i="523" s="1"/>
  <c r="M314" i="523" s="1"/>
  <c r="F1355" i="527"/>
  <c r="B2185" i="527"/>
  <c r="B7416" i="527"/>
  <c r="B4533" i="527"/>
  <c r="B1935" i="527"/>
  <c r="B4333" i="527"/>
  <c r="B2035" i="527"/>
  <c r="B4583" i="527"/>
  <c r="B1696" i="527"/>
  <c r="J10" i="530"/>
  <c r="E10" i="530"/>
  <c r="F417" i="523"/>
  <c r="K417" i="523"/>
  <c r="G417" i="523" s="1"/>
  <c r="J107" i="530"/>
  <c r="E107" i="530"/>
  <c r="J47" i="530"/>
  <c r="E47" i="530"/>
  <c r="B3223" i="527"/>
  <c r="B4683" i="527"/>
  <c r="B4483" i="527"/>
  <c r="B1385" i="527"/>
  <c r="J68" i="530"/>
  <c r="E68" i="530"/>
  <c r="F2205" i="527"/>
  <c r="H39" i="526"/>
  <c r="L330" i="523" s="1"/>
  <c r="M330" i="523" s="1"/>
  <c r="C8123" i="527"/>
  <c r="E8144" i="527"/>
  <c r="E8154" i="527" s="1"/>
  <c r="E8105" i="527" s="1"/>
  <c r="H2518" i="525"/>
  <c r="F2518" i="525" s="1"/>
  <c r="E2518" i="525"/>
  <c r="B4633" i="527"/>
  <c r="F8483" i="527"/>
  <c r="C8481" i="527"/>
  <c r="B8481" i="527" s="1"/>
  <c r="J100" i="530"/>
  <c r="E100" i="530"/>
  <c r="J89" i="530"/>
  <c r="E89" i="530"/>
  <c r="H431" i="525"/>
  <c r="F431" i="525" s="1"/>
  <c r="E431" i="525"/>
  <c r="C8531" i="527"/>
  <c r="B8531" i="527" s="1"/>
  <c r="F8533" i="527"/>
  <c r="F8543" i="527" s="1"/>
  <c r="F8554" i="527" s="1"/>
  <c r="J75" i="530"/>
  <c r="E75" i="530"/>
  <c r="H16" i="524"/>
  <c r="F67" i="525"/>
  <c r="E16" i="524" s="1"/>
  <c r="K420" i="523"/>
  <c r="G420" i="523" s="1"/>
  <c r="F420" i="523"/>
  <c r="H409" i="525"/>
  <c r="F409" i="525" s="1"/>
  <c r="E409" i="525"/>
  <c r="J128" i="530"/>
  <c r="E128" i="530"/>
  <c r="K419" i="523"/>
  <c r="G419" i="523" s="1"/>
  <c r="F419" i="523"/>
  <c r="H2496" i="525"/>
  <c r="F2496" i="525" s="1"/>
  <c r="E2496" i="525"/>
  <c r="K171" i="523"/>
  <c r="G171" i="523" s="1"/>
  <c r="F171" i="523"/>
  <c r="J61" i="530"/>
  <c r="E61" i="530"/>
  <c r="B7337" i="527"/>
  <c r="B1885" i="527"/>
  <c r="F2189" i="527"/>
  <c r="F2201" i="527" s="1"/>
  <c r="F2204" i="527" s="1"/>
  <c r="H419" i="525"/>
  <c r="F419" i="525" s="1"/>
  <c r="E419" i="525"/>
  <c r="F7418" i="527"/>
  <c r="F7420" i="527" s="1"/>
  <c r="F7422" i="527" s="1"/>
  <c r="F7454" i="527" s="1"/>
  <c r="F2039" i="527"/>
  <c r="F2052" i="527" s="1"/>
  <c r="F2104" i="527" s="1"/>
  <c r="H2506" i="525"/>
  <c r="F2506" i="525" s="1"/>
  <c r="E2506" i="525"/>
  <c r="K413" i="523"/>
  <c r="G413" i="523" s="1"/>
  <c r="F413" i="523"/>
  <c r="G228" i="524"/>
  <c r="J232" i="523" s="1"/>
  <c r="F2105" i="527"/>
  <c r="H37" i="526"/>
  <c r="L328" i="523" s="1"/>
  <c r="M328" i="523" s="1"/>
  <c r="F1905" i="527"/>
  <c r="H35" i="526"/>
  <c r="L312" i="523" s="1"/>
  <c r="M312" i="523" s="1"/>
  <c r="F1655" i="527"/>
  <c r="H32" i="526"/>
  <c r="L317" i="523" s="1"/>
  <c r="M317" i="523" s="1"/>
  <c r="F1555" i="527"/>
  <c r="H31" i="526"/>
  <c r="L316" i="523" s="1"/>
  <c r="M316" i="523" s="1"/>
  <c r="H1659" i="525"/>
  <c r="F1659" i="525" s="1"/>
  <c r="E1659" i="525"/>
  <c r="E8089" i="527"/>
  <c r="C8076" i="527"/>
  <c r="C2926" i="527"/>
  <c r="E2942" i="527"/>
  <c r="E2592" i="527"/>
  <c r="C2576" i="527"/>
  <c r="F8005" i="527"/>
  <c r="H150" i="526"/>
  <c r="L363" i="523" s="1"/>
  <c r="M363" i="523" s="1"/>
  <c r="J8194" i="527"/>
  <c r="I5228" i="527"/>
  <c r="F5228" i="527"/>
  <c r="C6605" i="527"/>
  <c r="E124" i="526"/>
  <c r="K472" i="523"/>
  <c r="G472" i="523" s="1"/>
  <c r="F472" i="523"/>
  <c r="C3026" i="527"/>
  <c r="E3043" i="527"/>
  <c r="F3055" i="527"/>
  <c r="H55" i="526"/>
  <c r="F3155" i="527"/>
  <c r="H56" i="526"/>
  <c r="F1455" i="527"/>
  <c r="H30" i="526"/>
  <c r="L315" i="523" s="1"/>
  <c r="M315" i="523" s="1"/>
  <c r="J1950" i="525"/>
  <c r="F1946" i="525"/>
  <c r="F9005" i="527"/>
  <c r="H170" i="526"/>
  <c r="C3504" i="527"/>
  <c r="E3455" i="527"/>
  <c r="G62" i="526"/>
  <c r="J152" i="523" s="1"/>
  <c r="K2522" i="525"/>
  <c r="L2522" i="525" s="1"/>
  <c r="K2499" i="525"/>
  <c r="L2499" i="525" s="1"/>
  <c r="K2322" i="525"/>
  <c r="L2322" i="525" s="1"/>
  <c r="K2302" i="525"/>
  <c r="L2302" i="525" s="1"/>
  <c r="K2282" i="525"/>
  <c r="L2282" i="525" s="1"/>
  <c r="K2510" i="525"/>
  <c r="L2510" i="525" s="1"/>
  <c r="K2262" i="525"/>
  <c r="L2262" i="525" s="1"/>
  <c r="K2242" i="525"/>
  <c r="L2242" i="525" s="1"/>
  <c r="K2203" i="525"/>
  <c r="L2203" i="525" s="1"/>
  <c r="K2222" i="525"/>
  <c r="L2222" i="525" s="1"/>
  <c r="K2165" i="525"/>
  <c r="L2165" i="525" s="1"/>
  <c r="K2184" i="525"/>
  <c r="L2184" i="525" s="1"/>
  <c r="K1473" i="525"/>
  <c r="L1473" i="525" s="1"/>
  <c r="K1460" i="525"/>
  <c r="L1460" i="525" s="1"/>
  <c r="K1448" i="525"/>
  <c r="L1448" i="525" s="1"/>
  <c r="K423" i="525"/>
  <c r="L423" i="525" s="1"/>
  <c r="K435" i="525"/>
  <c r="L435" i="525" s="1"/>
  <c r="K412" i="525"/>
  <c r="L412" i="525" s="1"/>
  <c r="D6984" i="527"/>
  <c r="D6989" i="527" s="1"/>
  <c r="F6984" i="527"/>
  <c r="F6989" i="527" s="1"/>
  <c r="E6984" i="527"/>
  <c r="J5582" i="527"/>
  <c r="G1431" i="525"/>
  <c r="J460" i="525"/>
  <c r="J3322" i="527"/>
  <c r="J3173" i="527"/>
  <c r="J3272" i="527"/>
  <c r="J3074" i="527"/>
  <c r="J60" i="527"/>
  <c r="G2060" i="525"/>
  <c r="H2060" i="525" s="1"/>
  <c r="H2061" i="525" s="1"/>
  <c r="F280" i="524" s="1"/>
  <c r="H144" i="523" s="1"/>
  <c r="I144" i="523" s="1"/>
  <c r="G2055" i="525"/>
  <c r="H2055" i="525" s="1"/>
  <c r="H2056" i="525" s="1"/>
  <c r="F279" i="524" s="1"/>
  <c r="H143" i="523" s="1"/>
  <c r="I143" i="523" s="1"/>
  <c r="D205" i="527"/>
  <c r="F6" i="526"/>
  <c r="H354" i="523" s="1"/>
  <c r="I354" i="523" s="1"/>
  <c r="J8085" i="527"/>
  <c r="I4728" i="527"/>
  <c r="F4728" i="527"/>
  <c r="I2938" i="527"/>
  <c r="D2938" i="527"/>
  <c r="F755" i="527"/>
  <c r="H17" i="526"/>
  <c r="L343" i="523" s="1"/>
  <c r="M343" i="523" s="1"/>
  <c r="D7005" i="527"/>
  <c r="F132" i="526"/>
  <c r="G5" i="529"/>
  <c r="F18" i="530"/>
  <c r="E5" i="529" s="1"/>
  <c r="F39" i="530"/>
  <c r="J40" i="530"/>
  <c r="E5536" i="527"/>
  <c r="C5525" i="527"/>
  <c r="K460" i="523"/>
  <c r="G460" i="523" s="1"/>
  <c r="F460" i="523"/>
  <c r="C4775" i="527"/>
  <c r="E4783" i="527"/>
  <c r="G1246" i="525"/>
  <c r="F1775" i="525"/>
  <c r="F1939" i="525"/>
  <c r="J1943" i="525"/>
  <c r="G2145" i="525"/>
  <c r="G2131" i="525"/>
  <c r="C9023" i="527"/>
  <c r="I3619" i="527"/>
  <c r="D3619" i="527"/>
  <c r="E7154" i="527"/>
  <c r="C7119" i="527"/>
  <c r="K462" i="523"/>
  <c r="G462" i="523" s="1"/>
  <c r="F462" i="523"/>
  <c r="F6634" i="527"/>
  <c r="F6639" i="527" s="1"/>
  <c r="E6634" i="527"/>
  <c r="D6634" i="527"/>
  <c r="D6639" i="527" s="1"/>
  <c r="E6684" i="527"/>
  <c r="D6684" i="527"/>
  <c r="D6689" i="527" s="1"/>
  <c r="F6684" i="527"/>
  <c r="F6689" i="527" s="1"/>
  <c r="F449" i="523"/>
  <c r="K449" i="523"/>
  <c r="G449" i="523" s="1"/>
  <c r="D4105" i="527"/>
  <c r="F74" i="526"/>
  <c r="H380" i="523" s="1"/>
  <c r="I380" i="523" s="1"/>
  <c r="F8905" i="527"/>
  <c r="C8954" i="527"/>
  <c r="H168" i="526"/>
  <c r="L480" i="523" s="1"/>
  <c r="F5028" i="527"/>
  <c r="I5028" i="527"/>
  <c r="F8055" i="527"/>
  <c r="H151" i="526"/>
  <c r="L361" i="523" s="1"/>
  <c r="M361" i="523" s="1"/>
  <c r="D7055" i="527"/>
  <c r="F133" i="526"/>
  <c r="H210" i="523" s="1"/>
  <c r="I210" i="523" s="1"/>
  <c r="E5486" i="527"/>
  <c r="C5475" i="527"/>
  <c r="F3393" i="527"/>
  <c r="C3391" i="527"/>
  <c r="B3391" i="527" s="1"/>
  <c r="C776" i="527"/>
  <c r="E785" i="527"/>
  <c r="F805" i="527"/>
  <c r="H18" i="526"/>
  <c r="L342" i="523" s="1"/>
  <c r="M342" i="523" s="1"/>
  <c r="F40" i="527"/>
  <c r="F43" i="527" s="1"/>
  <c r="J2098" i="525"/>
  <c r="F6734" i="527"/>
  <c r="F6739" i="527" s="1"/>
  <c r="E6734" i="527"/>
  <c r="D6734" i="527"/>
  <c r="D6739" i="527" s="1"/>
  <c r="E8247" i="527"/>
  <c r="C8223" i="527"/>
  <c r="C6705" i="527"/>
  <c r="E126" i="526"/>
  <c r="AC5684" i="527"/>
  <c r="H5684" i="527" s="1"/>
  <c r="AA5684" i="527"/>
  <c r="D3429" i="527"/>
  <c r="D3441" i="527" s="1"/>
  <c r="D3454" i="527" s="1"/>
  <c r="F155" i="527"/>
  <c r="H5" i="526"/>
  <c r="E335" i="527"/>
  <c r="C326" i="527"/>
  <c r="I425" i="523"/>
  <c r="G425" i="523" s="1"/>
  <c r="F425" i="523"/>
  <c r="G285" i="524"/>
  <c r="J230" i="523" s="1"/>
  <c r="E2992" i="527"/>
  <c r="C2976" i="527"/>
  <c r="I1135" i="527"/>
  <c r="D1135" i="527"/>
  <c r="F6834" i="527"/>
  <c r="F6839" i="527" s="1"/>
  <c r="E6834" i="527"/>
  <c r="D6834" i="527"/>
  <c r="D6839" i="527" s="1"/>
  <c r="E5586" i="527"/>
  <c r="C5575" i="527"/>
  <c r="C4374" i="527"/>
  <c r="C276" i="527"/>
  <c r="E285" i="527"/>
  <c r="C6355" i="527"/>
  <c r="E119" i="526"/>
  <c r="I7935" i="527"/>
  <c r="D7935" i="527"/>
  <c r="F8705" i="527"/>
  <c r="C8754" i="527"/>
  <c r="H164" i="526"/>
  <c r="L476" i="523" s="1"/>
  <c r="J5482" i="527"/>
  <c r="E5436" i="527"/>
  <c r="C5425" i="527"/>
  <c r="I5282" i="527"/>
  <c r="D5282" i="527"/>
  <c r="I5078" i="527"/>
  <c r="F5078" i="527"/>
  <c r="C2126" i="527"/>
  <c r="G2453" i="525"/>
  <c r="G2413" i="525"/>
  <c r="G2373" i="525"/>
  <c r="G2337" i="525"/>
  <c r="G2308" i="525"/>
  <c r="G2680" i="525"/>
  <c r="G2671" i="525"/>
  <c r="G2662" i="525"/>
  <c r="G2653" i="525"/>
  <c r="G2644" i="525"/>
  <c r="G2635" i="525"/>
  <c r="G2626" i="525"/>
  <c r="G2617" i="525"/>
  <c r="G2601" i="525"/>
  <c r="G2585" i="525"/>
  <c r="G2504" i="525"/>
  <c r="G2494" i="525"/>
  <c r="G2443" i="525"/>
  <c r="G2403" i="525"/>
  <c r="G2346" i="525"/>
  <c r="G2288" i="525"/>
  <c r="G2516" i="525"/>
  <c r="G2433" i="525"/>
  <c r="G2393" i="525"/>
  <c r="G2355" i="525"/>
  <c r="G2268" i="525"/>
  <c r="G2609" i="525"/>
  <c r="G2593" i="525"/>
  <c r="G2463" i="525"/>
  <c r="G2423" i="525"/>
  <c r="G2383" i="525"/>
  <c r="G2364" i="525"/>
  <c r="G2328" i="525"/>
  <c r="G2228" i="525"/>
  <c r="G2189" i="525"/>
  <c r="G2068" i="525"/>
  <c r="G1812" i="525"/>
  <c r="G1798" i="525"/>
  <c r="G1784" i="525"/>
  <c r="G1746" i="525"/>
  <c r="G2208" i="525"/>
  <c r="G1734" i="525"/>
  <c r="G1688" i="525"/>
  <c r="G1664" i="525"/>
  <c r="G2151" i="525"/>
  <c r="G1954" i="525"/>
  <c r="G1805" i="525"/>
  <c r="G1791" i="525"/>
  <c r="G1777" i="525"/>
  <c r="G1771" i="525"/>
  <c r="G1765" i="525"/>
  <c r="G1759" i="525"/>
  <c r="G1722" i="525"/>
  <c r="G1699" i="525"/>
  <c r="G2248" i="525"/>
  <c r="G2170" i="525"/>
  <c r="G1857" i="525"/>
  <c r="G1831" i="525"/>
  <c r="G1488" i="525"/>
  <c r="G1676" i="525"/>
  <c r="G1548" i="525"/>
  <c r="G1496" i="525"/>
  <c r="G1481" i="525"/>
  <c r="G1455" i="525"/>
  <c r="G1443" i="525"/>
  <c r="G1844" i="525"/>
  <c r="G1818" i="525"/>
  <c r="G1710" i="525"/>
  <c r="G1408" i="525"/>
  <c r="G1527" i="525"/>
  <c r="G1468" i="525"/>
  <c r="G1416" i="525"/>
  <c r="G1401" i="525"/>
  <c r="G1375" i="525"/>
  <c r="G784" i="525"/>
  <c r="G744" i="525"/>
  <c r="G527" i="525"/>
  <c r="G491" i="525"/>
  <c r="G430" i="525"/>
  <c r="G407" i="525"/>
  <c r="G375" i="525"/>
  <c r="G343" i="525"/>
  <c r="G315" i="525"/>
  <c r="G283" i="525"/>
  <c r="G251" i="525"/>
  <c r="G223" i="525"/>
  <c r="G853" i="525"/>
  <c r="G794" i="525"/>
  <c r="G754" i="525"/>
  <c r="G714" i="525"/>
  <c r="G700" i="525"/>
  <c r="G686" i="525"/>
  <c r="G672" i="525"/>
  <c r="G658" i="525"/>
  <c r="G644" i="525"/>
  <c r="G638" i="525"/>
  <c r="G632" i="525"/>
  <c r="G626" i="525"/>
  <c r="G620" i="525"/>
  <c r="G614" i="525"/>
  <c r="G605" i="525"/>
  <c r="G596" i="525"/>
  <c r="G587" i="525"/>
  <c r="G578" i="525"/>
  <c r="G569" i="525"/>
  <c r="G560" i="525"/>
  <c r="G544" i="525"/>
  <c r="G518" i="525"/>
  <c r="G383" i="525"/>
  <c r="G351" i="525"/>
  <c r="G336" i="525"/>
  <c r="G291" i="525"/>
  <c r="G259" i="525"/>
  <c r="G244" i="525"/>
  <c r="G177" i="525"/>
  <c r="G168" i="525"/>
  <c r="G159" i="525"/>
  <c r="G150" i="525"/>
  <c r="G141" i="525"/>
  <c r="G132" i="525"/>
  <c r="G116" i="525"/>
  <c r="G804" i="525"/>
  <c r="G764" i="525"/>
  <c r="G724" i="525"/>
  <c r="G509" i="525"/>
  <c r="G391" i="525"/>
  <c r="G359" i="525"/>
  <c r="G329" i="525"/>
  <c r="G299" i="525"/>
  <c r="G267" i="525"/>
  <c r="G237" i="525"/>
  <c r="G774" i="525"/>
  <c r="G734" i="525"/>
  <c r="G707" i="525"/>
  <c r="G693" i="525"/>
  <c r="G679" i="525"/>
  <c r="G665" i="525"/>
  <c r="G651" i="525"/>
  <c r="G552" i="525"/>
  <c r="G536" i="525"/>
  <c r="G500" i="525"/>
  <c r="G418" i="525"/>
  <c r="G399" i="525"/>
  <c r="G367" i="525"/>
  <c r="G322" i="525"/>
  <c r="G307" i="525"/>
  <c r="G275" i="525"/>
  <c r="G230" i="525"/>
  <c r="G124" i="525"/>
  <c r="G108" i="525"/>
  <c r="I4688" i="527"/>
  <c r="F4688" i="527"/>
  <c r="F1799" i="527"/>
  <c r="F1812" i="527" s="1"/>
  <c r="F1854" i="527" s="1"/>
  <c r="J8035" i="527"/>
  <c r="E8197" i="527"/>
  <c r="C8173" i="527"/>
  <c r="C6405" i="527"/>
  <c r="E120" i="526"/>
  <c r="C6455" i="527"/>
  <c r="E121" i="526"/>
  <c r="C5225" i="527"/>
  <c r="E5236" i="527"/>
  <c r="K467" i="523"/>
  <c r="G467" i="523" s="1"/>
  <c r="F467" i="523"/>
  <c r="C4975" i="527"/>
  <c r="E4983" i="527"/>
  <c r="F446" i="523"/>
  <c r="K446" i="523"/>
  <c r="K1054" i="525"/>
  <c r="L1054" i="525" s="1"/>
  <c r="L1055" i="525" s="1"/>
  <c r="H148" i="524" s="1"/>
  <c r="L303" i="523" s="1"/>
  <c r="M303" i="523" s="1"/>
  <c r="L324" i="523"/>
  <c r="M324" i="523" s="1"/>
  <c r="J1381" i="525"/>
  <c r="G21" i="524"/>
  <c r="J196" i="523" s="1"/>
  <c r="F1810" i="525"/>
  <c r="F832" i="525"/>
  <c r="C8968" i="527"/>
  <c r="B8968" i="527" s="1"/>
  <c r="E8971" i="527"/>
  <c r="F8489" i="527"/>
  <c r="C8486" i="527"/>
  <c r="C5905" i="527"/>
  <c r="E110" i="526"/>
  <c r="C1176" i="527"/>
  <c r="E1189" i="527"/>
  <c r="E2793" i="527"/>
  <c r="C2776" i="527"/>
  <c r="G2522" i="525"/>
  <c r="H2522" i="525" s="1"/>
  <c r="G2499" i="525"/>
  <c r="H2499" i="525" s="1"/>
  <c r="G2322" i="525"/>
  <c r="H2322" i="525" s="1"/>
  <c r="G2302" i="525"/>
  <c r="H2302" i="525" s="1"/>
  <c r="G2282" i="525"/>
  <c r="H2282" i="525" s="1"/>
  <c r="G2510" i="525"/>
  <c r="H2510" i="525" s="1"/>
  <c r="G2262" i="525"/>
  <c r="H2262" i="525" s="1"/>
  <c r="G2242" i="525"/>
  <c r="H2242" i="525" s="1"/>
  <c r="G2203" i="525"/>
  <c r="H2203" i="525" s="1"/>
  <c r="G2222" i="525"/>
  <c r="H2222" i="525" s="1"/>
  <c r="G2165" i="525"/>
  <c r="H2165" i="525" s="1"/>
  <c r="G2184" i="525"/>
  <c r="H2184" i="525" s="1"/>
  <c r="G1473" i="525"/>
  <c r="H1473" i="525" s="1"/>
  <c r="G1460" i="525"/>
  <c r="H1460" i="525" s="1"/>
  <c r="G1448" i="525"/>
  <c r="H1448" i="525" s="1"/>
  <c r="G423" i="525"/>
  <c r="H423" i="525" s="1"/>
  <c r="G435" i="525"/>
  <c r="H435" i="525" s="1"/>
  <c r="G412" i="525"/>
  <c r="H412" i="525" s="1"/>
  <c r="J1035" i="527"/>
  <c r="D805" i="527"/>
  <c r="F18" i="526"/>
  <c r="H342" i="523" s="1"/>
  <c r="I342" i="523" s="1"/>
  <c r="E1417" i="525"/>
  <c r="J1417" i="525"/>
  <c r="F1417" i="525" s="1"/>
  <c r="I8189" i="527"/>
  <c r="F8189" i="527"/>
  <c r="G2004" i="525"/>
  <c r="H2004" i="525" s="1"/>
  <c r="G2016" i="525"/>
  <c r="H2016" i="525" s="1"/>
  <c r="G1994" i="525"/>
  <c r="H1994" i="525" s="1"/>
  <c r="H1995" i="525" s="1"/>
  <c r="F269" i="524" s="1"/>
  <c r="H372" i="523" s="1"/>
  <c r="I372" i="523" s="1"/>
  <c r="AA6334" i="527"/>
  <c r="AC6334" i="527"/>
  <c r="H6334" i="527" s="1"/>
  <c r="J5232" i="527"/>
  <c r="K468" i="523"/>
  <c r="G468" i="523" s="1"/>
  <c r="F468" i="523"/>
  <c r="D4955" i="527"/>
  <c r="F91" i="526"/>
  <c r="H402" i="523" s="1"/>
  <c r="I402" i="523" s="1"/>
  <c r="C4624" i="527"/>
  <c r="I2738" i="527"/>
  <c r="D2738" i="527"/>
  <c r="C626" i="527"/>
  <c r="E639" i="527"/>
  <c r="E185" i="527"/>
  <c r="C176" i="527"/>
  <c r="F2044" i="525"/>
  <c r="L2046" i="525"/>
  <c r="F1932" i="525"/>
  <c r="J1936" i="525"/>
  <c r="F1757" i="525"/>
  <c r="E3604" i="527"/>
  <c r="C3577" i="527"/>
  <c r="F55" i="530"/>
  <c r="E10" i="529" s="1"/>
  <c r="G10" i="529"/>
  <c r="E4131" i="527"/>
  <c r="C4123" i="527"/>
  <c r="E2539" i="527"/>
  <c r="C2526" i="527"/>
  <c r="E2488" i="527"/>
  <c r="C2476" i="527"/>
  <c r="G1438" i="525"/>
  <c r="I1185" i="527"/>
  <c r="D1185" i="527"/>
  <c r="K203" i="523"/>
  <c r="J1876" i="525"/>
  <c r="AC5984" i="527"/>
  <c r="H5984" i="527" s="1"/>
  <c r="AA5984" i="527"/>
  <c r="G7" i="529"/>
  <c r="F33" i="530"/>
  <c r="E7" i="529" s="1"/>
  <c r="F7955" i="527"/>
  <c r="H149" i="526"/>
  <c r="L362" i="523" s="1"/>
  <c r="M362" i="523" s="1"/>
  <c r="J5332" i="527"/>
  <c r="F465" i="523"/>
  <c r="K465" i="523"/>
  <c r="G465" i="523" s="1"/>
  <c r="E389" i="527"/>
  <c r="C376" i="527"/>
  <c r="G4" i="524"/>
  <c r="J149" i="523" s="1"/>
  <c r="F12" i="525"/>
  <c r="E4" i="524" s="1"/>
  <c r="E8604" i="527"/>
  <c r="C8571" i="527"/>
  <c r="F7028" i="527"/>
  <c r="I7028" i="527"/>
  <c r="E7754" i="527"/>
  <c r="C7735" i="527"/>
  <c r="F473" i="523"/>
  <c r="K473" i="523"/>
  <c r="G473" i="523" s="1"/>
  <c r="C6205" i="527"/>
  <c r="E116" i="526"/>
  <c r="C4424" i="527"/>
  <c r="C5955" i="527"/>
  <c r="E111" i="526"/>
  <c r="G1264" i="525"/>
  <c r="G1270" i="525"/>
  <c r="C1926" i="527"/>
  <c r="C726" i="527"/>
  <c r="E739" i="527"/>
  <c r="D155" i="527"/>
  <c r="F5" i="526"/>
  <c r="I202" i="523"/>
  <c r="C6905" i="527"/>
  <c r="E130" i="526"/>
  <c r="E5386" i="527"/>
  <c r="C5375" i="527"/>
  <c r="I4126" i="527"/>
  <c r="F4126" i="527"/>
  <c r="F2155" i="527"/>
  <c r="H38" i="526"/>
  <c r="L329" i="523" s="1"/>
  <c r="M329" i="523" s="1"/>
  <c r="I1285" i="527"/>
  <c r="D1285" i="527"/>
  <c r="C976" i="527"/>
  <c r="E989" i="527"/>
  <c r="J7487" i="527"/>
  <c r="J7412" i="527"/>
  <c r="J7387" i="527"/>
  <c r="J7333" i="527"/>
  <c r="E5136" i="527"/>
  <c r="C5125" i="527"/>
  <c r="J5032" i="527"/>
  <c r="I7184" i="527"/>
  <c r="D7184" i="527"/>
  <c r="C8318" i="527"/>
  <c r="E8354" i="527"/>
  <c r="I7078" i="527"/>
  <c r="F7078" i="527"/>
  <c r="C4925" i="527"/>
  <c r="E4933" i="527"/>
  <c r="E935" i="527"/>
  <c r="C926" i="527"/>
  <c r="J685" i="527"/>
  <c r="H92" i="525"/>
  <c r="F21" i="524" s="1"/>
  <c r="H196" i="523" s="1"/>
  <c r="I196" i="523" s="1"/>
  <c r="F91" i="525"/>
  <c r="H256" i="524"/>
  <c r="F1906" i="525"/>
  <c r="E256" i="524" s="1"/>
  <c r="C1226" i="527"/>
  <c r="E1239" i="527"/>
  <c r="J5532" i="527"/>
  <c r="C4875" i="527"/>
  <c r="E4883" i="527"/>
  <c r="C5855" i="527"/>
  <c r="E109" i="526"/>
  <c r="G1013" i="525"/>
  <c r="H1013" i="525" s="1"/>
  <c r="G981" i="525"/>
  <c r="H981" i="525" s="1"/>
  <c r="G966" i="525"/>
  <c r="H966" i="525" s="1"/>
  <c r="G938" i="525"/>
  <c r="H938" i="525" s="1"/>
  <c r="G910" i="525"/>
  <c r="H910" i="525" s="1"/>
  <c r="G1021" i="525"/>
  <c r="H1021" i="525" s="1"/>
  <c r="G989" i="525"/>
  <c r="H989" i="525" s="1"/>
  <c r="G959" i="525"/>
  <c r="H959" i="525" s="1"/>
  <c r="G931" i="525"/>
  <c r="H931" i="525" s="1"/>
  <c r="G903" i="525"/>
  <c r="H903" i="525" s="1"/>
  <c r="G924" i="525"/>
  <c r="H924" i="525" s="1"/>
  <c r="G1005" i="525"/>
  <c r="H1005" i="525" s="1"/>
  <c r="G973" i="525"/>
  <c r="H973" i="525" s="1"/>
  <c r="G917" i="525"/>
  <c r="H917" i="525" s="1"/>
  <c r="J1878" i="525"/>
  <c r="F1873" i="525"/>
  <c r="C8704" i="527"/>
  <c r="F8655" i="527"/>
  <c r="H163" i="526"/>
  <c r="L477" i="523" s="1"/>
  <c r="AA6434" i="527"/>
  <c r="AC6434" i="527"/>
  <c r="H6434" i="527" s="1"/>
  <c r="I4588" i="527"/>
  <c r="F4588" i="527"/>
  <c r="D4155" i="527"/>
  <c r="F75" i="526"/>
  <c r="H375" i="523" s="1"/>
  <c r="I375" i="523" s="1"/>
  <c r="K1044" i="525"/>
  <c r="L1044" i="525" s="1"/>
  <c r="L1045" i="525" s="1"/>
  <c r="H146" i="524" s="1"/>
  <c r="L304" i="523" s="1"/>
  <c r="M304" i="523" s="1"/>
  <c r="L327" i="523"/>
  <c r="M327" i="523" s="1"/>
  <c r="I2639" i="527"/>
  <c r="D2639" i="527"/>
  <c r="C1076" i="527"/>
  <c r="E1089" i="527"/>
  <c r="K1049" i="525"/>
  <c r="L1049" i="525" s="1"/>
  <c r="L1050" i="525" s="1"/>
  <c r="H147" i="524" s="1"/>
  <c r="L302" i="523" s="1"/>
  <c r="M302" i="523" s="1"/>
  <c r="L321" i="523"/>
  <c r="M321" i="523" s="1"/>
  <c r="G2446" i="525"/>
  <c r="G2406" i="525"/>
  <c r="G2349" i="525"/>
  <c r="G2682" i="525"/>
  <c r="G2673" i="525"/>
  <c r="G2664" i="525"/>
  <c r="G2655" i="525"/>
  <c r="G2646" i="525"/>
  <c r="G2637" i="525"/>
  <c r="G2628" i="525"/>
  <c r="G2619" i="525"/>
  <c r="G2603" i="525"/>
  <c r="G2587" i="525"/>
  <c r="G2436" i="525"/>
  <c r="G2396" i="525"/>
  <c r="G2358" i="525"/>
  <c r="G2313" i="525"/>
  <c r="G2466" i="525"/>
  <c r="G2426" i="525"/>
  <c r="G2386" i="525"/>
  <c r="G2367" i="525"/>
  <c r="G2331" i="525"/>
  <c r="G2293" i="525"/>
  <c r="G2611" i="525"/>
  <c r="G2595" i="525"/>
  <c r="G2456" i="525"/>
  <c r="G2416" i="525"/>
  <c r="G2376" i="525"/>
  <c r="G2340" i="525"/>
  <c r="G2273" i="525"/>
  <c r="G2253" i="525"/>
  <c r="G2175" i="525"/>
  <c r="G1934" i="525"/>
  <c r="G1875" i="525"/>
  <c r="G1724" i="525"/>
  <c r="G1701" i="525"/>
  <c r="G1667" i="525"/>
  <c r="G2233" i="525"/>
  <c r="G2194" i="525"/>
  <c r="G1941" i="525"/>
  <c r="G1712" i="525"/>
  <c r="G2213" i="525"/>
  <c r="G1948" i="525"/>
  <c r="G1860" i="525"/>
  <c r="G1847" i="525"/>
  <c r="G1834" i="525"/>
  <c r="G1821" i="525"/>
  <c r="G1748" i="525"/>
  <c r="G1679" i="525"/>
  <c r="G2156" i="525"/>
  <c r="G1556" i="525"/>
  <c r="G1927" i="525"/>
  <c r="G1736" i="525"/>
  <c r="G1690" i="525"/>
  <c r="G1535" i="525"/>
  <c r="G1383" i="525"/>
  <c r="G786" i="525"/>
  <c r="G746" i="525"/>
  <c r="G606" i="525"/>
  <c r="G597" i="525"/>
  <c r="G588" i="525"/>
  <c r="G579" i="525"/>
  <c r="G570" i="525"/>
  <c r="G561" i="525"/>
  <c r="G545" i="525"/>
  <c r="G529" i="525"/>
  <c r="G493" i="525"/>
  <c r="G796" i="525"/>
  <c r="G756" i="525"/>
  <c r="G716" i="525"/>
  <c r="G520" i="525"/>
  <c r="G96" i="525"/>
  <c r="G834" i="525"/>
  <c r="G806" i="525"/>
  <c r="G766" i="525"/>
  <c r="G726" i="525"/>
  <c r="G553" i="525"/>
  <c r="G537" i="525"/>
  <c r="G511" i="525"/>
  <c r="G776" i="525"/>
  <c r="G736" i="525"/>
  <c r="G502" i="525"/>
  <c r="H192" i="523"/>
  <c r="L2037" i="525"/>
  <c r="H276" i="524" s="1"/>
  <c r="F2035" i="525"/>
  <c r="G162" i="523"/>
  <c r="F2036" i="525"/>
  <c r="J2037" i="525"/>
  <c r="J1692" i="527"/>
  <c r="J1792" i="527"/>
  <c r="C3954" i="527"/>
  <c r="E3905" i="527"/>
  <c r="G70" i="526"/>
  <c r="C1026" i="527"/>
  <c r="E1039" i="527"/>
  <c r="K447" i="523"/>
  <c r="G447" i="523" s="1"/>
  <c r="F447" i="523"/>
  <c r="I5478" i="527"/>
  <c r="F5478" i="527"/>
  <c r="D5834" i="527"/>
  <c r="D5839" i="527" s="1"/>
  <c r="F5834" i="527"/>
  <c r="F5839" i="527" s="1"/>
  <c r="E5834" i="527"/>
  <c r="D4905" i="527"/>
  <c r="F90" i="526"/>
  <c r="H401" i="523" s="1"/>
  <c r="I401" i="523" s="1"/>
  <c r="J5082" i="527"/>
  <c r="F3305" i="527"/>
  <c r="H59" i="526"/>
  <c r="D905" i="527"/>
  <c r="F20" i="526"/>
  <c r="H345" i="523" s="1"/>
  <c r="I345" i="523" s="1"/>
  <c r="C476" i="527"/>
  <c r="E489" i="527"/>
  <c r="L2106" i="525"/>
  <c r="F2105" i="525"/>
  <c r="D6134" i="527"/>
  <c r="D6139" i="527" s="1"/>
  <c r="F6134" i="527"/>
  <c r="F6139" i="527" s="1"/>
  <c r="E6134" i="527"/>
  <c r="C8418" i="527"/>
  <c r="E8454" i="527"/>
  <c r="F8605" i="527"/>
  <c r="C8654" i="527"/>
  <c r="H162" i="526"/>
  <c r="L475" i="523" s="1"/>
  <c r="C7406" i="527"/>
  <c r="F454" i="523"/>
  <c r="K454" i="523"/>
  <c r="G454" i="523" s="1"/>
  <c r="D4855" i="527"/>
  <c r="F89" i="526"/>
  <c r="H400" i="523" s="1"/>
  <c r="I400" i="523" s="1"/>
  <c r="C2726" i="527"/>
  <c r="E2742" i="527"/>
  <c r="C526" i="527"/>
  <c r="E539" i="527"/>
  <c r="J1533" i="525"/>
  <c r="F1803" i="525"/>
  <c r="G1541" i="525"/>
  <c r="H1541" i="525" s="1"/>
  <c r="G1389" i="525"/>
  <c r="H1389" i="525" s="1"/>
  <c r="G1562" i="525"/>
  <c r="H1562" i="525" s="1"/>
  <c r="AC6184" i="527"/>
  <c r="H6184" i="527" s="1"/>
  <c r="AA6184" i="527"/>
  <c r="E4031" i="527"/>
  <c r="C4023" i="527"/>
  <c r="B8486" i="527"/>
  <c r="J5382" i="527"/>
  <c r="E5255" i="527"/>
  <c r="G97" i="526"/>
  <c r="J396" i="523" s="1"/>
  <c r="K450" i="523"/>
  <c r="G450" i="523" s="1"/>
  <c r="F450" i="523"/>
  <c r="I5128" i="527"/>
  <c r="F5128" i="527"/>
  <c r="J485" i="527"/>
  <c r="C5705" i="527"/>
  <c r="E106" i="526"/>
  <c r="J7985" i="527"/>
  <c r="C4725" i="527"/>
  <c r="E4733" i="527"/>
  <c r="E3804" i="527"/>
  <c r="C3791" i="527"/>
  <c r="F655" i="527"/>
  <c r="H15" i="526"/>
  <c r="L352" i="523" s="1"/>
  <c r="M352" i="523" s="1"/>
  <c r="C226" i="527"/>
  <c r="E235" i="527"/>
  <c r="C8904" i="527"/>
  <c r="F8855" i="527"/>
  <c r="H167" i="526"/>
  <c r="L481" i="523" s="1"/>
  <c r="E7083" i="527"/>
  <c r="C7075" i="527"/>
  <c r="J5432" i="527"/>
  <c r="J5182" i="527"/>
  <c r="E4081" i="527"/>
  <c r="C4073" i="527"/>
  <c r="C1876" i="527"/>
  <c r="L1626" i="525"/>
  <c r="F1625" i="525"/>
  <c r="J1483" i="525"/>
  <c r="F1483" i="525" s="1"/>
  <c r="E1483" i="525"/>
  <c r="E1490" i="525"/>
  <c r="J1490" i="525"/>
  <c r="F1490" i="525" s="1"/>
  <c r="B1787" i="527"/>
  <c r="I8239" i="527"/>
  <c r="F8239" i="527"/>
  <c r="K456" i="523"/>
  <c r="G456" i="523" s="1"/>
  <c r="F456" i="523"/>
  <c r="I4978" i="527"/>
  <c r="F4978" i="527"/>
  <c r="C6005" i="527"/>
  <c r="E112" i="526"/>
  <c r="F1796" i="525"/>
  <c r="D3698" i="527"/>
  <c r="D3700" i="527" s="1"/>
  <c r="D3704" i="527" s="1"/>
  <c r="D3754" i="527" s="1"/>
  <c r="C3692" i="527"/>
  <c r="B3692" i="527" s="1"/>
  <c r="D4005" i="527"/>
  <c r="F72" i="526"/>
  <c r="H378" i="523" s="1"/>
  <c r="I378" i="523" s="1"/>
  <c r="AC6084" i="527"/>
  <c r="H6084" i="527" s="1"/>
  <c r="AA6084" i="527"/>
  <c r="C1576" i="527"/>
  <c r="G229" i="524"/>
  <c r="J233" i="523" s="1"/>
  <c r="J835" i="525"/>
  <c r="J2552" i="525"/>
  <c r="E5036" i="527"/>
  <c r="C5025" i="527"/>
  <c r="C4004" i="527"/>
  <c r="E3955" i="527"/>
  <c r="G71" i="526"/>
  <c r="J7835" i="527"/>
  <c r="C7604" i="527"/>
  <c r="E7505" i="527"/>
  <c r="G141" i="526"/>
  <c r="I5328" i="527"/>
  <c r="F5328" i="527"/>
  <c r="C4825" i="527"/>
  <c r="E4833" i="527"/>
  <c r="D4055" i="527"/>
  <c r="F73" i="526"/>
  <c r="H379" i="523" s="1"/>
  <c r="I379" i="523" s="1"/>
  <c r="K1268" i="525"/>
  <c r="L1268" i="525" s="1"/>
  <c r="L1271" i="525" s="1"/>
  <c r="H179" i="524" s="1"/>
  <c r="L104" i="523" s="1"/>
  <c r="M104" i="523" s="1"/>
  <c r="K1244" i="525"/>
  <c r="L1244" i="525" s="1"/>
  <c r="L1247" i="525" s="1"/>
  <c r="H175" i="524" s="1"/>
  <c r="L100" i="523" s="1"/>
  <c r="M100" i="523" s="1"/>
  <c r="K1274" i="525"/>
  <c r="L1274" i="525" s="1"/>
  <c r="L1277" i="525" s="1"/>
  <c r="H180" i="524" s="1"/>
  <c r="L105" i="523" s="1"/>
  <c r="M105" i="523" s="1"/>
  <c r="K1250" i="525"/>
  <c r="L1250" i="525" s="1"/>
  <c r="L1253" i="525" s="1"/>
  <c r="H176" i="524" s="1"/>
  <c r="L101" i="523" s="1"/>
  <c r="M101" i="523" s="1"/>
  <c r="K1239" i="525"/>
  <c r="L1239" i="525" s="1"/>
  <c r="L1241" i="525" s="1"/>
  <c r="H174" i="524" s="1"/>
  <c r="L108" i="523" s="1"/>
  <c r="M108" i="523" s="1"/>
  <c r="K1280" i="525"/>
  <c r="L1280" i="525" s="1"/>
  <c r="L1282" i="525" s="1"/>
  <c r="H181" i="524" s="1"/>
  <c r="L109" i="523" s="1"/>
  <c r="M109" i="523" s="1"/>
  <c r="K1256" i="525"/>
  <c r="L1256" i="525" s="1"/>
  <c r="L1259" i="525" s="1"/>
  <c r="H177" i="524" s="1"/>
  <c r="L102" i="523" s="1"/>
  <c r="M102" i="523" s="1"/>
  <c r="K1234" i="525"/>
  <c r="L1234" i="525" s="1"/>
  <c r="L1236" i="525" s="1"/>
  <c r="H173" i="524" s="1"/>
  <c r="L107" i="523" s="1"/>
  <c r="M107" i="523" s="1"/>
  <c r="K1262" i="525"/>
  <c r="L1262" i="525" s="1"/>
  <c r="L1265" i="525" s="1"/>
  <c r="H178" i="524" s="1"/>
  <c r="L103" i="523" s="1"/>
  <c r="M103" i="523" s="1"/>
  <c r="K1229" i="525"/>
  <c r="L1229" i="525" s="1"/>
  <c r="L1231" i="525" s="1"/>
  <c r="H172" i="524" s="1"/>
  <c r="L106" i="523" s="1"/>
  <c r="M106" i="523" s="1"/>
  <c r="C676" i="527"/>
  <c r="E689" i="527"/>
  <c r="E1650" i="525"/>
  <c r="H1650" i="525"/>
  <c r="F1650" i="525" s="1"/>
  <c r="I1492" i="527"/>
  <c r="D1492" i="527"/>
  <c r="C1492" i="527" s="1"/>
  <c r="K2004" i="525"/>
  <c r="L2004" i="525" s="1"/>
  <c r="L2006" i="525" s="1"/>
  <c r="H271" i="524" s="1"/>
  <c r="L368" i="523" s="1"/>
  <c r="M368" i="523" s="1"/>
  <c r="K2016" i="525"/>
  <c r="L2016" i="525" s="1"/>
  <c r="L2018" i="525" s="1"/>
  <c r="H273" i="524" s="1"/>
  <c r="L370" i="523" s="1"/>
  <c r="M370" i="523" s="1"/>
  <c r="K1994" i="525"/>
  <c r="L1994" i="525" s="1"/>
  <c r="L1995" i="525" s="1"/>
  <c r="H269" i="524" s="1"/>
  <c r="L372" i="523" s="1"/>
  <c r="M372" i="523" s="1"/>
  <c r="C6805" i="527"/>
  <c r="E128" i="526"/>
  <c r="AC6384" i="527"/>
  <c r="H6384" i="527" s="1"/>
  <c r="AA6384" i="527"/>
  <c r="I4638" i="527"/>
  <c r="F4638" i="527"/>
  <c r="I3039" i="527"/>
  <c r="D3039" i="527"/>
  <c r="G1252" i="525"/>
  <c r="C3554" i="527"/>
  <c r="E3505" i="527"/>
  <c r="G63" i="526"/>
  <c r="J239" i="523" s="1"/>
  <c r="J635" i="527"/>
  <c r="AC92" i="527"/>
  <c r="B82" i="527"/>
  <c r="AJ90" i="527"/>
  <c r="Z90" i="527"/>
  <c r="J99" i="525"/>
  <c r="F3225" i="527"/>
  <c r="F3254" i="527" s="1"/>
  <c r="C7676" i="527"/>
  <c r="E7685" i="527"/>
  <c r="E6884" i="527"/>
  <c r="D6884" i="527"/>
  <c r="D6889" i="527" s="1"/>
  <c r="F6884" i="527"/>
  <c r="F6889" i="527" s="1"/>
  <c r="AC5784" i="527"/>
  <c r="H5784" i="527" s="1"/>
  <c r="AA5784" i="527"/>
  <c r="C4574" i="527"/>
  <c r="C6255" i="527"/>
  <c r="E117" i="526"/>
  <c r="E2893" i="527"/>
  <c r="C2876" i="527"/>
  <c r="C1676" i="527"/>
  <c r="C2626" i="527"/>
  <c r="E2643" i="527"/>
  <c r="E7939" i="527"/>
  <c r="C7926" i="527"/>
  <c r="F7455" i="527"/>
  <c r="H140" i="526"/>
  <c r="F6934" i="527"/>
  <c r="F6939" i="527" s="1"/>
  <c r="E6934" i="527"/>
  <c r="D6934" i="527"/>
  <c r="D6939" i="527" s="1"/>
  <c r="D4805" i="527"/>
  <c r="F88" i="526"/>
  <c r="H389" i="523" s="1"/>
  <c r="I389" i="523" s="1"/>
  <c r="C4324" i="527"/>
  <c r="E5086" i="527"/>
  <c r="C5075" i="527"/>
  <c r="C3854" i="527"/>
  <c r="E3805" i="527"/>
  <c r="G68" i="526"/>
  <c r="D2690" i="527"/>
  <c r="C2688" i="527"/>
  <c r="B2688" i="527" s="1"/>
  <c r="F455" i="527"/>
  <c r="H11" i="526"/>
  <c r="L348" i="523" s="1"/>
  <c r="M348" i="523" s="1"/>
  <c r="F1040" i="525"/>
  <c r="E145" i="524" s="1"/>
  <c r="G145" i="524"/>
  <c r="H115" i="524"/>
  <c r="F829" i="525"/>
  <c r="E115" i="524" s="1"/>
  <c r="G284" i="524"/>
  <c r="J229" i="523" s="1"/>
  <c r="C4674" i="527"/>
  <c r="E7605" i="527"/>
  <c r="G142" i="526"/>
  <c r="F458" i="523"/>
  <c r="K458" i="523"/>
  <c r="G458" i="523" s="1"/>
  <c r="I5528" i="527"/>
  <c r="F5528" i="527"/>
  <c r="D4755" i="527"/>
  <c r="F87" i="526"/>
  <c r="H388" i="523" s="1"/>
  <c r="I388" i="523" s="1"/>
  <c r="C4223" i="527"/>
  <c r="E4231" i="527"/>
  <c r="C3423" i="527"/>
  <c r="B3423" i="527" s="1"/>
  <c r="C3368" i="527"/>
  <c r="B3368" i="527" s="1"/>
  <c r="E3370" i="527"/>
  <c r="C1476" i="527"/>
  <c r="E885" i="527"/>
  <c r="C876" i="527"/>
  <c r="G2078" i="525"/>
  <c r="G1656" i="525"/>
  <c r="G2093" i="525"/>
  <c r="G2088" i="525"/>
  <c r="G2083" i="525"/>
  <c r="G1647" i="525"/>
  <c r="G1639" i="525"/>
  <c r="C4474" i="527"/>
  <c r="J34" i="527"/>
  <c r="G56" i="525"/>
  <c r="H56" i="525" s="1"/>
  <c r="E6584" i="527"/>
  <c r="D6584" i="527"/>
  <c r="D6589" i="527" s="1"/>
  <c r="F6584" i="527"/>
  <c r="F6589" i="527" s="1"/>
  <c r="F6534" i="527"/>
  <c r="F6539" i="527" s="1"/>
  <c r="E6534" i="527"/>
  <c r="D6534" i="527"/>
  <c r="D6539" i="527" s="1"/>
  <c r="I4176" i="527"/>
  <c r="F4176" i="527"/>
  <c r="H467" i="525"/>
  <c r="F69" i="524" s="1"/>
  <c r="H200" i="523" s="1"/>
  <c r="I200" i="523" s="1"/>
  <c r="K451" i="523"/>
  <c r="G451" i="523" s="1"/>
  <c r="F451" i="523"/>
  <c r="F1921" i="525"/>
  <c r="L1922" i="525"/>
  <c r="F7755" i="527"/>
  <c r="H145" i="526"/>
  <c r="L364" i="523" s="1"/>
  <c r="M364" i="523" s="1"/>
  <c r="F205" i="527"/>
  <c r="H6" i="526"/>
  <c r="L354" i="523" s="1"/>
  <c r="M354" i="523" s="1"/>
  <c r="E7989" i="527"/>
  <c r="C7976" i="527"/>
  <c r="F7805" i="527"/>
  <c r="H146" i="526"/>
  <c r="L359" i="523" s="1"/>
  <c r="M359" i="523" s="1"/>
  <c r="I4928" i="527"/>
  <c r="F4928" i="527"/>
  <c r="F1855" i="527"/>
  <c r="H34" i="526"/>
  <c r="L311" i="523" s="1"/>
  <c r="M311" i="523" s="1"/>
  <c r="D755" i="527"/>
  <c r="F17" i="526"/>
  <c r="H343" i="523" s="1"/>
  <c r="I343" i="523" s="1"/>
  <c r="H9" i="526"/>
  <c r="F355" i="527"/>
  <c r="C7876" i="527"/>
  <c r="E7889" i="527"/>
  <c r="C4273" i="527"/>
  <c r="E4281" i="527"/>
  <c r="E2389" i="527"/>
  <c r="C2376" i="527"/>
  <c r="K452" i="523"/>
  <c r="G452" i="523" s="1"/>
  <c r="F452" i="523"/>
  <c r="F453" i="523"/>
  <c r="K453" i="523"/>
  <c r="G453" i="523" s="1"/>
  <c r="D5734" i="527"/>
  <c r="D5739" i="527" s="1"/>
  <c r="F5734" i="527"/>
  <c r="F5739" i="527" s="1"/>
  <c r="E5734" i="527"/>
  <c r="C5755" i="527"/>
  <c r="E107" i="526"/>
  <c r="I4878" i="527"/>
  <c r="F4878" i="527"/>
  <c r="D4205" i="527"/>
  <c r="F76" i="526"/>
  <c r="H376" i="523" s="1"/>
  <c r="I376" i="523" s="1"/>
  <c r="C6105" i="527"/>
  <c r="E114" i="526"/>
  <c r="H328" i="524"/>
  <c r="F2561" i="525"/>
  <c r="E328" i="524" s="1"/>
  <c r="D7232" i="527"/>
  <c r="D7235" i="527" s="1"/>
  <c r="D7254" i="527" s="1"/>
  <c r="C7225" i="527"/>
  <c r="D9005" i="527"/>
  <c r="F170" i="526"/>
  <c r="I2838" i="527"/>
  <c r="D2838" i="527"/>
  <c r="J2031" i="527"/>
  <c r="J2231" i="527"/>
  <c r="J1931" i="527"/>
  <c r="J2181" i="527"/>
  <c r="J1881" i="527"/>
  <c r="J1381" i="527"/>
  <c r="J2131" i="527"/>
  <c r="K470" i="523"/>
  <c r="G470" i="523" s="1"/>
  <c r="F470" i="523"/>
  <c r="I5378" i="527"/>
  <c r="F5378" i="527"/>
  <c r="I1085" i="527"/>
  <c r="D1085" i="527"/>
  <c r="F74" i="525"/>
  <c r="L75" i="525"/>
  <c r="G2495" i="525"/>
  <c r="H2495" i="525" s="1"/>
  <c r="G2311" i="525"/>
  <c r="H2311" i="525" s="1"/>
  <c r="G2507" i="525"/>
  <c r="H2507" i="525" s="1"/>
  <c r="G2291" i="525"/>
  <c r="H2291" i="525" s="1"/>
  <c r="G2519" i="525"/>
  <c r="H2519" i="525" s="1"/>
  <c r="G2271" i="525"/>
  <c r="H2271" i="525" s="1"/>
  <c r="G2251" i="525"/>
  <c r="H2251" i="525" s="1"/>
  <c r="G2173" i="525"/>
  <c r="H2173" i="525" s="1"/>
  <c r="G2231" i="525"/>
  <c r="H2231" i="525" s="1"/>
  <c r="G2192" i="525"/>
  <c r="H2192" i="525" s="1"/>
  <c r="G2211" i="525"/>
  <c r="H2211" i="525" s="1"/>
  <c r="G1958" i="525"/>
  <c r="H1958" i="525" s="1"/>
  <c r="G2154" i="525"/>
  <c r="H2154" i="525" s="1"/>
  <c r="G1530" i="525"/>
  <c r="H1530" i="525" s="1"/>
  <c r="G1471" i="525"/>
  <c r="H1471" i="525" s="1"/>
  <c r="G1378" i="525"/>
  <c r="H1378" i="525" s="1"/>
  <c r="G1551" i="525"/>
  <c r="H1551" i="525" s="1"/>
  <c r="G1458" i="525"/>
  <c r="H1458" i="525" s="1"/>
  <c r="G1446" i="525"/>
  <c r="H1446" i="525" s="1"/>
  <c r="G420" i="525"/>
  <c r="H420" i="525" s="1"/>
  <c r="G126" i="525"/>
  <c r="H126" i="525" s="1"/>
  <c r="G110" i="525"/>
  <c r="H110" i="525" s="1"/>
  <c r="G432" i="525"/>
  <c r="H432" i="525" s="1"/>
  <c r="G408" i="525"/>
  <c r="H408" i="525" s="1"/>
  <c r="G179" i="525"/>
  <c r="H179" i="525" s="1"/>
  <c r="G170" i="525"/>
  <c r="H170" i="525" s="1"/>
  <c r="G161" i="525"/>
  <c r="H161" i="525" s="1"/>
  <c r="G152" i="525"/>
  <c r="H152" i="525" s="1"/>
  <c r="G143" i="525"/>
  <c r="H143" i="525" s="1"/>
  <c r="G134" i="525"/>
  <c r="H134" i="525" s="1"/>
  <c r="G118" i="525"/>
  <c r="H118" i="525" s="1"/>
  <c r="F176" i="523"/>
  <c r="K176" i="523"/>
  <c r="G176" i="523" s="1"/>
  <c r="G227" i="524"/>
  <c r="J234" i="523" s="1"/>
  <c r="I7885" i="527"/>
  <c r="D7885" i="527"/>
  <c r="I4276" i="527"/>
  <c r="F4276" i="527"/>
  <c r="E1402" i="525"/>
  <c r="J1402" i="525"/>
  <c r="F1402" i="525" s="1"/>
  <c r="J3099" i="527"/>
  <c r="G58" i="525"/>
  <c r="H58" i="525" s="1"/>
  <c r="C7826" i="527"/>
  <c r="E7839" i="527"/>
  <c r="I5428" i="527"/>
  <c r="F5428" i="527"/>
  <c r="C5605" i="527"/>
  <c r="E104" i="526"/>
  <c r="F5280" i="527"/>
  <c r="C5278" i="527"/>
  <c r="B5278" i="527" s="1"/>
  <c r="F26" i="530"/>
  <c r="E6" i="529" s="1"/>
  <c r="G6" i="529"/>
  <c r="J1409" i="525"/>
  <c r="F1409" i="525" s="1"/>
  <c r="E1409" i="525"/>
  <c r="J5132" i="527"/>
  <c r="K466" i="523"/>
  <c r="G466" i="523" s="1"/>
  <c r="F466" i="523"/>
  <c r="C1326" i="527"/>
  <c r="E1339" i="527"/>
  <c r="G196" i="525"/>
  <c r="H196" i="525" s="1"/>
  <c r="G188" i="525"/>
  <c r="H188" i="525" s="1"/>
  <c r="G212" i="525"/>
  <c r="H212" i="525" s="1"/>
  <c r="G204" i="525"/>
  <c r="H204" i="525" s="1"/>
  <c r="K464" i="523"/>
  <c r="G464" i="523" s="1"/>
  <c r="F464" i="523"/>
  <c r="I5178" i="527"/>
  <c r="F5178" i="527"/>
  <c r="F905" i="527"/>
  <c r="H20" i="526"/>
  <c r="L345" i="523" s="1"/>
  <c r="M345" i="523" s="1"/>
  <c r="C576" i="527"/>
  <c r="E589" i="527"/>
  <c r="C38" i="527"/>
  <c r="B38" i="527" s="1"/>
  <c r="D4255" i="527"/>
  <c r="F77" i="526"/>
  <c r="H377" i="523" s="1"/>
  <c r="I377" i="523" s="1"/>
  <c r="J1498" i="525"/>
  <c r="F1498" i="525" s="1"/>
  <c r="E1498" i="525"/>
  <c r="I1592" i="527"/>
  <c r="D1592" i="527"/>
  <c r="C1592" i="527" s="1"/>
  <c r="J8244" i="527"/>
  <c r="C5805" i="527"/>
  <c r="E108" i="526"/>
  <c r="E2704" i="527"/>
  <c r="I535" i="527"/>
  <c r="D535" i="527"/>
  <c r="F1789" i="525"/>
  <c r="I4026" i="527"/>
  <c r="F4026" i="527"/>
  <c r="I2988" i="527"/>
  <c r="D2988" i="527"/>
  <c r="C2226" i="527"/>
  <c r="F4" i="529"/>
  <c r="E6784" i="527"/>
  <c r="D6784" i="527"/>
  <c r="D6789" i="527" s="1"/>
  <c r="F6784" i="527"/>
  <c r="F6789" i="527" s="1"/>
  <c r="I5578" i="527"/>
  <c r="F5578" i="527"/>
  <c r="I2889" i="527"/>
  <c r="D2889" i="527"/>
  <c r="C1276" i="527"/>
  <c r="E1289" i="527"/>
  <c r="J465" i="525"/>
  <c r="J2547" i="525"/>
  <c r="E7785" i="527"/>
  <c r="C7776" i="527"/>
  <c r="J1335" i="527"/>
  <c r="C8268" i="527"/>
  <c r="E8304" i="527"/>
  <c r="D8105" i="527"/>
  <c r="F152" i="526"/>
  <c r="F122" i="530"/>
  <c r="E20" i="529" s="1"/>
  <c r="G20" i="529"/>
  <c r="AC5884" i="527"/>
  <c r="H5884" i="527" s="1"/>
  <c r="AA5884" i="527"/>
  <c r="C5655" i="527"/>
  <c r="E105" i="526"/>
  <c r="D4705" i="527"/>
  <c r="F86" i="526"/>
  <c r="H387" i="523" s="1"/>
  <c r="I387" i="523" s="1"/>
  <c r="C4524" i="527"/>
  <c r="I4076" i="527"/>
  <c r="F4076" i="527"/>
  <c r="J585" i="527"/>
  <c r="G283" i="524"/>
  <c r="J228" i="523" s="1"/>
  <c r="C6055" i="527"/>
  <c r="E113" i="526"/>
  <c r="F448" i="523"/>
  <c r="K448" i="523"/>
  <c r="G448" i="523" s="1"/>
  <c r="K471" i="523"/>
  <c r="G471" i="523" s="1"/>
  <c r="F471" i="523"/>
  <c r="G1258" i="525"/>
  <c r="G1276" i="525"/>
  <c r="F1782" i="525"/>
  <c r="F115" i="530"/>
  <c r="E19" i="529" s="1"/>
  <c r="G19" i="529"/>
  <c r="K1594" i="527" s="1"/>
  <c r="C1126" i="527"/>
  <c r="E1139" i="527"/>
  <c r="C8804" i="527"/>
  <c r="F8755" i="527"/>
  <c r="H165" i="526"/>
  <c r="L478" i="523" s="1"/>
  <c r="AC6284" i="527"/>
  <c r="H6284" i="527" s="1"/>
  <c r="AA6284" i="527"/>
  <c r="G1044" i="525"/>
  <c r="H1044" i="525" s="1"/>
  <c r="H1045" i="525" s="1"/>
  <c r="F146" i="524" s="1"/>
  <c r="H304" i="523" s="1"/>
  <c r="I304" i="523" s="1"/>
  <c r="H327" i="523"/>
  <c r="I327" i="523" s="1"/>
  <c r="C1376" i="527"/>
  <c r="I2789" i="527"/>
  <c r="D2789" i="527"/>
  <c r="D7755" i="527"/>
  <c r="F145" i="526"/>
  <c r="H364" i="523" s="1"/>
  <c r="I364" i="523" s="1"/>
  <c r="F3255" i="527"/>
  <c r="H58" i="526"/>
  <c r="F1005" i="527"/>
  <c r="H22" i="526"/>
  <c r="L334" i="523" s="1"/>
  <c r="M334" i="523" s="1"/>
  <c r="F8141" i="527"/>
  <c r="C8139" i="527"/>
  <c r="B8139" i="527" s="1"/>
  <c r="F8805" i="527"/>
  <c r="C8854" i="527"/>
  <c r="H166" i="526"/>
  <c r="L479" i="523" s="1"/>
  <c r="E5186" i="527"/>
  <c r="C5175" i="527"/>
  <c r="I4828" i="527"/>
  <c r="F4828" i="527"/>
  <c r="I4538" i="527"/>
  <c r="F4538" i="527"/>
  <c r="D5934" i="527"/>
  <c r="D5939" i="527" s="1"/>
  <c r="F5934" i="527"/>
  <c r="F5939" i="527" s="1"/>
  <c r="E5934" i="527"/>
  <c r="D6034" i="527"/>
  <c r="D6039" i="527" s="1"/>
  <c r="F6034" i="527"/>
  <c r="F6039" i="527" s="1"/>
  <c r="E6034" i="527"/>
  <c r="C2026" i="527"/>
  <c r="J385" i="527"/>
  <c r="I2588" i="527"/>
  <c r="D2588" i="527"/>
  <c r="K206" i="523"/>
  <c r="G2097" i="525"/>
  <c r="G1532" i="525"/>
  <c r="G1380" i="525"/>
  <c r="G1553" i="525"/>
  <c r="G2010" i="525"/>
  <c r="H2010" i="525" s="1"/>
  <c r="G1999" i="525"/>
  <c r="H1999" i="525" s="1"/>
  <c r="H2000" i="525" s="1"/>
  <c r="F270" i="524" s="1"/>
  <c r="H371" i="523" s="1"/>
  <c r="I371" i="523" s="1"/>
  <c r="G2022" i="525"/>
  <c r="H2022" i="525" s="1"/>
  <c r="F7232" i="527"/>
  <c r="F7235" i="527" s="1"/>
  <c r="F7254" i="527" s="1"/>
  <c r="C7229" i="527"/>
  <c r="B7229" i="527" s="1"/>
  <c r="E8039" i="527"/>
  <c r="C8026" i="527"/>
  <c r="I4778" i="527"/>
  <c r="F4778" i="527"/>
  <c r="I4438" i="527"/>
  <c r="F4438" i="527"/>
  <c r="F469" i="523"/>
  <c r="K469" i="523"/>
  <c r="G469" i="523" s="1"/>
  <c r="F3429" i="527"/>
  <c r="F3441" i="527" s="1"/>
  <c r="F3454" i="527" s="1"/>
  <c r="E2438" i="527"/>
  <c r="C2426" i="527"/>
  <c r="I735" i="527"/>
  <c r="D735" i="527"/>
  <c r="C426" i="527"/>
  <c r="E439" i="527"/>
  <c r="L822" i="525"/>
  <c r="F821" i="525"/>
  <c r="F1925" i="525"/>
  <c r="J1929" i="525"/>
  <c r="F1769" i="525"/>
  <c r="C7628" i="527"/>
  <c r="B7628" i="527" s="1"/>
  <c r="F7631" i="527"/>
  <c r="E2842" i="527"/>
  <c r="C2826" i="527"/>
  <c r="F83" i="530"/>
  <c r="E14" i="529" s="1"/>
  <c r="G14" i="529"/>
  <c r="K9029" i="527" s="1"/>
  <c r="C2176" i="527"/>
  <c r="I985" i="527"/>
  <c r="D985" i="527"/>
  <c r="I4388" i="527"/>
  <c r="F4388" i="527"/>
  <c r="C4173" i="527"/>
  <c r="E4181" i="527"/>
  <c r="D5634" i="527"/>
  <c r="D5639" i="527" s="1"/>
  <c r="F5634" i="527"/>
  <c r="F5639" i="527" s="1"/>
  <c r="E5634" i="527"/>
  <c r="F1305" i="527"/>
  <c r="H28" i="526"/>
  <c r="L341" i="523" s="1"/>
  <c r="M341" i="523" s="1"/>
  <c r="C8368" i="527"/>
  <c r="E8404" i="527"/>
  <c r="E5336" i="527"/>
  <c r="C5325" i="527"/>
  <c r="C6155" i="527"/>
  <c r="E115" i="526"/>
  <c r="I4338" i="527"/>
  <c r="F4338" i="527"/>
  <c r="E2338" i="527"/>
  <c r="C2326" i="527"/>
  <c r="C1483" i="527"/>
  <c r="B1483" i="527" s="1"/>
  <c r="F555" i="527"/>
  <c r="H13" i="526"/>
  <c r="C826" i="527"/>
  <c r="E835" i="527"/>
  <c r="K2010" i="525"/>
  <c r="L2010" i="525" s="1"/>
  <c r="L2012" i="525" s="1"/>
  <c r="H272" i="524" s="1"/>
  <c r="L367" i="523" s="1"/>
  <c r="M367" i="523" s="1"/>
  <c r="K1999" i="525"/>
  <c r="L1999" i="525" s="1"/>
  <c r="L2000" i="525" s="1"/>
  <c r="H270" i="524" s="1"/>
  <c r="L371" i="523" s="1"/>
  <c r="M371" i="523" s="1"/>
  <c r="K2022" i="525"/>
  <c r="L2022" i="525" s="1"/>
  <c r="L2024" i="525" s="1"/>
  <c r="H274" i="524" s="1"/>
  <c r="L369" i="523" s="1"/>
  <c r="M369" i="523" s="1"/>
  <c r="E7033" i="527"/>
  <c r="C7025" i="527"/>
  <c r="D6234" i="527"/>
  <c r="D6239" i="527" s="1"/>
  <c r="F6234" i="527"/>
  <c r="F6239" i="527" s="1"/>
  <c r="E6234" i="527"/>
  <c r="I1235" i="527"/>
  <c r="D1235" i="527"/>
  <c r="C3696" i="527"/>
  <c r="B3696" i="527" s="1"/>
  <c r="F3698" i="527"/>
  <c r="F3700" i="527" s="1"/>
  <c r="F3704" i="527" s="1"/>
  <c r="F3754" i="527" s="1"/>
  <c r="C8184" i="527"/>
  <c r="E7304" i="527"/>
  <c r="C7272" i="527"/>
  <c r="C6505" i="527"/>
  <c r="E122" i="526"/>
  <c r="I4226" i="527"/>
  <c r="F4226" i="527"/>
  <c r="F605" i="527"/>
  <c r="H14" i="526"/>
  <c r="L350" i="523" s="1"/>
  <c r="M350" i="523" s="1"/>
  <c r="I435" i="527"/>
  <c r="D435" i="527"/>
  <c r="J1554" i="525"/>
  <c r="G286" i="524"/>
  <c r="J231" i="523" s="1"/>
  <c r="G181" i="523"/>
  <c r="F1763" i="525"/>
  <c r="B7225" i="527"/>
  <c r="F8993" i="527"/>
  <c r="C8990" i="527"/>
  <c r="B8990" i="527" s="1"/>
  <c r="I4488" i="527"/>
  <c r="F4488" i="527"/>
  <c r="J8527" i="527"/>
  <c r="J8477" i="527"/>
  <c r="E6484" i="527"/>
  <c r="D6484" i="527"/>
  <c r="D6489" i="527" s="1"/>
  <c r="F6484" i="527"/>
  <c r="F6489" i="527" s="1"/>
  <c r="C6305" i="527"/>
  <c r="E118" i="526"/>
  <c r="B4" i="449"/>
  <c r="D53" i="448"/>
  <c r="B56" i="448"/>
  <c r="B29" i="448"/>
  <c r="B28" i="448"/>
  <c r="F68" i="530" l="1"/>
  <c r="J69" i="530"/>
  <c r="F107" i="530"/>
  <c r="J108" i="530"/>
  <c r="F10" i="530"/>
  <c r="J11" i="530"/>
  <c r="B1592" i="527"/>
  <c r="D1499" i="527"/>
  <c r="D1511" i="527" s="1"/>
  <c r="D1554" i="527" s="1"/>
  <c r="D1455" i="527" s="1"/>
  <c r="G152" i="526"/>
  <c r="F47" i="530"/>
  <c r="J48" i="530"/>
  <c r="F7355" i="527"/>
  <c r="H139" i="526"/>
  <c r="L409" i="523" s="1"/>
  <c r="M409" i="523" s="1"/>
  <c r="F2005" i="527"/>
  <c r="H36" i="526"/>
  <c r="L313" i="523" s="1"/>
  <c r="M313" i="523" s="1"/>
  <c r="F8505" i="527"/>
  <c r="H160" i="526"/>
  <c r="K895" i="525" s="1"/>
  <c r="L895" i="525" s="1"/>
  <c r="F100" i="530"/>
  <c r="J101" i="530"/>
  <c r="F128" i="530"/>
  <c r="J129" i="530"/>
  <c r="K2098" i="525"/>
  <c r="L206" i="523"/>
  <c r="F61" i="530"/>
  <c r="J62" i="530"/>
  <c r="F75" i="530"/>
  <c r="J76" i="530"/>
  <c r="J90" i="530"/>
  <c r="F89" i="530"/>
  <c r="C835" i="527"/>
  <c r="E854" i="527"/>
  <c r="E5354" i="527"/>
  <c r="E4204" i="527"/>
  <c r="D987" i="527"/>
  <c r="C985" i="527"/>
  <c r="B985" i="527" s="1"/>
  <c r="H114" i="524"/>
  <c r="L202" i="523" s="1"/>
  <c r="F822" i="525"/>
  <c r="E114" i="524" s="1"/>
  <c r="F4780" i="527"/>
  <c r="C4778" i="527"/>
  <c r="B4778" i="527" s="1"/>
  <c r="G2011" i="525"/>
  <c r="H2097" i="525"/>
  <c r="C4538" i="527"/>
  <c r="F4540" i="527"/>
  <c r="F4543" i="527" s="1"/>
  <c r="F4554" i="527" s="1"/>
  <c r="F6284" i="527"/>
  <c r="F6289" i="527" s="1"/>
  <c r="E6284" i="527"/>
  <c r="D6284" i="527"/>
  <c r="D6289" i="527" s="1"/>
  <c r="E1154" i="527"/>
  <c r="K8479" i="527"/>
  <c r="K8529" i="527"/>
  <c r="C8304" i="527"/>
  <c r="E8255" i="527"/>
  <c r="G155" i="526"/>
  <c r="D2891" i="527"/>
  <c r="C2889" i="527"/>
  <c r="B2889" i="527" s="1"/>
  <c r="J4679" i="527"/>
  <c r="J4629" i="527"/>
  <c r="J4579" i="527"/>
  <c r="J4529" i="527"/>
  <c r="J4479" i="527"/>
  <c r="J4429" i="527"/>
  <c r="J4379" i="527"/>
  <c r="J4329" i="527"/>
  <c r="D537" i="527"/>
  <c r="C535" i="527"/>
  <c r="E604" i="527"/>
  <c r="F5180" i="527"/>
  <c r="C5178" i="527"/>
  <c r="H198" i="525"/>
  <c r="F34" i="524" s="1"/>
  <c r="G2127" i="525" s="1"/>
  <c r="H2127" i="525" s="1"/>
  <c r="K197" i="525"/>
  <c r="D1087" i="527"/>
  <c r="C1085" i="527"/>
  <c r="I2131" i="527"/>
  <c r="D2131" i="527"/>
  <c r="I1931" i="527"/>
  <c r="D1931" i="527"/>
  <c r="F4880" i="527"/>
  <c r="C4878" i="527"/>
  <c r="E5739" i="527"/>
  <c r="C5739" i="527" s="1"/>
  <c r="C5734" i="527"/>
  <c r="B5734" i="527" s="1"/>
  <c r="E7904" i="527"/>
  <c r="E8004" i="527"/>
  <c r="C6534" i="527"/>
  <c r="B6534" i="527" s="1"/>
  <c r="E6539" i="527"/>
  <c r="C6539" i="527" s="1"/>
  <c r="E6589" i="527"/>
  <c r="C6589" i="527" s="1"/>
  <c r="C6584" i="527"/>
  <c r="B6584" i="527" s="1"/>
  <c r="H59" i="525"/>
  <c r="F15" i="524" s="1"/>
  <c r="H2088" i="525"/>
  <c r="C3370" i="527"/>
  <c r="E3372" i="527"/>
  <c r="E4254" i="527"/>
  <c r="K384" i="525"/>
  <c r="L384" i="525" s="1"/>
  <c r="L386" i="525" s="1"/>
  <c r="H59" i="524" s="1"/>
  <c r="L12" i="523" s="1"/>
  <c r="M12" i="523" s="1"/>
  <c r="K352" i="525"/>
  <c r="L352" i="525" s="1"/>
  <c r="L354" i="525" s="1"/>
  <c r="H55" i="524" s="1"/>
  <c r="L8" i="523" s="1"/>
  <c r="M8" i="523" s="1"/>
  <c r="K337" i="525"/>
  <c r="L337" i="525" s="1"/>
  <c r="L338" i="525" s="1"/>
  <c r="H53" i="524" s="1"/>
  <c r="L18" i="523" s="1"/>
  <c r="M18" i="523" s="1"/>
  <c r="K292" i="525"/>
  <c r="L292" i="525" s="1"/>
  <c r="L294" i="525" s="1"/>
  <c r="H47" i="524" s="1"/>
  <c r="L24" i="523" s="1"/>
  <c r="M24" i="523" s="1"/>
  <c r="K260" i="525"/>
  <c r="L260" i="525" s="1"/>
  <c r="L262" i="525" s="1"/>
  <c r="H43" i="524" s="1"/>
  <c r="L20" i="523" s="1"/>
  <c r="M20" i="523" s="1"/>
  <c r="K245" i="525"/>
  <c r="L245" i="525" s="1"/>
  <c r="L246" i="525" s="1"/>
  <c r="H41" i="524" s="1"/>
  <c r="L30" i="523" s="1"/>
  <c r="M30" i="523" s="1"/>
  <c r="K392" i="525"/>
  <c r="L392" i="525" s="1"/>
  <c r="L394" i="525" s="1"/>
  <c r="H60" i="524" s="1"/>
  <c r="L13" i="523" s="1"/>
  <c r="M13" i="523" s="1"/>
  <c r="K360" i="525"/>
  <c r="L360" i="525" s="1"/>
  <c r="L362" i="525" s="1"/>
  <c r="H56" i="524" s="1"/>
  <c r="L9" i="523" s="1"/>
  <c r="M9" i="523" s="1"/>
  <c r="K330" i="525"/>
  <c r="L330" i="525" s="1"/>
  <c r="L331" i="525" s="1"/>
  <c r="H52" i="524" s="1"/>
  <c r="L17" i="523" s="1"/>
  <c r="M17" i="523" s="1"/>
  <c r="K300" i="525"/>
  <c r="L300" i="525" s="1"/>
  <c r="L302" i="525" s="1"/>
  <c r="H48" i="524" s="1"/>
  <c r="L25" i="523" s="1"/>
  <c r="M25" i="523" s="1"/>
  <c r="K268" i="525"/>
  <c r="L268" i="525" s="1"/>
  <c r="L270" i="525" s="1"/>
  <c r="H44" i="524" s="1"/>
  <c r="L21" i="523" s="1"/>
  <c r="M21" i="523" s="1"/>
  <c r="K238" i="525"/>
  <c r="L238" i="525" s="1"/>
  <c r="L239" i="525" s="1"/>
  <c r="H40" i="524" s="1"/>
  <c r="L29" i="523" s="1"/>
  <c r="M29" i="523" s="1"/>
  <c r="K400" i="525"/>
  <c r="L400" i="525" s="1"/>
  <c r="L402" i="525" s="1"/>
  <c r="H61" i="524" s="1"/>
  <c r="L14" i="523" s="1"/>
  <c r="M14" i="523" s="1"/>
  <c r="K368" i="525"/>
  <c r="L368" i="525" s="1"/>
  <c r="L370" i="525" s="1"/>
  <c r="H57" i="524" s="1"/>
  <c r="L10" i="523" s="1"/>
  <c r="M10" i="523" s="1"/>
  <c r="K323" i="525"/>
  <c r="L323" i="525" s="1"/>
  <c r="L324" i="525" s="1"/>
  <c r="H51" i="524" s="1"/>
  <c r="L16" i="523" s="1"/>
  <c r="M16" i="523" s="1"/>
  <c r="K308" i="525"/>
  <c r="L308" i="525" s="1"/>
  <c r="L310" i="525" s="1"/>
  <c r="H49" i="524" s="1"/>
  <c r="L26" i="523" s="1"/>
  <c r="M26" i="523" s="1"/>
  <c r="K276" i="525"/>
  <c r="L276" i="525" s="1"/>
  <c r="L278" i="525" s="1"/>
  <c r="H45" i="524" s="1"/>
  <c r="L22" i="523" s="1"/>
  <c r="M22" i="523" s="1"/>
  <c r="K231" i="525"/>
  <c r="L231" i="525" s="1"/>
  <c r="L232" i="525" s="1"/>
  <c r="H39" i="524" s="1"/>
  <c r="L28" i="523" s="1"/>
  <c r="M28" i="523" s="1"/>
  <c r="K376" i="525"/>
  <c r="L376" i="525" s="1"/>
  <c r="L378" i="525" s="1"/>
  <c r="H58" i="524" s="1"/>
  <c r="L11" i="523" s="1"/>
  <c r="M11" i="523" s="1"/>
  <c r="K344" i="525"/>
  <c r="L344" i="525" s="1"/>
  <c r="L346" i="525" s="1"/>
  <c r="H54" i="524" s="1"/>
  <c r="L7" i="523" s="1"/>
  <c r="M7" i="523" s="1"/>
  <c r="K316" i="525"/>
  <c r="L316" i="525" s="1"/>
  <c r="L317" i="525" s="1"/>
  <c r="H50" i="524" s="1"/>
  <c r="L15" i="523" s="1"/>
  <c r="M15" i="523" s="1"/>
  <c r="K284" i="525"/>
  <c r="L284" i="525" s="1"/>
  <c r="L286" i="525" s="1"/>
  <c r="H46" i="524" s="1"/>
  <c r="L23" i="523" s="1"/>
  <c r="M23" i="523" s="1"/>
  <c r="K252" i="525"/>
  <c r="L252" i="525" s="1"/>
  <c r="L254" i="525" s="1"/>
  <c r="H42" i="524" s="1"/>
  <c r="L19" i="523" s="1"/>
  <c r="M19" i="523" s="1"/>
  <c r="K224" i="525"/>
  <c r="L224" i="525" s="1"/>
  <c r="L225" i="525" s="1"/>
  <c r="H38" i="524" s="1"/>
  <c r="L27" i="523" s="1"/>
  <c r="M27" i="523" s="1"/>
  <c r="E2654" i="527"/>
  <c r="AH94" i="527"/>
  <c r="AA92" i="527"/>
  <c r="B90" i="527"/>
  <c r="AG92" i="527"/>
  <c r="B92" i="527" s="1"/>
  <c r="AE92" i="527"/>
  <c r="AJ94" i="527"/>
  <c r="I635" i="527"/>
  <c r="D635" i="527"/>
  <c r="H1252" i="525"/>
  <c r="E1252" i="525"/>
  <c r="C4638" i="527"/>
  <c r="B4638" i="527" s="1"/>
  <c r="F4640" i="527"/>
  <c r="F4643" i="527" s="1"/>
  <c r="F4654" i="527" s="1"/>
  <c r="C3955" i="527"/>
  <c r="E71" i="526"/>
  <c r="K233" i="523"/>
  <c r="H224" i="524"/>
  <c r="F1626" i="525"/>
  <c r="E224" i="524" s="1"/>
  <c r="C8855" i="527"/>
  <c r="E167" i="526"/>
  <c r="F6184" i="527"/>
  <c r="F6189" i="527" s="1"/>
  <c r="E6184" i="527"/>
  <c r="D6184" i="527"/>
  <c r="D6189" i="527" s="1"/>
  <c r="C8605" i="527"/>
  <c r="E162" i="526"/>
  <c r="E5839" i="527"/>
  <c r="C5839" i="527" s="1"/>
  <c r="C5834" i="527"/>
  <c r="B5834" i="527" s="1"/>
  <c r="C3905" i="527"/>
  <c r="E70" i="526"/>
  <c r="K2316" i="525"/>
  <c r="L2316" i="525" s="1"/>
  <c r="K2296" i="525"/>
  <c r="L2296" i="525" s="1"/>
  <c r="K2276" i="525"/>
  <c r="L2276" i="525" s="1"/>
  <c r="K2236" i="525"/>
  <c r="L2236" i="525" s="1"/>
  <c r="K2197" i="525"/>
  <c r="L2197" i="525" s="1"/>
  <c r="K2216" i="525"/>
  <c r="L2216" i="525" s="1"/>
  <c r="K2159" i="525"/>
  <c r="L2159" i="525" s="1"/>
  <c r="K2256" i="525"/>
  <c r="L2256" i="525" s="1"/>
  <c r="K2178" i="525"/>
  <c r="L2178" i="525" s="1"/>
  <c r="H736" i="525"/>
  <c r="F736" i="525" s="1"/>
  <c r="E736" i="525"/>
  <c r="H553" i="525"/>
  <c r="F553" i="525" s="1"/>
  <c r="E553" i="525"/>
  <c r="H834" i="525"/>
  <c r="E834" i="525"/>
  <c r="H756" i="525"/>
  <c r="F756" i="525" s="1"/>
  <c r="E756" i="525"/>
  <c r="H545" i="525"/>
  <c r="F545" i="525" s="1"/>
  <c r="E545" i="525"/>
  <c r="H588" i="525"/>
  <c r="F588" i="525" s="1"/>
  <c r="E588" i="525"/>
  <c r="H786" i="525"/>
  <c r="F786" i="525" s="1"/>
  <c r="E786" i="525"/>
  <c r="H1736" i="525"/>
  <c r="F1736" i="525" s="1"/>
  <c r="E1736" i="525"/>
  <c r="H1679" i="525"/>
  <c r="F1679" i="525" s="1"/>
  <c r="E1679" i="525"/>
  <c r="H1847" i="525"/>
  <c r="F1847" i="525" s="1"/>
  <c r="E1847" i="525"/>
  <c r="H1712" i="525"/>
  <c r="F1712" i="525" s="1"/>
  <c r="E1712" i="525"/>
  <c r="H1667" i="525"/>
  <c r="F1667" i="525" s="1"/>
  <c r="E1667" i="525"/>
  <c r="H1934" i="525"/>
  <c r="E1934" i="525"/>
  <c r="H2340" i="525"/>
  <c r="F2340" i="525" s="1"/>
  <c r="E2340" i="525"/>
  <c r="H2595" i="525"/>
  <c r="F2595" i="525" s="1"/>
  <c r="E2595" i="525"/>
  <c r="H2367" i="525"/>
  <c r="F2367" i="525" s="1"/>
  <c r="E2367" i="525"/>
  <c r="H2313" i="525"/>
  <c r="F2313" i="525" s="1"/>
  <c r="E2313" i="525"/>
  <c r="H2587" i="525"/>
  <c r="F2587" i="525" s="1"/>
  <c r="E2587" i="525"/>
  <c r="H2637" i="525"/>
  <c r="F2637" i="525" s="1"/>
  <c r="E2637" i="525"/>
  <c r="H2673" i="525"/>
  <c r="F2673" i="525" s="1"/>
  <c r="E2673" i="525"/>
  <c r="H2446" i="525"/>
  <c r="F2446" i="525" s="1"/>
  <c r="E2446" i="525"/>
  <c r="E954" i="527"/>
  <c r="C935" i="527"/>
  <c r="F7080" i="527"/>
  <c r="C7078" i="527"/>
  <c r="D7191" i="527"/>
  <c r="D7194" i="527" s="1"/>
  <c r="D7204" i="527" s="1"/>
  <c r="C7184" i="527"/>
  <c r="I7412" i="527"/>
  <c r="D7412" i="527"/>
  <c r="D1287" i="527"/>
  <c r="C1285" i="527"/>
  <c r="F4128" i="527"/>
  <c r="C4126" i="527"/>
  <c r="B4126" i="527" s="1"/>
  <c r="E1270" i="525"/>
  <c r="H1270" i="525"/>
  <c r="D1187" i="527"/>
  <c r="C1185" i="527"/>
  <c r="H277" i="524"/>
  <c r="F2046" i="525"/>
  <c r="E277" i="524" s="1"/>
  <c r="E654" i="527"/>
  <c r="D6334" i="527"/>
  <c r="D6339" i="527" s="1"/>
  <c r="F6334" i="527"/>
  <c r="F6339" i="527" s="1"/>
  <c r="E6334" i="527"/>
  <c r="G2005" i="525"/>
  <c r="I1035" i="527"/>
  <c r="D1035" i="527"/>
  <c r="E2804" i="527"/>
  <c r="E8204" i="527"/>
  <c r="F1755" i="527"/>
  <c r="H33" i="526"/>
  <c r="L318" i="523" s="1"/>
  <c r="M318" i="523" s="1"/>
  <c r="H275" i="525"/>
  <c r="E275" i="525"/>
  <c r="H399" i="525"/>
  <c r="E399" i="525"/>
  <c r="H552" i="525"/>
  <c r="E552" i="525"/>
  <c r="H693" i="525"/>
  <c r="E693" i="525"/>
  <c r="H237" i="525"/>
  <c r="E237" i="525"/>
  <c r="H359" i="525"/>
  <c r="E359" i="525"/>
  <c r="H764" i="525"/>
  <c r="E764" i="525"/>
  <c r="H141" i="525"/>
  <c r="E141" i="525"/>
  <c r="H177" i="525"/>
  <c r="E177" i="525"/>
  <c r="H336" i="525"/>
  <c r="E336" i="525"/>
  <c r="H544" i="525"/>
  <c r="E544" i="525"/>
  <c r="H587" i="525"/>
  <c r="E587" i="525"/>
  <c r="H620" i="525"/>
  <c r="E620" i="525"/>
  <c r="H644" i="525"/>
  <c r="E644" i="525"/>
  <c r="H700" i="525"/>
  <c r="E700" i="525"/>
  <c r="H853" i="525"/>
  <c r="E853" i="525"/>
  <c r="H315" i="525"/>
  <c r="E315" i="525"/>
  <c r="H430" i="525"/>
  <c r="E430" i="525"/>
  <c r="H784" i="525"/>
  <c r="E784" i="525"/>
  <c r="H1468" i="525"/>
  <c r="E1468" i="525"/>
  <c r="H1818" i="525"/>
  <c r="E1818" i="525"/>
  <c r="H1481" i="525"/>
  <c r="E1481" i="525"/>
  <c r="H1488" i="525"/>
  <c r="E1488" i="525"/>
  <c r="H2248" i="525"/>
  <c r="E2248" i="525"/>
  <c r="H1765" i="525"/>
  <c r="E1765" i="525"/>
  <c r="H1805" i="525"/>
  <c r="E1805" i="525"/>
  <c r="H1688" i="525"/>
  <c r="E1688" i="525"/>
  <c r="H1784" i="525"/>
  <c r="E1784" i="525"/>
  <c r="H2189" i="525"/>
  <c r="E2189" i="525"/>
  <c r="H2383" i="525"/>
  <c r="E2383" i="525"/>
  <c r="H2609" i="525"/>
  <c r="E2609" i="525"/>
  <c r="H2433" i="525"/>
  <c r="E2433" i="525"/>
  <c r="H2403" i="525"/>
  <c r="E2403" i="525"/>
  <c r="H2585" i="525"/>
  <c r="E2585" i="525"/>
  <c r="H2635" i="525"/>
  <c r="E2635" i="525"/>
  <c r="H2671" i="525"/>
  <c r="E2671" i="525"/>
  <c r="H2373" i="525"/>
  <c r="E2373" i="525"/>
  <c r="D5284" i="527"/>
  <c r="C5282" i="527"/>
  <c r="E3004" i="527"/>
  <c r="K230" i="523"/>
  <c r="D3405" i="527"/>
  <c r="F61" i="526"/>
  <c r="G2067" i="525" s="1"/>
  <c r="H2067" i="525" s="1"/>
  <c r="J2100" i="525"/>
  <c r="F3396" i="527"/>
  <c r="F3404" i="527" s="1"/>
  <c r="C3393" i="527"/>
  <c r="H2145" i="525"/>
  <c r="F2145" i="525" s="1"/>
  <c r="E2145" i="525"/>
  <c r="F40" i="530"/>
  <c r="E8" i="529" s="1"/>
  <c r="G8" i="529"/>
  <c r="G1394" i="525"/>
  <c r="H1394" i="525" s="1"/>
  <c r="H1396" i="525" s="1"/>
  <c r="F195" i="524" s="1"/>
  <c r="H213" i="523" s="1"/>
  <c r="I213" i="523" s="1"/>
  <c r="G102" i="525"/>
  <c r="H102" i="525" s="1"/>
  <c r="H104" i="525" s="1"/>
  <c r="F23" i="524" s="1"/>
  <c r="H212" i="523" s="1"/>
  <c r="I212" i="523" s="1"/>
  <c r="H211" i="523"/>
  <c r="I211" i="523" s="1"/>
  <c r="D2940" i="527"/>
  <c r="C2938" i="527"/>
  <c r="I3074" i="527"/>
  <c r="D3074" i="527"/>
  <c r="I8194" i="527"/>
  <c r="D8194" i="527"/>
  <c r="E2604" i="527"/>
  <c r="E8104" i="527"/>
  <c r="K232" i="523"/>
  <c r="F3655" i="527"/>
  <c r="H66" i="526"/>
  <c r="K1222" i="525" s="1"/>
  <c r="L1222" i="525" s="1"/>
  <c r="L1226" i="525" s="1"/>
  <c r="H171" i="524" s="1"/>
  <c r="L148" i="523" s="1"/>
  <c r="M148" i="523" s="1"/>
  <c r="E6239" i="527"/>
  <c r="C6239" i="527" s="1"/>
  <c r="C6234" i="527"/>
  <c r="B6234" i="527" s="1"/>
  <c r="C8404" i="527"/>
  <c r="E8355" i="527"/>
  <c r="G157" i="526"/>
  <c r="E2854" i="527"/>
  <c r="E454" i="527"/>
  <c r="F7205" i="527"/>
  <c r="H136" i="526"/>
  <c r="L238" i="523" s="1"/>
  <c r="M238" i="523" s="1"/>
  <c r="H1553" i="525"/>
  <c r="E5939" i="527"/>
  <c r="C5939" i="527" s="1"/>
  <c r="C5934" i="527"/>
  <c r="B5934" i="527" s="1"/>
  <c r="B4538" i="527"/>
  <c r="E5204" i="527"/>
  <c r="K2122" i="525"/>
  <c r="L2122" i="525" s="1"/>
  <c r="K2112" i="525"/>
  <c r="L2112" i="525" s="1"/>
  <c r="K2142" i="525"/>
  <c r="L2142" i="525" s="1"/>
  <c r="K2132" i="525"/>
  <c r="L2132" i="525" s="1"/>
  <c r="D2791" i="527"/>
  <c r="C2789" i="527"/>
  <c r="F478" i="523"/>
  <c r="M478" i="523"/>
  <c r="G478" i="523" s="1"/>
  <c r="H1276" i="525"/>
  <c r="E1276" i="525"/>
  <c r="K228" i="523"/>
  <c r="I585" i="527"/>
  <c r="D585" i="527"/>
  <c r="E7804" i="527"/>
  <c r="C7785" i="527"/>
  <c r="J467" i="525"/>
  <c r="F4028" i="527"/>
  <c r="C4026" i="527"/>
  <c r="B535" i="527"/>
  <c r="B5178" i="527"/>
  <c r="K205" i="525"/>
  <c r="H206" i="525"/>
  <c r="F35" i="524" s="1"/>
  <c r="G2117" i="525" s="1"/>
  <c r="H2117" i="525" s="1"/>
  <c r="E1354" i="527"/>
  <c r="I5132" i="527"/>
  <c r="D5132" i="527"/>
  <c r="K7414" i="527"/>
  <c r="K7389" i="527"/>
  <c r="K7335" i="527"/>
  <c r="K7489" i="527"/>
  <c r="F5430" i="527"/>
  <c r="C5428" i="527"/>
  <c r="B5428" i="527" s="1"/>
  <c r="F4278" i="527"/>
  <c r="C4276" i="527"/>
  <c r="K234" i="523"/>
  <c r="B1085" i="527"/>
  <c r="I1381" i="527"/>
  <c r="D1381" i="527"/>
  <c r="I2231" i="527"/>
  <c r="D2231" i="527"/>
  <c r="B4878" i="527"/>
  <c r="C2389" i="527"/>
  <c r="E2404" i="527"/>
  <c r="K1594" i="525"/>
  <c r="L1594" i="525" s="1"/>
  <c r="L1595" i="525" s="1"/>
  <c r="H219" i="524" s="1"/>
  <c r="L331" i="523" s="1"/>
  <c r="M331" i="523" s="1"/>
  <c r="L347" i="523"/>
  <c r="M347" i="523" s="1"/>
  <c r="F4178" i="527"/>
  <c r="C4176" i="527"/>
  <c r="I34" i="527"/>
  <c r="D34" i="527"/>
  <c r="H1639" i="525"/>
  <c r="H2093" i="525"/>
  <c r="E904" i="527"/>
  <c r="C885" i="527"/>
  <c r="F5530" i="527"/>
  <c r="C5528" i="527"/>
  <c r="I1562" i="525"/>
  <c r="I1541" i="525"/>
  <c r="I1389" i="525"/>
  <c r="C3805" i="527"/>
  <c r="E68" i="526"/>
  <c r="E2904" i="527"/>
  <c r="F3205" i="527"/>
  <c r="H57" i="526"/>
  <c r="K2066" i="525" s="1"/>
  <c r="L2066" i="525" s="1"/>
  <c r="K239" i="523"/>
  <c r="G239" i="523" s="1"/>
  <c r="F239" i="523"/>
  <c r="E4854" i="527"/>
  <c r="I2510" i="525"/>
  <c r="I2522" i="525"/>
  <c r="I2499" i="525"/>
  <c r="I2322" i="525"/>
  <c r="I2302" i="525"/>
  <c r="I2262" i="525"/>
  <c r="I2165" i="525"/>
  <c r="I2184" i="525"/>
  <c r="I2242" i="525"/>
  <c r="I2203" i="525"/>
  <c r="I2282" i="525"/>
  <c r="I2222" i="525"/>
  <c r="I1460" i="525"/>
  <c r="I1448" i="525"/>
  <c r="I1473" i="525"/>
  <c r="I423" i="525"/>
  <c r="I435" i="525"/>
  <c r="I412" i="525"/>
  <c r="I7835" i="527"/>
  <c r="D7835" i="527"/>
  <c r="J2554" i="525"/>
  <c r="F6084" i="527"/>
  <c r="F6089" i="527" s="1"/>
  <c r="E6084" i="527"/>
  <c r="D6084" i="527"/>
  <c r="D6089" i="527" s="1"/>
  <c r="D3655" i="527"/>
  <c r="F66" i="526"/>
  <c r="G1222" i="525" s="1"/>
  <c r="H1222" i="525" s="1"/>
  <c r="H1226" i="525" s="1"/>
  <c r="F171" i="524" s="1"/>
  <c r="H148" i="523" s="1"/>
  <c r="I148" i="523" s="1"/>
  <c r="D1599" i="527"/>
  <c r="D1612" i="527" s="1"/>
  <c r="D1654" i="527" s="1"/>
  <c r="E4104" i="527"/>
  <c r="I5182" i="527"/>
  <c r="D5182" i="527"/>
  <c r="E7104" i="527"/>
  <c r="C235" i="527"/>
  <c r="E254" i="527"/>
  <c r="E554" i="527"/>
  <c r="C8454" i="527"/>
  <c r="E8405" i="527"/>
  <c r="G158" i="526"/>
  <c r="H288" i="524"/>
  <c r="F2106" i="525"/>
  <c r="E288" i="524" s="1"/>
  <c r="I5082" i="527"/>
  <c r="D5082" i="527"/>
  <c r="I1792" i="527"/>
  <c r="D1792" i="527"/>
  <c r="K161" i="523"/>
  <c r="F7" i="522" s="1"/>
  <c r="H776" i="525"/>
  <c r="F776" i="525" s="1"/>
  <c r="E776" i="525"/>
  <c r="H726" i="525"/>
  <c r="F726" i="525" s="1"/>
  <c r="E726" i="525"/>
  <c r="H96" i="525"/>
  <c r="E96" i="525"/>
  <c r="H796" i="525"/>
  <c r="F796" i="525" s="1"/>
  <c r="E796" i="525"/>
  <c r="H561" i="525"/>
  <c r="F561" i="525" s="1"/>
  <c r="E561" i="525"/>
  <c r="H597" i="525"/>
  <c r="F597" i="525" s="1"/>
  <c r="E597" i="525"/>
  <c r="H1383" i="525"/>
  <c r="F1383" i="525" s="1"/>
  <c r="E1383" i="525"/>
  <c r="H1927" i="525"/>
  <c r="E1927" i="525"/>
  <c r="H1748" i="525"/>
  <c r="F1748" i="525" s="1"/>
  <c r="E1748" i="525"/>
  <c r="H1860" i="525"/>
  <c r="F1860" i="525" s="1"/>
  <c r="E1860" i="525"/>
  <c r="H1941" i="525"/>
  <c r="E1941" i="525"/>
  <c r="H1701" i="525"/>
  <c r="F1701" i="525" s="1"/>
  <c r="E1701" i="525"/>
  <c r="H2175" i="525"/>
  <c r="F2175" i="525" s="1"/>
  <c r="E2175" i="525"/>
  <c r="H2376" i="525"/>
  <c r="F2376" i="525" s="1"/>
  <c r="E2376" i="525"/>
  <c r="H2611" i="525"/>
  <c r="F2611" i="525" s="1"/>
  <c r="E2611" i="525"/>
  <c r="H2386" i="525"/>
  <c r="F2386" i="525" s="1"/>
  <c r="E2386" i="525"/>
  <c r="H2358" i="525"/>
  <c r="F2358" i="525" s="1"/>
  <c r="E2358" i="525"/>
  <c r="H2603" i="525"/>
  <c r="F2603" i="525" s="1"/>
  <c r="E2603" i="525"/>
  <c r="H2646" i="525"/>
  <c r="F2646" i="525" s="1"/>
  <c r="E2646" i="525"/>
  <c r="H2682" i="525"/>
  <c r="F2682" i="525" s="1"/>
  <c r="E2682" i="525"/>
  <c r="D2641" i="527"/>
  <c r="C2639" i="527"/>
  <c r="M477" i="523"/>
  <c r="G477" i="523" s="1"/>
  <c r="F477" i="523"/>
  <c r="G252" i="524"/>
  <c r="J235" i="523" s="1"/>
  <c r="I5532" i="527"/>
  <c r="D5532" i="527"/>
  <c r="B7078" i="527"/>
  <c r="B7184" i="527"/>
  <c r="E5154" i="527"/>
  <c r="I7487" i="527"/>
  <c r="D7487" i="527"/>
  <c r="B1285" i="527"/>
  <c r="G1589" i="525"/>
  <c r="H1589" i="525" s="1"/>
  <c r="H1590" i="525" s="1"/>
  <c r="F218" i="524" s="1"/>
  <c r="H333" i="523" s="1"/>
  <c r="I333" i="523" s="1"/>
  <c r="H355" i="523"/>
  <c r="I355" i="523" s="1"/>
  <c r="E1264" i="525"/>
  <c r="H1264" i="525"/>
  <c r="C7754" i="527"/>
  <c r="E7705" i="527"/>
  <c r="G144" i="526"/>
  <c r="J366" i="523" s="1"/>
  <c r="E8555" i="527"/>
  <c r="C8604" i="527"/>
  <c r="G161" i="526"/>
  <c r="E404" i="527"/>
  <c r="I5332" i="527"/>
  <c r="D5332" i="527"/>
  <c r="B1185" i="527"/>
  <c r="E2504" i="527"/>
  <c r="C2488" i="527"/>
  <c r="E4154" i="527"/>
  <c r="C3604" i="527"/>
  <c r="E3555" i="527"/>
  <c r="G64" i="526"/>
  <c r="J240" i="523" s="1"/>
  <c r="F8191" i="527"/>
  <c r="C8189" i="527"/>
  <c r="E1204" i="527"/>
  <c r="F92" i="525"/>
  <c r="E21" i="524" s="1"/>
  <c r="E5004" i="527"/>
  <c r="E5254" i="527"/>
  <c r="C4688" i="527"/>
  <c r="F4690" i="527"/>
  <c r="F4693" i="527" s="1"/>
  <c r="F4704" i="527" s="1"/>
  <c r="H108" i="525"/>
  <c r="E108" i="525"/>
  <c r="H307" i="525"/>
  <c r="E307" i="525"/>
  <c r="H418" i="525"/>
  <c r="E418" i="525"/>
  <c r="H651" i="525"/>
  <c r="E651" i="525"/>
  <c r="H707" i="525"/>
  <c r="E707" i="525"/>
  <c r="H267" i="525"/>
  <c r="E267" i="525"/>
  <c r="H391" i="525"/>
  <c r="E391" i="525"/>
  <c r="H804" i="525"/>
  <c r="E804" i="525"/>
  <c r="H150" i="525"/>
  <c r="E150" i="525"/>
  <c r="H244" i="525"/>
  <c r="E244" i="525"/>
  <c r="H351" i="525"/>
  <c r="E351" i="525"/>
  <c r="H560" i="525"/>
  <c r="E560" i="525"/>
  <c r="H596" i="525"/>
  <c r="E596" i="525"/>
  <c r="H626" i="525"/>
  <c r="E626" i="525"/>
  <c r="H658" i="525"/>
  <c r="E658" i="525"/>
  <c r="H714" i="525"/>
  <c r="E714" i="525"/>
  <c r="H223" i="525"/>
  <c r="E223" i="525"/>
  <c r="H343" i="525"/>
  <c r="E343" i="525"/>
  <c r="H491" i="525"/>
  <c r="E491" i="525"/>
  <c r="H1375" i="525"/>
  <c r="E1375" i="525"/>
  <c r="H1527" i="525"/>
  <c r="E1527" i="525"/>
  <c r="H1844" i="525"/>
  <c r="E1844" i="525"/>
  <c r="H1496" i="525"/>
  <c r="E1496" i="525"/>
  <c r="H1831" i="525"/>
  <c r="E1831" i="525"/>
  <c r="H1699" i="525"/>
  <c r="E1699" i="525"/>
  <c r="H1771" i="525"/>
  <c r="E1771" i="525"/>
  <c r="H1954" i="525"/>
  <c r="E1954" i="525"/>
  <c r="H1734" i="525"/>
  <c r="E1734" i="525"/>
  <c r="H1798" i="525"/>
  <c r="E1798" i="525"/>
  <c r="H2228" i="525"/>
  <c r="E2228" i="525"/>
  <c r="H2423" i="525"/>
  <c r="E2423" i="525"/>
  <c r="H2268" i="525"/>
  <c r="E2268" i="525"/>
  <c r="H2516" i="525"/>
  <c r="E2516" i="525"/>
  <c r="H2443" i="525"/>
  <c r="E2443" i="525"/>
  <c r="H2601" i="525"/>
  <c r="E2601" i="525"/>
  <c r="H2644" i="525"/>
  <c r="E2644" i="525"/>
  <c r="H2680" i="525"/>
  <c r="E2680" i="525"/>
  <c r="H2413" i="525"/>
  <c r="E2413" i="525"/>
  <c r="B5282" i="527"/>
  <c r="I5482" i="527"/>
  <c r="D5482" i="527"/>
  <c r="D7937" i="527"/>
  <c r="C7935" i="527"/>
  <c r="C285" i="527"/>
  <c r="E304" i="527"/>
  <c r="C6834" i="527"/>
  <c r="B6834" i="527" s="1"/>
  <c r="E6839" i="527"/>
  <c r="C6839" i="527" s="1"/>
  <c r="D1137" i="527"/>
  <c r="C1135" i="527"/>
  <c r="E354" i="527"/>
  <c r="C335" i="527"/>
  <c r="C785" i="527"/>
  <c r="E804" i="527"/>
  <c r="F5030" i="527"/>
  <c r="C5028" i="527"/>
  <c r="B5028" i="527" s="1"/>
  <c r="C6634" i="527"/>
  <c r="B6634" i="527" s="1"/>
  <c r="E6639" i="527"/>
  <c r="C6639" i="527" s="1"/>
  <c r="G261" i="524"/>
  <c r="J224" i="523" s="1"/>
  <c r="E1246" i="525"/>
  <c r="H1246" i="525"/>
  <c r="B2938" i="527"/>
  <c r="I3272" i="527"/>
  <c r="D3272" i="527"/>
  <c r="J462" i="525"/>
  <c r="I5582" i="527"/>
  <c r="D5582" i="527"/>
  <c r="C3455" i="527"/>
  <c r="E62" i="526"/>
  <c r="G262" i="524"/>
  <c r="J225" i="523" s="1"/>
  <c r="K897" i="525"/>
  <c r="L897" i="525" s="1"/>
  <c r="K889" i="525"/>
  <c r="L889" i="525" s="1"/>
  <c r="F5230" i="527"/>
  <c r="C5228" i="527"/>
  <c r="E2954" i="527"/>
  <c r="I8527" i="527"/>
  <c r="D8527" i="527"/>
  <c r="F8996" i="527"/>
  <c r="F9004" i="527" s="1"/>
  <c r="C8993" i="527"/>
  <c r="E5639" i="527"/>
  <c r="C5639" i="527" s="1"/>
  <c r="C5634" i="527"/>
  <c r="B5634" i="527" s="1"/>
  <c r="E6489" i="527"/>
  <c r="C6489" i="527" s="1"/>
  <c r="C6484" i="527"/>
  <c r="B6484" i="527" s="1"/>
  <c r="C4488" i="527"/>
  <c r="F4490" i="527"/>
  <c r="F4493" i="527" s="1"/>
  <c r="F4504" i="527" s="1"/>
  <c r="K231" i="523"/>
  <c r="D437" i="527"/>
  <c r="C435" i="527"/>
  <c r="F4228" i="527"/>
  <c r="C4226" i="527"/>
  <c r="B4226" i="527" s="1"/>
  <c r="E7054" i="527"/>
  <c r="K1599" i="525"/>
  <c r="L1599" i="525" s="1"/>
  <c r="L1600" i="525" s="1"/>
  <c r="H220" i="524" s="1"/>
  <c r="L332" i="523" s="1"/>
  <c r="M332" i="523" s="1"/>
  <c r="L351" i="523"/>
  <c r="M351" i="523" s="1"/>
  <c r="C2338" i="527"/>
  <c r="E2354" i="527"/>
  <c r="C4388" i="527"/>
  <c r="F4390" i="527"/>
  <c r="F4393" i="527" s="1"/>
  <c r="F4404" i="527" s="1"/>
  <c r="I9029" i="527"/>
  <c r="E9029" i="527"/>
  <c r="F7654" i="527"/>
  <c r="C7631" i="527"/>
  <c r="G259" i="524"/>
  <c r="J226" i="523" s="1"/>
  <c r="E2454" i="527"/>
  <c r="C2438" i="527"/>
  <c r="C4438" i="527"/>
  <c r="B4438" i="527" s="1"/>
  <c r="F4440" i="527"/>
  <c r="F4443" i="527" s="1"/>
  <c r="F4454" i="527" s="1"/>
  <c r="G2023" i="525"/>
  <c r="H1380" i="525"/>
  <c r="I385" i="527"/>
  <c r="D385" i="527"/>
  <c r="E6039" i="527"/>
  <c r="C6039" i="527" s="1"/>
  <c r="C6034" i="527"/>
  <c r="B6034" i="527" s="1"/>
  <c r="F4830" i="527"/>
  <c r="C4828" i="527"/>
  <c r="B4828" i="527" s="1"/>
  <c r="M479" i="523"/>
  <c r="G479" i="523" s="1"/>
  <c r="F479" i="523"/>
  <c r="F8144" i="527"/>
  <c r="C8141" i="527"/>
  <c r="B2789" i="527"/>
  <c r="I1594" i="527"/>
  <c r="B1594" i="527" s="1"/>
  <c r="E1594" i="527"/>
  <c r="C1594" i="527" s="1"/>
  <c r="F4078" i="527"/>
  <c r="C4076" i="527"/>
  <c r="G2486" i="525"/>
  <c r="H2486" i="525" s="1"/>
  <c r="G2541" i="525"/>
  <c r="H2541" i="525" s="1"/>
  <c r="G2479" i="525"/>
  <c r="H2479" i="525" s="1"/>
  <c r="G2473" i="525"/>
  <c r="H2473" i="525" s="1"/>
  <c r="H2475" i="525" s="1"/>
  <c r="F317" i="524" s="1"/>
  <c r="H297" i="523" s="1"/>
  <c r="I297" i="523" s="1"/>
  <c r="G2534" i="525"/>
  <c r="H2534" i="525" s="1"/>
  <c r="G2528" i="525"/>
  <c r="H2528" i="525" s="1"/>
  <c r="H2530" i="525" s="1"/>
  <c r="F323" i="524" s="1"/>
  <c r="H285" i="523" s="1"/>
  <c r="I285" i="523" s="1"/>
  <c r="G1956" i="525"/>
  <c r="H1956" i="525" s="1"/>
  <c r="G1895" i="525"/>
  <c r="H1895" i="525" s="1"/>
  <c r="G1970" i="525"/>
  <c r="H1970" i="525" s="1"/>
  <c r="G1978" i="525"/>
  <c r="H1978" i="525" s="1"/>
  <c r="G1963" i="525"/>
  <c r="H1963" i="525" s="1"/>
  <c r="H1966" i="525" s="1"/>
  <c r="F264" i="524" s="1"/>
  <c r="H267" i="523" s="1"/>
  <c r="I267" i="523" s="1"/>
  <c r="G1888" i="525"/>
  <c r="H1888" i="525" s="1"/>
  <c r="G1337" i="525"/>
  <c r="H1337" i="525" s="1"/>
  <c r="G1314" i="525"/>
  <c r="H1314" i="525" s="1"/>
  <c r="G1511" i="525"/>
  <c r="H1511" i="525" s="1"/>
  <c r="G1368" i="525"/>
  <c r="H1368" i="525" s="1"/>
  <c r="G1345" i="525"/>
  <c r="H1345" i="525" s="1"/>
  <c r="G1322" i="525"/>
  <c r="H1322" i="525" s="1"/>
  <c r="G1307" i="525"/>
  <c r="H1307" i="525" s="1"/>
  <c r="H1309" i="525" s="1"/>
  <c r="F185" i="524" s="1"/>
  <c r="H279" i="523" s="1"/>
  <c r="I279" i="523" s="1"/>
  <c r="G1301" i="525"/>
  <c r="H1301" i="525" s="1"/>
  <c r="H1303" i="525" s="1"/>
  <c r="F184" i="524" s="1"/>
  <c r="H282" i="523" s="1"/>
  <c r="I282" i="523" s="1"/>
  <c r="G1519" i="525"/>
  <c r="H1519" i="525" s="1"/>
  <c r="G1504" i="525"/>
  <c r="H1504" i="525" s="1"/>
  <c r="H1507" i="525" s="1"/>
  <c r="F208" i="524" s="1"/>
  <c r="H291" i="523" s="1"/>
  <c r="I291" i="523" s="1"/>
  <c r="G1353" i="525"/>
  <c r="H1353" i="525" s="1"/>
  <c r="G1330" i="525"/>
  <c r="H1330" i="525" s="1"/>
  <c r="G1294" i="525"/>
  <c r="H1294" i="525" s="1"/>
  <c r="H1296" i="525" s="1"/>
  <c r="F183" i="524" s="1"/>
  <c r="H281" i="523" s="1"/>
  <c r="I281" i="523" s="1"/>
  <c r="G1882" i="525"/>
  <c r="H1882" i="525" s="1"/>
  <c r="H1884" i="525" s="1"/>
  <c r="F253" i="524" s="1"/>
  <c r="H294" i="523" s="1"/>
  <c r="I294" i="523" s="1"/>
  <c r="G1361" i="525"/>
  <c r="H1361" i="525" s="1"/>
  <c r="G1287" i="525"/>
  <c r="H1287" i="525" s="1"/>
  <c r="H1289" i="525" s="1"/>
  <c r="F182" i="524" s="1"/>
  <c r="H280" i="523" s="1"/>
  <c r="I280" i="523" s="1"/>
  <c r="G868" i="525"/>
  <c r="H868" i="525" s="1"/>
  <c r="G454" i="525"/>
  <c r="H454" i="525" s="1"/>
  <c r="G876" i="525"/>
  <c r="H876" i="525" s="1"/>
  <c r="G861" i="525"/>
  <c r="H861" i="525" s="1"/>
  <c r="H863" i="525" s="1"/>
  <c r="F121" i="524" s="1"/>
  <c r="H270" i="523" s="1"/>
  <c r="I270" i="523" s="1"/>
  <c r="G447" i="525"/>
  <c r="H447" i="525" s="1"/>
  <c r="G441" i="525"/>
  <c r="H441" i="525" s="1"/>
  <c r="H443" i="525" s="1"/>
  <c r="F65" i="524" s="1"/>
  <c r="H288" i="523" s="1"/>
  <c r="I288" i="523" s="1"/>
  <c r="H300" i="523"/>
  <c r="I300" i="523" s="1"/>
  <c r="E1304" i="527"/>
  <c r="F5580" i="527"/>
  <c r="C5578" i="527"/>
  <c r="E6789" i="527"/>
  <c r="C6789" i="527" s="1"/>
  <c r="C6784" i="527"/>
  <c r="B6784" i="527" s="1"/>
  <c r="B4026" i="527"/>
  <c r="K213" i="525"/>
  <c r="H214" i="525"/>
  <c r="F36" i="524" s="1"/>
  <c r="G2137" i="525" s="1"/>
  <c r="H2137" i="525" s="1"/>
  <c r="C5280" i="527"/>
  <c r="F5286" i="527"/>
  <c r="F5304" i="527" s="1"/>
  <c r="I3099" i="527"/>
  <c r="D3099" i="527"/>
  <c r="B4276" i="527"/>
  <c r="H17" i="524"/>
  <c r="F75" i="525"/>
  <c r="E17" i="524" s="1"/>
  <c r="F5380" i="527"/>
  <c r="C5378" i="527"/>
  <c r="I1881" i="527"/>
  <c r="D1881" i="527"/>
  <c r="I2031" i="527"/>
  <c r="D2031" i="527"/>
  <c r="G1004" i="525"/>
  <c r="H1004" i="525" s="1"/>
  <c r="G972" i="525"/>
  <c r="H972" i="525" s="1"/>
  <c r="G944" i="525"/>
  <c r="H944" i="525" s="1"/>
  <c r="H948" i="525" s="1"/>
  <c r="F133" i="524" s="1"/>
  <c r="H124" i="523" s="1"/>
  <c r="I124" i="523" s="1"/>
  <c r="G916" i="525"/>
  <c r="H916" i="525" s="1"/>
  <c r="H920" i="525" s="1"/>
  <c r="F129" i="524" s="1"/>
  <c r="H122" i="523" s="1"/>
  <c r="I122" i="523" s="1"/>
  <c r="G1012" i="525"/>
  <c r="H1012" i="525" s="1"/>
  <c r="G980" i="525"/>
  <c r="H980" i="525" s="1"/>
  <c r="G965" i="525"/>
  <c r="H965" i="525" s="1"/>
  <c r="H969" i="525" s="1"/>
  <c r="F136" i="524" s="1"/>
  <c r="H120" i="523" s="1"/>
  <c r="I120" i="523" s="1"/>
  <c r="G937" i="525"/>
  <c r="H937" i="525" s="1"/>
  <c r="H941" i="525" s="1"/>
  <c r="F132" i="524" s="1"/>
  <c r="H135" i="523" s="1"/>
  <c r="I135" i="523" s="1"/>
  <c r="G909" i="525"/>
  <c r="H909" i="525" s="1"/>
  <c r="H913" i="525" s="1"/>
  <c r="F128" i="524" s="1"/>
  <c r="H133" i="523" s="1"/>
  <c r="I133" i="523" s="1"/>
  <c r="G1020" i="525"/>
  <c r="H1020" i="525" s="1"/>
  <c r="G988" i="525"/>
  <c r="H988" i="525" s="1"/>
  <c r="G958" i="525"/>
  <c r="H958" i="525" s="1"/>
  <c r="H962" i="525" s="1"/>
  <c r="F135" i="524" s="1"/>
  <c r="H119" i="523" s="1"/>
  <c r="I119" i="523" s="1"/>
  <c r="G930" i="525"/>
  <c r="H930" i="525" s="1"/>
  <c r="H934" i="525" s="1"/>
  <c r="F131" i="524" s="1"/>
  <c r="H123" i="523" s="1"/>
  <c r="I123" i="523" s="1"/>
  <c r="G902" i="525"/>
  <c r="H902" i="525" s="1"/>
  <c r="H906" i="525" s="1"/>
  <c r="F127" i="524" s="1"/>
  <c r="H121" i="523" s="1"/>
  <c r="I121" i="523" s="1"/>
  <c r="G1028" i="525"/>
  <c r="H1028" i="525" s="1"/>
  <c r="G996" i="525"/>
  <c r="H996" i="525" s="1"/>
  <c r="G951" i="525"/>
  <c r="H951" i="525" s="1"/>
  <c r="H955" i="525" s="1"/>
  <c r="F134" i="524" s="1"/>
  <c r="H136" i="523" s="1"/>
  <c r="I136" i="523" s="1"/>
  <c r="G923" i="525"/>
  <c r="H923" i="525" s="1"/>
  <c r="H927" i="525" s="1"/>
  <c r="F130" i="524" s="1"/>
  <c r="H134" i="523" s="1"/>
  <c r="I134" i="523" s="1"/>
  <c r="K1657" i="525"/>
  <c r="K1648" i="525"/>
  <c r="K1640" i="525"/>
  <c r="E4304" i="527"/>
  <c r="H258" i="524"/>
  <c r="F1922" i="525"/>
  <c r="E258" i="524" s="1"/>
  <c r="B4176" i="527"/>
  <c r="H1647" i="525"/>
  <c r="H1656" i="525"/>
  <c r="B5528" i="527"/>
  <c r="K2547" i="525"/>
  <c r="K2552" i="525"/>
  <c r="K1876" i="525"/>
  <c r="K465" i="525"/>
  <c r="K835" i="525"/>
  <c r="K460" i="525"/>
  <c r="L203" i="523"/>
  <c r="D2692" i="527"/>
  <c r="C2690" i="527"/>
  <c r="E6939" i="527"/>
  <c r="C6939" i="527" s="1"/>
  <c r="C6934" i="527"/>
  <c r="B6934" i="527" s="1"/>
  <c r="E6889" i="527"/>
  <c r="C6889" i="527" s="1"/>
  <c r="C6884" i="527"/>
  <c r="B6884" i="527" s="1"/>
  <c r="G22" i="524"/>
  <c r="J195" i="523" s="1"/>
  <c r="D3041" i="527"/>
  <c r="C3039" i="527"/>
  <c r="I1029" i="525"/>
  <c r="I997" i="525"/>
  <c r="I952" i="525"/>
  <c r="I945" i="525"/>
  <c r="E5054" i="527"/>
  <c r="F4980" i="527"/>
  <c r="C4978" i="527"/>
  <c r="B4978" i="527" s="1"/>
  <c r="F8241" i="527"/>
  <c r="C8239" i="527"/>
  <c r="B8239" i="527" s="1"/>
  <c r="I5432" i="527"/>
  <c r="D5432" i="527"/>
  <c r="M481" i="523"/>
  <c r="G481" i="523" s="1"/>
  <c r="F481" i="523"/>
  <c r="E3755" i="527"/>
  <c r="C3804" i="527"/>
  <c r="G67" i="526"/>
  <c r="I7985" i="527"/>
  <c r="D7985" i="527"/>
  <c r="I485" i="527"/>
  <c r="D485" i="527"/>
  <c r="E4054" i="527"/>
  <c r="I2479" i="525"/>
  <c r="I2473" i="525"/>
  <c r="I2534" i="525"/>
  <c r="I2528" i="525"/>
  <c r="I2486" i="525"/>
  <c r="I2541" i="525"/>
  <c r="I1970" i="525"/>
  <c r="I1978" i="525"/>
  <c r="I1963" i="525"/>
  <c r="I1888" i="525"/>
  <c r="I1882" i="525"/>
  <c r="I1956" i="525"/>
  <c r="I1895" i="525"/>
  <c r="I1519" i="525"/>
  <c r="I1504" i="525"/>
  <c r="I1353" i="525"/>
  <c r="I1330" i="525"/>
  <c r="I1294" i="525"/>
  <c r="I1361" i="525"/>
  <c r="I1287" i="525"/>
  <c r="I1337" i="525"/>
  <c r="I1314" i="525"/>
  <c r="I1511" i="525"/>
  <c r="I1368" i="525"/>
  <c r="I1345" i="525"/>
  <c r="I1322" i="525"/>
  <c r="I1307" i="525"/>
  <c r="I1301" i="525"/>
  <c r="I447" i="525"/>
  <c r="I441" i="525"/>
  <c r="I868" i="525"/>
  <c r="I454" i="525"/>
  <c r="I876" i="525"/>
  <c r="I861" i="525"/>
  <c r="J300" i="523"/>
  <c r="E504" i="527"/>
  <c r="K896" i="525"/>
  <c r="L896" i="525" s="1"/>
  <c r="K888" i="525"/>
  <c r="L888" i="525" s="1"/>
  <c r="I924" i="525"/>
  <c r="I1005" i="525"/>
  <c r="I973" i="525"/>
  <c r="I917" i="525"/>
  <c r="I1013" i="525"/>
  <c r="I981" i="525"/>
  <c r="I966" i="525"/>
  <c r="I938" i="525"/>
  <c r="I910" i="525"/>
  <c r="I1021" i="525"/>
  <c r="I989" i="525"/>
  <c r="I959" i="525"/>
  <c r="I931" i="525"/>
  <c r="I903" i="525"/>
  <c r="I1692" i="527"/>
  <c r="D1692" i="527"/>
  <c r="G161" i="523"/>
  <c r="D7" i="522" s="1"/>
  <c r="I192" i="523"/>
  <c r="F192" i="523"/>
  <c r="H511" i="525"/>
  <c r="F511" i="525" s="1"/>
  <c r="E511" i="525"/>
  <c r="H766" i="525"/>
  <c r="F766" i="525" s="1"/>
  <c r="E766" i="525"/>
  <c r="H520" i="525"/>
  <c r="F520" i="525" s="1"/>
  <c r="E520" i="525"/>
  <c r="H493" i="525"/>
  <c r="F493" i="525" s="1"/>
  <c r="E493" i="525"/>
  <c r="H570" i="525"/>
  <c r="F570" i="525" s="1"/>
  <c r="E570" i="525"/>
  <c r="H606" i="525"/>
  <c r="F606" i="525" s="1"/>
  <c r="E606" i="525"/>
  <c r="H1535" i="525"/>
  <c r="F1535" i="525" s="1"/>
  <c r="E1535" i="525"/>
  <c r="H1556" i="525"/>
  <c r="F1556" i="525" s="1"/>
  <c r="E1556" i="525"/>
  <c r="H1821" i="525"/>
  <c r="F1821" i="525" s="1"/>
  <c r="E1821" i="525"/>
  <c r="H1948" i="525"/>
  <c r="E1948" i="525"/>
  <c r="H2194" i="525"/>
  <c r="F2194" i="525" s="1"/>
  <c r="E2194" i="525"/>
  <c r="H1724" i="525"/>
  <c r="F1724" i="525" s="1"/>
  <c r="E1724" i="525"/>
  <c r="H2253" i="525"/>
  <c r="F2253" i="525" s="1"/>
  <c r="E2253" i="525"/>
  <c r="H2416" i="525"/>
  <c r="F2416" i="525" s="1"/>
  <c r="E2416" i="525"/>
  <c r="H2293" i="525"/>
  <c r="F2293" i="525" s="1"/>
  <c r="E2293" i="525"/>
  <c r="H2426" i="525"/>
  <c r="F2426" i="525" s="1"/>
  <c r="E2426" i="525"/>
  <c r="H2396" i="525"/>
  <c r="F2396" i="525" s="1"/>
  <c r="E2396" i="525"/>
  <c r="H2619" i="525"/>
  <c r="F2619" i="525" s="1"/>
  <c r="E2619" i="525"/>
  <c r="H2655" i="525"/>
  <c r="F2655" i="525" s="1"/>
  <c r="E2655" i="525"/>
  <c r="H2349" i="525"/>
  <c r="F2349" i="525" s="1"/>
  <c r="E2349" i="525"/>
  <c r="B2639" i="527"/>
  <c r="K2099" i="525"/>
  <c r="L204" i="523"/>
  <c r="I685" i="527"/>
  <c r="D685" i="527"/>
  <c r="E4954" i="527"/>
  <c r="C8354" i="527"/>
  <c r="E8305" i="527"/>
  <c r="G156" i="526"/>
  <c r="I7333" i="527"/>
  <c r="D7333" i="527"/>
  <c r="E1004" i="527"/>
  <c r="K2033" i="527"/>
  <c r="K2233" i="527"/>
  <c r="K1933" i="527"/>
  <c r="K2183" i="527"/>
  <c r="K1883" i="527"/>
  <c r="K1383" i="527"/>
  <c r="K2133" i="527"/>
  <c r="F5984" i="527"/>
  <c r="F5989" i="527" s="1"/>
  <c r="E5984" i="527"/>
  <c r="D5984" i="527"/>
  <c r="D5989" i="527" s="1"/>
  <c r="H1438" i="525"/>
  <c r="E1438" i="525"/>
  <c r="K3324" i="527"/>
  <c r="K3175" i="527"/>
  <c r="K3274" i="527"/>
  <c r="K3076" i="527"/>
  <c r="K62" i="527"/>
  <c r="I2060" i="525"/>
  <c r="I2055" i="525"/>
  <c r="G260" i="524"/>
  <c r="J227" i="523" s="1"/>
  <c r="D2740" i="527"/>
  <c r="C2738" i="527"/>
  <c r="B2738" i="527" s="1"/>
  <c r="I5232" i="527"/>
  <c r="D5232" i="527"/>
  <c r="B8189" i="527"/>
  <c r="F8493" i="527"/>
  <c r="F8504" i="527" s="1"/>
  <c r="C8489" i="527"/>
  <c r="E8996" i="527"/>
  <c r="C8971" i="527"/>
  <c r="F196" i="523"/>
  <c r="K196" i="523"/>
  <c r="G196" i="523" s="1"/>
  <c r="I8035" i="527"/>
  <c r="D8035" i="527"/>
  <c r="B4688" i="527"/>
  <c r="H124" i="525"/>
  <c r="E124" i="525"/>
  <c r="H322" i="525"/>
  <c r="E322" i="525"/>
  <c r="H500" i="525"/>
  <c r="E500" i="525"/>
  <c r="H665" i="525"/>
  <c r="E665" i="525"/>
  <c r="H734" i="525"/>
  <c r="E734" i="525"/>
  <c r="H299" i="525"/>
  <c r="E299" i="525"/>
  <c r="H509" i="525"/>
  <c r="E509" i="525"/>
  <c r="H116" i="525"/>
  <c r="E116" i="525"/>
  <c r="H159" i="525"/>
  <c r="E159" i="525"/>
  <c r="H259" i="525"/>
  <c r="E259" i="525"/>
  <c r="H383" i="525"/>
  <c r="E383" i="525"/>
  <c r="H569" i="525"/>
  <c r="E569" i="525"/>
  <c r="H605" i="525"/>
  <c r="E605" i="525"/>
  <c r="H632" i="525"/>
  <c r="E632" i="525"/>
  <c r="H672" i="525"/>
  <c r="E672" i="525"/>
  <c r="H754" i="525"/>
  <c r="E754" i="525"/>
  <c r="H251" i="525"/>
  <c r="E251" i="525"/>
  <c r="H375" i="525"/>
  <c r="E375" i="525"/>
  <c r="H527" i="525"/>
  <c r="E527" i="525"/>
  <c r="H1401" i="525"/>
  <c r="E1401" i="525"/>
  <c r="H1408" i="525"/>
  <c r="E1408" i="525"/>
  <c r="H1443" i="525"/>
  <c r="E1443" i="525"/>
  <c r="H1548" i="525"/>
  <c r="E1548" i="525"/>
  <c r="H1857" i="525"/>
  <c r="E1857" i="525"/>
  <c r="H1722" i="525"/>
  <c r="E1722" i="525"/>
  <c r="H1777" i="525"/>
  <c r="E1777" i="525"/>
  <c r="H2151" i="525"/>
  <c r="E2151" i="525"/>
  <c r="H2208" i="525"/>
  <c r="E2208" i="525"/>
  <c r="H1812" i="525"/>
  <c r="E1812" i="525"/>
  <c r="H2328" i="525"/>
  <c r="E2328" i="525"/>
  <c r="H2463" i="525"/>
  <c r="E2463" i="525"/>
  <c r="H2355" i="525"/>
  <c r="E2355" i="525"/>
  <c r="H2288" i="525"/>
  <c r="E2288" i="525"/>
  <c r="H2494" i="525"/>
  <c r="E2494" i="525"/>
  <c r="H2617" i="525"/>
  <c r="E2617" i="525"/>
  <c r="H2653" i="525"/>
  <c r="E2653" i="525"/>
  <c r="H2308" i="525"/>
  <c r="E2308" i="525"/>
  <c r="H2453" i="525"/>
  <c r="E2453" i="525"/>
  <c r="F5080" i="527"/>
  <c r="C5078" i="527"/>
  <c r="M476" i="523"/>
  <c r="G476" i="523" s="1"/>
  <c r="F476" i="523"/>
  <c r="B7935" i="527"/>
  <c r="B1135" i="527"/>
  <c r="K1589" i="525"/>
  <c r="L1589" i="525" s="1"/>
  <c r="L1590" i="525" s="1"/>
  <c r="H218" i="524" s="1"/>
  <c r="L333" i="523" s="1"/>
  <c r="M333" i="523" s="1"/>
  <c r="L355" i="523"/>
  <c r="M355" i="523" s="1"/>
  <c r="F5684" i="527"/>
  <c r="F5689" i="527" s="1"/>
  <c r="E5684" i="527"/>
  <c r="D5684" i="527"/>
  <c r="D5689" i="527" s="1"/>
  <c r="E8254" i="527"/>
  <c r="C6734" i="527"/>
  <c r="B6734" i="527" s="1"/>
  <c r="E6739" i="527"/>
  <c r="C6739" i="527" s="1"/>
  <c r="E5504" i="527"/>
  <c r="M480" i="523"/>
  <c r="G480" i="523" s="1"/>
  <c r="F480" i="523"/>
  <c r="E7105" i="527"/>
  <c r="C7154" i="527"/>
  <c r="G134" i="526"/>
  <c r="J374" i="523" s="1"/>
  <c r="E4804" i="527"/>
  <c r="I8085" i="527"/>
  <c r="D8085" i="527"/>
  <c r="I3173" i="527"/>
  <c r="D3173" i="527"/>
  <c r="E1431" i="525"/>
  <c r="H1431" i="525"/>
  <c r="E6989" i="527"/>
  <c r="C6989" i="527" s="1"/>
  <c r="C6984" i="527"/>
  <c r="B6984" i="527" s="1"/>
  <c r="K1004" i="525"/>
  <c r="L1004" i="525" s="1"/>
  <c r="L1009" i="525" s="1"/>
  <c r="H141" i="524" s="1"/>
  <c r="L129" i="523" s="1"/>
  <c r="M129" i="523" s="1"/>
  <c r="K972" i="525"/>
  <c r="L972" i="525" s="1"/>
  <c r="L977" i="525" s="1"/>
  <c r="H137" i="524" s="1"/>
  <c r="L125" i="523" s="1"/>
  <c r="M125" i="523" s="1"/>
  <c r="K944" i="525"/>
  <c r="L944" i="525" s="1"/>
  <c r="L948" i="525" s="1"/>
  <c r="H133" i="524" s="1"/>
  <c r="L124" i="523" s="1"/>
  <c r="M124" i="523" s="1"/>
  <c r="K916" i="525"/>
  <c r="L916" i="525" s="1"/>
  <c r="L920" i="525" s="1"/>
  <c r="H129" i="524" s="1"/>
  <c r="L122" i="523" s="1"/>
  <c r="M122" i="523" s="1"/>
  <c r="K1012" i="525"/>
  <c r="L1012" i="525" s="1"/>
  <c r="L1017" i="525" s="1"/>
  <c r="H142" i="524" s="1"/>
  <c r="L130" i="523" s="1"/>
  <c r="M130" i="523" s="1"/>
  <c r="K980" i="525"/>
  <c r="L980" i="525" s="1"/>
  <c r="L985" i="525" s="1"/>
  <c r="H138" i="524" s="1"/>
  <c r="L126" i="523" s="1"/>
  <c r="M126" i="523" s="1"/>
  <c r="K965" i="525"/>
  <c r="L965" i="525" s="1"/>
  <c r="L969" i="525" s="1"/>
  <c r="H136" i="524" s="1"/>
  <c r="L120" i="523" s="1"/>
  <c r="M120" i="523" s="1"/>
  <c r="K937" i="525"/>
  <c r="L937" i="525" s="1"/>
  <c r="L941" i="525" s="1"/>
  <c r="H132" i="524" s="1"/>
  <c r="L135" i="523" s="1"/>
  <c r="M135" i="523" s="1"/>
  <c r="K909" i="525"/>
  <c r="L909" i="525" s="1"/>
  <c r="L913" i="525" s="1"/>
  <c r="H128" i="524" s="1"/>
  <c r="L133" i="523" s="1"/>
  <c r="M133" i="523" s="1"/>
  <c r="K1020" i="525"/>
  <c r="L1020" i="525" s="1"/>
  <c r="L1025" i="525" s="1"/>
  <c r="H143" i="524" s="1"/>
  <c r="L131" i="523" s="1"/>
  <c r="M131" i="523" s="1"/>
  <c r="K988" i="525"/>
  <c r="L988" i="525" s="1"/>
  <c r="L993" i="525" s="1"/>
  <c r="H139" i="524" s="1"/>
  <c r="L127" i="523" s="1"/>
  <c r="M127" i="523" s="1"/>
  <c r="K958" i="525"/>
  <c r="L958" i="525" s="1"/>
  <c r="L962" i="525" s="1"/>
  <c r="H135" i="524" s="1"/>
  <c r="L119" i="523" s="1"/>
  <c r="M119" i="523" s="1"/>
  <c r="K930" i="525"/>
  <c r="L930" i="525" s="1"/>
  <c r="L934" i="525" s="1"/>
  <c r="H131" i="524" s="1"/>
  <c r="L123" i="523" s="1"/>
  <c r="M123" i="523" s="1"/>
  <c r="K902" i="525"/>
  <c r="L902" i="525" s="1"/>
  <c r="L906" i="525" s="1"/>
  <c r="H127" i="524" s="1"/>
  <c r="L121" i="523" s="1"/>
  <c r="M121" i="523" s="1"/>
  <c r="K1028" i="525"/>
  <c r="L1028" i="525" s="1"/>
  <c r="L1033" i="525" s="1"/>
  <c r="H144" i="524" s="1"/>
  <c r="L132" i="523" s="1"/>
  <c r="M132" i="523" s="1"/>
  <c r="K996" i="525"/>
  <c r="L996" i="525" s="1"/>
  <c r="L1001" i="525" s="1"/>
  <c r="H140" i="524" s="1"/>
  <c r="L128" i="523" s="1"/>
  <c r="M128" i="523" s="1"/>
  <c r="K951" i="525"/>
  <c r="L951" i="525" s="1"/>
  <c r="L955" i="525" s="1"/>
  <c r="H134" i="524" s="1"/>
  <c r="L136" i="523" s="1"/>
  <c r="M136" i="523" s="1"/>
  <c r="K923" i="525"/>
  <c r="L923" i="525" s="1"/>
  <c r="L927" i="525" s="1"/>
  <c r="H130" i="524" s="1"/>
  <c r="L134" i="523" s="1"/>
  <c r="M134" i="523" s="1"/>
  <c r="B5228" i="527"/>
  <c r="I8477" i="527"/>
  <c r="D8477" i="527"/>
  <c r="B4488" i="527"/>
  <c r="B435" i="527"/>
  <c r="E7255" i="527"/>
  <c r="C7304" i="527"/>
  <c r="G137" i="526"/>
  <c r="D1237" i="527"/>
  <c r="C1235" i="527"/>
  <c r="B1235" i="527" s="1"/>
  <c r="C4338" i="527"/>
  <c r="B4338" i="527" s="1"/>
  <c r="F4340" i="527"/>
  <c r="F4343" i="527" s="1"/>
  <c r="F4354" i="527" s="1"/>
  <c r="B4388" i="527"/>
  <c r="D737" i="527"/>
  <c r="C735" i="527"/>
  <c r="B735" i="527" s="1"/>
  <c r="F3405" i="527"/>
  <c r="H61" i="526"/>
  <c r="K2067" i="525" s="1"/>
  <c r="L2067" i="525" s="1"/>
  <c r="E8054" i="527"/>
  <c r="H1532" i="525"/>
  <c r="D2590" i="527"/>
  <c r="C2588" i="527"/>
  <c r="B2588" i="527" s="1"/>
  <c r="C8805" i="527"/>
  <c r="E166" i="526"/>
  <c r="C8755" i="527"/>
  <c r="E165" i="526"/>
  <c r="E1258" i="525"/>
  <c r="H1258" i="525"/>
  <c r="B4076" i="527"/>
  <c r="F5884" i="527"/>
  <c r="F5889" i="527" s="1"/>
  <c r="E5884" i="527"/>
  <c r="D5884" i="527"/>
  <c r="D5889" i="527" s="1"/>
  <c r="I1335" i="527"/>
  <c r="D1335" i="527"/>
  <c r="J2549" i="525"/>
  <c r="B5578" i="527"/>
  <c r="D2990" i="527"/>
  <c r="C2988" i="527"/>
  <c r="B2988" i="527" s="1"/>
  <c r="E2655" i="527"/>
  <c r="G47" i="526"/>
  <c r="J319" i="523" s="1"/>
  <c r="I8244" i="527"/>
  <c r="D8244" i="527"/>
  <c r="H190" i="525"/>
  <c r="F33" i="524" s="1"/>
  <c r="G2109" i="525" s="1"/>
  <c r="H2109" i="525" s="1"/>
  <c r="K189" i="525"/>
  <c r="E7854" i="527"/>
  <c r="D7887" i="527"/>
  <c r="C7885" i="527"/>
  <c r="B7885" i="527" s="1"/>
  <c r="B5378" i="527"/>
  <c r="I2181" i="527"/>
  <c r="D2181" i="527"/>
  <c r="D2840" i="527"/>
  <c r="C2838" i="527"/>
  <c r="B2838" i="527" s="1"/>
  <c r="D7205" i="527"/>
  <c r="F136" i="526"/>
  <c r="H238" i="523" s="1"/>
  <c r="I238" i="523" s="1"/>
  <c r="F30" i="526"/>
  <c r="H315" i="523" s="1"/>
  <c r="I315" i="523" s="1"/>
  <c r="F4930" i="527"/>
  <c r="C4928" i="527"/>
  <c r="B4928" i="527" s="1"/>
  <c r="H2083" i="525"/>
  <c r="H2078" i="525"/>
  <c r="K229" i="523"/>
  <c r="I1728" i="525"/>
  <c r="I1705" i="525"/>
  <c r="I1671" i="525"/>
  <c r="I1716" i="525"/>
  <c r="I1864" i="525"/>
  <c r="I1851" i="525"/>
  <c r="I1838" i="525"/>
  <c r="I1825" i="525"/>
  <c r="I1752" i="525"/>
  <c r="I1683" i="525"/>
  <c r="I1740" i="525"/>
  <c r="I1694" i="525"/>
  <c r="I1560" i="525"/>
  <c r="I1539" i="525"/>
  <c r="I1387" i="525"/>
  <c r="I1429" i="525"/>
  <c r="I1423" i="525"/>
  <c r="I1436" i="525"/>
  <c r="E5104" i="527"/>
  <c r="E7954" i="527"/>
  <c r="F5784" i="527"/>
  <c r="F5789" i="527" s="1"/>
  <c r="E5784" i="527"/>
  <c r="D5784" i="527"/>
  <c r="D5789" i="527" s="1"/>
  <c r="C7685" i="527"/>
  <c r="E7704" i="527"/>
  <c r="C3505" i="527"/>
  <c r="E63" i="526"/>
  <c r="B3039" i="527"/>
  <c r="F6384" i="527"/>
  <c r="F6389" i="527" s="1"/>
  <c r="D6384" i="527"/>
  <c r="D6389" i="527" s="1"/>
  <c r="E6384" i="527"/>
  <c r="B1492" i="527"/>
  <c r="E704" i="527"/>
  <c r="F5330" i="527"/>
  <c r="C5328" i="527"/>
  <c r="B5328" i="527" s="1"/>
  <c r="C7505" i="527"/>
  <c r="E141" i="526"/>
  <c r="E4754" i="527"/>
  <c r="F5130" i="527"/>
  <c r="C5128" i="527"/>
  <c r="B5128" i="527" s="1"/>
  <c r="K396" i="523"/>
  <c r="I5382" i="527"/>
  <c r="D5382" i="527"/>
  <c r="E2754" i="527"/>
  <c r="M475" i="523"/>
  <c r="F475" i="523"/>
  <c r="E6139" i="527"/>
  <c r="C6139" i="527" s="1"/>
  <c r="C6134" i="527"/>
  <c r="B6134" i="527" s="1"/>
  <c r="F5480" i="527"/>
  <c r="C5478" i="527"/>
  <c r="B5478" i="527" s="1"/>
  <c r="E1054" i="527"/>
  <c r="F2037" i="525"/>
  <c r="E276" i="524" s="1"/>
  <c r="G276" i="524"/>
  <c r="H502" i="525"/>
  <c r="F502" i="525" s="1"/>
  <c r="E502" i="525"/>
  <c r="H537" i="525"/>
  <c r="F537" i="525" s="1"/>
  <c r="E537" i="525"/>
  <c r="H806" i="525"/>
  <c r="F806" i="525" s="1"/>
  <c r="E806" i="525"/>
  <c r="H716" i="525"/>
  <c r="F716" i="525" s="1"/>
  <c r="E716" i="525"/>
  <c r="H529" i="525"/>
  <c r="F529" i="525" s="1"/>
  <c r="E529" i="525"/>
  <c r="H579" i="525"/>
  <c r="F579" i="525" s="1"/>
  <c r="E579" i="525"/>
  <c r="H746" i="525"/>
  <c r="F746" i="525" s="1"/>
  <c r="E746" i="525"/>
  <c r="H1690" i="525"/>
  <c r="F1690" i="525" s="1"/>
  <c r="E1690" i="525"/>
  <c r="H2156" i="525"/>
  <c r="F2156" i="525" s="1"/>
  <c r="E2156" i="525"/>
  <c r="H1834" i="525"/>
  <c r="F1834" i="525" s="1"/>
  <c r="E1834" i="525"/>
  <c r="H2213" i="525"/>
  <c r="F2213" i="525" s="1"/>
  <c r="E2213" i="525"/>
  <c r="H2233" i="525"/>
  <c r="F2233" i="525" s="1"/>
  <c r="E2233" i="525"/>
  <c r="H1875" i="525"/>
  <c r="E1875" i="525"/>
  <c r="H2273" i="525"/>
  <c r="F2273" i="525" s="1"/>
  <c r="E2273" i="525"/>
  <c r="H2456" i="525"/>
  <c r="F2456" i="525" s="1"/>
  <c r="E2456" i="525"/>
  <c r="H2331" i="525"/>
  <c r="F2331" i="525" s="1"/>
  <c r="E2331" i="525"/>
  <c r="H2466" i="525"/>
  <c r="F2466" i="525" s="1"/>
  <c r="E2466" i="525"/>
  <c r="H2436" i="525"/>
  <c r="F2436" i="525" s="1"/>
  <c r="E2436" i="525"/>
  <c r="H2628" i="525"/>
  <c r="F2628" i="525" s="1"/>
  <c r="E2628" i="525"/>
  <c r="H2664" i="525"/>
  <c r="F2664" i="525" s="1"/>
  <c r="E2664" i="525"/>
  <c r="H2406" i="525"/>
  <c r="F2406" i="525" s="1"/>
  <c r="E2406" i="525"/>
  <c r="E1104" i="527"/>
  <c r="C4588" i="527"/>
  <c r="B4588" i="527" s="1"/>
  <c r="F4590" i="527"/>
  <c r="F4593" i="527" s="1"/>
  <c r="F4604" i="527" s="1"/>
  <c r="D6434" i="527"/>
  <c r="D6439" i="527" s="1"/>
  <c r="F6434" i="527"/>
  <c r="F6439" i="527" s="1"/>
  <c r="E6434" i="527"/>
  <c r="C8655" i="527"/>
  <c r="E163" i="526"/>
  <c r="E4904" i="527"/>
  <c r="E1254" i="527"/>
  <c r="D5032" i="527"/>
  <c r="I5032" i="527"/>
  <c r="I7387" i="527"/>
  <c r="D7387" i="527"/>
  <c r="E5404" i="527"/>
  <c r="E754" i="527"/>
  <c r="F7030" i="527"/>
  <c r="C7028" i="527"/>
  <c r="B7028" i="527" s="1"/>
  <c r="K149" i="523"/>
  <c r="G149" i="523" s="1"/>
  <c r="F149" i="523"/>
  <c r="C2539" i="527"/>
  <c r="E2554" i="527"/>
  <c r="E204" i="527"/>
  <c r="C185" i="527"/>
  <c r="G2017" i="525"/>
  <c r="J837" i="525"/>
  <c r="G446" i="523"/>
  <c r="G445" i="523" s="1"/>
  <c r="D15" i="522" s="1"/>
  <c r="K445" i="523"/>
  <c r="F15" i="522" s="1"/>
  <c r="H230" i="525"/>
  <c r="E230" i="525"/>
  <c r="H367" i="525"/>
  <c r="E367" i="525"/>
  <c r="H536" i="525"/>
  <c r="E536" i="525"/>
  <c r="H679" i="525"/>
  <c r="E679" i="525"/>
  <c r="H774" i="525"/>
  <c r="E774" i="525"/>
  <c r="H329" i="525"/>
  <c r="E329" i="525"/>
  <c r="H724" i="525"/>
  <c r="E724" i="525"/>
  <c r="H132" i="525"/>
  <c r="E132" i="525"/>
  <c r="H168" i="525"/>
  <c r="E168" i="525"/>
  <c r="H291" i="525"/>
  <c r="E291" i="525"/>
  <c r="H518" i="525"/>
  <c r="E518" i="525"/>
  <c r="H578" i="525"/>
  <c r="E578" i="525"/>
  <c r="H614" i="525"/>
  <c r="E614" i="525"/>
  <c r="H638" i="525"/>
  <c r="E638" i="525"/>
  <c r="H686" i="525"/>
  <c r="E686" i="525"/>
  <c r="H794" i="525"/>
  <c r="E794" i="525"/>
  <c r="H283" i="525"/>
  <c r="E283" i="525"/>
  <c r="H407" i="525"/>
  <c r="E407" i="525"/>
  <c r="H744" i="525"/>
  <c r="E744" i="525"/>
  <c r="H1416" i="525"/>
  <c r="E1416" i="525"/>
  <c r="H1710" i="525"/>
  <c r="E1710" i="525"/>
  <c r="H1455" i="525"/>
  <c r="E1455" i="525"/>
  <c r="H1676" i="525"/>
  <c r="E1676" i="525"/>
  <c r="H2170" i="525"/>
  <c r="E2170" i="525"/>
  <c r="H1759" i="525"/>
  <c r="E1759" i="525"/>
  <c r="H1791" i="525"/>
  <c r="E1791" i="525"/>
  <c r="H1664" i="525"/>
  <c r="E1664" i="525"/>
  <c r="H1746" i="525"/>
  <c r="E1746" i="525"/>
  <c r="H2068" i="525"/>
  <c r="F2068" i="525" s="1"/>
  <c r="E2068" i="525"/>
  <c r="H2364" i="525"/>
  <c r="E2364" i="525"/>
  <c r="H2593" i="525"/>
  <c r="E2593" i="525"/>
  <c r="H2393" i="525"/>
  <c r="E2393" i="525"/>
  <c r="H2346" i="525"/>
  <c r="E2346" i="525"/>
  <c r="H2504" i="525"/>
  <c r="E2504" i="525"/>
  <c r="H2626" i="525"/>
  <c r="E2626" i="525"/>
  <c r="H2662" i="525"/>
  <c r="E2662" i="525"/>
  <c r="H2337" i="525"/>
  <c r="E2337" i="525"/>
  <c r="B5078" i="527"/>
  <c r="E5454" i="527"/>
  <c r="C8705" i="527"/>
  <c r="E164" i="526"/>
  <c r="E5604" i="527"/>
  <c r="C8905" i="527"/>
  <c r="E168" i="526"/>
  <c r="E6689" i="527"/>
  <c r="C6689" i="527" s="1"/>
  <c r="C6684" i="527"/>
  <c r="B6684" i="527" s="1"/>
  <c r="D3629" i="527"/>
  <c r="D3654" i="527" s="1"/>
  <c r="C3619" i="527"/>
  <c r="B3619" i="527" s="1"/>
  <c r="H2131" i="525"/>
  <c r="F2131" i="525" s="1"/>
  <c r="E2131" i="525"/>
  <c r="E5554" i="527"/>
  <c r="K36" i="527"/>
  <c r="I56" i="525"/>
  <c r="F4730" i="527"/>
  <c r="C4728" i="527"/>
  <c r="B4728" i="527" s="1"/>
  <c r="I60" i="527"/>
  <c r="D60" i="527"/>
  <c r="I3322" i="527"/>
  <c r="D3322" i="527"/>
  <c r="F152" i="523"/>
  <c r="K152" i="523"/>
  <c r="G152" i="523" s="1"/>
  <c r="K2123" i="525"/>
  <c r="L2123" i="525" s="1"/>
  <c r="K2113" i="525"/>
  <c r="L2113" i="525" s="1"/>
  <c r="K2143" i="525"/>
  <c r="L2143" i="525" s="1"/>
  <c r="K2133" i="525"/>
  <c r="L2133" i="525" s="1"/>
  <c r="K898" i="525"/>
  <c r="L898" i="525" s="1"/>
  <c r="K890" i="525"/>
  <c r="L890" i="525" s="1"/>
  <c r="E3054" i="527"/>
  <c r="D18" i="461"/>
  <c r="D5" i="461"/>
  <c r="A2" i="462"/>
  <c r="D4" i="461"/>
  <c r="F108" i="530" l="1"/>
  <c r="E18" i="529" s="1"/>
  <c r="G18" i="529"/>
  <c r="K1494" i="527" s="1"/>
  <c r="M301" i="523"/>
  <c r="G11" i="522" s="1"/>
  <c r="F48" i="530"/>
  <c r="E9" i="529" s="1"/>
  <c r="G9" i="529"/>
  <c r="K7186" i="527" s="1"/>
  <c r="G4" i="529"/>
  <c r="F11" i="530"/>
  <c r="E4" i="529" s="1"/>
  <c r="G12" i="529"/>
  <c r="K3621" i="527" s="1"/>
  <c r="F69" i="530"/>
  <c r="E12" i="529" s="1"/>
  <c r="F90" i="530"/>
  <c r="E15" i="529" s="1"/>
  <c r="G15" i="529"/>
  <c r="I57" i="525" s="1"/>
  <c r="L2098" i="525"/>
  <c r="F2098" i="525" s="1"/>
  <c r="E2098" i="525"/>
  <c r="F76" i="530"/>
  <c r="E13" i="529" s="1"/>
  <c r="G13" i="529"/>
  <c r="K100" i="527" s="1"/>
  <c r="I100" i="527" s="1"/>
  <c r="G21" i="529"/>
  <c r="F129" i="530"/>
  <c r="E21" i="529" s="1"/>
  <c r="F62" i="530"/>
  <c r="E11" i="529" s="1"/>
  <c r="G11" i="529"/>
  <c r="F101" i="530"/>
  <c r="E17" i="529" s="1"/>
  <c r="G17" i="529"/>
  <c r="M206" i="523"/>
  <c r="G206" i="523" s="1"/>
  <c r="F206" i="523"/>
  <c r="E705" i="527"/>
  <c r="G16" i="526"/>
  <c r="J353" i="523" s="1"/>
  <c r="E1055" i="527"/>
  <c r="G23" i="526"/>
  <c r="J336" i="523" s="1"/>
  <c r="C5480" i="527"/>
  <c r="F5486" i="527"/>
  <c r="F5504" i="527" s="1"/>
  <c r="M474" i="523"/>
  <c r="G16" i="522" s="1"/>
  <c r="G475" i="523"/>
  <c r="G474" i="523" s="1"/>
  <c r="D16" i="522" s="1"/>
  <c r="C5130" i="527"/>
  <c r="F5136" i="527"/>
  <c r="F5154" i="527" s="1"/>
  <c r="E5789" i="527"/>
  <c r="C5789" i="527" s="1"/>
  <c r="C5784" i="527"/>
  <c r="B5784" i="527" s="1"/>
  <c r="J1429" i="525"/>
  <c r="E1429" i="525"/>
  <c r="J1694" i="525"/>
  <c r="F1694" i="525" s="1"/>
  <c r="E1694" i="525"/>
  <c r="J1825" i="525"/>
  <c r="F1825" i="525" s="1"/>
  <c r="E1825" i="525"/>
  <c r="J1716" i="525"/>
  <c r="F1716" i="525" s="1"/>
  <c r="E1716" i="525"/>
  <c r="E7805" i="527"/>
  <c r="G146" i="526"/>
  <c r="J359" i="523" s="1"/>
  <c r="D1239" i="527"/>
  <c r="C1237" i="527"/>
  <c r="D3179" i="527"/>
  <c r="D3204" i="527" s="1"/>
  <c r="C3173" i="527"/>
  <c r="C7105" i="527"/>
  <c r="E134" i="526"/>
  <c r="E5689" i="527"/>
  <c r="C5689" i="527" s="1"/>
  <c r="C5684" i="527"/>
  <c r="B5684" i="527" s="1"/>
  <c r="E9004" i="527"/>
  <c r="C8996" i="527"/>
  <c r="D5234" i="527"/>
  <c r="C5232" i="527"/>
  <c r="K227" i="523"/>
  <c r="J2055" i="525"/>
  <c r="E2055" i="525"/>
  <c r="I3274" i="527"/>
  <c r="E3274" i="527"/>
  <c r="F1438" i="525"/>
  <c r="H1439" i="525"/>
  <c r="F201" i="524" s="1"/>
  <c r="H221" i="523" s="1"/>
  <c r="I221" i="523" s="1"/>
  <c r="I2133" i="527"/>
  <c r="E2133" i="527"/>
  <c r="I1933" i="527"/>
  <c r="E1933" i="527"/>
  <c r="I1406" i="525"/>
  <c r="I1414" i="525"/>
  <c r="I1399" i="525"/>
  <c r="I428" i="525"/>
  <c r="I405" i="525"/>
  <c r="I416" i="525"/>
  <c r="E4905" i="527"/>
  <c r="G90" i="526"/>
  <c r="J401" i="523" s="1"/>
  <c r="L2099" i="525"/>
  <c r="F2099" i="525" s="1"/>
  <c r="E2099" i="525"/>
  <c r="H1950" i="525"/>
  <c r="F1948" i="525"/>
  <c r="G192" i="523"/>
  <c r="J903" i="525"/>
  <c r="F903" i="525" s="1"/>
  <c r="E903" i="525"/>
  <c r="J1021" i="525"/>
  <c r="F1021" i="525" s="1"/>
  <c r="E1021" i="525"/>
  <c r="J981" i="525"/>
  <c r="F981" i="525" s="1"/>
  <c r="E981" i="525"/>
  <c r="J1005" i="525"/>
  <c r="F1005" i="525" s="1"/>
  <c r="E1005" i="525"/>
  <c r="J876" i="525"/>
  <c r="J447" i="525"/>
  <c r="J1345" i="525"/>
  <c r="J1337" i="525"/>
  <c r="J1330" i="525"/>
  <c r="J1895" i="525"/>
  <c r="J1963" i="525"/>
  <c r="J2486" i="525"/>
  <c r="J2479" i="525"/>
  <c r="C3755" i="527"/>
  <c r="E67" i="526"/>
  <c r="D5434" i="527"/>
  <c r="C5432" i="527"/>
  <c r="J945" i="525"/>
  <c r="F945" i="525" s="1"/>
  <c r="E945" i="525"/>
  <c r="L460" i="525"/>
  <c r="E460" i="525"/>
  <c r="L2552" i="525"/>
  <c r="E2552" i="525"/>
  <c r="H1660" i="525"/>
  <c r="L1640" i="525"/>
  <c r="F1640" i="525" s="1"/>
  <c r="E1640" i="525"/>
  <c r="G1016" i="525"/>
  <c r="G1008" i="525"/>
  <c r="K1658" i="525"/>
  <c r="K1641" i="525"/>
  <c r="K1649" i="525"/>
  <c r="L207" i="523"/>
  <c r="L213" i="525"/>
  <c r="E213" i="525"/>
  <c r="G878" i="525"/>
  <c r="G1363" i="525"/>
  <c r="G1355" i="525"/>
  <c r="G1514" i="525"/>
  <c r="G2481" i="525"/>
  <c r="C4078" i="527"/>
  <c r="F4081" i="527"/>
  <c r="F4405" i="527"/>
  <c r="H80" i="526"/>
  <c r="L392" i="523" s="1"/>
  <c r="M392" i="523" s="1"/>
  <c r="K226" i="523"/>
  <c r="E9033" i="527"/>
  <c r="C9029" i="527"/>
  <c r="E2305" i="527"/>
  <c r="C2354" i="527"/>
  <c r="G40" i="526"/>
  <c r="J309" i="523" s="1"/>
  <c r="F4455" i="527"/>
  <c r="H81" i="526"/>
  <c r="L393" i="523" s="1"/>
  <c r="M393" i="523" s="1"/>
  <c r="E2905" i="527"/>
  <c r="G52" i="526"/>
  <c r="J322" i="523" s="1"/>
  <c r="G68" i="524"/>
  <c r="J199" i="523" s="1"/>
  <c r="D1139" i="527"/>
  <c r="C1137" i="527"/>
  <c r="E5205" i="527"/>
  <c r="G96" i="526"/>
  <c r="J395" i="523" s="1"/>
  <c r="C8191" i="527"/>
  <c r="F8197" i="527"/>
  <c r="F8204" i="527" s="1"/>
  <c r="F1264" i="525"/>
  <c r="H1265" i="525"/>
  <c r="F178" i="524" s="1"/>
  <c r="H103" i="523" s="1"/>
  <c r="I103" i="523" s="1"/>
  <c r="C2641" i="527"/>
  <c r="D2643" i="527"/>
  <c r="H1943" i="525"/>
  <c r="F1941" i="525"/>
  <c r="H99" i="525"/>
  <c r="F96" i="525"/>
  <c r="D5084" i="527"/>
  <c r="C5082" i="527"/>
  <c r="I373" i="525"/>
  <c r="I341" i="525"/>
  <c r="I313" i="525"/>
  <c r="I281" i="525"/>
  <c r="I249" i="525"/>
  <c r="I221" i="525"/>
  <c r="I381" i="525"/>
  <c r="I349" i="525"/>
  <c r="I334" i="525"/>
  <c r="I289" i="525"/>
  <c r="I257" i="525"/>
  <c r="I242" i="525"/>
  <c r="I389" i="525"/>
  <c r="I357" i="525"/>
  <c r="I327" i="525"/>
  <c r="I297" i="525"/>
  <c r="I265" i="525"/>
  <c r="I235" i="525"/>
  <c r="I397" i="525"/>
  <c r="I365" i="525"/>
  <c r="I320" i="525"/>
  <c r="I305" i="525"/>
  <c r="I273" i="525"/>
  <c r="I228" i="525"/>
  <c r="E505" i="527"/>
  <c r="G12" i="526"/>
  <c r="J349" i="523" s="1"/>
  <c r="E7055" i="527"/>
  <c r="G133" i="526"/>
  <c r="J210" i="523" s="1"/>
  <c r="E4055" i="527"/>
  <c r="G73" i="526"/>
  <c r="J379" i="523" s="1"/>
  <c r="J435" i="525"/>
  <c r="F435" i="525" s="1"/>
  <c r="E435" i="525"/>
  <c r="E1460" i="525"/>
  <c r="J1460" i="525"/>
  <c r="F1460" i="525" s="1"/>
  <c r="J2242" i="525"/>
  <c r="F2242" i="525" s="1"/>
  <c r="E2242" i="525"/>
  <c r="J2302" i="525"/>
  <c r="F2302" i="525" s="1"/>
  <c r="E2302" i="525"/>
  <c r="J2510" i="525"/>
  <c r="F2510" i="525" s="1"/>
  <c r="E2510" i="525"/>
  <c r="J1562" i="525"/>
  <c r="C904" i="527"/>
  <c r="E855" i="527"/>
  <c r="G19" i="526"/>
  <c r="J344" i="523" s="1"/>
  <c r="H1642" i="525"/>
  <c r="C4178" i="527"/>
  <c r="F4181" i="527"/>
  <c r="D1389" i="527"/>
  <c r="D1402" i="527" s="1"/>
  <c r="D1454" i="527" s="1"/>
  <c r="C1381" i="527"/>
  <c r="F5436" i="527"/>
  <c r="F5454" i="527" s="1"/>
  <c r="C5430" i="527"/>
  <c r="I7414" i="527"/>
  <c r="E7414" i="527"/>
  <c r="E1305" i="527"/>
  <c r="G28" i="526"/>
  <c r="J341" i="523" s="1"/>
  <c r="C2791" i="527"/>
  <c r="D2793" i="527"/>
  <c r="E405" i="527"/>
  <c r="G10" i="526"/>
  <c r="J346" i="523" s="1"/>
  <c r="I2679" i="525"/>
  <c r="I2670" i="525"/>
  <c r="I2661" i="525"/>
  <c r="I2652" i="525"/>
  <c r="I2643" i="525"/>
  <c r="I2634" i="525"/>
  <c r="I2625" i="525"/>
  <c r="I2616" i="525"/>
  <c r="I2600" i="525"/>
  <c r="I2584" i="525"/>
  <c r="I2540" i="525"/>
  <c r="I2503" i="525"/>
  <c r="I2442" i="525"/>
  <c r="I2402" i="525"/>
  <c r="I2345" i="525"/>
  <c r="I2515" i="525"/>
  <c r="I2492" i="525"/>
  <c r="I2478" i="525"/>
  <c r="I2472" i="525"/>
  <c r="I2432" i="525"/>
  <c r="I2392" i="525"/>
  <c r="I2354" i="525"/>
  <c r="I2608" i="525"/>
  <c r="I2592" i="525"/>
  <c r="I2533" i="525"/>
  <c r="I2527" i="525"/>
  <c r="I2462" i="525"/>
  <c r="I2422" i="525"/>
  <c r="I2382" i="525"/>
  <c r="I2363" i="525"/>
  <c r="I2327" i="525"/>
  <c r="I2485" i="525"/>
  <c r="I2452" i="525"/>
  <c r="I2412" i="525"/>
  <c r="I2372" i="525"/>
  <c r="I2336" i="525"/>
  <c r="I2307" i="525"/>
  <c r="I2267" i="525"/>
  <c r="I2207" i="525"/>
  <c r="I1894" i="525"/>
  <c r="I1733" i="525"/>
  <c r="I1687" i="525"/>
  <c r="I1663" i="525"/>
  <c r="I2150" i="525"/>
  <c r="I1969" i="525"/>
  <c r="I1953" i="525"/>
  <c r="I1804" i="525"/>
  <c r="I1790" i="525"/>
  <c r="I1776" i="525"/>
  <c r="I1770" i="525"/>
  <c r="I1764" i="525"/>
  <c r="I1758" i="525"/>
  <c r="I1721" i="525"/>
  <c r="I1698" i="525"/>
  <c r="I2247" i="525"/>
  <c r="I2169" i="525"/>
  <c r="I1977" i="525"/>
  <c r="I1962" i="525"/>
  <c r="I1887" i="525"/>
  <c r="I1881" i="525"/>
  <c r="I1856" i="525"/>
  <c r="I1843" i="525"/>
  <c r="I1830" i="525"/>
  <c r="I1817" i="525"/>
  <c r="I1709" i="525"/>
  <c r="I1675" i="525"/>
  <c r="I2287" i="525"/>
  <c r="I2227" i="525"/>
  <c r="I2188" i="525"/>
  <c r="I1745" i="525"/>
  <c r="I1547" i="525"/>
  <c r="I1510" i="525"/>
  <c r="I1495" i="525"/>
  <c r="I1480" i="525"/>
  <c r="I1454" i="525"/>
  <c r="I1442" i="525"/>
  <c r="I1367" i="525"/>
  <c r="I1312" i="525"/>
  <c r="I1306" i="525"/>
  <c r="I1811" i="525"/>
  <c r="I1783" i="525"/>
  <c r="I1518" i="525"/>
  <c r="I1503" i="525"/>
  <c r="I1343" i="525"/>
  <c r="I1320" i="525"/>
  <c r="I1299" i="525"/>
  <c r="I1526" i="525"/>
  <c r="I1467" i="525"/>
  <c r="I1374" i="525"/>
  <c r="I1351" i="525"/>
  <c r="I1328" i="525"/>
  <c r="I1292" i="525"/>
  <c r="I1797" i="525"/>
  <c r="I1487" i="525"/>
  <c r="I1359" i="525"/>
  <c r="I1336" i="525"/>
  <c r="I1285" i="525"/>
  <c r="I866" i="525"/>
  <c r="I852" i="525"/>
  <c r="I793" i="525"/>
  <c r="I753" i="525"/>
  <c r="I713" i="525"/>
  <c r="I699" i="525"/>
  <c r="I685" i="525"/>
  <c r="I671" i="525"/>
  <c r="I657" i="525"/>
  <c r="I643" i="525"/>
  <c r="I637" i="525"/>
  <c r="I631" i="525"/>
  <c r="I625" i="525"/>
  <c r="I619" i="525"/>
  <c r="I613" i="525"/>
  <c r="I604" i="525"/>
  <c r="I595" i="525"/>
  <c r="I586" i="525"/>
  <c r="I577" i="525"/>
  <c r="I568" i="525"/>
  <c r="I559" i="525"/>
  <c r="I543" i="525"/>
  <c r="I517" i="525"/>
  <c r="I176" i="525"/>
  <c r="I167" i="525"/>
  <c r="I158" i="525"/>
  <c r="I149" i="525"/>
  <c r="I140" i="525"/>
  <c r="I131" i="525"/>
  <c r="I115" i="525"/>
  <c r="I874" i="525"/>
  <c r="I859" i="525"/>
  <c r="I803" i="525"/>
  <c r="I763" i="525"/>
  <c r="I723" i="525"/>
  <c r="I508" i="525"/>
  <c r="I773" i="525"/>
  <c r="I733" i="525"/>
  <c r="I706" i="525"/>
  <c r="I692" i="525"/>
  <c r="I678" i="525"/>
  <c r="I664" i="525"/>
  <c r="I650" i="525"/>
  <c r="I551" i="525"/>
  <c r="I535" i="525"/>
  <c r="I499" i="525"/>
  <c r="I123" i="525"/>
  <c r="I107" i="525"/>
  <c r="I783" i="525"/>
  <c r="I743" i="525"/>
  <c r="I526" i="525"/>
  <c r="I490" i="525"/>
  <c r="E2555" i="527"/>
  <c r="G45" i="526"/>
  <c r="J305" i="523" s="1"/>
  <c r="G287" i="524"/>
  <c r="J201" i="523" s="1"/>
  <c r="D1037" i="527"/>
  <c r="C1035" i="527"/>
  <c r="E6339" i="527"/>
  <c r="C6339" i="527" s="1"/>
  <c r="C6334" i="527"/>
  <c r="B6334" i="527" s="1"/>
  <c r="E605" i="527"/>
  <c r="G14" i="526"/>
  <c r="J350" i="523" s="1"/>
  <c r="C1187" i="527"/>
  <c r="D1189" i="527"/>
  <c r="H1936" i="525"/>
  <c r="F1934" i="525"/>
  <c r="H837" i="525"/>
  <c r="F116" i="524" s="1"/>
  <c r="H236" i="523" s="1"/>
  <c r="I236" i="523" s="1"/>
  <c r="F834" i="525"/>
  <c r="E2605" i="527"/>
  <c r="G46" i="526"/>
  <c r="J306" i="523" s="1"/>
  <c r="C3372" i="527"/>
  <c r="E3396" i="527"/>
  <c r="G2140" i="525"/>
  <c r="H2140" i="525" s="1"/>
  <c r="G2120" i="525"/>
  <c r="H2120" i="525" s="1"/>
  <c r="D1089" i="527"/>
  <c r="C1087" i="527"/>
  <c r="I4379" i="527"/>
  <c r="D4379" i="527"/>
  <c r="I4579" i="527"/>
  <c r="D4579" i="527"/>
  <c r="C2891" i="527"/>
  <c r="D2893" i="527"/>
  <c r="I8529" i="527"/>
  <c r="E8529" i="527"/>
  <c r="M202" i="523"/>
  <c r="G202" i="523" s="1"/>
  <c r="F202" i="523"/>
  <c r="C854" i="527"/>
  <c r="E805" i="527"/>
  <c r="G18" i="526"/>
  <c r="J342" i="523" s="1"/>
  <c r="F4733" i="527"/>
  <c r="C4730" i="527"/>
  <c r="D7393" i="527"/>
  <c r="D7395" i="527" s="1"/>
  <c r="C7387" i="527"/>
  <c r="E3005" i="527"/>
  <c r="G54" i="526"/>
  <c r="D67" i="527"/>
  <c r="C60" i="527"/>
  <c r="J56" i="525"/>
  <c r="E56" i="525"/>
  <c r="F2662" i="525"/>
  <c r="G2666" i="525"/>
  <c r="F2504" i="525"/>
  <c r="G2511" i="525"/>
  <c r="F2393" i="525"/>
  <c r="G2398" i="525"/>
  <c r="F2364" i="525"/>
  <c r="H2369" i="525"/>
  <c r="F306" i="524" s="1"/>
  <c r="H87" i="523" s="1"/>
  <c r="I87" i="523" s="1"/>
  <c r="F1746" i="525"/>
  <c r="G1753" i="525"/>
  <c r="G1792" i="525"/>
  <c r="F1791" i="525"/>
  <c r="F2170" i="525"/>
  <c r="H2185" i="525"/>
  <c r="F294" i="524" s="1"/>
  <c r="H117" i="523" s="1"/>
  <c r="I117" i="523" s="1"/>
  <c r="G1463" i="525"/>
  <c r="F1455" i="525"/>
  <c r="F1416" i="525"/>
  <c r="G1418" i="525"/>
  <c r="F407" i="525"/>
  <c r="H413" i="525"/>
  <c r="F62" i="524" s="1"/>
  <c r="H159" i="523" s="1"/>
  <c r="I159" i="523" s="1"/>
  <c r="F794" i="525"/>
  <c r="G799" i="525"/>
  <c r="F638" i="525"/>
  <c r="H640" i="525"/>
  <c r="F92" i="524" s="1"/>
  <c r="H251" i="523" s="1"/>
  <c r="I251" i="523" s="1"/>
  <c r="F578" i="525"/>
  <c r="G582" i="525"/>
  <c r="F291" i="525"/>
  <c r="F132" i="525"/>
  <c r="G136" i="525"/>
  <c r="F329" i="525"/>
  <c r="F679" i="525"/>
  <c r="G681" i="525"/>
  <c r="F367" i="525"/>
  <c r="H2017" i="525"/>
  <c r="E2017" i="525"/>
  <c r="E155" i="527"/>
  <c r="C204" i="527"/>
  <c r="G5" i="526"/>
  <c r="B7387" i="527"/>
  <c r="E1205" i="527"/>
  <c r="G26" i="526"/>
  <c r="J338" i="523" s="1"/>
  <c r="F4555" i="527"/>
  <c r="H83" i="526"/>
  <c r="L404" i="523" s="1"/>
  <c r="M404" i="523" s="1"/>
  <c r="E2705" i="527"/>
  <c r="G48" i="526"/>
  <c r="J320" i="523" s="1"/>
  <c r="C5330" i="527"/>
  <c r="F5336" i="527"/>
  <c r="F5354" i="527" s="1"/>
  <c r="C6384" i="527"/>
  <c r="B6384" i="527" s="1"/>
  <c r="E6389" i="527"/>
  <c r="C6389" i="527" s="1"/>
  <c r="C7704" i="527"/>
  <c r="E7655" i="527"/>
  <c r="G143" i="526"/>
  <c r="J365" i="523" s="1"/>
  <c r="E5055" i="527"/>
  <c r="G93" i="526"/>
  <c r="J382" i="523" s="1"/>
  <c r="J1387" i="525"/>
  <c r="F1387" i="525" s="1"/>
  <c r="E1387" i="525"/>
  <c r="J1740" i="525"/>
  <c r="F1740" i="525" s="1"/>
  <c r="E1740" i="525"/>
  <c r="J1838" i="525"/>
  <c r="F1838" i="525" s="1"/>
  <c r="E1838" i="525"/>
  <c r="E1671" i="525"/>
  <c r="J1671" i="525"/>
  <c r="F1671" i="525" s="1"/>
  <c r="H2084" i="525"/>
  <c r="D2842" i="527"/>
  <c r="C2840" i="527"/>
  <c r="L189" i="525"/>
  <c r="E189" i="525"/>
  <c r="K319" i="523"/>
  <c r="D2992" i="527"/>
  <c r="C2990" i="527"/>
  <c r="G326" i="524"/>
  <c r="J197" i="523" s="1"/>
  <c r="F1258" i="525"/>
  <c r="H1259" i="525"/>
  <c r="F177" i="524" s="1"/>
  <c r="H102" i="523" s="1"/>
  <c r="I102" i="523" s="1"/>
  <c r="F4305" i="527"/>
  <c r="H78" i="526"/>
  <c r="L390" i="523" s="1"/>
  <c r="M390" i="523" s="1"/>
  <c r="I2016" i="525"/>
  <c r="I1994" i="525"/>
  <c r="I2004" i="525"/>
  <c r="B3173" i="527"/>
  <c r="E4755" i="527"/>
  <c r="G87" i="526"/>
  <c r="J388" i="523" s="1"/>
  <c r="E5455" i="527"/>
  <c r="G101" i="526"/>
  <c r="J397" i="523" s="1"/>
  <c r="E8205" i="527"/>
  <c r="G154" i="526"/>
  <c r="J299" i="523" s="1"/>
  <c r="C5080" i="527"/>
  <c r="F5086" i="527"/>
  <c r="F5104" i="527" s="1"/>
  <c r="F2308" i="525"/>
  <c r="G2323" i="525"/>
  <c r="F2617" i="525"/>
  <c r="G2621" i="525"/>
  <c r="F2288" i="525"/>
  <c r="G2303" i="525"/>
  <c r="F2463" i="525"/>
  <c r="G2468" i="525"/>
  <c r="F1812" i="525"/>
  <c r="G1813" i="525"/>
  <c r="F2151" i="525"/>
  <c r="H2166" i="525"/>
  <c r="F293" i="524" s="1"/>
  <c r="H116" i="523" s="1"/>
  <c r="I116" i="523" s="1"/>
  <c r="F1722" i="525"/>
  <c r="G1729" i="525"/>
  <c r="F1548" i="525"/>
  <c r="G1564" i="525"/>
  <c r="F1408" i="525"/>
  <c r="G1410" i="525"/>
  <c r="F527" i="525"/>
  <c r="H532" i="525"/>
  <c r="F78" i="524" s="1"/>
  <c r="H47" i="523" s="1"/>
  <c r="I47" i="523" s="1"/>
  <c r="F251" i="525"/>
  <c r="F672" i="525"/>
  <c r="G674" i="525"/>
  <c r="F605" i="525"/>
  <c r="G609" i="525"/>
  <c r="F383" i="525"/>
  <c r="F159" i="525"/>
  <c r="G163" i="525"/>
  <c r="F509" i="525"/>
  <c r="H514" i="525"/>
  <c r="F76" i="524" s="1"/>
  <c r="H50" i="523" s="1"/>
  <c r="I50" i="523" s="1"/>
  <c r="F734" i="525"/>
  <c r="G739" i="525"/>
  <c r="F500" i="525"/>
  <c r="H505" i="525"/>
  <c r="F75" i="524" s="1"/>
  <c r="H49" i="523" s="1"/>
  <c r="I49" i="523" s="1"/>
  <c r="F124" i="525"/>
  <c r="H128" i="525"/>
  <c r="F26" i="524" s="1"/>
  <c r="H444" i="523" s="1"/>
  <c r="I444" i="523" s="1"/>
  <c r="B5232" i="527"/>
  <c r="J2060" i="525"/>
  <c r="E2060" i="525"/>
  <c r="I3175" i="527"/>
  <c r="E3175" i="527"/>
  <c r="I1383" i="527"/>
  <c r="E1383" i="527"/>
  <c r="I2233" i="527"/>
  <c r="E2233" i="527"/>
  <c r="E955" i="527"/>
  <c r="G21" i="526"/>
  <c r="J335" i="523" s="1"/>
  <c r="D687" i="527"/>
  <c r="C685" i="527"/>
  <c r="J931" i="525"/>
  <c r="F931" i="525" s="1"/>
  <c r="E931" i="525"/>
  <c r="J910" i="525"/>
  <c r="F910" i="525" s="1"/>
  <c r="E910" i="525"/>
  <c r="J1013" i="525"/>
  <c r="F1013" i="525" s="1"/>
  <c r="E1013" i="525"/>
  <c r="E924" i="525"/>
  <c r="J924" i="525"/>
  <c r="F924" i="525" s="1"/>
  <c r="E455" i="527"/>
  <c r="G11" i="526"/>
  <c r="J348" i="523" s="1"/>
  <c r="J454" i="525"/>
  <c r="J1301" i="525"/>
  <c r="J1368" i="525"/>
  <c r="J1287" i="525"/>
  <c r="J1353" i="525"/>
  <c r="J1956" i="525"/>
  <c r="J1978" i="525"/>
  <c r="J2528" i="525"/>
  <c r="D7987" i="527"/>
  <c r="C7985" i="527"/>
  <c r="B5432" i="527"/>
  <c r="C4980" i="527"/>
  <c r="F4983" i="527"/>
  <c r="E952" i="525"/>
  <c r="J952" i="525"/>
  <c r="F952" i="525" s="1"/>
  <c r="C3041" i="527"/>
  <c r="D3043" i="527"/>
  <c r="L835" i="525"/>
  <c r="E835" i="525"/>
  <c r="L2547" i="525"/>
  <c r="E2547" i="525"/>
  <c r="K1554" i="525"/>
  <c r="K1533" i="525"/>
  <c r="K1381" i="525"/>
  <c r="L1648" i="525"/>
  <c r="F1648" i="525" s="1"/>
  <c r="E1648" i="525"/>
  <c r="G1000" i="525"/>
  <c r="D2039" i="527"/>
  <c r="D2052" i="527" s="1"/>
  <c r="D2104" i="527" s="1"/>
  <c r="C2031" i="527"/>
  <c r="F5255" i="527"/>
  <c r="H97" i="526"/>
  <c r="L396" i="523" s="1"/>
  <c r="M396" i="523" s="1"/>
  <c r="F5586" i="527"/>
  <c r="F5604" i="527" s="1"/>
  <c r="C5580" i="527"/>
  <c r="G456" i="525"/>
  <c r="G1324" i="525"/>
  <c r="G1316" i="525"/>
  <c r="G1981" i="525"/>
  <c r="G2543" i="525"/>
  <c r="B9029" i="527"/>
  <c r="E7005" i="527"/>
  <c r="G132" i="526"/>
  <c r="D439" i="527"/>
  <c r="C437" i="527"/>
  <c r="F8955" i="527"/>
  <c r="H169" i="526"/>
  <c r="F1246" i="525"/>
  <c r="H1247" i="525"/>
  <c r="F175" i="524" s="1"/>
  <c r="H100" i="523" s="1"/>
  <c r="I100" i="523" s="1"/>
  <c r="F2680" i="525"/>
  <c r="G2684" i="525"/>
  <c r="F2601" i="525"/>
  <c r="H2605" i="525"/>
  <c r="F334" i="524" s="1"/>
  <c r="H98" i="523" s="1"/>
  <c r="I98" i="523" s="1"/>
  <c r="F2516" i="525"/>
  <c r="G2523" i="525"/>
  <c r="F2423" i="525"/>
  <c r="G2428" i="525"/>
  <c r="G1799" i="525"/>
  <c r="F1798" i="525"/>
  <c r="F1954" i="525"/>
  <c r="H1959" i="525"/>
  <c r="F263" i="524" s="1"/>
  <c r="H223" i="523" s="1"/>
  <c r="I223" i="523" s="1"/>
  <c r="F1699" i="525"/>
  <c r="H1706" i="525"/>
  <c r="F233" i="524" s="1"/>
  <c r="H72" i="523" s="1"/>
  <c r="I72" i="523" s="1"/>
  <c r="F1496" i="525"/>
  <c r="G1499" i="525"/>
  <c r="F1527" i="525"/>
  <c r="G1543" i="525"/>
  <c r="F491" i="525"/>
  <c r="H496" i="525"/>
  <c r="F74" i="524" s="1"/>
  <c r="H48" i="523" s="1"/>
  <c r="I48" i="523" s="1"/>
  <c r="F223" i="525"/>
  <c r="F658" i="525"/>
  <c r="G660" i="525"/>
  <c r="F596" i="525"/>
  <c r="G600" i="525"/>
  <c r="F351" i="525"/>
  <c r="F150" i="525"/>
  <c r="G154" i="525"/>
  <c r="F391" i="525"/>
  <c r="F707" i="525"/>
  <c r="G709" i="525"/>
  <c r="F418" i="525"/>
  <c r="G424" i="525"/>
  <c r="F108" i="525"/>
  <c r="H112" i="525"/>
  <c r="F24" i="524" s="1"/>
  <c r="H442" i="523" s="1"/>
  <c r="I442" i="523" s="1"/>
  <c r="F240" i="523"/>
  <c r="K240" i="523"/>
  <c r="G240" i="523" s="1"/>
  <c r="E4105" i="527"/>
  <c r="G74" i="526"/>
  <c r="J380" i="523" s="1"/>
  <c r="E355" i="527"/>
  <c r="G9" i="526"/>
  <c r="F366" i="523"/>
  <c r="K366" i="523"/>
  <c r="G366" i="523" s="1"/>
  <c r="D5534" i="527"/>
  <c r="C5532" i="527"/>
  <c r="B5082" i="527"/>
  <c r="C254" i="527"/>
  <c r="E205" i="527"/>
  <c r="G6" i="526"/>
  <c r="J354" i="523" s="1"/>
  <c r="D5184" i="527"/>
  <c r="C5182" i="527"/>
  <c r="D1555" i="527"/>
  <c r="F31" i="526"/>
  <c r="H316" i="523" s="1"/>
  <c r="I316" i="523" s="1"/>
  <c r="E6089" i="527"/>
  <c r="C6089" i="527" s="1"/>
  <c r="C6084" i="527"/>
  <c r="B6084" i="527" s="1"/>
  <c r="D7837" i="527"/>
  <c r="C7835" i="527"/>
  <c r="E423" i="525"/>
  <c r="J423" i="525"/>
  <c r="F423" i="525" s="1"/>
  <c r="J2222" i="525"/>
  <c r="F2222" i="525" s="1"/>
  <c r="E2222" i="525"/>
  <c r="J2184" i="525"/>
  <c r="F2184" i="525" s="1"/>
  <c r="E2184" i="525"/>
  <c r="J2322" i="525"/>
  <c r="F2322" i="525" s="1"/>
  <c r="E2322" i="525"/>
  <c r="D40" i="527"/>
  <c r="D43" i="527" s="1"/>
  <c r="C34" i="527"/>
  <c r="B1381" i="527"/>
  <c r="I7489" i="527"/>
  <c r="E7489" i="527"/>
  <c r="D5134" i="527"/>
  <c r="C5132" i="527"/>
  <c r="E7755" i="527"/>
  <c r="C7804" i="527"/>
  <c r="G145" i="526"/>
  <c r="J364" i="523" s="1"/>
  <c r="E5155" i="527"/>
  <c r="G95" i="526"/>
  <c r="J394" i="523" s="1"/>
  <c r="E2805" i="527"/>
  <c r="G50" i="526"/>
  <c r="J307" i="523" s="1"/>
  <c r="C8194" i="527"/>
  <c r="D8197" i="527"/>
  <c r="D5286" i="527"/>
  <c r="C5284" i="527"/>
  <c r="F2671" i="525"/>
  <c r="G2675" i="525"/>
  <c r="F2585" i="525"/>
  <c r="H2589" i="525"/>
  <c r="F332" i="524" s="1"/>
  <c r="H96" i="523" s="1"/>
  <c r="I96" i="523" s="1"/>
  <c r="F2433" i="525"/>
  <c r="G2438" i="525"/>
  <c r="F2383" i="525"/>
  <c r="G2388" i="525"/>
  <c r="G1785" i="525"/>
  <c r="F1784" i="525"/>
  <c r="G1806" i="525"/>
  <c r="F1805" i="525"/>
  <c r="F2248" i="525"/>
  <c r="G2263" i="525"/>
  <c r="F1481" i="525"/>
  <c r="H1484" i="525"/>
  <c r="F205" i="524" s="1"/>
  <c r="H216" i="523" s="1"/>
  <c r="I216" i="523" s="1"/>
  <c r="G1476" i="525"/>
  <c r="F1468" i="525"/>
  <c r="F430" i="525"/>
  <c r="G436" i="525"/>
  <c r="F853" i="525"/>
  <c r="H856" i="525"/>
  <c r="F120" i="524" s="1"/>
  <c r="H190" i="523" s="1"/>
  <c r="I190" i="523" s="1"/>
  <c r="I180" i="523" s="1"/>
  <c r="E8" i="522" s="1"/>
  <c r="F644" i="525"/>
  <c r="G646" i="525"/>
  <c r="F587" i="525"/>
  <c r="G591" i="525"/>
  <c r="F336" i="525"/>
  <c r="F141" i="525"/>
  <c r="G145" i="525"/>
  <c r="F359" i="525"/>
  <c r="F693" i="525"/>
  <c r="G695" i="525"/>
  <c r="F399" i="525"/>
  <c r="B1035" i="527"/>
  <c r="F1270" i="525"/>
  <c r="H1271" i="525"/>
  <c r="F179" i="524" s="1"/>
  <c r="H104" i="523" s="1"/>
  <c r="I104" i="523" s="1"/>
  <c r="C1287" i="527"/>
  <c r="D1289" i="527"/>
  <c r="D7155" i="527"/>
  <c r="F135" i="526"/>
  <c r="G2064" i="525" s="1"/>
  <c r="H2064" i="525" s="1"/>
  <c r="H2070" i="525" s="1"/>
  <c r="F281" i="524" s="1"/>
  <c r="H137" i="523" s="1"/>
  <c r="I137" i="523" s="1"/>
  <c r="E905" i="527"/>
  <c r="C954" i="527"/>
  <c r="G20" i="526"/>
  <c r="J345" i="523" s="1"/>
  <c r="K2553" i="525"/>
  <c r="K2314" i="525"/>
  <c r="K2294" i="525"/>
  <c r="K2274" i="525"/>
  <c r="K2548" i="525"/>
  <c r="K2234" i="525"/>
  <c r="K2195" i="525"/>
  <c r="K1942" i="525"/>
  <c r="K2214" i="525"/>
  <c r="K1949" i="525"/>
  <c r="K2157" i="525"/>
  <c r="K1928" i="525"/>
  <c r="K1877" i="525"/>
  <c r="K2254" i="525"/>
  <c r="K2176" i="525"/>
  <c r="K1935" i="525"/>
  <c r="K1395" i="525"/>
  <c r="K836" i="525"/>
  <c r="K97" i="525"/>
  <c r="K461" i="525"/>
  <c r="K103" i="525"/>
  <c r="K466" i="525"/>
  <c r="L209" i="523"/>
  <c r="AA102" i="527"/>
  <c r="AA100" i="527"/>
  <c r="AA98" i="527"/>
  <c r="B94" i="527"/>
  <c r="AC98" i="527"/>
  <c r="H98" i="527" s="1"/>
  <c r="AC100" i="527"/>
  <c r="H100" i="527" s="1"/>
  <c r="AC102" i="527"/>
  <c r="H102" i="527" s="1"/>
  <c r="E7855" i="527"/>
  <c r="G147" i="526"/>
  <c r="J360" i="523" s="1"/>
  <c r="C4880" i="527"/>
  <c r="F4883" i="527"/>
  <c r="D2139" i="527"/>
  <c r="D2151" i="527" s="1"/>
  <c r="D2154" i="527" s="1"/>
  <c r="C2131" i="527"/>
  <c r="C5180" i="527"/>
  <c r="F5186" i="527"/>
  <c r="F5204" i="527" s="1"/>
  <c r="C537" i="527"/>
  <c r="D539" i="527"/>
  <c r="I4429" i="527"/>
  <c r="D4429" i="527"/>
  <c r="I4629" i="527"/>
  <c r="D4629" i="527"/>
  <c r="I446" i="525"/>
  <c r="I440" i="525"/>
  <c r="I453" i="525"/>
  <c r="I8479" i="527"/>
  <c r="E8479" i="527"/>
  <c r="F4505" i="527"/>
  <c r="H82" i="526"/>
  <c r="L403" i="523" s="1"/>
  <c r="M403" i="523" s="1"/>
  <c r="H2100" i="525"/>
  <c r="F287" i="524" s="1"/>
  <c r="H201" i="523" s="1"/>
  <c r="I201" i="523" s="1"/>
  <c r="F4783" i="527"/>
  <c r="C4780" i="527"/>
  <c r="E5405" i="527"/>
  <c r="G100" i="526"/>
  <c r="J386" i="523" s="1"/>
  <c r="B60" i="527"/>
  <c r="I36" i="527"/>
  <c r="E36" i="527"/>
  <c r="G116" i="524"/>
  <c r="J236" i="523" s="1"/>
  <c r="E5355" i="527"/>
  <c r="G99" i="526"/>
  <c r="J385" i="523" s="1"/>
  <c r="E6439" i="527"/>
  <c r="C6439" i="527" s="1"/>
  <c r="C6434" i="527"/>
  <c r="B6434" i="527" s="1"/>
  <c r="E1005" i="527"/>
  <c r="G22" i="526"/>
  <c r="J334" i="523" s="1"/>
  <c r="E4705" i="527"/>
  <c r="G86" i="526"/>
  <c r="J387" i="523" s="1"/>
  <c r="D2189" i="527"/>
  <c r="D2201" i="527" s="1"/>
  <c r="D2204" i="527" s="1"/>
  <c r="C2181" i="527"/>
  <c r="B2181" i="527" s="1"/>
  <c r="D7889" i="527"/>
  <c r="C7887" i="527"/>
  <c r="F8455" i="527"/>
  <c r="H159" i="526"/>
  <c r="K887" i="525" s="1"/>
  <c r="L887" i="525" s="1"/>
  <c r="L891" i="525" s="1"/>
  <c r="H125" i="524" s="1"/>
  <c r="L150" i="523" s="1"/>
  <c r="M150" i="523" s="1"/>
  <c r="I62" i="527"/>
  <c r="E62" i="527"/>
  <c r="I3324" i="527"/>
  <c r="E3324" i="527"/>
  <c r="E5989" i="527"/>
  <c r="C5989" i="527" s="1"/>
  <c r="C5984" i="527"/>
  <c r="B5984" i="527" s="1"/>
  <c r="I1883" i="527"/>
  <c r="E1883" i="527"/>
  <c r="D7345" i="527"/>
  <c r="D7354" i="527" s="1"/>
  <c r="L7342" i="527"/>
  <c r="C7333" i="527"/>
  <c r="C8305" i="527"/>
  <c r="E156" i="526"/>
  <c r="B685" i="527"/>
  <c r="C1692" i="527"/>
  <c r="B1692" i="527" s="1"/>
  <c r="D1699" i="527"/>
  <c r="D1712" i="527" s="1"/>
  <c r="D1754" i="527" s="1"/>
  <c r="J959" i="525"/>
  <c r="F959" i="525" s="1"/>
  <c r="E959" i="525"/>
  <c r="J938" i="525"/>
  <c r="F938" i="525" s="1"/>
  <c r="E938" i="525"/>
  <c r="J917" i="525"/>
  <c r="F917" i="525" s="1"/>
  <c r="E917" i="525"/>
  <c r="K300" i="523"/>
  <c r="J868" i="525"/>
  <c r="J1307" i="525"/>
  <c r="J1511" i="525"/>
  <c r="J1361" i="525"/>
  <c r="J1504" i="525"/>
  <c r="J1882" i="525"/>
  <c r="J1970" i="525"/>
  <c r="J2534" i="525"/>
  <c r="E4005" i="527"/>
  <c r="G72" i="526"/>
  <c r="J378" i="523" s="1"/>
  <c r="B7985" i="527"/>
  <c r="E997" i="525"/>
  <c r="J997" i="525"/>
  <c r="F997" i="525" s="1"/>
  <c r="D2704" i="527"/>
  <c r="C2692" i="527"/>
  <c r="L465" i="525"/>
  <c r="E465" i="525"/>
  <c r="H1651" i="525"/>
  <c r="L1657" i="525"/>
  <c r="F1657" i="525" s="1"/>
  <c r="E1657" i="525"/>
  <c r="G1032" i="525"/>
  <c r="G992" i="525"/>
  <c r="B2031" i="527"/>
  <c r="F5386" i="527"/>
  <c r="F5404" i="527" s="1"/>
  <c r="C5380" i="527"/>
  <c r="D3107" i="527"/>
  <c r="C3099" i="527"/>
  <c r="G449" i="525"/>
  <c r="G870" i="525"/>
  <c r="G1522" i="525"/>
  <c r="G1347" i="525"/>
  <c r="G1339" i="525"/>
  <c r="G1973" i="525"/>
  <c r="G2536" i="525"/>
  <c r="G2488" i="525"/>
  <c r="D387" i="527"/>
  <c r="C385" i="527"/>
  <c r="E2023" i="525"/>
  <c r="H2023" i="525"/>
  <c r="F4355" i="527"/>
  <c r="H79" i="526"/>
  <c r="L391" i="523" s="1"/>
  <c r="M391" i="523" s="1"/>
  <c r="D8533" i="527"/>
  <c r="D8543" i="527" s="1"/>
  <c r="D8554" i="527" s="1"/>
  <c r="C8527" i="527"/>
  <c r="K225" i="523"/>
  <c r="D5584" i="527"/>
  <c r="C5582" i="527"/>
  <c r="D3278" i="527"/>
  <c r="D3289" i="527" s="1"/>
  <c r="D3304" i="527" s="1"/>
  <c r="C3272" i="527"/>
  <c r="B3272" i="527" s="1"/>
  <c r="C5030" i="527"/>
  <c r="F5036" i="527"/>
  <c r="F5054" i="527" s="1"/>
  <c r="C354" i="527"/>
  <c r="G8" i="526"/>
  <c r="J357" i="523" s="1"/>
  <c r="E305" i="527"/>
  <c r="C7937" i="527"/>
  <c r="D7939" i="527"/>
  <c r="F4655" i="527"/>
  <c r="H85" i="526"/>
  <c r="L406" i="523" s="1"/>
  <c r="M406" i="523" s="1"/>
  <c r="E4955" i="527"/>
  <c r="G91" i="526"/>
  <c r="J402" i="523" s="1"/>
  <c r="E1155" i="527"/>
  <c r="G25" i="526"/>
  <c r="J339" i="523" s="1"/>
  <c r="D5334" i="527"/>
  <c r="C5332" i="527"/>
  <c r="B5332" i="527" s="1"/>
  <c r="I2022" i="525"/>
  <c r="I2010" i="525"/>
  <c r="I1999" i="525"/>
  <c r="E5105" i="527"/>
  <c r="G94" i="526"/>
  <c r="J383" i="523" s="1"/>
  <c r="B5532" i="527"/>
  <c r="H1929" i="525"/>
  <c r="F1927" i="525"/>
  <c r="C1792" i="527"/>
  <c r="B1792" i="527" s="1"/>
  <c r="D1799" i="527"/>
  <c r="D1812" i="527" s="1"/>
  <c r="D1854" i="527" s="1"/>
  <c r="C8405" i="527"/>
  <c r="E158" i="526"/>
  <c r="B5182" i="527"/>
  <c r="B7835" i="527"/>
  <c r="J1473" i="525"/>
  <c r="F1473" i="525" s="1"/>
  <c r="E1473" i="525"/>
  <c r="J2282" i="525"/>
  <c r="F2282" i="525" s="1"/>
  <c r="E2282" i="525"/>
  <c r="E2165" i="525"/>
  <c r="J2165" i="525"/>
  <c r="F2165" i="525" s="1"/>
  <c r="J2499" i="525"/>
  <c r="F2499" i="525" s="1"/>
  <c r="E2499" i="525"/>
  <c r="E4805" i="527"/>
  <c r="G88" i="526"/>
  <c r="J389" i="523" s="1"/>
  <c r="L2070" i="525"/>
  <c r="H281" i="524" s="1"/>
  <c r="L137" i="523" s="1"/>
  <c r="M137" i="523" s="1"/>
  <c r="J1389" i="525"/>
  <c r="F5536" i="527"/>
  <c r="F5554" i="527" s="1"/>
  <c r="C5530" i="527"/>
  <c r="H2094" i="525"/>
  <c r="B34" i="527"/>
  <c r="D2239" i="527"/>
  <c r="D2252" i="527" s="1"/>
  <c r="D2304" i="527" s="1"/>
  <c r="C2231" i="527"/>
  <c r="B2231" i="527" s="1"/>
  <c r="C4278" i="527"/>
  <c r="F4281" i="527"/>
  <c r="I7335" i="527"/>
  <c r="E7335" i="527"/>
  <c r="B5132" i="527"/>
  <c r="E205" i="525"/>
  <c r="L205" i="525"/>
  <c r="C4028" i="527"/>
  <c r="F4031" i="527"/>
  <c r="G69" i="524"/>
  <c r="J200" i="523" s="1"/>
  <c r="D587" i="527"/>
  <c r="C585" i="527"/>
  <c r="C8355" i="527"/>
  <c r="E157" i="526"/>
  <c r="E8055" i="527"/>
  <c r="G151" i="526"/>
  <c r="J361" i="523" s="1"/>
  <c r="B8194" i="527"/>
  <c r="K2078" i="525"/>
  <c r="K1656" i="525"/>
  <c r="K2093" i="525"/>
  <c r="K2088" i="525"/>
  <c r="K2083" i="525"/>
  <c r="K1647" i="525"/>
  <c r="K1639" i="525"/>
  <c r="D7418" i="527"/>
  <c r="D7420" i="527" s="1"/>
  <c r="C7412" i="527"/>
  <c r="B7412" i="527" s="1"/>
  <c r="F1252" i="525"/>
  <c r="H1253" i="525"/>
  <c r="F176" i="524" s="1"/>
  <c r="H101" i="523" s="1"/>
  <c r="I101" i="523" s="1"/>
  <c r="E7955" i="527"/>
  <c r="G149" i="526"/>
  <c r="J362" i="523" s="1"/>
  <c r="B2131" i="527"/>
  <c r="L197" i="525"/>
  <c r="E197" i="525"/>
  <c r="I4479" i="527"/>
  <c r="D4479" i="527"/>
  <c r="I4679" i="527"/>
  <c r="D4679" i="527"/>
  <c r="C987" i="527"/>
  <c r="D989" i="527"/>
  <c r="E5305" i="527"/>
  <c r="G98" i="526"/>
  <c r="J384" i="523" s="1"/>
  <c r="D3605" i="527"/>
  <c r="F65" i="526"/>
  <c r="H147" i="523" s="1"/>
  <c r="I147" i="523" s="1"/>
  <c r="E2505" i="527"/>
  <c r="C2554" i="527"/>
  <c r="G44" i="526"/>
  <c r="C7030" i="527"/>
  <c r="F7033" i="527"/>
  <c r="H1878" i="525"/>
  <c r="F1875" i="525"/>
  <c r="J1436" i="525"/>
  <c r="E1436" i="525"/>
  <c r="J1539" i="525"/>
  <c r="F1539" i="525" s="1"/>
  <c r="E1539" i="525"/>
  <c r="J1683" i="525"/>
  <c r="F1683" i="525" s="1"/>
  <c r="E1683" i="525"/>
  <c r="J1851" i="525"/>
  <c r="F1851" i="525" s="1"/>
  <c r="E1851" i="525"/>
  <c r="E1705" i="525"/>
  <c r="J1705" i="525"/>
  <c r="F1705" i="525" s="1"/>
  <c r="E5889" i="527"/>
  <c r="C5889" i="527" s="1"/>
  <c r="C5884" i="527"/>
  <c r="B5884" i="527" s="1"/>
  <c r="D2592" i="527"/>
  <c r="C2590" i="527"/>
  <c r="E8005" i="527"/>
  <c r="G150" i="526"/>
  <c r="J363" i="523" s="1"/>
  <c r="C7255" i="527"/>
  <c r="E137" i="526"/>
  <c r="F1431" i="525"/>
  <c r="H1432" i="525"/>
  <c r="F200" i="524" s="1"/>
  <c r="H220" i="523" s="1"/>
  <c r="I220" i="523" s="1"/>
  <c r="D8087" i="527"/>
  <c r="C8085" i="527"/>
  <c r="B8085" i="527" s="1"/>
  <c r="I2033" i="527"/>
  <c r="E2033" i="527"/>
  <c r="D3328" i="527"/>
  <c r="D3339" i="527" s="1"/>
  <c r="D3354" i="527" s="1"/>
  <c r="C3322" i="527"/>
  <c r="B3322" i="527" s="1"/>
  <c r="E5505" i="527"/>
  <c r="G102" i="526"/>
  <c r="J398" i="523" s="1"/>
  <c r="E5555" i="527"/>
  <c r="G103" i="526"/>
  <c r="J399" i="523" s="1"/>
  <c r="F2337" i="525"/>
  <c r="H2342" i="525"/>
  <c r="F303" i="524" s="1"/>
  <c r="H84" i="523" s="1"/>
  <c r="I84" i="523" s="1"/>
  <c r="F2626" i="525"/>
  <c r="G2630" i="525"/>
  <c r="F2346" i="525"/>
  <c r="H2351" i="525"/>
  <c r="F304" i="524" s="1"/>
  <c r="H85" i="523" s="1"/>
  <c r="I85" i="523" s="1"/>
  <c r="F2593" i="525"/>
  <c r="H2597" i="525"/>
  <c r="F333" i="524" s="1"/>
  <c r="H97" i="523" s="1"/>
  <c r="I97" i="523" s="1"/>
  <c r="F1664" i="525"/>
  <c r="H1672" i="525"/>
  <c r="F230" i="524" s="1"/>
  <c r="H65" i="523" s="1"/>
  <c r="I65" i="523" s="1"/>
  <c r="F1759" i="525"/>
  <c r="H1760" i="525"/>
  <c r="F238" i="524" s="1"/>
  <c r="H262" i="523" s="1"/>
  <c r="I262" i="523" s="1"/>
  <c r="F1676" i="525"/>
  <c r="H1684" i="525"/>
  <c r="F231" i="524" s="1"/>
  <c r="H66" i="523" s="1"/>
  <c r="I66" i="523" s="1"/>
  <c r="F1710" i="525"/>
  <c r="G1717" i="525"/>
  <c r="F744" i="525"/>
  <c r="G749" i="525"/>
  <c r="F283" i="525"/>
  <c r="F686" i="525"/>
  <c r="G688" i="525"/>
  <c r="F614" i="525"/>
  <c r="H616" i="525"/>
  <c r="F88" i="524" s="1"/>
  <c r="H252" i="523" s="1"/>
  <c r="I252" i="523" s="1"/>
  <c r="F518" i="525"/>
  <c r="H523" i="525"/>
  <c r="F77" i="524" s="1"/>
  <c r="H51" i="523" s="1"/>
  <c r="I51" i="523" s="1"/>
  <c r="F168" i="525"/>
  <c r="G172" i="525"/>
  <c r="F724" i="525"/>
  <c r="G729" i="525"/>
  <c r="F774" i="525"/>
  <c r="G779" i="525"/>
  <c r="F536" i="525"/>
  <c r="H540" i="525"/>
  <c r="F79" i="524" s="1"/>
  <c r="H58" i="523" s="1"/>
  <c r="I58" i="523" s="1"/>
  <c r="F230" i="525"/>
  <c r="D5034" i="527"/>
  <c r="C5032" i="527"/>
  <c r="B5032" i="527" s="1"/>
  <c r="E4855" i="527"/>
  <c r="G89" i="526"/>
  <c r="J400" i="523" s="1"/>
  <c r="I2316" i="525"/>
  <c r="I2296" i="525"/>
  <c r="I2276" i="525"/>
  <c r="I2159" i="525"/>
  <c r="I2256" i="525"/>
  <c r="I2178" i="525"/>
  <c r="I2236" i="525"/>
  <c r="I2197" i="525"/>
  <c r="I2216" i="525"/>
  <c r="D5384" i="527"/>
  <c r="C5382" i="527"/>
  <c r="B5382" i="527" s="1"/>
  <c r="E655" i="527"/>
  <c r="G15" i="526"/>
  <c r="J352" i="523" s="1"/>
  <c r="E7905" i="527"/>
  <c r="G148" i="526"/>
  <c r="J358" i="523" s="1"/>
  <c r="J1423" i="525"/>
  <c r="E1423" i="525"/>
  <c r="J1560" i="525"/>
  <c r="F1560" i="525" s="1"/>
  <c r="E1560" i="525"/>
  <c r="J1752" i="525"/>
  <c r="F1752" i="525" s="1"/>
  <c r="E1752" i="525"/>
  <c r="J1864" i="525"/>
  <c r="F1864" i="525" s="1"/>
  <c r="E1864" i="525"/>
  <c r="E1728" i="525"/>
  <c r="J1728" i="525"/>
  <c r="F1728" i="525" s="1"/>
  <c r="H2079" i="525"/>
  <c r="C4930" i="527"/>
  <c r="F4933" i="527"/>
  <c r="C8244" i="527"/>
  <c r="B8244" i="527" s="1"/>
  <c r="D8247" i="527"/>
  <c r="D1337" i="527"/>
  <c r="C1335" i="527"/>
  <c r="B1335" i="527" s="1"/>
  <c r="C737" i="527"/>
  <c r="D739" i="527"/>
  <c r="D8483" i="527"/>
  <c r="D8493" i="527" s="1"/>
  <c r="D8504" i="527" s="1"/>
  <c r="C8477" i="527"/>
  <c r="B8477" i="527" s="1"/>
  <c r="K374" i="523"/>
  <c r="F374" i="523"/>
  <c r="F2453" i="525"/>
  <c r="G2458" i="525"/>
  <c r="F2653" i="525"/>
  <c r="G2657" i="525"/>
  <c r="F2494" i="525"/>
  <c r="H2500" i="525"/>
  <c r="F320" i="524" s="1"/>
  <c r="H156" i="523" s="1"/>
  <c r="I156" i="523" s="1"/>
  <c r="F2355" i="525"/>
  <c r="H2360" i="525"/>
  <c r="F305" i="524" s="1"/>
  <c r="H86" i="523" s="1"/>
  <c r="I86" i="523" s="1"/>
  <c r="F2328" i="525"/>
  <c r="H2333" i="525"/>
  <c r="F302" i="524" s="1"/>
  <c r="H83" i="523" s="1"/>
  <c r="I83" i="523" s="1"/>
  <c r="F2208" i="525"/>
  <c r="G2223" i="525"/>
  <c r="G1778" i="525"/>
  <c r="F1777" i="525"/>
  <c r="F1857" i="525"/>
  <c r="G1865" i="525"/>
  <c r="F1443" i="525"/>
  <c r="H1451" i="525"/>
  <c r="F202" i="524" s="1"/>
  <c r="H36" i="523" s="1"/>
  <c r="I36" i="523" s="1"/>
  <c r="F1401" i="525"/>
  <c r="H1403" i="525"/>
  <c r="F196" i="524" s="1"/>
  <c r="H219" i="523" s="1"/>
  <c r="I219" i="523" s="1"/>
  <c r="F375" i="525"/>
  <c r="F754" i="525"/>
  <c r="G759" i="525"/>
  <c r="F632" i="525"/>
  <c r="H634" i="525"/>
  <c r="F91" i="524" s="1"/>
  <c r="H255" i="523" s="1"/>
  <c r="I255" i="523" s="1"/>
  <c r="F569" i="525"/>
  <c r="G573" i="525"/>
  <c r="F259" i="525"/>
  <c r="F116" i="525"/>
  <c r="H120" i="525"/>
  <c r="F25" i="524" s="1"/>
  <c r="H443" i="523" s="1"/>
  <c r="I443" i="523" s="1"/>
  <c r="F299" i="525"/>
  <c r="F665" i="525"/>
  <c r="G667" i="525"/>
  <c r="F322" i="525"/>
  <c r="D8037" i="527"/>
  <c r="C8035" i="527"/>
  <c r="B8035" i="527" s="1"/>
  <c r="C2740" i="527"/>
  <c r="D2742" i="527"/>
  <c r="I3076" i="527"/>
  <c r="E3076" i="527"/>
  <c r="I2183" i="527"/>
  <c r="E2183" i="527"/>
  <c r="B7333" i="527"/>
  <c r="M204" i="523"/>
  <c r="G204" i="523" s="1"/>
  <c r="F204" i="523"/>
  <c r="J989" i="525"/>
  <c r="F989" i="525" s="1"/>
  <c r="E989" i="525"/>
  <c r="J966" i="525"/>
  <c r="F966" i="525" s="1"/>
  <c r="E966" i="525"/>
  <c r="J973" i="525"/>
  <c r="F973" i="525" s="1"/>
  <c r="E973" i="525"/>
  <c r="L899" i="525"/>
  <c r="H126" i="524" s="1"/>
  <c r="L151" i="523" s="1"/>
  <c r="M151" i="523" s="1"/>
  <c r="J861" i="525"/>
  <c r="J441" i="525"/>
  <c r="J1322" i="525"/>
  <c r="J1314" i="525"/>
  <c r="J1294" i="525"/>
  <c r="J1519" i="525"/>
  <c r="J1888" i="525"/>
  <c r="J2541" i="525"/>
  <c r="J2473" i="525"/>
  <c r="D487" i="527"/>
  <c r="C485" i="527"/>
  <c r="B485" i="527" s="1"/>
  <c r="I1280" i="525"/>
  <c r="I1256" i="525"/>
  <c r="I1234" i="525"/>
  <c r="I1262" i="525"/>
  <c r="I1229" i="525"/>
  <c r="I1268" i="525"/>
  <c r="I1244" i="525"/>
  <c r="I1274" i="525"/>
  <c r="I1250" i="525"/>
  <c r="I1239" i="525"/>
  <c r="C8241" i="527"/>
  <c r="F8247" i="527"/>
  <c r="F8254" i="527" s="1"/>
  <c r="E5005" i="527"/>
  <c r="G92" i="526"/>
  <c r="J381" i="523" s="1"/>
  <c r="E1029" i="525"/>
  <c r="J1029" i="525"/>
  <c r="F1029" i="525" s="1"/>
  <c r="K195" i="523"/>
  <c r="M203" i="523"/>
  <c r="G203" i="523" s="1"/>
  <c r="F203" i="523"/>
  <c r="L1876" i="525"/>
  <c r="E1876" i="525"/>
  <c r="E4255" i="527"/>
  <c r="G77" i="526"/>
  <c r="J377" i="523" s="1"/>
  <c r="G1024" i="525"/>
  <c r="G984" i="525"/>
  <c r="G976" i="525"/>
  <c r="D1889" i="527"/>
  <c r="D1901" i="527" s="1"/>
  <c r="D1904" i="527" s="1"/>
  <c r="C1881" i="527"/>
  <c r="B1881" i="527" s="1"/>
  <c r="B3099" i="527"/>
  <c r="E1255" i="527"/>
  <c r="G27" i="526"/>
  <c r="J340" i="523" s="1"/>
  <c r="G1332" i="525"/>
  <c r="G1370" i="525"/>
  <c r="G1890" i="525"/>
  <c r="G1897" i="525"/>
  <c r="F8154" i="527"/>
  <c r="C8144" i="527"/>
  <c r="C4830" i="527"/>
  <c r="F4833" i="527"/>
  <c r="B385" i="527"/>
  <c r="E2405" i="527"/>
  <c r="C2454" i="527"/>
  <c r="G42" i="526"/>
  <c r="J325" i="523" s="1"/>
  <c r="F7605" i="527"/>
  <c r="H142" i="526"/>
  <c r="C7654" i="527"/>
  <c r="F4231" i="527"/>
  <c r="C4228" i="527"/>
  <c r="B8527" i="527"/>
  <c r="F5236" i="527"/>
  <c r="F5254" i="527" s="1"/>
  <c r="C5230" i="527"/>
  <c r="B5582" i="527"/>
  <c r="K224" i="523"/>
  <c r="C804" i="527"/>
  <c r="E755" i="527"/>
  <c r="G17" i="526"/>
  <c r="J343" i="523" s="1"/>
  <c r="C304" i="527"/>
  <c r="E255" i="527"/>
  <c r="G7" i="526"/>
  <c r="J356" i="523" s="1"/>
  <c r="D5484" i="527"/>
  <c r="C5482" i="527"/>
  <c r="B5482" i="527" s="1"/>
  <c r="F2413" i="525"/>
  <c r="G2418" i="525"/>
  <c r="F2644" i="525"/>
  <c r="G2648" i="525"/>
  <c r="F2443" i="525"/>
  <c r="G2448" i="525"/>
  <c r="F2268" i="525"/>
  <c r="G2283" i="525"/>
  <c r="F2228" i="525"/>
  <c r="G2243" i="525"/>
  <c r="F1734" i="525"/>
  <c r="G1741" i="525"/>
  <c r="F1771" i="525"/>
  <c r="H1772" i="525"/>
  <c r="F240" i="524" s="1"/>
  <c r="H264" i="523" s="1"/>
  <c r="I264" i="523" s="1"/>
  <c r="F1831" i="525"/>
  <c r="G1839" i="525"/>
  <c r="F1844" i="525"/>
  <c r="G1852" i="525"/>
  <c r="F1375" i="525"/>
  <c r="H1391" i="525"/>
  <c r="F194" i="524" s="1"/>
  <c r="H33" i="523" s="1"/>
  <c r="I33" i="523" s="1"/>
  <c r="F343" i="525"/>
  <c r="F714" i="525"/>
  <c r="G719" i="525"/>
  <c r="F626" i="525"/>
  <c r="H628" i="525"/>
  <c r="F90" i="524" s="1"/>
  <c r="H254" i="523" s="1"/>
  <c r="I254" i="523" s="1"/>
  <c r="F560" i="525"/>
  <c r="G564" i="525"/>
  <c r="F244" i="525"/>
  <c r="F804" i="525"/>
  <c r="G809" i="525"/>
  <c r="F267" i="525"/>
  <c r="F651" i="525"/>
  <c r="G653" i="525"/>
  <c r="F307" i="525"/>
  <c r="C3555" i="527"/>
  <c r="E64" i="526"/>
  <c r="E2455" i="527"/>
  <c r="C2504" i="527"/>
  <c r="G43" i="526"/>
  <c r="J326" i="523" s="1"/>
  <c r="C8555" i="527"/>
  <c r="E161" i="526"/>
  <c r="C7705" i="527"/>
  <c r="E144" i="526"/>
  <c r="D7493" i="527"/>
  <c r="D7495" i="527" s="1"/>
  <c r="D7504" i="527" s="1"/>
  <c r="C7487" i="527"/>
  <c r="B7487" i="527" s="1"/>
  <c r="K235" i="523"/>
  <c r="K2097" i="525"/>
  <c r="K1532" i="525"/>
  <c r="K1380" i="525"/>
  <c r="K1553" i="525"/>
  <c r="G327" i="524"/>
  <c r="J198" i="523" s="1"/>
  <c r="J412" i="525"/>
  <c r="F412" i="525" s="1"/>
  <c r="E412" i="525"/>
  <c r="E1448" i="525"/>
  <c r="J1448" i="525"/>
  <c r="F1448" i="525" s="1"/>
  <c r="J2203" i="525"/>
  <c r="F2203" i="525" s="1"/>
  <c r="E2203" i="525"/>
  <c r="E2262" i="525"/>
  <c r="J2262" i="525"/>
  <c r="F2262" i="525" s="1"/>
  <c r="J2522" i="525"/>
  <c r="F2522" i="525" s="1"/>
  <c r="E2522" i="525"/>
  <c r="E2855" i="527"/>
  <c r="G51" i="526"/>
  <c r="J308" i="523" s="1"/>
  <c r="J1541" i="525"/>
  <c r="C2404" i="527"/>
  <c r="E2355" i="527"/>
  <c r="G41" i="526"/>
  <c r="J310" i="523" s="1"/>
  <c r="I7389" i="527"/>
  <c r="E7389" i="527"/>
  <c r="B585" i="527"/>
  <c r="F1276" i="525"/>
  <c r="H1277" i="525"/>
  <c r="F180" i="524" s="1"/>
  <c r="H105" i="523" s="1"/>
  <c r="I105" i="523" s="1"/>
  <c r="D3080" i="527"/>
  <c r="C3074" i="527"/>
  <c r="B3074" i="527" s="1"/>
  <c r="D2942" i="527"/>
  <c r="C2940" i="527"/>
  <c r="K7227" i="527"/>
  <c r="K3221" i="527"/>
  <c r="K3694" i="527"/>
  <c r="K3425" i="527"/>
  <c r="K1685" i="527"/>
  <c r="K1785" i="527"/>
  <c r="K1485" i="527"/>
  <c r="K1585" i="527"/>
  <c r="I2050" i="525"/>
  <c r="F3355" i="527"/>
  <c r="H60" i="526"/>
  <c r="L194" i="523" s="1"/>
  <c r="M194" i="523" s="1"/>
  <c r="E2955" i="527"/>
  <c r="G53" i="526"/>
  <c r="J323" i="523" s="1"/>
  <c r="F2373" i="525"/>
  <c r="G2378" i="525"/>
  <c r="F2635" i="525"/>
  <c r="G2639" i="525"/>
  <c r="F2403" i="525"/>
  <c r="G2408" i="525"/>
  <c r="F2609" i="525"/>
  <c r="H2613" i="525"/>
  <c r="F335" i="524" s="1"/>
  <c r="H99" i="523" s="1"/>
  <c r="I99" i="523" s="1"/>
  <c r="F2189" i="525"/>
  <c r="H2204" i="525"/>
  <c r="F295" i="524" s="1"/>
  <c r="H118" i="523" s="1"/>
  <c r="I118" i="523" s="1"/>
  <c r="F1688" i="525"/>
  <c r="H1695" i="525"/>
  <c r="F232" i="524" s="1"/>
  <c r="H71" i="523" s="1"/>
  <c r="I71" i="523" s="1"/>
  <c r="F1765" i="525"/>
  <c r="H1766" i="525"/>
  <c r="F239" i="524" s="1"/>
  <c r="H263" i="523" s="1"/>
  <c r="I263" i="523" s="1"/>
  <c r="F1488" i="525"/>
  <c r="G1491" i="525"/>
  <c r="F1818" i="525"/>
  <c r="G1826" i="525"/>
  <c r="F784" i="525"/>
  <c r="G789" i="525"/>
  <c r="F315" i="525"/>
  <c r="F700" i="525"/>
  <c r="G702" i="525"/>
  <c r="F620" i="525"/>
  <c r="H622" i="525"/>
  <c r="F89" i="524" s="1"/>
  <c r="H253" i="523" s="1"/>
  <c r="I253" i="523" s="1"/>
  <c r="F544" i="525"/>
  <c r="H548" i="525"/>
  <c r="F80" i="524" s="1"/>
  <c r="H59" i="523" s="1"/>
  <c r="I59" i="523" s="1"/>
  <c r="F177" i="525"/>
  <c r="G181" i="525"/>
  <c r="F764" i="525"/>
  <c r="G769" i="525"/>
  <c r="F237" i="525"/>
  <c r="F552" i="525"/>
  <c r="H556" i="525"/>
  <c r="F81" i="524" s="1"/>
  <c r="H60" i="523" s="1"/>
  <c r="I60" i="523" s="1"/>
  <c r="F275" i="525"/>
  <c r="E8155" i="527"/>
  <c r="G153" i="526"/>
  <c r="J298" i="523" s="1"/>
  <c r="E2755" i="527"/>
  <c r="G49" i="526"/>
  <c r="E2005" i="525"/>
  <c r="H2005" i="525"/>
  <c r="C4128" i="527"/>
  <c r="F4131" i="527"/>
  <c r="C7080" i="527"/>
  <c r="F7083" i="527"/>
  <c r="E6189" i="527"/>
  <c r="C6189" i="527" s="1"/>
  <c r="C6184" i="527"/>
  <c r="B6184" i="527" s="1"/>
  <c r="F4605" i="527"/>
  <c r="H84" i="526"/>
  <c r="L405" i="523" s="1"/>
  <c r="M405" i="523" s="1"/>
  <c r="D637" i="527"/>
  <c r="C635" i="527"/>
  <c r="B635" i="527" s="1"/>
  <c r="E4205" i="527"/>
  <c r="G76" i="526"/>
  <c r="J376" i="523" s="1"/>
  <c r="H2089" i="525"/>
  <c r="D1939" i="527"/>
  <c r="D1952" i="527" s="1"/>
  <c r="D2004" i="527" s="1"/>
  <c r="C1931" i="527"/>
  <c r="B1931" i="527" s="1"/>
  <c r="E555" i="527"/>
  <c r="G13" i="526"/>
  <c r="I4329" i="527"/>
  <c r="D4329" i="527"/>
  <c r="I4529" i="527"/>
  <c r="D4529" i="527"/>
  <c r="C8255" i="527"/>
  <c r="E155" i="526"/>
  <c r="E1105" i="527"/>
  <c r="G24" i="526"/>
  <c r="J337" i="523" s="1"/>
  <c r="E6289" i="527"/>
  <c r="C6289" i="527" s="1"/>
  <c r="C6284" i="527"/>
  <c r="B6284" i="527" s="1"/>
  <c r="E2011" i="525"/>
  <c r="H2011" i="525"/>
  <c r="E4155" i="527"/>
  <c r="G75" i="526"/>
  <c r="J375" i="523" s="1"/>
  <c r="D17" i="461"/>
  <c r="B48" i="462"/>
  <c r="B12" i="462"/>
  <c r="B32" i="462"/>
  <c r="B36" i="462"/>
  <c r="D11" i="461"/>
  <c r="B20" i="462"/>
  <c r="B24" i="462"/>
  <c r="B40" i="462"/>
  <c r="B28" i="462"/>
  <c r="B44" i="462"/>
  <c r="D14" i="461"/>
  <c r="B17" i="462"/>
  <c r="B21" i="462"/>
  <c r="B25" i="462"/>
  <c r="B29" i="462"/>
  <c r="B33" i="462"/>
  <c r="B37" i="462"/>
  <c r="B41" i="462"/>
  <c r="B45" i="462"/>
  <c r="B18" i="462"/>
  <c r="B22" i="462"/>
  <c r="B26" i="462"/>
  <c r="B30" i="462"/>
  <c r="B34" i="462"/>
  <c r="B38" i="462"/>
  <c r="B42" i="462"/>
  <c r="B46" i="462"/>
  <c r="B19" i="462"/>
  <c r="B23" i="462"/>
  <c r="B27" i="462"/>
  <c r="B31" i="462"/>
  <c r="B35" i="462"/>
  <c r="B39" i="462"/>
  <c r="B43" i="462"/>
  <c r="B47" i="462"/>
  <c r="D10" i="461"/>
  <c r="D15" i="461"/>
  <c r="D12" i="461"/>
  <c r="D7" i="461"/>
  <c r="D13" i="461"/>
  <c r="B16" i="462"/>
  <c r="D9" i="461"/>
  <c r="D8" i="461"/>
  <c r="D16" i="461"/>
  <c r="D6" i="461"/>
  <c r="I3621" i="527" l="1"/>
  <c r="E3621" i="527"/>
  <c r="K4531" i="527"/>
  <c r="K4331" i="527"/>
  <c r="K4681" i="527"/>
  <c r="K4481" i="527"/>
  <c r="K4631" i="527"/>
  <c r="K4431" i="527"/>
  <c r="K4581" i="527"/>
  <c r="K4381" i="527"/>
  <c r="I1494" i="527"/>
  <c r="E1494" i="527"/>
  <c r="C1494" i="527" s="1"/>
  <c r="I7186" i="527"/>
  <c r="E7186" i="527"/>
  <c r="K1694" i="527"/>
  <c r="K1794" i="527"/>
  <c r="I212" i="525"/>
  <c r="I204" i="525"/>
  <c r="I196" i="525"/>
  <c r="I188" i="525"/>
  <c r="J57" i="525"/>
  <c r="F57" i="525" s="1"/>
  <c r="E57" i="525"/>
  <c r="K3101" i="527"/>
  <c r="I58" i="525"/>
  <c r="K337" i="523"/>
  <c r="K198" i="523"/>
  <c r="F326" i="523"/>
  <c r="K326" i="523"/>
  <c r="G326" i="523" s="1"/>
  <c r="H653" i="525"/>
  <c r="E653" i="525"/>
  <c r="E719" i="525"/>
  <c r="H719" i="525"/>
  <c r="E1852" i="525"/>
  <c r="H1852" i="525"/>
  <c r="C2405" i="527"/>
  <c r="E42" i="526"/>
  <c r="E1332" i="525"/>
  <c r="H1332" i="525"/>
  <c r="E1024" i="525"/>
  <c r="H1024" i="525"/>
  <c r="C5384" i="527"/>
  <c r="D5386" i="527"/>
  <c r="E729" i="525"/>
  <c r="H729" i="525"/>
  <c r="H749" i="525"/>
  <c r="E749" i="525"/>
  <c r="H2630" i="525"/>
  <c r="E2630" i="525"/>
  <c r="F1436" i="525"/>
  <c r="J1439" i="525"/>
  <c r="F7054" i="527"/>
  <c r="C7033" i="527"/>
  <c r="C2505" i="527"/>
  <c r="E44" i="526"/>
  <c r="K384" i="523"/>
  <c r="L198" i="525"/>
  <c r="H34" i="524" s="1"/>
  <c r="K2127" i="525" s="1"/>
  <c r="L2127" i="525" s="1"/>
  <c r="F197" i="525"/>
  <c r="L2083" i="525"/>
  <c r="E2083" i="525"/>
  <c r="L2078" i="525"/>
  <c r="E2078" i="525"/>
  <c r="C587" i="527"/>
  <c r="D589" i="527"/>
  <c r="C7335" i="527"/>
  <c r="E7345" i="527"/>
  <c r="F286" i="524"/>
  <c r="H231" i="523" s="1"/>
  <c r="F259" i="524"/>
  <c r="H226" i="523" s="1"/>
  <c r="C5584" i="527"/>
  <c r="D5586" i="527"/>
  <c r="D8505" i="527"/>
  <c r="F160" i="526"/>
  <c r="G895" i="525" s="1"/>
  <c r="H895" i="525" s="1"/>
  <c r="E2488" i="525"/>
  <c r="H2488" i="525"/>
  <c r="E992" i="525"/>
  <c r="H992" i="525"/>
  <c r="I7342" i="527"/>
  <c r="F7342" i="527"/>
  <c r="C1883" i="527"/>
  <c r="E1889" i="527"/>
  <c r="C3324" i="527"/>
  <c r="E3328" i="527"/>
  <c r="C36" i="527"/>
  <c r="E40" i="527"/>
  <c r="J453" i="525"/>
  <c r="E453" i="525"/>
  <c r="D2105" i="527"/>
  <c r="F37" i="526"/>
  <c r="H328" i="523" s="1"/>
  <c r="I328" i="523" s="1"/>
  <c r="D98" i="527"/>
  <c r="F98" i="527"/>
  <c r="E98" i="527"/>
  <c r="L461" i="525"/>
  <c r="F461" i="525" s="1"/>
  <c r="E461" i="525"/>
  <c r="L1935" i="525"/>
  <c r="E1935" i="525"/>
  <c r="L1928" i="525"/>
  <c r="E1928" i="525"/>
  <c r="L1942" i="525"/>
  <c r="E1942" i="525"/>
  <c r="L2274" i="525"/>
  <c r="F2274" i="525" s="1"/>
  <c r="E2274" i="525"/>
  <c r="K345" i="523"/>
  <c r="G345" i="523" s="1"/>
  <c r="F345" i="523"/>
  <c r="H145" i="525"/>
  <c r="E145" i="525"/>
  <c r="H591" i="525"/>
  <c r="E591" i="525"/>
  <c r="E436" i="525"/>
  <c r="H436" i="525"/>
  <c r="E1785" i="525"/>
  <c r="H1785" i="525"/>
  <c r="H2438" i="525"/>
  <c r="E2438" i="525"/>
  <c r="K394" i="523"/>
  <c r="C7755" i="527"/>
  <c r="E145" i="526"/>
  <c r="C5134" i="527"/>
  <c r="D5136" i="527"/>
  <c r="C205" i="527"/>
  <c r="E6" i="526"/>
  <c r="H424" i="525"/>
  <c r="E424" i="525"/>
  <c r="H709" i="525"/>
  <c r="E709" i="525"/>
  <c r="H600" i="525"/>
  <c r="E600" i="525"/>
  <c r="E1499" i="525"/>
  <c r="H1499" i="525"/>
  <c r="E1799" i="525"/>
  <c r="H1799" i="525"/>
  <c r="D454" i="527"/>
  <c r="C439" i="527"/>
  <c r="E1324" i="525"/>
  <c r="H1324" i="525"/>
  <c r="L1554" i="525"/>
  <c r="F1554" i="525" s="1"/>
  <c r="E1554" i="525"/>
  <c r="F835" i="525"/>
  <c r="C2233" i="527"/>
  <c r="E2239" i="527"/>
  <c r="C3175" i="527"/>
  <c r="B3175" i="527" s="1"/>
  <c r="E3179" i="527"/>
  <c r="H609" i="525"/>
  <c r="E609" i="525"/>
  <c r="E1410" i="525"/>
  <c r="H1410" i="525"/>
  <c r="K197" i="523"/>
  <c r="K365" i="523"/>
  <c r="G365" i="523" s="1"/>
  <c r="F365" i="523"/>
  <c r="K320" i="523"/>
  <c r="E5" i="526"/>
  <c r="C155" i="527"/>
  <c r="H681" i="525"/>
  <c r="E681" i="525"/>
  <c r="H136" i="525"/>
  <c r="E136" i="525"/>
  <c r="H1418" i="525"/>
  <c r="E1418" i="525"/>
  <c r="C805" i="527"/>
  <c r="E18" i="526"/>
  <c r="D1104" i="527"/>
  <c r="C1089" i="527"/>
  <c r="C3396" i="527"/>
  <c r="E3404" i="527"/>
  <c r="D1204" i="527"/>
  <c r="C1189" i="527"/>
  <c r="C1037" i="527"/>
  <c r="D1039" i="527"/>
  <c r="K305" i="523"/>
  <c r="J526" i="525"/>
  <c r="E526" i="525"/>
  <c r="J123" i="525"/>
  <c r="E123" i="525"/>
  <c r="J650" i="525"/>
  <c r="E650" i="525"/>
  <c r="J706" i="525"/>
  <c r="E706" i="525"/>
  <c r="J723" i="525"/>
  <c r="E723" i="525"/>
  <c r="J874" i="525"/>
  <c r="E874" i="525"/>
  <c r="E149" i="525"/>
  <c r="J149" i="525"/>
  <c r="E517" i="525"/>
  <c r="J517" i="525"/>
  <c r="E577" i="525"/>
  <c r="J577" i="525"/>
  <c r="E613" i="525"/>
  <c r="J613" i="525"/>
  <c r="E637" i="525"/>
  <c r="J637" i="525"/>
  <c r="E685" i="525"/>
  <c r="J685" i="525"/>
  <c r="E793" i="525"/>
  <c r="J793" i="525"/>
  <c r="J1336" i="525"/>
  <c r="E1336" i="525"/>
  <c r="J1292" i="525"/>
  <c r="E1292" i="525"/>
  <c r="J1467" i="525"/>
  <c r="E1467" i="525"/>
  <c r="J1343" i="525"/>
  <c r="E1343" i="525"/>
  <c r="J1811" i="525"/>
  <c r="E1811" i="525"/>
  <c r="E1442" i="525"/>
  <c r="J1442" i="525"/>
  <c r="E1510" i="525"/>
  <c r="J1510" i="525"/>
  <c r="J2227" i="525"/>
  <c r="E2227" i="525"/>
  <c r="J1817" i="525"/>
  <c r="E1817" i="525"/>
  <c r="J1881" i="525"/>
  <c r="E1881" i="525"/>
  <c r="J2169" i="525"/>
  <c r="E2169" i="525"/>
  <c r="J1758" i="525"/>
  <c r="E1758" i="525"/>
  <c r="J1790" i="525"/>
  <c r="E1790" i="525"/>
  <c r="J2150" i="525"/>
  <c r="E2150" i="525"/>
  <c r="E1894" i="525"/>
  <c r="J1894" i="525"/>
  <c r="J2336" i="525"/>
  <c r="E2336" i="525"/>
  <c r="J2485" i="525"/>
  <c r="E2485" i="525"/>
  <c r="J2422" i="525"/>
  <c r="E2422" i="525"/>
  <c r="J2592" i="525"/>
  <c r="E2592" i="525"/>
  <c r="J2432" i="525"/>
  <c r="E2432" i="525"/>
  <c r="J2515" i="525"/>
  <c r="E2515" i="525"/>
  <c r="E2503" i="525"/>
  <c r="J2503" i="525"/>
  <c r="E2616" i="525"/>
  <c r="J2616" i="525"/>
  <c r="E2652" i="525"/>
  <c r="J2652" i="525"/>
  <c r="K346" i="523"/>
  <c r="D2804" i="527"/>
  <c r="C2793" i="527"/>
  <c r="K341" i="523"/>
  <c r="C855" i="527"/>
  <c r="E19" i="526"/>
  <c r="J228" i="525"/>
  <c r="E228" i="525"/>
  <c r="J365" i="525"/>
  <c r="E365" i="525"/>
  <c r="J297" i="525"/>
  <c r="E297" i="525"/>
  <c r="J242" i="525"/>
  <c r="E242" i="525"/>
  <c r="J349" i="525"/>
  <c r="E349" i="525"/>
  <c r="E281" i="525"/>
  <c r="J281" i="525"/>
  <c r="K199" i="523"/>
  <c r="H1363" i="525"/>
  <c r="E1363" i="525"/>
  <c r="F213" i="525"/>
  <c r="L214" i="525"/>
  <c r="H36" i="524" s="1"/>
  <c r="K2137" i="525" s="1"/>
  <c r="L2137" i="525" s="1"/>
  <c r="L1658" i="525"/>
  <c r="F1658" i="525" s="1"/>
  <c r="E1658" i="525"/>
  <c r="H1016" i="525"/>
  <c r="E1016" i="525"/>
  <c r="J416" i="525"/>
  <c r="E416" i="525"/>
  <c r="J1414" i="525"/>
  <c r="E1414" i="525"/>
  <c r="C1933" i="527"/>
  <c r="E1939" i="527"/>
  <c r="K353" i="523"/>
  <c r="F285" i="524"/>
  <c r="H230" i="523" s="1"/>
  <c r="F2005" i="525"/>
  <c r="H2006" i="525"/>
  <c r="F271" i="524" s="1"/>
  <c r="H368" i="523" s="1"/>
  <c r="I368" i="523" s="1"/>
  <c r="D1905" i="527"/>
  <c r="F35" i="526"/>
  <c r="H312" i="523" s="1"/>
  <c r="I312" i="523" s="1"/>
  <c r="F4154" i="527"/>
  <c r="C4131" i="527"/>
  <c r="I1049" i="525"/>
  <c r="J321" i="523"/>
  <c r="H181" i="525"/>
  <c r="E181" i="525"/>
  <c r="E702" i="525"/>
  <c r="H702" i="525"/>
  <c r="H789" i="525"/>
  <c r="E789" i="525"/>
  <c r="E1826" i="525"/>
  <c r="H1826" i="525"/>
  <c r="H2639" i="525"/>
  <c r="E2639" i="525"/>
  <c r="I1585" i="527"/>
  <c r="E1585" i="527"/>
  <c r="I3425" i="527"/>
  <c r="E3425" i="527"/>
  <c r="C2355" i="527"/>
  <c r="E41" i="526"/>
  <c r="L1532" i="525"/>
  <c r="F1532" i="525" s="1"/>
  <c r="E1532" i="525"/>
  <c r="E2418" i="525"/>
  <c r="H2418" i="525"/>
  <c r="F356" i="523"/>
  <c r="K356" i="523"/>
  <c r="G356" i="523" s="1"/>
  <c r="C7605" i="527"/>
  <c r="E142" i="526"/>
  <c r="F8205" i="527"/>
  <c r="H154" i="526"/>
  <c r="L299" i="523" s="1"/>
  <c r="M299" i="523" s="1"/>
  <c r="J1274" i="525"/>
  <c r="E1274" i="525"/>
  <c r="J1262" i="525"/>
  <c r="E1262" i="525"/>
  <c r="D8455" i="527"/>
  <c r="F159" i="526"/>
  <c r="G887" i="525" s="1"/>
  <c r="H887" i="525" s="1"/>
  <c r="C1337" i="527"/>
  <c r="D1339" i="527"/>
  <c r="F283" i="524"/>
  <c r="H228" i="523" s="1"/>
  <c r="K352" i="523"/>
  <c r="J2178" i="525"/>
  <c r="F2178" i="525" s="1"/>
  <c r="E2178" i="525"/>
  <c r="J2296" i="525"/>
  <c r="F2296" i="525" s="1"/>
  <c r="E2296" i="525"/>
  <c r="H172" i="525"/>
  <c r="E172" i="525"/>
  <c r="K375" i="523"/>
  <c r="D4340" i="527"/>
  <c r="C4329" i="527"/>
  <c r="F7104" i="527"/>
  <c r="C7083" i="527"/>
  <c r="E769" i="525"/>
  <c r="H769" i="525"/>
  <c r="I1485" i="527"/>
  <c r="E1485" i="527"/>
  <c r="I3694" i="527"/>
  <c r="E3694" i="527"/>
  <c r="D2954" i="527"/>
  <c r="C2942" i="527"/>
  <c r="L2097" i="525"/>
  <c r="E2097" i="525"/>
  <c r="C2455" i="527"/>
  <c r="E43" i="526"/>
  <c r="E1741" i="525"/>
  <c r="H1741" i="525"/>
  <c r="H2648" i="525"/>
  <c r="E2648" i="525"/>
  <c r="C755" i="527"/>
  <c r="E17" i="526"/>
  <c r="K1541" i="525"/>
  <c r="K1389" i="525"/>
  <c r="K1562" i="525"/>
  <c r="E1370" i="525"/>
  <c r="H1370" i="525"/>
  <c r="K340" i="523"/>
  <c r="E976" i="525"/>
  <c r="H976" i="525"/>
  <c r="K381" i="523"/>
  <c r="J1244" i="525"/>
  <c r="E1244" i="525"/>
  <c r="E1234" i="525"/>
  <c r="J1234" i="525"/>
  <c r="C487" i="527"/>
  <c r="D489" i="527"/>
  <c r="C3076" i="527"/>
  <c r="E3080" i="527"/>
  <c r="H667" i="525"/>
  <c r="E667" i="525"/>
  <c r="H573" i="525"/>
  <c r="E573" i="525"/>
  <c r="E759" i="525"/>
  <c r="H759" i="525"/>
  <c r="E2458" i="525"/>
  <c r="H2458" i="525"/>
  <c r="G374" i="523"/>
  <c r="D754" i="527"/>
  <c r="C739" i="527"/>
  <c r="F4954" i="527"/>
  <c r="C4933" i="527"/>
  <c r="J2216" i="525"/>
  <c r="F2216" i="525" s="1"/>
  <c r="E2216" i="525"/>
  <c r="J2256" i="525"/>
  <c r="F2256" i="525" s="1"/>
  <c r="E2256" i="525"/>
  <c r="J2316" i="525"/>
  <c r="F2316" i="525" s="1"/>
  <c r="E2316" i="525"/>
  <c r="K399" i="523"/>
  <c r="D4490" i="527"/>
  <c r="C4479" i="527"/>
  <c r="L2088" i="525"/>
  <c r="E2088" i="525"/>
  <c r="K200" i="523"/>
  <c r="F205" i="525"/>
  <c r="L206" i="525"/>
  <c r="H35" i="524" s="1"/>
  <c r="K2117" i="525" s="1"/>
  <c r="L2117" i="525" s="1"/>
  <c r="B7335" i="527"/>
  <c r="D2205" i="527"/>
  <c r="F39" i="526"/>
  <c r="H330" i="523" s="1"/>
  <c r="I330" i="523" s="1"/>
  <c r="D1755" i="527"/>
  <c r="F33" i="526"/>
  <c r="H318" i="523" s="1"/>
  <c r="I318" i="523" s="1"/>
  <c r="J1999" i="525"/>
  <c r="E1999" i="525"/>
  <c r="C5334" i="527"/>
  <c r="D5336" i="527"/>
  <c r="K402" i="523"/>
  <c r="K357" i="523"/>
  <c r="G357" i="523" s="1"/>
  <c r="F357" i="523"/>
  <c r="H2536" i="525"/>
  <c r="E2536" i="525"/>
  <c r="E1522" i="525"/>
  <c r="H1522" i="525"/>
  <c r="F465" i="525"/>
  <c r="D7305" i="527"/>
  <c r="F138" i="526"/>
  <c r="H408" i="523" s="1"/>
  <c r="I408" i="523" s="1"/>
  <c r="B1883" i="527"/>
  <c r="B3324" i="527"/>
  <c r="D2155" i="527"/>
  <c r="F38" i="526"/>
  <c r="H329" i="523" s="1"/>
  <c r="I329" i="523" s="1"/>
  <c r="B36" i="527"/>
  <c r="F4804" i="527"/>
  <c r="C4783" i="527"/>
  <c r="J440" i="525"/>
  <c r="E440" i="525"/>
  <c r="D4440" i="527"/>
  <c r="C4429" i="527"/>
  <c r="F5155" i="527"/>
  <c r="H95" i="526"/>
  <c r="L394" i="523" s="1"/>
  <c r="M394" i="523" s="1"/>
  <c r="F4904" i="527"/>
  <c r="C4883" i="527"/>
  <c r="M209" i="523"/>
  <c r="G209" i="523" s="1"/>
  <c r="F209" i="523"/>
  <c r="L97" i="525"/>
  <c r="E97" i="525"/>
  <c r="L2176" i="525"/>
  <c r="F2176" i="525" s="1"/>
  <c r="E2176" i="525"/>
  <c r="L2157" i="525"/>
  <c r="F2157" i="525" s="1"/>
  <c r="E2157" i="525"/>
  <c r="L2195" i="525"/>
  <c r="F2195" i="525" s="1"/>
  <c r="E2195" i="525"/>
  <c r="L2294" i="525"/>
  <c r="F2294" i="525" s="1"/>
  <c r="E2294" i="525"/>
  <c r="C905" i="527"/>
  <c r="E20" i="526"/>
  <c r="D1304" i="527"/>
  <c r="C1289" i="527"/>
  <c r="H1476" i="525"/>
  <c r="E1476" i="525"/>
  <c r="H2263" i="525"/>
  <c r="E2263" i="525"/>
  <c r="H1806" i="525"/>
  <c r="E1806" i="525"/>
  <c r="E2388" i="525"/>
  <c r="H2388" i="525"/>
  <c r="D5304" i="527"/>
  <c r="C5286" i="527"/>
  <c r="K307" i="523"/>
  <c r="C7489" i="527"/>
  <c r="E7493" i="527"/>
  <c r="C5184" i="527"/>
  <c r="D5186" i="527"/>
  <c r="K380" i="523"/>
  <c r="H154" i="525"/>
  <c r="E154" i="525"/>
  <c r="H1543" i="525"/>
  <c r="E1543" i="525"/>
  <c r="E2523" i="525"/>
  <c r="H2523" i="525"/>
  <c r="K2495" i="525"/>
  <c r="L2495" i="525" s="1"/>
  <c r="L2500" i="525" s="1"/>
  <c r="H320" i="524" s="1"/>
  <c r="L156" i="523" s="1"/>
  <c r="M156" i="523" s="1"/>
  <c r="K2311" i="525"/>
  <c r="L2311" i="525" s="1"/>
  <c r="K2507" i="525"/>
  <c r="L2507" i="525" s="1"/>
  <c r="L2512" i="525" s="1"/>
  <c r="H321" i="524" s="1"/>
  <c r="L154" i="523" s="1"/>
  <c r="M154" i="523" s="1"/>
  <c r="K2291" i="525"/>
  <c r="L2291" i="525" s="1"/>
  <c r="K2519" i="525"/>
  <c r="L2519" i="525" s="1"/>
  <c r="L2524" i="525" s="1"/>
  <c r="H322" i="524" s="1"/>
  <c r="L155" i="523" s="1"/>
  <c r="M155" i="523" s="1"/>
  <c r="K2271" i="525"/>
  <c r="L2271" i="525" s="1"/>
  <c r="K2251" i="525"/>
  <c r="L2251" i="525" s="1"/>
  <c r="K2173" i="525"/>
  <c r="L2173" i="525" s="1"/>
  <c r="L2185" i="525" s="1"/>
  <c r="H294" i="524" s="1"/>
  <c r="L117" i="523" s="1"/>
  <c r="M117" i="523" s="1"/>
  <c r="K2231" i="525"/>
  <c r="L2231" i="525" s="1"/>
  <c r="K2192" i="525"/>
  <c r="L2192" i="525" s="1"/>
  <c r="K2211" i="525"/>
  <c r="L2211" i="525" s="1"/>
  <c r="K1958" i="525"/>
  <c r="L1958" i="525" s="1"/>
  <c r="K2154" i="525"/>
  <c r="L2154" i="525" s="1"/>
  <c r="K1530" i="525"/>
  <c r="L1530" i="525" s="1"/>
  <c r="K1471" i="525"/>
  <c r="L1471" i="525" s="1"/>
  <c r="L1477" i="525" s="1"/>
  <c r="H204" i="524" s="1"/>
  <c r="L35" i="523" s="1"/>
  <c r="M35" i="523" s="1"/>
  <c r="K1378" i="525"/>
  <c r="L1378" i="525" s="1"/>
  <c r="K1551" i="525"/>
  <c r="L1551" i="525" s="1"/>
  <c r="K1458" i="525"/>
  <c r="L1458" i="525" s="1"/>
  <c r="L1464" i="525" s="1"/>
  <c r="H203" i="524" s="1"/>
  <c r="L34" i="523" s="1"/>
  <c r="M34" i="523" s="1"/>
  <c r="K1446" i="525"/>
  <c r="L1446" i="525" s="1"/>
  <c r="L1451" i="525" s="1"/>
  <c r="H202" i="524" s="1"/>
  <c r="L36" i="523" s="1"/>
  <c r="M36" i="523" s="1"/>
  <c r="K420" i="525"/>
  <c r="L420" i="525" s="1"/>
  <c r="L425" i="525" s="1"/>
  <c r="H63" i="524" s="1"/>
  <c r="L157" i="523" s="1"/>
  <c r="M157" i="523" s="1"/>
  <c r="K126" i="525"/>
  <c r="L126" i="525" s="1"/>
  <c r="L128" i="525" s="1"/>
  <c r="H26" i="524" s="1"/>
  <c r="L444" i="523" s="1"/>
  <c r="M444" i="523" s="1"/>
  <c r="K110" i="525"/>
  <c r="L110" i="525" s="1"/>
  <c r="L112" i="525" s="1"/>
  <c r="H24" i="524" s="1"/>
  <c r="L442" i="523" s="1"/>
  <c r="M442" i="523" s="1"/>
  <c r="K432" i="525"/>
  <c r="L432" i="525" s="1"/>
  <c r="L437" i="525" s="1"/>
  <c r="H64" i="524" s="1"/>
  <c r="L158" i="523" s="1"/>
  <c r="M158" i="523" s="1"/>
  <c r="K408" i="525"/>
  <c r="L408" i="525" s="1"/>
  <c r="L413" i="525" s="1"/>
  <c r="H62" i="524" s="1"/>
  <c r="L159" i="523" s="1"/>
  <c r="M159" i="523" s="1"/>
  <c r="K179" i="525"/>
  <c r="L179" i="525" s="1"/>
  <c r="L182" i="525" s="1"/>
  <c r="H32" i="524" s="1"/>
  <c r="L441" i="523" s="1"/>
  <c r="M441" i="523" s="1"/>
  <c r="K170" i="525"/>
  <c r="L170" i="525" s="1"/>
  <c r="L173" i="525" s="1"/>
  <c r="H31" i="524" s="1"/>
  <c r="L440" i="523" s="1"/>
  <c r="M440" i="523" s="1"/>
  <c r="K161" i="525"/>
  <c r="L161" i="525" s="1"/>
  <c r="L164" i="525" s="1"/>
  <c r="H30" i="524" s="1"/>
  <c r="L439" i="523" s="1"/>
  <c r="M439" i="523" s="1"/>
  <c r="K152" i="525"/>
  <c r="L152" i="525" s="1"/>
  <c r="L155" i="525" s="1"/>
  <c r="H29" i="524" s="1"/>
  <c r="L438" i="523" s="1"/>
  <c r="M438" i="523" s="1"/>
  <c r="K143" i="525"/>
  <c r="L143" i="525" s="1"/>
  <c r="L146" i="525" s="1"/>
  <c r="H28" i="524" s="1"/>
  <c r="L437" i="523" s="1"/>
  <c r="M437" i="523" s="1"/>
  <c r="K134" i="525"/>
  <c r="L134" i="525" s="1"/>
  <c r="L137" i="525" s="1"/>
  <c r="H27" i="524" s="1"/>
  <c r="L436" i="523" s="1"/>
  <c r="M436" i="523" s="1"/>
  <c r="K118" i="525"/>
  <c r="L118" i="525" s="1"/>
  <c r="L120" i="525" s="1"/>
  <c r="H25" i="524" s="1"/>
  <c r="L443" i="523" s="1"/>
  <c r="M443" i="523" s="1"/>
  <c r="I1394" i="525"/>
  <c r="I102" i="525"/>
  <c r="J211" i="523"/>
  <c r="E1981" i="525"/>
  <c r="H1981" i="525"/>
  <c r="F5555" i="527"/>
  <c r="H103" i="526"/>
  <c r="L399" i="523" s="1"/>
  <c r="M399" i="523" s="1"/>
  <c r="D2005" i="527"/>
  <c r="F36" i="526"/>
  <c r="H313" i="523" s="1"/>
  <c r="I313" i="523" s="1"/>
  <c r="D3054" i="527"/>
  <c r="C3043" i="527"/>
  <c r="F5004" i="527"/>
  <c r="C4983" i="527"/>
  <c r="C7987" i="527"/>
  <c r="D7989" i="527"/>
  <c r="B2233" i="527"/>
  <c r="E739" i="525"/>
  <c r="H739" i="525"/>
  <c r="E2468" i="525"/>
  <c r="H2468" i="525"/>
  <c r="E2303" i="525"/>
  <c r="H2303" i="525"/>
  <c r="F5055" i="527"/>
  <c r="H93" i="526"/>
  <c r="L382" i="523" s="1"/>
  <c r="M382" i="523" s="1"/>
  <c r="K388" i="523"/>
  <c r="J2004" i="525"/>
  <c r="E2004" i="525"/>
  <c r="D2854" i="527"/>
  <c r="C2842" i="527"/>
  <c r="K382" i="523"/>
  <c r="F5305" i="527"/>
  <c r="H98" i="526"/>
  <c r="L384" i="523" s="1"/>
  <c r="M384" i="523" s="1"/>
  <c r="K338" i="523"/>
  <c r="E1463" i="525"/>
  <c r="H1463" i="525"/>
  <c r="H1792" i="525"/>
  <c r="E1792" i="525"/>
  <c r="H2398" i="525"/>
  <c r="E2398" i="525"/>
  <c r="I1054" i="525"/>
  <c r="J324" i="523"/>
  <c r="D7422" i="527"/>
  <c r="D7454" i="527" s="1"/>
  <c r="F4754" i="527"/>
  <c r="C4733" i="527"/>
  <c r="D2904" i="527"/>
  <c r="C2893" i="527"/>
  <c r="D4390" i="527"/>
  <c r="C4379" i="527"/>
  <c r="B4379" i="527" s="1"/>
  <c r="F260" i="524"/>
  <c r="H227" i="523" s="1"/>
  <c r="K201" i="523"/>
  <c r="J743" i="525"/>
  <c r="E743" i="525"/>
  <c r="J499" i="525"/>
  <c r="E499" i="525"/>
  <c r="J664" i="525"/>
  <c r="E664" i="525"/>
  <c r="J733" i="525"/>
  <c r="E733" i="525"/>
  <c r="J763" i="525"/>
  <c r="E763" i="525"/>
  <c r="E115" i="525"/>
  <c r="J115" i="525"/>
  <c r="E158" i="525"/>
  <c r="J158" i="525"/>
  <c r="E543" i="525"/>
  <c r="J543" i="525"/>
  <c r="E586" i="525"/>
  <c r="J586" i="525"/>
  <c r="E619" i="525"/>
  <c r="J619" i="525"/>
  <c r="E643" i="525"/>
  <c r="J643" i="525"/>
  <c r="E699" i="525"/>
  <c r="J699" i="525"/>
  <c r="E852" i="525"/>
  <c r="J852" i="525"/>
  <c r="J1359" i="525"/>
  <c r="E1359" i="525"/>
  <c r="J1328" i="525"/>
  <c r="E1328" i="525"/>
  <c r="J1526" i="525"/>
  <c r="E1526" i="525"/>
  <c r="J1503" i="525"/>
  <c r="E1503" i="525"/>
  <c r="E1306" i="525"/>
  <c r="J1306" i="525"/>
  <c r="E1454" i="525"/>
  <c r="J1454" i="525"/>
  <c r="E1547" i="525"/>
  <c r="J1547" i="525"/>
  <c r="J2287" i="525"/>
  <c r="E2287" i="525"/>
  <c r="J1830" i="525"/>
  <c r="E1830" i="525"/>
  <c r="J1887" i="525"/>
  <c r="E1887" i="525"/>
  <c r="J2247" i="525"/>
  <c r="E2247" i="525"/>
  <c r="J1764" i="525"/>
  <c r="E1764" i="525"/>
  <c r="J1804" i="525"/>
  <c r="E1804" i="525"/>
  <c r="E1663" i="525"/>
  <c r="J1663" i="525"/>
  <c r="E2207" i="525"/>
  <c r="J2207" i="525"/>
  <c r="J2372" i="525"/>
  <c r="E2372" i="525"/>
  <c r="J2327" i="525"/>
  <c r="E2327" i="525"/>
  <c r="J2462" i="525"/>
  <c r="E2462" i="525"/>
  <c r="J2608" i="525"/>
  <c r="E2608" i="525"/>
  <c r="J2472" i="525"/>
  <c r="E2472" i="525"/>
  <c r="E2345" i="525"/>
  <c r="J2345" i="525"/>
  <c r="E2540" i="525"/>
  <c r="J2540" i="525"/>
  <c r="E2625" i="525"/>
  <c r="J2625" i="525"/>
  <c r="E2661" i="525"/>
  <c r="J2661" i="525"/>
  <c r="D1355" i="527"/>
  <c r="F29" i="526"/>
  <c r="H314" i="523" s="1"/>
  <c r="I314" i="523" s="1"/>
  <c r="F227" i="524"/>
  <c r="H234" i="523" s="1"/>
  <c r="K349" i="523"/>
  <c r="J273" i="525"/>
  <c r="E273" i="525"/>
  <c r="J397" i="525"/>
  <c r="E397" i="525"/>
  <c r="J327" i="525"/>
  <c r="E327" i="525"/>
  <c r="J257" i="525"/>
  <c r="E257" i="525"/>
  <c r="J381" i="525"/>
  <c r="E381" i="525"/>
  <c r="E313" i="525"/>
  <c r="J313" i="525"/>
  <c r="C5084" i="527"/>
  <c r="D5086" i="527"/>
  <c r="F261" i="524"/>
  <c r="H224" i="523" s="1"/>
  <c r="K395" i="523"/>
  <c r="K322" i="523"/>
  <c r="E878" i="525"/>
  <c r="H878" i="525"/>
  <c r="M207" i="523"/>
  <c r="G207" i="523" s="1"/>
  <c r="F207" i="523"/>
  <c r="F229" i="524"/>
  <c r="H233" i="523" s="1"/>
  <c r="L462" i="525"/>
  <c r="F460" i="525"/>
  <c r="C5434" i="527"/>
  <c r="D5436" i="527"/>
  <c r="K401" i="523"/>
  <c r="E405" i="525"/>
  <c r="J405" i="525"/>
  <c r="J1406" i="525"/>
  <c r="E1406" i="525"/>
  <c r="B1933" i="527"/>
  <c r="J2056" i="525"/>
  <c r="F2055" i="525"/>
  <c r="C5234" i="527"/>
  <c r="D5236" i="527"/>
  <c r="D1254" i="527"/>
  <c r="C1239" i="527"/>
  <c r="K359" i="523"/>
  <c r="K336" i="523"/>
  <c r="F2011" i="525"/>
  <c r="H2012" i="525"/>
  <c r="F272" i="524" s="1"/>
  <c r="H367" i="523" s="1"/>
  <c r="I367" i="523" s="1"/>
  <c r="B4329" i="527"/>
  <c r="E2408" i="525"/>
  <c r="H2408" i="525"/>
  <c r="K323" i="523"/>
  <c r="I1785" i="527"/>
  <c r="E1785" i="527"/>
  <c r="I3221" i="527"/>
  <c r="E3221" i="527"/>
  <c r="L1553" i="525"/>
  <c r="F1553" i="525" s="1"/>
  <c r="E1553" i="525"/>
  <c r="E1897" i="525"/>
  <c r="H1897" i="525"/>
  <c r="C8037" i="527"/>
  <c r="D8039" i="527"/>
  <c r="J2197" i="525"/>
  <c r="F2197" i="525" s="1"/>
  <c r="E2197" i="525"/>
  <c r="K400" i="523"/>
  <c r="C5034" i="527"/>
  <c r="D5036" i="527"/>
  <c r="E779" i="525"/>
  <c r="H779" i="525"/>
  <c r="K398" i="523"/>
  <c r="C8087" i="527"/>
  <c r="D8089" i="527"/>
  <c r="F252" i="524"/>
  <c r="H235" i="523" s="1"/>
  <c r="B4479" i="527"/>
  <c r="K362" i="523"/>
  <c r="L2093" i="525"/>
  <c r="E2093" i="525"/>
  <c r="K383" i="523"/>
  <c r="J2010" i="525"/>
  <c r="E2010" i="525"/>
  <c r="K339" i="523"/>
  <c r="D7954" i="527"/>
  <c r="C7939" i="527"/>
  <c r="C305" i="527"/>
  <c r="E8" i="526"/>
  <c r="D3255" i="527"/>
  <c r="F58" i="526"/>
  <c r="C387" i="527"/>
  <c r="D389" i="527"/>
  <c r="E1339" i="525"/>
  <c r="H1339" i="525"/>
  <c r="E449" i="525"/>
  <c r="H449" i="525"/>
  <c r="F5355" i="527"/>
  <c r="H99" i="526"/>
  <c r="L385" i="523" s="1"/>
  <c r="M385" i="523" s="1"/>
  <c r="E1032" i="525"/>
  <c r="H1032" i="525"/>
  <c r="D1655" i="527"/>
  <c r="F32" i="526"/>
  <c r="H317" i="523" s="1"/>
  <c r="I317" i="523" s="1"/>
  <c r="C62" i="527"/>
  <c r="B62" i="527" s="1"/>
  <c r="E67" i="527"/>
  <c r="K334" i="523"/>
  <c r="C8479" i="527"/>
  <c r="B8479" i="527" s="1"/>
  <c r="E8483" i="527"/>
  <c r="J446" i="525"/>
  <c r="E446" i="525"/>
  <c r="B4429" i="527"/>
  <c r="D102" i="527"/>
  <c r="E102" i="527"/>
  <c r="F102" i="527"/>
  <c r="L466" i="525"/>
  <c r="F466" i="525" s="1"/>
  <c r="E466" i="525"/>
  <c r="L836" i="525"/>
  <c r="F836" i="525" s="1"/>
  <c r="E836" i="525"/>
  <c r="L2254" i="525"/>
  <c r="F2254" i="525" s="1"/>
  <c r="E2254" i="525"/>
  <c r="L1949" i="525"/>
  <c r="E1949" i="525"/>
  <c r="L2234" i="525"/>
  <c r="F2234" i="525" s="1"/>
  <c r="E2234" i="525"/>
  <c r="L2314" i="525"/>
  <c r="F2314" i="525" s="1"/>
  <c r="E2314" i="525"/>
  <c r="H695" i="525"/>
  <c r="E695" i="525"/>
  <c r="H2675" i="525"/>
  <c r="E2675" i="525"/>
  <c r="B7489" i="527"/>
  <c r="F354" i="523"/>
  <c r="K354" i="523"/>
  <c r="G354" i="523" s="1"/>
  <c r="I1594" i="525"/>
  <c r="J347" i="523"/>
  <c r="E660" i="525"/>
  <c r="H660" i="525"/>
  <c r="E2428" i="525"/>
  <c r="H2428" i="525"/>
  <c r="H2684" i="525"/>
  <c r="E2684" i="525"/>
  <c r="E2543" i="525"/>
  <c r="H2543" i="525"/>
  <c r="E1316" i="525"/>
  <c r="H1316" i="525"/>
  <c r="E456" i="525"/>
  <c r="H456" i="525"/>
  <c r="E1000" i="525"/>
  <c r="H1000" i="525"/>
  <c r="L1381" i="525"/>
  <c r="F1381" i="525" s="1"/>
  <c r="E1381" i="525"/>
  <c r="F2547" i="525"/>
  <c r="K348" i="523"/>
  <c r="C687" i="527"/>
  <c r="D689" i="527"/>
  <c r="C1383" i="527"/>
  <c r="B1383" i="527" s="1"/>
  <c r="E1389" i="527"/>
  <c r="E1564" i="525"/>
  <c r="H1564" i="525"/>
  <c r="H1729" i="525"/>
  <c r="E1729" i="525"/>
  <c r="E2323" i="525"/>
  <c r="H2323" i="525"/>
  <c r="K397" i="523"/>
  <c r="E1994" i="525"/>
  <c r="J1994" i="525"/>
  <c r="C7655" i="527"/>
  <c r="E143" i="526"/>
  <c r="H2666" i="525"/>
  <c r="E2666" i="525"/>
  <c r="F56" i="525"/>
  <c r="K342" i="523"/>
  <c r="G342" i="523" s="1"/>
  <c r="F342" i="523"/>
  <c r="K306" i="523"/>
  <c r="K350" i="523"/>
  <c r="J783" i="525"/>
  <c r="E783" i="525"/>
  <c r="J535" i="525"/>
  <c r="E535" i="525"/>
  <c r="J678" i="525"/>
  <c r="E678" i="525"/>
  <c r="J773" i="525"/>
  <c r="E773" i="525"/>
  <c r="J803" i="525"/>
  <c r="E803" i="525"/>
  <c r="E131" i="525"/>
  <c r="J131" i="525"/>
  <c r="E167" i="525"/>
  <c r="J167" i="525"/>
  <c r="E559" i="525"/>
  <c r="J559" i="525"/>
  <c r="E595" i="525"/>
  <c r="J595" i="525"/>
  <c r="E625" i="525"/>
  <c r="J625" i="525"/>
  <c r="E657" i="525"/>
  <c r="J657" i="525"/>
  <c r="E713" i="525"/>
  <c r="J713" i="525"/>
  <c r="E866" i="525"/>
  <c r="J866" i="525"/>
  <c r="J1487" i="525"/>
  <c r="E1487" i="525"/>
  <c r="J1351" i="525"/>
  <c r="E1351" i="525"/>
  <c r="J1299" i="525"/>
  <c r="E1299" i="525"/>
  <c r="J1518" i="525"/>
  <c r="E1518" i="525"/>
  <c r="E1312" i="525"/>
  <c r="J1312" i="525"/>
  <c r="E1480" i="525"/>
  <c r="J1480" i="525"/>
  <c r="J1745" i="525"/>
  <c r="E1745" i="525"/>
  <c r="J1675" i="525"/>
  <c r="E1675" i="525"/>
  <c r="J1843" i="525"/>
  <c r="E1843" i="525"/>
  <c r="J1962" i="525"/>
  <c r="E1962" i="525"/>
  <c r="J1698" i="525"/>
  <c r="E1698" i="525"/>
  <c r="J1770" i="525"/>
  <c r="E1770" i="525"/>
  <c r="J1953" i="525"/>
  <c r="E1953" i="525"/>
  <c r="E1687" i="525"/>
  <c r="J1687" i="525"/>
  <c r="E2267" i="525"/>
  <c r="J2267" i="525"/>
  <c r="J2412" i="525"/>
  <c r="E2412" i="525"/>
  <c r="J2363" i="525"/>
  <c r="E2363" i="525"/>
  <c r="J2527" i="525"/>
  <c r="E2527" i="525"/>
  <c r="J2354" i="525"/>
  <c r="E2354" i="525"/>
  <c r="J2478" i="525"/>
  <c r="E2478" i="525"/>
  <c r="E2402" i="525"/>
  <c r="J2402" i="525"/>
  <c r="E2584" i="525"/>
  <c r="J2584" i="525"/>
  <c r="E2634" i="525"/>
  <c r="J2634" i="525"/>
  <c r="E2670" i="525"/>
  <c r="J2670" i="525"/>
  <c r="F5405" i="527"/>
  <c r="H100" i="526"/>
  <c r="L386" i="523" s="1"/>
  <c r="M386" i="523" s="1"/>
  <c r="F4204" i="527"/>
  <c r="C4181" i="527"/>
  <c r="F344" i="523"/>
  <c r="K344" i="523"/>
  <c r="G344" i="523" s="1"/>
  <c r="K210" i="523"/>
  <c r="J305" i="525"/>
  <c r="E305" i="525"/>
  <c r="J235" i="525"/>
  <c r="E235" i="525"/>
  <c r="J357" i="525"/>
  <c r="E357" i="525"/>
  <c r="J289" i="525"/>
  <c r="E289" i="525"/>
  <c r="E221" i="525"/>
  <c r="J221" i="525"/>
  <c r="E341" i="525"/>
  <c r="J341" i="525"/>
  <c r="D2654" i="527"/>
  <c r="C2643" i="527"/>
  <c r="D1154" i="527"/>
  <c r="C1139" i="527"/>
  <c r="K309" i="523"/>
  <c r="G309" i="523" s="1"/>
  <c r="F309" i="523"/>
  <c r="C9033" i="527"/>
  <c r="E9038" i="527"/>
  <c r="E2481" i="525"/>
  <c r="H2481" i="525"/>
  <c r="E1355" i="525"/>
  <c r="H1355" i="525"/>
  <c r="L1649" i="525"/>
  <c r="F1649" i="525" s="1"/>
  <c r="E1649" i="525"/>
  <c r="F262" i="524"/>
  <c r="H225" i="523" s="1"/>
  <c r="E428" i="525"/>
  <c r="J428" i="525"/>
  <c r="C2133" i="527"/>
  <c r="B2133" i="527" s="1"/>
  <c r="E2139" i="527"/>
  <c r="C3274" i="527"/>
  <c r="E3278" i="527"/>
  <c r="D3155" i="527"/>
  <c r="F56" i="526"/>
  <c r="F5105" i="527"/>
  <c r="H94" i="526"/>
  <c r="L383" i="523" s="1"/>
  <c r="M383" i="523" s="1"/>
  <c r="H1491" i="525"/>
  <c r="E1491" i="525"/>
  <c r="K310" i="523"/>
  <c r="G310" i="523" s="1"/>
  <c r="F310" i="523"/>
  <c r="D7455" i="527"/>
  <c r="F140" i="526"/>
  <c r="E2448" i="525"/>
  <c r="H2448" i="525"/>
  <c r="C255" i="527"/>
  <c r="E7" i="526"/>
  <c r="F8105" i="527"/>
  <c r="H152" i="526"/>
  <c r="C8154" i="527"/>
  <c r="H984" i="525"/>
  <c r="E984" i="525"/>
  <c r="K377" i="523"/>
  <c r="L1878" i="525"/>
  <c r="H252" i="524" s="1"/>
  <c r="L235" i="523" s="1"/>
  <c r="M235" i="523" s="1"/>
  <c r="F1876" i="525"/>
  <c r="J1239" i="525"/>
  <c r="E1239" i="525"/>
  <c r="J1268" i="525"/>
  <c r="E1268" i="525"/>
  <c r="E1256" i="525"/>
  <c r="J1256" i="525"/>
  <c r="B3076" i="527"/>
  <c r="E2223" i="525"/>
  <c r="H2223" i="525"/>
  <c r="H2657" i="525"/>
  <c r="E2657" i="525"/>
  <c r="D8254" i="527"/>
  <c r="C8247" i="527"/>
  <c r="F1423" i="525"/>
  <c r="J1425" i="525"/>
  <c r="E2159" i="525"/>
  <c r="J2159" i="525"/>
  <c r="F2159" i="525" s="1"/>
  <c r="D3305" i="527"/>
  <c r="F59" i="526"/>
  <c r="L1639" i="525"/>
  <c r="E1639" i="525"/>
  <c r="K361" i="523"/>
  <c r="F4304" i="527"/>
  <c r="C4281" i="527"/>
  <c r="F5505" i="527"/>
  <c r="H102" i="526"/>
  <c r="L398" i="523" s="1"/>
  <c r="M398" i="523" s="1"/>
  <c r="K389" i="523"/>
  <c r="D4540" i="527"/>
  <c r="C4529" i="527"/>
  <c r="B4529" i="527" s="1"/>
  <c r="I1599" i="525"/>
  <c r="J351" i="523"/>
  <c r="K376" i="523"/>
  <c r="C637" i="527"/>
  <c r="D639" i="527"/>
  <c r="K298" i="523"/>
  <c r="E2378" i="525"/>
  <c r="H2378" i="525"/>
  <c r="E2050" i="525"/>
  <c r="J2050" i="525"/>
  <c r="I1685" i="527"/>
  <c r="E1685" i="527"/>
  <c r="I7227" i="527"/>
  <c r="E7227" i="527"/>
  <c r="D3112" i="527"/>
  <c r="D3154" i="527" s="1"/>
  <c r="C7389" i="527"/>
  <c r="B7389" i="527" s="1"/>
  <c r="E7393" i="527"/>
  <c r="K308" i="523"/>
  <c r="L1380" i="525"/>
  <c r="F1380" i="525" s="1"/>
  <c r="E1380" i="525"/>
  <c r="E809" i="525"/>
  <c r="H809" i="525"/>
  <c r="H564" i="525"/>
  <c r="E564" i="525"/>
  <c r="E1839" i="525"/>
  <c r="H1839" i="525"/>
  <c r="E2243" i="525"/>
  <c r="H2243" i="525"/>
  <c r="E2283" i="525"/>
  <c r="H2283" i="525"/>
  <c r="C5484" i="527"/>
  <c r="D5486" i="527"/>
  <c r="K343" i="523"/>
  <c r="G343" i="523" s="1"/>
  <c r="F343" i="523"/>
  <c r="F5205" i="527"/>
  <c r="H96" i="526"/>
  <c r="L395" i="523" s="1"/>
  <c r="M395" i="523" s="1"/>
  <c r="F4254" i="527"/>
  <c r="C4231" i="527"/>
  <c r="K325" i="523"/>
  <c r="G325" i="523" s="1"/>
  <c r="F325" i="523"/>
  <c r="F4854" i="527"/>
  <c r="C4833" i="527"/>
  <c r="H1890" i="525"/>
  <c r="E1890" i="525"/>
  <c r="D1855" i="527"/>
  <c r="F34" i="526"/>
  <c r="H311" i="523" s="1"/>
  <c r="I311" i="523" s="1"/>
  <c r="J1250" i="525"/>
  <c r="E1250" i="525"/>
  <c r="J1229" i="525"/>
  <c r="E1229" i="525"/>
  <c r="E1280" i="525"/>
  <c r="J1280" i="525"/>
  <c r="C2183" i="527"/>
  <c r="B2183" i="527" s="1"/>
  <c r="E2189" i="527"/>
  <c r="D2754" i="527"/>
  <c r="C2742" i="527"/>
  <c r="E1865" i="525"/>
  <c r="H1865" i="525"/>
  <c r="H1778" i="525"/>
  <c r="E1778" i="525"/>
  <c r="K358" i="523"/>
  <c r="J2236" i="525"/>
  <c r="F2236" i="525" s="1"/>
  <c r="E2236" i="525"/>
  <c r="J2276" i="525"/>
  <c r="F2276" i="525" s="1"/>
  <c r="E2276" i="525"/>
  <c r="E688" i="525"/>
  <c r="H688" i="525"/>
  <c r="E1717" i="525"/>
  <c r="H1717" i="525"/>
  <c r="C2033" i="527"/>
  <c r="B2033" i="527" s="1"/>
  <c r="E2039" i="527"/>
  <c r="K363" i="523"/>
  <c r="D2604" i="527"/>
  <c r="C2592" i="527"/>
  <c r="I1044" i="525"/>
  <c r="J327" i="523"/>
  <c r="D1004" i="527"/>
  <c r="C989" i="527"/>
  <c r="D4690" i="527"/>
  <c r="C4679" i="527"/>
  <c r="B4679" i="527" s="1"/>
  <c r="L1647" i="525"/>
  <c r="E1647" i="525"/>
  <c r="L1656" i="525"/>
  <c r="E1656" i="525"/>
  <c r="F4054" i="527"/>
  <c r="C4031" i="527"/>
  <c r="J2022" i="525"/>
  <c r="E2022" i="525"/>
  <c r="F5005" i="527"/>
  <c r="H92" i="526"/>
  <c r="L381" i="523" s="1"/>
  <c r="M381" i="523" s="1"/>
  <c r="F2023" i="525"/>
  <c r="H2024" i="525"/>
  <c r="F274" i="524" s="1"/>
  <c r="H369" i="523" s="1"/>
  <c r="I369" i="523" s="1"/>
  <c r="E1973" i="525"/>
  <c r="H1973" i="525"/>
  <c r="E1347" i="525"/>
  <c r="H1347" i="525"/>
  <c r="E870" i="525"/>
  <c r="H870" i="525"/>
  <c r="F228" i="524"/>
  <c r="H232" i="523" s="1"/>
  <c r="D2655" i="527"/>
  <c r="F47" i="526"/>
  <c r="H319" i="523" s="1"/>
  <c r="C2704" i="527"/>
  <c r="K378" i="523"/>
  <c r="D7904" i="527"/>
  <c r="C7889" i="527"/>
  <c r="K387" i="523"/>
  <c r="K385" i="523"/>
  <c r="K236" i="523"/>
  <c r="K386" i="523"/>
  <c r="D4640" i="527"/>
  <c r="C4629" i="527"/>
  <c r="B4629" i="527" s="1"/>
  <c r="D554" i="527"/>
  <c r="C539" i="527"/>
  <c r="K360" i="523"/>
  <c r="D100" i="527"/>
  <c r="F100" i="527"/>
  <c r="E100" i="527"/>
  <c r="L103" i="525"/>
  <c r="F103" i="525" s="1"/>
  <c r="E103" i="525"/>
  <c r="L1395" i="525"/>
  <c r="F1395" i="525" s="1"/>
  <c r="E1395" i="525"/>
  <c r="L1877" i="525"/>
  <c r="F1877" i="525" s="1"/>
  <c r="E1877" i="525"/>
  <c r="L2214" i="525"/>
  <c r="F2214" i="525" s="1"/>
  <c r="E2214" i="525"/>
  <c r="L2548" i="525"/>
  <c r="F2548" i="525" s="1"/>
  <c r="E2548" i="525"/>
  <c r="L2553" i="525"/>
  <c r="F2553" i="525" s="1"/>
  <c r="E2553" i="525"/>
  <c r="E646" i="525"/>
  <c r="H646" i="525"/>
  <c r="D8204" i="527"/>
  <c r="C8197" i="527"/>
  <c r="F364" i="523"/>
  <c r="K364" i="523"/>
  <c r="G364" i="523" s="1"/>
  <c r="C7837" i="527"/>
  <c r="D7839" i="527"/>
  <c r="C5534" i="527"/>
  <c r="D5536" i="527"/>
  <c r="L1533" i="525"/>
  <c r="F1533" i="525" s="1"/>
  <c r="E1533" i="525"/>
  <c r="K335" i="523"/>
  <c r="F2060" i="525"/>
  <c r="J2061" i="525"/>
  <c r="H163" i="525"/>
  <c r="E163" i="525"/>
  <c r="E674" i="525"/>
  <c r="H674" i="525"/>
  <c r="E1813" i="525"/>
  <c r="H1813" i="525"/>
  <c r="H2621" i="525"/>
  <c r="E2621" i="525"/>
  <c r="K299" i="523"/>
  <c r="E2016" i="525"/>
  <c r="J2016" i="525"/>
  <c r="D3004" i="527"/>
  <c r="C2992" i="527"/>
  <c r="L190" i="525"/>
  <c r="H33" i="524" s="1"/>
  <c r="K2109" i="525" s="1"/>
  <c r="L2109" i="525" s="1"/>
  <c r="F189" i="525"/>
  <c r="F284" i="524"/>
  <c r="H229" i="523" s="1"/>
  <c r="I1589" i="525"/>
  <c r="J355" i="523"/>
  <c r="F2017" i="525"/>
  <c r="H2018" i="525"/>
  <c r="F273" i="524" s="1"/>
  <c r="H370" i="523" s="1"/>
  <c r="I370" i="523" s="1"/>
  <c r="H582" i="525"/>
  <c r="E582" i="525"/>
  <c r="E799" i="525"/>
  <c r="H799" i="525"/>
  <c r="E1753" i="525"/>
  <c r="H1753" i="525"/>
  <c r="E2511" i="525"/>
  <c r="H2511" i="525"/>
  <c r="C8529" i="527"/>
  <c r="B8529" i="527" s="1"/>
  <c r="E8533" i="527"/>
  <c r="D4590" i="527"/>
  <c r="C4579" i="527"/>
  <c r="B4579" i="527" s="1"/>
  <c r="J490" i="525"/>
  <c r="E490" i="525"/>
  <c r="J107" i="525"/>
  <c r="E107" i="525"/>
  <c r="J551" i="525"/>
  <c r="E551" i="525"/>
  <c r="J692" i="525"/>
  <c r="E692" i="525"/>
  <c r="J508" i="525"/>
  <c r="E508" i="525"/>
  <c r="J859" i="525"/>
  <c r="E859" i="525"/>
  <c r="E140" i="525"/>
  <c r="J140" i="525"/>
  <c r="E176" i="525"/>
  <c r="J176" i="525"/>
  <c r="E568" i="525"/>
  <c r="J568" i="525"/>
  <c r="E604" i="525"/>
  <c r="J604" i="525"/>
  <c r="E631" i="525"/>
  <c r="J631" i="525"/>
  <c r="E671" i="525"/>
  <c r="J671" i="525"/>
  <c r="E753" i="525"/>
  <c r="J753" i="525"/>
  <c r="J1285" i="525"/>
  <c r="E1285" i="525"/>
  <c r="J1797" i="525"/>
  <c r="E1797" i="525"/>
  <c r="J1374" i="525"/>
  <c r="E1374" i="525"/>
  <c r="J1320" i="525"/>
  <c r="E1320" i="525"/>
  <c r="J1783" i="525"/>
  <c r="E1783" i="525"/>
  <c r="E1367" i="525"/>
  <c r="J1367" i="525"/>
  <c r="E1495" i="525"/>
  <c r="J1495" i="525"/>
  <c r="J2188" i="525"/>
  <c r="E2188" i="525"/>
  <c r="J1709" i="525"/>
  <c r="E1709" i="525"/>
  <c r="J1856" i="525"/>
  <c r="E1856" i="525"/>
  <c r="J1977" i="525"/>
  <c r="E1977" i="525"/>
  <c r="J1721" i="525"/>
  <c r="E1721" i="525"/>
  <c r="J1776" i="525"/>
  <c r="E1776" i="525"/>
  <c r="J1969" i="525"/>
  <c r="E1969" i="525"/>
  <c r="E1733" i="525"/>
  <c r="J1733" i="525"/>
  <c r="J2307" i="525"/>
  <c r="E2307" i="525"/>
  <c r="J2452" i="525"/>
  <c r="E2452" i="525"/>
  <c r="J2382" i="525"/>
  <c r="E2382" i="525"/>
  <c r="J2533" i="525"/>
  <c r="E2533" i="525"/>
  <c r="J2392" i="525"/>
  <c r="E2392" i="525"/>
  <c r="J2492" i="525"/>
  <c r="E2492" i="525"/>
  <c r="E2442" i="525"/>
  <c r="J2442" i="525"/>
  <c r="E2600" i="525"/>
  <c r="J2600" i="525"/>
  <c r="E2643" i="525"/>
  <c r="J2643" i="525"/>
  <c r="E2679" i="525"/>
  <c r="J2679" i="525"/>
  <c r="C7414" i="527"/>
  <c r="B7414" i="527" s="1"/>
  <c r="E7418" i="527"/>
  <c r="K379" i="523"/>
  <c r="J320" i="525"/>
  <c r="E320" i="525"/>
  <c r="J265" i="525"/>
  <c r="E265" i="525"/>
  <c r="J389" i="525"/>
  <c r="E389" i="525"/>
  <c r="J334" i="525"/>
  <c r="E334" i="525"/>
  <c r="E249" i="525"/>
  <c r="J249" i="525"/>
  <c r="E373" i="525"/>
  <c r="J373" i="525"/>
  <c r="F22" i="524"/>
  <c r="H195" i="523" s="1"/>
  <c r="F8155" i="527"/>
  <c r="H153" i="526"/>
  <c r="L298" i="523" s="1"/>
  <c r="M298" i="523" s="1"/>
  <c r="C2305" i="527"/>
  <c r="E40" i="526"/>
  <c r="F4104" i="527"/>
  <c r="C4081" i="527"/>
  <c r="E1514" i="525"/>
  <c r="H1514" i="525"/>
  <c r="L1641" i="525"/>
  <c r="F1641" i="525" s="1"/>
  <c r="E1641" i="525"/>
  <c r="E1008" i="525"/>
  <c r="H1008" i="525"/>
  <c r="F2552" i="525"/>
  <c r="J1399" i="525"/>
  <c r="E1399" i="525"/>
  <c r="B3274" i="527"/>
  <c r="E8955" i="527"/>
  <c r="C9004" i="527"/>
  <c r="G169" i="526"/>
  <c r="F1429" i="525"/>
  <c r="J1432" i="525"/>
  <c r="F5455" i="527"/>
  <c r="H101" i="526"/>
  <c r="L397" i="523" s="1"/>
  <c r="M397" i="523" s="1"/>
  <c r="D1" i="461"/>
  <c r="I4431" i="527" l="1"/>
  <c r="E4431" i="527"/>
  <c r="E4331" i="527"/>
  <c r="I4331" i="527"/>
  <c r="L2284" i="525"/>
  <c r="H299" i="524" s="1"/>
  <c r="L113" i="523" s="1"/>
  <c r="M113" i="523" s="1"/>
  <c r="B1494" i="527"/>
  <c r="E4631" i="527"/>
  <c r="I4631" i="527"/>
  <c r="I4531" i="527"/>
  <c r="E4531" i="527"/>
  <c r="L2554" i="525"/>
  <c r="C7186" i="527"/>
  <c r="E7191" i="527"/>
  <c r="I4381" i="527"/>
  <c r="E4381" i="527"/>
  <c r="E4481" i="527"/>
  <c r="I4481" i="527"/>
  <c r="E3629" i="527"/>
  <c r="C3621" i="527"/>
  <c r="B3621" i="527" s="1"/>
  <c r="B7186" i="527"/>
  <c r="I4581" i="527"/>
  <c r="E4581" i="527"/>
  <c r="I4681" i="527"/>
  <c r="E4681" i="527"/>
  <c r="J188" i="525"/>
  <c r="E188" i="525"/>
  <c r="L2204" i="525"/>
  <c r="H295" i="524" s="1"/>
  <c r="L118" i="523" s="1"/>
  <c r="M118" i="523" s="1"/>
  <c r="L2304" i="525"/>
  <c r="H300" i="524" s="1"/>
  <c r="L114" i="523" s="1"/>
  <c r="M114" i="523" s="1"/>
  <c r="E196" i="525"/>
  <c r="J196" i="525"/>
  <c r="J58" i="525"/>
  <c r="E58" i="525"/>
  <c r="J204" i="525"/>
  <c r="E204" i="525"/>
  <c r="I3101" i="527"/>
  <c r="E3101" i="527"/>
  <c r="E212" i="525"/>
  <c r="J212" i="525"/>
  <c r="E1794" i="527"/>
  <c r="C1794" i="527" s="1"/>
  <c r="I1794" i="527"/>
  <c r="I1694" i="527"/>
  <c r="E1694" i="527"/>
  <c r="C1694" i="527" s="1"/>
  <c r="F373" i="525"/>
  <c r="C7418" i="527"/>
  <c r="E7420" i="527"/>
  <c r="C7420" i="527" s="1"/>
  <c r="J2649" i="525"/>
  <c r="F2643" i="525"/>
  <c r="J2449" i="525"/>
  <c r="F2442" i="525"/>
  <c r="J1371" i="525"/>
  <c r="F1367" i="525"/>
  <c r="J760" i="525"/>
  <c r="F753" i="525"/>
  <c r="J634" i="525"/>
  <c r="F631" i="525"/>
  <c r="J574" i="525"/>
  <c r="F568" i="525"/>
  <c r="F140" i="525"/>
  <c r="J1403" i="525"/>
  <c r="F1399" i="525"/>
  <c r="H327" i="524"/>
  <c r="L198" i="523" s="1"/>
  <c r="F2554" i="525"/>
  <c r="E327" i="524" s="1"/>
  <c r="F4055" i="527"/>
  <c r="H73" i="526"/>
  <c r="L379" i="523" s="1"/>
  <c r="C4104" i="527"/>
  <c r="F334" i="525"/>
  <c r="F265" i="525"/>
  <c r="F2392" i="525"/>
  <c r="J2399" i="525"/>
  <c r="J2389" i="525"/>
  <c r="F2382" i="525"/>
  <c r="F2307" i="525"/>
  <c r="F1969" i="525"/>
  <c r="J1974" i="525"/>
  <c r="F1721" i="525"/>
  <c r="J1730" i="525"/>
  <c r="J1866" i="525"/>
  <c r="F1856" i="525"/>
  <c r="F2188" i="525"/>
  <c r="F1320" i="525"/>
  <c r="J1325" i="525"/>
  <c r="F1797" i="525"/>
  <c r="J1800" i="525"/>
  <c r="F508" i="525"/>
  <c r="J514" i="525"/>
  <c r="F551" i="525"/>
  <c r="J556" i="525"/>
  <c r="J496" i="525"/>
  <c r="F490" i="525"/>
  <c r="F1753" i="525"/>
  <c r="H1754" i="525"/>
  <c r="F237" i="524" s="1"/>
  <c r="H70" i="523" s="1"/>
  <c r="I70" i="523" s="1"/>
  <c r="K355" i="523"/>
  <c r="G355" i="523" s="1"/>
  <c r="F355" i="523"/>
  <c r="F2016" i="525"/>
  <c r="J2018" i="525"/>
  <c r="F674" i="525"/>
  <c r="H675" i="525"/>
  <c r="F97" i="524" s="1"/>
  <c r="H241" i="523" s="1"/>
  <c r="I241" i="523" s="1"/>
  <c r="F2061" i="525"/>
  <c r="E280" i="524" s="1"/>
  <c r="G280" i="524"/>
  <c r="J144" i="523" s="1"/>
  <c r="D5554" i="527"/>
  <c r="C5536" i="527"/>
  <c r="F646" i="525"/>
  <c r="H647" i="525"/>
  <c r="F93" i="524" s="1"/>
  <c r="H242" i="523" s="1"/>
  <c r="I242" i="523" s="1"/>
  <c r="C8955" i="527"/>
  <c r="E169" i="526"/>
  <c r="F1008" i="525"/>
  <c r="H1009" i="525"/>
  <c r="F141" i="524" s="1"/>
  <c r="H129" i="523" s="1"/>
  <c r="I129" i="523" s="1"/>
  <c r="F1514" i="525"/>
  <c r="H1515" i="525"/>
  <c r="F209" i="524" s="1"/>
  <c r="H289" i="523" s="1"/>
  <c r="I289" i="523" s="1"/>
  <c r="F249" i="525"/>
  <c r="J2685" i="525"/>
  <c r="F2679" i="525"/>
  <c r="J2605" i="525"/>
  <c r="F2600" i="525"/>
  <c r="J1742" i="525"/>
  <c r="F1733" i="525"/>
  <c r="J1500" i="525"/>
  <c r="F1495" i="525"/>
  <c r="J675" i="525"/>
  <c r="F671" i="525"/>
  <c r="J610" i="525"/>
  <c r="F604" i="525"/>
  <c r="F176" i="525"/>
  <c r="F582" i="525"/>
  <c r="H583" i="525"/>
  <c r="F84" i="524" s="1"/>
  <c r="H54" i="523" s="1"/>
  <c r="I54" i="523" s="1"/>
  <c r="J1589" i="525"/>
  <c r="E1589" i="525"/>
  <c r="F2621" i="525"/>
  <c r="H2622" i="525"/>
  <c r="F336" i="524" s="1"/>
  <c r="H88" i="523" s="1"/>
  <c r="I88" i="523" s="1"/>
  <c r="F4005" i="527"/>
  <c r="H72" i="526"/>
  <c r="L378" i="523" s="1"/>
  <c r="C4054" i="527"/>
  <c r="L1651" i="525"/>
  <c r="F1647" i="525"/>
  <c r="D955" i="527"/>
  <c r="F21" i="526"/>
  <c r="H335" i="523" s="1"/>
  <c r="C1004" i="527"/>
  <c r="D2555" i="527"/>
  <c r="F45" i="526"/>
  <c r="H305" i="523" s="1"/>
  <c r="C2604" i="527"/>
  <c r="F1778" i="525"/>
  <c r="H1779" i="525"/>
  <c r="F241" i="524" s="1"/>
  <c r="H256" i="523" s="1"/>
  <c r="I256" i="523" s="1"/>
  <c r="D2705" i="527"/>
  <c r="F48" i="526"/>
  <c r="H320" i="523" s="1"/>
  <c r="C2754" i="527"/>
  <c r="D5504" i="527"/>
  <c r="C5486" i="527"/>
  <c r="F2243" i="525"/>
  <c r="H2244" i="525"/>
  <c r="F297" i="524" s="1"/>
  <c r="H111" i="523" s="1"/>
  <c r="I111" i="523" s="1"/>
  <c r="C7393" i="527"/>
  <c r="E7395" i="527"/>
  <c r="D4543" i="527"/>
  <c r="F2657" i="525"/>
  <c r="H2658" i="525"/>
  <c r="F340" i="524" s="1"/>
  <c r="H92" i="523" s="1"/>
  <c r="I92" i="523" s="1"/>
  <c r="K2486" i="525"/>
  <c r="K2541" i="525"/>
  <c r="K2479" i="525"/>
  <c r="K2473" i="525"/>
  <c r="K2534" i="525"/>
  <c r="K2528" i="525"/>
  <c r="K1956" i="525"/>
  <c r="K1895" i="525"/>
  <c r="K1970" i="525"/>
  <c r="K1978" i="525"/>
  <c r="K1963" i="525"/>
  <c r="K1337" i="525"/>
  <c r="K1314" i="525"/>
  <c r="K1511" i="525"/>
  <c r="K1368" i="525"/>
  <c r="K1345" i="525"/>
  <c r="K1322" i="525"/>
  <c r="K1307" i="525"/>
  <c r="K1301" i="525"/>
  <c r="K1882" i="525"/>
  <c r="K1519" i="525"/>
  <c r="K1504" i="525"/>
  <c r="K1353" i="525"/>
  <c r="K1330" i="525"/>
  <c r="K1294" i="525"/>
  <c r="K1888" i="525"/>
  <c r="K1361" i="525"/>
  <c r="K1287" i="525"/>
  <c r="K868" i="525"/>
  <c r="K454" i="525"/>
  <c r="K876" i="525"/>
  <c r="K861" i="525"/>
  <c r="K447" i="525"/>
  <c r="K441" i="525"/>
  <c r="L300" i="523"/>
  <c r="F1491" i="525"/>
  <c r="H1492" i="525"/>
  <c r="F206" i="524" s="1"/>
  <c r="H214" i="523" s="1"/>
  <c r="I214" i="523" s="1"/>
  <c r="I225" i="523"/>
  <c r="F2481" i="525"/>
  <c r="H2482" i="525"/>
  <c r="F318" i="524" s="1"/>
  <c r="H295" i="523" s="1"/>
  <c r="I295" i="523" s="1"/>
  <c r="F221" i="525"/>
  <c r="F4155" i="527"/>
  <c r="H75" i="526"/>
  <c r="L375" i="523" s="1"/>
  <c r="C4204" i="527"/>
  <c r="F2478" i="525"/>
  <c r="J2482" i="525"/>
  <c r="J2530" i="525"/>
  <c r="F2527" i="525"/>
  <c r="J2419" i="525"/>
  <c r="F2412" i="525"/>
  <c r="F1770" i="525"/>
  <c r="J1772" i="525"/>
  <c r="J1966" i="525"/>
  <c r="F1962" i="525"/>
  <c r="F1675" i="525"/>
  <c r="J1684" i="525"/>
  <c r="F1518" i="525"/>
  <c r="J1523" i="525"/>
  <c r="F1351" i="525"/>
  <c r="J1356" i="525"/>
  <c r="F803" i="525"/>
  <c r="J810" i="525"/>
  <c r="F678" i="525"/>
  <c r="J682" i="525"/>
  <c r="F783" i="525"/>
  <c r="J790" i="525"/>
  <c r="F2666" i="525"/>
  <c r="H2667" i="525"/>
  <c r="F341" i="524" s="1"/>
  <c r="H93" i="523" s="1"/>
  <c r="I93" i="523" s="1"/>
  <c r="L2549" i="525"/>
  <c r="F2684" i="525"/>
  <c r="H2685" i="525"/>
  <c r="F343" i="524" s="1"/>
  <c r="H95" i="523" s="1"/>
  <c r="I95" i="523" s="1"/>
  <c r="C8483" i="527"/>
  <c r="E8493" i="527"/>
  <c r="C67" i="527"/>
  <c r="C3221" i="527"/>
  <c r="B3221" i="527" s="1"/>
  <c r="E3225" i="527"/>
  <c r="D1205" i="527"/>
  <c r="F26" i="526"/>
  <c r="H338" i="523" s="1"/>
  <c r="C1254" i="527"/>
  <c r="F2056" i="525"/>
  <c r="E279" i="524" s="1"/>
  <c r="G279" i="524"/>
  <c r="J143" i="523" s="1"/>
  <c r="F405" i="525"/>
  <c r="F313" i="525"/>
  <c r="J2631" i="525"/>
  <c r="F2625" i="525"/>
  <c r="J2351" i="525"/>
  <c r="F2345" i="525"/>
  <c r="F2207" i="525"/>
  <c r="F1547" i="525"/>
  <c r="J1309" i="525"/>
  <c r="F1306" i="525"/>
  <c r="J703" i="525"/>
  <c r="F699" i="525"/>
  <c r="J622" i="525"/>
  <c r="F619" i="525"/>
  <c r="J548" i="525"/>
  <c r="F543" i="525"/>
  <c r="F115" i="525"/>
  <c r="J1054" i="525"/>
  <c r="F1792" i="525"/>
  <c r="H1793" i="525"/>
  <c r="F243" i="524" s="1"/>
  <c r="H258" i="523" s="1"/>
  <c r="I258" i="523" s="1"/>
  <c r="D2805" i="527"/>
  <c r="F50" i="526"/>
  <c r="H307" i="523" s="1"/>
  <c r="C2854" i="527"/>
  <c r="F2303" i="525"/>
  <c r="H2304" i="525"/>
  <c r="F300" i="524" s="1"/>
  <c r="H114" i="523" s="1"/>
  <c r="I114" i="523" s="1"/>
  <c r="F739" i="525"/>
  <c r="H740" i="525"/>
  <c r="F105" i="524" s="1"/>
  <c r="H40" i="523" s="1"/>
  <c r="I40" i="523" s="1"/>
  <c r="D3005" i="527"/>
  <c r="F54" i="526"/>
  <c r="C3054" i="527"/>
  <c r="J102" i="525"/>
  <c r="L2166" i="525"/>
  <c r="H293" i="524" s="1"/>
  <c r="L116" i="523" s="1"/>
  <c r="M116" i="523" s="1"/>
  <c r="L2244" i="525"/>
  <c r="H297" i="524" s="1"/>
  <c r="L111" i="523" s="1"/>
  <c r="M111" i="523" s="1"/>
  <c r="F154" i="525"/>
  <c r="H155" i="525"/>
  <c r="F29" i="524" s="1"/>
  <c r="H438" i="523" s="1"/>
  <c r="I438" i="523" s="1"/>
  <c r="F2388" i="525"/>
  <c r="H2389" i="525"/>
  <c r="F308" i="524" s="1"/>
  <c r="H74" i="523" s="1"/>
  <c r="I74" i="523" s="1"/>
  <c r="L467" i="525"/>
  <c r="F2536" i="525"/>
  <c r="H2537" i="525"/>
  <c r="F324" i="524" s="1"/>
  <c r="H283" i="523" s="1"/>
  <c r="I283" i="523" s="1"/>
  <c r="F1999" i="525"/>
  <c r="J2000" i="525"/>
  <c r="F2458" i="525"/>
  <c r="H2459" i="525"/>
  <c r="F315" i="524" s="1"/>
  <c r="H81" i="523" s="1"/>
  <c r="I81" i="523" s="1"/>
  <c r="C3080" i="527"/>
  <c r="D504" i="527"/>
  <c r="C489" i="527"/>
  <c r="F976" i="525"/>
  <c r="H977" i="525"/>
  <c r="F137" i="524" s="1"/>
  <c r="H125" i="523" s="1"/>
  <c r="I125" i="523" s="1"/>
  <c r="F1370" i="525"/>
  <c r="H1371" i="525"/>
  <c r="F193" i="524" s="1"/>
  <c r="H275" i="523" s="1"/>
  <c r="I275" i="523" s="1"/>
  <c r="L1541" i="525"/>
  <c r="F1541" i="525" s="1"/>
  <c r="E1541" i="525"/>
  <c r="F2648" i="525"/>
  <c r="H2649" i="525"/>
  <c r="F339" i="524" s="1"/>
  <c r="H91" i="523" s="1"/>
  <c r="I91" i="523" s="1"/>
  <c r="F769" i="525"/>
  <c r="H770" i="525"/>
  <c r="F108" i="524" s="1"/>
  <c r="H43" i="523" s="1"/>
  <c r="I43" i="523" s="1"/>
  <c r="D1354" i="527"/>
  <c r="C1339" i="527"/>
  <c r="F2418" i="525"/>
  <c r="H2419" i="525"/>
  <c r="F311" i="524" s="1"/>
  <c r="H77" i="523" s="1"/>
  <c r="I77" i="523" s="1"/>
  <c r="F2639" i="525"/>
  <c r="H2640" i="525"/>
  <c r="F338" i="524" s="1"/>
  <c r="H90" i="523" s="1"/>
  <c r="I90" i="523" s="1"/>
  <c r="F789" i="525"/>
  <c r="H790" i="525"/>
  <c r="F110" i="524" s="1"/>
  <c r="H45" i="523" s="1"/>
  <c r="I45" i="523" s="1"/>
  <c r="F181" i="525"/>
  <c r="H182" i="525"/>
  <c r="F32" i="524" s="1"/>
  <c r="H441" i="523" s="1"/>
  <c r="I441" i="523" s="1"/>
  <c r="F4105" i="527"/>
  <c r="H74" i="526"/>
  <c r="L380" i="523" s="1"/>
  <c r="C4154" i="527"/>
  <c r="F1414" i="525"/>
  <c r="J1419" i="525"/>
  <c r="F349" i="525"/>
  <c r="F297" i="525"/>
  <c r="F228" i="525"/>
  <c r="J2622" i="525"/>
  <c r="F2616" i="525"/>
  <c r="J1898" i="525"/>
  <c r="F1894" i="525"/>
  <c r="J1515" i="525"/>
  <c r="F1510" i="525"/>
  <c r="J689" i="525"/>
  <c r="F685" i="525"/>
  <c r="J616" i="525"/>
  <c r="F613" i="525"/>
  <c r="J523" i="525"/>
  <c r="F517" i="525"/>
  <c r="F1418" i="525"/>
  <c r="H1419" i="525"/>
  <c r="F198" i="524" s="1"/>
  <c r="H218" i="523" s="1"/>
  <c r="I218" i="523" s="1"/>
  <c r="F681" i="525"/>
  <c r="H682" i="525"/>
  <c r="F98" i="524" s="1"/>
  <c r="H247" i="523" s="1"/>
  <c r="I247" i="523" s="1"/>
  <c r="F609" i="525"/>
  <c r="H610" i="525"/>
  <c r="F87" i="524" s="1"/>
  <c r="H57" i="523" s="1"/>
  <c r="I57" i="523" s="1"/>
  <c r="F1499" i="525"/>
  <c r="H1500" i="525"/>
  <c r="F207" i="524" s="1"/>
  <c r="H215" i="523" s="1"/>
  <c r="I215" i="523" s="1"/>
  <c r="F436" i="525"/>
  <c r="H437" i="525"/>
  <c r="F64" i="524" s="1"/>
  <c r="H158" i="523" s="1"/>
  <c r="I158" i="523" s="1"/>
  <c r="D105" i="527"/>
  <c r="D108" i="527" s="1"/>
  <c r="D110" i="527" s="1"/>
  <c r="D154" i="527" s="1"/>
  <c r="C3328" i="527"/>
  <c r="E3339" i="527"/>
  <c r="C7342" i="527"/>
  <c r="F7345" i="527"/>
  <c r="F7354" i="527" s="1"/>
  <c r="F992" i="525"/>
  <c r="H993" i="525"/>
  <c r="F139" i="524" s="1"/>
  <c r="H127" i="523" s="1"/>
  <c r="I127" i="523" s="1"/>
  <c r="I231" i="523"/>
  <c r="L2084" i="525"/>
  <c r="F2083" i="525"/>
  <c r="F2630" i="525"/>
  <c r="H2631" i="525"/>
  <c r="F337" i="524" s="1"/>
  <c r="H89" i="523" s="1"/>
  <c r="I89" i="523" s="1"/>
  <c r="F1024" i="525"/>
  <c r="H1025" i="525"/>
  <c r="F143" i="524" s="1"/>
  <c r="H131" i="523" s="1"/>
  <c r="I131" i="523" s="1"/>
  <c r="F719" i="525"/>
  <c r="H720" i="525"/>
  <c r="F103" i="524" s="1"/>
  <c r="H38" i="523" s="1"/>
  <c r="I38" i="523" s="1"/>
  <c r="F1432" i="525"/>
  <c r="E200" i="524" s="1"/>
  <c r="G200" i="524"/>
  <c r="J220" i="523" s="1"/>
  <c r="I195" i="523"/>
  <c r="F389" i="525"/>
  <c r="F320" i="525"/>
  <c r="F2492" i="525"/>
  <c r="F2533" i="525"/>
  <c r="J2537" i="525"/>
  <c r="J2459" i="525"/>
  <c r="F2452" i="525"/>
  <c r="F1776" i="525"/>
  <c r="J1779" i="525"/>
  <c r="F1977" i="525"/>
  <c r="J1982" i="525"/>
  <c r="J1718" i="525"/>
  <c r="F1709" i="525"/>
  <c r="F1783" i="525"/>
  <c r="J1786" i="525"/>
  <c r="F1374" i="525"/>
  <c r="J1289" i="525"/>
  <c r="F1285" i="525"/>
  <c r="F859" i="525"/>
  <c r="J863" i="525"/>
  <c r="F692" i="525"/>
  <c r="J696" i="525"/>
  <c r="F107" i="525"/>
  <c r="D4593" i="527"/>
  <c r="F2511" i="525"/>
  <c r="H2512" i="525"/>
  <c r="F321" i="524" s="1"/>
  <c r="H154" i="523" s="1"/>
  <c r="I154" i="523" s="1"/>
  <c r="F799" i="525"/>
  <c r="H800" i="525"/>
  <c r="F111" i="524" s="1"/>
  <c r="H46" i="523" s="1"/>
  <c r="I46" i="523" s="1"/>
  <c r="F1813" i="525"/>
  <c r="H1814" i="525"/>
  <c r="F246" i="524" s="1"/>
  <c r="H261" i="523" s="1"/>
  <c r="I261" i="523" s="1"/>
  <c r="D7854" i="527"/>
  <c r="C7839" i="527"/>
  <c r="C100" i="527"/>
  <c r="B100" i="527" s="1"/>
  <c r="D4643" i="527"/>
  <c r="F1347" i="525"/>
  <c r="H1348" i="525"/>
  <c r="F190" i="524" s="1"/>
  <c r="H276" i="523" s="1"/>
  <c r="I276" i="523" s="1"/>
  <c r="K327" i="523"/>
  <c r="G327" i="523" s="1"/>
  <c r="F327" i="523"/>
  <c r="F1717" i="525"/>
  <c r="H1718" i="525"/>
  <c r="F234" i="524" s="1"/>
  <c r="H67" i="523" s="1"/>
  <c r="I67" i="523" s="1"/>
  <c r="F1865" i="525"/>
  <c r="H1866" i="525"/>
  <c r="F250" i="524" s="1"/>
  <c r="H64" i="523" s="1"/>
  <c r="I64" i="523" s="1"/>
  <c r="C2189" i="527"/>
  <c r="E2201" i="527"/>
  <c r="F1229" i="525"/>
  <c r="J1231" i="525"/>
  <c r="F564" i="525"/>
  <c r="H565" i="525"/>
  <c r="F82" i="524" s="1"/>
  <c r="H52" i="523" s="1"/>
  <c r="I52" i="523" s="1"/>
  <c r="C1685" i="527"/>
  <c r="E1699" i="527"/>
  <c r="F2378" i="525"/>
  <c r="H2379" i="525"/>
  <c r="F307" i="524" s="1"/>
  <c r="H73" i="523" s="1"/>
  <c r="I73" i="523" s="1"/>
  <c r="D654" i="527"/>
  <c r="C639" i="527"/>
  <c r="K351" i="523"/>
  <c r="F2223" i="525"/>
  <c r="H2224" i="525"/>
  <c r="F296" i="524" s="1"/>
  <c r="H110" i="523" s="1"/>
  <c r="I110" i="523" s="1"/>
  <c r="F1268" i="525"/>
  <c r="J1271" i="525"/>
  <c r="F2448" i="525"/>
  <c r="H2449" i="525"/>
  <c r="F314" i="524" s="1"/>
  <c r="H80" i="523" s="1"/>
  <c r="I80" i="523" s="1"/>
  <c r="E3289" i="527"/>
  <c r="C3278" i="527"/>
  <c r="F428" i="525"/>
  <c r="D2605" i="527"/>
  <c r="F46" i="526"/>
  <c r="H306" i="523" s="1"/>
  <c r="C2654" i="527"/>
  <c r="F357" i="525"/>
  <c r="F305" i="525"/>
  <c r="J2640" i="525"/>
  <c r="F2634" i="525"/>
  <c r="J2409" i="525"/>
  <c r="F2402" i="525"/>
  <c r="F2267" i="525"/>
  <c r="J1317" i="525"/>
  <c r="F1312" i="525"/>
  <c r="J720" i="525"/>
  <c r="F713" i="525"/>
  <c r="J628" i="525"/>
  <c r="F625" i="525"/>
  <c r="J565" i="525"/>
  <c r="F559" i="525"/>
  <c r="F131" i="525"/>
  <c r="C1389" i="527"/>
  <c r="E1402" i="527"/>
  <c r="F456" i="525"/>
  <c r="H457" i="525"/>
  <c r="F67" i="524" s="1"/>
  <c r="H287" i="523" s="1"/>
  <c r="I287" i="523" s="1"/>
  <c r="F2543" i="525"/>
  <c r="H2544" i="525"/>
  <c r="F325" i="524" s="1"/>
  <c r="H284" i="523" s="1"/>
  <c r="I284" i="523" s="1"/>
  <c r="F2428" i="525"/>
  <c r="H2429" i="525"/>
  <c r="F312" i="524" s="1"/>
  <c r="H78" i="523" s="1"/>
  <c r="I78" i="523" s="1"/>
  <c r="K347" i="523"/>
  <c r="F695" i="525"/>
  <c r="H696" i="525"/>
  <c r="F100" i="524" s="1"/>
  <c r="H249" i="523" s="1"/>
  <c r="I249" i="523" s="1"/>
  <c r="F1339" i="525"/>
  <c r="H1340" i="525"/>
  <c r="F189" i="524" s="1"/>
  <c r="H271" i="523" s="1"/>
  <c r="I271" i="523" s="1"/>
  <c r="F1878" i="525"/>
  <c r="E252" i="524" s="1"/>
  <c r="D5054" i="527"/>
  <c r="C5036" i="527"/>
  <c r="D8054" i="527"/>
  <c r="C8039" i="527"/>
  <c r="D5254" i="527"/>
  <c r="C5236" i="527"/>
  <c r="H68" i="524"/>
  <c r="L199" i="523" s="1"/>
  <c r="F462" i="525"/>
  <c r="E68" i="524" s="1"/>
  <c r="I224" i="523"/>
  <c r="F257" i="525"/>
  <c r="F397" i="525"/>
  <c r="F2608" i="525"/>
  <c r="J2613" i="525"/>
  <c r="F2327" i="525"/>
  <c r="J2333" i="525"/>
  <c r="F1804" i="525"/>
  <c r="J1807" i="525"/>
  <c r="F2247" i="525"/>
  <c r="J1840" i="525"/>
  <c r="F1830" i="525"/>
  <c r="F1526" i="525"/>
  <c r="F1359" i="525"/>
  <c r="J1364" i="525"/>
  <c r="F733" i="525"/>
  <c r="J740" i="525"/>
  <c r="J505" i="525"/>
  <c r="F499" i="525"/>
  <c r="D4393" i="527"/>
  <c r="F4705" i="527"/>
  <c r="H86" i="526"/>
  <c r="L387" i="523" s="1"/>
  <c r="C4754" i="527"/>
  <c r="F1463" i="525"/>
  <c r="H1464" i="525"/>
  <c r="F203" i="524" s="1"/>
  <c r="H34" i="523" s="1"/>
  <c r="I34" i="523" s="1"/>
  <c r="F1981" i="525"/>
  <c r="H1982" i="525"/>
  <c r="F266" i="524" s="1"/>
  <c r="H266" i="523" s="1"/>
  <c r="I266" i="523" s="1"/>
  <c r="J1394" i="525"/>
  <c r="F2263" i="525"/>
  <c r="H2264" i="525"/>
  <c r="F298" i="524" s="1"/>
  <c r="H112" i="523" s="1"/>
  <c r="I112" i="523" s="1"/>
  <c r="D1255" i="527"/>
  <c r="F27" i="526"/>
  <c r="H340" i="523" s="1"/>
  <c r="C1304" i="527"/>
  <c r="L99" i="525"/>
  <c r="F97" i="525"/>
  <c r="F4855" i="527"/>
  <c r="H89" i="526"/>
  <c r="L400" i="523" s="1"/>
  <c r="C4904" i="527"/>
  <c r="D4443" i="527"/>
  <c r="F4755" i="527"/>
  <c r="H87" i="526"/>
  <c r="L388" i="523" s="1"/>
  <c r="C4804" i="527"/>
  <c r="F1522" i="525"/>
  <c r="H1523" i="525"/>
  <c r="F210" i="524" s="1"/>
  <c r="H290" i="523" s="1"/>
  <c r="I290" i="523" s="1"/>
  <c r="D5354" i="527"/>
  <c r="C5336" i="527"/>
  <c r="D4493" i="527"/>
  <c r="D705" i="527"/>
  <c r="F16" i="526"/>
  <c r="H353" i="523" s="1"/>
  <c r="C754" i="527"/>
  <c r="F573" i="525"/>
  <c r="H574" i="525"/>
  <c r="F83" i="524" s="1"/>
  <c r="H53" i="523" s="1"/>
  <c r="I53" i="523" s="1"/>
  <c r="F1244" i="525"/>
  <c r="J1247" i="525"/>
  <c r="F1741" i="525"/>
  <c r="H1742" i="525"/>
  <c r="F236" i="524" s="1"/>
  <c r="H69" i="523" s="1"/>
  <c r="I69" i="523" s="1"/>
  <c r="C1485" i="527"/>
  <c r="E1499" i="527"/>
  <c r="D4343" i="527"/>
  <c r="F1274" i="525"/>
  <c r="J1277" i="525"/>
  <c r="C1585" i="527"/>
  <c r="E1599" i="527"/>
  <c r="F1826" i="525"/>
  <c r="H1827" i="525"/>
  <c r="F247" i="524" s="1"/>
  <c r="H61" i="523" s="1"/>
  <c r="I61" i="523" s="1"/>
  <c r="F702" i="525"/>
  <c r="H703" i="525"/>
  <c r="F101" i="524" s="1"/>
  <c r="H250" i="523" s="1"/>
  <c r="I250" i="523" s="1"/>
  <c r="K321" i="523"/>
  <c r="C1939" i="527"/>
  <c r="E1952" i="527"/>
  <c r="F1363" i="525"/>
  <c r="H1364" i="525"/>
  <c r="F192" i="524" s="1"/>
  <c r="H278" i="523" s="1"/>
  <c r="I278" i="523" s="1"/>
  <c r="F281" i="525"/>
  <c r="F2515" i="525"/>
  <c r="F2592" i="525"/>
  <c r="J2597" i="525"/>
  <c r="J2489" i="525"/>
  <c r="F2485" i="525"/>
  <c r="F1790" i="525"/>
  <c r="J1793" i="525"/>
  <c r="F2169" i="525"/>
  <c r="J1827" i="525"/>
  <c r="F1817" i="525"/>
  <c r="F1811" i="525"/>
  <c r="J1814" i="525"/>
  <c r="F1467" i="525"/>
  <c r="J1340" i="525"/>
  <c r="F1336" i="525"/>
  <c r="F874" i="525"/>
  <c r="J879" i="525"/>
  <c r="F706" i="525"/>
  <c r="J710" i="525"/>
  <c r="F123" i="525"/>
  <c r="D1155" i="527"/>
  <c r="F25" i="526"/>
  <c r="H339" i="523" s="1"/>
  <c r="C1204" i="527"/>
  <c r="D1055" i="527"/>
  <c r="F23" i="526"/>
  <c r="H336" i="523" s="1"/>
  <c r="C1104" i="527"/>
  <c r="F1410" i="525"/>
  <c r="H1411" i="525"/>
  <c r="F197" i="524" s="1"/>
  <c r="H217" i="523" s="1"/>
  <c r="I217" i="523" s="1"/>
  <c r="C3179" i="527"/>
  <c r="E3204" i="527"/>
  <c r="D405" i="527"/>
  <c r="F10" i="526"/>
  <c r="H346" i="523" s="1"/>
  <c r="C454" i="527"/>
  <c r="F709" i="525"/>
  <c r="H710" i="525"/>
  <c r="F102" i="524" s="1"/>
  <c r="H246" i="523" s="1"/>
  <c r="I246" i="523" s="1"/>
  <c r="F2438" i="525"/>
  <c r="H2439" i="525"/>
  <c r="F313" i="524" s="1"/>
  <c r="H79" i="523" s="1"/>
  <c r="I79" i="523" s="1"/>
  <c r="F145" i="525"/>
  <c r="H146" i="525"/>
  <c r="F28" i="524" s="1"/>
  <c r="H437" i="523" s="1"/>
  <c r="I437" i="523" s="1"/>
  <c r="L1929" i="525"/>
  <c r="F1928" i="525"/>
  <c r="J457" i="525"/>
  <c r="F453" i="525"/>
  <c r="B7342" i="527"/>
  <c r="I226" i="523"/>
  <c r="E7354" i="527"/>
  <c r="C7345" i="527"/>
  <c r="F7005" i="527"/>
  <c r="H132" i="526"/>
  <c r="C7054" i="527"/>
  <c r="D5404" i="527"/>
  <c r="C5386" i="527"/>
  <c r="I229" i="523"/>
  <c r="D2955" i="527"/>
  <c r="F53" i="526"/>
  <c r="H323" i="523" s="1"/>
  <c r="C3004" i="527"/>
  <c r="F163" i="525"/>
  <c r="H164" i="525"/>
  <c r="F30" i="524" s="1"/>
  <c r="H439" i="523" s="1"/>
  <c r="I439" i="523" s="1"/>
  <c r="D8155" i="527"/>
  <c r="F153" i="526"/>
  <c r="H298" i="523" s="1"/>
  <c r="C8204" i="527"/>
  <c r="D7855" i="527"/>
  <c r="F147" i="526"/>
  <c r="H360" i="523" s="1"/>
  <c r="C7904" i="527"/>
  <c r="C2655" i="527"/>
  <c r="E47" i="526"/>
  <c r="I232" i="523"/>
  <c r="F2022" i="525"/>
  <c r="J2024" i="525"/>
  <c r="L1660" i="525"/>
  <c r="F1656" i="525"/>
  <c r="D4693" i="527"/>
  <c r="J1044" i="525"/>
  <c r="E1044" i="525"/>
  <c r="J1282" i="525"/>
  <c r="F1280" i="525"/>
  <c r="F2283" i="525"/>
  <c r="H2284" i="525"/>
  <c r="F299" i="524" s="1"/>
  <c r="H113" i="523" s="1"/>
  <c r="I113" i="523" s="1"/>
  <c r="F1839" i="525"/>
  <c r="H1840" i="525"/>
  <c r="F248" i="524" s="1"/>
  <c r="H62" i="523" s="1"/>
  <c r="I62" i="523" s="1"/>
  <c r="F809" i="525"/>
  <c r="H810" i="525"/>
  <c r="F112" i="524" s="1"/>
  <c r="H42" i="523" s="1"/>
  <c r="I42" i="523" s="1"/>
  <c r="D3055" i="527"/>
  <c r="F55" i="526"/>
  <c r="B1685" i="527"/>
  <c r="J1599" i="525"/>
  <c r="F4255" i="527"/>
  <c r="H77" i="526"/>
  <c r="L377" i="523" s="1"/>
  <c r="C4304" i="527"/>
  <c r="L1642" i="525"/>
  <c r="F1639" i="525"/>
  <c r="D8205" i="527"/>
  <c r="F154" i="526"/>
  <c r="H299" i="523" s="1"/>
  <c r="C8254" i="527"/>
  <c r="J1259" i="525"/>
  <c r="F1256" i="525"/>
  <c r="F984" i="525"/>
  <c r="H985" i="525"/>
  <c r="F138" i="524" s="1"/>
  <c r="H126" i="523" s="1"/>
  <c r="I126" i="523" s="1"/>
  <c r="F1355" i="525"/>
  <c r="H1356" i="525"/>
  <c r="F191" i="524" s="1"/>
  <c r="H277" i="523" s="1"/>
  <c r="I277" i="523" s="1"/>
  <c r="E9054" i="527"/>
  <c r="C9038" i="527"/>
  <c r="F341" i="525"/>
  <c r="F2354" i="525"/>
  <c r="J2360" i="525"/>
  <c r="F2363" i="525"/>
  <c r="J2369" i="525"/>
  <c r="F1953" i="525"/>
  <c r="F1698" i="525"/>
  <c r="J1706" i="525"/>
  <c r="J1853" i="525"/>
  <c r="F1843" i="525"/>
  <c r="J1754" i="525"/>
  <c r="F1745" i="525"/>
  <c r="F1299" i="525"/>
  <c r="J1303" i="525"/>
  <c r="F1487" i="525"/>
  <c r="J1492" i="525"/>
  <c r="F773" i="525"/>
  <c r="J780" i="525"/>
  <c r="F535" i="525"/>
  <c r="J540" i="525"/>
  <c r="F1729" i="525"/>
  <c r="H1730" i="525"/>
  <c r="F235" i="524" s="1"/>
  <c r="H68" i="523" s="1"/>
  <c r="I68" i="523" s="1"/>
  <c r="J1594" i="525"/>
  <c r="G2122" i="525"/>
  <c r="H2122" i="525" s="1"/>
  <c r="G2112" i="525"/>
  <c r="H2112" i="525" s="1"/>
  <c r="G2142" i="525"/>
  <c r="H2142" i="525" s="1"/>
  <c r="G2132" i="525"/>
  <c r="H2132" i="525" s="1"/>
  <c r="I235" i="523"/>
  <c r="G235" i="523" s="1"/>
  <c r="F235" i="523"/>
  <c r="C1785" i="527"/>
  <c r="E1799" i="527"/>
  <c r="F2408" i="525"/>
  <c r="H2409" i="525"/>
  <c r="F310" i="524" s="1"/>
  <c r="H76" i="523" s="1"/>
  <c r="I76" i="523" s="1"/>
  <c r="D5454" i="527"/>
  <c r="C5436" i="527"/>
  <c r="F878" i="525"/>
  <c r="H879" i="525"/>
  <c r="F123" i="524" s="1"/>
  <c r="H269" i="523" s="1"/>
  <c r="I269" i="523" s="1"/>
  <c r="D5104" i="527"/>
  <c r="C5086" i="527"/>
  <c r="J2667" i="525"/>
  <c r="F2661" i="525"/>
  <c r="J2544" i="525"/>
  <c r="F2540" i="525"/>
  <c r="J1672" i="525"/>
  <c r="F1663" i="525"/>
  <c r="F1454" i="525"/>
  <c r="J856" i="525"/>
  <c r="F852" i="525"/>
  <c r="J647" i="525"/>
  <c r="F643" i="525"/>
  <c r="J592" i="525"/>
  <c r="F586" i="525"/>
  <c r="F158" i="525"/>
  <c r="D7355" i="527"/>
  <c r="F139" i="526"/>
  <c r="H409" i="523" s="1"/>
  <c r="I409" i="523" s="1"/>
  <c r="F2398" i="525"/>
  <c r="H2399" i="525"/>
  <c r="F309" i="524" s="1"/>
  <c r="H75" i="523" s="1"/>
  <c r="I75" i="523" s="1"/>
  <c r="F2468" i="525"/>
  <c r="H2469" i="525"/>
  <c r="F316" i="524" s="1"/>
  <c r="H82" i="523" s="1"/>
  <c r="I82" i="523" s="1"/>
  <c r="F4955" i="527"/>
  <c r="H91" i="526"/>
  <c r="L402" i="523" s="1"/>
  <c r="C5004" i="527"/>
  <c r="L2224" i="525"/>
  <c r="H296" i="524" s="1"/>
  <c r="L110" i="523" s="1"/>
  <c r="M110" i="523" s="1"/>
  <c r="L2264" i="525"/>
  <c r="H298" i="524" s="1"/>
  <c r="L112" i="523" s="1"/>
  <c r="M112" i="523" s="1"/>
  <c r="M153" i="523"/>
  <c r="G6" i="522" s="1"/>
  <c r="F1543" i="525"/>
  <c r="H1544" i="525"/>
  <c r="F211" i="524" s="1"/>
  <c r="H31" i="523" s="1"/>
  <c r="I31" i="523" s="1"/>
  <c r="C7493" i="527"/>
  <c r="E7495" i="527"/>
  <c r="F759" i="525"/>
  <c r="H760" i="525"/>
  <c r="F107" i="524" s="1"/>
  <c r="H37" i="523" s="1"/>
  <c r="I37" i="523" s="1"/>
  <c r="J1236" i="525"/>
  <c r="F1234" i="525"/>
  <c r="L1562" i="525"/>
  <c r="F1562" i="525" s="1"/>
  <c r="E1562" i="525"/>
  <c r="L2100" i="525"/>
  <c r="F2097" i="525"/>
  <c r="D2905" i="527"/>
  <c r="F52" i="526"/>
  <c r="H322" i="523" s="1"/>
  <c r="C2954" i="527"/>
  <c r="B1485" i="527"/>
  <c r="B1585" i="527"/>
  <c r="J1049" i="525"/>
  <c r="I230" i="523"/>
  <c r="F416" i="525"/>
  <c r="F242" i="525"/>
  <c r="F365" i="525"/>
  <c r="J2658" i="525"/>
  <c r="F2652" i="525"/>
  <c r="F2503" i="525"/>
  <c r="F1442" i="525"/>
  <c r="J800" i="525"/>
  <c r="F793" i="525"/>
  <c r="J640" i="525"/>
  <c r="F637" i="525"/>
  <c r="J583" i="525"/>
  <c r="F577" i="525"/>
  <c r="F149" i="525"/>
  <c r="D1054" i="527"/>
  <c r="C1039" i="527"/>
  <c r="C3404" i="527"/>
  <c r="E3355" i="527"/>
  <c r="G60" i="526"/>
  <c r="J194" i="523" s="1"/>
  <c r="F136" i="525"/>
  <c r="H137" i="525"/>
  <c r="F27" i="524" s="1"/>
  <c r="H436" i="523" s="1"/>
  <c r="I436" i="523" s="1"/>
  <c r="F1324" i="525"/>
  <c r="H1325" i="525"/>
  <c r="F187" i="524" s="1"/>
  <c r="H273" i="523" s="1"/>
  <c r="I273" i="523" s="1"/>
  <c r="F1799" i="525"/>
  <c r="H1800" i="525"/>
  <c r="F244" i="524" s="1"/>
  <c r="H259" i="523" s="1"/>
  <c r="I259" i="523" s="1"/>
  <c r="D5154" i="527"/>
  <c r="C5136" i="527"/>
  <c r="F1785" i="525"/>
  <c r="H1786" i="525"/>
  <c r="F242" i="524" s="1"/>
  <c r="H257" i="523" s="1"/>
  <c r="I257" i="523" s="1"/>
  <c r="E105" i="527"/>
  <c r="C98" i="527"/>
  <c r="B98" i="527" s="1"/>
  <c r="C40" i="527"/>
  <c r="E43" i="527"/>
  <c r="C1889" i="527"/>
  <c r="E1901" i="527"/>
  <c r="F2488" i="525"/>
  <c r="H2489" i="525"/>
  <c r="F319" i="524" s="1"/>
  <c r="H296" i="523" s="1"/>
  <c r="I296" i="523" s="1"/>
  <c r="D5604" i="527"/>
  <c r="C5586" i="527"/>
  <c r="L2079" i="525"/>
  <c r="F2078" i="525"/>
  <c r="F1439" i="525"/>
  <c r="E201" i="524" s="1"/>
  <c r="G201" i="524"/>
  <c r="J221" i="523" s="1"/>
  <c r="F749" i="525"/>
  <c r="H750" i="525"/>
  <c r="F106" i="524" s="1"/>
  <c r="H41" i="523" s="1"/>
  <c r="I41" i="523" s="1"/>
  <c r="F1332" i="525"/>
  <c r="H1333" i="525"/>
  <c r="F188" i="524" s="1"/>
  <c r="H274" i="523" s="1"/>
  <c r="I274" i="523" s="1"/>
  <c r="F1852" i="525"/>
  <c r="H1853" i="525"/>
  <c r="F249" i="524" s="1"/>
  <c r="H63" i="523" s="1"/>
  <c r="I63" i="523" s="1"/>
  <c r="C8533" i="527"/>
  <c r="E8543" i="527"/>
  <c r="I2507" i="525"/>
  <c r="I2291" i="525"/>
  <c r="I2519" i="525"/>
  <c r="I2271" i="525"/>
  <c r="I2495" i="525"/>
  <c r="I2311" i="525"/>
  <c r="I2211" i="525"/>
  <c r="I1958" i="525"/>
  <c r="I2154" i="525"/>
  <c r="I2251" i="525"/>
  <c r="I2173" i="525"/>
  <c r="I2231" i="525"/>
  <c r="I2192" i="525"/>
  <c r="I1551" i="525"/>
  <c r="I1458" i="525"/>
  <c r="I1446" i="525"/>
  <c r="I1530" i="525"/>
  <c r="I1471" i="525"/>
  <c r="I1378" i="525"/>
  <c r="I432" i="525"/>
  <c r="I408" i="525"/>
  <c r="I179" i="525"/>
  <c r="I170" i="525"/>
  <c r="I161" i="525"/>
  <c r="I152" i="525"/>
  <c r="I143" i="525"/>
  <c r="I134" i="525"/>
  <c r="I118" i="525"/>
  <c r="I420" i="525"/>
  <c r="I126" i="525"/>
  <c r="I110" i="525"/>
  <c r="D505" i="527"/>
  <c r="F12" i="526"/>
  <c r="H349" i="523" s="1"/>
  <c r="C554" i="527"/>
  <c r="I319" i="523"/>
  <c r="G319" i="523" s="1"/>
  <c r="F319" i="523"/>
  <c r="F870" i="525"/>
  <c r="H871" i="525"/>
  <c r="F122" i="524" s="1"/>
  <c r="H268" i="523" s="1"/>
  <c r="I268" i="523" s="1"/>
  <c r="F1973" i="525"/>
  <c r="H1974" i="525"/>
  <c r="F265" i="524" s="1"/>
  <c r="H265" i="523" s="1"/>
  <c r="I265" i="523" s="1"/>
  <c r="C2039" i="527"/>
  <c r="E2052" i="527"/>
  <c r="F688" i="525"/>
  <c r="H689" i="525"/>
  <c r="F99" i="524" s="1"/>
  <c r="H248" i="523" s="1"/>
  <c r="I248" i="523" s="1"/>
  <c r="F1250" i="525"/>
  <c r="J1253" i="525"/>
  <c r="F1890" i="525"/>
  <c r="H1891" i="525"/>
  <c r="F254" i="524" s="1"/>
  <c r="H292" i="523" s="1"/>
  <c r="I292" i="523" s="1"/>
  <c r="F4805" i="527"/>
  <c r="H88" i="526"/>
  <c r="L389" i="523" s="1"/>
  <c r="C4854" i="527"/>
  <c r="F4205" i="527"/>
  <c r="H76" i="526"/>
  <c r="L376" i="523" s="1"/>
  <c r="C4254" i="527"/>
  <c r="C7227" i="527"/>
  <c r="B7227" i="527" s="1"/>
  <c r="E7232" i="527"/>
  <c r="F2050" i="525"/>
  <c r="J2051" i="525"/>
  <c r="G896" i="525"/>
  <c r="H896" i="525" s="1"/>
  <c r="G888" i="525"/>
  <c r="H888" i="525" s="1"/>
  <c r="F1425" i="525"/>
  <c r="E199" i="524" s="1"/>
  <c r="G199" i="524"/>
  <c r="J222" i="523" s="1"/>
  <c r="J1241" i="525"/>
  <c r="F1239" i="525"/>
  <c r="C8105" i="527"/>
  <c r="E152" i="526"/>
  <c r="G384" i="525"/>
  <c r="H384" i="525" s="1"/>
  <c r="G352" i="525"/>
  <c r="H352" i="525" s="1"/>
  <c r="G337" i="525"/>
  <c r="H337" i="525" s="1"/>
  <c r="H338" i="525" s="1"/>
  <c r="F53" i="524" s="1"/>
  <c r="H18" i="523" s="1"/>
  <c r="I18" i="523" s="1"/>
  <c r="G292" i="525"/>
  <c r="H292" i="525" s="1"/>
  <c r="G260" i="525"/>
  <c r="H260" i="525" s="1"/>
  <c r="G245" i="525"/>
  <c r="H245" i="525" s="1"/>
  <c r="H246" i="525" s="1"/>
  <c r="F41" i="524" s="1"/>
  <c r="H30" i="523" s="1"/>
  <c r="I30" i="523" s="1"/>
  <c r="G392" i="525"/>
  <c r="H392" i="525" s="1"/>
  <c r="G360" i="525"/>
  <c r="H360" i="525" s="1"/>
  <c r="G330" i="525"/>
  <c r="H330" i="525" s="1"/>
  <c r="H331" i="525" s="1"/>
  <c r="F52" i="524" s="1"/>
  <c r="H17" i="523" s="1"/>
  <c r="I17" i="523" s="1"/>
  <c r="G300" i="525"/>
  <c r="H300" i="525" s="1"/>
  <c r="G268" i="525"/>
  <c r="H268" i="525" s="1"/>
  <c r="G238" i="525"/>
  <c r="H238" i="525" s="1"/>
  <c r="H239" i="525" s="1"/>
  <c r="F40" i="524" s="1"/>
  <c r="H29" i="523" s="1"/>
  <c r="I29" i="523" s="1"/>
  <c r="G400" i="525"/>
  <c r="H400" i="525" s="1"/>
  <c r="G368" i="525"/>
  <c r="H368" i="525" s="1"/>
  <c r="G323" i="525"/>
  <c r="H323" i="525" s="1"/>
  <c r="H324" i="525" s="1"/>
  <c r="F51" i="524" s="1"/>
  <c r="H16" i="523" s="1"/>
  <c r="I16" i="523" s="1"/>
  <c r="G308" i="525"/>
  <c r="H308" i="525" s="1"/>
  <c r="G276" i="525"/>
  <c r="H276" i="525" s="1"/>
  <c r="G231" i="525"/>
  <c r="H231" i="525" s="1"/>
  <c r="H232" i="525" s="1"/>
  <c r="F39" i="524" s="1"/>
  <c r="H28" i="523" s="1"/>
  <c r="I28" i="523" s="1"/>
  <c r="G376" i="525"/>
  <c r="H376" i="525" s="1"/>
  <c r="G344" i="525"/>
  <c r="H344" i="525" s="1"/>
  <c r="G316" i="525"/>
  <c r="H316" i="525" s="1"/>
  <c r="H317" i="525" s="1"/>
  <c r="F50" i="524" s="1"/>
  <c r="H15" i="523" s="1"/>
  <c r="I15" i="523" s="1"/>
  <c r="G284" i="525"/>
  <c r="H284" i="525" s="1"/>
  <c r="G252" i="525"/>
  <c r="H252" i="525" s="1"/>
  <c r="G224" i="525"/>
  <c r="H224" i="525" s="1"/>
  <c r="H225" i="525" s="1"/>
  <c r="F38" i="524" s="1"/>
  <c r="H27" i="523" s="1"/>
  <c r="I27" i="523" s="1"/>
  <c r="G2123" i="525"/>
  <c r="H2123" i="525" s="1"/>
  <c r="G2113" i="525"/>
  <c r="H2113" i="525" s="1"/>
  <c r="G2143" i="525"/>
  <c r="H2143" i="525" s="1"/>
  <c r="G2133" i="525"/>
  <c r="H2133" i="525" s="1"/>
  <c r="G898" i="525"/>
  <c r="H898" i="525" s="1"/>
  <c r="G890" i="525"/>
  <c r="H890" i="525" s="1"/>
  <c r="C2139" i="527"/>
  <c r="E2151" i="527"/>
  <c r="D1105" i="527"/>
  <c r="F24" i="526"/>
  <c r="H337" i="523" s="1"/>
  <c r="C1154" i="527"/>
  <c r="F289" i="525"/>
  <c r="F235" i="525"/>
  <c r="J2676" i="525"/>
  <c r="F2670" i="525"/>
  <c r="J2589" i="525"/>
  <c r="F2584" i="525"/>
  <c r="J1695" i="525"/>
  <c r="F1687" i="525"/>
  <c r="J1484" i="525"/>
  <c r="F1480" i="525"/>
  <c r="J871" i="525"/>
  <c r="F866" i="525"/>
  <c r="J661" i="525"/>
  <c r="F657" i="525"/>
  <c r="J601" i="525"/>
  <c r="F595" i="525"/>
  <c r="F167" i="525"/>
  <c r="F1994" i="525"/>
  <c r="J1995" i="525"/>
  <c r="F2323" i="525"/>
  <c r="H2324" i="525"/>
  <c r="F301" i="524" s="1"/>
  <c r="H115" i="523" s="1"/>
  <c r="I115" i="523" s="1"/>
  <c r="F1564" i="525"/>
  <c r="H1565" i="525"/>
  <c r="F212" i="524" s="1"/>
  <c r="H32" i="523" s="1"/>
  <c r="I32" i="523" s="1"/>
  <c r="D704" i="527"/>
  <c r="C689" i="527"/>
  <c r="F1000" i="525"/>
  <c r="H1001" i="525"/>
  <c r="F140" i="524" s="1"/>
  <c r="H128" i="523" s="1"/>
  <c r="I128" i="523" s="1"/>
  <c r="F1316" i="525"/>
  <c r="H1317" i="525"/>
  <c r="F186" i="524" s="1"/>
  <c r="H272" i="523" s="1"/>
  <c r="I272" i="523" s="1"/>
  <c r="F660" i="525"/>
  <c r="H661" i="525"/>
  <c r="F95" i="524" s="1"/>
  <c r="H244" i="523" s="1"/>
  <c r="I244" i="523" s="1"/>
  <c r="F2675" i="525"/>
  <c r="H2676" i="525"/>
  <c r="F342" i="524" s="1"/>
  <c r="H94" i="523" s="1"/>
  <c r="I94" i="523" s="1"/>
  <c r="L1950" i="525"/>
  <c r="F1949" i="525"/>
  <c r="C102" i="527"/>
  <c r="B102" i="527" s="1"/>
  <c r="F446" i="525"/>
  <c r="J450" i="525"/>
  <c r="F1032" i="525"/>
  <c r="H1033" i="525"/>
  <c r="F144" i="524" s="1"/>
  <c r="H132" i="523" s="1"/>
  <c r="I132" i="523" s="1"/>
  <c r="F449" i="525"/>
  <c r="H450" i="525"/>
  <c r="F66" i="524" s="1"/>
  <c r="H286" i="523" s="1"/>
  <c r="I286" i="523" s="1"/>
  <c r="D404" i="527"/>
  <c r="C389" i="527"/>
  <c r="D7905" i="527"/>
  <c r="F148" i="526"/>
  <c r="H358" i="523" s="1"/>
  <c r="C7954" i="527"/>
  <c r="F2010" i="525"/>
  <c r="J2012" i="525"/>
  <c r="L2094" i="525"/>
  <c r="F2093" i="525"/>
  <c r="D8104" i="527"/>
  <c r="C8089" i="527"/>
  <c r="F779" i="525"/>
  <c r="H780" i="525"/>
  <c r="F109" i="524" s="1"/>
  <c r="H44" i="523" s="1"/>
  <c r="I44" i="523" s="1"/>
  <c r="F1897" i="525"/>
  <c r="H1898" i="525"/>
  <c r="F255" i="524" s="1"/>
  <c r="H293" i="523" s="1"/>
  <c r="I293" i="523" s="1"/>
  <c r="B1785" i="527"/>
  <c r="F1406" i="525"/>
  <c r="J1411" i="525"/>
  <c r="I233" i="523"/>
  <c r="F381" i="525"/>
  <c r="F327" i="525"/>
  <c r="F273" i="525"/>
  <c r="I234" i="523"/>
  <c r="J2475" i="525"/>
  <c r="F2472" i="525"/>
  <c r="J2469" i="525"/>
  <c r="F2462" i="525"/>
  <c r="J2379" i="525"/>
  <c r="F2372" i="525"/>
  <c r="F1764" i="525"/>
  <c r="J1766" i="525"/>
  <c r="F1887" i="525"/>
  <c r="J1891" i="525"/>
  <c r="F2287" i="525"/>
  <c r="F1503" i="525"/>
  <c r="J1507" i="525"/>
  <c r="F1328" i="525"/>
  <c r="J1333" i="525"/>
  <c r="F763" i="525"/>
  <c r="J770" i="525"/>
  <c r="F664" i="525"/>
  <c r="J668" i="525"/>
  <c r="F743" i="525"/>
  <c r="J750" i="525"/>
  <c r="I227" i="523"/>
  <c r="D2855" i="527"/>
  <c r="F51" i="526"/>
  <c r="H308" i="523" s="1"/>
  <c r="C2904" i="527"/>
  <c r="K324" i="523"/>
  <c r="F2004" i="525"/>
  <c r="J2006" i="525"/>
  <c r="D8004" i="527"/>
  <c r="C7989" i="527"/>
  <c r="K211" i="523"/>
  <c r="M435" i="523"/>
  <c r="G14" i="522" s="1"/>
  <c r="L1544" i="525"/>
  <c r="H211" i="524" s="1"/>
  <c r="L31" i="523" s="1"/>
  <c r="M31" i="523" s="1"/>
  <c r="L2324" i="525"/>
  <c r="H301" i="524" s="1"/>
  <c r="L115" i="523" s="1"/>
  <c r="M115" i="523" s="1"/>
  <c r="F2523" i="525"/>
  <c r="H2524" i="525"/>
  <c r="F322" i="524" s="1"/>
  <c r="H155" i="523" s="1"/>
  <c r="I155" i="523" s="1"/>
  <c r="D5204" i="527"/>
  <c r="C5186" i="527"/>
  <c r="D5255" i="527"/>
  <c r="F97" i="526"/>
  <c r="H396" i="523" s="1"/>
  <c r="C5304" i="527"/>
  <c r="F1806" i="525"/>
  <c r="H1807" i="525"/>
  <c r="F245" i="524" s="1"/>
  <c r="H260" i="523" s="1"/>
  <c r="I260" i="523" s="1"/>
  <c r="F1476" i="525"/>
  <c r="H1477" i="525"/>
  <c r="F204" i="524" s="1"/>
  <c r="H35" i="523" s="1"/>
  <c r="I35" i="523" s="1"/>
  <c r="J443" i="525"/>
  <c r="F440" i="525"/>
  <c r="I407" i="523"/>
  <c r="E13" i="522" s="1"/>
  <c r="L2089" i="525"/>
  <c r="F2088" i="525"/>
  <c r="F4905" i="527"/>
  <c r="H90" i="526"/>
  <c r="L401" i="523" s="1"/>
  <c r="C4954" i="527"/>
  <c r="F667" i="525"/>
  <c r="H668" i="525"/>
  <c r="F96" i="524" s="1"/>
  <c r="H245" i="523" s="1"/>
  <c r="I245" i="523" s="1"/>
  <c r="L1389" i="525"/>
  <c r="F1389" i="525" s="1"/>
  <c r="E1389" i="525"/>
  <c r="C3694" i="527"/>
  <c r="B3694" i="527" s="1"/>
  <c r="E3698" i="527"/>
  <c r="F7055" i="527"/>
  <c r="H133" i="526"/>
  <c r="L210" i="523" s="1"/>
  <c r="C7104" i="527"/>
  <c r="F172" i="525"/>
  <c r="H173" i="525"/>
  <c r="F31" i="524" s="1"/>
  <c r="H440" i="523" s="1"/>
  <c r="I440" i="523" s="1"/>
  <c r="I228" i="523"/>
  <c r="F1262" i="525"/>
  <c r="J1265" i="525"/>
  <c r="C3425" i="527"/>
  <c r="B3425" i="527" s="1"/>
  <c r="E3429" i="527"/>
  <c r="F1016" i="525"/>
  <c r="H1017" i="525"/>
  <c r="F142" i="524" s="1"/>
  <c r="H130" i="523" s="1"/>
  <c r="I130" i="523" s="1"/>
  <c r="D2755" i="527"/>
  <c r="F49" i="526"/>
  <c r="C2804" i="527"/>
  <c r="F2432" i="525"/>
  <c r="J2439" i="525"/>
  <c r="J2429" i="525"/>
  <c r="F2422" i="525"/>
  <c r="F2336" i="525"/>
  <c r="J2342" i="525"/>
  <c r="F2150" i="525"/>
  <c r="F1758" i="525"/>
  <c r="J1760" i="525"/>
  <c r="J1884" i="525"/>
  <c r="F1881" i="525"/>
  <c r="F2227" i="525"/>
  <c r="F1343" i="525"/>
  <c r="J1348" i="525"/>
  <c r="J1296" i="525"/>
  <c r="F1292" i="525"/>
  <c r="F723" i="525"/>
  <c r="J730" i="525"/>
  <c r="F650" i="525"/>
  <c r="J654" i="525"/>
  <c r="J532" i="525"/>
  <c r="F526" i="525"/>
  <c r="C2239" i="527"/>
  <c r="E2252" i="527"/>
  <c r="L837" i="525"/>
  <c r="F600" i="525"/>
  <c r="H601" i="525"/>
  <c r="F86" i="524" s="1"/>
  <c r="H56" i="523" s="1"/>
  <c r="I56" i="523" s="1"/>
  <c r="F424" i="525"/>
  <c r="H425" i="525"/>
  <c r="F63" i="524" s="1"/>
  <c r="H157" i="523" s="1"/>
  <c r="I157" i="523" s="1"/>
  <c r="F591" i="525"/>
  <c r="H592" i="525"/>
  <c r="F85" i="524" s="1"/>
  <c r="H55" i="523" s="1"/>
  <c r="I55" i="523" s="1"/>
  <c r="L1943" i="525"/>
  <c r="F1942" i="525"/>
  <c r="L1936" i="525"/>
  <c r="F1935" i="525"/>
  <c r="F105" i="527"/>
  <c r="F108" i="527" s="1"/>
  <c r="F110" i="527" s="1"/>
  <c r="F154" i="527" s="1"/>
  <c r="D604" i="527"/>
  <c r="C589" i="527"/>
  <c r="F729" i="525"/>
  <c r="H730" i="525"/>
  <c r="F104" i="524" s="1"/>
  <c r="H39" i="523" s="1"/>
  <c r="I39" i="523" s="1"/>
  <c r="F653" i="525"/>
  <c r="H654" i="525"/>
  <c r="F94" i="524" s="1"/>
  <c r="H243" i="523" s="1"/>
  <c r="I243" i="523" s="1"/>
  <c r="B27" i="447"/>
  <c r="F27" i="447"/>
  <c r="B1794" i="527" l="1"/>
  <c r="C4681" i="527"/>
  <c r="E4690" i="527"/>
  <c r="C4481" i="527"/>
  <c r="E4490" i="527"/>
  <c r="B4681" i="527"/>
  <c r="C4381" i="527"/>
  <c r="E4390" i="527"/>
  <c r="C4631" i="527"/>
  <c r="B4631" i="527" s="1"/>
  <c r="E4640" i="527"/>
  <c r="E4340" i="527"/>
  <c r="C4331" i="527"/>
  <c r="B4331" i="527" s="1"/>
  <c r="E4590" i="527"/>
  <c r="C4581" i="527"/>
  <c r="E3654" i="527"/>
  <c r="C3629" i="527"/>
  <c r="B4381" i="527"/>
  <c r="C4531" i="527"/>
  <c r="E4540" i="527"/>
  <c r="E4440" i="527"/>
  <c r="C4431" i="527"/>
  <c r="B4431" i="527" s="1"/>
  <c r="B4581" i="527"/>
  <c r="B4481" i="527"/>
  <c r="C7191" i="527"/>
  <c r="E7194" i="527"/>
  <c r="B4531" i="527"/>
  <c r="B1694" i="527"/>
  <c r="E3107" i="527"/>
  <c r="C3101" i="527"/>
  <c r="B3101" i="527" s="1"/>
  <c r="F204" i="525"/>
  <c r="J206" i="525"/>
  <c r="F212" i="525"/>
  <c r="J214" i="525"/>
  <c r="F196" i="525"/>
  <c r="J198" i="525"/>
  <c r="F58" i="525"/>
  <c r="J59" i="525"/>
  <c r="F188" i="525"/>
  <c r="J190" i="525"/>
  <c r="F2342" i="525"/>
  <c r="E303" i="524" s="1"/>
  <c r="G303" i="524"/>
  <c r="J84" i="523" s="1"/>
  <c r="M210" i="523"/>
  <c r="G210" i="523" s="1"/>
  <c r="F210" i="523"/>
  <c r="E2304" i="527"/>
  <c r="C2252" i="527"/>
  <c r="G190" i="524"/>
  <c r="J276" i="523" s="1"/>
  <c r="C3698" i="527"/>
  <c r="E3700" i="527"/>
  <c r="C4905" i="527"/>
  <c r="E90" i="526"/>
  <c r="G65" i="524"/>
  <c r="J288" i="523" s="1"/>
  <c r="G188" i="524"/>
  <c r="J274" i="523" s="1"/>
  <c r="F1766" i="525"/>
  <c r="E239" i="524" s="1"/>
  <c r="G239" i="524"/>
  <c r="J263" i="523" s="1"/>
  <c r="C7905" i="527"/>
  <c r="E148" i="526"/>
  <c r="H262" i="524"/>
  <c r="L225" i="523" s="1"/>
  <c r="F1950" i="525"/>
  <c r="E262" i="524" s="1"/>
  <c r="G95" i="524"/>
  <c r="J244" i="523" s="1"/>
  <c r="F661" i="525"/>
  <c r="E95" i="524" s="1"/>
  <c r="F2589" i="525"/>
  <c r="E332" i="524" s="1"/>
  <c r="G332" i="524"/>
  <c r="J96" i="523" s="1"/>
  <c r="G285" i="525"/>
  <c r="H260" i="524"/>
  <c r="L227" i="523" s="1"/>
  <c r="F1936" i="525"/>
  <c r="E260" i="524" s="1"/>
  <c r="G78" i="524"/>
  <c r="J47" i="523" s="1"/>
  <c r="F532" i="525"/>
  <c r="E78" i="524" s="1"/>
  <c r="G253" i="524"/>
  <c r="J294" i="523" s="1"/>
  <c r="F2429" i="525"/>
  <c r="E312" i="524" s="1"/>
  <c r="G312" i="524"/>
  <c r="J78" i="523" s="1"/>
  <c r="G1049" i="525"/>
  <c r="H321" i="523"/>
  <c r="E3441" i="527"/>
  <c r="C3429" i="527"/>
  <c r="C7055" i="527"/>
  <c r="E133" i="526"/>
  <c r="M401" i="523"/>
  <c r="G401" i="523" s="1"/>
  <c r="F401" i="523"/>
  <c r="H285" i="524"/>
  <c r="L230" i="523" s="1"/>
  <c r="F2089" i="525"/>
  <c r="E285" i="524" s="1"/>
  <c r="C5255" i="527"/>
  <c r="E97" i="526"/>
  <c r="D5155" i="527"/>
  <c r="F95" i="526"/>
  <c r="H394" i="523" s="1"/>
  <c r="C5204" i="527"/>
  <c r="C2855" i="527"/>
  <c r="E51" i="526"/>
  <c r="F2469" i="525"/>
  <c r="E316" i="524" s="1"/>
  <c r="G316" i="524"/>
  <c r="J82" i="523" s="1"/>
  <c r="D8055" i="527"/>
  <c r="F151" i="526"/>
  <c r="H361" i="523" s="1"/>
  <c r="C8104" i="527"/>
  <c r="H286" i="524"/>
  <c r="L231" i="523" s="1"/>
  <c r="F2094" i="525"/>
  <c r="E286" i="524" s="1"/>
  <c r="I358" i="523"/>
  <c r="G358" i="523" s="1"/>
  <c r="F358" i="523"/>
  <c r="G277" i="525"/>
  <c r="G401" i="525"/>
  <c r="G261" i="525"/>
  <c r="G385" i="525"/>
  <c r="F1241" i="525"/>
  <c r="E174" i="524" s="1"/>
  <c r="G174" i="524"/>
  <c r="J108" i="523" s="1"/>
  <c r="F2051" i="525"/>
  <c r="E278" i="524" s="1"/>
  <c r="G278" i="524"/>
  <c r="J142" i="523" s="1"/>
  <c r="C4205" i="527"/>
  <c r="E76" i="526"/>
  <c r="M389" i="523"/>
  <c r="G389" i="523" s="1"/>
  <c r="F389" i="523"/>
  <c r="F1253" i="525"/>
  <c r="E176" i="524" s="1"/>
  <c r="G176" i="524"/>
  <c r="J101" i="523" s="1"/>
  <c r="C2052" i="527"/>
  <c r="E2104" i="527"/>
  <c r="I349" i="523"/>
  <c r="G349" i="523" s="1"/>
  <c r="F349" i="523"/>
  <c r="J420" i="525"/>
  <c r="E420" i="525"/>
  <c r="J152" i="525"/>
  <c r="E152" i="525"/>
  <c r="J408" i="525"/>
  <c r="E408" i="525"/>
  <c r="J1530" i="525"/>
  <c r="E1530" i="525"/>
  <c r="J2192" i="525"/>
  <c r="E2192" i="525"/>
  <c r="J2154" i="525"/>
  <c r="E2154" i="525"/>
  <c r="J2495" i="525"/>
  <c r="E2495" i="525"/>
  <c r="E2507" i="525"/>
  <c r="J2507" i="525"/>
  <c r="K221" i="523"/>
  <c r="G221" i="523" s="1"/>
  <c r="F221" i="523"/>
  <c r="H283" i="524"/>
  <c r="L228" i="523" s="1"/>
  <c r="F2079" i="525"/>
  <c r="E283" i="524" s="1"/>
  <c r="C2905" i="527"/>
  <c r="E52" i="526"/>
  <c r="H287" i="524"/>
  <c r="L201" i="523" s="1"/>
  <c r="F2100" i="525"/>
  <c r="E287" i="524" s="1"/>
  <c r="M402" i="523"/>
  <c r="G402" i="523" s="1"/>
  <c r="F402" i="523"/>
  <c r="G93" i="524"/>
  <c r="J242" i="523" s="1"/>
  <c r="F647" i="525"/>
  <c r="E93" i="524" s="1"/>
  <c r="G325" i="524"/>
  <c r="J284" i="523" s="1"/>
  <c r="D5055" i="527"/>
  <c r="F93" i="526"/>
  <c r="H382" i="523" s="1"/>
  <c r="C5104" i="527"/>
  <c r="D5405" i="527"/>
  <c r="F100" i="526"/>
  <c r="H386" i="523" s="1"/>
  <c r="C5454" i="527"/>
  <c r="J1595" i="525"/>
  <c r="F1754" i="525"/>
  <c r="E237" i="524" s="1"/>
  <c r="G237" i="524"/>
  <c r="J70" i="523" s="1"/>
  <c r="M377" i="523"/>
  <c r="G377" i="523" s="1"/>
  <c r="F377" i="523"/>
  <c r="F2024" i="525"/>
  <c r="E274" i="524" s="1"/>
  <c r="G274" i="524"/>
  <c r="J369" i="523" s="1"/>
  <c r="I298" i="523"/>
  <c r="G298" i="523" s="1"/>
  <c r="F298" i="523"/>
  <c r="C7005" i="527"/>
  <c r="E132" i="526"/>
  <c r="E7305" i="527"/>
  <c r="C7354" i="527"/>
  <c r="G138" i="526"/>
  <c r="J408" i="523" s="1"/>
  <c r="C1155" i="527"/>
  <c r="E25" i="526"/>
  <c r="F1827" i="525"/>
  <c r="E247" i="524" s="1"/>
  <c r="G247" i="524"/>
  <c r="J61" i="523" s="1"/>
  <c r="C1499" i="527"/>
  <c r="E1511" i="527"/>
  <c r="F1247" i="525"/>
  <c r="E175" i="524" s="1"/>
  <c r="G175" i="524"/>
  <c r="J100" i="523" s="1"/>
  <c r="C705" i="527"/>
  <c r="E16" i="526"/>
  <c r="D4504" i="527"/>
  <c r="I340" i="523"/>
  <c r="G340" i="523" s="1"/>
  <c r="F340" i="523"/>
  <c r="J1396" i="525"/>
  <c r="F505" i="525"/>
  <c r="E75" i="524" s="1"/>
  <c r="G75" i="524"/>
  <c r="J49" i="523" s="1"/>
  <c r="F1840" i="525"/>
  <c r="E248" i="524" s="1"/>
  <c r="G248" i="524"/>
  <c r="J62" i="523" s="1"/>
  <c r="D5205" i="527"/>
  <c r="F96" i="526"/>
  <c r="H395" i="523" s="1"/>
  <c r="C5254" i="527"/>
  <c r="D8005" i="527"/>
  <c r="F150" i="526"/>
  <c r="H363" i="523" s="1"/>
  <c r="C8054" i="527"/>
  <c r="E1454" i="527"/>
  <c r="C1402" i="527"/>
  <c r="C2605" i="527"/>
  <c r="E46" i="526"/>
  <c r="C1699" i="527"/>
  <c r="E1712" i="527"/>
  <c r="D7805" i="527"/>
  <c r="F146" i="526"/>
  <c r="H359" i="523" s="1"/>
  <c r="C7854" i="527"/>
  <c r="D4604" i="527"/>
  <c r="G182" i="524"/>
  <c r="J280" i="523" s="1"/>
  <c r="F2459" i="525"/>
  <c r="E315" i="524" s="1"/>
  <c r="G315" i="524"/>
  <c r="J81" i="523" s="1"/>
  <c r="H284" i="524"/>
  <c r="L229" i="523" s="1"/>
  <c r="F2084" i="525"/>
  <c r="E284" i="524" s="1"/>
  <c r="C3339" i="527"/>
  <c r="E3354" i="527"/>
  <c r="C4105" i="527"/>
  <c r="E74" i="526"/>
  <c r="F2000" i="525"/>
  <c r="E270" i="524" s="1"/>
  <c r="G270" i="524"/>
  <c r="J371" i="523" s="1"/>
  <c r="L1565" i="525"/>
  <c r="H212" i="524" s="1"/>
  <c r="L32" i="523" s="1"/>
  <c r="M32" i="523" s="1"/>
  <c r="G1054" i="525"/>
  <c r="H324" i="523"/>
  <c r="I307" i="523"/>
  <c r="G307" i="523" s="1"/>
  <c r="F307" i="523"/>
  <c r="K143" i="523"/>
  <c r="G143" i="523" s="1"/>
  <c r="F143" i="523"/>
  <c r="E8504" i="527"/>
  <c r="C8493" i="527"/>
  <c r="H326" i="524"/>
  <c r="L197" i="523" s="1"/>
  <c r="F2549" i="525"/>
  <c r="E326" i="524" s="1"/>
  <c r="G264" i="524"/>
  <c r="J267" i="523" s="1"/>
  <c r="F2419" i="525"/>
  <c r="E311" i="524" s="1"/>
  <c r="G311" i="524"/>
  <c r="J77" i="523" s="1"/>
  <c r="M300" i="523"/>
  <c r="G300" i="523" s="1"/>
  <c r="F300" i="523"/>
  <c r="L876" i="525"/>
  <c r="E876" i="525"/>
  <c r="L1361" i="525"/>
  <c r="E1361" i="525"/>
  <c r="L1353" i="525"/>
  <c r="E1353" i="525"/>
  <c r="L1301" i="525"/>
  <c r="E1301" i="525"/>
  <c r="L1368" i="525"/>
  <c r="E1368" i="525"/>
  <c r="L1963" i="525"/>
  <c r="E1963" i="525"/>
  <c r="L1956" i="525"/>
  <c r="E1956" i="525"/>
  <c r="L2479" i="525"/>
  <c r="E2479" i="525"/>
  <c r="I320" i="523"/>
  <c r="G320" i="523" s="1"/>
  <c r="F320" i="523"/>
  <c r="C2555" i="527"/>
  <c r="E45" i="526"/>
  <c r="I335" i="523"/>
  <c r="G335" i="523" s="1"/>
  <c r="F335" i="523"/>
  <c r="C4005" i="527"/>
  <c r="E72" i="526"/>
  <c r="F610" i="525"/>
  <c r="E87" i="524" s="1"/>
  <c r="G87" i="524"/>
  <c r="J57" i="523" s="1"/>
  <c r="F1500" i="525"/>
  <c r="E207" i="524" s="1"/>
  <c r="G207" i="524"/>
  <c r="J215" i="523" s="1"/>
  <c r="F2605" i="525"/>
  <c r="E334" i="524" s="1"/>
  <c r="G334" i="524"/>
  <c r="J98" i="523" s="1"/>
  <c r="F1403" i="525"/>
  <c r="E196" i="524" s="1"/>
  <c r="G196" i="524"/>
  <c r="J219" i="523" s="1"/>
  <c r="F574" i="525"/>
  <c r="E83" i="524" s="1"/>
  <c r="G83" i="524"/>
  <c r="J53" i="523" s="1"/>
  <c r="F760" i="525"/>
  <c r="E107" i="524" s="1"/>
  <c r="G107" i="524"/>
  <c r="J37" i="523" s="1"/>
  <c r="F2449" i="525"/>
  <c r="E314" i="524" s="1"/>
  <c r="G314" i="524"/>
  <c r="J80" i="523" s="1"/>
  <c r="D555" i="527"/>
  <c r="F13" i="526"/>
  <c r="C604" i="527"/>
  <c r="F1760" i="525"/>
  <c r="E238" i="524" s="1"/>
  <c r="G238" i="524"/>
  <c r="J262" i="523" s="1"/>
  <c r="D7955" i="527"/>
  <c r="F149" i="526"/>
  <c r="H362" i="523" s="1"/>
  <c r="C8004" i="527"/>
  <c r="I308" i="523"/>
  <c r="G308" i="523" s="1"/>
  <c r="F308" i="523"/>
  <c r="G106" i="524"/>
  <c r="J41" i="523" s="1"/>
  <c r="F750" i="525"/>
  <c r="E106" i="524" s="1"/>
  <c r="G108" i="524"/>
  <c r="J43" i="523" s="1"/>
  <c r="F770" i="525"/>
  <c r="E108" i="524" s="1"/>
  <c r="G208" i="524"/>
  <c r="J291" i="523" s="1"/>
  <c r="G254" i="524"/>
  <c r="J292" i="523" s="1"/>
  <c r="F2012" i="525"/>
  <c r="E272" i="524" s="1"/>
  <c r="G272" i="524"/>
  <c r="J367" i="523" s="1"/>
  <c r="D655" i="527"/>
  <c r="F15" i="526"/>
  <c r="H352" i="523" s="1"/>
  <c r="C704" i="527"/>
  <c r="G86" i="524"/>
  <c r="J56" i="523" s="1"/>
  <c r="F601" i="525"/>
  <c r="E86" i="524" s="1"/>
  <c r="G122" i="524"/>
  <c r="J268" i="523" s="1"/>
  <c r="F1695" i="525"/>
  <c r="E232" i="524" s="1"/>
  <c r="G232" i="524"/>
  <c r="J71" i="523" s="1"/>
  <c r="F2676" i="525"/>
  <c r="E342" i="524" s="1"/>
  <c r="G342" i="524"/>
  <c r="J94" i="523" s="1"/>
  <c r="C2151" i="527"/>
  <c r="E2154" i="527"/>
  <c r="G345" i="525"/>
  <c r="G309" i="525"/>
  <c r="G361" i="525"/>
  <c r="G293" i="525"/>
  <c r="K222" i="523"/>
  <c r="G222" i="523" s="1"/>
  <c r="F222" i="523"/>
  <c r="M376" i="523"/>
  <c r="G376" i="523" s="1"/>
  <c r="F376" i="523"/>
  <c r="J118" i="525"/>
  <c r="E118" i="525"/>
  <c r="J161" i="525"/>
  <c r="E161" i="525"/>
  <c r="E432" i="525"/>
  <c r="J432" i="525"/>
  <c r="E1446" i="525"/>
  <c r="J1446" i="525"/>
  <c r="J2231" i="525"/>
  <c r="E2231" i="525"/>
  <c r="E1958" i="525"/>
  <c r="J1958" i="525"/>
  <c r="E2271" i="525"/>
  <c r="J2271" i="525"/>
  <c r="E8554" i="527"/>
  <c r="C8543" i="527"/>
  <c r="E1904" i="527"/>
  <c r="C1901" i="527"/>
  <c r="K194" i="523"/>
  <c r="F194" i="523"/>
  <c r="D1005" i="527"/>
  <c r="F22" i="526"/>
  <c r="H334" i="523" s="1"/>
  <c r="C1054" i="527"/>
  <c r="G84" i="524"/>
  <c r="J54" i="523" s="1"/>
  <c r="F583" i="525"/>
  <c r="E84" i="524" s="1"/>
  <c r="F800" i="525"/>
  <c r="E111" i="524" s="1"/>
  <c r="G111" i="524"/>
  <c r="J46" i="523" s="1"/>
  <c r="I322" i="523"/>
  <c r="G322" i="523" s="1"/>
  <c r="F322" i="523"/>
  <c r="F1236" i="525"/>
  <c r="E173" i="524" s="1"/>
  <c r="G173" i="524"/>
  <c r="J107" i="523" s="1"/>
  <c r="C7495" i="527"/>
  <c r="E7504" i="527"/>
  <c r="C1799" i="527"/>
  <c r="E1812" i="527"/>
  <c r="F780" i="525"/>
  <c r="E109" i="524" s="1"/>
  <c r="G109" i="524"/>
  <c r="J44" i="523" s="1"/>
  <c r="G184" i="524"/>
  <c r="J282" i="523" s="1"/>
  <c r="F2360" i="525"/>
  <c r="E305" i="524" s="1"/>
  <c r="G305" i="524"/>
  <c r="J86" i="523" s="1"/>
  <c r="F1259" i="525"/>
  <c r="E177" i="524" s="1"/>
  <c r="G177" i="524"/>
  <c r="J102" i="523" s="1"/>
  <c r="G889" i="525"/>
  <c r="H889" i="525" s="1"/>
  <c r="H891" i="525" s="1"/>
  <c r="F125" i="524" s="1"/>
  <c r="H150" i="523" s="1"/>
  <c r="I150" i="523" s="1"/>
  <c r="G897" i="525"/>
  <c r="H897" i="525" s="1"/>
  <c r="H899" i="525" s="1"/>
  <c r="F126" i="524" s="1"/>
  <c r="H151" i="523" s="1"/>
  <c r="I151" i="523" s="1"/>
  <c r="D4704" i="527"/>
  <c r="C2955" i="527"/>
  <c r="E53" i="526"/>
  <c r="K1394" i="525"/>
  <c r="K102" i="525"/>
  <c r="L211" i="523"/>
  <c r="G67" i="524"/>
  <c r="J287" i="523" s="1"/>
  <c r="C3204" i="527"/>
  <c r="E3155" i="527"/>
  <c r="G56" i="526"/>
  <c r="C1055" i="527"/>
  <c r="E23" i="526"/>
  <c r="I339" i="523"/>
  <c r="G339" i="523" s="1"/>
  <c r="F339" i="523"/>
  <c r="G102" i="524"/>
  <c r="J246" i="523" s="1"/>
  <c r="F710" i="525"/>
  <c r="E102" i="524" s="1"/>
  <c r="F1814" i="525"/>
  <c r="E246" i="524" s="1"/>
  <c r="G246" i="524"/>
  <c r="J261" i="523" s="1"/>
  <c r="E2004" i="527"/>
  <c r="C1952" i="527"/>
  <c r="C1599" i="527"/>
  <c r="E1612" i="527"/>
  <c r="I353" i="523"/>
  <c r="G353" i="523" s="1"/>
  <c r="F353" i="523"/>
  <c r="C4755" i="527"/>
  <c r="E87" i="526"/>
  <c r="D4454" i="527"/>
  <c r="D4404" i="527"/>
  <c r="F740" i="525"/>
  <c r="E105" i="524" s="1"/>
  <c r="G105" i="524"/>
  <c r="J40" i="523" s="1"/>
  <c r="F2333" i="525"/>
  <c r="E302" i="524" s="1"/>
  <c r="G302" i="524"/>
  <c r="J83" i="523" s="1"/>
  <c r="G90" i="524"/>
  <c r="J254" i="523" s="1"/>
  <c r="F628" i="525"/>
  <c r="E90" i="524" s="1"/>
  <c r="G186" i="524"/>
  <c r="J272" i="523" s="1"/>
  <c r="F2409" i="525"/>
  <c r="E310" i="524" s="1"/>
  <c r="G310" i="524"/>
  <c r="J76" i="523" s="1"/>
  <c r="I306" i="523"/>
  <c r="G306" i="523" s="1"/>
  <c r="F306" i="523"/>
  <c r="F1271" i="525"/>
  <c r="E179" i="524" s="1"/>
  <c r="G179" i="524"/>
  <c r="J104" i="523" s="1"/>
  <c r="D605" i="527"/>
  <c r="F14" i="526"/>
  <c r="H350" i="523" s="1"/>
  <c r="C654" i="527"/>
  <c r="E2204" i="527"/>
  <c r="C2201" i="527"/>
  <c r="D4654" i="527"/>
  <c r="I153" i="523"/>
  <c r="E6" i="522" s="1"/>
  <c r="G121" i="524"/>
  <c r="J270" i="523" s="1"/>
  <c r="F1779" i="525"/>
  <c r="E241" i="524" s="1"/>
  <c r="G241" i="524"/>
  <c r="J256" i="523" s="1"/>
  <c r="G324" i="524"/>
  <c r="J283" i="523" s="1"/>
  <c r="I191" i="523"/>
  <c r="E9" i="522" s="1"/>
  <c r="G88" i="524"/>
  <c r="J252" i="523" s="1"/>
  <c r="F616" i="525"/>
  <c r="E88" i="524" s="1"/>
  <c r="G209" i="524"/>
  <c r="J289" i="523" s="1"/>
  <c r="F2622" i="525"/>
  <c r="E336" i="524" s="1"/>
  <c r="G336" i="524"/>
  <c r="J88" i="523" s="1"/>
  <c r="F1419" i="525"/>
  <c r="E198" i="524" s="1"/>
  <c r="G198" i="524"/>
  <c r="J218" i="523" s="1"/>
  <c r="M380" i="523"/>
  <c r="G380" i="523" s="1"/>
  <c r="F380" i="523"/>
  <c r="D1305" i="527"/>
  <c r="F28" i="526"/>
  <c r="H341" i="523" s="1"/>
  <c r="C1354" i="527"/>
  <c r="H69" i="524"/>
  <c r="L200" i="523" s="1"/>
  <c r="F467" i="525"/>
  <c r="E69" i="524" s="1"/>
  <c r="J1055" i="525"/>
  <c r="G80" i="524"/>
  <c r="J59" i="523" s="1"/>
  <c r="F548" i="525"/>
  <c r="E80" i="524" s="1"/>
  <c r="G101" i="524"/>
  <c r="J250" i="523" s="1"/>
  <c r="F703" i="525"/>
  <c r="E101" i="524" s="1"/>
  <c r="F2351" i="525"/>
  <c r="E304" i="524" s="1"/>
  <c r="G304" i="524"/>
  <c r="J85" i="523" s="1"/>
  <c r="C3225" i="527"/>
  <c r="E3254" i="527"/>
  <c r="G98" i="524"/>
  <c r="J247" i="523" s="1"/>
  <c r="F682" i="525"/>
  <c r="E98" i="524" s="1"/>
  <c r="G191" i="524"/>
  <c r="J277" i="523" s="1"/>
  <c r="F1684" i="525"/>
  <c r="E231" i="524" s="1"/>
  <c r="G231" i="524"/>
  <c r="J66" i="523" s="1"/>
  <c r="F1772" i="525"/>
  <c r="E240" i="524" s="1"/>
  <c r="G240" i="524"/>
  <c r="J264" i="523" s="1"/>
  <c r="C4155" i="527"/>
  <c r="E75" i="526"/>
  <c r="L441" i="525"/>
  <c r="E441" i="525"/>
  <c r="L454" i="525"/>
  <c r="E454" i="525"/>
  <c r="L1888" i="525"/>
  <c r="E1888" i="525"/>
  <c r="L1504" i="525"/>
  <c r="E1504" i="525"/>
  <c r="L1307" i="525"/>
  <c r="E1307" i="525"/>
  <c r="L1511" i="525"/>
  <c r="E1511" i="525"/>
  <c r="L1978" i="525"/>
  <c r="E1978" i="525"/>
  <c r="L2528" i="525"/>
  <c r="E2528" i="525"/>
  <c r="L2541" i="525"/>
  <c r="E2541" i="525"/>
  <c r="C7395" i="527"/>
  <c r="E7422" i="527"/>
  <c r="I305" i="523"/>
  <c r="G305" i="523" s="1"/>
  <c r="F305" i="523"/>
  <c r="M378" i="523"/>
  <c r="G378" i="523" s="1"/>
  <c r="F378" i="523"/>
  <c r="G76" i="524"/>
  <c r="J50" i="523" s="1"/>
  <c r="F514" i="525"/>
  <c r="E76" i="524" s="1"/>
  <c r="G187" i="524"/>
  <c r="J273" i="523" s="1"/>
  <c r="G265" i="524"/>
  <c r="J265" i="523" s="1"/>
  <c r="I396" i="523"/>
  <c r="G396" i="523" s="1"/>
  <c r="F396" i="523"/>
  <c r="H4" i="526"/>
  <c r="F5" i="527"/>
  <c r="H261" i="524"/>
  <c r="L224" i="523" s="1"/>
  <c r="F1943" i="525"/>
  <c r="E261" i="524" s="1"/>
  <c r="H116" i="524"/>
  <c r="L236" i="523" s="1"/>
  <c r="F837" i="525"/>
  <c r="E116" i="524" s="1"/>
  <c r="G183" i="524"/>
  <c r="J281" i="523" s="1"/>
  <c r="F1265" i="525"/>
  <c r="E178" i="524" s="1"/>
  <c r="G178" i="524"/>
  <c r="J103" i="523" s="1"/>
  <c r="F2006" i="525"/>
  <c r="E271" i="524" s="1"/>
  <c r="G271" i="524"/>
  <c r="J368" i="523" s="1"/>
  <c r="F2379" i="525"/>
  <c r="E307" i="524" s="1"/>
  <c r="G307" i="524"/>
  <c r="J73" i="523" s="1"/>
  <c r="G317" i="524"/>
  <c r="J297" i="523" s="1"/>
  <c r="F1411" i="525"/>
  <c r="E197" i="524" s="1"/>
  <c r="G197" i="524"/>
  <c r="J217" i="523" s="1"/>
  <c r="F1995" i="525"/>
  <c r="E269" i="524" s="1"/>
  <c r="G269" i="524"/>
  <c r="J372" i="523" s="1"/>
  <c r="C1105" i="527"/>
  <c r="E24" i="526"/>
  <c r="G253" i="525"/>
  <c r="G377" i="525"/>
  <c r="G269" i="525"/>
  <c r="G393" i="525"/>
  <c r="C7232" i="527"/>
  <c r="E7235" i="527"/>
  <c r="J110" i="525"/>
  <c r="E110" i="525"/>
  <c r="J134" i="525"/>
  <c r="E134" i="525"/>
  <c r="J170" i="525"/>
  <c r="E170" i="525"/>
  <c r="J1378" i="525"/>
  <c r="E1378" i="525"/>
  <c r="E1458" i="525"/>
  <c r="J1458" i="525"/>
  <c r="J2173" i="525"/>
  <c r="E2173" i="525"/>
  <c r="E2211" i="525"/>
  <c r="J2211" i="525"/>
  <c r="J2519" i="525"/>
  <c r="E2519" i="525"/>
  <c r="D5555" i="527"/>
  <c r="F103" i="526"/>
  <c r="H399" i="523" s="1"/>
  <c r="C5604" i="527"/>
  <c r="C105" i="527"/>
  <c r="D5105" i="527"/>
  <c r="F94" i="526"/>
  <c r="H383" i="523" s="1"/>
  <c r="C5154" i="527"/>
  <c r="J1050" i="525"/>
  <c r="F592" i="525"/>
  <c r="E85" i="524" s="1"/>
  <c r="G85" i="524"/>
  <c r="J55" i="523" s="1"/>
  <c r="G120" i="524"/>
  <c r="J190" i="523" s="1"/>
  <c r="F856" i="525"/>
  <c r="E120" i="524" s="1"/>
  <c r="F1672" i="525"/>
  <c r="E230" i="524" s="1"/>
  <c r="G230" i="524"/>
  <c r="J65" i="523" s="1"/>
  <c r="F2667" i="525"/>
  <c r="E341" i="524" s="1"/>
  <c r="G341" i="524"/>
  <c r="J93" i="523" s="1"/>
  <c r="F1853" i="525"/>
  <c r="E249" i="524" s="1"/>
  <c r="G249" i="524"/>
  <c r="J63" i="523" s="1"/>
  <c r="C8205" i="527"/>
  <c r="E154" i="526"/>
  <c r="H227" i="524"/>
  <c r="L234" i="523" s="1"/>
  <c r="F1642" i="525"/>
  <c r="E227" i="524" s="1"/>
  <c r="C7855" i="527"/>
  <c r="E147" i="526"/>
  <c r="I323" i="523"/>
  <c r="G323" i="523" s="1"/>
  <c r="F323" i="523"/>
  <c r="C405" i="527"/>
  <c r="E10" i="526"/>
  <c r="I336" i="523"/>
  <c r="G336" i="523" s="1"/>
  <c r="F336" i="523"/>
  <c r="G189" i="524"/>
  <c r="J271" i="523" s="1"/>
  <c r="G319" i="524"/>
  <c r="J296" i="523" s="1"/>
  <c r="D5305" i="527"/>
  <c r="F98" i="526"/>
  <c r="H384" i="523" s="1"/>
  <c r="C5354" i="527"/>
  <c r="M388" i="523"/>
  <c r="G388" i="523" s="1"/>
  <c r="F388" i="523"/>
  <c r="C4855" i="527"/>
  <c r="E89" i="526"/>
  <c r="H22" i="524"/>
  <c r="L195" i="523" s="1"/>
  <c r="F99" i="525"/>
  <c r="E22" i="524" s="1"/>
  <c r="L1391" i="525"/>
  <c r="H194" i="524" s="1"/>
  <c r="L33" i="523" s="1"/>
  <c r="M33" i="523" s="1"/>
  <c r="C4705" i="527"/>
  <c r="E86" i="526"/>
  <c r="M199" i="523"/>
  <c r="G199" i="523" s="1"/>
  <c r="F199" i="523"/>
  <c r="D5005" i="527"/>
  <c r="F92" i="526"/>
  <c r="H381" i="523" s="1"/>
  <c r="C5054" i="527"/>
  <c r="E3304" i="527"/>
  <c r="C3289" i="527"/>
  <c r="F1718" i="525"/>
  <c r="E234" i="524" s="1"/>
  <c r="G234" i="524"/>
  <c r="J67" i="523" s="1"/>
  <c r="F220" i="523"/>
  <c r="K220" i="523"/>
  <c r="G220" i="523" s="1"/>
  <c r="F7305" i="527"/>
  <c r="H138" i="526"/>
  <c r="L408" i="523" s="1"/>
  <c r="M408" i="523" s="1"/>
  <c r="M407" i="523" s="1"/>
  <c r="G13" i="522" s="1"/>
  <c r="D5" i="527"/>
  <c r="F4" i="526"/>
  <c r="D455" i="527"/>
  <c r="F11" i="526"/>
  <c r="H348" i="523" s="1"/>
  <c r="C504" i="527"/>
  <c r="J104" i="525"/>
  <c r="C1205" i="527"/>
  <c r="E26" i="526"/>
  <c r="G323" i="524"/>
  <c r="J285" i="523" s="1"/>
  <c r="M375" i="523"/>
  <c r="F375" i="523"/>
  <c r="L447" i="525"/>
  <c r="E447" i="525"/>
  <c r="L868" i="525"/>
  <c r="E868" i="525"/>
  <c r="L1294" i="525"/>
  <c r="E1294" i="525"/>
  <c r="L1519" i="525"/>
  <c r="E1519" i="525"/>
  <c r="L1322" i="525"/>
  <c r="E1322" i="525"/>
  <c r="L1314" i="525"/>
  <c r="E1314" i="525"/>
  <c r="L1970" i="525"/>
  <c r="E1970" i="525"/>
  <c r="L2534" i="525"/>
  <c r="E2534" i="525"/>
  <c r="L2486" i="525"/>
  <c r="E2486" i="525"/>
  <c r="D5455" i="527"/>
  <c r="F101" i="526"/>
  <c r="H397" i="523" s="1"/>
  <c r="C5504" i="527"/>
  <c r="J1590" i="525"/>
  <c r="F1589" i="525"/>
  <c r="G97" i="524"/>
  <c r="J241" i="523" s="1"/>
  <c r="F675" i="525"/>
  <c r="E97" i="524" s="1"/>
  <c r="F1742" i="525"/>
  <c r="E236" i="524" s="1"/>
  <c r="G236" i="524"/>
  <c r="J69" i="523" s="1"/>
  <c r="F2685" i="525"/>
  <c r="E343" i="524" s="1"/>
  <c r="G343" i="524"/>
  <c r="J95" i="523" s="1"/>
  <c r="D5505" i="527"/>
  <c r="F102" i="526"/>
  <c r="H398" i="523" s="1"/>
  <c r="C5554" i="527"/>
  <c r="G74" i="524"/>
  <c r="J48" i="523" s="1"/>
  <c r="F496" i="525"/>
  <c r="E74" i="524" s="1"/>
  <c r="F1866" i="525"/>
  <c r="E250" i="524" s="1"/>
  <c r="G250" i="524"/>
  <c r="J64" i="523" s="1"/>
  <c r="F2389" i="525"/>
  <c r="E308" i="524" s="1"/>
  <c r="G308" i="524"/>
  <c r="J74" i="523" s="1"/>
  <c r="C4055" i="527"/>
  <c r="E73" i="526"/>
  <c r="M198" i="523"/>
  <c r="G198" i="523" s="1"/>
  <c r="F198" i="523"/>
  <c r="F634" i="525"/>
  <c r="E91" i="524" s="1"/>
  <c r="G91" i="524"/>
  <c r="J255" i="523" s="1"/>
  <c r="G193" i="524"/>
  <c r="J275" i="523" s="1"/>
  <c r="F2649" i="525"/>
  <c r="E339" i="524" s="1"/>
  <c r="G339" i="524"/>
  <c r="J91" i="523" s="1"/>
  <c r="G94" i="524"/>
  <c r="J243" i="523" s="1"/>
  <c r="F654" i="525"/>
  <c r="E94" i="524" s="1"/>
  <c r="F2439" i="525"/>
  <c r="E313" i="524" s="1"/>
  <c r="G313" i="524"/>
  <c r="J79" i="523" s="1"/>
  <c r="G104" i="524"/>
  <c r="J39" i="523" s="1"/>
  <c r="F730" i="525"/>
  <c r="E104" i="524" s="1"/>
  <c r="C2755" i="527"/>
  <c r="E49" i="526"/>
  <c r="G96" i="524"/>
  <c r="J245" i="523" s="1"/>
  <c r="F668" i="525"/>
  <c r="E96" i="524" s="1"/>
  <c r="D355" i="527"/>
  <c r="F9" i="526"/>
  <c r="C404" i="527"/>
  <c r="G66" i="524"/>
  <c r="J286" i="523" s="1"/>
  <c r="F1484" i="525"/>
  <c r="E205" i="524" s="1"/>
  <c r="G205" i="524"/>
  <c r="J216" i="523" s="1"/>
  <c r="I337" i="523"/>
  <c r="G337" i="523" s="1"/>
  <c r="F337" i="523"/>
  <c r="G369" i="525"/>
  <c r="G301" i="525"/>
  <c r="G353" i="525"/>
  <c r="C4805" i="527"/>
  <c r="E88" i="526"/>
  <c r="C505" i="527"/>
  <c r="E12" i="526"/>
  <c r="J126" i="525"/>
  <c r="E126" i="525"/>
  <c r="J143" i="525"/>
  <c r="E143" i="525"/>
  <c r="J179" i="525"/>
  <c r="E179" i="525"/>
  <c r="J1471" i="525"/>
  <c r="E1471" i="525"/>
  <c r="E1551" i="525"/>
  <c r="J1551" i="525"/>
  <c r="J2251" i="525"/>
  <c r="E2251" i="525"/>
  <c r="J2311" i="525"/>
  <c r="E2311" i="525"/>
  <c r="E2291" i="525"/>
  <c r="J2291" i="525"/>
  <c r="C43" i="527"/>
  <c r="I435" i="523"/>
  <c r="E14" i="522" s="1"/>
  <c r="C3355" i="527"/>
  <c r="E60" i="526"/>
  <c r="G92" i="524"/>
  <c r="J251" i="523" s="1"/>
  <c r="F640" i="525"/>
  <c r="E92" i="524" s="1"/>
  <c r="F2658" i="525"/>
  <c r="E340" i="524" s="1"/>
  <c r="G340" i="524"/>
  <c r="J92" i="523" s="1"/>
  <c r="C4955" i="527"/>
  <c r="E91" i="526"/>
  <c r="F540" i="525"/>
  <c r="E79" i="524" s="1"/>
  <c r="G79" i="524"/>
  <c r="J58" i="523" s="1"/>
  <c r="F1492" i="525"/>
  <c r="E206" i="524" s="1"/>
  <c r="G206" i="524"/>
  <c r="J214" i="523" s="1"/>
  <c r="F1706" i="525"/>
  <c r="E233" i="524" s="1"/>
  <c r="G233" i="524"/>
  <c r="J72" i="523" s="1"/>
  <c r="F2369" i="525"/>
  <c r="E306" i="524" s="1"/>
  <c r="G306" i="524"/>
  <c r="J87" i="523" s="1"/>
  <c r="C9054" i="527"/>
  <c r="E9005" i="527"/>
  <c r="G170" i="526"/>
  <c r="I299" i="523"/>
  <c r="G299" i="523" s="1"/>
  <c r="F299" i="523"/>
  <c r="C4255" i="527"/>
  <c r="E77" i="526"/>
  <c r="J1600" i="525"/>
  <c r="F1282" i="525"/>
  <c r="E181" i="524" s="1"/>
  <c r="G181" i="524"/>
  <c r="J109" i="523" s="1"/>
  <c r="F1044" i="525"/>
  <c r="J1045" i="525"/>
  <c r="H229" i="524"/>
  <c r="L233" i="523" s="1"/>
  <c r="F1660" i="525"/>
  <c r="E229" i="524" s="1"/>
  <c r="I360" i="523"/>
  <c r="G360" i="523" s="1"/>
  <c r="F360" i="523"/>
  <c r="C8155" i="527"/>
  <c r="E153" i="526"/>
  <c r="D5355" i="527"/>
  <c r="F99" i="526"/>
  <c r="H385" i="523" s="1"/>
  <c r="C5404" i="527"/>
  <c r="H259" i="524"/>
  <c r="L226" i="523" s="1"/>
  <c r="F1929" i="525"/>
  <c r="E259" i="524" s="1"/>
  <c r="I346" i="523"/>
  <c r="G346" i="523" s="1"/>
  <c r="F346" i="523"/>
  <c r="G123" i="524"/>
  <c r="J269" i="523" s="1"/>
  <c r="F1793" i="525"/>
  <c r="E243" i="524" s="1"/>
  <c r="G243" i="524"/>
  <c r="J258" i="523" s="1"/>
  <c r="F2597" i="525"/>
  <c r="E333" i="524" s="1"/>
  <c r="G333" i="524"/>
  <c r="J97" i="523" s="1"/>
  <c r="F1277" i="525"/>
  <c r="E180" i="524" s="1"/>
  <c r="G180" i="524"/>
  <c r="J105" i="523" s="1"/>
  <c r="D4354" i="527"/>
  <c r="M400" i="523"/>
  <c r="G400" i="523" s="1"/>
  <c r="F400" i="523"/>
  <c r="C1255" i="527"/>
  <c r="E27" i="526"/>
  <c r="M387" i="523"/>
  <c r="G387" i="523" s="1"/>
  <c r="F387" i="523"/>
  <c r="G192" i="524"/>
  <c r="J278" i="523" s="1"/>
  <c r="F1807" i="525"/>
  <c r="E245" i="524" s="1"/>
  <c r="G245" i="524"/>
  <c r="J260" i="523" s="1"/>
  <c r="F2613" i="525"/>
  <c r="E335" i="524" s="1"/>
  <c r="G335" i="524"/>
  <c r="J99" i="523" s="1"/>
  <c r="G82" i="524"/>
  <c r="J52" i="523" s="1"/>
  <c r="F565" i="525"/>
  <c r="E82" i="524" s="1"/>
  <c r="F720" i="525"/>
  <c r="E103" i="524" s="1"/>
  <c r="G103" i="524"/>
  <c r="J38" i="523" s="1"/>
  <c r="F2640" i="525"/>
  <c r="E338" i="524" s="1"/>
  <c r="G338" i="524"/>
  <c r="J90" i="523" s="1"/>
  <c r="F1231" i="525"/>
  <c r="E172" i="524" s="1"/>
  <c r="G172" i="524"/>
  <c r="J106" i="523" s="1"/>
  <c r="G100" i="524"/>
  <c r="J249" i="523" s="1"/>
  <c r="F696" i="525"/>
  <c r="E100" i="524" s="1"/>
  <c r="F1786" i="525"/>
  <c r="E242" i="524" s="1"/>
  <c r="G242" i="524"/>
  <c r="J257" i="523" s="1"/>
  <c r="G266" i="524"/>
  <c r="J266" i="523" s="1"/>
  <c r="F523" i="525"/>
  <c r="E77" i="524" s="1"/>
  <c r="G77" i="524"/>
  <c r="J51" i="523" s="1"/>
  <c r="G99" i="524"/>
  <c r="J248" i="523" s="1"/>
  <c r="F689" i="525"/>
  <c r="E99" i="524" s="1"/>
  <c r="G255" i="524"/>
  <c r="J293" i="523" s="1"/>
  <c r="C3005" i="527"/>
  <c r="E54" i="526"/>
  <c r="C2805" i="527"/>
  <c r="E50" i="526"/>
  <c r="F622" i="525"/>
  <c r="E89" i="524" s="1"/>
  <c r="G89" i="524"/>
  <c r="J253" i="523" s="1"/>
  <c r="G185" i="524"/>
  <c r="J279" i="523" s="1"/>
  <c r="F2631" i="525"/>
  <c r="E337" i="524" s="1"/>
  <c r="G337" i="524"/>
  <c r="J89" i="523" s="1"/>
  <c r="I338" i="523"/>
  <c r="G338" i="523" s="1"/>
  <c r="F338" i="523"/>
  <c r="E108" i="527"/>
  <c r="C108" i="527" s="1"/>
  <c r="G110" i="524"/>
  <c r="J45" i="523" s="1"/>
  <c r="F790" i="525"/>
  <c r="E110" i="524" s="1"/>
  <c r="G112" i="524"/>
  <c r="J42" i="523" s="1"/>
  <c r="F810" i="525"/>
  <c r="E112" i="524" s="1"/>
  <c r="G210" i="524"/>
  <c r="J290" i="523" s="1"/>
  <c r="G318" i="524"/>
  <c r="J295" i="523" s="1"/>
  <c r="L861" i="525"/>
  <c r="E861" i="525"/>
  <c r="L1287" i="525"/>
  <c r="E1287" i="525"/>
  <c r="L1330" i="525"/>
  <c r="E1330" i="525"/>
  <c r="L1882" i="525"/>
  <c r="E1882" i="525"/>
  <c r="L1345" i="525"/>
  <c r="E1345" i="525"/>
  <c r="L1337" i="525"/>
  <c r="E1337" i="525"/>
  <c r="L1895" i="525"/>
  <c r="E1895" i="525"/>
  <c r="L2473" i="525"/>
  <c r="E2473" i="525"/>
  <c r="D4554" i="527"/>
  <c r="C2705" i="527"/>
  <c r="E48" i="526"/>
  <c r="C955" i="527"/>
  <c r="E21" i="526"/>
  <c r="H228" i="524"/>
  <c r="L232" i="523" s="1"/>
  <c r="F1651" i="525"/>
  <c r="E228" i="524" s="1"/>
  <c r="F144" i="523"/>
  <c r="K144" i="523"/>
  <c r="G144" i="523" s="1"/>
  <c r="F2018" i="525"/>
  <c r="E273" i="524" s="1"/>
  <c r="G273" i="524"/>
  <c r="J370" i="523" s="1"/>
  <c r="F556" i="525"/>
  <c r="E81" i="524" s="1"/>
  <c r="G81" i="524"/>
  <c r="J60" i="523" s="1"/>
  <c r="F1800" i="525"/>
  <c r="E244" i="524" s="1"/>
  <c r="G244" i="524"/>
  <c r="J259" i="523" s="1"/>
  <c r="F1730" i="525"/>
  <c r="E235" i="524" s="1"/>
  <c r="G235" i="524"/>
  <c r="J68" i="523" s="1"/>
  <c r="F2399" i="525"/>
  <c r="E309" i="524" s="1"/>
  <c r="G309" i="524"/>
  <c r="J75" i="523" s="1"/>
  <c r="M379" i="523"/>
  <c r="G379" i="523" s="1"/>
  <c r="F379" i="523"/>
  <c r="H26" i="460"/>
  <c r="H25" i="460"/>
  <c r="H21" i="460"/>
  <c r="H20" i="460"/>
  <c r="H16" i="460"/>
  <c r="H12" i="460"/>
  <c r="H8" i="460"/>
  <c r="H4" i="460"/>
  <c r="D20" i="460"/>
  <c r="D17" i="460"/>
  <c r="D14" i="460"/>
  <c r="D11" i="460"/>
  <c r="D8" i="460"/>
  <c r="D5" i="460"/>
  <c r="B20" i="460"/>
  <c r="B17" i="460"/>
  <c r="B14" i="460"/>
  <c r="B11" i="460"/>
  <c r="B8" i="460"/>
  <c r="B5" i="460"/>
  <c r="D18" i="458"/>
  <c r="D19" i="458" s="1"/>
  <c r="B18" i="458"/>
  <c r="D29" i="447"/>
  <c r="D30" i="447" s="1"/>
  <c r="B29" i="447"/>
  <c r="D27" i="452"/>
  <c r="B12" i="459"/>
  <c r="D10" i="459"/>
  <c r="B9" i="459"/>
  <c r="B8" i="459"/>
  <c r="D6" i="459"/>
  <c r="B5" i="459"/>
  <c r="B4" i="459"/>
  <c r="B16" i="458"/>
  <c r="B12" i="458"/>
  <c r="B10" i="458"/>
  <c r="B8" i="458"/>
  <c r="B7" i="458"/>
  <c r="B5" i="458"/>
  <c r="D44" i="457"/>
  <c r="D42" i="457"/>
  <c r="B41" i="457"/>
  <c r="B40" i="457"/>
  <c r="B39" i="457"/>
  <c r="B38" i="457"/>
  <c r="B37" i="457"/>
  <c r="B36" i="457"/>
  <c r="B35" i="457"/>
  <c r="B33" i="457"/>
  <c r="B31" i="457"/>
  <c r="D28" i="457"/>
  <c r="B46" i="457" s="1"/>
  <c r="B25" i="457"/>
  <c r="B22" i="457"/>
  <c r="D20" i="457"/>
  <c r="B45" i="457" s="1"/>
  <c r="B19" i="457"/>
  <c r="B18" i="457"/>
  <c r="B17" i="457"/>
  <c r="B16" i="457"/>
  <c r="B15" i="457"/>
  <c r="B14" i="457"/>
  <c r="B13" i="457"/>
  <c r="L10" i="457"/>
  <c r="D10" i="457" s="1"/>
  <c r="L9" i="457"/>
  <c r="D9" i="457" s="1"/>
  <c r="L8" i="457"/>
  <c r="D8" i="457" s="1"/>
  <c r="L7" i="457"/>
  <c r="D7" i="457" s="1"/>
  <c r="L6" i="457"/>
  <c r="D6" i="457" s="1"/>
  <c r="L5" i="457"/>
  <c r="D5" i="457" s="1"/>
  <c r="L4" i="457"/>
  <c r="D4" i="457" s="1"/>
  <c r="E4543" i="527" l="1"/>
  <c r="C4540" i="527"/>
  <c r="E3605" i="527"/>
  <c r="C3654" i="527"/>
  <c r="G65" i="526"/>
  <c r="J147" i="523" s="1"/>
  <c r="E4343" i="527"/>
  <c r="C4340" i="527"/>
  <c r="E4643" i="527"/>
  <c r="C4640" i="527"/>
  <c r="E4693" i="527"/>
  <c r="C4690" i="527"/>
  <c r="E7204" i="527"/>
  <c r="C7194" i="527"/>
  <c r="E4593" i="527"/>
  <c r="C4590" i="527"/>
  <c r="E4443" i="527"/>
  <c r="C4440" i="527"/>
  <c r="E4393" i="527"/>
  <c r="C4390" i="527"/>
  <c r="E4493" i="527"/>
  <c r="C4490" i="527"/>
  <c r="G15" i="524"/>
  <c r="F59" i="525"/>
  <c r="E15" i="524" s="1"/>
  <c r="F206" i="525"/>
  <c r="E35" i="524" s="1"/>
  <c r="G35" i="524"/>
  <c r="I2117" i="525" s="1"/>
  <c r="G34" i="524"/>
  <c r="I2127" i="525" s="1"/>
  <c r="F198" i="525"/>
  <c r="E34" i="524" s="1"/>
  <c r="C3107" i="527"/>
  <c r="E3112" i="527"/>
  <c r="G33" i="524"/>
  <c r="I2109" i="525" s="1"/>
  <c r="F190" i="525"/>
  <c r="E33" i="524" s="1"/>
  <c r="G36" i="524"/>
  <c r="I2137" i="525" s="1"/>
  <c r="F214" i="525"/>
  <c r="E36" i="524" s="1"/>
  <c r="K90" i="523"/>
  <c r="G90" i="523" s="1"/>
  <c r="F90" i="523"/>
  <c r="K58" i="523"/>
  <c r="G58" i="523" s="1"/>
  <c r="F58" i="523"/>
  <c r="M232" i="523"/>
  <c r="G232" i="523" s="1"/>
  <c r="F232" i="523"/>
  <c r="L1340" i="525"/>
  <c r="F1337" i="525"/>
  <c r="F68" i="523"/>
  <c r="K68" i="523"/>
  <c r="G68" i="523" s="1"/>
  <c r="F60" i="523"/>
  <c r="K60" i="523"/>
  <c r="G60" i="523" s="1"/>
  <c r="K290" i="523"/>
  <c r="F38" i="523"/>
  <c r="K38" i="523"/>
  <c r="G38" i="523" s="1"/>
  <c r="K269" i="523"/>
  <c r="D4505" i="527"/>
  <c r="F82" i="526"/>
  <c r="H403" i="523" s="1"/>
  <c r="L1898" i="525"/>
  <c r="F1895" i="525"/>
  <c r="L1348" i="525"/>
  <c r="F1345" i="525"/>
  <c r="L1333" i="525"/>
  <c r="F1330" i="525"/>
  <c r="L863" i="525"/>
  <c r="F861" i="525"/>
  <c r="F45" i="523"/>
  <c r="K45" i="523"/>
  <c r="G45" i="523" s="1"/>
  <c r="K279" i="523"/>
  <c r="K266" i="523"/>
  <c r="F260" i="523"/>
  <c r="K260" i="523"/>
  <c r="G260" i="523" s="1"/>
  <c r="F105" i="523"/>
  <c r="K105" i="523"/>
  <c r="G105" i="523" s="1"/>
  <c r="K258" i="523"/>
  <c r="G258" i="523" s="1"/>
  <c r="F258" i="523"/>
  <c r="C5355" i="527"/>
  <c r="E99" i="526"/>
  <c r="K109" i="523"/>
  <c r="G109" i="523" s="1"/>
  <c r="F109" i="523"/>
  <c r="I1020" i="525"/>
  <c r="I988" i="525"/>
  <c r="I958" i="525"/>
  <c r="I930" i="525"/>
  <c r="I902" i="525"/>
  <c r="I1028" i="525"/>
  <c r="I996" i="525"/>
  <c r="I951" i="525"/>
  <c r="I923" i="525"/>
  <c r="I1004" i="525"/>
  <c r="I972" i="525"/>
  <c r="I944" i="525"/>
  <c r="I916" i="525"/>
  <c r="I1012" i="525"/>
  <c r="I980" i="525"/>
  <c r="I965" i="525"/>
  <c r="I937" i="525"/>
  <c r="I909" i="525"/>
  <c r="K251" i="523"/>
  <c r="G251" i="523" s="1"/>
  <c r="F251" i="523"/>
  <c r="F1551" i="525"/>
  <c r="J1565" i="525"/>
  <c r="K286" i="523"/>
  <c r="I398" i="523"/>
  <c r="G398" i="523" s="1"/>
  <c r="F398" i="523"/>
  <c r="K69" i="523"/>
  <c r="G69" i="523" s="1"/>
  <c r="F69" i="523"/>
  <c r="L2537" i="525"/>
  <c r="F2534" i="525"/>
  <c r="L1317" i="525"/>
  <c r="F1314" i="525"/>
  <c r="L1523" i="525"/>
  <c r="F1519" i="525"/>
  <c r="L871" i="525"/>
  <c r="F868" i="525"/>
  <c r="M373" i="523"/>
  <c r="G12" i="522" s="1"/>
  <c r="G375" i="523"/>
  <c r="I348" i="523"/>
  <c r="G348" i="523" s="1"/>
  <c r="F348" i="523"/>
  <c r="G2141" i="525"/>
  <c r="H2141" i="525" s="1"/>
  <c r="H2147" i="525" s="1"/>
  <c r="F292" i="524" s="1"/>
  <c r="H139" i="523" s="1"/>
  <c r="I139" i="523" s="1"/>
  <c r="G2129" i="525"/>
  <c r="H2129" i="525" s="1"/>
  <c r="H2134" i="525" s="1"/>
  <c r="F291" i="524" s="1"/>
  <c r="H141" i="523" s="1"/>
  <c r="I141" i="523" s="1"/>
  <c r="G2121" i="525"/>
  <c r="H2121" i="525" s="1"/>
  <c r="H2124" i="525" s="1"/>
  <c r="F290" i="524" s="1"/>
  <c r="H138" i="523" s="1"/>
  <c r="I138" i="523" s="1"/>
  <c r="G2111" i="525"/>
  <c r="H2111" i="525" s="1"/>
  <c r="H2114" i="525" s="1"/>
  <c r="F289" i="524" s="1"/>
  <c r="H140" i="523" s="1"/>
  <c r="I140" i="523" s="1"/>
  <c r="I381" i="523"/>
  <c r="F381" i="523"/>
  <c r="M195" i="523"/>
  <c r="F195" i="523"/>
  <c r="K296" i="523"/>
  <c r="K190" i="523"/>
  <c r="F190" i="523"/>
  <c r="I383" i="523"/>
  <c r="G383" i="523" s="1"/>
  <c r="F383" i="523"/>
  <c r="I399" i="523"/>
  <c r="G399" i="523" s="1"/>
  <c r="F399" i="523"/>
  <c r="F2211" i="525"/>
  <c r="J2224" i="525"/>
  <c r="F1458" i="525"/>
  <c r="J1464" i="525"/>
  <c r="E393" i="525"/>
  <c r="H393" i="525"/>
  <c r="E377" i="525"/>
  <c r="H377" i="525"/>
  <c r="K297" i="523"/>
  <c r="M236" i="523"/>
  <c r="G236" i="523" s="1"/>
  <c r="F236" i="523"/>
  <c r="K2141" i="525"/>
  <c r="L2141" i="525" s="1"/>
  <c r="L2147" i="525" s="1"/>
  <c r="H292" i="524" s="1"/>
  <c r="L139" i="523" s="1"/>
  <c r="M139" i="523" s="1"/>
  <c r="K2129" i="525"/>
  <c r="L2129" i="525" s="1"/>
  <c r="L2134" i="525" s="1"/>
  <c r="H291" i="524" s="1"/>
  <c r="L141" i="523" s="1"/>
  <c r="M141" i="523" s="1"/>
  <c r="M6" i="523" s="1"/>
  <c r="K2121" i="525"/>
  <c r="L2121" i="525" s="1"/>
  <c r="L2124" i="525" s="1"/>
  <c r="H290" i="524" s="1"/>
  <c r="L138" i="523" s="1"/>
  <c r="M138" i="523" s="1"/>
  <c r="K2111" i="525"/>
  <c r="L2111" i="525" s="1"/>
  <c r="L2114" i="525" s="1"/>
  <c r="H289" i="524" s="1"/>
  <c r="L140" i="523" s="1"/>
  <c r="M140" i="523" s="1"/>
  <c r="K50" i="523"/>
  <c r="G50" i="523" s="1"/>
  <c r="F50" i="523"/>
  <c r="K247" i="523"/>
  <c r="G247" i="523" s="1"/>
  <c r="F247" i="523"/>
  <c r="K59" i="523"/>
  <c r="G59" i="523" s="1"/>
  <c r="F59" i="523"/>
  <c r="M200" i="523"/>
  <c r="G200" i="523" s="1"/>
  <c r="F200" i="523"/>
  <c r="F88" i="523"/>
  <c r="K88" i="523"/>
  <c r="G88" i="523" s="1"/>
  <c r="F256" i="523"/>
  <c r="K256" i="523"/>
  <c r="G256" i="523" s="1"/>
  <c r="E2155" i="527"/>
  <c r="C2204" i="527"/>
  <c r="G38" i="526"/>
  <c r="J329" i="523" s="1"/>
  <c r="F104" i="523"/>
  <c r="K104" i="523"/>
  <c r="G104" i="523" s="1"/>
  <c r="F76" i="523"/>
  <c r="K76" i="523"/>
  <c r="G76" i="523" s="1"/>
  <c r="K83" i="523"/>
  <c r="G83" i="523" s="1"/>
  <c r="F83" i="523"/>
  <c r="C3155" i="527"/>
  <c r="E56" i="526"/>
  <c r="L102" i="525"/>
  <c r="E102" i="525"/>
  <c r="F54" i="523"/>
  <c r="K54" i="523"/>
  <c r="G54" i="523" s="1"/>
  <c r="F2271" i="525"/>
  <c r="J2284" i="525"/>
  <c r="F432" i="525"/>
  <c r="J437" i="525"/>
  <c r="E293" i="525"/>
  <c r="H293" i="525"/>
  <c r="H309" i="525"/>
  <c r="E309" i="525"/>
  <c r="C2154" i="527"/>
  <c r="E2105" i="527"/>
  <c r="G37" i="526"/>
  <c r="J328" i="523" s="1"/>
  <c r="K71" i="523"/>
  <c r="G71" i="523" s="1"/>
  <c r="F71" i="523"/>
  <c r="K292" i="523"/>
  <c r="G1599" i="525"/>
  <c r="H351" i="523"/>
  <c r="F37" i="523"/>
  <c r="K37" i="523"/>
  <c r="G37" i="523" s="1"/>
  <c r="K219" i="523"/>
  <c r="G219" i="523" s="1"/>
  <c r="F219" i="523"/>
  <c r="K215" i="523"/>
  <c r="G215" i="523" s="1"/>
  <c r="F215" i="523"/>
  <c r="K267" i="523"/>
  <c r="D4555" i="527"/>
  <c r="F83" i="526"/>
  <c r="H404" i="523" s="1"/>
  <c r="C5205" i="527"/>
  <c r="E96" i="526"/>
  <c r="D4455" i="527"/>
  <c r="F81" i="526"/>
  <c r="H393" i="523" s="1"/>
  <c r="K61" i="523"/>
  <c r="G61" i="523" s="1"/>
  <c r="F61" i="523"/>
  <c r="F408" i="523"/>
  <c r="K408" i="523"/>
  <c r="I386" i="523"/>
  <c r="G386" i="523" s="1"/>
  <c r="F386" i="523"/>
  <c r="K242" i="523"/>
  <c r="G242" i="523" s="1"/>
  <c r="F242" i="523"/>
  <c r="M201" i="523"/>
  <c r="G201" i="523" s="1"/>
  <c r="F201" i="523"/>
  <c r="F2507" i="525"/>
  <c r="J2512" i="525"/>
  <c r="K101" i="523"/>
  <c r="G101" i="523" s="1"/>
  <c r="F101" i="523"/>
  <c r="F108" i="523"/>
  <c r="K108" i="523"/>
  <c r="G108" i="523" s="1"/>
  <c r="E261" i="525"/>
  <c r="H261" i="525"/>
  <c r="H277" i="525"/>
  <c r="E277" i="525"/>
  <c r="C8055" i="527"/>
  <c r="E151" i="526"/>
  <c r="K82" i="523"/>
  <c r="G82" i="523" s="1"/>
  <c r="F82" i="523"/>
  <c r="M230" i="523"/>
  <c r="G230" i="523" s="1"/>
  <c r="F230" i="523"/>
  <c r="H1049" i="525"/>
  <c r="E1049" i="525"/>
  <c r="M227" i="523"/>
  <c r="G227" i="523" s="1"/>
  <c r="F227" i="523"/>
  <c r="M225" i="523"/>
  <c r="G225" i="523" s="1"/>
  <c r="F225" i="523"/>
  <c r="K288" i="523"/>
  <c r="C3700" i="527"/>
  <c r="E3704" i="527"/>
  <c r="F84" i="523"/>
  <c r="K84" i="523"/>
  <c r="G84" i="523" s="1"/>
  <c r="K259" i="523"/>
  <c r="G259" i="523" s="1"/>
  <c r="F259" i="523"/>
  <c r="F248" i="523"/>
  <c r="K248" i="523"/>
  <c r="G248" i="523" s="1"/>
  <c r="E110" i="527"/>
  <c r="F179" i="525"/>
  <c r="J182" i="525"/>
  <c r="F126" i="525"/>
  <c r="J128" i="525"/>
  <c r="E301" i="525"/>
  <c r="H301" i="525"/>
  <c r="K275" i="523"/>
  <c r="K74" i="523"/>
  <c r="G74" i="523" s="1"/>
  <c r="F74" i="523"/>
  <c r="F1590" i="525"/>
  <c r="E218" i="524" s="1"/>
  <c r="G218" i="524"/>
  <c r="J333" i="523" s="1"/>
  <c r="K285" i="523"/>
  <c r="G23" i="524"/>
  <c r="J212" i="523" s="1"/>
  <c r="C5305" i="527"/>
  <c r="E98" i="526"/>
  <c r="K63" i="523"/>
  <c r="G63" i="523" s="1"/>
  <c r="F63" i="523"/>
  <c r="K65" i="523"/>
  <c r="G65" i="523" s="1"/>
  <c r="F65" i="523"/>
  <c r="K55" i="523"/>
  <c r="G55" i="523" s="1"/>
  <c r="F55" i="523"/>
  <c r="G147" i="524"/>
  <c r="J302" i="523" s="1"/>
  <c r="F170" i="525"/>
  <c r="J173" i="525"/>
  <c r="F110" i="525"/>
  <c r="J112" i="525"/>
  <c r="F368" i="523"/>
  <c r="K368" i="523"/>
  <c r="G368" i="523" s="1"/>
  <c r="K281" i="523"/>
  <c r="K273" i="523"/>
  <c r="I237" i="523"/>
  <c r="E10" i="522" s="1"/>
  <c r="L2544" i="525"/>
  <c r="F2541" i="525"/>
  <c r="L1982" i="525"/>
  <c r="F1978" i="525"/>
  <c r="L1309" i="525"/>
  <c r="F1307" i="525"/>
  <c r="L1891" i="525"/>
  <c r="F1888" i="525"/>
  <c r="L443" i="525"/>
  <c r="F441" i="525"/>
  <c r="F264" i="523"/>
  <c r="K264" i="523"/>
  <c r="G264" i="523" s="1"/>
  <c r="K277" i="523"/>
  <c r="C3254" i="527"/>
  <c r="E3205" i="527"/>
  <c r="G57" i="526"/>
  <c r="I2066" i="525" s="1"/>
  <c r="G148" i="524"/>
  <c r="J303" i="523" s="1"/>
  <c r="C1305" i="527"/>
  <c r="E28" i="526"/>
  <c r="F252" i="523"/>
  <c r="K252" i="523"/>
  <c r="G252" i="523" s="1"/>
  <c r="C605" i="527"/>
  <c r="E14" i="526"/>
  <c r="K254" i="523"/>
  <c r="G254" i="523" s="1"/>
  <c r="F254" i="523"/>
  <c r="D4355" i="527"/>
  <c r="F79" i="526"/>
  <c r="H391" i="523" s="1"/>
  <c r="D4405" i="527"/>
  <c r="F80" i="526"/>
  <c r="H392" i="523" s="1"/>
  <c r="E1905" i="527"/>
  <c r="C2004" i="527"/>
  <c r="G35" i="526"/>
  <c r="J312" i="523" s="1"/>
  <c r="F246" i="523"/>
  <c r="K246" i="523"/>
  <c r="G246" i="523" s="1"/>
  <c r="K287" i="523"/>
  <c r="L1394" i="525"/>
  <c r="E1394" i="525"/>
  <c r="K102" i="523"/>
  <c r="G102" i="523" s="1"/>
  <c r="F102" i="523"/>
  <c r="K282" i="523"/>
  <c r="C1812" i="527"/>
  <c r="E1854" i="527"/>
  <c r="C7504" i="527"/>
  <c r="E7455" i="527"/>
  <c r="G140" i="526"/>
  <c r="K46" i="523"/>
  <c r="G46" i="523" s="1"/>
  <c r="F46" i="523"/>
  <c r="C1005" i="527"/>
  <c r="E22" i="526"/>
  <c r="G194" i="523"/>
  <c r="F2231" i="525"/>
  <c r="J2244" i="525"/>
  <c r="F118" i="525"/>
  <c r="J120" i="525"/>
  <c r="F56" i="523"/>
  <c r="K56" i="523"/>
  <c r="G56" i="523" s="1"/>
  <c r="K367" i="523"/>
  <c r="G367" i="523" s="1"/>
  <c r="F367" i="523"/>
  <c r="K43" i="523"/>
  <c r="G43" i="523" s="1"/>
  <c r="F43" i="523"/>
  <c r="C7955" i="527"/>
  <c r="E149" i="526"/>
  <c r="F262" i="523"/>
  <c r="K262" i="523"/>
  <c r="G262" i="523" s="1"/>
  <c r="L2482" i="525"/>
  <c r="F2479" i="525"/>
  <c r="L1966" i="525"/>
  <c r="F1963" i="525"/>
  <c r="L1303" i="525"/>
  <c r="F1301" i="525"/>
  <c r="L1364" i="525"/>
  <c r="F1361" i="525"/>
  <c r="C8504" i="527"/>
  <c r="E8455" i="527"/>
  <c r="G159" i="526"/>
  <c r="I887" i="525" s="1"/>
  <c r="K371" i="523"/>
  <c r="G371" i="523" s="1"/>
  <c r="F371" i="523"/>
  <c r="K280" i="523"/>
  <c r="C7805" i="527"/>
  <c r="E146" i="526"/>
  <c r="C8005" i="527"/>
  <c r="E150" i="526"/>
  <c r="I395" i="523"/>
  <c r="G395" i="523" s="1"/>
  <c r="F395" i="523"/>
  <c r="K49" i="523"/>
  <c r="G49" i="523" s="1"/>
  <c r="F49" i="523"/>
  <c r="C1511" i="527"/>
  <c r="E1554" i="527"/>
  <c r="C7305" i="527"/>
  <c r="E138" i="526"/>
  <c r="G219" i="524"/>
  <c r="J331" i="523" s="1"/>
  <c r="K284" i="523"/>
  <c r="M228" i="523"/>
  <c r="G228" i="523" s="1"/>
  <c r="F228" i="523"/>
  <c r="F2154" i="525"/>
  <c r="J2166" i="525"/>
  <c r="F1530" i="525"/>
  <c r="J1544" i="525"/>
  <c r="F152" i="525"/>
  <c r="J155" i="525"/>
  <c r="I361" i="523"/>
  <c r="G361" i="523" s="1"/>
  <c r="F361" i="523"/>
  <c r="K78" i="523"/>
  <c r="G78" i="523" s="1"/>
  <c r="F78" i="523"/>
  <c r="K274" i="523"/>
  <c r="E2205" i="527"/>
  <c r="C2304" i="527"/>
  <c r="G39" i="526"/>
  <c r="J330" i="523" s="1"/>
  <c r="K75" i="523"/>
  <c r="G75" i="523" s="1"/>
  <c r="F75" i="523"/>
  <c r="K370" i="523"/>
  <c r="G370" i="523" s="1"/>
  <c r="F370" i="523"/>
  <c r="K295" i="523"/>
  <c r="F249" i="523"/>
  <c r="K249" i="523"/>
  <c r="G249" i="523" s="1"/>
  <c r="I385" i="523"/>
  <c r="G385" i="523" s="1"/>
  <c r="F385" i="523"/>
  <c r="M233" i="523"/>
  <c r="G233" i="523" s="1"/>
  <c r="F233" i="523"/>
  <c r="F72" i="523"/>
  <c r="K72" i="523"/>
  <c r="G72" i="523" s="1"/>
  <c r="F92" i="523"/>
  <c r="K92" i="523"/>
  <c r="G92" i="523" s="1"/>
  <c r="F2311" i="525"/>
  <c r="J2324" i="525"/>
  <c r="L2475" i="525"/>
  <c r="F2473" i="525"/>
  <c r="L1884" i="525"/>
  <c r="F1882" i="525"/>
  <c r="L1289" i="525"/>
  <c r="F1287" i="525"/>
  <c r="K42" i="523"/>
  <c r="G42" i="523" s="1"/>
  <c r="F42" i="523"/>
  <c r="K89" i="523"/>
  <c r="G89" i="523" s="1"/>
  <c r="F89" i="523"/>
  <c r="K253" i="523"/>
  <c r="G253" i="523" s="1"/>
  <c r="F253" i="523"/>
  <c r="K293" i="523"/>
  <c r="K51" i="523"/>
  <c r="G51" i="523" s="1"/>
  <c r="F51" i="523"/>
  <c r="F257" i="523"/>
  <c r="K257" i="523"/>
  <c r="G257" i="523" s="1"/>
  <c r="K106" i="523"/>
  <c r="G106" i="523" s="1"/>
  <c r="F106" i="523"/>
  <c r="F52" i="523"/>
  <c r="K52" i="523"/>
  <c r="G52" i="523" s="1"/>
  <c r="K99" i="523"/>
  <c r="G99" i="523" s="1"/>
  <c r="F99" i="523"/>
  <c r="K278" i="523"/>
  <c r="K97" i="523"/>
  <c r="G97" i="523" s="1"/>
  <c r="F97" i="523"/>
  <c r="F1045" i="525"/>
  <c r="E146" i="524" s="1"/>
  <c r="G146" i="524"/>
  <c r="J304" i="523" s="1"/>
  <c r="G220" i="524"/>
  <c r="J332" i="523" s="1"/>
  <c r="C9005" i="527"/>
  <c r="E170" i="526"/>
  <c r="F2291" i="525"/>
  <c r="J2304" i="525"/>
  <c r="E353" i="525"/>
  <c r="H353" i="525"/>
  <c r="H369" i="525"/>
  <c r="E369" i="525"/>
  <c r="F216" i="523"/>
  <c r="K216" i="523"/>
  <c r="G216" i="523" s="1"/>
  <c r="C355" i="527"/>
  <c r="E9" i="526"/>
  <c r="F245" i="523"/>
  <c r="K245" i="523"/>
  <c r="G245" i="523" s="1"/>
  <c r="K39" i="523"/>
  <c r="G39" i="523" s="1"/>
  <c r="F39" i="523"/>
  <c r="K243" i="523"/>
  <c r="G243" i="523" s="1"/>
  <c r="F243" i="523"/>
  <c r="F48" i="523"/>
  <c r="K48" i="523"/>
  <c r="G48" i="523" s="1"/>
  <c r="K95" i="523"/>
  <c r="G95" i="523" s="1"/>
  <c r="F95" i="523"/>
  <c r="C5455" i="527"/>
  <c r="E101" i="526"/>
  <c r="L2489" i="525"/>
  <c r="F2486" i="525"/>
  <c r="L1974" i="525"/>
  <c r="F1970" i="525"/>
  <c r="L1325" i="525"/>
  <c r="F1322" i="525"/>
  <c r="L1296" i="525"/>
  <c r="F1294" i="525"/>
  <c r="L450" i="525"/>
  <c r="F447" i="525"/>
  <c r="C3304" i="527"/>
  <c r="E3255" i="527"/>
  <c r="G58" i="526"/>
  <c r="I384" i="523"/>
  <c r="G384" i="523" s="1"/>
  <c r="F384" i="523"/>
  <c r="K271" i="523"/>
  <c r="M234" i="523"/>
  <c r="G234" i="523" s="1"/>
  <c r="F234" i="523"/>
  <c r="E7254" i="527"/>
  <c r="C7235" i="527"/>
  <c r="E269" i="525"/>
  <c r="H269" i="525"/>
  <c r="E253" i="525"/>
  <c r="H253" i="525"/>
  <c r="F372" i="523"/>
  <c r="K372" i="523"/>
  <c r="G372" i="523" s="1"/>
  <c r="F217" i="523"/>
  <c r="K217" i="523"/>
  <c r="G217" i="523" s="1"/>
  <c r="K73" i="523"/>
  <c r="G73" i="523" s="1"/>
  <c r="F73" i="523"/>
  <c r="M224" i="523"/>
  <c r="G224" i="523" s="1"/>
  <c r="F224" i="523"/>
  <c r="C7422" i="527"/>
  <c r="E7454" i="527"/>
  <c r="K250" i="523"/>
  <c r="G250" i="523" s="1"/>
  <c r="F250" i="523"/>
  <c r="I341" i="523"/>
  <c r="G341" i="523" s="1"/>
  <c r="F341" i="523"/>
  <c r="K218" i="523"/>
  <c r="G218" i="523" s="1"/>
  <c r="F218" i="523"/>
  <c r="K289" i="523"/>
  <c r="K283" i="523"/>
  <c r="K270" i="523"/>
  <c r="D4605" i="527"/>
  <c r="F84" i="526"/>
  <c r="H405" i="523" s="1"/>
  <c r="I350" i="523"/>
  <c r="G350" i="523" s="1"/>
  <c r="F350" i="523"/>
  <c r="K272" i="523"/>
  <c r="F40" i="523"/>
  <c r="K40" i="523"/>
  <c r="G40" i="523" s="1"/>
  <c r="E1654" i="527"/>
  <c r="C1612" i="527"/>
  <c r="F261" i="523"/>
  <c r="K261" i="523"/>
  <c r="G261" i="523" s="1"/>
  <c r="I2143" i="525"/>
  <c r="I2133" i="525"/>
  <c r="I2123" i="525"/>
  <c r="I2113" i="525"/>
  <c r="I898" i="525"/>
  <c r="I890" i="525"/>
  <c r="D4655" i="527"/>
  <c r="F85" i="526"/>
  <c r="H406" i="523" s="1"/>
  <c r="I334" i="523"/>
  <c r="G334" i="523" s="1"/>
  <c r="F334" i="523"/>
  <c r="F1958" i="525"/>
  <c r="J1959" i="525"/>
  <c r="F1446" i="525"/>
  <c r="J1451" i="525"/>
  <c r="E361" i="525"/>
  <c r="H361" i="525"/>
  <c r="K94" i="523"/>
  <c r="G94" i="523" s="1"/>
  <c r="F94" i="523"/>
  <c r="C655" i="527"/>
  <c r="E15" i="526"/>
  <c r="K291" i="523"/>
  <c r="I362" i="523"/>
  <c r="G362" i="523" s="1"/>
  <c r="F362" i="523"/>
  <c r="F80" i="523"/>
  <c r="K80" i="523"/>
  <c r="G80" i="523" s="1"/>
  <c r="K53" i="523"/>
  <c r="G53" i="523" s="1"/>
  <c r="F53" i="523"/>
  <c r="K98" i="523"/>
  <c r="G98" i="523" s="1"/>
  <c r="F98" i="523"/>
  <c r="K57" i="523"/>
  <c r="G57" i="523" s="1"/>
  <c r="F57" i="523"/>
  <c r="K77" i="523"/>
  <c r="G77" i="523" s="1"/>
  <c r="F77" i="523"/>
  <c r="I324" i="523"/>
  <c r="G324" i="523" s="1"/>
  <c r="F324" i="523"/>
  <c r="M229" i="523"/>
  <c r="G229" i="523" s="1"/>
  <c r="F229" i="523"/>
  <c r="I359" i="523"/>
  <c r="G359" i="523" s="1"/>
  <c r="F359" i="523"/>
  <c r="C1712" i="527"/>
  <c r="E1754" i="527"/>
  <c r="I363" i="523"/>
  <c r="G363" i="523" s="1"/>
  <c r="F363" i="523"/>
  <c r="C5055" i="527"/>
  <c r="E93" i="526"/>
  <c r="E2005" i="527"/>
  <c r="C2104" i="527"/>
  <c r="G36" i="526"/>
  <c r="J313" i="523" s="1"/>
  <c r="K142" i="523"/>
  <c r="G142" i="523" s="1"/>
  <c r="F142" i="523"/>
  <c r="E385" i="525"/>
  <c r="H385" i="525"/>
  <c r="C5155" i="527"/>
  <c r="E95" i="526"/>
  <c r="E3454" i="527"/>
  <c r="C3441" i="527"/>
  <c r="K47" i="523"/>
  <c r="G47" i="523" s="1"/>
  <c r="F47" i="523"/>
  <c r="E285" i="525"/>
  <c r="H285" i="525"/>
  <c r="F244" i="523"/>
  <c r="K244" i="523"/>
  <c r="G244" i="523" s="1"/>
  <c r="K276" i="523"/>
  <c r="D4305" i="527"/>
  <c r="F78" i="526"/>
  <c r="H390" i="523" s="1"/>
  <c r="M226" i="523"/>
  <c r="G226" i="523" s="1"/>
  <c r="F226" i="523"/>
  <c r="K87" i="523"/>
  <c r="G87" i="523" s="1"/>
  <c r="F87" i="523"/>
  <c r="F214" i="523"/>
  <c r="K214" i="523"/>
  <c r="G214" i="523" s="1"/>
  <c r="F2251" i="525"/>
  <c r="J2264" i="525"/>
  <c r="F1471" i="525"/>
  <c r="J1477" i="525"/>
  <c r="F143" i="525"/>
  <c r="J146" i="525"/>
  <c r="G1594" i="525"/>
  <c r="H347" i="523"/>
  <c r="K79" i="523"/>
  <c r="G79" i="523" s="1"/>
  <c r="F79" i="523"/>
  <c r="K91" i="523"/>
  <c r="G91" i="523" s="1"/>
  <c r="F91" i="523"/>
  <c r="K255" i="523"/>
  <c r="G255" i="523" s="1"/>
  <c r="F255" i="523"/>
  <c r="F64" i="523"/>
  <c r="K64" i="523"/>
  <c r="G64" i="523" s="1"/>
  <c r="C5505" i="527"/>
  <c r="E102" i="526"/>
  <c r="K241" i="523"/>
  <c r="G241" i="523" s="1"/>
  <c r="F241" i="523"/>
  <c r="I397" i="523"/>
  <c r="G397" i="523" s="1"/>
  <c r="F397" i="523"/>
  <c r="C455" i="527"/>
  <c r="E11" i="526"/>
  <c r="K67" i="523"/>
  <c r="G67" i="523" s="1"/>
  <c r="F67" i="523"/>
  <c r="C5005" i="527"/>
  <c r="E92" i="526"/>
  <c r="F93" i="523"/>
  <c r="K93" i="523"/>
  <c r="G93" i="523" s="1"/>
  <c r="C5105" i="527"/>
  <c r="E94" i="526"/>
  <c r="C5555" i="527"/>
  <c r="E103" i="526"/>
  <c r="F2519" i="525"/>
  <c r="J2524" i="525"/>
  <c r="F2173" i="525"/>
  <c r="J2185" i="525"/>
  <c r="F1378" i="525"/>
  <c r="J1391" i="525"/>
  <c r="F134" i="525"/>
  <c r="J137" i="525"/>
  <c r="K103" i="523"/>
  <c r="G103" i="523" s="1"/>
  <c r="F103" i="523"/>
  <c r="K265" i="523"/>
  <c r="L2530" i="525"/>
  <c r="F2528" i="525"/>
  <c r="L1515" i="525"/>
  <c r="F1511" i="525"/>
  <c r="L1507" i="525"/>
  <c r="F1504" i="525"/>
  <c r="L457" i="525"/>
  <c r="F454" i="525"/>
  <c r="K66" i="523"/>
  <c r="G66" i="523" s="1"/>
  <c r="F66" i="523"/>
  <c r="K85" i="523"/>
  <c r="G85" i="523" s="1"/>
  <c r="F85" i="523"/>
  <c r="M211" i="523"/>
  <c r="G211" i="523" s="1"/>
  <c r="F211" i="523"/>
  <c r="F86" i="523"/>
  <c r="K86" i="523"/>
  <c r="G86" i="523" s="1"/>
  <c r="F44" i="523"/>
  <c r="K44" i="523"/>
  <c r="G44" i="523" s="1"/>
  <c r="K107" i="523"/>
  <c r="G107" i="523" s="1"/>
  <c r="F107" i="523"/>
  <c r="E1855" i="527"/>
  <c r="C1904" i="527"/>
  <c r="G34" i="526"/>
  <c r="J311" i="523" s="1"/>
  <c r="E8505" i="527"/>
  <c r="C8554" i="527"/>
  <c r="G160" i="526"/>
  <c r="I895" i="525" s="1"/>
  <c r="F161" i="525"/>
  <c r="J164" i="525"/>
  <c r="E345" i="525"/>
  <c r="H345" i="525"/>
  <c r="K268" i="523"/>
  <c r="I352" i="523"/>
  <c r="G352" i="523" s="1"/>
  <c r="F352" i="523"/>
  <c r="F41" i="523"/>
  <c r="K41" i="523"/>
  <c r="G41" i="523" s="1"/>
  <c r="C555" i="527"/>
  <c r="E13" i="526"/>
  <c r="L1959" i="525"/>
  <c r="H263" i="524" s="1"/>
  <c r="L223" i="523" s="1"/>
  <c r="M223" i="523" s="1"/>
  <c r="F1956" i="525"/>
  <c r="L1371" i="525"/>
  <c r="F1368" i="525"/>
  <c r="L1356" i="525"/>
  <c r="F1353" i="525"/>
  <c r="L879" i="525"/>
  <c r="F876" i="525"/>
  <c r="M197" i="523"/>
  <c r="G197" i="523" s="1"/>
  <c r="F197" i="523"/>
  <c r="H1054" i="525"/>
  <c r="E1054" i="525"/>
  <c r="C3354" i="527"/>
  <c r="E3305" i="527"/>
  <c r="G59" i="526"/>
  <c r="K81" i="523"/>
  <c r="G81" i="523" s="1"/>
  <c r="F81" i="523"/>
  <c r="E1355" i="527"/>
  <c r="C1454" i="527"/>
  <c r="G29" i="526"/>
  <c r="J314" i="523" s="1"/>
  <c r="K62" i="523"/>
  <c r="G62" i="523" s="1"/>
  <c r="F62" i="523"/>
  <c r="G195" i="524"/>
  <c r="J213" i="523" s="1"/>
  <c r="F100" i="523"/>
  <c r="K100" i="523"/>
  <c r="G100" i="523" s="1"/>
  <c r="K369" i="523"/>
  <c r="G369" i="523" s="1"/>
  <c r="F369" i="523"/>
  <c r="F70" i="523"/>
  <c r="K70" i="523"/>
  <c r="G70" i="523" s="1"/>
  <c r="C5405" i="527"/>
  <c r="E100" i="526"/>
  <c r="I382" i="523"/>
  <c r="G382" i="523" s="1"/>
  <c r="F382" i="523"/>
  <c r="F2495" i="525"/>
  <c r="J2500" i="525"/>
  <c r="F2192" i="525"/>
  <c r="J2204" i="525"/>
  <c r="F408" i="525"/>
  <c r="J413" i="525"/>
  <c r="F420" i="525"/>
  <c r="J425" i="525"/>
  <c r="H401" i="525"/>
  <c r="E401" i="525"/>
  <c r="M231" i="523"/>
  <c r="G231" i="523" s="1"/>
  <c r="F231" i="523"/>
  <c r="I394" i="523"/>
  <c r="G394" i="523" s="1"/>
  <c r="F394" i="523"/>
  <c r="I321" i="523"/>
  <c r="G321" i="523" s="1"/>
  <c r="F321" i="523"/>
  <c r="K294" i="523"/>
  <c r="F96" i="523"/>
  <c r="K96" i="523"/>
  <c r="G96" i="523" s="1"/>
  <c r="K263" i="523"/>
  <c r="G263" i="523" s="1"/>
  <c r="F263" i="523"/>
  <c r="D11" i="457"/>
  <c r="E4504" i="527" l="1"/>
  <c r="C4493" i="527"/>
  <c r="E4454" i="527"/>
  <c r="C4443" i="527"/>
  <c r="E7155" i="527"/>
  <c r="C7204" i="527"/>
  <c r="G135" i="526"/>
  <c r="I2064" i="525" s="1"/>
  <c r="E4654" i="527"/>
  <c r="C4643" i="527"/>
  <c r="C3605" i="527"/>
  <c r="E65" i="526"/>
  <c r="E4404" i="527"/>
  <c r="C4393" i="527"/>
  <c r="E4604" i="527"/>
  <c r="C4593" i="527"/>
  <c r="E4704" i="527"/>
  <c r="C4693" i="527"/>
  <c r="E4354" i="527"/>
  <c r="C4343" i="527"/>
  <c r="K147" i="523"/>
  <c r="G147" i="523" s="1"/>
  <c r="F147" i="523"/>
  <c r="E4554" i="527"/>
  <c r="C4543" i="527"/>
  <c r="E2137" i="525"/>
  <c r="J2137" i="525"/>
  <c r="F2137" i="525" s="1"/>
  <c r="J2127" i="525"/>
  <c r="F2127" i="525" s="1"/>
  <c r="E2127" i="525"/>
  <c r="E2117" i="525"/>
  <c r="J2117" i="525"/>
  <c r="F2117" i="525" s="1"/>
  <c r="E2109" i="525"/>
  <c r="J2109" i="525"/>
  <c r="F2109" i="525" s="1"/>
  <c r="C3112" i="527"/>
  <c r="E3154" i="527"/>
  <c r="I2120" i="525"/>
  <c r="I2140" i="525"/>
  <c r="G5" i="522"/>
  <c r="E1655" i="527"/>
  <c r="C1754" i="527"/>
  <c r="G32" i="526"/>
  <c r="J317" i="523" s="1"/>
  <c r="F361" i="525"/>
  <c r="H362" i="525"/>
  <c r="F56" i="524" s="1"/>
  <c r="H9" i="523" s="1"/>
  <c r="I9" i="523" s="1"/>
  <c r="E7205" i="527"/>
  <c r="C7254" i="527"/>
  <c r="G136" i="526"/>
  <c r="J238" i="523" s="1"/>
  <c r="F2304" i="525"/>
  <c r="E300" i="524" s="1"/>
  <c r="G300" i="524"/>
  <c r="J114" i="523" s="1"/>
  <c r="K332" i="523"/>
  <c r="H182" i="524"/>
  <c r="L280" i="523" s="1"/>
  <c r="F1289" i="525"/>
  <c r="E182" i="524" s="1"/>
  <c r="H317" i="524"/>
  <c r="L297" i="523" s="1"/>
  <c r="F2475" i="525"/>
  <c r="E317" i="524" s="1"/>
  <c r="C2205" i="527"/>
  <c r="E39" i="526"/>
  <c r="F155" i="525"/>
  <c r="E29" i="524" s="1"/>
  <c r="G29" i="524"/>
  <c r="J438" i="523" s="1"/>
  <c r="F2166" i="525"/>
  <c r="E293" i="524" s="1"/>
  <c r="G293" i="524"/>
  <c r="J116" i="523" s="1"/>
  <c r="J887" i="525"/>
  <c r="E887" i="525"/>
  <c r="H192" i="524"/>
  <c r="L278" i="523" s="1"/>
  <c r="F1364" i="525"/>
  <c r="E192" i="524" s="1"/>
  <c r="H264" i="524"/>
  <c r="L267" i="523" s="1"/>
  <c r="F1966" i="525"/>
  <c r="E264" i="524" s="1"/>
  <c r="K303" i="523"/>
  <c r="C3205" i="527"/>
  <c r="E57" i="526"/>
  <c r="H254" i="524"/>
  <c r="L292" i="523" s="1"/>
  <c r="F1891" i="525"/>
  <c r="E254" i="524" s="1"/>
  <c r="H266" i="524"/>
  <c r="L266" i="523" s="1"/>
  <c r="F1982" i="525"/>
  <c r="E266" i="524" s="1"/>
  <c r="F173" i="525"/>
  <c r="E31" i="524" s="1"/>
  <c r="G31" i="524"/>
  <c r="J440" i="523" s="1"/>
  <c r="K333" i="523"/>
  <c r="G333" i="523" s="1"/>
  <c r="F333" i="523"/>
  <c r="G26" i="524"/>
  <c r="J444" i="523" s="1"/>
  <c r="F128" i="525"/>
  <c r="E26" i="524" s="1"/>
  <c r="E154" i="527"/>
  <c r="C110" i="527"/>
  <c r="H1050" i="525"/>
  <c r="F1049" i="525"/>
  <c r="F277" i="525"/>
  <c r="H278" i="525"/>
  <c r="F45" i="524" s="1"/>
  <c r="H22" i="523" s="1"/>
  <c r="I22" i="523" s="1"/>
  <c r="I393" i="523"/>
  <c r="H1599" i="525"/>
  <c r="E1599" i="525"/>
  <c r="G64" i="524"/>
  <c r="J158" i="523" s="1"/>
  <c r="F437" i="525"/>
  <c r="E64" i="524" s="1"/>
  <c r="C2155" i="527"/>
  <c r="E38" i="526"/>
  <c r="F377" i="525"/>
  <c r="H378" i="525"/>
  <c r="F58" i="524" s="1"/>
  <c r="H11" i="523" s="1"/>
  <c r="I11" i="523" s="1"/>
  <c r="F1464" i="525"/>
  <c r="E203" i="524" s="1"/>
  <c r="G203" i="524"/>
  <c r="J34" i="523" s="1"/>
  <c r="F1565" i="525"/>
  <c r="E212" i="524" s="1"/>
  <c r="G212" i="524"/>
  <c r="J32" i="523" s="1"/>
  <c r="J909" i="525"/>
  <c r="E909" i="525"/>
  <c r="J1012" i="525"/>
  <c r="E1012" i="525"/>
  <c r="J1004" i="525"/>
  <c r="E1004" i="525"/>
  <c r="J1028" i="525"/>
  <c r="E1028" i="525"/>
  <c r="E988" i="525"/>
  <c r="J988" i="525"/>
  <c r="H189" i="524"/>
  <c r="L271" i="523" s="1"/>
  <c r="F1340" i="525"/>
  <c r="E189" i="524" s="1"/>
  <c r="F2204" i="525"/>
  <c r="E295" i="524" s="1"/>
  <c r="G295" i="524"/>
  <c r="J118" i="523" s="1"/>
  <c r="H323" i="524"/>
  <c r="L285" i="523" s="1"/>
  <c r="F2530" i="525"/>
  <c r="E323" i="524" s="1"/>
  <c r="H1594" i="525"/>
  <c r="E1594" i="525"/>
  <c r="F285" i="525"/>
  <c r="H286" i="525"/>
  <c r="F46" i="524" s="1"/>
  <c r="H23" i="523" s="1"/>
  <c r="I23" i="523" s="1"/>
  <c r="F1451" i="525"/>
  <c r="E202" i="524" s="1"/>
  <c r="G202" i="524"/>
  <c r="J36" i="523" s="1"/>
  <c r="J2123" i="525"/>
  <c r="F2123" i="525" s="1"/>
  <c r="E2123" i="525"/>
  <c r="C3305" i="527"/>
  <c r="E59" i="526"/>
  <c r="H191" i="524"/>
  <c r="L277" i="523" s="1"/>
  <c r="F1356" i="525"/>
  <c r="E191" i="524" s="1"/>
  <c r="C8505" i="527"/>
  <c r="E160" i="526"/>
  <c r="F137" i="525"/>
  <c r="E27" i="524" s="1"/>
  <c r="G27" i="524"/>
  <c r="J436" i="523" s="1"/>
  <c r="F2185" i="525"/>
  <c r="E294" i="524" s="1"/>
  <c r="G294" i="524"/>
  <c r="J117" i="523" s="1"/>
  <c r="G28" i="524"/>
  <c r="J437" i="523" s="1"/>
  <c r="F146" i="525"/>
  <c r="E28" i="524" s="1"/>
  <c r="F2264" i="525"/>
  <c r="E298" i="524" s="1"/>
  <c r="G298" i="524"/>
  <c r="J112" i="523" s="1"/>
  <c r="C3454" i="527"/>
  <c r="E3405" i="527"/>
  <c r="G61" i="526"/>
  <c r="I2067" i="525" s="1"/>
  <c r="F385" i="525"/>
  <c r="H386" i="525"/>
  <c r="F59" i="524" s="1"/>
  <c r="H12" i="523" s="1"/>
  <c r="I12" i="523" s="1"/>
  <c r="F313" i="523"/>
  <c r="K313" i="523"/>
  <c r="G313" i="523" s="1"/>
  <c r="E890" i="525"/>
  <c r="J890" i="525"/>
  <c r="F890" i="525" s="1"/>
  <c r="E2133" i="525"/>
  <c r="J2133" i="525"/>
  <c r="F2133" i="525" s="1"/>
  <c r="C7454" i="527"/>
  <c r="E7355" i="527"/>
  <c r="G139" i="526"/>
  <c r="J409" i="523" s="1"/>
  <c r="F269" i="525"/>
  <c r="H270" i="525"/>
  <c r="F44" i="524" s="1"/>
  <c r="H21" i="523" s="1"/>
  <c r="I21" i="523" s="1"/>
  <c r="C3255" i="527"/>
  <c r="E58" i="526"/>
  <c r="H183" i="524"/>
  <c r="L281" i="523" s="1"/>
  <c r="F1296" i="525"/>
  <c r="E183" i="524" s="1"/>
  <c r="H265" i="524"/>
  <c r="L265" i="523" s="1"/>
  <c r="F1974" i="525"/>
  <c r="E265" i="524" s="1"/>
  <c r="F369" i="525"/>
  <c r="H370" i="525"/>
  <c r="F57" i="524" s="1"/>
  <c r="H10" i="523" s="1"/>
  <c r="I10" i="523" s="1"/>
  <c r="F2324" i="525"/>
  <c r="E301" i="524" s="1"/>
  <c r="G301" i="524"/>
  <c r="J115" i="523" s="1"/>
  <c r="G25" i="524"/>
  <c r="J443" i="523" s="1"/>
  <c r="F120" i="525"/>
  <c r="E25" i="524" s="1"/>
  <c r="C7455" i="527"/>
  <c r="E140" i="526"/>
  <c r="L1396" i="525"/>
  <c r="F1394" i="525"/>
  <c r="I391" i="523"/>
  <c r="K212" i="523"/>
  <c r="F261" i="525"/>
  <c r="H262" i="525"/>
  <c r="F43" i="524" s="1"/>
  <c r="H20" i="523" s="1"/>
  <c r="I20" i="523" s="1"/>
  <c r="F328" i="523"/>
  <c r="K328" i="523"/>
  <c r="G328" i="523" s="1"/>
  <c r="F309" i="525"/>
  <c r="H310" i="525"/>
  <c r="F49" i="524" s="1"/>
  <c r="H26" i="523" s="1"/>
  <c r="I26" i="523" s="1"/>
  <c r="G381" i="523"/>
  <c r="H210" i="524"/>
  <c r="L290" i="523" s="1"/>
  <c r="F1523" i="525"/>
  <c r="E210" i="524" s="1"/>
  <c r="H324" i="524"/>
  <c r="L283" i="523" s="1"/>
  <c r="F2537" i="525"/>
  <c r="E324" i="524" s="1"/>
  <c r="J937" i="525"/>
  <c r="E937" i="525"/>
  <c r="J916" i="525"/>
  <c r="E916" i="525"/>
  <c r="J923" i="525"/>
  <c r="E923" i="525"/>
  <c r="E902" i="525"/>
  <c r="J902" i="525"/>
  <c r="E1020" i="525"/>
  <c r="J1020" i="525"/>
  <c r="H121" i="524"/>
  <c r="L270" i="523" s="1"/>
  <c r="F863" i="525"/>
  <c r="E121" i="524" s="1"/>
  <c r="H190" i="524"/>
  <c r="L276" i="523" s="1"/>
  <c r="F1348" i="525"/>
  <c r="E190" i="524" s="1"/>
  <c r="I403" i="523"/>
  <c r="H208" i="524"/>
  <c r="L291" i="523" s="1"/>
  <c r="F1507" i="525"/>
  <c r="E208" i="524" s="1"/>
  <c r="F2500" i="525"/>
  <c r="E320" i="524" s="1"/>
  <c r="G320" i="524"/>
  <c r="J156" i="523" s="1"/>
  <c r="K213" i="523"/>
  <c r="K314" i="523"/>
  <c r="G314" i="523" s="1"/>
  <c r="F314" i="523"/>
  <c r="G30" i="524"/>
  <c r="J439" i="523" s="1"/>
  <c r="F164" i="525"/>
  <c r="E30" i="524" s="1"/>
  <c r="H67" i="524"/>
  <c r="L287" i="523" s="1"/>
  <c r="F457" i="525"/>
  <c r="E67" i="524" s="1"/>
  <c r="H209" i="524"/>
  <c r="L289" i="523" s="1"/>
  <c r="F1515" i="525"/>
  <c r="E209" i="524" s="1"/>
  <c r="I390" i="523"/>
  <c r="C2005" i="527"/>
  <c r="E36" i="526"/>
  <c r="F1959" i="525"/>
  <c r="E263" i="524" s="1"/>
  <c r="G263" i="524"/>
  <c r="J223" i="523" s="1"/>
  <c r="E898" i="525"/>
  <c r="J898" i="525"/>
  <c r="F898" i="525" s="1"/>
  <c r="E2143" i="525"/>
  <c r="J2143" i="525"/>
  <c r="F2143" i="525" s="1"/>
  <c r="C1654" i="527"/>
  <c r="E1555" i="527"/>
  <c r="G31" i="526"/>
  <c r="J316" i="523" s="1"/>
  <c r="F353" i="525"/>
  <c r="H354" i="525"/>
  <c r="F55" i="524" s="1"/>
  <c r="H8" i="523" s="1"/>
  <c r="I8" i="523" s="1"/>
  <c r="F304" i="523"/>
  <c r="K304" i="523"/>
  <c r="G304" i="523" s="1"/>
  <c r="H253" i="524"/>
  <c r="L294" i="523" s="1"/>
  <c r="F1884" i="525"/>
  <c r="E253" i="524" s="1"/>
  <c r="F1544" i="525"/>
  <c r="E211" i="524" s="1"/>
  <c r="G211" i="524"/>
  <c r="J31" i="523" s="1"/>
  <c r="K331" i="523"/>
  <c r="E1455" i="527"/>
  <c r="C1554" i="527"/>
  <c r="G30" i="526"/>
  <c r="J315" i="523" s="1"/>
  <c r="C8455" i="527"/>
  <c r="E159" i="526"/>
  <c r="H184" i="524"/>
  <c r="L282" i="523" s="1"/>
  <c r="F1303" i="525"/>
  <c r="E184" i="524" s="1"/>
  <c r="H318" i="524"/>
  <c r="L295" i="523" s="1"/>
  <c r="F2482" i="525"/>
  <c r="E318" i="524" s="1"/>
  <c r="C1854" i="527"/>
  <c r="E1755" i="527"/>
  <c r="G33" i="526"/>
  <c r="J318" i="523" s="1"/>
  <c r="F312" i="523"/>
  <c r="K312" i="523"/>
  <c r="G312" i="523" s="1"/>
  <c r="I392" i="523"/>
  <c r="E2066" i="525"/>
  <c r="J2066" i="525"/>
  <c r="F2066" i="525" s="1"/>
  <c r="H65" i="524"/>
  <c r="L288" i="523" s="1"/>
  <c r="F443" i="525"/>
  <c r="E65" i="524" s="1"/>
  <c r="H185" i="524"/>
  <c r="L279" i="523" s="1"/>
  <c r="F1309" i="525"/>
  <c r="E185" i="524" s="1"/>
  <c r="H325" i="524"/>
  <c r="L284" i="523" s="1"/>
  <c r="F2544" i="525"/>
  <c r="E325" i="524" s="1"/>
  <c r="G24" i="524"/>
  <c r="J442" i="523" s="1"/>
  <c r="F112" i="525"/>
  <c r="E24" i="524" s="1"/>
  <c r="K302" i="523"/>
  <c r="F301" i="525"/>
  <c r="H302" i="525"/>
  <c r="F48" i="524" s="1"/>
  <c r="H25" i="523" s="1"/>
  <c r="I25" i="523" s="1"/>
  <c r="G32" i="524"/>
  <c r="J441" i="523" s="1"/>
  <c r="F182" i="525"/>
  <c r="E32" i="524" s="1"/>
  <c r="I404" i="523"/>
  <c r="F293" i="525"/>
  <c r="H294" i="525"/>
  <c r="F47" i="524" s="1"/>
  <c r="H24" i="523" s="1"/>
  <c r="I24" i="523" s="1"/>
  <c r="F2284" i="525"/>
  <c r="E299" i="524" s="1"/>
  <c r="G299" i="524"/>
  <c r="J113" i="523" s="1"/>
  <c r="L104" i="525"/>
  <c r="F102" i="525"/>
  <c r="F393" i="525"/>
  <c r="H394" i="525"/>
  <c r="F60" i="524" s="1"/>
  <c r="H13" i="523" s="1"/>
  <c r="I13" i="523" s="1"/>
  <c r="F2224" i="525"/>
  <c r="E296" i="524" s="1"/>
  <c r="G296" i="524"/>
  <c r="J110" i="523" s="1"/>
  <c r="J965" i="525"/>
  <c r="E965" i="525"/>
  <c r="J944" i="525"/>
  <c r="E944" i="525"/>
  <c r="J951" i="525"/>
  <c r="E951" i="525"/>
  <c r="E930" i="525"/>
  <c r="J930" i="525"/>
  <c r="F425" i="525"/>
  <c r="E63" i="524" s="1"/>
  <c r="G63" i="524"/>
  <c r="J157" i="523" s="1"/>
  <c r="F345" i="525"/>
  <c r="H346" i="525"/>
  <c r="F54" i="524" s="1"/>
  <c r="H7" i="523" s="1"/>
  <c r="I7" i="523" s="1"/>
  <c r="J895" i="525"/>
  <c r="E895" i="525"/>
  <c r="C1855" i="527"/>
  <c r="E34" i="526"/>
  <c r="F413" i="525"/>
  <c r="E62" i="524" s="1"/>
  <c r="G62" i="524"/>
  <c r="J159" i="523" s="1"/>
  <c r="F401" i="525"/>
  <c r="H402" i="525"/>
  <c r="F61" i="524" s="1"/>
  <c r="H14" i="523" s="1"/>
  <c r="I14" i="523" s="1"/>
  <c r="C1355" i="527"/>
  <c r="E29" i="526"/>
  <c r="I896" i="525"/>
  <c r="I888" i="525"/>
  <c r="H1055" i="525"/>
  <c r="F1054" i="525"/>
  <c r="H123" i="524"/>
  <c r="L269" i="523" s="1"/>
  <c r="F879" i="525"/>
  <c r="E123" i="524" s="1"/>
  <c r="H193" i="524"/>
  <c r="L275" i="523" s="1"/>
  <c r="F1371" i="525"/>
  <c r="E193" i="524" s="1"/>
  <c r="K311" i="523"/>
  <c r="G311" i="523" s="1"/>
  <c r="F311" i="523"/>
  <c r="F1391" i="525"/>
  <c r="E194" i="524" s="1"/>
  <c r="G194" i="524"/>
  <c r="J33" i="523" s="1"/>
  <c r="F2524" i="525"/>
  <c r="E322" i="524" s="1"/>
  <c r="G322" i="524"/>
  <c r="J155" i="523" s="1"/>
  <c r="I347" i="523"/>
  <c r="G347" i="523" s="1"/>
  <c r="F347" i="523"/>
  <c r="F1477" i="525"/>
  <c r="E204" i="524" s="1"/>
  <c r="G204" i="524"/>
  <c r="J35" i="523" s="1"/>
  <c r="I406" i="523"/>
  <c r="J2113" i="525"/>
  <c r="F2113" i="525" s="1"/>
  <c r="E2113" i="525"/>
  <c r="I405" i="523"/>
  <c r="F253" i="525"/>
  <c r="H254" i="525"/>
  <c r="F42" i="524" s="1"/>
  <c r="H19" i="523" s="1"/>
  <c r="I19" i="523" s="1"/>
  <c r="I2142" i="525"/>
  <c r="I2132" i="525"/>
  <c r="I2122" i="525"/>
  <c r="I2112" i="525"/>
  <c r="H66" i="524"/>
  <c r="L286" i="523" s="1"/>
  <c r="F450" i="525"/>
  <c r="E66" i="524" s="1"/>
  <c r="H187" i="524"/>
  <c r="L273" i="523" s="1"/>
  <c r="F1325" i="525"/>
  <c r="E187" i="524" s="1"/>
  <c r="H319" i="524"/>
  <c r="L296" i="523" s="1"/>
  <c r="F2489" i="525"/>
  <c r="E319" i="524" s="1"/>
  <c r="F330" i="523"/>
  <c r="K330" i="523"/>
  <c r="G330" i="523" s="1"/>
  <c r="F2244" i="525"/>
  <c r="E297" i="524" s="1"/>
  <c r="G297" i="524"/>
  <c r="J111" i="523" s="1"/>
  <c r="I400" i="525"/>
  <c r="I368" i="525"/>
  <c r="I323" i="525"/>
  <c r="I308" i="525"/>
  <c r="I276" i="525"/>
  <c r="I231" i="525"/>
  <c r="I376" i="525"/>
  <c r="I344" i="525"/>
  <c r="I316" i="525"/>
  <c r="I284" i="525"/>
  <c r="I252" i="525"/>
  <c r="I224" i="525"/>
  <c r="I384" i="525"/>
  <c r="I352" i="525"/>
  <c r="I337" i="525"/>
  <c r="I292" i="525"/>
  <c r="I260" i="525"/>
  <c r="I245" i="525"/>
  <c r="I392" i="525"/>
  <c r="I360" i="525"/>
  <c r="I330" i="525"/>
  <c r="I300" i="525"/>
  <c r="I268" i="525"/>
  <c r="I238" i="525"/>
  <c r="C1905" i="527"/>
  <c r="E35" i="526"/>
  <c r="C3704" i="527"/>
  <c r="E3754" i="527"/>
  <c r="F2512" i="525"/>
  <c r="E321" i="524" s="1"/>
  <c r="G321" i="524"/>
  <c r="J154" i="523" s="1"/>
  <c r="G408" i="523"/>
  <c r="I351" i="523"/>
  <c r="G351" i="523" s="1"/>
  <c r="F351" i="523"/>
  <c r="C2105" i="527"/>
  <c r="E37" i="526"/>
  <c r="K329" i="523"/>
  <c r="G329" i="523" s="1"/>
  <c r="F329" i="523"/>
  <c r="G190" i="523"/>
  <c r="G180" i="523" s="1"/>
  <c r="D8" i="522" s="1"/>
  <c r="K180" i="523"/>
  <c r="F8" i="522" s="1"/>
  <c r="G195" i="523"/>
  <c r="H122" i="524"/>
  <c r="L268" i="523" s="1"/>
  <c r="F871" i="525"/>
  <c r="E122" i="524" s="1"/>
  <c r="H186" i="524"/>
  <c r="L272" i="523" s="1"/>
  <c r="F1317" i="525"/>
  <c r="E186" i="524" s="1"/>
  <c r="J980" i="525"/>
  <c r="E980" i="525"/>
  <c r="J972" i="525"/>
  <c r="E972" i="525"/>
  <c r="J996" i="525"/>
  <c r="E996" i="525"/>
  <c r="E958" i="525"/>
  <c r="J958" i="525"/>
  <c r="H188" i="524"/>
  <c r="L274" i="523" s="1"/>
  <c r="F1333" i="525"/>
  <c r="E188" i="524" s="1"/>
  <c r="H255" i="524"/>
  <c r="L293" i="523" s="1"/>
  <c r="F1898" i="525"/>
  <c r="E255" i="524" s="1"/>
  <c r="D41" i="424"/>
  <c r="B43" i="424"/>
  <c r="B45" i="424"/>
  <c r="B44" i="424"/>
  <c r="B23" i="424"/>
  <c r="B22" i="424"/>
  <c r="B23" i="450"/>
  <c r="B22" i="450"/>
  <c r="B23" i="451"/>
  <c r="B22" i="451"/>
  <c r="D37" i="424"/>
  <c r="B37" i="424"/>
  <c r="B30" i="451"/>
  <c r="B30" i="450"/>
  <c r="B30" i="424"/>
  <c r="B28" i="424"/>
  <c r="D22" i="424"/>
  <c r="D19" i="424"/>
  <c r="B42" i="424" s="1"/>
  <c r="B20" i="424"/>
  <c r="B19" i="424"/>
  <c r="D16" i="424"/>
  <c r="B17" i="424"/>
  <c r="B16" i="424"/>
  <c r="B25" i="424"/>
  <c r="B36" i="424"/>
  <c r="B39" i="424"/>
  <c r="B4" i="413"/>
  <c r="B11" i="413"/>
  <c r="B18" i="413"/>
  <c r="E4355" i="527" l="1"/>
  <c r="G79" i="526"/>
  <c r="J391" i="523" s="1"/>
  <c r="C4404" i="527"/>
  <c r="G84" i="526"/>
  <c r="J405" i="523" s="1"/>
  <c r="E4605" i="527"/>
  <c r="C4654" i="527"/>
  <c r="E2064" i="525"/>
  <c r="J2064" i="525"/>
  <c r="F2064" i="525" s="1"/>
  <c r="E4405" i="527"/>
  <c r="G80" i="526"/>
  <c r="J392" i="523" s="1"/>
  <c r="C4454" i="527"/>
  <c r="G85" i="526"/>
  <c r="J406" i="523" s="1"/>
  <c r="E4655" i="527"/>
  <c r="C4704" i="527"/>
  <c r="E4505" i="527"/>
  <c r="G82" i="526"/>
  <c r="J403" i="523" s="1"/>
  <c r="C4554" i="527"/>
  <c r="E4305" i="527"/>
  <c r="G78" i="526"/>
  <c r="J390" i="523" s="1"/>
  <c r="C4354" i="527"/>
  <c r="E4555" i="527"/>
  <c r="G83" i="526"/>
  <c r="J404" i="523" s="1"/>
  <c r="C4604" i="527"/>
  <c r="C7155" i="527"/>
  <c r="E135" i="526"/>
  <c r="G81" i="526"/>
  <c r="J393" i="523" s="1"/>
  <c r="E4455" i="527"/>
  <c r="C4504" i="527"/>
  <c r="J2140" i="525"/>
  <c r="F2140" i="525" s="1"/>
  <c r="E2140" i="525"/>
  <c r="J2120" i="525"/>
  <c r="F2120" i="525" s="1"/>
  <c r="E2120" i="525"/>
  <c r="E3055" i="527"/>
  <c r="G55" i="526"/>
  <c r="C3154" i="527"/>
  <c r="J384" i="525"/>
  <c r="E384" i="525"/>
  <c r="H23" i="524"/>
  <c r="L212" i="523" s="1"/>
  <c r="F104" i="525"/>
  <c r="E23" i="524" s="1"/>
  <c r="K223" i="523"/>
  <c r="G223" i="523" s="1"/>
  <c r="F223" i="523"/>
  <c r="K115" i="523"/>
  <c r="G115" i="523" s="1"/>
  <c r="F115" i="523"/>
  <c r="F996" i="525"/>
  <c r="J1001" i="525"/>
  <c r="F980" i="525"/>
  <c r="J985" i="525"/>
  <c r="K154" i="523"/>
  <c r="F154" i="523"/>
  <c r="J238" i="525"/>
  <c r="E238" i="525"/>
  <c r="J360" i="525"/>
  <c r="E360" i="525"/>
  <c r="J292" i="525"/>
  <c r="E292" i="525"/>
  <c r="J224" i="525"/>
  <c r="E224" i="525"/>
  <c r="J344" i="525"/>
  <c r="E344" i="525"/>
  <c r="E308" i="525"/>
  <c r="J308" i="525"/>
  <c r="K111" i="523"/>
  <c r="G111" i="523" s="1"/>
  <c r="F111" i="523"/>
  <c r="M296" i="523"/>
  <c r="G296" i="523" s="1"/>
  <c r="F296" i="523"/>
  <c r="M286" i="523"/>
  <c r="G286" i="523" s="1"/>
  <c r="F286" i="523"/>
  <c r="J2142" i="525"/>
  <c r="F2142" i="525" s="1"/>
  <c r="E2142" i="525"/>
  <c r="F33" i="523"/>
  <c r="K33" i="523"/>
  <c r="G33" i="523" s="1"/>
  <c r="K159" i="523"/>
  <c r="G159" i="523" s="1"/>
  <c r="F159" i="523"/>
  <c r="F157" i="523"/>
  <c r="K157" i="523"/>
  <c r="G157" i="523" s="1"/>
  <c r="K113" i="523"/>
  <c r="G113" i="523" s="1"/>
  <c r="F113" i="523"/>
  <c r="M279" i="523"/>
  <c r="G279" i="523" s="1"/>
  <c r="F279" i="523"/>
  <c r="C1755" i="527"/>
  <c r="E33" i="526"/>
  <c r="K315" i="523"/>
  <c r="G315" i="523" s="1"/>
  <c r="F315" i="523"/>
  <c r="C1555" i="527"/>
  <c r="E31" i="526"/>
  <c r="M287" i="523"/>
  <c r="G287" i="523" s="1"/>
  <c r="F287" i="523"/>
  <c r="F156" i="523"/>
  <c r="K156" i="523"/>
  <c r="G156" i="523" s="1"/>
  <c r="M291" i="523"/>
  <c r="G291" i="523" s="1"/>
  <c r="F291" i="523"/>
  <c r="J920" i="525"/>
  <c r="F916" i="525"/>
  <c r="M283" i="523"/>
  <c r="G283" i="523" s="1"/>
  <c r="F283" i="523"/>
  <c r="I373" i="523"/>
  <c r="E12" i="522" s="1"/>
  <c r="M265" i="523"/>
  <c r="F265" i="523"/>
  <c r="F112" i="523"/>
  <c r="K112" i="523"/>
  <c r="G112" i="523" s="1"/>
  <c r="F117" i="523"/>
  <c r="K117" i="523"/>
  <c r="G117" i="523" s="1"/>
  <c r="M277" i="523"/>
  <c r="G277" i="523" s="1"/>
  <c r="F277" i="523"/>
  <c r="F118" i="523"/>
  <c r="K118" i="523"/>
  <c r="G118" i="523" s="1"/>
  <c r="F1004" i="525"/>
  <c r="J1009" i="525"/>
  <c r="J913" i="525"/>
  <c r="F909" i="525"/>
  <c r="K158" i="523"/>
  <c r="G158" i="523" s="1"/>
  <c r="F158" i="523"/>
  <c r="K438" i="523"/>
  <c r="G438" i="523" s="1"/>
  <c r="F438" i="523"/>
  <c r="F238" i="523"/>
  <c r="K238" i="523"/>
  <c r="C1655" i="527"/>
  <c r="E32" i="526"/>
  <c r="M274" i="523"/>
  <c r="G274" i="523" s="1"/>
  <c r="F274" i="523"/>
  <c r="M272" i="523"/>
  <c r="G272" i="523" s="1"/>
  <c r="F272" i="523"/>
  <c r="J330" i="525"/>
  <c r="E330" i="525"/>
  <c r="J316" i="525"/>
  <c r="E316" i="525"/>
  <c r="E400" i="525"/>
  <c r="J400" i="525"/>
  <c r="E896" i="525"/>
  <c r="J896" i="525"/>
  <c r="F896" i="525" s="1"/>
  <c r="J392" i="525"/>
  <c r="E392" i="525"/>
  <c r="J337" i="525"/>
  <c r="E337" i="525"/>
  <c r="J252" i="525"/>
  <c r="E252" i="525"/>
  <c r="J376" i="525"/>
  <c r="E376" i="525"/>
  <c r="E323" i="525"/>
  <c r="J323" i="525"/>
  <c r="J2112" i="525"/>
  <c r="F2112" i="525" s="1"/>
  <c r="E2112" i="525"/>
  <c r="M275" i="523"/>
  <c r="G275" i="523" s="1"/>
  <c r="F275" i="523"/>
  <c r="F148" i="524"/>
  <c r="H303" i="523" s="1"/>
  <c r="F1055" i="525"/>
  <c r="E148" i="524" s="1"/>
  <c r="F895" i="525"/>
  <c r="F951" i="525"/>
  <c r="J955" i="525"/>
  <c r="J969" i="525"/>
  <c r="F965" i="525"/>
  <c r="K441" i="523"/>
  <c r="G441" i="523" s="1"/>
  <c r="F441" i="523"/>
  <c r="M282" i="523"/>
  <c r="G282" i="523" s="1"/>
  <c r="F282" i="523"/>
  <c r="C1455" i="527"/>
  <c r="E30" i="526"/>
  <c r="K31" i="523"/>
  <c r="G31" i="523" s="1"/>
  <c r="F31" i="523"/>
  <c r="M294" i="523"/>
  <c r="G294" i="523" s="1"/>
  <c r="F294" i="523"/>
  <c r="M276" i="523"/>
  <c r="G276" i="523" s="1"/>
  <c r="F276" i="523"/>
  <c r="J1025" i="525"/>
  <c r="F1020" i="525"/>
  <c r="K191" i="523"/>
  <c r="F9" i="522" s="1"/>
  <c r="H195" i="524"/>
  <c r="L213" i="523" s="1"/>
  <c r="F1396" i="525"/>
  <c r="E195" i="524" s="1"/>
  <c r="C7355" i="527"/>
  <c r="E139" i="526"/>
  <c r="C3405" i="527"/>
  <c r="E61" i="526"/>
  <c r="H1595" i="525"/>
  <c r="F1594" i="525"/>
  <c r="F32" i="523"/>
  <c r="K32" i="523"/>
  <c r="G32" i="523" s="1"/>
  <c r="F34" i="523"/>
  <c r="K34" i="523"/>
  <c r="G34" i="523" s="1"/>
  <c r="E5" i="527"/>
  <c r="C154" i="527"/>
  <c r="G4" i="526"/>
  <c r="M266" i="523"/>
  <c r="G266" i="523" s="1"/>
  <c r="F266" i="523"/>
  <c r="M278" i="523"/>
  <c r="G278" i="523" s="1"/>
  <c r="F278" i="523"/>
  <c r="M297" i="523"/>
  <c r="G297" i="523" s="1"/>
  <c r="F297" i="523"/>
  <c r="C7205" i="527"/>
  <c r="E136" i="526"/>
  <c r="J260" i="525"/>
  <c r="E260" i="525"/>
  <c r="E276" i="525"/>
  <c r="J276" i="525"/>
  <c r="J2132" i="525"/>
  <c r="F2132" i="525" s="1"/>
  <c r="E2132" i="525"/>
  <c r="K442" i="523"/>
  <c r="G442" i="523" s="1"/>
  <c r="F442" i="523"/>
  <c r="J906" i="525"/>
  <c r="F902" i="525"/>
  <c r="M293" i="523"/>
  <c r="G293" i="523" s="1"/>
  <c r="F293" i="523"/>
  <c r="J962" i="525"/>
  <c r="F958" i="525"/>
  <c r="M268" i="523"/>
  <c r="G268" i="523" s="1"/>
  <c r="F268" i="523"/>
  <c r="J268" i="525"/>
  <c r="E268" i="525"/>
  <c r="F972" i="525"/>
  <c r="J977" i="525"/>
  <c r="C3754" i="527"/>
  <c r="E3655" i="527"/>
  <c r="G66" i="526"/>
  <c r="I1222" i="525" s="1"/>
  <c r="J300" i="525"/>
  <c r="E300" i="525"/>
  <c r="J245" i="525"/>
  <c r="E245" i="525"/>
  <c r="J352" i="525"/>
  <c r="E352" i="525"/>
  <c r="J284" i="525"/>
  <c r="E284" i="525"/>
  <c r="E231" i="525"/>
  <c r="J231" i="525"/>
  <c r="E368" i="525"/>
  <c r="J368" i="525"/>
  <c r="M273" i="523"/>
  <c r="G273" i="523" s="1"/>
  <c r="F273" i="523"/>
  <c r="J2122" i="525"/>
  <c r="F2122" i="525" s="1"/>
  <c r="E2122" i="525"/>
  <c r="K35" i="523"/>
  <c r="G35" i="523" s="1"/>
  <c r="F35" i="523"/>
  <c r="K155" i="523"/>
  <c r="G155" i="523" s="1"/>
  <c r="F155" i="523"/>
  <c r="J888" i="525"/>
  <c r="F888" i="525" s="1"/>
  <c r="E888" i="525"/>
  <c r="I6" i="523"/>
  <c r="J934" i="525"/>
  <c r="F930" i="525"/>
  <c r="F110" i="523"/>
  <c r="K110" i="523"/>
  <c r="G110" i="523" s="1"/>
  <c r="M284" i="523"/>
  <c r="G284" i="523" s="1"/>
  <c r="F284" i="523"/>
  <c r="M288" i="523"/>
  <c r="G288" i="523" s="1"/>
  <c r="F288" i="523"/>
  <c r="K318" i="523"/>
  <c r="G318" i="523" s="1"/>
  <c r="F318" i="523"/>
  <c r="F316" i="523"/>
  <c r="K316" i="523"/>
  <c r="G316" i="523" s="1"/>
  <c r="M289" i="523"/>
  <c r="G289" i="523" s="1"/>
  <c r="F289" i="523"/>
  <c r="K439" i="523"/>
  <c r="G439" i="523" s="1"/>
  <c r="F439" i="523"/>
  <c r="F923" i="525"/>
  <c r="J927" i="525"/>
  <c r="J941" i="525"/>
  <c r="F937" i="525"/>
  <c r="M290" i="523"/>
  <c r="G290" i="523" s="1"/>
  <c r="F290" i="523"/>
  <c r="K443" i="523"/>
  <c r="G443" i="523" s="1"/>
  <c r="F443" i="523"/>
  <c r="M281" i="523"/>
  <c r="G281" i="523" s="1"/>
  <c r="F281" i="523"/>
  <c r="F436" i="523"/>
  <c r="K436" i="523"/>
  <c r="F1028" i="525"/>
  <c r="J1033" i="525"/>
  <c r="F1012" i="525"/>
  <c r="J1017" i="525"/>
  <c r="H1600" i="525"/>
  <c r="F1599" i="525"/>
  <c r="F440" i="523"/>
  <c r="K440" i="523"/>
  <c r="G440" i="523" s="1"/>
  <c r="F116" i="523"/>
  <c r="K116" i="523"/>
  <c r="G116" i="523" s="1"/>
  <c r="F114" i="523"/>
  <c r="K114" i="523"/>
  <c r="G114" i="523" s="1"/>
  <c r="M269" i="523"/>
  <c r="G269" i="523" s="1"/>
  <c r="F269" i="523"/>
  <c r="J948" i="525"/>
  <c r="F944" i="525"/>
  <c r="M295" i="523"/>
  <c r="G295" i="523" s="1"/>
  <c r="F295" i="523"/>
  <c r="M270" i="523"/>
  <c r="G270" i="523" s="1"/>
  <c r="F270" i="523"/>
  <c r="F409" i="523"/>
  <c r="K409" i="523"/>
  <c r="J2067" i="525"/>
  <c r="F2067" i="525" s="1"/>
  <c r="E2067" i="525"/>
  <c r="K437" i="523"/>
  <c r="G437" i="523" s="1"/>
  <c r="F437" i="523"/>
  <c r="F36" i="523"/>
  <c r="K36" i="523"/>
  <c r="G36" i="523" s="1"/>
  <c r="M285" i="523"/>
  <c r="G285" i="523" s="1"/>
  <c r="F285" i="523"/>
  <c r="M271" i="523"/>
  <c r="G271" i="523" s="1"/>
  <c r="F271" i="523"/>
  <c r="J993" i="525"/>
  <c r="F988" i="525"/>
  <c r="F147" i="524"/>
  <c r="H302" i="523" s="1"/>
  <c r="F1050" i="525"/>
  <c r="E147" i="524" s="1"/>
  <c r="F444" i="523"/>
  <c r="K444" i="523"/>
  <c r="G444" i="523" s="1"/>
  <c r="M292" i="523"/>
  <c r="G292" i="523" s="1"/>
  <c r="F292" i="523"/>
  <c r="M267" i="523"/>
  <c r="G267" i="523" s="1"/>
  <c r="F267" i="523"/>
  <c r="F887" i="525"/>
  <c r="M280" i="523"/>
  <c r="G280" i="523" s="1"/>
  <c r="F280" i="523"/>
  <c r="F317" i="523"/>
  <c r="K317" i="523"/>
  <c r="G317" i="523" s="1"/>
  <c r="B17" i="456"/>
  <c r="B16" i="456"/>
  <c r="B13" i="456"/>
  <c r="B7" i="456"/>
  <c r="B4" i="456"/>
  <c r="F27" i="456"/>
  <c r="B27" i="456"/>
  <c r="B22" i="456"/>
  <c r="D22" i="456" s="1"/>
  <c r="B26" i="456" s="1"/>
  <c r="B20" i="456"/>
  <c r="D10" i="456"/>
  <c r="B10" i="456"/>
  <c r="B17" i="436"/>
  <c r="B17" i="429"/>
  <c r="B17" i="455"/>
  <c r="B17" i="430"/>
  <c r="B16" i="455"/>
  <c r="B13" i="455"/>
  <c r="B7" i="455"/>
  <c r="B4" i="455"/>
  <c r="F27" i="455"/>
  <c r="B27" i="455"/>
  <c r="B22" i="455"/>
  <c r="D22" i="455" s="1"/>
  <c r="B20" i="455"/>
  <c r="D10" i="455"/>
  <c r="B10" i="455"/>
  <c r="B23" i="454"/>
  <c r="B13" i="454"/>
  <c r="B11" i="454"/>
  <c r="B10" i="454"/>
  <c r="B4" i="454"/>
  <c r="D22" i="454"/>
  <c r="F20" i="454"/>
  <c r="B20" i="454"/>
  <c r="F19" i="454"/>
  <c r="B19" i="454"/>
  <c r="F17" i="454"/>
  <c r="B17" i="454"/>
  <c r="F16" i="454"/>
  <c r="B16" i="454"/>
  <c r="F13" i="454"/>
  <c r="F11" i="454"/>
  <c r="F10" i="454"/>
  <c r="D7" i="454"/>
  <c r="C4455" i="527" l="1"/>
  <c r="E81" i="526"/>
  <c r="K403" i="523"/>
  <c r="G403" i="523" s="1"/>
  <c r="F403" i="523"/>
  <c r="K405" i="523"/>
  <c r="G405" i="523" s="1"/>
  <c r="F405" i="523"/>
  <c r="E83" i="526"/>
  <c r="C4555" i="527"/>
  <c r="K393" i="523"/>
  <c r="G393" i="523" s="1"/>
  <c r="F393" i="523"/>
  <c r="K404" i="523"/>
  <c r="G404" i="523" s="1"/>
  <c r="F404" i="523"/>
  <c r="C4405" i="527"/>
  <c r="E80" i="526"/>
  <c r="C4605" i="527"/>
  <c r="E84" i="526"/>
  <c r="K391" i="523"/>
  <c r="G391" i="523" s="1"/>
  <c r="F391" i="523"/>
  <c r="E78" i="526"/>
  <c r="C4305" i="527"/>
  <c r="K390" i="523"/>
  <c r="F390" i="523"/>
  <c r="K406" i="523"/>
  <c r="G406" i="523" s="1"/>
  <c r="F406" i="523"/>
  <c r="E79" i="526"/>
  <c r="C4355" i="527"/>
  <c r="C4505" i="527"/>
  <c r="E82" i="526"/>
  <c r="E85" i="526"/>
  <c r="C4655" i="527"/>
  <c r="K392" i="523"/>
  <c r="G392" i="523" s="1"/>
  <c r="F392" i="523"/>
  <c r="C3055" i="527"/>
  <c r="E55" i="526"/>
  <c r="I897" i="525"/>
  <c r="I889" i="525"/>
  <c r="F941" i="525"/>
  <c r="E132" i="524" s="1"/>
  <c r="G132" i="524"/>
  <c r="J135" i="523" s="1"/>
  <c r="E5" i="522"/>
  <c r="F284" i="525"/>
  <c r="J286" i="525"/>
  <c r="F245" i="525"/>
  <c r="J246" i="525"/>
  <c r="C5" i="527"/>
  <c r="E4" i="526"/>
  <c r="F955" i="525"/>
  <c r="E134" i="524" s="1"/>
  <c r="G134" i="524"/>
  <c r="J136" i="523" s="1"/>
  <c r="F913" i="525"/>
  <c r="E128" i="524" s="1"/>
  <c r="G128" i="524"/>
  <c r="J133" i="523" s="1"/>
  <c r="M237" i="523"/>
  <c r="G10" i="522" s="1"/>
  <c r="G265" i="523"/>
  <c r="F344" i="525"/>
  <c r="J346" i="525"/>
  <c r="F292" i="525"/>
  <c r="J294" i="525"/>
  <c r="F238" i="525"/>
  <c r="J239" i="525"/>
  <c r="M212" i="523"/>
  <c r="G212" i="523" s="1"/>
  <c r="F212" i="523"/>
  <c r="G409" i="523"/>
  <c r="G407" i="523" s="1"/>
  <c r="D13" i="522" s="1"/>
  <c r="K407" i="523"/>
  <c r="F13" i="522" s="1"/>
  <c r="F1033" i="525"/>
  <c r="E144" i="524" s="1"/>
  <c r="G144" i="524"/>
  <c r="J132" i="523" s="1"/>
  <c r="F927" i="525"/>
  <c r="E130" i="524" s="1"/>
  <c r="G130" i="524"/>
  <c r="J134" i="523" s="1"/>
  <c r="F231" i="525"/>
  <c r="J232" i="525"/>
  <c r="C3655" i="527"/>
  <c r="E66" i="526"/>
  <c r="F268" i="525"/>
  <c r="J270" i="525"/>
  <c r="F962" i="525"/>
  <c r="E135" i="524" s="1"/>
  <c r="G135" i="524"/>
  <c r="J119" i="523" s="1"/>
  <c r="F906" i="525"/>
  <c r="E127" i="524" s="1"/>
  <c r="G127" i="524"/>
  <c r="J121" i="523" s="1"/>
  <c r="F260" i="525"/>
  <c r="J262" i="525"/>
  <c r="F219" i="524"/>
  <c r="H331" i="523" s="1"/>
  <c r="F1595" i="525"/>
  <c r="E219" i="524" s="1"/>
  <c r="I303" i="523"/>
  <c r="G303" i="523" s="1"/>
  <c r="F303" i="523"/>
  <c r="F376" i="525"/>
  <c r="J378" i="525"/>
  <c r="F337" i="525"/>
  <c r="J338" i="525"/>
  <c r="F316" i="525"/>
  <c r="J317" i="525"/>
  <c r="F1009" i="525"/>
  <c r="E141" i="524" s="1"/>
  <c r="G141" i="524"/>
  <c r="J129" i="523" s="1"/>
  <c r="F920" i="525"/>
  <c r="E129" i="524" s="1"/>
  <c r="G129" i="524"/>
  <c r="J122" i="523" s="1"/>
  <c r="F308" i="525"/>
  <c r="J310" i="525"/>
  <c r="F1001" i="525"/>
  <c r="E140" i="524" s="1"/>
  <c r="G140" i="524"/>
  <c r="J128" i="523" s="1"/>
  <c r="F993" i="525"/>
  <c r="E139" i="524" s="1"/>
  <c r="G139" i="524"/>
  <c r="J127" i="523" s="1"/>
  <c r="J2070" i="525"/>
  <c r="F220" i="524"/>
  <c r="H332" i="523" s="1"/>
  <c r="F1600" i="525"/>
  <c r="E220" i="524" s="1"/>
  <c r="F352" i="525"/>
  <c r="J354" i="525"/>
  <c r="F300" i="525"/>
  <c r="J302" i="525"/>
  <c r="F977" i="525"/>
  <c r="E137" i="524" s="1"/>
  <c r="G137" i="524"/>
  <c r="J125" i="523" s="1"/>
  <c r="F276" i="525"/>
  <c r="J278" i="525"/>
  <c r="K301" i="523"/>
  <c r="F11" i="522" s="1"/>
  <c r="F323" i="525"/>
  <c r="J324" i="525"/>
  <c r="F400" i="525"/>
  <c r="J402" i="525"/>
  <c r="G238" i="523"/>
  <c r="K237" i="523"/>
  <c r="F10" i="522" s="1"/>
  <c r="F224" i="525"/>
  <c r="J225" i="525"/>
  <c r="F360" i="525"/>
  <c r="J362" i="525"/>
  <c r="G154" i="523"/>
  <c r="G153" i="523" s="1"/>
  <c r="D6" i="522" s="1"/>
  <c r="K153" i="523"/>
  <c r="F6" i="522" s="1"/>
  <c r="F384" i="525"/>
  <c r="J386" i="525"/>
  <c r="I302" i="523"/>
  <c r="F302" i="523"/>
  <c r="F948" i="525"/>
  <c r="E133" i="524" s="1"/>
  <c r="G133" i="524"/>
  <c r="J124" i="523" s="1"/>
  <c r="F1017" i="525"/>
  <c r="E142" i="524" s="1"/>
  <c r="G142" i="524"/>
  <c r="J130" i="523" s="1"/>
  <c r="G436" i="523"/>
  <c r="G435" i="523" s="1"/>
  <c r="D14" i="522" s="1"/>
  <c r="K435" i="523"/>
  <c r="F14" i="522" s="1"/>
  <c r="F934" i="525"/>
  <c r="E131" i="524" s="1"/>
  <c r="G131" i="524"/>
  <c r="J123" i="523" s="1"/>
  <c r="F368" i="525"/>
  <c r="J370" i="525"/>
  <c r="J1222" i="525"/>
  <c r="E1222" i="525"/>
  <c r="I2129" i="525"/>
  <c r="I2121" i="525"/>
  <c r="I2111" i="525"/>
  <c r="I2141" i="525"/>
  <c r="M213" i="523"/>
  <c r="F213" i="523"/>
  <c r="F1025" i="525"/>
  <c r="E143" i="524" s="1"/>
  <c r="G143" i="524"/>
  <c r="J131" i="523" s="1"/>
  <c r="F969" i="525"/>
  <c r="E136" i="524" s="1"/>
  <c r="G136" i="524"/>
  <c r="J120" i="523" s="1"/>
  <c r="F252" i="525"/>
  <c r="J254" i="525"/>
  <c r="F392" i="525"/>
  <c r="J394" i="525"/>
  <c r="F330" i="525"/>
  <c r="J331" i="525"/>
  <c r="F985" i="525"/>
  <c r="E138" i="524" s="1"/>
  <c r="G138" i="524"/>
  <c r="J126" i="523" s="1"/>
  <c r="D25" i="456"/>
  <c r="B28" i="456"/>
  <c r="B28" i="455"/>
  <c r="D25" i="455"/>
  <c r="B26" i="455"/>
  <c r="G237" i="523" l="1"/>
  <c r="D10" i="522" s="1"/>
  <c r="K373" i="523"/>
  <c r="F12" i="522" s="1"/>
  <c r="G390" i="523"/>
  <c r="G373" i="523" s="1"/>
  <c r="D12" i="522" s="1"/>
  <c r="J889" i="525"/>
  <c r="E889" i="525"/>
  <c r="J897" i="525"/>
  <c r="E897" i="525"/>
  <c r="G42" i="524"/>
  <c r="J19" i="523" s="1"/>
  <c r="F254" i="525"/>
  <c r="E42" i="524" s="1"/>
  <c r="J2141" i="525"/>
  <c r="E2141" i="525"/>
  <c r="K130" i="523"/>
  <c r="G130" i="523" s="1"/>
  <c r="F130" i="523"/>
  <c r="E2111" i="525"/>
  <c r="J2111" i="525"/>
  <c r="I332" i="523"/>
  <c r="G332" i="523" s="1"/>
  <c r="F332" i="523"/>
  <c r="F128" i="523"/>
  <c r="K128" i="523"/>
  <c r="G128" i="523" s="1"/>
  <c r="F122" i="523"/>
  <c r="K122" i="523"/>
  <c r="G122" i="523" s="1"/>
  <c r="F270" i="525"/>
  <c r="E44" i="524" s="1"/>
  <c r="G44" i="524"/>
  <c r="J21" i="523" s="1"/>
  <c r="G47" i="524"/>
  <c r="J24" i="523" s="1"/>
  <c r="F294" i="525"/>
  <c r="E47" i="524" s="1"/>
  <c r="F136" i="523"/>
  <c r="K136" i="523"/>
  <c r="G136" i="523" s="1"/>
  <c r="F246" i="525"/>
  <c r="E41" i="524" s="1"/>
  <c r="G41" i="524"/>
  <c r="J30" i="523" s="1"/>
  <c r="F317" i="525"/>
  <c r="E50" i="524" s="1"/>
  <c r="G50" i="524"/>
  <c r="J15" i="523" s="1"/>
  <c r="G39" i="524"/>
  <c r="J28" i="523" s="1"/>
  <c r="F232" i="525"/>
  <c r="E39" i="524" s="1"/>
  <c r="F132" i="523"/>
  <c r="K132" i="523"/>
  <c r="G132" i="523" s="1"/>
  <c r="F126" i="523"/>
  <c r="K126" i="523"/>
  <c r="G126" i="523" s="1"/>
  <c r="F394" i="525"/>
  <c r="E60" i="524" s="1"/>
  <c r="G60" i="524"/>
  <c r="J13" i="523" s="1"/>
  <c r="F120" i="523"/>
  <c r="K120" i="523"/>
  <c r="G120" i="523" s="1"/>
  <c r="E2121" i="525"/>
  <c r="J2121" i="525"/>
  <c r="F370" i="525"/>
  <c r="E57" i="524" s="1"/>
  <c r="G57" i="524"/>
  <c r="J10" i="523" s="1"/>
  <c r="F124" i="523"/>
  <c r="K124" i="523"/>
  <c r="G124" i="523" s="1"/>
  <c r="F225" i="525"/>
  <c r="E38" i="524" s="1"/>
  <c r="G38" i="524"/>
  <c r="J27" i="523" s="1"/>
  <c r="F402" i="525"/>
  <c r="E61" i="524" s="1"/>
  <c r="G61" i="524"/>
  <c r="J14" i="523" s="1"/>
  <c r="K125" i="523"/>
  <c r="G125" i="523" s="1"/>
  <c r="F125" i="523"/>
  <c r="G55" i="524"/>
  <c r="J8" i="523" s="1"/>
  <c r="F354" i="525"/>
  <c r="E55" i="524" s="1"/>
  <c r="F2070" i="525"/>
  <c r="E281" i="524" s="1"/>
  <c r="G281" i="524"/>
  <c r="J137" i="523" s="1"/>
  <c r="I331" i="523"/>
  <c r="G331" i="523" s="1"/>
  <c r="F331" i="523"/>
  <c r="K131" i="523"/>
  <c r="G131" i="523" s="1"/>
  <c r="F131" i="523"/>
  <c r="J1226" i="525"/>
  <c r="F1222" i="525"/>
  <c r="I301" i="523"/>
  <c r="G302" i="523"/>
  <c r="G58" i="524"/>
  <c r="J11" i="523" s="1"/>
  <c r="F378" i="525"/>
  <c r="E58" i="524" s="1"/>
  <c r="K121" i="523"/>
  <c r="G121" i="523" s="1"/>
  <c r="F121" i="523"/>
  <c r="M191" i="523"/>
  <c r="G213" i="523"/>
  <c r="G191" i="523" s="1"/>
  <c r="D9" i="522" s="1"/>
  <c r="E2129" i="525"/>
  <c r="J2129" i="525"/>
  <c r="K127" i="523"/>
  <c r="G127" i="523" s="1"/>
  <c r="F127" i="523"/>
  <c r="F310" i="525"/>
  <c r="E49" i="524" s="1"/>
  <c r="G49" i="524"/>
  <c r="J26" i="523" s="1"/>
  <c r="F129" i="523"/>
  <c r="K129" i="523"/>
  <c r="G129" i="523" s="1"/>
  <c r="F338" i="525"/>
  <c r="E53" i="524" s="1"/>
  <c r="G53" i="524"/>
  <c r="J18" i="523" s="1"/>
  <c r="G43" i="524"/>
  <c r="J20" i="523" s="1"/>
  <c r="F262" i="525"/>
  <c r="E43" i="524" s="1"/>
  <c r="K119" i="523"/>
  <c r="G119" i="523" s="1"/>
  <c r="F119" i="523"/>
  <c r="K134" i="523"/>
  <c r="G134" i="523" s="1"/>
  <c r="F134" i="523"/>
  <c r="G40" i="524"/>
  <c r="J29" i="523" s="1"/>
  <c r="F239" i="525"/>
  <c r="E40" i="524" s="1"/>
  <c r="G54" i="524"/>
  <c r="J7" i="523" s="1"/>
  <c r="F346" i="525"/>
  <c r="E54" i="524" s="1"/>
  <c r="K133" i="523"/>
  <c r="G133" i="523" s="1"/>
  <c r="F133" i="523"/>
  <c r="G46" i="524"/>
  <c r="J23" i="523" s="1"/>
  <c r="F286" i="525"/>
  <c r="E46" i="524" s="1"/>
  <c r="K135" i="523"/>
  <c r="G135" i="523" s="1"/>
  <c r="F135" i="523"/>
  <c r="G52" i="524"/>
  <c r="J17" i="523" s="1"/>
  <c r="F331" i="525"/>
  <c r="E52" i="524" s="1"/>
  <c r="K123" i="523"/>
  <c r="G123" i="523" s="1"/>
  <c r="F123" i="523"/>
  <c r="G59" i="524"/>
  <c r="J12" i="523" s="1"/>
  <c r="F386" i="525"/>
  <c r="E59" i="524" s="1"/>
  <c r="F362" i="525"/>
  <c r="E56" i="524" s="1"/>
  <c r="G56" i="524"/>
  <c r="J9" i="523" s="1"/>
  <c r="G51" i="524"/>
  <c r="J16" i="523" s="1"/>
  <c r="F324" i="525"/>
  <c r="E51" i="524" s="1"/>
  <c r="F278" i="525"/>
  <c r="E45" i="524" s="1"/>
  <c r="G45" i="524"/>
  <c r="J22" i="523" s="1"/>
  <c r="F302" i="525"/>
  <c r="E48" i="524" s="1"/>
  <c r="G48" i="524"/>
  <c r="J25" i="523" s="1"/>
  <c r="B36" i="453"/>
  <c r="B35" i="453"/>
  <c r="B34" i="453"/>
  <c r="D33" i="453"/>
  <c r="B30" i="453"/>
  <c r="B29" i="453"/>
  <c r="B28" i="453"/>
  <c r="D27" i="453"/>
  <c r="B24" i="453"/>
  <c r="B23" i="453"/>
  <c r="D22" i="453"/>
  <c r="B18" i="453"/>
  <c r="B17" i="453"/>
  <c r="D16" i="453"/>
  <c r="B13" i="453"/>
  <c r="B12" i="453"/>
  <c r="L11" i="453"/>
  <c r="B11" i="453"/>
  <c r="L10" i="453"/>
  <c r="L9" i="453"/>
  <c r="B9" i="453"/>
  <c r="L7" i="453"/>
  <c r="G7" i="453"/>
  <c r="B7" i="453"/>
  <c r="G6" i="453"/>
  <c r="B6" i="453"/>
  <c r="L5" i="453"/>
  <c r="G5" i="453"/>
  <c r="B5" i="453"/>
  <c r="L4" i="453"/>
  <c r="G4" i="453"/>
  <c r="B4" i="453"/>
  <c r="D3" i="453"/>
  <c r="B35" i="452"/>
  <c r="D34" i="452"/>
  <c r="B34" i="452"/>
  <c r="B32" i="452"/>
  <c r="B30" i="452"/>
  <c r="D29" i="452"/>
  <c r="B29" i="452"/>
  <c r="D17" i="452"/>
  <c r="B14" i="452"/>
  <c r="B10" i="452"/>
  <c r="D8" i="452"/>
  <c r="B6" i="452"/>
  <c r="B4" i="452"/>
  <c r="B48" i="437"/>
  <c r="B46" i="437"/>
  <c r="D45" i="437"/>
  <c r="B42" i="437"/>
  <c r="B39" i="437"/>
  <c r="D37" i="437"/>
  <c r="B36" i="437"/>
  <c r="B33" i="437"/>
  <c r="B29" i="437"/>
  <c r="D28" i="437"/>
  <c r="D30" i="437" s="1"/>
  <c r="B47" i="437" s="1"/>
  <c r="B25" i="437"/>
  <c r="B23" i="437"/>
  <c r="D22" i="437"/>
  <c r="B22" i="437"/>
  <c r="B21" i="437"/>
  <c r="B19" i="437"/>
  <c r="B17" i="437"/>
  <c r="B16" i="437"/>
  <c r="B14" i="437"/>
  <c r="B12" i="437"/>
  <c r="D10" i="437"/>
  <c r="B7" i="437"/>
  <c r="B4" i="437"/>
  <c r="B45" i="451"/>
  <c r="B44" i="451"/>
  <c r="B43" i="451"/>
  <c r="B39" i="451"/>
  <c r="D37" i="451"/>
  <c r="B37" i="451"/>
  <c r="B36" i="451"/>
  <c r="B28" i="451"/>
  <c r="B25" i="451"/>
  <c r="D22" i="451"/>
  <c r="B20" i="451"/>
  <c r="D19" i="451"/>
  <c r="D41" i="451" s="1"/>
  <c r="B19" i="451"/>
  <c r="B17" i="451"/>
  <c r="D16" i="451"/>
  <c r="B16" i="451"/>
  <c r="B14" i="451"/>
  <c r="B12" i="451"/>
  <c r="B7" i="451"/>
  <c r="B5" i="451"/>
  <c r="D4" i="451"/>
  <c r="D10" i="451" s="1"/>
  <c r="B4" i="451"/>
  <c r="B45" i="450"/>
  <c r="B44" i="450"/>
  <c r="B43" i="450"/>
  <c r="B39" i="450"/>
  <c r="D37" i="450"/>
  <c r="B37" i="450"/>
  <c r="B36" i="450"/>
  <c r="B28" i="450"/>
  <c r="B25" i="450"/>
  <c r="D22" i="450"/>
  <c r="B20" i="450"/>
  <c r="D19" i="450"/>
  <c r="D41" i="450" s="1"/>
  <c r="B19" i="450"/>
  <c r="B17" i="450"/>
  <c r="D16" i="450"/>
  <c r="B16" i="450"/>
  <c r="B14" i="450"/>
  <c r="B12" i="450"/>
  <c r="B7" i="450"/>
  <c r="B5" i="450"/>
  <c r="D4" i="450"/>
  <c r="D10" i="450" s="1"/>
  <c r="B4" i="450"/>
  <c r="B34" i="449"/>
  <c r="B33" i="449"/>
  <c r="D31" i="449"/>
  <c r="D23" i="449"/>
  <c r="B23" i="449"/>
  <c r="B21" i="449"/>
  <c r="B20" i="449"/>
  <c r="B16" i="449"/>
  <c r="B13" i="449"/>
  <c r="D10" i="449"/>
  <c r="B7" i="449"/>
  <c r="B57" i="448"/>
  <c r="B55" i="448"/>
  <c r="B54" i="448"/>
  <c r="B50" i="448"/>
  <c r="B47" i="448"/>
  <c r="D44" i="448"/>
  <c r="B44" i="448"/>
  <c r="B42" i="448"/>
  <c r="B41" i="448"/>
  <c r="B34" i="448"/>
  <c r="B26" i="448"/>
  <c r="B25" i="448"/>
  <c r="B19" i="448"/>
  <c r="B42" i="450" l="1"/>
  <c r="B42" i="451"/>
  <c r="F897" i="525"/>
  <c r="J899" i="525"/>
  <c r="F889" i="525"/>
  <c r="J891" i="525"/>
  <c r="K27" i="523"/>
  <c r="G27" i="523" s="1"/>
  <c r="F27" i="523"/>
  <c r="F2121" i="525"/>
  <c r="J2124" i="525"/>
  <c r="K13" i="523"/>
  <c r="G13" i="523" s="1"/>
  <c r="F13" i="523"/>
  <c r="K15" i="523"/>
  <c r="G15" i="523" s="1"/>
  <c r="F15" i="523"/>
  <c r="K21" i="523"/>
  <c r="G21" i="523" s="1"/>
  <c r="F21" i="523"/>
  <c r="F2111" i="525"/>
  <c r="J2114" i="525"/>
  <c r="F16" i="523"/>
  <c r="K16" i="523"/>
  <c r="G16" i="523" s="1"/>
  <c r="F12" i="523"/>
  <c r="K12" i="523"/>
  <c r="G12" i="523" s="1"/>
  <c r="K17" i="523"/>
  <c r="G17" i="523" s="1"/>
  <c r="F17" i="523"/>
  <c r="K23" i="523"/>
  <c r="G23" i="523" s="1"/>
  <c r="F23" i="523"/>
  <c r="K7" i="523"/>
  <c r="F7" i="523"/>
  <c r="F20" i="523"/>
  <c r="K20" i="523"/>
  <c r="G20" i="523" s="1"/>
  <c r="G9" i="522"/>
  <c r="M5" i="523"/>
  <c r="K11" i="523"/>
  <c r="G11" i="523" s="1"/>
  <c r="F11" i="523"/>
  <c r="F1226" i="525"/>
  <c r="E171" i="524" s="1"/>
  <c r="G171" i="524"/>
  <c r="J148" i="523" s="1"/>
  <c r="F8" i="523"/>
  <c r="K8" i="523"/>
  <c r="G8" i="523" s="1"/>
  <c r="F2141" i="525"/>
  <c r="J2147" i="525"/>
  <c r="F22" i="523"/>
  <c r="K22" i="523"/>
  <c r="G22" i="523" s="1"/>
  <c r="K9" i="523"/>
  <c r="G9" i="523" s="1"/>
  <c r="F9" i="523"/>
  <c r="F18" i="523"/>
  <c r="K18" i="523"/>
  <c r="G18" i="523" s="1"/>
  <c r="K26" i="523"/>
  <c r="G26" i="523" s="1"/>
  <c r="F26" i="523"/>
  <c r="F2129" i="525"/>
  <c r="J2134" i="525"/>
  <c r="G301" i="523"/>
  <c r="D11" i="522" s="1"/>
  <c r="K137" i="523"/>
  <c r="G137" i="523" s="1"/>
  <c r="F137" i="523"/>
  <c r="F14" i="523"/>
  <c r="K14" i="523"/>
  <c r="G14" i="523" s="1"/>
  <c r="F10" i="523"/>
  <c r="K10" i="523"/>
  <c r="G10" i="523" s="1"/>
  <c r="K30" i="523"/>
  <c r="G30" i="523" s="1"/>
  <c r="F30" i="523"/>
  <c r="F25" i="523"/>
  <c r="K25" i="523"/>
  <c r="G25" i="523" s="1"/>
  <c r="F29" i="523"/>
  <c r="K29" i="523"/>
  <c r="G29" i="523" s="1"/>
  <c r="E11" i="522"/>
  <c r="I5" i="523"/>
  <c r="F28" i="523"/>
  <c r="K28" i="523"/>
  <c r="G28" i="523" s="1"/>
  <c r="F24" i="523"/>
  <c r="K24" i="523"/>
  <c r="G24" i="523" s="1"/>
  <c r="K19" i="523"/>
  <c r="G19" i="523" s="1"/>
  <c r="F19" i="523"/>
  <c r="D31" i="437"/>
  <c r="F891" i="525" l="1"/>
  <c r="E125" i="524" s="1"/>
  <c r="G125" i="524"/>
  <c r="J150" i="523" s="1"/>
  <c r="F899" i="525"/>
  <c r="E126" i="524" s="1"/>
  <c r="G126" i="524"/>
  <c r="J151" i="523" s="1"/>
  <c r="M482" i="523"/>
  <c r="G17" i="522" s="1"/>
  <c r="D12" i="521" s="1"/>
  <c r="G4" i="522"/>
  <c r="G7" i="523"/>
  <c r="F2147" i="525"/>
  <c r="E292" i="524" s="1"/>
  <c r="G292" i="524"/>
  <c r="J139" i="523" s="1"/>
  <c r="F148" i="523"/>
  <c r="K148" i="523"/>
  <c r="G148" i="523" s="1"/>
  <c r="F2134" i="525"/>
  <c r="E291" i="524" s="1"/>
  <c r="G291" i="524"/>
  <c r="J141" i="523" s="1"/>
  <c r="F2114" i="525"/>
  <c r="E289" i="524" s="1"/>
  <c r="G289" i="524"/>
  <c r="J140" i="523" s="1"/>
  <c r="F2124" i="525"/>
  <c r="E290" i="524" s="1"/>
  <c r="G290" i="524"/>
  <c r="J138" i="523" s="1"/>
  <c r="E4" i="522"/>
  <c r="I482" i="523"/>
  <c r="E17" i="522" s="1"/>
  <c r="B21" i="447"/>
  <c r="B19" i="447"/>
  <c r="B13" i="447"/>
  <c r="B7" i="447"/>
  <c r="K150" i="523" l="1"/>
  <c r="G150" i="523" s="1"/>
  <c r="F150" i="523"/>
  <c r="F151" i="523"/>
  <c r="K151" i="523"/>
  <c r="G151" i="523" s="1"/>
  <c r="D23" i="522"/>
  <c r="D17" i="521" s="1"/>
  <c r="J21" i="522"/>
  <c r="D18" i="522"/>
  <c r="D10" i="521" s="1"/>
  <c r="D9" i="521"/>
  <c r="D21" i="522"/>
  <c r="J24" i="522"/>
  <c r="J23" i="522"/>
  <c r="F140" i="523"/>
  <c r="K140" i="523"/>
  <c r="G140" i="523" s="1"/>
  <c r="K138" i="523"/>
  <c r="F138" i="523"/>
  <c r="F141" i="523"/>
  <c r="K141" i="523"/>
  <c r="G141" i="523" s="1"/>
  <c r="K139" i="523"/>
  <c r="G139" i="523" s="1"/>
  <c r="F139" i="523"/>
  <c r="F20" i="441"/>
  <c r="F19" i="441"/>
  <c r="F17" i="441"/>
  <c r="F16" i="441"/>
  <c r="F13" i="441"/>
  <c r="F11" i="441"/>
  <c r="F10" i="441"/>
  <c r="B19" i="409"/>
  <c r="B28" i="409"/>
  <c r="B29" i="409"/>
  <c r="B34" i="409"/>
  <c r="B38" i="409"/>
  <c r="B41" i="409"/>
  <c r="B42" i="409"/>
  <c r="B44" i="409"/>
  <c r="D44" i="409"/>
  <c r="B47" i="409"/>
  <c r="B48" i="409"/>
  <c r="D50" i="409"/>
  <c r="B52" i="409"/>
  <c r="B53" i="409"/>
  <c r="B54" i="409"/>
  <c r="F27" i="409"/>
  <c r="B23" i="442"/>
  <c r="D22" i="442"/>
  <c r="B20" i="442"/>
  <c r="B19" i="442"/>
  <c r="B17" i="442"/>
  <c r="B16" i="442"/>
  <c r="B13" i="442"/>
  <c r="B11" i="442"/>
  <c r="B10" i="442"/>
  <c r="B23" i="428"/>
  <c r="D22" i="428"/>
  <c r="B20" i="428"/>
  <c r="B19" i="428"/>
  <c r="B17" i="428"/>
  <c r="B16" i="428"/>
  <c r="B13" i="428"/>
  <c r="B11" i="428"/>
  <c r="B10" i="428"/>
  <c r="B23" i="441"/>
  <c r="D22" i="441"/>
  <c r="B20" i="441"/>
  <c r="B19" i="441"/>
  <c r="B17" i="441"/>
  <c r="B16" i="441"/>
  <c r="B13" i="441"/>
  <c r="B11" i="441"/>
  <c r="B10" i="441"/>
  <c r="D22" i="411"/>
  <c r="B23" i="411"/>
  <c r="B20" i="411"/>
  <c r="B19" i="411"/>
  <c r="B13" i="411"/>
  <c r="B11" i="411"/>
  <c r="B10" i="411"/>
  <c r="A14" i="406"/>
  <c r="B24" i="446"/>
  <c r="B13" i="446"/>
  <c r="B10" i="446"/>
  <c r="D7" i="446"/>
  <c r="B4" i="446"/>
  <c r="B23" i="446"/>
  <c r="D22" i="446"/>
  <c r="B19" i="446"/>
  <c r="B17" i="446"/>
  <c r="B16" i="446"/>
  <c r="B49" i="407"/>
  <c r="B37" i="407"/>
  <c r="B33" i="407"/>
  <c r="B20" i="407"/>
  <c r="B29" i="407"/>
  <c r="B30" i="407"/>
  <c r="B26" i="407"/>
  <c r="B24" i="407"/>
  <c r="B22" i="407"/>
  <c r="D31" i="407"/>
  <c r="D35" i="407" s="1"/>
  <c r="B47" i="407"/>
  <c r="B44" i="407"/>
  <c r="B43" i="407"/>
  <c r="B42" i="407"/>
  <c r="D45" i="407"/>
  <c r="D14" i="407"/>
  <c r="D16" i="407"/>
  <c r="B13" i="407"/>
  <c r="B12" i="407"/>
  <c r="B11" i="407"/>
  <c r="B8" i="407"/>
  <c r="B6" i="407"/>
  <c r="B4" i="407"/>
  <c r="B16" i="429"/>
  <c r="B13" i="429"/>
  <c r="B7" i="429"/>
  <c r="B4" i="429"/>
  <c r="F27" i="429"/>
  <c r="B27" i="429"/>
  <c r="F27" i="436"/>
  <c r="B27" i="436"/>
  <c r="B27" i="430"/>
  <c r="F27" i="430"/>
  <c r="B22" i="429"/>
  <c r="D22" i="429" s="1"/>
  <c r="B20" i="429"/>
  <c r="D10" i="429"/>
  <c r="B10" i="429"/>
  <c r="B20" i="430"/>
  <c r="B16" i="430"/>
  <c r="B13" i="430"/>
  <c r="B7" i="430"/>
  <c r="B4" i="430"/>
  <c r="B22" i="430"/>
  <c r="D22" i="430" s="1"/>
  <c r="D10" i="430"/>
  <c r="B10" i="430"/>
  <c r="B16" i="436"/>
  <c r="B13" i="436"/>
  <c r="B7" i="436"/>
  <c r="B4" i="436"/>
  <c r="B22" i="436"/>
  <c r="D22" i="436"/>
  <c r="B26" i="436" s="1"/>
  <c r="B20" i="436"/>
  <c r="D10" i="436"/>
  <c r="B10" i="436"/>
  <c r="B14" i="424"/>
  <c r="B12" i="424"/>
  <c r="D10" i="424"/>
  <c r="B7" i="424"/>
  <c r="B4" i="424"/>
  <c r="B24" i="443"/>
  <c r="B13" i="443"/>
  <c r="B10" i="443"/>
  <c r="B4" i="443"/>
  <c r="B23" i="443"/>
  <c r="D22" i="443"/>
  <c r="B19" i="443"/>
  <c r="B17" i="443"/>
  <c r="B16" i="443"/>
  <c r="B4" i="408"/>
  <c r="B4" i="442"/>
  <c r="B4" i="441"/>
  <c r="D7" i="442"/>
  <c r="D7" i="441"/>
  <c r="A12" i="406"/>
  <c r="A10" i="406"/>
  <c r="A8" i="406"/>
  <c r="B21" i="425"/>
  <c r="B85" i="425"/>
  <c r="B67" i="425"/>
  <c r="B86" i="425"/>
  <c r="B83" i="425"/>
  <c r="B82" i="425"/>
  <c r="D68" i="425"/>
  <c r="B66" i="425"/>
  <c r="B65" i="425"/>
  <c r="B71" i="425"/>
  <c r="B80" i="425"/>
  <c r="B79" i="425"/>
  <c r="D18" i="425"/>
  <c r="D13" i="425"/>
  <c r="D77" i="425"/>
  <c r="B76" i="425"/>
  <c r="B75" i="425"/>
  <c r="B74" i="425"/>
  <c r="B72" i="425"/>
  <c r="D63" i="425"/>
  <c r="D64" i="425" s="1"/>
  <c r="B62" i="425"/>
  <c r="B61" i="425"/>
  <c r="B60" i="425"/>
  <c r="D36" i="425"/>
  <c r="B14" i="425"/>
  <c r="B15" i="425"/>
  <c r="B16" i="425"/>
  <c r="B17" i="425"/>
  <c r="B11" i="425"/>
  <c r="B12" i="425"/>
  <c r="B10" i="425"/>
  <c r="B3" i="425"/>
  <c r="D8" i="425"/>
  <c r="D9" i="425" s="1"/>
  <c r="B7" i="425"/>
  <c r="B6" i="425"/>
  <c r="B5" i="425"/>
  <c r="B4" i="425"/>
  <c r="D58" i="425"/>
  <c r="D59" i="425" s="1"/>
  <c r="B56" i="425"/>
  <c r="B37" i="425"/>
  <c r="B26" i="425"/>
  <c r="B54" i="425"/>
  <c r="B51" i="425"/>
  <c r="B53" i="425"/>
  <c r="D55" i="425"/>
  <c r="B44" i="425"/>
  <c r="B47" i="425"/>
  <c r="B50" i="425"/>
  <c r="D52" i="425"/>
  <c r="D48" i="425"/>
  <c r="D49" i="425" s="1"/>
  <c r="D45" i="425"/>
  <c r="D46" i="425" s="1"/>
  <c r="B57" i="425"/>
  <c r="B40" i="425"/>
  <c r="B35" i="425"/>
  <c r="D42" i="425"/>
  <c r="D43" i="425"/>
  <c r="B41" i="425"/>
  <c r="D23" i="425"/>
  <c r="D24" i="425"/>
  <c r="D33" i="425"/>
  <c r="D34" i="425"/>
  <c r="D38" i="425"/>
  <c r="D39" i="425" s="1"/>
  <c r="B31" i="425"/>
  <c r="B28" i="425"/>
  <c r="B32" i="425"/>
  <c r="B29" i="425"/>
  <c r="D30" i="425"/>
  <c r="B20" i="425"/>
  <c r="B25" i="425"/>
  <c r="B22" i="425"/>
  <c r="D27" i="425"/>
  <c r="B48" i="410"/>
  <c r="E15" i="402"/>
  <c r="B24" i="431"/>
  <c r="B13" i="431"/>
  <c r="B10" i="431"/>
  <c r="B4" i="431"/>
  <c r="B23" i="431"/>
  <c r="D22" i="431"/>
  <c r="B19" i="431"/>
  <c r="B17" i="431"/>
  <c r="B16" i="431"/>
  <c r="D22" i="408"/>
  <c r="B24" i="408"/>
  <c r="B23" i="408"/>
  <c r="B19" i="408"/>
  <c r="B16" i="408"/>
  <c r="B13" i="408"/>
  <c r="B10" i="408"/>
  <c r="B17" i="408"/>
  <c r="B4" i="428"/>
  <c r="D7" i="428"/>
  <c r="E17" i="402"/>
  <c r="E16" i="402"/>
  <c r="B4" i="411"/>
  <c r="D56" i="410"/>
  <c r="B59" i="410"/>
  <c r="D10" i="410"/>
  <c r="B38" i="410"/>
  <c r="B34" i="410"/>
  <c r="B19" i="410"/>
  <c r="B47" i="410"/>
  <c r="B42" i="410"/>
  <c r="B29" i="410"/>
  <c r="B60" i="410"/>
  <c r="B58" i="410"/>
  <c r="D44" i="410"/>
  <c r="B44" i="410"/>
  <c r="B41" i="410"/>
  <c r="B28" i="410"/>
  <c r="B17" i="411"/>
  <c r="B16" i="411"/>
  <c r="D7" i="411"/>
  <c r="F27" i="410"/>
  <c r="B28" i="430" l="1"/>
  <c r="B26" i="430"/>
  <c r="D30" i="522"/>
  <c r="D24" i="521" s="1"/>
  <c r="D29" i="522"/>
  <c r="D23" i="521" s="1"/>
  <c r="D19" i="522"/>
  <c r="D13" i="521" s="1"/>
  <c r="D25" i="429"/>
  <c r="B28" i="429"/>
  <c r="B26" i="429"/>
  <c r="D25" i="430"/>
  <c r="B28" i="436"/>
  <c r="D20" i="522"/>
  <c r="D14" i="521" s="1"/>
  <c r="J22" i="522"/>
  <c r="D15" i="521"/>
  <c r="D22" i="522"/>
  <c r="D16" i="521" s="1"/>
  <c r="G138" i="523"/>
  <c r="G6" i="523" s="1"/>
  <c r="K6" i="523"/>
  <c r="D11" i="521"/>
  <c r="D25" i="436"/>
  <c r="K5" i="523" l="1"/>
  <c r="F5" i="522"/>
  <c r="D5" i="522"/>
  <c r="G5" i="523"/>
  <c r="K482" i="523" l="1"/>
  <c r="F17" i="522" s="1"/>
  <c r="F4" i="522"/>
  <c r="G482" i="523"/>
  <c r="D17" i="522" s="1"/>
  <c r="D4" i="522"/>
  <c r="D27" i="522" l="1"/>
  <c r="D21" i="521" s="1"/>
  <c r="D28" i="522"/>
  <c r="D22" i="521" s="1"/>
  <c r="D5" i="521"/>
  <c r="J25" i="522"/>
  <c r="D25" i="522"/>
  <c r="D26" i="522"/>
  <c r="D20" i="521" s="1"/>
  <c r="D31" i="522" l="1"/>
  <c r="D8" i="521"/>
  <c r="E25" i="522"/>
  <c r="F19" i="521" s="1"/>
  <c r="D19" i="521"/>
  <c r="D25" i="521" s="1"/>
  <c r="D32" i="522" l="1"/>
  <c r="D26" i="521" s="1"/>
  <c r="D33" i="522" l="1"/>
  <c r="L33" i="522" l="1"/>
  <c r="J33" i="522"/>
  <c r="D27" i="521"/>
  <c r="D35" i="522" l="1"/>
  <c r="J34" i="522"/>
  <c r="E34" i="522" s="1"/>
  <c r="L34" i="522"/>
  <c r="L35" i="522" s="1"/>
  <c r="L36" i="522" l="1"/>
  <c r="L37" i="522" s="1"/>
  <c r="J35" i="522"/>
  <c r="D36" i="522"/>
  <c r="D29" i="521" s="1"/>
  <c r="K14" i="402" s="1"/>
  <c r="E14" i="402" s="1"/>
  <c r="D28" i="521"/>
  <c r="K13" i="402" s="1"/>
  <c r="E13" i="402" l="1"/>
  <c r="K12" i="402"/>
  <c r="D37" i="522"/>
  <c r="D30" i="521" s="1"/>
  <c r="D31" i="521" s="1"/>
  <c r="J36" i="522"/>
  <c r="J37" i="522" s="1"/>
  <c r="E30" i="521" l="1"/>
  <c r="E22" i="521"/>
  <c r="E23" i="521"/>
  <c r="E24" i="521"/>
  <c r="E12" i="402"/>
  <c r="K11" i="402"/>
  <c r="E11" i="402" s="1"/>
  <c r="E28" i="521"/>
  <c r="E29" i="521"/>
  <c r="E7" i="521"/>
  <c r="E6" i="521"/>
  <c r="E12" i="521"/>
  <c r="E18" i="521"/>
  <c r="E13" i="521"/>
  <c r="E9" i="521"/>
  <c r="E10" i="521"/>
  <c r="E14" i="521"/>
  <c r="E17" i="521"/>
  <c r="E11" i="521"/>
  <c r="E16" i="521"/>
  <c r="E15" i="521"/>
  <c r="E5" i="521"/>
  <c r="E20" i="521"/>
  <c r="E21" i="521"/>
  <c r="E8" i="521"/>
  <c r="E19" i="521"/>
  <c r="E25" i="521"/>
  <c r="E26" i="521"/>
  <c r="E27" i="5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00000000-0006-0000-0600-000001000000}">
      <text>
        <r>
          <rPr>
            <sz val="9"/>
            <color theme="1"/>
            <rFont val="돋움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00000000-0006-0000-0700-000001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  <comment ref="B8" authorId="0" shapeId="0" xr:uid="{00000000-0006-0000-07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00000000-0006-0000-0800-000001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0000000-0006-0000-09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Q3" authorId="0" shapeId="0" xr:uid="{00000000-0006-0000-09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  <comment ref="I34" authorId="0" shapeId="0" xr:uid="{00000000-0006-0000-0900-000003000000}">
      <text>
        <r>
          <rPr>
            <sz val="9"/>
            <color theme="1"/>
            <rFont val="돋움체"/>
            <family val="3"/>
            <charset val="129"/>
          </rPr>
          <t>이윤보정액 : 총공사비 금액이 다를경우 임의조정(±α) 하십시요</t>
        </r>
      </text>
    </comment>
    <comment ref="I36" authorId="0" shapeId="0" xr:uid="{00000000-0006-0000-0900-000004000000}">
      <text>
        <r>
          <rPr>
            <sz val="9"/>
            <color theme="1"/>
            <rFont val="돋움체"/>
            <family val="3"/>
            <charset val="129"/>
          </rPr>
          <t>부가세보정 : 총공사비 금액에 1원 차이 발생할 경우 부가세 조정(+1) 하십시요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A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AC4" authorId="0" shapeId="0" xr:uid="{00000000-0006-0000-0A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00000000-0006-0000-0B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K3" authorId="0" shapeId="0" xr:uid="{00000000-0006-0000-0B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00000000-0006-0000-0C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Z4" authorId="0" shapeId="0" xr:uid="{00000000-0006-0000-0C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00000000-0006-0000-0D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K3" authorId="0" shapeId="0" xr:uid="{00000000-0006-0000-0D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" authorId="0" shapeId="0" xr:uid="{00000000-0006-0000-0E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Y4" authorId="0" shapeId="0" xr:uid="{00000000-0006-0000-0E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" authorId="0" shapeId="0" xr:uid="{00000000-0006-0000-0F00-000001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00000000-0006-0000-10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K3" authorId="0" shapeId="0" xr:uid="{00000000-0006-0000-10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00000000-0006-0000-11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Z4" authorId="0" shapeId="0" xr:uid="{00000000-0006-0000-11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00000000-0006-0000-33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H3" authorId="0" shapeId="0" xr:uid="{00000000-0006-0000-33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00000000-0006-0000-34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H3" authorId="0" shapeId="0" xr:uid="{00000000-0006-0000-34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00000000-0006-0000-35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H3" authorId="0" shapeId="0" xr:uid="{00000000-0006-0000-35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4" authorId="0" shapeId="0" xr:uid="{00000000-0006-0000-36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S4" authorId="0" shapeId="0" xr:uid="{00000000-0006-0000-36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<sst xmlns="http://schemas.openxmlformats.org/spreadsheetml/2006/main" count="37592" uniqueCount="5663">
  <si>
    <t>단위</t>
    <phoneticPr fontId="13" type="noConversion"/>
  </si>
  <si>
    <t>m</t>
    <phoneticPr fontId="13" type="noConversion"/>
  </si>
  <si>
    <t>㎡</t>
    <phoneticPr fontId="13" type="noConversion"/>
  </si>
  <si>
    <t>㎥</t>
    <phoneticPr fontId="13" type="noConversion"/>
  </si>
  <si>
    <t>kg</t>
    <phoneticPr fontId="13" type="noConversion"/>
  </si>
  <si>
    <t>ea</t>
    <phoneticPr fontId="13" type="noConversion"/>
  </si>
  <si>
    <t xml:space="preserve"> 2. 잔토처리</t>
    <phoneticPr fontId="12" type="noConversion"/>
  </si>
  <si>
    <t>㎥</t>
    <phoneticPr fontId="12" type="noConversion"/>
  </si>
  <si>
    <t>㎥</t>
  </si>
  <si>
    <t>재</t>
    <phoneticPr fontId="12" type="noConversion"/>
  </si>
  <si>
    <t>목     차</t>
    <phoneticPr fontId="12" type="noConversion"/>
  </si>
  <si>
    <t>설계설명서</t>
    <phoneticPr fontId="12" type="noConversion"/>
  </si>
  <si>
    <t>시방서</t>
    <phoneticPr fontId="12" type="noConversion"/>
  </si>
  <si>
    <t>예정공정표</t>
    <phoneticPr fontId="12" type="noConversion"/>
  </si>
  <si>
    <t>공사원가계산서</t>
    <phoneticPr fontId="12" type="noConversion"/>
  </si>
  <si>
    <t>일위대가표</t>
    <phoneticPr fontId="12" type="noConversion"/>
  </si>
  <si>
    <t>단가산출서</t>
    <phoneticPr fontId="12" type="noConversion"/>
  </si>
  <si>
    <t>수량산출서</t>
    <phoneticPr fontId="12" type="noConversion"/>
  </si>
  <si>
    <t>기타</t>
    <phoneticPr fontId="12" type="noConversion"/>
  </si>
  <si>
    <t>설  계  설  명  서</t>
    <phoneticPr fontId="13" type="noConversion"/>
  </si>
  <si>
    <t xml:space="preserve">     2. 위 치</t>
    <phoneticPr fontId="13" type="noConversion"/>
  </si>
  <si>
    <t>공 사 예 정 공 정 표</t>
    <phoneticPr fontId="13" type="noConversion"/>
  </si>
  <si>
    <t>착공일</t>
    <phoneticPr fontId="13" type="noConversion"/>
  </si>
  <si>
    <t xml:space="preserve">  비고 </t>
    <phoneticPr fontId="13" type="noConversion"/>
  </si>
  <si>
    <t>공정</t>
    <phoneticPr fontId="13" type="noConversion"/>
  </si>
  <si>
    <t>자재단가대비표</t>
    <phoneticPr fontId="12" type="noConversion"/>
  </si>
  <si>
    <t>설계설명서</t>
    <phoneticPr fontId="12" type="noConversion"/>
  </si>
  <si>
    <t xml:space="preserve">              하여 산정하였음.</t>
    <phoneticPr fontId="13" type="noConversion"/>
  </si>
  <si>
    <t>과 장</t>
    <phoneticPr fontId="13" type="noConversion"/>
  </si>
  <si>
    <t>팀 장</t>
    <phoneticPr fontId="13" type="noConversion"/>
  </si>
  <si>
    <t>심사자</t>
    <phoneticPr fontId="13" type="noConversion"/>
  </si>
  <si>
    <t>실무관</t>
    <phoneticPr fontId="13" type="noConversion"/>
  </si>
  <si>
    <t>설계자</t>
    <phoneticPr fontId="13" type="noConversion"/>
  </si>
  <si>
    <t>설  계</t>
    <phoneticPr fontId="13" type="noConversion"/>
  </si>
  <si>
    <t>심  사</t>
    <phoneticPr fontId="13" type="noConversion"/>
  </si>
  <si>
    <t xml:space="preserve"> </t>
    <phoneticPr fontId="13" type="noConversion"/>
  </si>
  <si>
    <t>설           계           서</t>
    <phoneticPr fontId="13" type="noConversion"/>
  </si>
  <si>
    <t>구         분</t>
    <phoneticPr fontId="13" type="noConversion"/>
  </si>
  <si>
    <t>금         액</t>
    <phoneticPr fontId="13" type="noConversion"/>
  </si>
  <si>
    <t>비     고</t>
    <phoneticPr fontId="13" type="noConversion"/>
  </si>
  <si>
    <t>총 공 사 비</t>
    <phoneticPr fontId="13" type="noConversion"/>
  </si>
  <si>
    <r>
      <rPr>
        <sz val="9"/>
        <rFont val="돋움"/>
        <family val="3"/>
        <charset val="129"/>
      </rPr>
      <t>도급공사비</t>
    </r>
    <r>
      <rPr>
        <sz val="9"/>
        <rFont val="Arial"/>
        <family val="2"/>
      </rPr>
      <t>+</t>
    </r>
    <r>
      <rPr>
        <sz val="9"/>
        <rFont val="돋움"/>
        <family val="3"/>
        <charset val="129"/>
      </rPr>
      <t>관급자재대</t>
    </r>
    <phoneticPr fontId="13" type="noConversion"/>
  </si>
  <si>
    <t>도급공사비</t>
    <phoneticPr fontId="13" type="noConversion"/>
  </si>
  <si>
    <t>공 급 가 액</t>
    <phoneticPr fontId="13" type="noConversion"/>
  </si>
  <si>
    <t>부가 가치세</t>
    <phoneticPr fontId="13" type="noConversion"/>
  </si>
  <si>
    <t>관급 자재대</t>
    <phoneticPr fontId="13" type="noConversion"/>
  </si>
  <si>
    <t>공       종</t>
    <phoneticPr fontId="13" type="noConversion"/>
  </si>
  <si>
    <t>산      출      근      거</t>
    <phoneticPr fontId="13" type="noConversion"/>
  </si>
  <si>
    <t>단위</t>
    <phoneticPr fontId="13" type="noConversion"/>
  </si>
  <si>
    <t>수    량</t>
    <phoneticPr fontId="13" type="noConversion"/>
  </si>
  <si>
    <t>단</t>
    <phoneticPr fontId="12" type="noConversion"/>
  </si>
  <si>
    <t xml:space="preserve"> 1. 인력터파기</t>
    <phoneticPr fontId="12" type="noConversion"/>
  </si>
  <si>
    <t>㎥</t>
    <phoneticPr fontId="12" type="noConversion"/>
  </si>
  <si>
    <t xml:space="preserve">  (0-1m)</t>
    <phoneticPr fontId="12" type="noConversion"/>
  </si>
  <si>
    <t xml:space="preserve"> 2. 잔토처리</t>
    <phoneticPr fontId="12" type="noConversion"/>
  </si>
  <si>
    <t xml:space="preserve">  (인력)</t>
    <phoneticPr fontId="12" type="noConversion"/>
  </si>
  <si>
    <t xml:space="preserve">  (간단)</t>
    <phoneticPr fontId="12" type="noConversion"/>
  </si>
  <si>
    <t>kg</t>
    <phoneticPr fontId="12" type="noConversion"/>
  </si>
  <si>
    <t xml:space="preserve"> 7. 철근가공조립</t>
    <phoneticPr fontId="12" type="noConversion"/>
  </si>
  <si>
    <t xml:space="preserve"> 8. 소운반</t>
    <phoneticPr fontId="12" type="noConversion"/>
  </si>
  <si>
    <t xml:space="preserve">  ① 철물</t>
    <phoneticPr fontId="12" type="noConversion"/>
  </si>
  <si>
    <t xml:space="preserve">  ② 방부목재</t>
    <phoneticPr fontId="12" type="noConversion"/>
  </si>
  <si>
    <t xml:space="preserve"> 3. 방부목재(각재)</t>
    <phoneticPr fontId="12" type="noConversion"/>
  </si>
  <si>
    <t xml:space="preserve"> 4. 목재설치</t>
    <phoneticPr fontId="12" type="noConversion"/>
  </si>
  <si>
    <t xml:space="preserve"> 5. 이형철근</t>
    <phoneticPr fontId="12" type="noConversion"/>
  </si>
  <si>
    <t>자재집계표</t>
    <phoneticPr fontId="12" type="noConversion"/>
  </si>
  <si>
    <t>기계경비산출서</t>
    <phoneticPr fontId="12" type="noConversion"/>
  </si>
  <si>
    <t>단</t>
    <phoneticPr fontId="12" type="noConversion"/>
  </si>
  <si>
    <t xml:space="preserve"> 1. 인력터파기</t>
    <phoneticPr fontId="12" type="noConversion"/>
  </si>
  <si>
    <t>㎥</t>
    <phoneticPr fontId="12" type="noConversion"/>
  </si>
  <si>
    <t xml:space="preserve">  (0-1m)</t>
    <phoneticPr fontId="12" type="noConversion"/>
  </si>
  <si>
    <t xml:space="preserve"> 2. 잔토처리</t>
    <phoneticPr fontId="12" type="noConversion"/>
  </si>
  <si>
    <t xml:space="preserve">  (인력)</t>
    <phoneticPr fontId="12" type="noConversion"/>
  </si>
  <si>
    <t xml:space="preserve"> 3. 방부목재(각재)</t>
    <phoneticPr fontId="12" type="noConversion"/>
  </si>
  <si>
    <t>재</t>
    <phoneticPr fontId="12" type="noConversion"/>
  </si>
  <si>
    <t xml:space="preserve"> 4. 목재설치</t>
    <phoneticPr fontId="12" type="noConversion"/>
  </si>
  <si>
    <t xml:space="preserve">  (간단)</t>
    <phoneticPr fontId="12" type="noConversion"/>
  </si>
  <si>
    <t xml:space="preserve"> 5. 이형철근</t>
    <phoneticPr fontId="12" type="noConversion"/>
  </si>
  <si>
    <t>kg</t>
    <phoneticPr fontId="12" type="noConversion"/>
  </si>
  <si>
    <t xml:space="preserve">  (D13,L600)</t>
    <phoneticPr fontId="12" type="noConversion"/>
  </si>
  <si>
    <t xml:space="preserve"> 6. 꺽쇠, 봉강</t>
    <phoneticPr fontId="12" type="noConversion"/>
  </si>
  <si>
    <t xml:space="preserve">  (D10,L300,L200)</t>
    <phoneticPr fontId="12" type="noConversion"/>
  </si>
  <si>
    <t>ton</t>
    <phoneticPr fontId="12" type="noConversion"/>
  </si>
  <si>
    <t>ton</t>
    <phoneticPr fontId="12" type="noConversion"/>
  </si>
  <si>
    <t xml:space="preserve">  ① 방부목재</t>
    <phoneticPr fontId="12" type="noConversion"/>
  </si>
  <si>
    <t xml:space="preserve">  ② 이형철근</t>
    <phoneticPr fontId="12" type="noConversion"/>
  </si>
  <si>
    <t xml:space="preserve">  (150*300, L=1,500)</t>
    <phoneticPr fontId="12" type="noConversion"/>
  </si>
  <si>
    <t xml:space="preserve"> ▣ 안전로프(H1200, 경간당 1.5m)</t>
    <phoneticPr fontId="12" type="noConversion"/>
  </si>
  <si>
    <t>경간당</t>
    <phoneticPr fontId="12" type="noConversion"/>
  </si>
  <si>
    <t>0.5m*0.5m*0.45m = 0.112㎥</t>
    <phoneticPr fontId="12" type="noConversion"/>
  </si>
  <si>
    <t xml:space="preserve"> 2. 잔토처리 </t>
    <phoneticPr fontId="12" type="noConversion"/>
  </si>
  <si>
    <t>(0.3m*0.3m*0.3m) + (3.14*0.055m*0.055m*0.15m)</t>
    <phoneticPr fontId="12" type="noConversion"/>
  </si>
  <si>
    <t xml:space="preserve">   (인력)</t>
    <phoneticPr fontId="12" type="noConversion"/>
  </si>
  <si>
    <t>= 0.027㎥ + 0.0014㎥ = 0.028㎥</t>
    <phoneticPr fontId="12" type="noConversion"/>
  </si>
  <si>
    <t xml:space="preserve"> 3. 되메우고 다짐</t>
    <phoneticPr fontId="12" type="noConversion"/>
  </si>
  <si>
    <t>0.112㎥-0.028㎥ = 0.084㎥</t>
    <phoneticPr fontId="12" type="noConversion"/>
  </si>
  <si>
    <t xml:space="preserve"> 4. 콘크리트타설 </t>
    <phoneticPr fontId="12" type="noConversion"/>
  </si>
  <si>
    <t>0.3m*0.3m*0.3m - (3.14*0.055m*0.055m*0.15m)</t>
    <phoneticPr fontId="12" type="noConversion"/>
  </si>
  <si>
    <t>(1:3:6, 소형구조물)</t>
    <phoneticPr fontId="12" type="noConversion"/>
  </si>
  <si>
    <t xml:space="preserve"> = 0.027㎥ - 0.0014㎥ = 0.0256㎥</t>
    <phoneticPr fontId="13" type="noConversion"/>
  </si>
  <si>
    <t xml:space="preserve"> 5. 합판거푸집</t>
    <phoneticPr fontId="12" type="noConversion"/>
  </si>
  <si>
    <t>0.3m*0.3m*4면 = 0.36㎡</t>
    <phoneticPr fontId="12" type="noConversion"/>
  </si>
  <si>
    <t>㎡</t>
    <phoneticPr fontId="12" type="noConversion"/>
  </si>
  <si>
    <t xml:space="preserve">  (6회)</t>
    <phoneticPr fontId="12" type="noConversion"/>
  </si>
  <si>
    <t xml:space="preserve"> 6. 백관</t>
    <phoneticPr fontId="12" type="noConversion"/>
  </si>
  <si>
    <t>m</t>
    <phoneticPr fontId="12" type="noConversion"/>
  </si>
  <si>
    <t xml:space="preserve">  (φ114.3외경, L=500)</t>
    <phoneticPr fontId="12" type="noConversion"/>
  </si>
  <si>
    <t xml:space="preserve"> 7. 백관도장</t>
    <phoneticPr fontId="12" type="noConversion"/>
  </si>
  <si>
    <t>0.5m*(2*3.14*0.057m) = 0.179㎡</t>
    <phoneticPr fontId="12" type="noConversion"/>
  </si>
  <si>
    <t xml:space="preserve">  (아연도금면)</t>
    <phoneticPr fontId="12" type="noConversion"/>
  </si>
  <si>
    <t xml:space="preserve"> 8. 잡철물제작설치 </t>
    <phoneticPr fontId="12" type="noConversion"/>
  </si>
  <si>
    <t>4.385㎏</t>
    <phoneticPr fontId="12" type="noConversion"/>
  </si>
  <si>
    <t xml:space="preserve">  (철물,간단)</t>
    <phoneticPr fontId="12" type="noConversion"/>
  </si>
  <si>
    <t>4.385㎏ ÷ 1000 = 0.0044</t>
    <phoneticPr fontId="12" type="noConversion"/>
  </si>
  <si>
    <t xml:space="preserve"> 9. 방부원형목재</t>
    <phoneticPr fontId="12" type="noConversion"/>
  </si>
  <si>
    <t>재</t>
    <phoneticPr fontId="13" type="noConversion"/>
  </si>
  <si>
    <t xml:space="preserve">  (φ110, L=1,500)</t>
    <phoneticPr fontId="12" type="noConversion"/>
  </si>
  <si>
    <t xml:space="preserve"> 10. 목재설치</t>
    <phoneticPr fontId="12" type="noConversion"/>
  </si>
  <si>
    <t>3.14 * 0.055 * 0.055 * 1.5m = 0.0142㎥</t>
    <phoneticPr fontId="12" type="noConversion"/>
  </si>
  <si>
    <t xml:space="preserve">  (간단구조)</t>
    <phoneticPr fontId="12" type="noConversion"/>
  </si>
  <si>
    <t xml:space="preserve"> 11. STS볼트/너트/</t>
    <phoneticPr fontId="12" type="noConversion"/>
  </si>
  <si>
    <t>조</t>
    <phoneticPr fontId="12" type="noConversion"/>
  </si>
  <si>
    <t xml:space="preserve">  와셔(M12,L130)</t>
    <phoneticPr fontId="12" type="noConversion"/>
  </si>
  <si>
    <t xml:space="preserve"> 12. 볼트설치</t>
    <phoneticPr fontId="12" type="noConversion"/>
  </si>
  <si>
    <t xml:space="preserve"> 13. 이형철근</t>
    <phoneticPr fontId="12" type="noConversion"/>
  </si>
  <si>
    <t>0.2m*2ea</t>
    <phoneticPr fontId="12" type="noConversion"/>
  </si>
  <si>
    <t>(D13)</t>
    <phoneticPr fontId="13" type="noConversion"/>
  </si>
  <si>
    <t xml:space="preserve"> 14. 철근가공조립</t>
    <phoneticPr fontId="12" type="noConversion"/>
  </si>
  <si>
    <t>(간단)</t>
    <phoneticPr fontId="12" type="noConversion"/>
  </si>
  <si>
    <t>m</t>
    <phoneticPr fontId="13" type="noConversion"/>
  </si>
  <si>
    <t xml:space="preserve"> 16. 소운반</t>
    <phoneticPr fontId="12" type="noConversion"/>
  </si>
  <si>
    <t xml:space="preserve">  ① 철물</t>
    <phoneticPr fontId="12" type="noConversion"/>
  </si>
  <si>
    <t>4.385+0.398=4.783kg</t>
    <phoneticPr fontId="13" type="noConversion"/>
  </si>
  <si>
    <t xml:space="preserve">  ② 콘크리트</t>
    <phoneticPr fontId="12" type="noConversion"/>
  </si>
  <si>
    <t xml:space="preserve">  ③ 방부목재</t>
    <phoneticPr fontId="13" type="noConversion"/>
  </si>
  <si>
    <t xml:space="preserve">  ④ 합판거푸집</t>
    <phoneticPr fontId="13" type="noConversion"/>
  </si>
  <si>
    <t xml:space="preserve"> ▣ 안전로프 시, 종점부(H1200)</t>
    <phoneticPr fontId="12" type="noConversion"/>
  </si>
  <si>
    <t>개소당</t>
    <phoneticPr fontId="12" type="noConversion"/>
  </si>
  <si>
    <t>0.5m*0.5m*0.6m = 0.150㎥</t>
    <phoneticPr fontId="12" type="noConversion"/>
  </si>
  <si>
    <t xml:space="preserve"> 0.150㎥ * 2EA = 0.300</t>
    <phoneticPr fontId="13" type="noConversion"/>
  </si>
  <si>
    <t xml:space="preserve"> 6.1 백관도장</t>
    <phoneticPr fontId="12" type="noConversion"/>
  </si>
  <si>
    <t xml:space="preserve"> 7. 잡철물제작설치 </t>
    <phoneticPr fontId="12" type="noConversion"/>
  </si>
  <si>
    <t xml:space="preserve"> 8. 방부원형목재</t>
    <phoneticPr fontId="12" type="noConversion"/>
  </si>
  <si>
    <t xml:space="preserve"> 9. 목재설치</t>
    <phoneticPr fontId="12" type="noConversion"/>
  </si>
  <si>
    <t xml:space="preserve"> 10. STS볼트/너트/</t>
    <phoneticPr fontId="12" type="noConversion"/>
  </si>
  <si>
    <t xml:space="preserve"> 11. 볼트설치</t>
    <phoneticPr fontId="12" type="noConversion"/>
  </si>
  <si>
    <t xml:space="preserve"> 12. 이형철근</t>
    <phoneticPr fontId="12" type="noConversion"/>
  </si>
  <si>
    <t>0.2m*2ea + 0.9</t>
    <phoneticPr fontId="12" type="noConversion"/>
  </si>
  <si>
    <t xml:space="preserve"> 13. 철근가공조립</t>
    <phoneticPr fontId="12" type="noConversion"/>
  </si>
  <si>
    <t xml:space="preserve"> 15. U클립(볼트)</t>
    <phoneticPr fontId="12" type="noConversion"/>
  </si>
  <si>
    <t>2ea</t>
    <phoneticPr fontId="13" type="noConversion"/>
  </si>
  <si>
    <t>ea</t>
    <phoneticPr fontId="12" type="noConversion"/>
  </si>
  <si>
    <t>STS 5/16" 2"</t>
    <phoneticPr fontId="12" type="noConversion"/>
  </si>
  <si>
    <t xml:space="preserve"> 16.턴버클</t>
    <phoneticPr fontId="12" type="noConversion"/>
  </si>
  <si>
    <t>22㎜, STS</t>
    <phoneticPr fontId="12" type="noConversion"/>
  </si>
  <si>
    <t xml:space="preserve"> 17. 소운반</t>
    <phoneticPr fontId="12" type="noConversion"/>
  </si>
  <si>
    <t>4.38+1.33=5.71kg</t>
    <phoneticPr fontId="13" type="noConversion"/>
  </si>
  <si>
    <t xml:space="preserve"> 14. 로프</t>
    <phoneticPr fontId="13" type="noConversion"/>
  </si>
  <si>
    <t xml:space="preserve"> 15. 로프</t>
    <phoneticPr fontId="13" type="noConversion"/>
  </si>
  <si>
    <t>(Φ21)</t>
    <phoneticPr fontId="13" type="noConversion"/>
  </si>
  <si>
    <t>(0-1m)</t>
    <phoneticPr fontId="12" type="noConversion"/>
  </si>
  <si>
    <t>계</t>
    <phoneticPr fontId="13" type="noConversion"/>
  </si>
  <si>
    <t>(0.4m*0.4m*0.4m) * 2EA = 0.128㎥</t>
    <phoneticPr fontId="12" type="noConversion"/>
  </si>
  <si>
    <t>[(0.4m*0.4m*0.4m) + (3.14*0.055m*0.055m*0.15m)] * 2EA=0.184</t>
    <phoneticPr fontId="13" type="noConversion"/>
  </si>
  <si>
    <t>0.3 - 0.13</t>
    <phoneticPr fontId="13" type="noConversion"/>
  </si>
  <si>
    <t>0.4m*0.4m*4면*2EA = 1.28㎡</t>
    <phoneticPr fontId="12" type="noConversion"/>
  </si>
  <si>
    <t>개소</t>
    <phoneticPr fontId="12" type="noConversion"/>
  </si>
  <si>
    <t xml:space="preserve"> ▣ 보행매트 설치</t>
    <phoneticPr fontId="12" type="noConversion"/>
  </si>
  <si>
    <t>m</t>
    <phoneticPr fontId="13" type="noConversion"/>
  </si>
  <si>
    <t>2. 인력흙다지기</t>
    <phoneticPr fontId="13" type="noConversion"/>
  </si>
  <si>
    <t>㎡</t>
    <phoneticPr fontId="13" type="noConversion"/>
  </si>
  <si>
    <t>3. 매트깔기</t>
    <phoneticPr fontId="13" type="noConversion"/>
  </si>
  <si>
    <t>4. 앵커핀</t>
    <phoneticPr fontId="13" type="noConversion"/>
  </si>
  <si>
    <t>W1200 * 30t</t>
    <phoneticPr fontId="13" type="noConversion"/>
  </si>
  <si>
    <t>1.2 * 1.0</t>
    <phoneticPr fontId="13" type="noConversion"/>
  </si>
  <si>
    <t>1. 보행매트(W1200)</t>
    <phoneticPr fontId="13" type="noConversion"/>
  </si>
  <si>
    <t>1식 - 2식</t>
    <phoneticPr fontId="13" type="noConversion"/>
  </si>
  <si>
    <t xml:space="preserve"> 5. 합판거푸집</t>
    <phoneticPr fontId="13" type="noConversion"/>
  </si>
  <si>
    <t xml:space="preserve"> 3. 되메우고 다짐</t>
    <phoneticPr fontId="13" type="noConversion"/>
  </si>
  <si>
    <t>(￠139.8외경, L400mm)</t>
    <phoneticPr fontId="13" type="noConversion"/>
  </si>
  <si>
    <t xml:space="preserve">  ③ 콘크리트</t>
    <phoneticPr fontId="13" type="noConversion"/>
  </si>
  <si>
    <t>자재단가대비표</t>
    <phoneticPr fontId="12" type="noConversion"/>
  </si>
  <si>
    <r>
      <rPr>
        <sz val="9"/>
        <rFont val="돋움"/>
        <family val="3"/>
        <charset val="129"/>
      </rPr>
      <t>공급가액</t>
    </r>
    <r>
      <rPr>
        <sz val="9"/>
        <rFont val="Arial"/>
        <family val="2"/>
      </rPr>
      <t>+</t>
    </r>
    <r>
      <rPr>
        <sz val="9"/>
        <rFont val="돋움"/>
        <family val="3"/>
        <charset val="129"/>
      </rPr>
      <t>부가가치세</t>
    </r>
    <r>
      <rPr>
        <sz val="9"/>
        <rFont val="Arial"/>
        <family val="2"/>
      </rPr>
      <t/>
    </r>
    <phoneticPr fontId="13" type="noConversion"/>
  </si>
  <si>
    <t>2 + (2/10) 10m당 2개 추가</t>
    <phoneticPr fontId="13" type="noConversion"/>
  </si>
  <si>
    <t>관급자설치</t>
    <phoneticPr fontId="13" type="noConversion"/>
  </si>
  <si>
    <t>도급자설치</t>
    <phoneticPr fontId="13" type="noConversion"/>
  </si>
  <si>
    <t>W800 * 30t</t>
    <phoneticPr fontId="13" type="noConversion"/>
  </si>
  <si>
    <t>1. 보행매트(W800)</t>
    <phoneticPr fontId="13" type="noConversion"/>
  </si>
  <si>
    <t>0.8 * 1.0</t>
    <phoneticPr fontId="13" type="noConversion"/>
  </si>
  <si>
    <t xml:space="preserve"> ▣ 횡단개거(침목형, L2500*300*H200)</t>
    <phoneticPr fontId="12" type="noConversion"/>
  </si>
  <si>
    <t>개소</t>
    <phoneticPr fontId="12" type="noConversion"/>
  </si>
  <si>
    <t xml:space="preserve"> 3. 방부목(각재)</t>
    <phoneticPr fontId="13" type="noConversion"/>
  </si>
  <si>
    <t>(300*200, L=2500)</t>
    <phoneticPr fontId="12" type="noConversion"/>
  </si>
  <si>
    <t xml:space="preserve"> 4. 목재설치</t>
    <phoneticPr fontId="12" type="noConversion"/>
  </si>
  <si>
    <t xml:space="preserve"> 5. 이형철근</t>
    <phoneticPr fontId="12" type="noConversion"/>
  </si>
  <si>
    <t xml:space="preserve">  (D13mm, L600)</t>
    <phoneticPr fontId="12" type="noConversion"/>
  </si>
  <si>
    <t xml:space="preserve"> 6. 철근가공조립</t>
    <phoneticPr fontId="12" type="noConversion"/>
  </si>
  <si>
    <t>ton</t>
    <phoneticPr fontId="12" type="noConversion"/>
  </si>
  <si>
    <t xml:space="preserve"> ▣ 횡단개거(침목형, L3000*300*H200)</t>
    <phoneticPr fontId="12" type="noConversion"/>
  </si>
  <si>
    <t xml:space="preserve"> ▣ 식생토낭(2단)</t>
    <phoneticPr fontId="12" type="noConversion"/>
  </si>
  <si>
    <t>m</t>
    <phoneticPr fontId="12" type="noConversion"/>
  </si>
  <si>
    <t xml:space="preserve"> 1. 식생토낭</t>
    <phoneticPr fontId="12" type="noConversion"/>
  </si>
  <si>
    <t>500*1080</t>
    <phoneticPr fontId="12" type="noConversion"/>
  </si>
  <si>
    <t>set</t>
    <phoneticPr fontId="12" type="noConversion"/>
  </si>
  <si>
    <t xml:space="preserve"> ▣ 자재운반 산출근거</t>
    <phoneticPr fontId="12" type="noConversion"/>
  </si>
  <si>
    <t xml:space="preserve"> ▣ 평의자(1800*390)</t>
    <phoneticPr fontId="12" type="noConversion"/>
  </si>
  <si>
    <t xml:space="preserve"> 2. 되메우고 다지기</t>
    <phoneticPr fontId="12" type="noConversion"/>
  </si>
  <si>
    <t xml:space="preserve"> 3 .잔토처리</t>
    <phoneticPr fontId="12" type="noConversion"/>
  </si>
  <si>
    <t xml:space="preserve"> 4. 합판거푸집(회)</t>
    <phoneticPr fontId="12" type="noConversion"/>
  </si>
  <si>
    <t xml:space="preserve"> 5. 콘크리트 타설</t>
    <phoneticPr fontId="12" type="noConversion"/>
  </si>
  <si>
    <t xml:space="preserve"> 6. 천연목재(건조목)</t>
    <phoneticPr fontId="12" type="noConversion"/>
  </si>
  <si>
    <t>(1800*90*60)</t>
    <phoneticPr fontId="12" type="noConversion"/>
  </si>
  <si>
    <t xml:space="preserve"> 7. 목재설치(간단)</t>
    <phoneticPr fontId="12" type="noConversion"/>
  </si>
  <si>
    <t xml:space="preserve"> 8. 열연강판</t>
    <phoneticPr fontId="12" type="noConversion"/>
  </si>
  <si>
    <t>(8T, 1,219*2,438)</t>
    <phoneticPr fontId="12" type="noConversion"/>
  </si>
  <si>
    <t>(매당 187kg)</t>
    <phoneticPr fontId="13" type="noConversion"/>
  </si>
  <si>
    <t>(Φ125*400mm)</t>
    <phoneticPr fontId="13" type="noConversion"/>
  </si>
  <si>
    <t xml:space="preserve"> 10. 잡철물설치</t>
    <phoneticPr fontId="12" type="noConversion"/>
  </si>
  <si>
    <t>(M8*40mm)</t>
    <phoneticPr fontId="13" type="noConversion"/>
  </si>
  <si>
    <t xml:space="preserve">  (D13)</t>
    <phoneticPr fontId="12" type="noConversion"/>
  </si>
  <si>
    <t xml:space="preserve"> 13. 오일스테인칠</t>
    <phoneticPr fontId="12" type="noConversion"/>
  </si>
  <si>
    <t>(목재면 2회)</t>
    <phoneticPr fontId="12" type="noConversion"/>
  </si>
  <si>
    <t xml:space="preserve"> 14. 녹막이페인트칠</t>
    <phoneticPr fontId="12" type="noConversion"/>
  </si>
  <si>
    <t>(철재면 2회)</t>
    <phoneticPr fontId="12" type="noConversion"/>
  </si>
  <si>
    <t xml:space="preserve">  ① 목재</t>
    <phoneticPr fontId="12" type="noConversion"/>
  </si>
  <si>
    <t>kg</t>
    <phoneticPr fontId="13" type="noConversion"/>
  </si>
  <si>
    <t>m</t>
    <phoneticPr fontId="13" type="noConversion"/>
  </si>
  <si>
    <t xml:space="preserve">     3. 공사구간</t>
    <phoneticPr fontId="13" type="noConversion"/>
  </si>
  <si>
    <t xml:space="preserve"> -. 9.5km</t>
    <phoneticPr fontId="13" type="noConversion"/>
  </si>
  <si>
    <t xml:space="preserve"> 9. 백관(Φ139.8)</t>
    <phoneticPr fontId="12" type="noConversion"/>
  </si>
  <si>
    <t>소실봉</t>
    <phoneticPr fontId="13" type="noConversion"/>
  </si>
  <si>
    <t>법화산 5호지</t>
    <phoneticPr fontId="13" type="noConversion"/>
  </si>
  <si>
    <t xml:space="preserve"> 6. 이형철근</t>
    <phoneticPr fontId="12" type="noConversion"/>
  </si>
  <si>
    <t>법화산 2호지</t>
    <phoneticPr fontId="13" type="noConversion"/>
  </si>
  <si>
    <t>법화산 3호지</t>
    <phoneticPr fontId="13" type="noConversion"/>
  </si>
  <si>
    <t>법화산 6호지</t>
    <phoneticPr fontId="13" type="noConversion"/>
  </si>
  <si>
    <t>데크계단 1식 : 데크계단 수량산출서 참고</t>
    <phoneticPr fontId="13" type="noConversion"/>
  </si>
  <si>
    <t>원주목계단 폐기물(폐기물 수량산출서 참고)</t>
    <phoneticPr fontId="13" type="noConversion"/>
  </si>
  <si>
    <t>평의자 폐기물(폐기물 수량산출서 참고)</t>
    <phoneticPr fontId="13" type="noConversion"/>
  </si>
  <si>
    <t>법화산 7호지</t>
    <phoneticPr fontId="13" type="noConversion"/>
  </si>
  <si>
    <t>PE계단 폐기물(합성수지폐기물, 폐기물 수량산출서 참고)</t>
    <phoneticPr fontId="13" type="noConversion"/>
  </si>
  <si>
    <t>법화산 8호지</t>
    <phoneticPr fontId="13" type="noConversion"/>
  </si>
  <si>
    <t>방향안내이정표, 운동시설 폐기물(폐기물 수량산출서 참고)</t>
    <phoneticPr fontId="13" type="noConversion"/>
  </si>
  <si>
    <t>통나무의자 폐기물(폐기물 수량산출서 참고)</t>
    <phoneticPr fontId="13" type="noConversion"/>
  </si>
  <si>
    <t>법화산 9호지</t>
    <phoneticPr fontId="13" type="noConversion"/>
  </si>
  <si>
    <t>법화산 10호지</t>
    <phoneticPr fontId="13" type="noConversion"/>
  </si>
  <si>
    <t>법화산 11호지</t>
    <phoneticPr fontId="13" type="noConversion"/>
  </si>
  <si>
    <t>법화산 12호지</t>
    <phoneticPr fontId="13" type="noConversion"/>
  </si>
  <si>
    <t>법화산 13호지</t>
    <phoneticPr fontId="13" type="noConversion"/>
  </si>
  <si>
    <t>석성산 1,2호지</t>
    <phoneticPr fontId="13" type="noConversion"/>
  </si>
  <si>
    <t>안전로프 폐기물(폐기물 수량산출서 참고)</t>
    <phoneticPr fontId="13" type="noConversion"/>
  </si>
  <si>
    <t>석성산 3호지</t>
    <phoneticPr fontId="13" type="noConversion"/>
  </si>
  <si>
    <t xml:space="preserve"> ▣ 식생토낭(3단)</t>
    <phoneticPr fontId="12" type="noConversion"/>
  </si>
  <si>
    <t xml:space="preserve">     3. 공사 개요</t>
    <phoneticPr fontId="13" type="noConversion"/>
  </si>
  <si>
    <t xml:space="preserve">     4. 설계기준</t>
    <phoneticPr fontId="13" type="noConversion"/>
  </si>
  <si>
    <t xml:space="preserve">     5. 공사 기간</t>
    <phoneticPr fontId="13" type="noConversion"/>
  </si>
  <si>
    <t>2ea (차단로프 설치 시 3ea 적용)</t>
    <phoneticPr fontId="13" type="noConversion"/>
  </si>
  <si>
    <t xml:space="preserve"> ▣ 자재운반 산출근거(관급자재)</t>
    <phoneticPr fontId="12" type="noConversion"/>
  </si>
  <si>
    <r>
      <rPr>
        <sz val="9"/>
        <rFont val="돋움"/>
        <family val="3"/>
        <charset val="129"/>
      </rPr>
      <t>도급자설치</t>
    </r>
    <r>
      <rPr>
        <sz val="9"/>
        <rFont val="Arial"/>
        <family val="2"/>
      </rPr>
      <t>+</t>
    </r>
    <r>
      <rPr>
        <sz val="9"/>
        <rFont val="돋움"/>
        <family val="3"/>
        <charset val="129"/>
      </rPr>
      <t xml:space="preserve">관급자설치
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천원미만절상</t>
    </r>
    <r>
      <rPr>
        <sz val="9"/>
        <rFont val="Arial"/>
        <family val="2"/>
      </rPr>
      <t>)</t>
    </r>
    <phoneticPr fontId="13" type="noConversion"/>
  </si>
  <si>
    <t>대지산 1호지</t>
    <phoneticPr fontId="13" type="noConversion"/>
  </si>
  <si>
    <t>대지산 3호지</t>
    <phoneticPr fontId="13" type="noConversion"/>
  </si>
  <si>
    <t>이정표 폐기물(폐기물 수량산출서 참고)</t>
    <phoneticPr fontId="13" type="noConversion"/>
  </si>
  <si>
    <t>대지산 2호지</t>
    <phoneticPr fontId="13" type="noConversion"/>
  </si>
  <si>
    <t>1. 숲길정비공</t>
    <phoneticPr fontId="13" type="noConversion"/>
  </si>
  <si>
    <t>11월</t>
  </si>
  <si>
    <t>12월</t>
  </si>
  <si>
    <t>현장확인 및 준비</t>
    <phoneticPr fontId="13" type="noConversion"/>
  </si>
  <si>
    <t xml:space="preserve"> ▣ 횡단개거(침목형, L2000*300*H200)</t>
    <phoneticPr fontId="12" type="noConversion"/>
  </si>
  <si>
    <t>W1500 * 30t</t>
    <phoneticPr fontId="13" type="noConversion"/>
  </si>
  <si>
    <t>1.5 * 1.0</t>
    <phoneticPr fontId="13" type="noConversion"/>
  </si>
  <si>
    <t>2 + (2/10) 10m당 3개 추가</t>
    <phoneticPr fontId="13" type="noConversion"/>
  </si>
  <si>
    <t>(L250, D10 이형철근)</t>
    <phoneticPr fontId="13" type="noConversion"/>
  </si>
  <si>
    <t>경간</t>
    <phoneticPr fontId="12" type="noConversion"/>
  </si>
  <si>
    <t xml:space="preserve"> 1. 인력터파기</t>
    <phoneticPr fontId="12" type="noConversion"/>
  </si>
  <si>
    <t>㎥</t>
    <phoneticPr fontId="12" type="noConversion"/>
  </si>
  <si>
    <t xml:space="preserve">  (0-1m)</t>
    <phoneticPr fontId="12" type="noConversion"/>
  </si>
  <si>
    <t xml:space="preserve">  (인력)</t>
    <phoneticPr fontId="12" type="noConversion"/>
  </si>
  <si>
    <t xml:space="preserve"> 4. 콘크리트 타설</t>
    <phoneticPr fontId="13" type="noConversion"/>
  </si>
  <si>
    <t>㎥</t>
    <phoneticPr fontId="13" type="noConversion"/>
  </si>
  <si>
    <t xml:space="preserve"> 6. 방부원형목재</t>
    <phoneticPr fontId="12" type="noConversion"/>
  </si>
  <si>
    <t xml:space="preserve"> 7. 목재설치</t>
    <phoneticPr fontId="12" type="noConversion"/>
  </si>
  <si>
    <t>㎥</t>
    <phoneticPr fontId="12" type="noConversion"/>
  </si>
  <si>
    <t>ton</t>
    <phoneticPr fontId="13" type="noConversion"/>
  </si>
  <si>
    <t>M12*L140 볼트 : 2ea*2ea*1.05(할증) = 4.2ea</t>
    <phoneticPr fontId="13" type="noConversion"/>
  </si>
  <si>
    <t>ea</t>
    <phoneticPr fontId="13" type="noConversion"/>
  </si>
  <si>
    <t>M12너트 : 2ea*2ea*1.05(할증) = 4.2ea</t>
    <phoneticPr fontId="13" type="noConversion"/>
  </si>
  <si>
    <t>M12와셔 : 4ea*2ea*1.05(할증) = 8.4ea</t>
    <phoneticPr fontId="13" type="noConversion"/>
  </si>
  <si>
    <t>kg</t>
    <phoneticPr fontId="12" type="noConversion"/>
  </si>
  <si>
    <t xml:space="preserve">  (D13,L300)</t>
    <phoneticPr fontId="12" type="noConversion"/>
  </si>
  <si>
    <t xml:space="preserve"> 14. 소운반</t>
    <phoneticPr fontId="12" type="noConversion"/>
  </si>
  <si>
    <t>EA</t>
    <phoneticPr fontId="12" type="noConversion"/>
  </si>
  <si>
    <t xml:space="preserve"> 1. 인력터파기</t>
    <phoneticPr fontId="12" type="noConversion"/>
  </si>
  <si>
    <t>㎥</t>
    <phoneticPr fontId="12" type="noConversion"/>
  </si>
  <si>
    <t xml:space="preserve"> 2. 잔토처리</t>
    <phoneticPr fontId="12" type="noConversion"/>
  </si>
  <si>
    <t xml:space="preserve">  (인력)</t>
    <phoneticPr fontId="12" type="noConversion"/>
  </si>
  <si>
    <t xml:space="preserve"> 3. 되메우고 다짐</t>
    <phoneticPr fontId="12" type="noConversion"/>
  </si>
  <si>
    <t xml:space="preserve"> 4. 방부원형목재</t>
    <phoneticPr fontId="12" type="noConversion"/>
  </si>
  <si>
    <t xml:space="preserve">  (φ150)</t>
    <phoneticPr fontId="12" type="noConversion"/>
  </si>
  <si>
    <t xml:space="preserve"> 5. 목재설치</t>
    <phoneticPr fontId="12" type="noConversion"/>
  </si>
  <si>
    <t xml:space="preserve">  (간단)</t>
    <phoneticPr fontId="12" type="noConversion"/>
  </si>
  <si>
    <t>0.6m * 3개소 = 1.8m</t>
    <phoneticPr fontId="12" type="noConversion"/>
  </si>
  <si>
    <t xml:space="preserve">  (D22mm, L600)</t>
    <phoneticPr fontId="12" type="noConversion"/>
  </si>
  <si>
    <t>kg</t>
    <phoneticPr fontId="12" type="noConversion"/>
  </si>
  <si>
    <t xml:space="preserve">  (간단)</t>
    <phoneticPr fontId="12" type="noConversion"/>
  </si>
  <si>
    <t xml:space="preserve">  ① 철물</t>
    <phoneticPr fontId="12" type="noConversion"/>
  </si>
  <si>
    <t xml:space="preserve"> ▣ 통나무횡배수대 (3.6m)</t>
    <phoneticPr fontId="12" type="noConversion"/>
  </si>
  <si>
    <t xml:space="preserve"> ▣ 통나무횡배수대 (1.5m)</t>
    <phoneticPr fontId="12" type="noConversion"/>
  </si>
  <si>
    <t>0.6m * 2개소 = 1.2m</t>
    <phoneticPr fontId="12" type="noConversion"/>
  </si>
  <si>
    <t>▣데크계단 오일스테인칠 (m당)</t>
    <phoneticPr fontId="13" type="noConversion"/>
  </si>
  <si>
    <t>(W1500)</t>
    <phoneticPr fontId="13" type="noConversion"/>
  </si>
  <si>
    <t>1.상판</t>
    <phoneticPr fontId="12" type="noConversion"/>
  </si>
  <si>
    <t>2. 첼판</t>
    <phoneticPr fontId="13" type="noConversion"/>
  </si>
  <si>
    <t>3. 마구리</t>
    <phoneticPr fontId="13" type="noConversion"/>
  </si>
  <si>
    <t>4.난간</t>
    <phoneticPr fontId="13" type="noConversion"/>
  </si>
  <si>
    <t>난간대(가로)</t>
    <phoneticPr fontId="13" type="noConversion"/>
  </si>
  <si>
    <t>난간대(세로)</t>
    <phoneticPr fontId="13" type="noConversion"/>
  </si>
  <si>
    <t>기둥</t>
    <phoneticPr fontId="13" type="noConversion"/>
  </si>
  <si>
    <t>1식 + 2식 + 3식 +4식</t>
    <phoneticPr fontId="13" type="noConversion"/>
  </si>
  <si>
    <t>합계</t>
    <phoneticPr fontId="13" type="noConversion"/>
  </si>
  <si>
    <t>▣평상철거</t>
    <phoneticPr fontId="13" type="noConversion"/>
  </si>
  <si>
    <t>(2500*2500)</t>
    <phoneticPr fontId="13" type="noConversion"/>
  </si>
  <si>
    <t>상판</t>
    <phoneticPr fontId="12" type="noConversion"/>
  </si>
  <si>
    <t>외곽틀</t>
    <phoneticPr fontId="13" type="noConversion"/>
  </si>
  <si>
    <t>1. 목구조체 철거</t>
    <phoneticPr fontId="13" type="noConversion"/>
  </si>
  <si>
    <t>2.  터파기</t>
    <phoneticPr fontId="13" type="noConversion"/>
  </si>
  <si>
    <t>1.상판(발판)</t>
    <phoneticPr fontId="12" type="noConversion"/>
  </si>
  <si>
    <t>2. 옆가림판</t>
    <phoneticPr fontId="13" type="noConversion"/>
  </si>
  <si>
    <t>3. 기둥</t>
    <phoneticPr fontId="13" type="noConversion"/>
  </si>
  <si>
    <t>4. 의자</t>
    <phoneticPr fontId="13" type="noConversion"/>
  </si>
  <si>
    <t>6. 천장</t>
    <phoneticPr fontId="13" type="noConversion"/>
  </si>
  <si>
    <t>5. 난간</t>
    <phoneticPr fontId="13" type="noConversion"/>
  </si>
  <si>
    <t>■ 판재교체</t>
    <phoneticPr fontId="13" type="noConversion"/>
  </si>
  <si>
    <t>▣팔각정자보수 (오일스테인칠&amp;판재교체)</t>
    <phoneticPr fontId="13" type="noConversion"/>
  </si>
  <si>
    <t>■ 오일스테인칠(불순물제거 + 목재면 오일스테인칠 2회)</t>
    <phoneticPr fontId="13" type="noConversion"/>
  </si>
  <si>
    <t>3. 콘크리트 부수기</t>
    <phoneticPr fontId="13" type="noConversion"/>
  </si>
  <si>
    <t xml:space="preserve"> ▣ 횡단개거(침목형, L1500*300*H200)</t>
    <phoneticPr fontId="12" type="noConversion"/>
  </si>
  <si>
    <t xml:space="preserve"> ▣ 통나무횡배수대 (2.4m)</t>
    <phoneticPr fontId="12" type="noConversion"/>
  </si>
  <si>
    <t>o</t>
    <phoneticPr fontId="13" type="noConversion"/>
  </si>
  <si>
    <t>o</t>
    <phoneticPr fontId="13" type="noConversion"/>
  </si>
  <si>
    <t>1.5 * 1.0</t>
    <phoneticPr fontId="13" type="noConversion"/>
  </si>
  <si>
    <t>2. 편의시설</t>
    <phoneticPr fontId="13" type="noConversion"/>
  </si>
  <si>
    <t>1.194+0.995=2.189kg</t>
    <phoneticPr fontId="13" type="noConversion"/>
  </si>
  <si>
    <t xml:space="preserve"> ▣ 목재계단(W800*320*H150)</t>
    <phoneticPr fontId="12" type="noConversion"/>
  </si>
  <si>
    <t xml:space="preserve"> ▣ 목재계단(W1200*320*H150)</t>
    <phoneticPr fontId="12" type="noConversion"/>
  </si>
  <si>
    <t xml:space="preserve"> ▣ 목재계단(침목형, 1500*320*H150)</t>
    <phoneticPr fontId="12" type="noConversion"/>
  </si>
  <si>
    <t xml:space="preserve"> ▣ 목재계단(침목형, 2000*320*H150)</t>
    <phoneticPr fontId="12" type="noConversion"/>
  </si>
  <si>
    <t xml:space="preserve"> 7. 소운반</t>
    <phoneticPr fontId="12" type="noConversion"/>
  </si>
  <si>
    <t>공       종</t>
    <phoneticPr fontId="13" type="noConversion"/>
  </si>
  <si>
    <t>공       종</t>
    <phoneticPr fontId="13" type="noConversion"/>
  </si>
  <si>
    <t>산      출      근      거</t>
    <phoneticPr fontId="13" type="noConversion"/>
  </si>
  <si>
    <t>단위</t>
    <phoneticPr fontId="13" type="noConversion"/>
  </si>
  <si>
    <t>단위</t>
    <phoneticPr fontId="13" type="noConversion"/>
  </si>
  <si>
    <t>수    량</t>
    <phoneticPr fontId="13" type="noConversion"/>
  </si>
  <si>
    <t>수    량</t>
    <phoneticPr fontId="13" type="noConversion"/>
  </si>
  <si>
    <t xml:space="preserve"> ▣ 데크계단 디딤판설치</t>
    <phoneticPr fontId="12" type="noConversion"/>
  </si>
  <si>
    <t>㎡</t>
    <phoneticPr fontId="12" type="noConversion"/>
  </si>
  <si>
    <t xml:space="preserve"> 1. 데크상판설치</t>
    <phoneticPr fontId="13" type="noConversion"/>
  </si>
  <si>
    <t xml:space="preserve"> 2. 오일스테인칠</t>
    <phoneticPr fontId="12" type="noConversion"/>
  </si>
  <si>
    <t>㎡</t>
    <phoneticPr fontId="12" type="noConversion"/>
  </si>
  <si>
    <t>(목재면 2회)</t>
    <phoneticPr fontId="12" type="noConversion"/>
  </si>
  <si>
    <t xml:space="preserve"> 3. 목재덱</t>
    <phoneticPr fontId="12" type="noConversion"/>
  </si>
  <si>
    <t xml:space="preserve"> 4. 소운반</t>
    <phoneticPr fontId="12" type="noConversion"/>
  </si>
  <si>
    <t xml:space="preserve">  ① 목재</t>
    <phoneticPr fontId="12" type="noConversion"/>
  </si>
  <si>
    <t>kg</t>
    <phoneticPr fontId="12" type="noConversion"/>
  </si>
  <si>
    <t xml:space="preserve"> ▣ 디자인형울타리 보수</t>
    <phoneticPr fontId="12" type="noConversion"/>
  </si>
  <si>
    <t>개소</t>
    <phoneticPr fontId="12" type="noConversion"/>
  </si>
  <si>
    <t xml:space="preserve"> 1. 난간설치</t>
    <phoneticPr fontId="13" type="noConversion"/>
  </si>
  <si>
    <t>㎥</t>
    <phoneticPr fontId="12" type="noConversion"/>
  </si>
  <si>
    <t xml:space="preserve"> 3. 브라켓</t>
    <phoneticPr fontId="13" type="noConversion"/>
  </si>
  <si>
    <t>4ea</t>
    <phoneticPr fontId="13" type="noConversion"/>
  </si>
  <si>
    <t>ea</t>
    <phoneticPr fontId="13" type="noConversion"/>
  </si>
  <si>
    <t>(26*90)</t>
    <phoneticPr fontId="12" type="noConversion"/>
  </si>
  <si>
    <t>4. 하드우드천연목재</t>
    <phoneticPr fontId="13" type="noConversion"/>
  </si>
  <si>
    <t>공       종</t>
    <phoneticPr fontId="13" type="noConversion"/>
  </si>
  <si>
    <t>산      출      근      거</t>
    <phoneticPr fontId="13" type="noConversion"/>
  </si>
  <si>
    <t>단위</t>
    <phoneticPr fontId="13" type="noConversion"/>
  </si>
  <si>
    <t>수    량</t>
    <phoneticPr fontId="13" type="noConversion"/>
  </si>
  <si>
    <t xml:space="preserve"> ▣ 안전로프(H1200, 경간당 1.5m)</t>
    <phoneticPr fontId="12" type="noConversion"/>
  </si>
  <si>
    <t>경간당</t>
    <phoneticPr fontId="12" type="noConversion"/>
  </si>
  <si>
    <t xml:space="preserve"> 1. 인력터파기</t>
    <phoneticPr fontId="12" type="noConversion"/>
  </si>
  <si>
    <t>0.5m*0.5m*0.45m = 0.112㎥</t>
    <phoneticPr fontId="12" type="noConversion"/>
  </si>
  <si>
    <t>(0-1m)</t>
    <phoneticPr fontId="12" type="noConversion"/>
  </si>
  <si>
    <t xml:space="preserve"> 2. 잔토처리 </t>
    <phoneticPr fontId="12" type="noConversion"/>
  </si>
  <si>
    <t>㎥</t>
    <phoneticPr fontId="12" type="noConversion"/>
  </si>
  <si>
    <t xml:space="preserve">   (인력)</t>
    <phoneticPr fontId="12" type="noConversion"/>
  </si>
  <si>
    <t xml:space="preserve"> 3. 되메우고 다짐</t>
    <phoneticPr fontId="12" type="noConversion"/>
  </si>
  <si>
    <t>㎥</t>
    <phoneticPr fontId="12" type="noConversion"/>
  </si>
  <si>
    <t xml:space="preserve">   (인력)</t>
    <phoneticPr fontId="12" type="noConversion"/>
  </si>
  <si>
    <t xml:space="preserve"> 4. 콘크리트타설 </t>
    <phoneticPr fontId="12" type="noConversion"/>
  </si>
  <si>
    <t xml:space="preserve"> 5. 합판거푸집</t>
    <phoneticPr fontId="12" type="noConversion"/>
  </si>
  <si>
    <t>0.3m*0.3m*4면 = 0.36㎡</t>
    <phoneticPr fontId="12" type="noConversion"/>
  </si>
  <si>
    <t>㎡</t>
    <phoneticPr fontId="12" type="noConversion"/>
  </si>
  <si>
    <t xml:space="preserve"> 6. 백관</t>
    <phoneticPr fontId="12" type="noConversion"/>
  </si>
  <si>
    <t xml:space="preserve">  (φ114.3외경, L=500)</t>
    <phoneticPr fontId="12" type="noConversion"/>
  </si>
  <si>
    <t xml:space="preserve">  (아연도금면)</t>
    <phoneticPr fontId="12" type="noConversion"/>
  </si>
  <si>
    <t>유성폐인트칠</t>
    <phoneticPr fontId="12" type="noConversion"/>
  </si>
  <si>
    <t>ton</t>
    <phoneticPr fontId="12" type="noConversion"/>
  </si>
  <si>
    <t>재</t>
    <phoneticPr fontId="13" type="noConversion"/>
  </si>
  <si>
    <t xml:space="preserve">  (간단구조)</t>
    <phoneticPr fontId="12" type="noConversion"/>
  </si>
  <si>
    <t>조</t>
    <phoneticPr fontId="12" type="noConversion"/>
  </si>
  <si>
    <t xml:space="preserve">  와셔(M12,L160)</t>
    <phoneticPr fontId="12" type="noConversion"/>
  </si>
  <si>
    <t xml:space="preserve"> 13. 이형철근</t>
    <phoneticPr fontId="12" type="noConversion"/>
  </si>
  <si>
    <t>0.2m*2ea</t>
    <phoneticPr fontId="12" type="noConversion"/>
  </si>
  <si>
    <t>ton</t>
    <phoneticPr fontId="12" type="noConversion"/>
  </si>
  <si>
    <t>(D13)</t>
    <phoneticPr fontId="13" type="noConversion"/>
  </si>
  <si>
    <t>ton</t>
    <phoneticPr fontId="12" type="noConversion"/>
  </si>
  <si>
    <t>(목재면 2회)</t>
    <phoneticPr fontId="13" type="noConversion"/>
  </si>
  <si>
    <t>kg</t>
    <phoneticPr fontId="12" type="noConversion"/>
  </si>
  <si>
    <t xml:space="preserve">  ① 철물</t>
    <phoneticPr fontId="12" type="noConversion"/>
  </si>
  <si>
    <t xml:space="preserve">  ② 콘크리트</t>
    <phoneticPr fontId="12" type="noConversion"/>
  </si>
  <si>
    <t xml:space="preserve">  ③ 방부목재</t>
    <phoneticPr fontId="13" type="noConversion"/>
  </si>
  <si>
    <t xml:space="preserve">  ④ 합판거푸집</t>
    <phoneticPr fontId="13" type="noConversion"/>
  </si>
  <si>
    <t>공       종</t>
    <phoneticPr fontId="13" type="noConversion"/>
  </si>
  <si>
    <t>산      출      근      거</t>
    <phoneticPr fontId="13" type="noConversion"/>
  </si>
  <si>
    <t>단위</t>
    <phoneticPr fontId="13" type="noConversion"/>
  </si>
  <si>
    <t xml:space="preserve"> ▣ 안전로프시종점(기초&amp;턴버클, 350*350*350)</t>
    <phoneticPr fontId="12" type="noConversion"/>
  </si>
  <si>
    <t>개소</t>
    <phoneticPr fontId="12" type="noConversion"/>
  </si>
  <si>
    <t xml:space="preserve"> 1. 인력터파기</t>
    <phoneticPr fontId="12" type="noConversion"/>
  </si>
  <si>
    <t>(0-1m)</t>
    <phoneticPr fontId="12" type="noConversion"/>
  </si>
  <si>
    <t xml:space="preserve"> 2. 잔토처리 </t>
    <phoneticPr fontId="12" type="noConversion"/>
  </si>
  <si>
    <t>1식 - 2식</t>
    <phoneticPr fontId="13" type="noConversion"/>
  </si>
  <si>
    <t xml:space="preserve"> 5. 합판거푸집</t>
    <phoneticPr fontId="12" type="noConversion"/>
  </si>
  <si>
    <t xml:space="preserve">  (6회)</t>
    <phoneticPr fontId="12" type="noConversion"/>
  </si>
  <si>
    <t xml:space="preserve"> 6. 이형철근</t>
    <phoneticPr fontId="12" type="noConversion"/>
  </si>
  <si>
    <t>0.9m</t>
    <phoneticPr fontId="12" type="noConversion"/>
  </si>
  <si>
    <t xml:space="preserve"> 7. 철근조립</t>
    <phoneticPr fontId="12" type="noConversion"/>
  </si>
  <si>
    <t>(type-1)</t>
    <phoneticPr fontId="12" type="noConversion"/>
  </si>
  <si>
    <t xml:space="preserve"> 8.턴버클</t>
    <phoneticPr fontId="12" type="noConversion"/>
  </si>
  <si>
    <t>1ea</t>
    <phoneticPr fontId="13" type="noConversion"/>
  </si>
  <si>
    <t>ea</t>
    <phoneticPr fontId="12" type="noConversion"/>
  </si>
  <si>
    <t>22㎜, STS</t>
    <phoneticPr fontId="12" type="noConversion"/>
  </si>
  <si>
    <t xml:space="preserve"> 9.U볼트(5/16)</t>
    <phoneticPr fontId="12" type="noConversion"/>
  </si>
  <si>
    <t>1ea</t>
    <phoneticPr fontId="13" type="noConversion"/>
  </si>
  <si>
    <t>ea</t>
    <phoneticPr fontId="12" type="noConversion"/>
  </si>
  <si>
    <t xml:space="preserve"> 10. 소운반</t>
    <phoneticPr fontId="12" type="noConversion"/>
  </si>
  <si>
    <t>kg</t>
    <phoneticPr fontId="12" type="noConversion"/>
  </si>
  <si>
    <t>0.895kg + 1.08kg + (3kg*2ea)</t>
    <phoneticPr fontId="13" type="noConversion"/>
  </si>
  <si>
    <t xml:space="preserve">  ② 콘크리트</t>
    <phoneticPr fontId="12" type="noConversion"/>
  </si>
  <si>
    <t xml:space="preserve">  ③ 합판거푸집</t>
    <phoneticPr fontId="13" type="noConversion"/>
  </si>
  <si>
    <t>수    량</t>
    <phoneticPr fontId="13" type="noConversion"/>
  </si>
  <si>
    <t xml:space="preserve"> ▣ 통나무편책(W3000*H400)</t>
    <phoneticPr fontId="12" type="noConversion"/>
  </si>
  <si>
    <t>경간</t>
    <phoneticPr fontId="12" type="noConversion"/>
  </si>
  <si>
    <t xml:space="preserve">  (0-1m)</t>
    <phoneticPr fontId="12" type="noConversion"/>
  </si>
  <si>
    <t xml:space="preserve"> 2. 잔토처리</t>
    <phoneticPr fontId="12" type="noConversion"/>
  </si>
  <si>
    <t xml:space="preserve">  (인력)</t>
    <phoneticPr fontId="12" type="noConversion"/>
  </si>
  <si>
    <t xml:space="preserve"> 3. 되메우고 다짐</t>
    <phoneticPr fontId="13" type="noConversion"/>
  </si>
  <si>
    <t>1식 - 2식</t>
    <phoneticPr fontId="13" type="noConversion"/>
  </si>
  <si>
    <t>㎥</t>
    <phoneticPr fontId="13" type="noConversion"/>
  </si>
  <si>
    <t xml:space="preserve"> 4. 콘크리트 타설</t>
    <phoneticPr fontId="13" type="noConversion"/>
  </si>
  <si>
    <t xml:space="preserve"> 5. 합판거푸집</t>
    <phoneticPr fontId="13" type="noConversion"/>
  </si>
  <si>
    <t>㎡</t>
    <phoneticPr fontId="13" type="noConversion"/>
  </si>
  <si>
    <t xml:space="preserve"> 6. 방부원형목재</t>
    <phoneticPr fontId="12" type="noConversion"/>
  </si>
  <si>
    <t>재</t>
    <phoneticPr fontId="12" type="noConversion"/>
  </si>
  <si>
    <t>재</t>
    <phoneticPr fontId="12" type="noConversion"/>
  </si>
  <si>
    <t xml:space="preserve"> 7. 목재설치</t>
    <phoneticPr fontId="12" type="noConversion"/>
  </si>
  <si>
    <t xml:space="preserve"> 8. 오일스테인칠</t>
    <phoneticPr fontId="12" type="noConversion"/>
  </si>
  <si>
    <t xml:space="preserve"> 9. 백관</t>
    <phoneticPr fontId="13" type="noConversion"/>
  </si>
  <si>
    <t>m</t>
    <phoneticPr fontId="13" type="noConversion"/>
  </si>
  <si>
    <t>(￠139.8외경, L400mm)</t>
    <phoneticPr fontId="13" type="noConversion"/>
  </si>
  <si>
    <t xml:space="preserve"> 10. 잡철물설치</t>
    <phoneticPr fontId="13" type="noConversion"/>
  </si>
  <si>
    <t>ton</t>
    <phoneticPr fontId="13" type="noConversion"/>
  </si>
  <si>
    <t xml:space="preserve"> 11. 전산볼트</t>
    <phoneticPr fontId="13" type="noConversion"/>
  </si>
  <si>
    <t xml:space="preserve"> 12. sts 볼트/너트/와셔</t>
    <phoneticPr fontId="13" type="noConversion"/>
  </si>
  <si>
    <t xml:space="preserve"> 12. sts 볼트/너트/와셔</t>
    <phoneticPr fontId="13" type="noConversion"/>
  </si>
  <si>
    <t>M12*L160 볼트 : 4EA*1.05(할증) = 4.2EA</t>
    <phoneticPr fontId="13" type="noConversion"/>
  </si>
  <si>
    <t>M12너트 : 4EA*1.05(할증) = 4.2EA</t>
    <phoneticPr fontId="13" type="noConversion"/>
  </si>
  <si>
    <t>ea</t>
    <phoneticPr fontId="13" type="noConversion"/>
  </si>
  <si>
    <t>M12와셔 : 8EA*1.05(할증) = 8.4EA</t>
    <phoneticPr fontId="13" type="noConversion"/>
  </si>
  <si>
    <t xml:space="preserve">  (D13,L300)</t>
    <phoneticPr fontId="12" type="noConversion"/>
  </si>
  <si>
    <t xml:space="preserve"> 14. 철근조립</t>
    <phoneticPr fontId="13" type="noConversion"/>
  </si>
  <si>
    <t xml:space="preserve"> 15. 소운반</t>
    <phoneticPr fontId="12" type="noConversion"/>
  </si>
  <si>
    <t xml:space="preserve">  ① 방부목재</t>
    <phoneticPr fontId="12" type="noConversion"/>
  </si>
  <si>
    <t xml:space="preserve">  ② 철물</t>
    <phoneticPr fontId="12" type="noConversion"/>
  </si>
  <si>
    <t xml:space="preserve">  ③ 콘크리트</t>
    <phoneticPr fontId="13" type="noConversion"/>
  </si>
  <si>
    <t xml:space="preserve">  ④ 합판거푸집</t>
    <phoneticPr fontId="13" type="noConversion"/>
  </si>
  <si>
    <t>산      출      근      거</t>
    <phoneticPr fontId="13" type="noConversion"/>
  </si>
  <si>
    <t xml:space="preserve"> ▣ 통나무편책(W3000*H600)</t>
    <phoneticPr fontId="12" type="noConversion"/>
  </si>
  <si>
    <t xml:space="preserve"> 1. 인력터파기</t>
    <phoneticPr fontId="12" type="noConversion"/>
  </si>
  <si>
    <t>㎥</t>
    <phoneticPr fontId="12" type="noConversion"/>
  </si>
  <si>
    <t>㎥</t>
    <phoneticPr fontId="12" type="noConversion"/>
  </si>
  <si>
    <t xml:space="preserve">  (인력)</t>
    <phoneticPr fontId="12" type="noConversion"/>
  </si>
  <si>
    <t xml:space="preserve"> 3. 되메우고 다짐</t>
    <phoneticPr fontId="13" type="noConversion"/>
  </si>
  <si>
    <t>1식 - 2식</t>
    <phoneticPr fontId="13" type="noConversion"/>
  </si>
  <si>
    <t xml:space="preserve"> 4. 콘크리트 타설</t>
    <phoneticPr fontId="13" type="noConversion"/>
  </si>
  <si>
    <t>㎥</t>
    <phoneticPr fontId="13" type="noConversion"/>
  </si>
  <si>
    <t xml:space="preserve"> 5. 합판거푸집</t>
    <phoneticPr fontId="13" type="noConversion"/>
  </si>
  <si>
    <t>㎡</t>
    <phoneticPr fontId="13" type="noConversion"/>
  </si>
  <si>
    <t>재</t>
    <phoneticPr fontId="12" type="noConversion"/>
  </si>
  <si>
    <t xml:space="preserve"> 7. 목재설치</t>
    <phoneticPr fontId="12" type="noConversion"/>
  </si>
  <si>
    <t xml:space="preserve"> 8. 오일스테인칠</t>
    <phoneticPr fontId="12" type="noConversion"/>
  </si>
  <si>
    <t>(목재면 2회)</t>
    <phoneticPr fontId="13" type="noConversion"/>
  </si>
  <si>
    <t xml:space="preserve"> 9. 백관</t>
    <phoneticPr fontId="13" type="noConversion"/>
  </si>
  <si>
    <t>m</t>
    <phoneticPr fontId="13" type="noConversion"/>
  </si>
  <si>
    <t xml:space="preserve"> 10. 잡철물설치</t>
    <phoneticPr fontId="13" type="noConversion"/>
  </si>
  <si>
    <t xml:space="preserve"> 11. 전산볼트</t>
    <phoneticPr fontId="13" type="noConversion"/>
  </si>
  <si>
    <t>m</t>
    <phoneticPr fontId="13" type="noConversion"/>
  </si>
  <si>
    <t>M12*L160 볼트 : 4EA*1.05(할증) = 4.2EA</t>
    <phoneticPr fontId="13" type="noConversion"/>
  </si>
  <si>
    <t>ea</t>
    <phoneticPr fontId="13" type="noConversion"/>
  </si>
  <si>
    <t>M12너트 : 4EA*1.05(할증) = 4.2EA</t>
    <phoneticPr fontId="13" type="noConversion"/>
  </si>
  <si>
    <t>ea</t>
    <phoneticPr fontId="13" type="noConversion"/>
  </si>
  <si>
    <t xml:space="preserve"> 13. 이형철근</t>
    <phoneticPr fontId="12" type="noConversion"/>
  </si>
  <si>
    <t xml:space="preserve">  (D13,L300)</t>
    <phoneticPr fontId="12" type="noConversion"/>
  </si>
  <si>
    <t>ton</t>
    <phoneticPr fontId="13" type="noConversion"/>
  </si>
  <si>
    <t xml:space="preserve"> 14. 철근조립</t>
    <phoneticPr fontId="13" type="noConversion"/>
  </si>
  <si>
    <t>ton</t>
    <phoneticPr fontId="13" type="noConversion"/>
  </si>
  <si>
    <t xml:space="preserve"> 15. 소운반</t>
    <phoneticPr fontId="12" type="noConversion"/>
  </si>
  <si>
    <t xml:space="preserve">  ① 방부목재</t>
    <phoneticPr fontId="12" type="noConversion"/>
  </si>
  <si>
    <t xml:space="preserve">  ② 철물</t>
    <phoneticPr fontId="12" type="noConversion"/>
  </si>
  <si>
    <t>단</t>
    <phoneticPr fontId="12" type="noConversion"/>
  </si>
  <si>
    <t xml:space="preserve"> 1. 인력터파기</t>
    <phoneticPr fontId="12" type="noConversion"/>
  </si>
  <si>
    <t>(8T)</t>
    <phoneticPr fontId="12" type="noConversion"/>
  </si>
  <si>
    <t>강판 : 9,689kg</t>
    <phoneticPr fontId="13" type="noConversion"/>
  </si>
  <si>
    <t xml:space="preserve"> 11. 스텐육각볼트</t>
    <phoneticPr fontId="12" type="noConversion"/>
  </si>
  <si>
    <t xml:space="preserve"> 12. 이형철근</t>
    <phoneticPr fontId="12" type="noConversion"/>
  </si>
  <si>
    <t xml:space="preserve">  ② 철물</t>
    <phoneticPr fontId="12" type="noConversion"/>
  </si>
  <si>
    <t>공       종</t>
    <phoneticPr fontId="13" type="noConversion"/>
  </si>
  <si>
    <t>산      출      근      거</t>
    <phoneticPr fontId="13" type="noConversion"/>
  </si>
  <si>
    <t>단위</t>
    <phoneticPr fontId="13" type="noConversion"/>
  </si>
  <si>
    <t>수    량</t>
    <phoneticPr fontId="13" type="noConversion"/>
  </si>
  <si>
    <t>개소</t>
    <phoneticPr fontId="12" type="noConversion"/>
  </si>
  <si>
    <t xml:space="preserve"> 1. 인력터파기</t>
    <phoneticPr fontId="12" type="noConversion"/>
  </si>
  <si>
    <t>㎥</t>
    <phoneticPr fontId="12" type="noConversion"/>
  </si>
  <si>
    <t xml:space="preserve"> 2. 되메우기</t>
    <phoneticPr fontId="12" type="noConversion"/>
  </si>
  <si>
    <t xml:space="preserve"> 3. 잔토처리</t>
    <phoneticPr fontId="12" type="noConversion"/>
  </si>
  <si>
    <t>1식 - 2식</t>
    <phoneticPr fontId="13" type="noConversion"/>
  </si>
  <si>
    <t xml:space="preserve"> 4. 로프기둥 재설치</t>
    <phoneticPr fontId="12" type="noConversion"/>
  </si>
  <si>
    <t>인</t>
    <phoneticPr fontId="12" type="noConversion"/>
  </si>
  <si>
    <t xml:space="preserve"> ▣ 안전로프 기둥 도장(Φ120, H1600)</t>
    <phoneticPr fontId="12" type="noConversion"/>
  </si>
  <si>
    <t>경간</t>
    <phoneticPr fontId="12" type="noConversion"/>
  </si>
  <si>
    <t xml:space="preserve"> 1. 목재면 바탕처리</t>
    <phoneticPr fontId="13" type="noConversion"/>
  </si>
  <si>
    <t>㎡</t>
    <phoneticPr fontId="12" type="noConversion"/>
  </si>
  <si>
    <t>(Φ120*L1600)</t>
    <phoneticPr fontId="12" type="noConversion"/>
  </si>
  <si>
    <t xml:space="preserve"> 2. 오일스테인칠</t>
    <phoneticPr fontId="12" type="noConversion"/>
  </si>
  <si>
    <t>(목재면 2회)</t>
    <phoneticPr fontId="13" type="noConversion"/>
  </si>
  <si>
    <t xml:space="preserve"> ▣ PP로프 교체</t>
    <phoneticPr fontId="12" type="noConversion"/>
  </si>
  <si>
    <t>m</t>
    <phoneticPr fontId="12" type="noConversion"/>
  </si>
  <si>
    <t>1.0*1.05</t>
    <phoneticPr fontId="13" type="noConversion"/>
  </si>
  <si>
    <t xml:space="preserve"> 2. PP로프 교체</t>
    <phoneticPr fontId="12" type="noConversion"/>
  </si>
  <si>
    <t xml:space="preserve"> ▣ 데크난간 보수</t>
    <phoneticPr fontId="12" type="noConversion"/>
  </si>
  <si>
    <t xml:space="preserve"> 1. 난간재</t>
    <phoneticPr fontId="12" type="noConversion"/>
  </si>
  <si>
    <t>(1200*90*40)</t>
    <phoneticPr fontId="13" type="noConversion"/>
  </si>
  <si>
    <t xml:space="preserve"> 2. 보강재 </t>
    <phoneticPr fontId="12" type="noConversion"/>
  </si>
  <si>
    <t>(900*40*40)</t>
    <phoneticPr fontId="13" type="noConversion"/>
  </si>
  <si>
    <t xml:space="preserve"> 3. 오일스테인칠</t>
    <phoneticPr fontId="12" type="noConversion"/>
  </si>
  <si>
    <t>공       종</t>
    <phoneticPr fontId="13" type="noConversion"/>
  </si>
  <si>
    <t xml:space="preserve"> ▣ 1호지 트렐리스</t>
    <phoneticPr fontId="12" type="noConversion"/>
  </si>
  <si>
    <t xml:space="preserve"> ▣ 5호지(병풍바위전망대 난간재도장, L=28.8m)</t>
    <phoneticPr fontId="12" type="noConversion"/>
  </si>
  <si>
    <t>■ 목재면 재도장(불순물제거 + 목재면 오일스테인칠 2회)</t>
    <phoneticPr fontId="13" type="noConversion"/>
  </si>
  <si>
    <t>1. 난간도색(철재면 재도장 바탕처리&amp;녹막이페인트 칠, 난간 28.8m)</t>
    <phoneticPr fontId="13" type="noConversion"/>
  </si>
  <si>
    <t>상부(3400*1100)</t>
    <phoneticPr fontId="13" type="noConversion"/>
  </si>
  <si>
    <t>(세로, Φ50*L950)</t>
    <phoneticPr fontId="13" type="noConversion"/>
  </si>
  <si>
    <t>(세로, Φ30*L810)</t>
    <phoneticPr fontId="12" type="noConversion"/>
  </si>
  <si>
    <t>(가로, Φ50)</t>
    <phoneticPr fontId="13" type="noConversion"/>
  </si>
  <si>
    <t>(가로, Φ30)</t>
    <phoneticPr fontId="13" type="noConversion"/>
  </si>
  <si>
    <t>기둥(120*120*H2200)</t>
    <phoneticPr fontId="13" type="noConversion"/>
  </si>
  <si>
    <t>측면(760*H1850)</t>
    <phoneticPr fontId="13" type="noConversion"/>
  </si>
  <si>
    <t xml:space="preserve"> ▣ 1호지 퍼걸러 지붕</t>
    <phoneticPr fontId="13" type="noConversion"/>
  </si>
  <si>
    <t>개소</t>
    <phoneticPr fontId="13" type="noConversion"/>
  </si>
  <si>
    <t>루버(1단)</t>
    <phoneticPr fontId="13" type="noConversion"/>
  </si>
  <si>
    <t>루버(2단)</t>
    <phoneticPr fontId="13" type="noConversion"/>
  </si>
  <si>
    <t xml:space="preserve"> ▣ 2, 4호지 평상데크</t>
    <phoneticPr fontId="13" type="noConversion"/>
  </si>
  <si>
    <t>개소</t>
    <phoneticPr fontId="13" type="noConversion"/>
  </si>
  <si>
    <t>평상</t>
    <phoneticPr fontId="13" type="noConversion"/>
  </si>
  <si>
    <t>옆가림판</t>
    <phoneticPr fontId="13" type="noConversion"/>
  </si>
  <si>
    <t xml:space="preserve"> ▣ 2, 4호지 데크난간</t>
    <phoneticPr fontId="13" type="noConversion"/>
  </si>
  <si>
    <t>경간</t>
    <phoneticPr fontId="13" type="noConversion"/>
  </si>
  <si>
    <t>■ 목재면 재도장(불순물제거 + 목재면 오일스테인칠 2회)</t>
    <phoneticPr fontId="13" type="noConversion"/>
  </si>
  <si>
    <t>기둥</t>
    <phoneticPr fontId="13" type="noConversion"/>
  </si>
  <si>
    <t>난간</t>
    <phoneticPr fontId="13" type="noConversion"/>
  </si>
  <si>
    <t>지지대</t>
    <phoneticPr fontId="13" type="noConversion"/>
  </si>
  <si>
    <t xml:space="preserve"> ▣ 4호지 선베드</t>
    <phoneticPr fontId="13" type="noConversion"/>
  </si>
  <si>
    <t>A</t>
    <phoneticPr fontId="13" type="noConversion"/>
  </si>
  <si>
    <t>B</t>
    <phoneticPr fontId="13" type="noConversion"/>
  </si>
  <si>
    <t>C</t>
    <phoneticPr fontId="13" type="noConversion"/>
  </si>
  <si>
    <t>→ 필요시 : 프라이머칠, 조합페인트칠</t>
    <phoneticPr fontId="12" type="noConversion"/>
  </si>
  <si>
    <t xml:space="preserve"> 7. 잡철물설치 </t>
    <phoneticPr fontId="12" type="noConversion"/>
  </si>
  <si>
    <t xml:space="preserve"> 8. 방부원형목재</t>
    <phoneticPr fontId="12" type="noConversion"/>
  </si>
  <si>
    <t xml:space="preserve"> 9. 목재설치</t>
    <phoneticPr fontId="12" type="noConversion"/>
  </si>
  <si>
    <t xml:space="preserve"> 10. STS볼트/너트/</t>
    <phoneticPr fontId="12" type="noConversion"/>
  </si>
  <si>
    <t xml:space="preserve"> 13. 철근조립</t>
    <phoneticPr fontId="12" type="noConversion"/>
  </si>
  <si>
    <t xml:space="preserve"> 14. 로프</t>
    <phoneticPr fontId="13" type="noConversion"/>
  </si>
  <si>
    <t xml:space="preserve"> 15. 오일스테인칠</t>
    <phoneticPr fontId="12" type="noConversion"/>
  </si>
  <si>
    <t xml:space="preserve"> 15. 소운반</t>
    <phoneticPr fontId="12" type="noConversion"/>
  </si>
  <si>
    <t xml:space="preserve"> 1. PP로프(Φ지정mm)</t>
    <phoneticPr fontId="12" type="noConversion"/>
  </si>
  <si>
    <t>2인 10분 작업 : 10 / 480분 * 2인= 0.041인</t>
    <phoneticPr fontId="13" type="noConversion"/>
  </si>
  <si>
    <t>인</t>
  </si>
  <si>
    <t xml:space="preserve"> ▣ 안전로프 재설치</t>
    <phoneticPr fontId="12" type="noConversion"/>
  </si>
  <si>
    <t xml:space="preserve"> ▣ 목재계단(W1000*320*H150)</t>
    <phoneticPr fontId="12" type="noConversion"/>
  </si>
  <si>
    <t xml:space="preserve"> ▣ 통나무횡배수대 (1.8m)</t>
    <phoneticPr fontId="12" type="noConversion"/>
  </si>
  <si>
    <t xml:space="preserve"> ▣ 통나무횡배수대 (3.0m)</t>
    <phoneticPr fontId="12" type="noConversion"/>
  </si>
  <si>
    <t xml:space="preserve"> ▣ 식생토낭(1단)</t>
    <phoneticPr fontId="12" type="noConversion"/>
  </si>
  <si>
    <t xml:space="preserve"> ▣ 통나무편책(W2000*H600)</t>
    <phoneticPr fontId="12" type="noConversion"/>
  </si>
  <si>
    <t xml:space="preserve"> 11. 전산볼트</t>
    <phoneticPr fontId="13" type="noConversion"/>
  </si>
  <si>
    <t xml:space="preserve"> 12. sts 볼트/너트/와셔</t>
    <phoneticPr fontId="13" type="noConversion"/>
  </si>
  <si>
    <t xml:space="preserve"> 13. 이형철근</t>
    <phoneticPr fontId="12" type="noConversion"/>
  </si>
  <si>
    <t>㎡</t>
  </si>
  <si>
    <t>㎡</t>
    <phoneticPr fontId="12" type="noConversion"/>
  </si>
  <si>
    <t>1. 보행매트(W1500)</t>
    <phoneticPr fontId="13" type="noConversion"/>
  </si>
  <si>
    <t>공       종</t>
    <phoneticPr fontId="13" type="noConversion"/>
  </si>
  <si>
    <t>단위</t>
    <phoneticPr fontId="13" type="noConversion"/>
  </si>
  <si>
    <t>수    량</t>
    <phoneticPr fontId="13" type="noConversion"/>
  </si>
  <si>
    <t xml:space="preserve"> ▣ 피크닉테이블(1800*1900*710)</t>
    <phoneticPr fontId="12" type="noConversion"/>
  </si>
  <si>
    <t>개소</t>
    <phoneticPr fontId="12" type="noConversion"/>
  </si>
  <si>
    <t xml:space="preserve"> 1. 천연목재</t>
    <phoneticPr fontId="13" type="noConversion"/>
  </si>
  <si>
    <t>① 0.10*0.04*1.8m*8ea/0.00334 = 17.24재, 17.24*1.05(할증) = 18.108</t>
    <phoneticPr fontId="13" type="noConversion"/>
  </si>
  <si>
    <t>재</t>
  </si>
  <si>
    <t>(하드우드)</t>
    <phoneticPr fontId="13" type="noConversion"/>
  </si>
  <si>
    <t>② 0.12*0.04*1.8m*7ea/0.00334 = 18.10재, 18.10*1.05(할증) = 19.013</t>
    <phoneticPr fontId="13" type="noConversion"/>
  </si>
  <si>
    <t>③ 0.10*0.04*0.9m*5ea/0.00334 = 5.39재, 5.39*1.05(할증) = 5.659</t>
    <phoneticPr fontId="13" type="noConversion"/>
  </si>
  <si>
    <t>④ 0.10*0.04*1.9m*4ea/0.00334 = 9.10재, 9.10*1.05(할증) = 9.557</t>
    <phoneticPr fontId="13" type="noConversion"/>
  </si>
  <si>
    <t>⑤ 0.10*0.04*1.24m*2ea/0.00334 = 2.97재, 2.97*1.05(할증) = 3.119</t>
    <phoneticPr fontId="13" type="noConversion"/>
  </si>
  <si>
    <t>⑥ 0.10*0.04*1.48m*1ea/0.00334 = 1.77재, 1.77*1.05(할증) = 1.861</t>
    <phoneticPr fontId="13" type="noConversion"/>
  </si>
  <si>
    <t>⑦ 0.10*0.04*0.75m*4ea/0.00334 = 3.59재, 3.59*1.05(할증) = 3.772</t>
    <phoneticPr fontId="13" type="noConversion"/>
  </si>
  <si>
    <t>계</t>
    <phoneticPr fontId="13" type="noConversion"/>
  </si>
  <si>
    <t xml:space="preserve"> 2. 목재설치(간단)</t>
    <phoneticPr fontId="13" type="noConversion"/>
  </si>
  <si>
    <t xml:space="preserve"> 3. 인력터파기</t>
    <phoneticPr fontId="12" type="noConversion"/>
  </si>
  <si>
    <t>㎥</t>
    <phoneticPr fontId="12" type="noConversion"/>
  </si>
  <si>
    <t xml:space="preserve">  (0-1m)</t>
    <phoneticPr fontId="12" type="noConversion"/>
  </si>
  <si>
    <t xml:space="preserve"> 4. 되메우고 다지기</t>
    <phoneticPr fontId="12" type="noConversion"/>
  </si>
  <si>
    <t xml:space="preserve">  (인력)</t>
    <phoneticPr fontId="12" type="noConversion"/>
  </si>
  <si>
    <t xml:space="preserve"> 5. 잔토처리</t>
    <phoneticPr fontId="12" type="noConversion"/>
  </si>
  <si>
    <t>3식 - 4식</t>
    <phoneticPr fontId="12" type="noConversion"/>
  </si>
  <si>
    <t xml:space="preserve"> 6. 합판거푸집(회)</t>
    <phoneticPr fontId="12" type="noConversion"/>
  </si>
  <si>
    <t xml:space="preserve"> 7. 콘크리트 타설</t>
    <phoneticPr fontId="12" type="noConversion"/>
  </si>
  <si>
    <t xml:space="preserve"> 8. 오일스테인칠</t>
    <phoneticPr fontId="12" type="noConversion"/>
  </si>
  <si>
    <t>㎡</t>
    <phoneticPr fontId="12" type="noConversion"/>
  </si>
  <si>
    <t>(목재면 2회)</t>
    <phoneticPr fontId="13" type="noConversion"/>
  </si>
  <si>
    <t xml:space="preserve"> 계</t>
    <phoneticPr fontId="13" type="noConversion"/>
  </si>
  <si>
    <t xml:space="preserve"> 9. 소운반</t>
    <phoneticPr fontId="12" type="noConversion"/>
  </si>
  <si>
    <t>kg</t>
    <phoneticPr fontId="12" type="noConversion"/>
  </si>
  <si>
    <t>목재</t>
    <phoneticPr fontId="12" type="noConversion"/>
  </si>
  <si>
    <t>콘크리트</t>
    <phoneticPr fontId="12" type="noConversion"/>
  </si>
  <si>
    <t>산      출      근      거</t>
    <phoneticPr fontId="13" type="noConversion"/>
  </si>
  <si>
    <t xml:space="preserve"> ▣ 등의자보수(앉음판)(1800*380*770)</t>
    <phoneticPr fontId="12" type="noConversion"/>
  </si>
  <si>
    <t>앉음판 4ea 철거 후 재설치</t>
    <phoneticPr fontId="13" type="noConversion"/>
  </si>
  <si>
    <t xml:space="preserve"> 2. 천연목재(건조목)</t>
    <phoneticPr fontId="12" type="noConversion"/>
  </si>
  <si>
    <t>재</t>
    <phoneticPr fontId="12" type="noConversion"/>
  </si>
  <si>
    <t>(1800*90*60)</t>
    <phoneticPr fontId="12" type="noConversion"/>
  </si>
  <si>
    <t xml:space="preserve"> 3. 목재설치(간단)</t>
    <phoneticPr fontId="12" type="noConversion"/>
  </si>
  <si>
    <t>㎥</t>
    <phoneticPr fontId="12" type="noConversion"/>
  </si>
  <si>
    <t xml:space="preserve"> 4. 오일스테인칠</t>
    <phoneticPr fontId="12" type="noConversion"/>
  </si>
  <si>
    <t>(목재면 2회)</t>
    <phoneticPr fontId="12" type="noConversion"/>
  </si>
  <si>
    <t xml:space="preserve"> 5. 소운반</t>
    <phoneticPr fontId="12" type="noConversion"/>
  </si>
  <si>
    <t xml:space="preserve">  ① 목재</t>
    <phoneticPr fontId="12" type="noConversion"/>
  </si>
  <si>
    <t xml:space="preserve"> ▣ 방향안내이정표 이설(H1800)</t>
    <phoneticPr fontId="12" type="noConversion"/>
  </si>
  <si>
    <t>1. 터파기</t>
    <phoneticPr fontId="13" type="noConversion"/>
  </si>
  <si>
    <t>2. 잔토처리</t>
    <phoneticPr fontId="13" type="noConversion"/>
  </si>
  <si>
    <t>3. 되메우고 다지기</t>
    <phoneticPr fontId="13" type="noConversion"/>
  </si>
  <si>
    <t>4. 이정표 이설</t>
    <phoneticPr fontId="13" type="noConversion"/>
  </si>
  <si>
    <t>1.0개소</t>
    <phoneticPr fontId="13" type="noConversion"/>
  </si>
  <si>
    <t xml:space="preserve"> 3. PP로프 폐기물</t>
    <phoneticPr fontId="13" type="noConversion"/>
  </si>
  <si>
    <t>(PP로프) : 1.0m* 0.27kg = 0.27kg</t>
    <phoneticPr fontId="13" type="noConversion"/>
  </si>
  <si>
    <t>kg</t>
    <phoneticPr fontId="13" type="noConversion"/>
  </si>
  <si>
    <t>ton</t>
    <phoneticPr fontId="13" type="noConversion"/>
  </si>
  <si>
    <t>규 격</t>
    <phoneticPr fontId="13" type="noConversion"/>
  </si>
  <si>
    <t xml:space="preserve"> 5. 난간재 폐기물</t>
    <phoneticPr fontId="13" type="noConversion"/>
  </si>
  <si>
    <t xml:space="preserve"> 6. 앉음판 폐기물</t>
    <phoneticPr fontId="13" type="noConversion"/>
  </si>
  <si>
    <t xml:space="preserve"> 1. 앉음판 철거</t>
    <phoneticPr fontId="13" type="noConversion"/>
  </si>
  <si>
    <t>(건설폐기물)</t>
    <phoneticPr fontId="13" type="noConversion"/>
  </si>
  <si>
    <t>(폐목재)</t>
  </si>
  <si>
    <t>1. 보행매트</t>
    <phoneticPr fontId="13" type="noConversion"/>
  </si>
  <si>
    <t>W600 * 30t</t>
    <phoneticPr fontId="13" type="noConversion"/>
  </si>
  <si>
    <t>W1000 * 30t</t>
    <phoneticPr fontId="13" type="noConversion"/>
  </si>
  <si>
    <t>W2000 * 30t</t>
    <phoneticPr fontId="13" type="noConversion"/>
  </si>
  <si>
    <t xml:space="preserve"> ▣ 보행매트 철거 폐기물 수량</t>
    <phoneticPr fontId="12" type="noConversion"/>
  </si>
  <si>
    <t>(건설폐기물)</t>
    <phoneticPr fontId="13" type="noConversion"/>
  </si>
  <si>
    <t>▣ 원주목계단 철거(NO.54+9 ~ NO.56+2)</t>
    <phoneticPr fontId="13" type="noConversion"/>
  </si>
  <si>
    <t>단</t>
    <phoneticPr fontId="13" type="noConversion"/>
  </si>
  <si>
    <t>(W1200)</t>
    <phoneticPr fontId="13" type="noConversion"/>
  </si>
  <si>
    <t>1. 목재철거</t>
    <phoneticPr fontId="13" type="noConversion"/>
  </si>
  <si>
    <t>㎥</t>
    <phoneticPr fontId="12" type="noConversion"/>
  </si>
  <si>
    <t>▣ 원주목계단 철거(NO.27+8 ~ NO.28+10)</t>
    <phoneticPr fontId="13" type="noConversion"/>
  </si>
  <si>
    <t>(W1500)</t>
    <phoneticPr fontId="13" type="noConversion"/>
  </si>
  <si>
    <t>▣ 원주목계단 철거(NO.21+8 ~ NO.22+10)</t>
    <phoneticPr fontId="13" type="noConversion"/>
  </si>
  <si>
    <t>단</t>
    <phoneticPr fontId="13" type="noConversion"/>
  </si>
  <si>
    <t>(W1800)</t>
    <phoneticPr fontId="13" type="noConversion"/>
  </si>
  <si>
    <t>1. 목재철거</t>
    <phoneticPr fontId="13" type="noConversion"/>
  </si>
  <si>
    <t>▣ 안전로프기둥 철거(NO.43+4)</t>
    <phoneticPr fontId="13" type="noConversion"/>
  </si>
  <si>
    <t>개소</t>
    <phoneticPr fontId="13" type="noConversion"/>
  </si>
  <si>
    <t>(Φ120xH830)</t>
    <phoneticPr fontId="13" type="noConversion"/>
  </si>
  <si>
    <t>2. 목재철거</t>
    <phoneticPr fontId="13" type="noConversion"/>
  </si>
  <si>
    <t>▣ 안전로프기둥 철거(NO.54+9 ~ NO.56+2)</t>
    <phoneticPr fontId="13" type="noConversion"/>
  </si>
  <si>
    <t>개소</t>
    <phoneticPr fontId="13" type="noConversion"/>
  </si>
  <si>
    <t>(Φ100xH1000)</t>
    <phoneticPr fontId="13" type="noConversion"/>
  </si>
  <si>
    <t>1. 콘크리트부수기</t>
    <phoneticPr fontId="13" type="noConversion"/>
  </si>
  <si>
    <t>▣ 편책 철거(NO.22+13 ~ NO.23+13)</t>
    <phoneticPr fontId="13" type="noConversion"/>
  </si>
  <si>
    <t>m</t>
    <phoneticPr fontId="13" type="noConversion"/>
  </si>
  <si>
    <t>(Φ120xH900, m당 7개)</t>
    <phoneticPr fontId="13" type="noConversion"/>
  </si>
  <si>
    <t>길이1.5m * 폭0.3m * 두께 0.024m = 0.0108㎥</t>
    <phoneticPr fontId="13" type="noConversion"/>
  </si>
  <si>
    <t>3. 운동시설</t>
    <phoneticPr fontId="13" type="noConversion"/>
  </si>
  <si>
    <t>4. 안내판 설치</t>
    <phoneticPr fontId="13" type="noConversion"/>
  </si>
  <si>
    <t>5. 보수공</t>
    <phoneticPr fontId="13" type="noConversion"/>
  </si>
  <si>
    <t>6. 철거공</t>
    <phoneticPr fontId="13" type="noConversion"/>
  </si>
  <si>
    <t>3월</t>
    <phoneticPr fontId="13" type="noConversion"/>
  </si>
  <si>
    <t>4월</t>
    <phoneticPr fontId="13" type="noConversion"/>
  </si>
  <si>
    <t>5월</t>
    <phoneticPr fontId="13" type="noConversion"/>
  </si>
  <si>
    <t>6월</t>
  </si>
  <si>
    <t>7월</t>
  </si>
  <si>
    <t>8월</t>
  </si>
  <si>
    <t>9월</t>
  </si>
  <si>
    <t>10월</t>
  </si>
  <si>
    <t>목    차</t>
  </si>
  <si>
    <t>※ 본 엑셀자료는 【STmate w24.02】버전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</si>
  <si>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</si>
  <si>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1. ※※안내※※</t>
  </si>
  <si>
    <t>2. 공사원가계산서</t>
  </si>
  <si>
    <t>3. 총괄내역서</t>
  </si>
  <si>
    <t>4. 설계내역서</t>
  </si>
  <si>
    <t>5. 일위대가목록표</t>
  </si>
  <si>
    <t>6. 일위대가표</t>
  </si>
  <si>
    <t>7. 단가산출근거목록표</t>
  </si>
  <si>
    <t>8. 단가산출근거</t>
  </si>
  <si>
    <t>9. 환율및기초자료</t>
  </si>
  <si>
    <t>10. 중기목록표</t>
  </si>
  <si>
    <t>11. 중기사용료</t>
  </si>
  <si>
    <t>12. 재료비목록표</t>
  </si>
  <si>
    <t>13. 노무비목록표</t>
  </si>
  <si>
    <t>14. 경비목록표</t>
  </si>
  <si>
    <t>15. 자재단가대비표</t>
  </si>
  <si>
    <t>=== 엑셀파일에 작성에 대한 안내문(반드시 읽어보세요) ===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</si>
  <si>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</si>
  <si>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</si>
  <si>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</si>
  <si>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</si>
  <si>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</si>
  <si>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</si>
  <si>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</si>
  <si>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</si>
  <si>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</si>
  <si>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【총괄내역서】29번째줄의 I열 이윤보정액은 총공사비 금액이 다를경우 임의조정(±α) 하십시요.</t>
  </si>
  <si>
    <t>【단가산출근거】792번째줄 에서 사용된【S00209】코드의 %단위(T%) 는 산식을 입력할 수 없으니 손료계산 형식으로 변경하십시요.</t>
  </si>
  <si>
    <t>【단가산출근거】842번째줄 에서 사용된【S00209】코드의 %단위(T%) 는 산식을 입력할 수 없으니 손료계산 형식으로 변경하십시요.</t>
  </si>
  <si>
    <t>【단가산출근거】892번째줄 에서 사용된【S00209】코드의 %단위(T%) 는 산식을 입력할 수 없으니 손료계산 형식으로 변경하십시요.</t>
  </si>
  <si>
    <t>【단가산출근거】942번째줄 에서 사용된【S00209】코드의 %단위(T%) 는 산식을 입력할 수 없으니 손료계산 형식으로 변경하십시요.</t>
  </si>
  <si>
    <t>【단가산출근거】992번째줄 에서 사용된【S00209】코드의 %단위(T%) 는 산식을 입력할 수 없으니 손료계산 형식으로 변경하십시요.</t>
  </si>
  <si>
    <t>【단가산출근거】1042번째줄 에서 사용된【S00209】코드의 %단위(T%) 는 산식을 입력할 수 없으니 손료계산 형식으로 변경하십시요.</t>
  </si>
  <si>
    <t>【단가산출근거】1092번째줄 에서 사용된【S00209】코드의 %단위(T%) 는 산식을 입력할 수 없으니 손료계산 형식으로 변경하십시요.</t>
  </si>
  <si>
    <t>【단가산출근거】1142번째줄 에서 사용된【S00209】코드의 %단위(T%) 는 산식을 입력할 수 없으니 손료계산 형식으로 변경하십시요.</t>
  </si>
  <si>
    <t>【단가산출근거】1192번째줄 에서 사용된【S00209】코드의 %단위(T%) 는 산식을 입력할 수 없으니 손료계산 형식으로 변경하십시요.</t>
  </si>
  <si>
    <t>【단가산출근거】1242번째줄 에서 사용된【S00209】코드의 %단위(T%) 는 산식을 입력할 수 없으니 손료계산 형식으로 변경하십시요.</t>
  </si>
  <si>
    <t>【단가산출근거】1292번째줄 에서 사용된【S00209】코드의 %단위(T%) 는 산식을 입력할 수 없으니 손료계산 형식으로 변경하십시요.</t>
  </si>
  <si>
    <t>【단가산출근거】1342번째줄 에서 사용된【S00209】코드의 %단위(T%) 는 산식을 입력할 수 없으니 손료계산 형식으로 변경하십시요.</t>
  </si>
  <si>
    <t>【단가산출근거】1392번째줄 에서 사용된【S00209】코드의 %단위(T%) 는 산식을 입력할 수 없으니 손료계산 형식으로 변경하십시요.</t>
  </si>
  <si>
    <t>【단가산출근거】1442번째줄 에서 사용된【S00209】코드의 %단위(T%) 는 산식을 입력할 수 없으니 손료계산 형식으로 변경하십시요.</t>
  </si>
  <si>
    <t>【단가산출근거】1492번째줄 에서 사용된【S00209】코드의 %단위(T%) 는 산식을 입력할 수 없으니 손료계산 형식으로 변경하십시요.</t>
  </si>
  <si>
    <t>【단가산출근거】1542번째줄 에서 사용된【S00209】코드의 %단위(T%) 는 산식을 입력할 수 없으니 손료계산 형식으로 변경하십시요.</t>
  </si>
  <si>
    <t>【단가산출근거】1592번째줄 에서 사용된【S00209】코드의 %단위(T%) 는 산식을 입력할 수 없으니 손료계산 형식으로 변경하십시요.</t>
  </si>
  <si>
    <t>【단가산출근거】1642번째줄 에서 사용된【S00209】코드의 %단위(T%) 는 산식을 입력할 수 없으니 손료계산 형식으로 변경하십시요.</t>
  </si>
  <si>
    <t>【단가산출근거】1692번째줄 에서 사용된【S00209】코드의 %단위(T%) 는 산식을 입력할 수 없으니 손료계산 형식으로 변경하십시요.</t>
  </si>
  <si>
    <t>【단가산출근거】1742번째줄 에서 사용된【S00209】코드의 %단위(T%) 는 산식을 입력할 수 없으니 손료계산 형식으로 변경하십시요.</t>
  </si>
  <si>
    <t>【단가산출근거】1792번째줄 에서 사용된【S00209】코드의 %단위(T%) 는 산식을 입력할 수 없으니 손료계산 형식으로 변경하십시요.</t>
  </si>
  <si>
    <t>【단가산출근거】1842번째줄 에서 사용된【S00209】코드의 %단위(T%) 는 산식을 입력할 수 없으니 손료계산 형식으로 변경하십시요.</t>
  </si>
  <si>
    <t>【단가산출근거】1892번째줄 에서 사용된【S00209】코드의 %단위(T%) 는 산식을 입력할 수 없으니 손료계산 형식으로 변경하십시요.</t>
  </si>
  <si>
    <t>【단가산출근거】1942번째줄 에서 사용된【S00209】코드의 %단위(T%) 는 산식을 입력할 수 없으니 손료계산 형식으로 변경하십시요.</t>
  </si>
  <si>
    <t>【단가산출근거】1992번째줄 에서 사용된【S00209】코드의 %단위(T%) 는 산식을 입력할 수 없으니 손료계산 형식으로 변경하십시요.</t>
  </si>
  <si>
    <t>【단가산출근거】2042번째줄 에서 사용된【S00209】코드의 %단위(T%) 는 산식을 입력할 수 없으니 손료계산 형식으로 변경하십시요.</t>
  </si>
  <si>
    <t>【단가산출근거】2092번째줄 에서 사용된【S00209】코드의 %단위(T%) 는 산식을 입력할 수 없으니 손료계산 형식으로 변경하십시요.</t>
  </si>
  <si>
    <t>【단가산출근거】2142번째줄 에서 사용된【S00209】코드의 %단위(T%) 는 산식을 입력할 수 없으니 손료계산 형식으로 변경하십시요.</t>
  </si>
  <si>
    <t>【단가산출근거】2329번째줄 에서 사용된【L00194】코드의 %단위(L%) 는 산식을 입력할 수 없으니 손료계산 형식으로 변경하십시요.</t>
  </si>
  <si>
    <t>【단가산출근거】2429번째줄 에서 사용된【S00200】코드의 %단위(L%) 는 산식을 입력할 수 없으니 손료계산 형식으로 변경하십시요.</t>
  </si>
  <si>
    <t>【단가산출근거】2492번째줄 에서 사용된【L00194】코드의 %단위(L%) 는 산식을 입력할 수 없으니 손료계산 형식으로 변경하십시요.</t>
  </si>
  <si>
    <t>【단가산출근거】2512번째줄 에서 사용된【L00194】코드의 %단위(L%) 는 산식을 입력할 수 없으니 손료계산 형식으로 변경하십시요.</t>
  </si>
  <si>
    <t xml:space="preserve">  (φ120, L=1,500)</t>
    <phoneticPr fontId="12" type="noConversion"/>
  </si>
  <si>
    <t>3.14 * 0.06 * 0.06 * 1.5m = 0.017㎥</t>
    <phoneticPr fontId="12" type="noConversion"/>
  </si>
  <si>
    <t>(0.3m*0.3m*0.3m) + (3.14*0.06m*0.06m*0.15m)</t>
    <phoneticPr fontId="12" type="noConversion"/>
  </si>
  <si>
    <t>= 0.027㎥ + 0.0017㎥ = 0.029㎥</t>
    <phoneticPr fontId="12" type="noConversion"/>
  </si>
  <si>
    <t>0.112㎥-0.029㎥ = 0.083㎥</t>
    <phoneticPr fontId="12" type="noConversion"/>
  </si>
  <si>
    <t>0.3m*0.3m*0.3m - (3.14*0.06m*0.06m*0.15m)</t>
    <phoneticPr fontId="12" type="noConversion"/>
  </si>
  <si>
    <t xml:space="preserve"> = 0.027㎥ - 0.0017㎥ = 0.0253㎥</t>
    <phoneticPr fontId="13" type="noConversion"/>
  </si>
  <si>
    <t xml:space="preserve"> 11. 볼트조이기</t>
    <phoneticPr fontId="12" type="noConversion"/>
  </si>
  <si>
    <t>2개소</t>
    <phoneticPr fontId="13" type="noConversion"/>
  </si>
  <si>
    <t>(TYPE-1)</t>
    <phoneticPr fontId="12" type="noConversion"/>
  </si>
  <si>
    <t xml:space="preserve"> 6-1. 백관도장</t>
    <phoneticPr fontId="12" type="noConversion"/>
  </si>
  <si>
    <t>0.5m*(2*3.14*0.06m) = 0.188㎡</t>
    <phoneticPr fontId="12" type="noConversion"/>
  </si>
  <si>
    <t>7. 식재공</t>
    <phoneticPr fontId="13" type="noConversion"/>
  </si>
  <si>
    <t>8. 유지관리공</t>
    <phoneticPr fontId="13" type="noConversion"/>
  </si>
  <si>
    <t>9. 수목제거공</t>
    <phoneticPr fontId="13" type="noConversion"/>
  </si>
  <si>
    <t>10. 기초공</t>
    <phoneticPr fontId="13" type="noConversion"/>
  </si>
  <si>
    <t>11. 소운반공</t>
    <phoneticPr fontId="13" type="noConversion"/>
  </si>
  <si>
    <t>12. 폐기물처리</t>
    <phoneticPr fontId="13" type="noConversion"/>
  </si>
  <si>
    <t>13. 뒷정리</t>
    <phoneticPr fontId="13" type="noConversion"/>
  </si>
  <si>
    <t xml:space="preserve">  (Φ100, L=1,200)</t>
    <phoneticPr fontId="12" type="noConversion"/>
  </si>
  <si>
    <t xml:space="preserve">  (스텐 ø12㎜ x 200mm)</t>
    <phoneticPr fontId="12" type="noConversion"/>
  </si>
  <si>
    <t xml:space="preserve">  (스텐 M12)</t>
    <phoneticPr fontId="12" type="noConversion"/>
  </si>
  <si>
    <t>ea</t>
    <phoneticPr fontId="12" type="noConversion"/>
  </si>
  <si>
    <t xml:space="preserve">  (Φ100, L=1,000)</t>
    <phoneticPr fontId="12" type="noConversion"/>
  </si>
  <si>
    <t xml:space="preserve"> ▣ 원주목계단(W1000, Φ100)</t>
    <phoneticPr fontId="12" type="noConversion"/>
  </si>
  <si>
    <t xml:space="preserve"> ▣ 원주목계단(W1200, Φ100)</t>
    <phoneticPr fontId="12" type="noConversion"/>
  </si>
  <si>
    <t xml:space="preserve"> (수평·하향)</t>
    <phoneticPr fontId="13" type="noConversion"/>
  </si>
  <si>
    <t>6개소</t>
    <phoneticPr fontId="13" type="noConversion"/>
  </si>
  <si>
    <t xml:space="preserve"> 4. 방부목재(원주목)</t>
    <phoneticPr fontId="12" type="noConversion"/>
  </si>
  <si>
    <t xml:space="preserve"> 5. 목재설치</t>
    <phoneticPr fontId="12" type="noConversion"/>
  </si>
  <si>
    <t xml:space="preserve"> 6. 볼트,너트,와셔</t>
    <phoneticPr fontId="12" type="noConversion"/>
  </si>
  <si>
    <t xml:space="preserve"> 7. 볼트조이기</t>
    <phoneticPr fontId="12" type="noConversion"/>
  </si>
  <si>
    <t xml:space="preserve"> 8. 소운반</t>
    <phoneticPr fontId="12" type="noConversion"/>
  </si>
  <si>
    <t xml:space="preserve"> 4. 방부목재(원주목)</t>
    <phoneticPr fontId="12" type="noConversion"/>
  </si>
  <si>
    <t xml:space="preserve"> 5. 목재설치</t>
    <phoneticPr fontId="12" type="noConversion"/>
  </si>
  <si>
    <t xml:space="preserve"> 6. 볼트</t>
    <phoneticPr fontId="12" type="noConversion"/>
  </si>
  <si>
    <t xml:space="preserve"> 7. 너트</t>
    <phoneticPr fontId="12" type="noConversion"/>
  </si>
  <si>
    <t xml:space="preserve"> 8. 소운반</t>
    <phoneticPr fontId="12" type="noConversion"/>
  </si>
  <si>
    <t>1. 환    율 : 1,442(원/$)</t>
    <phoneticPr fontId="13" type="noConversion"/>
  </si>
  <si>
    <t>2. 자재시세 : 2026년 1월 인터넷 조달청 가격정보에 우선하여 산정하였으며 일부는 2026년 1월호 물가자료지 및 물가정보지에 의거</t>
    <phoneticPr fontId="13" type="noConversion"/>
  </si>
  <si>
    <t>3. 노임 및 품셈 : 대한건설 협회가 2026년 상반기에 발표한 시중노임단가 적용</t>
    <phoneticPr fontId="13" type="noConversion"/>
  </si>
  <si>
    <t xml:space="preserve">   2026 년        월        일</t>
    <phoneticPr fontId="13" type="noConversion"/>
  </si>
  <si>
    <t>2월</t>
    <phoneticPr fontId="13" type="noConversion"/>
  </si>
  <si>
    <t>(Φ20)</t>
    <phoneticPr fontId="13" type="noConversion"/>
  </si>
  <si>
    <t>공 사 원 가 계 산 서</t>
  </si>
  <si>
    <t>STmate</t>
  </si>
  <si>
    <t xml:space="preserve">구    분    </t>
  </si>
  <si>
    <t>금    액</t>
  </si>
  <si>
    <t>구 성 비</t>
  </si>
  <si>
    <t>비    고</t>
  </si>
  <si>
    <t xml:space="preserve">    비    목</t>
  </si>
  <si>
    <t>순 공 사 원 가</t>
  </si>
  <si>
    <t>재 료 비</t>
  </si>
  <si>
    <t>직  접  재  료  비</t>
  </si>
  <si>
    <t>간  접  재  료  비</t>
  </si>
  <si>
    <t>작업설,부산물등(△)</t>
  </si>
  <si>
    <t>소              계</t>
  </si>
  <si>
    <t>노 무 비</t>
  </si>
  <si>
    <t>직  접  노  무  비</t>
  </si>
  <si>
    <t>간  접  노  무  비</t>
  </si>
  <si>
    <t>경    비</t>
  </si>
  <si>
    <t>산   출    경   비</t>
  </si>
  <si>
    <t>산  재  보  험  료</t>
  </si>
  <si>
    <t>고  용  보  험  료</t>
  </si>
  <si>
    <t>건  강  보  험  료</t>
  </si>
  <si>
    <t>노인장기요양보험료</t>
  </si>
  <si>
    <t>연  금  보  험  료</t>
  </si>
  <si>
    <t>산업안전보건관리비</t>
  </si>
  <si>
    <t>기   타    경   비</t>
  </si>
  <si>
    <t>건설기계대여금지급보증 금액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</si>
  <si>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</si>
  <si>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</si>
  <si>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</si>
  <si>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</si>
  <si>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</si>
  <si>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총     공     사     비</t>
  </si>
  <si>
    <t>총 괄 내 역 서</t>
  </si>
  <si>
    <t>공   종</t>
  </si>
  <si>
    <t>명      칭</t>
  </si>
  <si>
    <t>규      격</t>
  </si>
  <si>
    <t>합  계</t>
  </si>
  <si>
    <t>경  비</t>
  </si>
  <si>
    <t>_x0007_`JTYP|0_x0005_`ACTL|F_x0005_`</t>
  </si>
  <si>
    <t>수정은 아래의 연두색 부분에</t>
  </si>
  <si>
    <t xml:space="preserve">    □</t>
  </si>
  <si>
    <t>수지구 숲길(등산로) 정비 및 유지관리 연간단가공사</t>
  </si>
  <si>
    <t>1.</t>
  </si>
  <si>
    <t>숲길정비공</t>
  </si>
  <si>
    <t>2.</t>
  </si>
  <si>
    <t>편의시설</t>
  </si>
  <si>
    <t>3.</t>
  </si>
  <si>
    <t>운동시설</t>
  </si>
  <si>
    <t>4.</t>
  </si>
  <si>
    <t>안내판 설치</t>
  </si>
  <si>
    <t>5.</t>
  </si>
  <si>
    <t>보수공</t>
  </si>
  <si>
    <t>6.</t>
  </si>
  <si>
    <t>철거공</t>
  </si>
  <si>
    <t>7.</t>
  </si>
  <si>
    <t>식재공</t>
  </si>
  <si>
    <t>8.</t>
  </si>
  <si>
    <t>유지관리공</t>
  </si>
  <si>
    <t>9.</t>
  </si>
  <si>
    <t>수목제거공</t>
  </si>
  <si>
    <t>10.</t>
  </si>
  <si>
    <t>기초공</t>
  </si>
  <si>
    <t>11.</t>
  </si>
  <si>
    <t>소운반공</t>
  </si>
  <si>
    <t>폐기물처리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</si>
  <si>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</si>
  <si>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</si>
  <si>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</si>
  <si>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</si>
  <si>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</si>
  <si>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</si>
  <si>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</si>
  <si>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</si>
  <si>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건강보험료</t>
  </si>
  <si>
    <t>_x0007_`DTP|303_x0005_`QTY1|1_x0005_`BDC|_x0005_`SRE|SA_x0005_`</t>
  </si>
  <si>
    <t xml:space="preserve"> 5. 노인장기요양보험료</t>
  </si>
  <si>
    <t>_x0007_`DTP|310_x0005_`QTY1|1_x0005_`BDC|_x0005_`SRE|SA_x0005_`</t>
  </si>
  <si>
    <t xml:space="preserve"> 6. 연금보험료</t>
  </si>
  <si>
    <t>_x0007_`DTP|304_x0005_`QTY1|1_x0005_`BDC|_x0005_`SRE|SA_x0005_`</t>
  </si>
  <si>
    <t>_x0007_`DTP|306_x0005_`QTY1|1_x0005_`BDC|_x0005_`SRE|SA_x0005_`ANK|1_x0005_`</t>
  </si>
  <si>
    <t>_x0007_`DTP|321_x0005_`QTY1|1_x0005_`BDC|_x0005_`SRE|SA_x0005_`</t>
  </si>
  <si>
    <t>_x0007_`DTP|311_x0005_`QTY1|1_x0005_`BDC|_x0005_`SRE|SA_x0005_`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</si>
  <si>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</si>
  <si>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</si>
  <si>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</si>
  <si>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_x0007_`DTP|401_x0005_`QTY1|1_x0005_`BDC|_x0005_`SRE|TA_x0005_`</t>
  </si>
  <si>
    <t xml:space="preserve">    다.</t>
  </si>
  <si>
    <t>_x0007_`DTP|410_x0005_`QTY1|1_x0005_`BDC|_x0005_`SRE|TA-F_x0005_`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</si>
  <si>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</si>
  <si>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</si>
  <si>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</si>
  <si>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</si>
  <si>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</si>
  <si>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</si>
  <si>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</si>
  <si>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</si>
  <si>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설 계 내 역 서</t>
  </si>
  <si>
    <t>수   량</t>
  </si>
  <si>
    <t>단위</t>
  </si>
  <si>
    <t>비  고</t>
  </si>
  <si>
    <t>단   가</t>
  </si>
  <si>
    <t>E5_1</t>
  </si>
  <si>
    <t>E10_1</t>
  </si>
  <si>
    <t>E4_1</t>
  </si>
  <si>
    <t>B=1.0m</t>
  </si>
  <si>
    <t>m</t>
  </si>
  <si>
    <t>B02668</t>
  </si>
  <si>
    <t>_x0007_`COD|B02668_x0005_`QTY1|1_x0005_`EXI|0_x0005_`IPR|0_x0005_`BLA|F_x0005_`</t>
  </si>
  <si>
    <t>B02668_1</t>
  </si>
  <si>
    <t>B=1.2m</t>
  </si>
  <si>
    <t>B02669</t>
  </si>
  <si>
    <t>_x0007_`COD|B02669_x0005_`QTY1|1_x0005_`EXI|0_x0005_`IPR|0_x0005_`BLA|F_x0005_`</t>
  </si>
  <si>
    <t>B02669_1</t>
  </si>
  <si>
    <t>B=1.5m</t>
  </si>
  <si>
    <t>B02670</t>
  </si>
  <si>
    <t>_x0007_`COD|B02670_x0005_`QTY1|1_x0005_`EXI|0_x0005_`IPR|0_x0005_`BLA|F_x0005_`</t>
  </si>
  <si>
    <t>B02670_1</t>
  </si>
  <si>
    <t>B=2.0m</t>
  </si>
  <si>
    <t>B02671</t>
  </si>
  <si>
    <t>_x0007_`COD|B02671_x0005_`QTY1|1_x0005_`EXI|0_x0005_`IPR|0_x0005_`BLA|F_x0005_`</t>
  </si>
  <si>
    <t>B02671_1</t>
  </si>
  <si>
    <t>등산로만들기</t>
  </si>
  <si>
    <t>B02627</t>
  </si>
  <si>
    <t>_x0007_`COD|B02627_x0005_`QTY1|1_x0005_`EXI|0_x0005_`IPR|0_x0005_`BLA|F_x0005_`</t>
  </si>
  <si>
    <t>B02627_1</t>
  </si>
  <si>
    <t>B02626</t>
  </si>
  <si>
    <t>_x0007_`COD|B02626_x0005_`QTY1|1_x0005_`EXI|0_x0005_`IPR|0_x0005_`BLA|F_x0005_`</t>
  </si>
  <si>
    <t>B02626_1</t>
  </si>
  <si>
    <t>B02020</t>
  </si>
  <si>
    <t>_x0007_`COD|B02020_x0005_`QTY1|1_x0005_`EXI|0_x0005_`IPR|0_x0005_`BLA|F_x0005_`</t>
  </si>
  <si>
    <t>B02020_1</t>
  </si>
  <si>
    <t>B02628</t>
  </si>
  <si>
    <t>_x0007_`COD|B02628_x0005_`QTY1|1_x0005_`EXI|0_x0005_`IPR|0_x0005_`BLA|F_x0005_`</t>
  </si>
  <si>
    <t>B02628_1</t>
  </si>
  <si>
    <t>B02664</t>
  </si>
  <si>
    <t>_x0007_`COD|B02664_x0005_`QTY1|1_x0005_`EXI|0_x0005_`IPR|0_x0005_`BLA|F_x0005_`</t>
  </si>
  <si>
    <t>B02664_1</t>
  </si>
  <si>
    <t>B02665</t>
  </si>
  <si>
    <t>_x0007_`COD|B02665_x0005_`QTY1|1_x0005_`EXI|0_x0005_`IPR|0_x0005_`BLA|F_x0005_`</t>
  </si>
  <si>
    <t>B02665_1</t>
  </si>
  <si>
    <t>B02666</t>
  </si>
  <si>
    <t>_x0007_`COD|B02666_x0005_`QTY1|1_x0005_`EXI|0_x0005_`IPR|0_x0005_`BLA|F_x0005_`</t>
  </si>
  <si>
    <t>B02666_1</t>
  </si>
  <si>
    <t>B02667</t>
  </si>
  <si>
    <t>_x0007_`COD|B02667_x0005_`QTY1|1_x0005_`EXI|0_x0005_`IPR|0_x0005_`BLA|F_x0005_`</t>
  </si>
  <si>
    <t>B02667_1</t>
  </si>
  <si>
    <t>등산로 정비</t>
  </si>
  <si>
    <t>B02660</t>
  </si>
  <si>
    <t>_x0007_`COD|B02660_x0005_`QTY1|1_x0005_`EXI|0_x0005_`IPR|0_x0005_`BLA|F_x0005_`</t>
  </si>
  <si>
    <t>B02660_1</t>
  </si>
  <si>
    <t>B02661</t>
  </si>
  <si>
    <t>_x0007_`COD|B02661_x0005_`QTY1|1_x0005_`EXI|0_x0005_`IPR|0_x0005_`BLA|F_x0005_`</t>
  </si>
  <si>
    <t>B02661_1</t>
  </si>
  <si>
    <t>B02662</t>
  </si>
  <si>
    <t>_x0007_`COD|B02662_x0005_`QTY1|1_x0005_`EXI|0_x0005_`IPR|0_x0005_`BLA|F_x0005_`</t>
  </si>
  <si>
    <t>B02662_1</t>
  </si>
  <si>
    <t>B02663</t>
  </si>
  <si>
    <t>_x0007_`COD|B02663_x0005_`QTY1|1_x0005_`EXI|0_x0005_`IPR|0_x0005_`BLA|F_x0005_`</t>
  </si>
  <si>
    <t>B02663_1</t>
  </si>
  <si>
    <t>H1200</t>
  </si>
  <si>
    <t>경간</t>
  </si>
  <si>
    <t>B02087</t>
  </si>
  <si>
    <t>_x0007_`COD|B02087_x0005_`QTY1|1_x0005_`EXI|0_x0005_`IPR|0_x0005_`BLA|F_x0005_`</t>
  </si>
  <si>
    <t>B02087_1</t>
  </si>
  <si>
    <t>안전로프</t>
  </si>
  <si>
    <t>B02474</t>
  </si>
  <si>
    <t>_x0007_`COD|B02474_x0005_`QTY1|1_x0005_`EXI|0_x0005_`IPR|0_x0005_`BLA|F_x0005_`</t>
  </si>
  <si>
    <t>B02474_1</t>
  </si>
  <si>
    <t>기초&amp;턴버클</t>
  </si>
  <si>
    <t>개소</t>
  </si>
  <si>
    <t>B02086</t>
  </si>
  <si>
    <t>_x0007_`COD|B02086_x0005_`QTY1|1_x0005_`EXI|0_x0005_`IPR|0_x0005_`BLA|F_x0005_`</t>
  </si>
  <si>
    <t>B02086_1</t>
  </si>
  <si>
    <t>안전로프 시종점</t>
  </si>
  <si>
    <t>B02473</t>
  </si>
  <si>
    <t>_x0007_`COD|B02473_x0005_`QTY1|1_x0005_`EXI|0_x0005_`IPR|0_x0005_`BLA|F_x0005_`</t>
  </si>
  <si>
    <t>B02473_1</t>
  </si>
  <si>
    <t>W800*320*H150</t>
  </si>
  <si>
    <t>단</t>
  </si>
  <si>
    <t>B02387</t>
  </si>
  <si>
    <t>_x0007_`COD|B02387_x0005_`QTY1|1_x0005_`EXI|0_x0005_`IPR|0_x0005_`BLA|F_x0005_`</t>
  </si>
  <si>
    <t>B02387_1</t>
  </si>
  <si>
    <t>W1000*320*H150</t>
  </si>
  <si>
    <t>B02386</t>
  </si>
  <si>
    <t>_x0007_`COD|B02386_x0005_`QTY1|1_x0005_`EXI|0_x0005_`IPR|0_x0005_`BLA|F_x0005_`</t>
  </si>
  <si>
    <t>B02386_1</t>
  </si>
  <si>
    <t>W1200*320*H150</t>
  </si>
  <si>
    <t>B02260</t>
  </si>
  <si>
    <t>_x0007_`COD|B02260_x0005_`QTY1|1_x0005_`EXI|0_x0005_`IPR|0_x0005_`BLA|F_x0005_`</t>
  </si>
  <si>
    <t>B02260_1</t>
  </si>
  <si>
    <t>W1500*320*H150</t>
  </si>
  <si>
    <t>B02249</t>
  </si>
  <si>
    <t>_x0007_`COD|B02249_x0005_`QTY1|1_x0005_`EXI|0_x0005_`IPR|0_x0005_`BLA|F_x0005_`</t>
  </si>
  <si>
    <t>B02249_1</t>
  </si>
  <si>
    <t>W2000*320*H150</t>
  </si>
  <si>
    <t>B02416</t>
  </si>
  <si>
    <t>_x0007_`COD|B02416_x0005_`QTY1|1_x0005_`EXI|0_x0005_`IPR|0_x0005_`BLA|F_x0005_`</t>
  </si>
  <si>
    <t>B02416_1</t>
  </si>
  <si>
    <t>목재계단</t>
  </si>
  <si>
    <t>B02476</t>
  </si>
  <si>
    <t>_x0007_`COD|B02476_x0005_`QTY1|1_x0005_`EXI|0_x0005_`IPR|0_x0005_`BLA|F_x0005_`</t>
  </si>
  <si>
    <t>B02476_1</t>
  </si>
  <si>
    <t>B02477</t>
  </si>
  <si>
    <t>_x0007_`COD|B02477_x0005_`QTY1|1_x0005_`EXI|0_x0005_`IPR|0_x0005_`BLA|F_x0005_`</t>
  </si>
  <si>
    <t>B02477_1</t>
  </si>
  <si>
    <t>B02478</t>
  </si>
  <si>
    <t>_x0007_`COD|B02478_x0005_`QTY1|1_x0005_`EXI|0_x0005_`IPR|0_x0005_`BLA|F_x0005_`</t>
  </si>
  <si>
    <t>B02478_1</t>
  </si>
  <si>
    <t>B02479</t>
  </si>
  <si>
    <t>_x0007_`COD|B02479_x0005_`QTY1|1_x0005_`EXI|0_x0005_`IPR|0_x0005_`BLA|F_x0005_`</t>
  </si>
  <si>
    <t>B02479_1</t>
  </si>
  <si>
    <t>B02481</t>
  </si>
  <si>
    <t>_x0007_`COD|B02481_x0005_`QTY1|1_x0005_`EXI|0_x0005_`IPR|0_x0005_`BLA|F_x0005_`</t>
  </si>
  <si>
    <t>B02481_1</t>
  </si>
  <si>
    <t>B02488</t>
  </si>
  <si>
    <t>_x0007_`COD|B02488_x0005_`QTY1|1_x0005_`EXI|0_x0005_`IPR|0_x0005_`BLA|F_x0005_`</t>
  </si>
  <si>
    <t>B02488_1</t>
  </si>
  <si>
    <t>B02489</t>
  </si>
  <si>
    <t>_x0007_`COD|B02489_x0005_`QTY1|1_x0005_`EXI|0_x0005_`IPR|0_x0005_`BLA|F_x0005_`</t>
  </si>
  <si>
    <t>B02489_1</t>
  </si>
  <si>
    <t>B02490</t>
  </si>
  <si>
    <t>_x0007_`COD|B02490_x0005_`QTY1|1_x0005_`EXI|0_x0005_`IPR|0_x0005_`BLA|F_x0005_`</t>
  </si>
  <si>
    <t>B02490_1</t>
  </si>
  <si>
    <t>목재계단 재설치</t>
  </si>
  <si>
    <t>B02491</t>
  </si>
  <si>
    <t>_x0007_`COD|B02491_x0005_`QTY1|1_x0005_`EXI|0_x0005_`IPR|0_x0005_`BLA|F_x0005_`</t>
  </si>
  <si>
    <t>B02491_1</t>
  </si>
  <si>
    <t>B02492</t>
  </si>
  <si>
    <t>_x0007_`COD|B02492_x0005_`QTY1|1_x0005_`EXI|0_x0005_`IPR|0_x0005_`BLA|F_x0005_`</t>
  </si>
  <si>
    <t>B02492_1</t>
  </si>
  <si>
    <t>B02493</t>
  </si>
  <si>
    <t>_x0007_`COD|B02493_x0005_`QTY1|1_x0005_`EXI|0_x0005_`IPR|0_x0005_`BLA|F_x0005_`</t>
  </si>
  <si>
    <t>B02493_1</t>
  </si>
  <si>
    <t>W1000, Φ100</t>
  </si>
  <si>
    <t>B02805</t>
  </si>
  <si>
    <t>_x0007_`COD|B02805_x0005_`QTY1|1_x0005_`EXI|0_x0005_`IPR|0_x0005_`BLA|F_x0005_`</t>
  </si>
  <si>
    <t>B02805_1</t>
  </si>
  <si>
    <t>W1200, Φ100</t>
  </si>
  <si>
    <t>B02806</t>
  </si>
  <si>
    <t>_x0007_`COD|B02806_x0005_`QTY1|1_x0005_`EXI|0_x0005_`IPR|0_x0005_`BLA|F_x0005_`</t>
  </si>
  <si>
    <t>B02806_1</t>
  </si>
  <si>
    <t>원주목계단</t>
  </si>
  <si>
    <t>B02801</t>
  </si>
  <si>
    <t>_x0007_`COD|B02801_x0005_`QTY1|1_x0005_`EXI|0_x0005_`IPR|0_x0005_`BLA|F_x0005_`</t>
  </si>
  <si>
    <t>B02801_1</t>
  </si>
  <si>
    <t>B02802</t>
  </si>
  <si>
    <t>_x0007_`COD|B02802_x0005_`QTY1|1_x0005_`EXI|0_x0005_`IPR|0_x0005_`BLA|F_x0005_`</t>
  </si>
  <si>
    <t>B02802_1</t>
  </si>
  <si>
    <t>B02807</t>
  </si>
  <si>
    <t>_x0007_`COD|B02807_x0005_`QTY1|1_x0005_`EXI|0_x0005_`IPR|0_x0005_`BLA|F_x0005_`</t>
  </si>
  <si>
    <t>B02807_1</t>
  </si>
  <si>
    <t>B02808</t>
  </si>
  <si>
    <t>_x0007_`COD|B02808_x0005_`QTY1|1_x0005_`EXI|0_x0005_`IPR|0_x0005_`BLA|F_x0005_`</t>
  </si>
  <si>
    <t>B02808_1</t>
  </si>
  <si>
    <t>원주목계단 재설치</t>
  </si>
  <si>
    <t>B02803</t>
  </si>
  <si>
    <t>_x0007_`COD|B02803_x0005_`QTY1|1_x0005_`EXI|0_x0005_`IPR|0_x0005_`BLA|F_x0005_`</t>
  </si>
  <si>
    <t>B02803_1</t>
  </si>
  <si>
    <t>B02804</t>
  </si>
  <si>
    <t>_x0007_`COD|B02804_x0005_`QTY1|1_x0005_`EXI|0_x0005_`IPR|0_x0005_`BLA|F_x0005_`</t>
  </si>
  <si>
    <t>B02804_1</t>
  </si>
  <si>
    <t>w1.5</t>
  </si>
  <si>
    <t>B01839</t>
  </si>
  <si>
    <t>_x0007_`COD|B01839_x0005_`QTY1|1_x0005_`EXI|0_x0005_`IPR|0_x0005_`BLA|F_x0005_`</t>
  </si>
  <si>
    <t>B01839_1</t>
  </si>
  <si>
    <t>w1.8</t>
  </si>
  <si>
    <t>B01840</t>
  </si>
  <si>
    <t>_x0007_`COD|B01840_x0005_`QTY1|1_x0005_`EXI|0_x0005_`IPR|0_x0005_`BLA|F_x0005_`</t>
  </si>
  <si>
    <t>B01840_1</t>
  </si>
  <si>
    <t>w2.4</t>
  </si>
  <si>
    <t>B02243</t>
  </si>
  <si>
    <t>_x0007_`COD|B02243_x0005_`QTY1|1_x0005_`EXI|0_x0005_`IPR|0_x0005_`BLA|F_x0005_`</t>
  </si>
  <si>
    <t>B02243_1</t>
  </si>
  <si>
    <t>w3.0</t>
  </si>
  <si>
    <t>B02244</t>
  </si>
  <si>
    <t>_x0007_`COD|B02244_x0005_`QTY1|1_x0005_`EXI|0_x0005_`IPR|0_x0005_`BLA|F_x0005_`</t>
  </si>
  <si>
    <t>B02244_1</t>
  </si>
  <si>
    <t>w3.6</t>
  </si>
  <si>
    <t>B02245</t>
  </si>
  <si>
    <t>_x0007_`COD|B02245_x0005_`QTY1|1_x0005_`EXI|0_x0005_`IPR|0_x0005_`BLA|F_x0005_`</t>
  </si>
  <si>
    <t>B02245_1</t>
  </si>
  <si>
    <t>통나무횡배수대</t>
  </si>
  <si>
    <t>B02496</t>
  </si>
  <si>
    <t>_x0007_`COD|B02496_x0005_`QTY1|1_x0005_`EXI|0_x0005_`IPR|0_x0005_`BLA|F_x0005_`</t>
  </si>
  <si>
    <t>B02496_1</t>
  </si>
  <si>
    <t>B02497</t>
  </si>
  <si>
    <t>_x0007_`COD|B02497_x0005_`QTY1|1_x0005_`EXI|0_x0005_`IPR|0_x0005_`BLA|F_x0005_`</t>
  </si>
  <si>
    <t>B02497_1</t>
  </si>
  <si>
    <t>B02498</t>
  </si>
  <si>
    <t>_x0007_`COD|B02498_x0005_`QTY1|1_x0005_`EXI|0_x0005_`IPR|0_x0005_`BLA|F_x0005_`</t>
  </si>
  <si>
    <t>B02498_1</t>
  </si>
  <si>
    <t>B02499</t>
  </si>
  <si>
    <t>_x0007_`COD|B02499_x0005_`QTY1|1_x0005_`EXI|0_x0005_`IPR|0_x0005_`BLA|F_x0005_`</t>
  </si>
  <si>
    <t>B02499_1</t>
  </si>
  <si>
    <t>B02500</t>
  </si>
  <si>
    <t>_x0007_`COD|B02500_x0005_`QTY1|1_x0005_`EXI|0_x0005_`IPR|0_x0005_`BLA|F_x0005_`</t>
  </si>
  <si>
    <t>B02500_1</t>
  </si>
  <si>
    <t>L1500*300*200*2ea</t>
  </si>
  <si>
    <t>B02507</t>
  </si>
  <si>
    <t>_x0007_`COD|B02507_x0005_`QTY1|1_x0005_`EXI|0_x0005_`IPR|0_x0005_`BLA|F_x0005_`</t>
  </si>
  <si>
    <t>B02507_1</t>
  </si>
  <si>
    <t>L2000*300*200*2ea</t>
  </si>
  <si>
    <t>B02448</t>
  </si>
  <si>
    <t>_x0007_`COD|B02448_x0005_`QTY1|1_x0005_`EXI|0_x0005_`IPR|0_x0005_`BLA|F_x0005_`</t>
  </si>
  <si>
    <t>B02448_1</t>
  </si>
  <si>
    <t>L2500*300*200*2ea</t>
  </si>
  <si>
    <t>B02373</t>
  </si>
  <si>
    <t>_x0007_`COD|B02373_x0005_`QTY1|1_x0005_`EXI|0_x0005_`IPR|0_x0005_`BLA|F_x0005_`</t>
  </si>
  <si>
    <t>B02373_1</t>
  </si>
  <si>
    <t>L3000*300*200*2ea</t>
  </si>
  <si>
    <t>B02405</t>
  </si>
  <si>
    <t>_x0007_`COD|B02405_x0005_`QTY1|1_x0005_`EXI|0_x0005_`IPR|0_x0005_`BLA|F_x0005_`</t>
  </si>
  <si>
    <t>B02405_1</t>
  </si>
  <si>
    <t>횡단개거</t>
  </si>
  <si>
    <t>B02508</t>
  </si>
  <si>
    <t>_x0007_`COD|B02508_x0005_`QTY1|1_x0005_`EXI|0_x0005_`IPR|0_x0005_`BLA|F_x0005_`</t>
  </si>
  <si>
    <t>B02508_1</t>
  </si>
  <si>
    <t>B02509</t>
  </si>
  <si>
    <t>_x0007_`COD|B02509_x0005_`QTY1|1_x0005_`EXI|0_x0005_`IPR|0_x0005_`BLA|F_x0005_`</t>
  </si>
  <si>
    <t>B02509_1</t>
  </si>
  <si>
    <t>B02510</t>
  </si>
  <si>
    <t>_x0007_`COD|B02510_x0005_`QTY1|1_x0005_`EXI|0_x0005_`IPR|0_x0005_`BLA|F_x0005_`</t>
  </si>
  <si>
    <t>B02510_1</t>
  </si>
  <si>
    <t>B02511</t>
  </si>
  <si>
    <t>_x0007_`COD|B02511_x0005_`QTY1|1_x0005_`EXI|0_x0005_`IPR|0_x0005_`BLA|F_x0005_`</t>
  </si>
  <si>
    <t>B02511_1</t>
  </si>
  <si>
    <t>1단(H200)</t>
  </si>
  <si>
    <t>B02672</t>
  </si>
  <si>
    <t>_x0007_`COD|B02672_x0005_`QTY1|1_x0005_`EXI|0_x0005_`IPR|0_x0005_`BLA|F_x0005_`</t>
  </si>
  <si>
    <t>B02672_1</t>
  </si>
  <si>
    <t>2단(H400)</t>
  </si>
  <si>
    <t>B02673</t>
  </si>
  <si>
    <t>_x0007_`COD|B02673_x0005_`QTY1|1_x0005_`EXI|0_x0005_`IPR|0_x0005_`BLA|F_x0005_`</t>
  </si>
  <si>
    <t>B02673_1</t>
  </si>
  <si>
    <t>3단(H600)</t>
  </si>
  <si>
    <t>B02674</t>
  </si>
  <si>
    <t>_x0007_`COD|B02674_x0005_`QTY1|1_x0005_`EXI|0_x0005_`IPR|0_x0005_`BLA|F_x0005_`</t>
  </si>
  <si>
    <t>B02674_1</t>
  </si>
  <si>
    <t>식생토낭</t>
  </si>
  <si>
    <t>B02328</t>
  </si>
  <si>
    <t>_x0007_`COD|B02328_x0005_`QTY1|1_x0005_`EXI|0_x0005_`IPR|0_x0005_`BLA|F_x0005_`</t>
  </si>
  <si>
    <t>B02328_1</t>
  </si>
  <si>
    <t>B02263</t>
  </si>
  <si>
    <t>_x0007_`COD|B02263_x0005_`QTY1|1_x0005_`EXI|0_x0005_`IPR|0_x0005_`BLA|F_x0005_`</t>
  </si>
  <si>
    <t>B02263_1</t>
  </si>
  <si>
    <t>B02273</t>
  </si>
  <si>
    <t>_x0007_`COD|B02273_x0005_`QTY1|1_x0005_`EXI|0_x0005_`IPR|0_x0005_`BLA|F_x0005_`</t>
  </si>
  <si>
    <t>B02273_1</t>
  </si>
  <si>
    <t>식생토낭수로</t>
  </si>
  <si>
    <t>H200</t>
  </si>
  <si>
    <t>B02439</t>
  </si>
  <si>
    <t>_x0007_`COD|B02439_x0005_`QTY1|1_x0005_`EXI|0_x0005_`IPR|0_x0005_`BLA|F_x0005_`</t>
  </si>
  <si>
    <t>B02439_1</t>
  </si>
  <si>
    <t>W2000, H600</t>
  </si>
  <si>
    <t>B02650</t>
  </si>
  <si>
    <t>_x0007_`COD|B02650_x0005_`QTY1|1_x0005_`EXI|0_x0005_`IPR|0_x0005_`BLA|F_x0005_`</t>
  </si>
  <si>
    <t>B02650_1</t>
  </si>
  <si>
    <t>W3000, H400</t>
  </si>
  <si>
    <t>B02729</t>
  </si>
  <si>
    <t>_x0007_`COD|B02729_x0005_`QTY1|1_x0005_`EXI|0_x0005_`IPR|0_x0005_`BLA|F_x0005_`</t>
  </si>
  <si>
    <t>B02729_1</t>
  </si>
  <si>
    <t>W3000m H600</t>
  </si>
  <si>
    <t>B02730</t>
  </si>
  <si>
    <t>_x0007_`COD|B02730_x0005_`QTY1|1_x0005_`EXI|0_x0005_`IPR|0_x0005_`BLA|F_x0005_`</t>
  </si>
  <si>
    <t>B02730_1</t>
  </si>
  <si>
    <t>통나무편책</t>
  </si>
  <si>
    <t>B02651</t>
  </si>
  <si>
    <t>_x0007_`COD|B02651_x0005_`QTY1|1_x0005_`EXI|0_x0005_`IPR|0_x0005_`BLA|F_x0005_`</t>
  </si>
  <si>
    <t>B02651_1</t>
  </si>
  <si>
    <t>B02728</t>
  </si>
  <si>
    <t>_x0007_`COD|B02728_x0005_`QTY1|1_x0005_`EXI|0_x0005_`IPR|0_x0005_`BLA|F_x0005_`</t>
  </si>
  <si>
    <t>B02728_1</t>
  </si>
  <si>
    <t>B02727</t>
  </si>
  <si>
    <t>_x0007_`COD|B02727_x0005_`QTY1|1_x0005_`EXI|0_x0005_`IPR|0_x0005_`BLA|F_x0005_`</t>
  </si>
  <si>
    <t>B02727_1</t>
  </si>
  <si>
    <t>보행매트 설치</t>
  </si>
  <si>
    <t>W600*t30mm</t>
  </si>
  <si>
    <t>B02366</t>
  </si>
  <si>
    <t>_x0007_`COD|B02366_x0005_`QTY1|1_x0005_`EXI|0_x0005_`IPR|0_x0005_`BLA|F_x0005_`</t>
  </si>
  <si>
    <t>B02366_1</t>
  </si>
  <si>
    <t>W800*t30mm</t>
  </si>
  <si>
    <t>B02402</t>
  </si>
  <si>
    <t>_x0007_`COD|B02402_x0005_`QTY1|1_x0005_`EXI|0_x0005_`IPR|0_x0005_`BLA|F_x0005_`</t>
  </si>
  <si>
    <t>B02402_1</t>
  </si>
  <si>
    <t>W1000*t30mm</t>
  </si>
  <si>
    <t>B02381</t>
  </si>
  <si>
    <t>_x0007_`COD|B02381_x0005_`QTY1|1_x0005_`EXI|0_x0005_`IPR|0_x0005_`BLA|F_x0005_`</t>
  </si>
  <si>
    <t>B02381_1</t>
  </si>
  <si>
    <t>W1200*t30mm</t>
  </si>
  <si>
    <t>B02365</t>
  </si>
  <si>
    <t>_x0007_`COD|B02365_x0005_`QTY1|1_x0005_`EXI|0_x0005_`IPR|0_x0005_`BLA|F_x0005_`</t>
  </si>
  <si>
    <t>B02365_1</t>
  </si>
  <si>
    <t>W1500*t30mm</t>
  </si>
  <si>
    <t>B02182</t>
  </si>
  <si>
    <t>_x0007_`COD|B02182_x0005_`QTY1|1_x0005_`EXI|0_x0005_`IPR|0_x0005_`BLA|F_x0005_`</t>
  </si>
  <si>
    <t>B02182_1</t>
  </si>
  <si>
    <t>W2000*t30mm</t>
  </si>
  <si>
    <t>B02675</t>
  </si>
  <si>
    <t>_x0007_`COD|B02675_x0005_`QTY1|1_x0005_`EXI|0_x0005_`IPR|0_x0005_`BLA|F_x0005_`</t>
  </si>
  <si>
    <t>B02675_1</t>
  </si>
  <si>
    <t>W1000*t30mm, 경사지형</t>
  </si>
  <si>
    <t>B02677</t>
  </si>
  <si>
    <t>_x0007_`COD|B02677_x0005_`QTY1|1_x0005_`EXI|0_x0005_`IPR|0_x0005_`BLA|F_x0005_`</t>
  </si>
  <si>
    <t>B02677_1</t>
  </si>
  <si>
    <t>W1200*t30mm, 경사지형</t>
  </si>
  <si>
    <t>B02678</t>
  </si>
  <si>
    <t>_x0007_`COD|B02678_x0005_`QTY1|1_x0005_`EXI|0_x0005_`IPR|0_x0005_`BLA|F_x0005_`</t>
  </si>
  <si>
    <t>B02678_1</t>
  </si>
  <si>
    <t>W1500*t30mm, 경사지형</t>
  </si>
  <si>
    <t>B02679</t>
  </si>
  <si>
    <t>_x0007_`COD|B02679_x0005_`QTY1|1_x0005_`EXI|0_x0005_`IPR|0_x0005_`BLA|F_x0005_`</t>
  </si>
  <si>
    <t>B02679_1</t>
  </si>
  <si>
    <t>W2000*t30mm, 경사지형</t>
  </si>
  <si>
    <t>B02680</t>
  </si>
  <si>
    <t>_x0007_`COD|B02680_x0005_`QTY1|1_x0005_`EXI|0_x0005_`IPR|0_x0005_`BLA|F_x0005_`</t>
  </si>
  <si>
    <t>B02680_1</t>
  </si>
  <si>
    <t>B02583</t>
  </si>
  <si>
    <t>_x0007_`COD|B02583_x0005_`QTY1|1_x0005_`EXI|0_x0005_`IPR|0_x0005_`BLA|F_x0005_`</t>
  </si>
  <si>
    <t>B02583_1</t>
  </si>
  <si>
    <t>B02584</t>
  </si>
  <si>
    <t>_x0007_`COD|B02584_x0005_`QTY1|1_x0005_`EXI|0_x0005_`IPR|0_x0005_`BLA|F_x0005_`</t>
  </si>
  <si>
    <t>B02584_1</t>
  </si>
  <si>
    <t>B02585</t>
  </si>
  <si>
    <t>_x0007_`COD|B02585_x0005_`QTY1|1_x0005_`EXI|0_x0005_`IPR|0_x0005_`BLA|F_x0005_`</t>
  </si>
  <si>
    <t>B02585_1</t>
  </si>
  <si>
    <t>B02676</t>
  </si>
  <si>
    <t>_x0007_`COD|B02676_x0005_`QTY1|1_x0005_`EXI|0_x0005_`IPR|0_x0005_`BLA|F_x0005_`</t>
  </si>
  <si>
    <t>B02676_1</t>
  </si>
  <si>
    <t>조경 유용석 쌓기</t>
  </si>
  <si>
    <t>직경 40~60cm</t>
  </si>
  <si>
    <t>B02798</t>
  </si>
  <si>
    <t>_x0007_`COD|B02798_x0005_`QTY1|1_x0005_`EXI|0_x0005_`IPR|0_x0005_`BLA|F_x0005_`</t>
  </si>
  <si>
    <t>B02798_1</t>
  </si>
  <si>
    <t>큰돌메쌓기</t>
  </si>
  <si>
    <t>B02148</t>
  </si>
  <si>
    <t>_x0007_`COD|B02148_x0005_`QTY1|1_x0005_`EXI|0_x0005_`IPR|0_x0005_`BLA|F_x0005_`</t>
  </si>
  <si>
    <t>B02148_1</t>
  </si>
  <si>
    <t>큰돌찰쌓기</t>
  </si>
  <si>
    <t>B02682</t>
  </si>
  <si>
    <t>_x0007_`COD|B02682_x0005_`QTY1|1_x0005_`EXI|0_x0005_`IPR|0_x0005_`BLA|F_x0005_`</t>
  </si>
  <si>
    <t>B02682_1</t>
  </si>
  <si>
    <t>큰돌메붙임</t>
  </si>
  <si>
    <t>B02684</t>
  </si>
  <si>
    <t>_x0007_`COD|B02684_x0005_`QTY1|1_x0005_`EXI|0_x0005_`IPR|0_x0005_`BLA|F_x0005_`</t>
  </si>
  <si>
    <t>B02684_1</t>
  </si>
  <si>
    <t>큰돌찰붙임</t>
  </si>
  <si>
    <t>B02683</t>
  </si>
  <si>
    <t>_x0007_`COD|B02683_x0005_`QTY1|1_x0005_`EXI|0_x0005_`IPR|0_x0005_`BLA|F_x0005_`</t>
  </si>
  <si>
    <t>B02683_1</t>
  </si>
  <si>
    <t>절토면고르기</t>
  </si>
  <si>
    <t>경질토</t>
  </si>
  <si>
    <t>B01959</t>
  </si>
  <si>
    <t>_x0007_`COD|B01959_x0005_`QTY1|1_x0005_`EXI|0_x0005_`IPR|0_x0005_`BLA|F_x0005_`</t>
  </si>
  <si>
    <t>B01959_1</t>
  </si>
  <si>
    <t>연질토, 불순자갈</t>
  </si>
  <si>
    <t>B02213</t>
  </si>
  <si>
    <t>_x0007_`COD|B02213_x0005_`QTY1|1_x0005_`EXI|0_x0005_`IPR|0_x0005_`BLA|F_x0005_`</t>
  </si>
  <si>
    <t>B02213_1</t>
  </si>
  <si>
    <t>풍화암</t>
  </si>
  <si>
    <t>B02295</t>
  </si>
  <si>
    <t>_x0007_`COD|B02295_x0005_`QTY1|1_x0005_`EXI|0_x0005_`IPR|0_x0005_`BLA|F_x0005_`</t>
  </si>
  <si>
    <t>B02295_1</t>
  </si>
  <si>
    <t>성토면고르기</t>
  </si>
  <si>
    <t>점토,점질토</t>
  </si>
  <si>
    <t>B02124</t>
  </si>
  <si>
    <t>_x0007_`COD|B02124_x0005_`QTY1|1_x0005_`EXI|0_x0005_`IPR|0_x0005_`BLA|F_x0005_`</t>
  </si>
  <si>
    <t>B02124_1</t>
  </si>
  <si>
    <t>모래,사질토</t>
  </si>
  <si>
    <t>B02186</t>
  </si>
  <si>
    <t>_x0007_`COD|B02186_x0005_`QTY1|1_x0005_`EXI|0_x0005_`IPR|0_x0005_`BLA|F_x0005_`</t>
  </si>
  <si>
    <t>B02186_1</t>
  </si>
  <si>
    <t>성토면 고르기</t>
  </si>
  <si>
    <t>굴착기 1.0㎥</t>
  </si>
  <si>
    <t>D01274</t>
  </si>
  <si>
    <t>_x0007_`COD|D01274_x0005_`QTY1|1_x0005_`EXI|0_x0005_`IPR|0_x0005_`BLA|F_x0005_`</t>
  </si>
  <si>
    <t>D01274_1</t>
  </si>
  <si>
    <t>식생 매트 설치</t>
  </si>
  <si>
    <t>T=4mm</t>
  </si>
  <si>
    <t>B02796</t>
  </si>
  <si>
    <t>_x0007_`COD|B02796_x0005_`QTY1|1_x0005_`EXI|0_x0005_`IPR|0_x0005_`BLA|F_x0005_`</t>
  </si>
  <si>
    <t>B02796_1</t>
  </si>
  <si>
    <t>거적 덮기</t>
  </si>
  <si>
    <t>B02797</t>
  </si>
  <si>
    <t>_x0007_`COD|B02797_x0005_`QTY1|1_x0005_`EXI|0_x0005_`IPR|0_x0005_`BLA|F_x0005_`</t>
  </si>
  <si>
    <t>B02797_1</t>
  </si>
  <si>
    <t>배수관매설</t>
  </si>
  <si>
    <t>D=300mm</t>
  </si>
  <si>
    <t>B01925</t>
  </si>
  <si>
    <t>_x0007_`COD|B01925_x0005_`QTY1|1_x0005_`EXI|0_x0005_`IPR|0_x0005_`BLA|F_x0005_`</t>
  </si>
  <si>
    <t>B01925_1</t>
  </si>
  <si>
    <t>D=600mm</t>
  </si>
  <si>
    <t>B01926</t>
  </si>
  <si>
    <t>_x0007_`COD|B01926_x0005_`QTY1|1_x0005_`EXI|0_x0005_`IPR|0_x0005_`BLA|F_x0005_`</t>
  </si>
  <si>
    <t>B01926_1</t>
  </si>
  <si>
    <t>등산로 주변정리</t>
  </si>
  <si>
    <t>가지정리, 1종</t>
  </si>
  <si>
    <t>D01212</t>
  </si>
  <si>
    <t>_x0007_`COD|D01212_x0005_`QTY1|1_x0005_`EXI|0_x0005_`IPR|0_x0005_`BLA|F_x0005_`</t>
  </si>
  <si>
    <t>D01212_1</t>
  </si>
  <si>
    <t>1600*500*520</t>
  </si>
  <si>
    <t>B02623</t>
  </si>
  <si>
    <t>_x0007_`COD|B02623_x0005_`QTY1|1_x0005_`EXI|0_x0005_`IPR|0_x0005_`BLA|F_x0005_`</t>
  </si>
  <si>
    <t>B02623_1</t>
  </si>
  <si>
    <t>평의자 설치</t>
  </si>
  <si>
    <t>B01853</t>
  </si>
  <si>
    <t>_x0007_`COD|B01853_x0005_`QTY1|1_x0005_`EXI|0_x0005_`IPR|0_x0005_`BLA|F_x0005_`</t>
  </si>
  <si>
    <t>B01853_1</t>
  </si>
  <si>
    <t>1600*586*750</t>
  </si>
  <si>
    <t>B02624</t>
  </si>
  <si>
    <t>_x0007_`COD|B02624_x0005_`QTY1|1_x0005_`EXI|0_x0005_`IPR|0_x0005_`BLA|F_x0005_`</t>
  </si>
  <si>
    <t>B02624_1</t>
  </si>
  <si>
    <t>등의자 설치</t>
  </si>
  <si>
    <t>B02625</t>
  </si>
  <si>
    <t>_x0007_`COD|B02625_x0005_`QTY1|1_x0005_`EXI|0_x0005_`IPR|0_x0005_`BLA|F_x0005_`</t>
  </si>
  <si>
    <t>B02625_1</t>
  </si>
  <si>
    <t>흙먼지털이기(콤프레셔함 포함)</t>
  </si>
  <si>
    <t>2300*1800*2500</t>
  </si>
  <si>
    <t>B02528</t>
  </si>
  <si>
    <t>_x0007_`COD|B02528_x0005_`QTY1|1_x0005_`EXI|0_x0005_`IPR|0_x0005_`BLA|F_x0005_`</t>
  </si>
  <si>
    <t>B02528_1</t>
  </si>
  <si>
    <t>구름걷기</t>
  </si>
  <si>
    <t>2745*715*1830</t>
  </si>
  <si>
    <t>B02645</t>
  </si>
  <si>
    <t>_x0007_`COD|B02645_x0005_`QTY1|1_x0005_`EXI|0_x0005_`IPR|0_x0005_`BLA|F_x0005_`</t>
  </si>
  <si>
    <t>B02645_1</t>
  </si>
  <si>
    <t>다리근육모으기</t>
  </si>
  <si>
    <t>2065*550*1800</t>
  </si>
  <si>
    <t>B02531</t>
  </si>
  <si>
    <t>_x0007_`COD|B02531_x0005_`QTY1|1_x0005_`EXI|0_x0005_`IPR|0_x0005_`BLA|F_x0005_`</t>
  </si>
  <si>
    <t>B02531_1</t>
  </si>
  <si>
    <t>다리근육모으기&amp;양팔당기기</t>
  </si>
  <si>
    <t>2300*715*1800</t>
  </si>
  <si>
    <t>B02537</t>
  </si>
  <si>
    <t>_x0007_`COD|B02537_x0005_`QTY1|1_x0005_`EXI|0_x0005_`IPR|0_x0005_`BLA|F_x0005_`</t>
  </si>
  <si>
    <t>B02537_1</t>
  </si>
  <si>
    <t>달리기</t>
  </si>
  <si>
    <t>3585*575*1830</t>
  </si>
  <si>
    <t>B02533</t>
  </si>
  <si>
    <t>_x0007_`COD|B02533_x0005_`QTY1|1_x0005_`EXI|0_x0005_`IPR|0_x0005_`BLA|F_x0005_`</t>
  </si>
  <si>
    <t>B02533_1</t>
  </si>
  <si>
    <t>등허리지압기</t>
  </si>
  <si>
    <t>1545*820*1830</t>
  </si>
  <si>
    <t>B02532</t>
  </si>
  <si>
    <t>_x0007_`COD|B02532_x0005_`QTY1|1_x0005_`EXI|0_x0005_`IPR|0_x0005_`BLA|F_x0005_`</t>
  </si>
  <si>
    <t>B02532_1</t>
  </si>
  <si>
    <t>앉아다리밀기</t>
  </si>
  <si>
    <t>B02536</t>
  </si>
  <si>
    <t>B02536_1</t>
  </si>
  <si>
    <t>양팔밀기</t>
  </si>
  <si>
    <t>2035*725*1830</t>
  </si>
  <si>
    <t>B02529</t>
  </si>
  <si>
    <t>_x0007_`COD|B02529_x0005_`QTY1|1_x0005_`EXI|0_x0005_`IPR|0_x0005_`BLA|F_x0005_`</t>
  </si>
  <si>
    <t>B02529_1</t>
  </si>
  <si>
    <t>양팔당기기</t>
  </si>
  <si>
    <t>2760*725*1830</t>
  </si>
  <si>
    <t>B02538</t>
  </si>
  <si>
    <t>_x0007_`COD|B02538_x0005_`QTY1|1_x0005_`EXI|0_x0005_`IPR|0_x0005_`BLA|F_x0005_`</t>
  </si>
  <si>
    <t>B02538_1</t>
  </si>
  <si>
    <t>양팔밀어내기&amp;다리밀기</t>
  </si>
  <si>
    <t>2245*725*1800</t>
  </si>
  <si>
    <t>B02523</t>
  </si>
  <si>
    <t>_x0007_`COD|B02523_x0005_`QTY1|1_x0005_`EXI|0_x0005_`IPR|0_x0005_`BLA|F_x0005_`</t>
  </si>
  <si>
    <t>B02523_1</t>
  </si>
  <si>
    <t>어깨역기들기&amp;등허리풀기</t>
  </si>
  <si>
    <t>1990*795*1800</t>
  </si>
  <si>
    <t>B02524</t>
  </si>
  <si>
    <t>_x0007_`COD|B02524_x0005_`QTY1|1_x0005_`EXI|0_x0005_`IPR|0_x0005_`BLA|F_x0005_`</t>
  </si>
  <si>
    <t>B02524_1</t>
  </si>
  <si>
    <t>온몸달리기&amp;하늘걷기</t>
  </si>
  <si>
    <t>2960*820*1800</t>
  </si>
  <si>
    <t>B02518</t>
  </si>
  <si>
    <t>_x0007_`COD|B02518_x0005_`QTY1|1_x0005_`EXI|0_x0005_`IPR|0_x0005_`BLA|F_x0005_`</t>
  </si>
  <si>
    <t>B02518_1</t>
  </si>
  <si>
    <t>옆파도타기</t>
  </si>
  <si>
    <t>1520*865*1800</t>
  </si>
  <si>
    <t>B02520</t>
  </si>
  <si>
    <t>_x0007_`COD|B02520_x0005_`QTY1|1_x0005_`EXI|0_x0005_`IPR|0_x0005_`BLA|F_x0005_`</t>
  </si>
  <si>
    <t>B02520_1</t>
  </si>
  <si>
    <t>옆파도타기&amp;원그리기</t>
  </si>
  <si>
    <t>1370*1095*2025</t>
  </si>
  <si>
    <t>B02527</t>
  </si>
  <si>
    <t>_x0007_`COD|B02527_x0005_`QTY1|1_x0005_`EXI|0_x0005_`IPR|0_x0005_`BLA|F_x0005_`</t>
  </si>
  <si>
    <t>B02527_1</t>
  </si>
  <si>
    <t>온몸근육풀기</t>
  </si>
  <si>
    <t>1275*1095*1855</t>
  </si>
  <si>
    <t>B02521</t>
  </si>
  <si>
    <t>_x0007_`COD|B02521_x0005_`QTY1|1_x0005_`EXI|0_x0005_`IPR|0_x0005_`BLA|F_x0005_`</t>
  </si>
  <si>
    <t>B02521_1</t>
  </si>
  <si>
    <t>윗몸일으키기</t>
  </si>
  <si>
    <t>1410*1355*1830</t>
  </si>
  <si>
    <t>B02534</t>
  </si>
  <si>
    <t>_x0007_`COD|B02534_x0005_`QTY1|1_x0005_`EXI|0_x0005_`IPR|0_x0005_`BLA|F_x0005_`</t>
  </si>
  <si>
    <t>B02534_1</t>
  </si>
  <si>
    <t>자전거타기</t>
  </si>
  <si>
    <t>2515*535*1830</t>
  </si>
  <si>
    <t>B02658</t>
  </si>
  <si>
    <t>_x0007_`COD|B02658_x0005_`QTY1|1_x0005_`EXI|0_x0005_`IPR|0_x0005_`BLA|F_x0005_`</t>
  </si>
  <si>
    <t>B02658_1</t>
  </si>
  <si>
    <t>자전거타기&amp;허리돌리기</t>
  </si>
  <si>
    <t>2235*480*1800</t>
  </si>
  <si>
    <t>B02539</t>
  </si>
  <si>
    <t>_x0007_`COD|B02539_x0005_`QTY1|1_x0005_`EXI|0_x0005_`IPR|0_x0005_`BLA|F_x0005_`</t>
  </si>
  <si>
    <t>B02539_1</t>
  </si>
  <si>
    <t>허리돌리기</t>
  </si>
  <si>
    <t>2155*605*1830</t>
  </si>
  <si>
    <t>B02525</t>
  </si>
  <si>
    <t>_x0007_`COD|B02525_x0005_`QTY1|1_x0005_`EXI|0_x0005_`IPR|0_x0005_`BLA|F_x0005_`</t>
  </si>
  <si>
    <t>B02525_1</t>
  </si>
  <si>
    <t>방향안내이정표 설치</t>
  </si>
  <si>
    <t>2방향</t>
  </si>
  <si>
    <t>B02515</t>
  </si>
  <si>
    <t>_x0007_`COD|B02515_x0005_`QTY1|1_x0005_`EXI|0_x0005_`IPR|0_x0005_`BLA|F_x0005_`</t>
  </si>
  <si>
    <t>B02515_1</t>
  </si>
  <si>
    <t>3방향</t>
  </si>
  <si>
    <t>B02517</t>
  </si>
  <si>
    <t>_x0007_`COD|B02517_x0005_`QTY1|1_x0005_`EXI|0_x0005_`IPR|0_x0005_`BLA|F_x0005_`</t>
  </si>
  <si>
    <t>B02517_1</t>
  </si>
  <si>
    <t>4방향</t>
  </si>
  <si>
    <t>B02516</t>
  </si>
  <si>
    <t>_x0007_`COD|B02516_x0005_`QTY1|1_x0005_`EXI|0_x0005_`IPR|0_x0005_`BLA|F_x0005_`</t>
  </si>
  <si>
    <t>B02516_1</t>
  </si>
  <si>
    <t>방향표시날개 설치</t>
  </si>
  <si>
    <t>600*150</t>
  </si>
  <si>
    <t>B02586</t>
  </si>
  <si>
    <t>_x0007_`COD|B02586_x0005_`QTY1|1_x0005_`EXI|0_x0005_`IPR|0_x0005_`BLA|F_x0005_`</t>
  </si>
  <si>
    <t>B02586_1</t>
  </si>
  <si>
    <t>금지행위안내판 설치</t>
  </si>
  <si>
    <t>600*900</t>
  </si>
  <si>
    <t>B02587</t>
  </si>
  <si>
    <t>_x0007_`COD|B02587_x0005_`QTY1|1_x0005_`EXI|0_x0005_`IPR|0_x0005_`BLA|F_x0005_`</t>
  </si>
  <si>
    <t>B02587_1</t>
  </si>
  <si>
    <t>시설안내판 설치</t>
  </si>
  <si>
    <t>700*1200</t>
  </si>
  <si>
    <t>B02588</t>
  </si>
  <si>
    <t>_x0007_`COD|B02588_x0005_`QTY1|1_x0005_`EXI|0_x0005_`IPR|0_x0005_`BLA|F_x0005_`</t>
  </si>
  <si>
    <t>B02588_1</t>
  </si>
  <si>
    <t>공원안내판 설치</t>
  </si>
  <si>
    <t>1000*750</t>
  </si>
  <si>
    <t>B02589</t>
  </si>
  <si>
    <t>_x0007_`COD|B02589_x0005_`QTY1|1_x0005_`EXI|0_x0005_`IPR|0_x0005_`BLA|F_x0005_`</t>
  </si>
  <si>
    <t>B02589_1</t>
  </si>
  <si>
    <t>종합안내판 설치</t>
  </si>
  <si>
    <t>1200*750</t>
  </si>
  <si>
    <t>B02462</t>
  </si>
  <si>
    <t>_x0007_`COD|B02462_x0005_`QTY1|1_x0005_`EXI|0_x0005_`IPR|0_x0005_`BLA|F_x0005_`</t>
  </si>
  <si>
    <t>B02462_1</t>
  </si>
  <si>
    <t>관광안내판 설치</t>
  </si>
  <si>
    <t>2000*1200</t>
  </si>
  <si>
    <t>B02590</t>
  </si>
  <si>
    <t>_x0007_`COD|B02590_x0005_`QTY1|1_x0005_`EXI|0_x0005_`IPR|0_x0005_`BLA|F_x0005_`</t>
  </si>
  <si>
    <t>B02590_1</t>
  </si>
  <si>
    <t>방향안내이정표 이설</t>
  </si>
  <si>
    <t>B02403</t>
  </si>
  <si>
    <t>_x0007_`COD|B02403_x0005_`QTY1|1_x0005_`EXI|0_x0005_`IPR|0_x0005_`BLA|F_x0005_`</t>
  </si>
  <si>
    <t>B02403_1</t>
  </si>
  <si>
    <t>목구조체설치</t>
  </si>
  <si>
    <t>간단구조</t>
  </si>
  <si>
    <t>B01822</t>
  </si>
  <si>
    <t>_x0007_`COD|B01822_x0005_`QTY1|1_x0005_`EXI|0_x0005_`IPR|0_x0005_`BLA|F_x0005_`</t>
  </si>
  <si>
    <t>B01822_1</t>
  </si>
  <si>
    <t>목구조체철거</t>
  </si>
  <si>
    <t>설치품의 30%</t>
  </si>
  <si>
    <t>B02396</t>
  </si>
  <si>
    <t>_x0007_`COD|B02396_x0005_`QTY1|1_x0005_`EXI|0_x0005_`IPR|0_x0005_`BLA|F_x0005_`</t>
  </si>
  <si>
    <t>B02396_1</t>
  </si>
  <si>
    <t>데크 상판 설치</t>
  </si>
  <si>
    <t>카스(90*21T)</t>
  </si>
  <si>
    <t>D01264</t>
  </si>
  <si>
    <t>_x0007_`COD|D01264_x0005_`QTY1|1_x0005_`EXI|0_x0005_`IPR|0_x0005_`BLA|F_x0005_`</t>
  </si>
  <si>
    <t>D01264_1</t>
  </si>
  <si>
    <t>데크난간 보수</t>
  </si>
  <si>
    <t>1500*1200</t>
  </si>
  <si>
    <t>B02732</t>
  </si>
  <si>
    <t>_x0007_`COD|B02732_x0005_`QTY1|1_x0005_`EXI|0_x0005_`IPR|0_x0005_`BLA|F_x0005_`</t>
  </si>
  <si>
    <t>B02732_1</t>
  </si>
  <si>
    <t>데크계단 오일스테인칠</t>
  </si>
  <si>
    <t>W1500, 상판&amp;난간</t>
  </si>
  <si>
    <t>B02655</t>
  </si>
  <si>
    <t>_x0007_`COD|B02655_x0005_`QTY1|1_x0005_`EXI|0_x0005_`IPR|0_x0005_`BLA|F_x0005_`</t>
  </si>
  <si>
    <t>B02655_1</t>
  </si>
  <si>
    <t>평의자 페인트칠</t>
  </si>
  <si>
    <t>W1600</t>
  </si>
  <si>
    <t>B02552</t>
  </si>
  <si>
    <t>_x0007_`COD|B02552_x0005_`QTY1|1_x0005_`EXI|0_x0005_`IPR|0_x0005_`BLA|F_x0005_`</t>
  </si>
  <si>
    <t>B02552_1</t>
  </si>
  <si>
    <t>W1800</t>
  </si>
  <si>
    <t>B02553</t>
  </si>
  <si>
    <t>_x0007_`COD|B02553_x0005_`QTY1|1_x0005_`EXI|0_x0005_`IPR|0_x0005_`BLA|F_x0005_`</t>
  </si>
  <si>
    <t>B02553_1</t>
  </si>
  <si>
    <t>등의자 페인트칠</t>
  </si>
  <si>
    <t>B02554</t>
  </si>
  <si>
    <t>_x0007_`COD|B02554_x0005_`QTY1|1_x0005_`EXI|0_x0005_`IPR|0_x0005_`BLA|F_x0005_`</t>
  </si>
  <si>
    <t>B02554_1</t>
  </si>
  <si>
    <t>B02555</t>
  </si>
  <si>
    <t>_x0007_`COD|B02555_x0005_`QTY1|1_x0005_`EXI|0_x0005_`IPR|0_x0005_`BLA|F_x0005_`</t>
  </si>
  <si>
    <t>B02555_1</t>
  </si>
  <si>
    <t>철재면 도장</t>
  </si>
  <si>
    <t>지정색</t>
  </si>
  <si>
    <t>B02106</t>
  </si>
  <si>
    <t>_x0007_`COD|B02106_x0005_`QTY1|1_x0005_`EXI|0_x0005_`IPR|0_x0005_`BLA|F_x0005_`</t>
  </si>
  <si>
    <t>B02106_1</t>
  </si>
  <si>
    <t>목재면 바탕만들기</t>
  </si>
  <si>
    <t>불순물제거</t>
  </si>
  <si>
    <t>B02649</t>
  </si>
  <si>
    <t>_x0007_`COD|B02649_x0005_`QTY1|1_x0005_`EXI|0_x0005_`IPR|0_x0005_`BLA|F_x0005_`</t>
  </si>
  <si>
    <t>B02649_1</t>
  </si>
  <si>
    <t>퍼티 및 연마</t>
  </si>
  <si>
    <t>B02110</t>
  </si>
  <si>
    <t>_x0007_`COD|B02110_x0005_`QTY1|1_x0005_`EXI|0_x0005_`IPR|0_x0005_`BLA|F_x0005_`</t>
  </si>
  <si>
    <t>B02110_1</t>
  </si>
  <si>
    <t>유성 페인트 붓칠</t>
  </si>
  <si>
    <t>철재면 1회</t>
  </si>
  <si>
    <t>B02563</t>
  </si>
  <si>
    <t>_x0007_`COD|B02563_x0005_`QTY1|1_x0005_`EXI|0_x0005_`IPR|0_x0005_`BLA|F_x0005_`</t>
  </si>
  <si>
    <t>B02563_1</t>
  </si>
  <si>
    <t>철재면 2회</t>
  </si>
  <si>
    <t>B02550</t>
  </si>
  <si>
    <t>_x0007_`COD|B02550_x0005_`QTY1|1_x0005_`EXI|0_x0005_`IPR|0_x0005_`BLA|F_x0005_`</t>
  </si>
  <si>
    <t>B02550_1</t>
  </si>
  <si>
    <t>녹막이페인트칠</t>
  </si>
  <si>
    <t>B02562</t>
  </si>
  <si>
    <t>_x0007_`COD|B02562_x0005_`QTY1|1_x0005_`EXI|0_x0005_`IPR|0_x0005_`BLA|F_x0005_`</t>
  </si>
  <si>
    <t>B02562_1</t>
  </si>
  <si>
    <t>B02107</t>
  </si>
  <si>
    <t>_x0007_`COD|B02107_x0005_`QTY1|1_x0005_`EXI|0_x0005_`IPR|0_x0005_`BLA|F_x0005_`</t>
  </si>
  <si>
    <t>B02107_1</t>
  </si>
  <si>
    <t>오일스테인칠</t>
  </si>
  <si>
    <t>목재면 1회</t>
  </si>
  <si>
    <t>B02657</t>
  </si>
  <si>
    <t>_x0007_`COD|B02657_x0005_`QTY1|1_x0005_`EXI|0_x0005_`IPR|0_x0005_`BLA|F_x0005_`</t>
  </si>
  <si>
    <t>B02657_1</t>
  </si>
  <si>
    <t>목재면 2회</t>
  </si>
  <si>
    <t>B01814</t>
  </si>
  <si>
    <t>_x0007_`COD|B01814_x0005_`QTY1|1_x0005_`EXI|0_x0005_`IPR|0_x0005_`BLA|F_x0005_`</t>
  </si>
  <si>
    <t>B01814_1</t>
  </si>
  <si>
    <t>재도장 시 바탕 처리</t>
  </si>
  <si>
    <t>철재면, B급</t>
  </si>
  <si>
    <t>D01275</t>
  </si>
  <si>
    <t>_x0007_`COD|D01275_x0005_`QTY1|1_x0005_`EXI|0_x0005_`IPR|0_x0005_`BLA|F_x0005_`</t>
  </si>
  <si>
    <t>D01275_1</t>
  </si>
  <si>
    <t>목재면, B급</t>
  </si>
  <si>
    <t>D01276</t>
  </si>
  <si>
    <t>_x0007_`COD|D01276_x0005_`QTY1|1_x0005_`EXI|0_x0005_`IPR|0_x0005_`BLA|F_x0005_`</t>
  </si>
  <si>
    <t>D01276_1</t>
  </si>
  <si>
    <t>데크평상 재도장</t>
  </si>
  <si>
    <t>3000*3000</t>
  </si>
  <si>
    <t>B02723</t>
  </si>
  <si>
    <t>_x0007_`COD|B02723_x0005_`QTY1|1_x0005_`EXI|0_x0005_`IPR|0_x0005_`BLA|F_x0005_`</t>
  </si>
  <si>
    <t>B02723_1</t>
  </si>
  <si>
    <t>안전로프 기둥 재도장</t>
  </si>
  <si>
    <t>￠120, H1600</t>
  </si>
  <si>
    <t>B02722</t>
  </si>
  <si>
    <t>_x0007_`COD|B02722_x0005_`QTY1|1_x0005_`EXI|0_x0005_`IPR|0_x0005_`BLA|F_x0005_`</t>
  </si>
  <si>
    <t>B02722_1</t>
  </si>
  <si>
    <t>B02629</t>
  </si>
  <si>
    <t>_x0007_`COD|B02629_x0005_`QTY1|1_x0005_`EXI|0_x0005_`IPR|0_x0005_`BLA|F_x0005_`</t>
  </si>
  <si>
    <t>B02629_1</t>
  </si>
  <si>
    <t>안전로프 재설치</t>
  </si>
  <si>
    <t>B02247</t>
  </si>
  <si>
    <t>_x0007_`COD|B02247_x0005_`QTY1|1_x0005_`EXI|0_x0005_`IPR|0_x0005_`BLA|F_x0005_`</t>
  </si>
  <si>
    <t>B02247_1</t>
  </si>
  <si>
    <t>H1600</t>
  </si>
  <si>
    <t>B02725</t>
  </si>
  <si>
    <t>_x0007_`COD|B02725_x0005_`QTY1|1_x0005_`EXI|0_x0005_`IPR|0_x0005_`BLA|F_x0005_`</t>
  </si>
  <si>
    <t>B02725_1</t>
  </si>
  <si>
    <t>안전로프 기둥 재설치</t>
  </si>
  <si>
    <t>B02721</t>
  </si>
  <si>
    <t>_x0007_`COD|B02721_x0005_`QTY1|1_x0005_`EXI|0_x0005_`IPR|0_x0005_`BLA|F_x0005_`</t>
  </si>
  <si>
    <t>B02721_1</t>
  </si>
  <si>
    <t>B02720</t>
  </si>
  <si>
    <t>_x0007_`COD|B02720_x0005_`QTY1|1_x0005_`EXI|0_x0005_`IPR|0_x0005_`BLA|F_x0005_`</t>
  </si>
  <si>
    <t>B02720_1</t>
  </si>
  <si>
    <t>안전로프 로프교체</t>
  </si>
  <si>
    <t>B02513</t>
  </si>
  <si>
    <t>_x0007_`COD|B02513_x0005_`QTY1|1_x0005_`EXI|0_x0005_`IPR|0_x0005_`BLA|F_x0005_`</t>
  </si>
  <si>
    <t>B02513_1</t>
  </si>
  <si>
    <t>의자 기초 보수</t>
  </si>
  <si>
    <t>300*300*200</t>
  </si>
  <si>
    <t>B02556</t>
  </si>
  <si>
    <t>_x0007_`COD|B02556_x0005_`QTY1|1_x0005_`EXI|0_x0005_`IPR|0_x0005_`BLA|F_x0005_`</t>
  </si>
  <si>
    <t>B02556_1</t>
  </si>
  <si>
    <t>의자 각재 보수</t>
  </si>
  <si>
    <t>60*30*1800</t>
  </si>
  <si>
    <t>EA</t>
  </si>
  <si>
    <t>B02559</t>
  </si>
  <si>
    <t>_x0007_`COD|B02559_x0005_`QTY1|1_x0005_`EXI|0_x0005_`IPR|0_x0005_`BLA|F_x0005_`</t>
  </si>
  <si>
    <t>B02559_1</t>
  </si>
  <si>
    <t>90*40*1800</t>
  </si>
  <si>
    <t>B02558</t>
  </si>
  <si>
    <t>_x0007_`COD|B02558_x0005_`QTY1|1_x0005_`EXI|0_x0005_`IPR|0_x0005_`BLA|F_x0005_`</t>
  </si>
  <si>
    <t>B02558_1</t>
  </si>
  <si>
    <t>120*60*1800</t>
  </si>
  <si>
    <t>B02560</t>
  </si>
  <si>
    <t>_x0007_`COD|B02560_x0005_`QTY1|1_x0005_`EXI|0_x0005_`IPR|0_x0005_`BLA|F_x0005_`</t>
  </si>
  <si>
    <t>B02560_1</t>
  </si>
  <si>
    <t>210*75*1800</t>
  </si>
  <si>
    <t>B02561</t>
  </si>
  <si>
    <t>_x0007_`COD|B02561_x0005_`QTY1|1_x0005_`EXI|0_x0005_`IPR|0_x0005_`BLA|F_x0005_`</t>
  </si>
  <si>
    <t>B02561_1</t>
  </si>
  <si>
    <t>철봉 보수</t>
  </si>
  <si>
    <t>STS, 25.4*T1.5</t>
  </si>
  <si>
    <t>B02565</t>
  </si>
  <si>
    <t>_x0007_`COD|B02565_x0005_`QTY1|1_x0005_`EXI|0_x0005_`IPR|0_x0005_`BLA|F_x0005_`</t>
  </si>
  <si>
    <t>B02565_1</t>
  </si>
  <si>
    <t>STS, 38.1*T1.5</t>
  </si>
  <si>
    <t>B02566</t>
  </si>
  <si>
    <t>_x0007_`COD|B02566_x0005_`QTY1|1_x0005_`EXI|0_x0005_`IPR|0_x0005_`BLA|F_x0005_`</t>
  </si>
  <si>
    <t>B02566_1</t>
  </si>
  <si>
    <t>STS, 50.8*T1.5</t>
  </si>
  <si>
    <t>B02567</t>
  </si>
  <si>
    <t>_x0007_`COD|B02567_x0005_`QTY1|1_x0005_`EXI|0_x0005_`IPR|0_x0005_`BLA|F_x0005_`</t>
  </si>
  <si>
    <t>B02567_1</t>
  </si>
  <si>
    <t>STS, 89.1*T1.5</t>
  </si>
  <si>
    <t>B02568</t>
  </si>
  <si>
    <t>_x0007_`COD|B02568_x0005_`QTY1|1_x0005_`EXI|0_x0005_`IPR|0_x0005_`BLA|F_x0005_`</t>
  </si>
  <si>
    <t>B02568_1</t>
  </si>
  <si>
    <t>철물교체&amp;도색</t>
  </si>
  <si>
    <t>B02647</t>
  </si>
  <si>
    <t>_x0007_`COD|B02647_x0005_`QTY1|1_x0005_`EXI|0_x0005_`IPR|0_x0005_`BLA|F_x0005_`</t>
  </si>
  <si>
    <t>B02647_1</t>
  </si>
  <si>
    <t>운동기구 보수</t>
  </si>
  <si>
    <t>B02646</t>
  </si>
  <si>
    <t>_x0007_`COD|B02646_x0005_`QTY1|1_x0005_`EXI|0_x0005_`IPR|0_x0005_`BLA|F_x0005_`</t>
  </si>
  <si>
    <t>B02646_1</t>
  </si>
  <si>
    <t>윗몸일으키기 각재교체</t>
  </si>
  <si>
    <t>80*60*2200</t>
  </si>
  <si>
    <t>B02581</t>
  </si>
  <si>
    <t>_x0007_`COD|B02581_x0005_`QTY1|1_x0005_`EXI|0_x0005_`IPR|0_x0005_`BLA|F_x0005_`</t>
  </si>
  <si>
    <t>B02581_1</t>
  </si>
  <si>
    <t>바벨들기 각재교체</t>
  </si>
  <si>
    <t>140*75*2200</t>
  </si>
  <si>
    <t>B02582</t>
  </si>
  <si>
    <t>_x0007_`COD|B02582_x0005_`QTY1|1_x0005_`EXI|0_x0005_`IPR|0_x0005_`BLA|F_x0005_`</t>
  </si>
  <si>
    <t>B02582_1</t>
  </si>
  <si>
    <t>조경유용석 헐기</t>
  </si>
  <si>
    <t>쌓기품의 20%적용</t>
  </si>
  <si>
    <t>TON</t>
  </si>
  <si>
    <t>D01299</t>
  </si>
  <si>
    <t>_x0007_`COD|D01299_x0005_`QTY1|1_x0005_`EXI|0_x0005_`IPR|0_x0005_`BLA|F_x0005_`</t>
  </si>
  <si>
    <t>D01299_1</t>
  </si>
  <si>
    <t>보행매트 철거</t>
  </si>
  <si>
    <t>W1.5m 이하, 설치품의 30%</t>
  </si>
  <si>
    <t>D01215</t>
  </si>
  <si>
    <t>_x0007_`COD|D01215_x0005_`QTY1|1_x0005_`EXI|0_x0005_`IPR|0_x0005_`BLA|F_x0005_`</t>
  </si>
  <si>
    <t>D01215_1</t>
  </si>
  <si>
    <t>W2.0m 이하, 설치품의 30%</t>
  </si>
  <si>
    <t>D01214</t>
  </si>
  <si>
    <t>_x0007_`COD|D01214_x0005_`QTY1|1_x0005_`EXI|0_x0005_`IPR|0_x0005_`BLA|F_x0005_`</t>
  </si>
  <si>
    <t>D01214_1</t>
  </si>
  <si>
    <t>B02809</t>
  </si>
  <si>
    <t>_x0007_`COD|B02809_x0005_`QTY1|1_x0005_`EXI|0_x0005_`IPR|0_x0005_`BLA|F_x0005_`</t>
  </si>
  <si>
    <t>B02809_1</t>
  </si>
  <si>
    <t>B02810</t>
  </si>
  <si>
    <t>_x0007_`COD|B02810_x0005_`QTY1|1_x0005_`EXI|0_x0005_`IPR|0_x0005_`BLA|F_x0005_`</t>
  </si>
  <si>
    <t>B02810_1</t>
  </si>
  <si>
    <t>B02811</t>
  </si>
  <si>
    <t>_x0007_`COD|B02811_x0005_`QTY1|1_x0005_`EXI|0_x0005_`IPR|0_x0005_`BLA|F_x0005_`</t>
  </si>
  <si>
    <t>B02811_1</t>
  </si>
  <si>
    <t>B02812</t>
  </si>
  <si>
    <t>_x0007_`COD|B02812_x0005_`QTY1|1_x0005_`EXI|0_x0005_`IPR|0_x0005_`BLA|F_x0005_`</t>
  </si>
  <si>
    <t>B02812_1</t>
  </si>
  <si>
    <t>B02813</t>
  </si>
  <si>
    <t>_x0007_`COD|B02813_x0005_`QTY1|1_x0005_`EXI|0_x0005_`IPR|0_x0005_`BLA|F_x0005_`</t>
  </si>
  <si>
    <t>B02813_1</t>
  </si>
  <si>
    <t>목재계단 철거</t>
  </si>
  <si>
    <t>B02814</t>
  </si>
  <si>
    <t>_x0007_`COD|B02814_x0005_`QTY1|1_x0005_`EXI|0_x0005_`IPR|0_x0005_`BLA|F_x0005_`</t>
  </si>
  <si>
    <t>B02814_1</t>
  </si>
  <si>
    <t>B02815</t>
  </si>
  <si>
    <t>_x0007_`COD|B02815_x0005_`QTY1|1_x0005_`EXI|0_x0005_`IPR|0_x0005_`BLA|F_x0005_`</t>
  </si>
  <si>
    <t>B02815_1</t>
  </si>
  <si>
    <t>B02816</t>
  </si>
  <si>
    <t>_x0007_`COD|B02816_x0005_`QTY1|1_x0005_`EXI|0_x0005_`IPR|0_x0005_`BLA|F_x0005_`</t>
  </si>
  <si>
    <t>B02816_1</t>
  </si>
  <si>
    <t>B02817</t>
  </si>
  <si>
    <t>_x0007_`COD|B02817_x0005_`QTY1|1_x0005_`EXI|0_x0005_`IPR|0_x0005_`BLA|F_x0005_`</t>
  </si>
  <si>
    <t>B02817_1</t>
  </si>
  <si>
    <t>B02818</t>
  </si>
  <si>
    <t>_x0007_`COD|B02818_x0005_`QTY1|1_x0005_`EXI|0_x0005_`IPR|0_x0005_`BLA|F_x0005_`</t>
  </si>
  <si>
    <t>B02818_1</t>
  </si>
  <si>
    <t>W1000</t>
  </si>
  <si>
    <t>B02632</t>
  </si>
  <si>
    <t>_x0007_`COD|B02632_x0005_`QTY1|1_x0005_`EXI|0_x0005_`IPR|0_x0005_`BLA|F_x0005_`</t>
  </si>
  <si>
    <t>B02632_1</t>
  </si>
  <si>
    <t>W1200</t>
  </si>
  <si>
    <t>B02634</t>
  </si>
  <si>
    <t>_x0007_`COD|B02634_x0005_`QTY1|1_x0005_`EXI|0_x0005_`IPR|0_x0005_`BLA|F_x0005_`</t>
  </si>
  <si>
    <t>B02634_1</t>
  </si>
  <si>
    <t>W1500</t>
  </si>
  <si>
    <t>B02633</t>
  </si>
  <si>
    <t>_x0007_`COD|B02633_x0005_`QTY1|1_x0005_`EXI|0_x0005_`IPR|0_x0005_`BLA|F_x0005_`</t>
  </si>
  <si>
    <t>B02633_1</t>
  </si>
  <si>
    <t>원주목계단 철거</t>
  </si>
  <si>
    <t>B02630</t>
  </si>
  <si>
    <t>_x0007_`COD|B02630_x0005_`QTY1|1_x0005_`EXI|0_x0005_`IPR|0_x0005_`BLA|F_x0005_`</t>
  </si>
  <si>
    <t>B02630_1</t>
  </si>
  <si>
    <t>B02441</t>
  </si>
  <si>
    <t>_x0007_`COD|B02441_x0005_`QTY1|1_x0005_`EXI|0_x0005_`IPR|0_x0005_`BLA|F_x0005_`</t>
  </si>
  <si>
    <t>B02441_1</t>
  </si>
  <si>
    <t>B02631</t>
  </si>
  <si>
    <t>_x0007_`COD|B02631_x0005_`QTY1|1_x0005_`EXI|0_x0005_`IPR|0_x0005_`BLA|F_x0005_`</t>
  </si>
  <si>
    <t>B02631_1</t>
  </si>
  <si>
    <t>600*150*2000</t>
  </si>
  <si>
    <t>B02656</t>
  </si>
  <si>
    <t>_x0007_`COD|B02656_x0005_`QTY1|1_x0005_`EXI|0_x0005_`IPR|0_x0005_`BLA|F_x0005_`</t>
  </si>
  <si>
    <t>B02656_1</t>
  </si>
  <si>
    <t>이정표 철거</t>
  </si>
  <si>
    <t>B02654</t>
  </si>
  <si>
    <t>_x0007_`COD|B02654_x0005_`QTY1|1_x0005_`EXI|0_x0005_`IPR|0_x0005_`BLA|F_x0005_`</t>
  </si>
  <si>
    <t>B02654_1</t>
  </si>
  <si>
    <t>H1800</t>
  </si>
  <si>
    <t>B02451</t>
  </si>
  <si>
    <t>_x0007_`COD|B02451_x0005_`QTY1|1_x0005_`EXI|0_x0005_`IPR|0_x0005_`BLA|F_x0005_`</t>
  </si>
  <si>
    <t>B02451_1</t>
  </si>
  <si>
    <t>방향안내이정표 철거</t>
  </si>
  <si>
    <t>B02643</t>
  </si>
  <si>
    <t>_x0007_`COD|B02643_x0005_`QTY1|1_x0005_`EXI|0_x0005_`IPR|0_x0005_`BLA|F_x0005_`</t>
  </si>
  <si>
    <t>B02643_1</t>
  </si>
  <si>
    <t>800*600</t>
  </si>
  <si>
    <t>B02640</t>
  </si>
  <si>
    <t>_x0007_`COD|B02640_x0005_`QTY1|1_x0005_`EXI|0_x0005_`IPR|0_x0005_`BLA|F_x0005_`</t>
  </si>
  <si>
    <t>B02640_1</t>
  </si>
  <si>
    <t>1300*700</t>
  </si>
  <si>
    <t>B02639</t>
  </si>
  <si>
    <t>_x0007_`COD|B02639_x0005_`QTY1|1_x0005_`EXI|0_x0005_`IPR|0_x0005_`BLA|F_x0005_`</t>
  </si>
  <si>
    <t>B02639_1</t>
  </si>
  <si>
    <t>1800*1200</t>
  </si>
  <si>
    <t>B02641</t>
  </si>
  <si>
    <t>_x0007_`COD|B02641_x0005_`QTY1|1_x0005_`EXI|0_x0005_`IPR|0_x0005_`BLA|F_x0005_`</t>
  </si>
  <si>
    <t>B02641_1</t>
  </si>
  <si>
    <t>2700*1800</t>
  </si>
  <si>
    <t>B02642</t>
  </si>
  <si>
    <t>_x0007_`COD|B02642_x0005_`QTY1|1_x0005_`EXI|0_x0005_`IPR|0_x0005_`BLA|F_x0005_`</t>
  </si>
  <si>
    <t>B02642_1</t>
  </si>
  <si>
    <t>안내판 철거</t>
  </si>
  <si>
    <t>B02464</t>
  </si>
  <si>
    <t>_x0007_`COD|B02464_x0005_`QTY1|1_x0005_`EXI|0_x0005_`IPR|0_x0005_`BLA|F_x0005_`</t>
  </si>
  <si>
    <t>B02464_1</t>
  </si>
  <si>
    <t>B02445</t>
  </si>
  <si>
    <t>_x0007_`COD|B02445_x0005_`QTY1|1_x0005_`EXI|0_x0005_`IPR|0_x0005_`BLA|F_x0005_`</t>
  </si>
  <si>
    <t>B02445_1</t>
  </si>
  <si>
    <t>B02570</t>
  </si>
  <si>
    <t>_x0007_`COD|B02570_x0005_`QTY1|1_x0005_`EXI|0_x0005_`IPR|0_x0005_`BLA|F_x0005_`</t>
  </si>
  <si>
    <t>B02570_1</t>
  </si>
  <si>
    <t>B02465</t>
  </si>
  <si>
    <t>_x0007_`COD|B02465_x0005_`QTY1|1_x0005_`EXI|0_x0005_`IPR|0_x0005_`BLA|F_x0005_`</t>
  </si>
  <si>
    <t>B02465_1</t>
  </si>
  <si>
    <t>1500*350</t>
  </si>
  <si>
    <t>B02615</t>
  </si>
  <si>
    <t>_x0007_`COD|B02615_x0005_`QTY1|1_x0005_`EXI|0_x0005_`IPR|0_x0005_`BLA|F_x0005_`</t>
  </si>
  <si>
    <t>B02615_1</t>
  </si>
  <si>
    <t>평의자 철거</t>
  </si>
  <si>
    <t>B02635</t>
  </si>
  <si>
    <t>_x0007_`COD|B02635_x0005_`QTY1|1_x0005_`EXI|0_x0005_`IPR|0_x0005_`BLA|F_x0005_`</t>
  </si>
  <si>
    <t>B02635_1</t>
  </si>
  <si>
    <t>1500*400</t>
  </si>
  <si>
    <t>B02395</t>
  </si>
  <si>
    <t>_x0007_`COD|B02395_x0005_`QTY1|1_x0005_`EXI|0_x0005_`IPR|0_x0005_`BLA|F_x0005_`</t>
  </si>
  <si>
    <t>B02395_1</t>
  </si>
  <si>
    <t>등의자 철거</t>
  </si>
  <si>
    <t>B02636</t>
  </si>
  <si>
    <t>_x0007_`COD|B02636_x0005_`QTY1|1_x0005_`EXI|0_x0005_`IPR|0_x0005_`BLA|F_x0005_`</t>
  </si>
  <si>
    <t>B02636_1</t>
  </si>
  <si>
    <t>B02384</t>
  </si>
  <si>
    <t>_x0007_`COD|B02384_x0005_`QTY1|1_x0005_`EXI|0_x0005_`IPR|0_x0005_`BLA|F_x0005_`</t>
  </si>
  <si>
    <t>B02384_1</t>
  </si>
  <si>
    <t>안전로프 철거</t>
  </si>
  <si>
    <t>B02637</t>
  </si>
  <si>
    <t>_x0007_`COD|B02637_x0005_`QTY1|1_x0005_`EXI|0_x0005_`IPR|0_x0005_`BLA|F_x0005_`</t>
  </si>
  <si>
    <t>B02637_1</t>
  </si>
  <si>
    <t>B02397</t>
  </si>
  <si>
    <t>_x0007_`COD|B02397_x0005_`QTY1|1_x0005_`EXI|0_x0005_`IPR|0_x0005_`BLA|F_x0005_`</t>
  </si>
  <si>
    <t>B02397_1</t>
  </si>
  <si>
    <t>윗몸일으키기대 철거</t>
  </si>
  <si>
    <t>B02638</t>
  </si>
  <si>
    <t>_x0007_`COD|B02638_x0005_`QTY1|1_x0005_`EXI|0_x0005_`IPR|0_x0005_`BLA|F_x0005_`</t>
  </si>
  <si>
    <t>B02638_1</t>
  </si>
  <si>
    <t>평상철거</t>
  </si>
  <si>
    <t>2500*2500</t>
  </si>
  <si>
    <t>식</t>
  </si>
  <si>
    <t>B02653</t>
  </si>
  <si>
    <t>_x0007_`COD|B02653_x0005_`QTY1|1_x0005_`EXI|0_x0005_`IPR|0_x0005_`BLA|F_x0005_`</t>
  </si>
  <si>
    <t>B02653_1</t>
  </si>
  <si>
    <t>인력, 무근</t>
  </si>
  <si>
    <t>D01268</t>
  </si>
  <si>
    <t>_x0007_`COD|D01268_x0005_`QTY1|1_x0005_`EXI|0_x0005_`IPR|0_x0005_`BLA|F_x0005_`</t>
  </si>
  <si>
    <t>D01268_1</t>
  </si>
  <si>
    <t>콘크리트 구조물 헐기</t>
  </si>
  <si>
    <t>D01242</t>
  </si>
  <si>
    <t>_x0007_`COD|D01242_x0005_`QTY1|1_x0005_`EXI|0_x0005_`IPR|0_x0005_`BLA|F_x0005_`</t>
  </si>
  <si>
    <t>D01242_1</t>
  </si>
  <si>
    <t>산벚나무 식재</t>
  </si>
  <si>
    <t>H3.5, B8</t>
  </si>
  <si>
    <t>주</t>
  </si>
  <si>
    <t>B02799</t>
  </si>
  <si>
    <t>_x0007_`COD|B02799_x0005_`QTY1|1_x0005_`EXI|0_x0005_`IPR|0_x0005_`BLA|F_x0005_`</t>
  </si>
  <si>
    <t>B02799_1</t>
  </si>
  <si>
    <t>교목 식재(인력)</t>
  </si>
  <si>
    <t>B5(R6) 이하</t>
  </si>
  <si>
    <t>D01304</t>
  </si>
  <si>
    <t>_x0007_`COD|D01304_x0005_`QTY1|1_x0005_`EXI|0_x0005_`IPR|0_x0005_`BLA|F_x0005_`</t>
  </si>
  <si>
    <t>D01304_1</t>
  </si>
  <si>
    <t>B6~7 (R7~8)</t>
  </si>
  <si>
    <t>D01306</t>
  </si>
  <si>
    <t>_x0007_`COD|D01306_x0005_`QTY1|1_x0005_`EXI|0_x0005_`IPR|0_x0005_`BLA|F_x0005_`</t>
  </si>
  <si>
    <t>D01306_1</t>
  </si>
  <si>
    <t>교목 식재(기계)</t>
  </si>
  <si>
    <t>D01305</t>
  </si>
  <si>
    <t>_x0007_`COD|D01305_x0005_`QTY1|1_x0005_`EXI|0_x0005_`IPR|0_x0005_`BLA|F_x0005_`</t>
  </si>
  <si>
    <t>D01305_1</t>
  </si>
  <si>
    <t>D01307</t>
  </si>
  <si>
    <t>_x0007_`COD|D01307_x0005_`QTY1|1_x0005_`EXI|0_x0005_`IPR|0_x0005_`BLA|F_x0005_`</t>
  </si>
  <si>
    <t>D01307_1</t>
  </si>
  <si>
    <t>B8~9 (R9~11)</t>
  </si>
  <si>
    <t>D01308</t>
  </si>
  <si>
    <t>_x0007_`COD|D01308_x0005_`QTY1|1_x0005_`EXI|0_x0005_`IPR|0_x0005_`BLA|F_x0005_`</t>
  </si>
  <si>
    <t>D01308_1</t>
  </si>
  <si>
    <t>B10~17 (R12~20)</t>
  </si>
  <si>
    <t>D01309</t>
  </si>
  <si>
    <t>_x0007_`COD|D01309_x0005_`QTY1|1_x0005_`EXI|0_x0005_`IPR|0_x0005_`BLA|F_x0005_`</t>
  </si>
  <si>
    <t>D01309_1</t>
  </si>
  <si>
    <t>B18~24 (R21~29)</t>
  </si>
  <si>
    <t>D01310</t>
  </si>
  <si>
    <t>_x0007_`COD|D01310_x0005_`QTY1|1_x0005_`EXI|0_x0005_`IPR|0_x0005_`BLA|F_x0005_`</t>
  </si>
  <si>
    <t>D01310_1</t>
  </si>
  <si>
    <t>B25~34 (R30~41)</t>
  </si>
  <si>
    <t>D01311</t>
  </si>
  <si>
    <t>_x0007_`COD|D01311_x0005_`QTY1|1_x0005_`EXI|0_x0005_`IPR|0_x0005_`BLA|F_x0005_`</t>
  </si>
  <si>
    <t>D01311_1</t>
  </si>
  <si>
    <t>B35~44 (R42~53)</t>
  </si>
  <si>
    <t>D01312</t>
  </si>
  <si>
    <t>_x0007_`COD|D01312_x0005_`QTY1|1_x0005_`EXI|0_x0005_`IPR|0_x0005_`BLA|F_x0005_`</t>
  </si>
  <si>
    <t>D01312_1</t>
  </si>
  <si>
    <t>B45~49 (R54~59)</t>
  </si>
  <si>
    <t>D01313</t>
  </si>
  <si>
    <t>_x0007_`COD|D01313_x0005_`QTY1|1_x0005_`EXI|0_x0005_`IPR|0_x0005_`BLA|F_x0005_`</t>
  </si>
  <si>
    <t>D01313_1</t>
  </si>
  <si>
    <t>수고 2.0m 이하</t>
  </si>
  <si>
    <t>D01314</t>
  </si>
  <si>
    <t>_x0007_`COD|D01314_x0005_`QTY1|1_x0005_`EXI|0_x0005_`IPR|0_x0005_`BLA|F_x0005_`</t>
  </si>
  <si>
    <t>D01314_1</t>
  </si>
  <si>
    <t>수고 3.0m 이하</t>
  </si>
  <si>
    <t>D01316</t>
  </si>
  <si>
    <t>_x0007_`COD|D01316_x0005_`QTY1|1_x0005_`EXI|0_x0005_`IPR|0_x0005_`BLA|F_x0005_`</t>
  </si>
  <si>
    <t>D01316_1</t>
  </si>
  <si>
    <t>수고 5.0m 이하</t>
  </si>
  <si>
    <t>D01318</t>
  </si>
  <si>
    <t>_x0007_`COD|D01318_x0005_`QTY1|1_x0005_`EXI|0_x0005_`IPR|0_x0005_`BLA|F_x0005_`</t>
  </si>
  <si>
    <t>D01318_1</t>
  </si>
  <si>
    <t>D01315</t>
  </si>
  <si>
    <t>_x0007_`COD|D01315_x0005_`QTY1|1_x0005_`EXI|0_x0005_`IPR|0_x0005_`BLA|F_x0005_`</t>
  </si>
  <si>
    <t>D01315_1</t>
  </si>
  <si>
    <t>D01317</t>
  </si>
  <si>
    <t>_x0007_`COD|D01317_x0005_`QTY1|1_x0005_`EXI|0_x0005_`IPR|0_x0005_`BLA|F_x0005_`</t>
  </si>
  <si>
    <t>D01317_1</t>
  </si>
  <si>
    <t>D01319</t>
  </si>
  <si>
    <t>_x0007_`COD|D01319_x0005_`QTY1|1_x0005_`EXI|0_x0005_`IPR|0_x0005_`BLA|F_x0005_`</t>
  </si>
  <si>
    <t>D01319_1</t>
  </si>
  <si>
    <t>관목 식재(단식)</t>
  </si>
  <si>
    <t>H0.3m미만</t>
  </si>
  <si>
    <t>D01290</t>
  </si>
  <si>
    <t>_x0007_`COD|D01290_x0005_`QTY1|1_x0005_`EXI|0_x0005_`IPR|0_x0005_`BLA|F_x0005_`</t>
  </si>
  <si>
    <t>D01290_1</t>
  </si>
  <si>
    <t>영산홍 식재</t>
  </si>
  <si>
    <t>H0.3*W0.3</t>
  </si>
  <si>
    <t>B02800</t>
  </si>
  <si>
    <t>_x0007_`COD|B02800_x0005_`QTY1|1_x0005_`EXI|0_x0005_`IPR|0_x0005_`BLA|F_x0005_`</t>
  </si>
  <si>
    <t>B02800_1</t>
  </si>
  <si>
    <t>H0.3m~0.7m이하</t>
  </si>
  <si>
    <t>D01262</t>
  </si>
  <si>
    <t>_x0007_`COD|D01262_x0005_`QTY1|1_x0005_`EXI|0_x0005_`IPR|0_x0005_`BLA|F_x0005_`</t>
  </si>
  <si>
    <t>D01262_1</t>
  </si>
  <si>
    <t>H0.8m~1.1m이하</t>
  </si>
  <si>
    <t>D01291</t>
  </si>
  <si>
    <t>_x0007_`COD|D01291_x0005_`QTY1|1_x0005_`EXI|0_x0005_`IPR|0_x0005_`BLA|F_x0005_`</t>
  </si>
  <si>
    <t>D01291_1</t>
  </si>
  <si>
    <t>H1.2m~1.5m이하</t>
  </si>
  <si>
    <t>D01292</t>
  </si>
  <si>
    <t>_x0007_`COD|D01292_x0005_`QTY1|1_x0005_`EXI|0_x0005_`IPR|0_x0005_`BLA|F_x0005_`</t>
  </si>
  <si>
    <t>D01292_1</t>
  </si>
  <si>
    <t>관목 식재(군식)</t>
  </si>
  <si>
    <t>D01293</t>
  </si>
  <si>
    <t>_x0007_`COD|D01293_x0005_`QTY1|1_x0005_`EXI|0_x0005_`IPR|0_x0005_`BLA|F_x0005_`</t>
  </si>
  <si>
    <t>D01293_1</t>
  </si>
  <si>
    <t>D01261</t>
  </si>
  <si>
    <t>_x0007_`COD|D01261_x0005_`QTY1|1_x0005_`EXI|0_x0005_`IPR|0_x0005_`BLA|F_x0005_`</t>
  </si>
  <si>
    <t>D01261_1</t>
  </si>
  <si>
    <t>D01258</t>
  </si>
  <si>
    <t>_x0007_`COD|D01258_x0005_`QTY1|1_x0005_`EXI|0_x0005_`IPR|0_x0005_`BLA|F_x0005_`</t>
  </si>
  <si>
    <t>D01258_1</t>
  </si>
  <si>
    <t>D01294</t>
  </si>
  <si>
    <t>_x0007_`COD|D01294_x0005_`QTY1|1_x0005_`EXI|0_x0005_`IPR|0_x0005_`BLA|F_x0005_`</t>
  </si>
  <si>
    <t>D01294_1</t>
  </si>
  <si>
    <t>초화류 식재</t>
  </si>
  <si>
    <t>양호</t>
  </si>
  <si>
    <t>D01295</t>
  </si>
  <si>
    <t>_x0007_`COD|D01295_x0005_`QTY1|1_x0005_`EXI|0_x0005_`IPR|0_x0005_`BLA|F_x0005_`</t>
  </si>
  <si>
    <t>D01295_1</t>
  </si>
  <si>
    <t>보통</t>
  </si>
  <si>
    <t>D01296</t>
  </si>
  <si>
    <t>_x0007_`COD|D01296_x0005_`QTY1|1_x0005_`EXI|0_x0005_`IPR|0_x0005_`BLA|F_x0005_`</t>
  </si>
  <si>
    <t>D01296_1</t>
  </si>
  <si>
    <t>불량</t>
  </si>
  <si>
    <t>D01297</t>
  </si>
  <si>
    <t>_x0007_`COD|D01297_x0005_`QTY1|1_x0005_`EXI|0_x0005_`IPR|0_x0005_`BLA|F_x0005_`</t>
  </si>
  <si>
    <t>D01297_1</t>
  </si>
  <si>
    <t>잔디 붙임</t>
  </si>
  <si>
    <t>평떼</t>
  </si>
  <si>
    <t>B02071</t>
  </si>
  <si>
    <t>_x0007_`COD|B02071_x0005_`QTY1|1_x0005_`EXI|0_x0005_`IPR|0_x0005_`BLA|F_x0005_`</t>
  </si>
  <si>
    <t>B02071_1</t>
  </si>
  <si>
    <t>줄떼</t>
  </si>
  <si>
    <t>B02690</t>
  </si>
  <si>
    <t>_x0007_`COD|B02690_x0005_`QTY1|1_x0005_`EXI|0_x0005_`IPR|0_x0005_`BLA|F_x0005_`</t>
  </si>
  <si>
    <t>B02690_1</t>
  </si>
  <si>
    <t>제초작업</t>
  </si>
  <si>
    <t>인력, 지장물 지역</t>
  </si>
  <si>
    <t>D01210</t>
  </si>
  <si>
    <t>_x0007_`COD|D01210_x0005_`QTY1|1_x0005_`EXI|0_x0005_`IPR|0_x0005_`BLA|F_x0005_`</t>
  </si>
  <si>
    <t>D01210_1</t>
  </si>
  <si>
    <t>예초</t>
  </si>
  <si>
    <t>연 1회</t>
  </si>
  <si>
    <t>D01238</t>
  </si>
  <si>
    <t>_x0007_`COD|D01238_x0005_`QTY1|1_x0005_`EXI|0_x0005_`IPR|0_x0005_`BLA|F_x0005_`</t>
  </si>
  <si>
    <t>D01238_1</t>
  </si>
  <si>
    <t>연 2회</t>
  </si>
  <si>
    <t>D01277</t>
  </si>
  <si>
    <t>_x0007_`COD|D01277_x0005_`QTY1|1_x0005_`EXI|0_x0005_`IPR|0_x0005_`BLA|F_x0005_`</t>
  </si>
  <si>
    <t>D01277_1</t>
  </si>
  <si>
    <t>연 3회</t>
  </si>
  <si>
    <t>D01278</t>
  </si>
  <si>
    <t>_x0007_`COD|D01278_x0005_`QTY1|1_x0005_`EXI|0_x0005_`IPR|0_x0005_`BLA|F_x0005_`</t>
  </si>
  <si>
    <t>D01278_1</t>
  </si>
  <si>
    <t>일반 전정(인력시공)</t>
  </si>
  <si>
    <t>낙엽수, B11cm미만</t>
  </si>
  <si>
    <t>D01279</t>
  </si>
  <si>
    <t>_x0007_`COD|D01279_x0005_`QTY1|1_x0005_`EXI|0_x0005_`IPR|0_x0005_`BLA|F_x0005_`</t>
  </si>
  <si>
    <t>D01279_1</t>
  </si>
  <si>
    <t>낙엽수, B11~21cm미만</t>
  </si>
  <si>
    <t>D01235</t>
  </si>
  <si>
    <t>_x0007_`COD|D01235_x0005_`QTY1|1_x0005_`EXI|0_x0005_`IPR|0_x0005_`BLA|F_x0005_`</t>
  </si>
  <si>
    <t>D01235_1</t>
  </si>
  <si>
    <t>낙엽수, B21~31cm미만</t>
  </si>
  <si>
    <t>D01236</t>
  </si>
  <si>
    <t>_x0007_`COD|D01236_x0005_`QTY1|1_x0005_`EXI|0_x0005_`IPR|0_x0005_`BLA|F_x0005_`</t>
  </si>
  <si>
    <t>D01236_1</t>
  </si>
  <si>
    <t>일반 전정(기계시공)</t>
  </si>
  <si>
    <t>낙엽수, B31~41cm미만</t>
  </si>
  <si>
    <t>D01282</t>
  </si>
  <si>
    <t>_x0007_`COD|D01282_x0005_`QTY1|1_x0005_`EXI|0_x0005_`IPR|0_x0005_`BLA|F_x0005_`</t>
  </si>
  <si>
    <t>D01282_1</t>
  </si>
  <si>
    <t>낙엽수, B41~51cm미만</t>
  </si>
  <si>
    <t>D01283</t>
  </si>
  <si>
    <t>_x0007_`COD|D01283_x0005_`QTY1|1_x0005_`EXI|0_x0005_`IPR|0_x0005_`BLA|F_x0005_`</t>
  </si>
  <si>
    <t>D01283_1</t>
  </si>
  <si>
    <t>낙엽수, B51~61cm미만</t>
  </si>
  <si>
    <t>D01284</t>
  </si>
  <si>
    <t>_x0007_`COD|D01284_x0005_`QTY1|1_x0005_`EXI|0_x0005_`IPR|0_x0005_`BLA|F_x0005_`</t>
  </si>
  <si>
    <t>D01284_1</t>
  </si>
  <si>
    <t>낙엽수, B61cm초과</t>
  </si>
  <si>
    <t>D01285</t>
  </si>
  <si>
    <t>_x0007_`COD|D01285_x0005_`QTY1|1_x0005_`EXI|0_x0005_`IPR|0_x0005_`BLA|F_x0005_`</t>
  </si>
  <si>
    <t>D01285_1</t>
  </si>
  <si>
    <t>상록수, B11cm미만</t>
  </si>
  <si>
    <t>D01281</t>
  </si>
  <si>
    <t>_x0007_`COD|D01281_x0005_`QTY1|1_x0005_`EXI|0_x0005_`IPR|0_x0005_`BLA|F_x0005_`</t>
  </si>
  <si>
    <t>D01281_1</t>
  </si>
  <si>
    <t>상록수, B11~21cm미만</t>
  </si>
  <si>
    <t>D01280</t>
  </si>
  <si>
    <t>_x0007_`COD|D01280_x0005_`QTY1|1_x0005_`EXI|0_x0005_`IPR|0_x0005_`BLA|F_x0005_`</t>
  </si>
  <si>
    <t>D01280_1</t>
  </si>
  <si>
    <t>상록수, B21~31cm미만</t>
  </si>
  <si>
    <t>D01237</t>
  </si>
  <si>
    <t>_x0007_`COD|D01237_x0005_`QTY1|1_x0005_`EXI|0_x0005_`IPR|0_x0005_`BLA|F_x0005_`</t>
  </si>
  <si>
    <t>D01237_1</t>
  </si>
  <si>
    <t>상록수, B31~41cm미만</t>
  </si>
  <si>
    <t>D01286</t>
  </si>
  <si>
    <t>_x0007_`COD|D01286_x0005_`QTY1|1_x0005_`EXI|0_x0005_`IPR|0_x0005_`BLA|F_x0005_`</t>
  </si>
  <si>
    <t>D01286_1</t>
  </si>
  <si>
    <t>상록수, B41~51cm미만</t>
  </si>
  <si>
    <t>D01287</t>
  </si>
  <si>
    <t>_x0007_`COD|D01287_x0005_`QTY1|1_x0005_`EXI|0_x0005_`IPR|0_x0005_`BLA|F_x0005_`</t>
  </si>
  <si>
    <t>D01287_1</t>
  </si>
  <si>
    <t>상록수, B51~61cm미만</t>
  </si>
  <si>
    <t>D01288</t>
  </si>
  <si>
    <t>_x0007_`COD|D01288_x0005_`QTY1|1_x0005_`EXI|0_x0005_`IPR|0_x0005_`BLA|F_x0005_`</t>
  </si>
  <si>
    <t>D01288_1</t>
  </si>
  <si>
    <t>상록수, B61cm초과</t>
  </si>
  <si>
    <t>D01289</t>
  </si>
  <si>
    <t>_x0007_`COD|D01289_x0005_`QTY1|1_x0005_`EXI|0_x0005_`IPR|0_x0005_`BLA|F_x0005_`</t>
  </si>
  <si>
    <t>D01289_1</t>
  </si>
  <si>
    <t>지장목제거</t>
  </si>
  <si>
    <t>벌목</t>
  </si>
  <si>
    <t>D01177</t>
  </si>
  <si>
    <t>_x0007_`COD|D01177_x0005_`QTY1|1_x0005_`EXI|0_x0005_`IPR|0_x0005_`BLA|F_x0005_`</t>
  </si>
  <si>
    <t>D01177_1</t>
  </si>
  <si>
    <t>벌목&amp;뿌리뽑기</t>
  </si>
  <si>
    <t>D01175</t>
  </si>
  <si>
    <t>_x0007_`COD|D01175_x0005_`QTY1|1_x0005_`EXI|0_x0005_`IPR|0_x0005_`BLA|F_x0005_`</t>
  </si>
  <si>
    <t>D01175_1</t>
  </si>
  <si>
    <t>수목제거</t>
  </si>
  <si>
    <t>B8이하</t>
  </si>
  <si>
    <t>B02693</t>
  </si>
  <si>
    <t>_x0007_`COD|B02693_x0005_`QTY1|1_x0005_`EXI|0_x0005_`IPR|0_x0005_`BLA|F_x0005_`</t>
  </si>
  <si>
    <t>B02693_1</t>
  </si>
  <si>
    <t>B10</t>
  </si>
  <si>
    <t>B02694</t>
  </si>
  <si>
    <t>_x0007_`COD|B02694_x0005_`QTY1|1_x0005_`EXI|0_x0005_`IPR|0_x0005_`BLA|F_x0005_`</t>
  </si>
  <si>
    <t>B02694_1</t>
  </si>
  <si>
    <t>B12</t>
  </si>
  <si>
    <t>B02695</t>
  </si>
  <si>
    <t>_x0007_`COD|B02695_x0005_`QTY1|1_x0005_`EXI|0_x0005_`IPR|0_x0005_`BLA|F_x0005_`</t>
  </si>
  <si>
    <t>B02695_1</t>
  </si>
  <si>
    <t>B14</t>
  </si>
  <si>
    <t>B02696</t>
  </si>
  <si>
    <t>_x0007_`COD|B02696_x0005_`QTY1|1_x0005_`EXI|0_x0005_`IPR|0_x0005_`BLA|F_x0005_`</t>
  </si>
  <si>
    <t>B02696_1</t>
  </si>
  <si>
    <t>B16</t>
  </si>
  <si>
    <t>B02697</t>
  </si>
  <si>
    <t>_x0007_`COD|B02697_x0005_`QTY1|1_x0005_`EXI|0_x0005_`IPR|0_x0005_`BLA|F_x0005_`</t>
  </si>
  <si>
    <t>B02697_1</t>
  </si>
  <si>
    <t>B18</t>
  </si>
  <si>
    <t>B02698</t>
  </si>
  <si>
    <t>_x0007_`COD|B02698_x0005_`QTY1|1_x0005_`EXI|0_x0005_`IPR|0_x0005_`BLA|F_x0005_`</t>
  </si>
  <si>
    <t>B02698_1</t>
  </si>
  <si>
    <t>B20</t>
  </si>
  <si>
    <t>B02699</t>
  </si>
  <si>
    <t>_x0007_`COD|B02699_x0005_`QTY1|1_x0005_`EXI|0_x0005_`IPR|0_x0005_`BLA|F_x0005_`</t>
  </si>
  <si>
    <t>B02699_1</t>
  </si>
  <si>
    <t>B22</t>
  </si>
  <si>
    <t>B02700</t>
  </si>
  <si>
    <t>_x0007_`COD|B02700_x0005_`QTY1|1_x0005_`EXI|0_x0005_`IPR|0_x0005_`BLA|F_x0005_`</t>
  </si>
  <si>
    <t>B02700_1</t>
  </si>
  <si>
    <t>B24</t>
  </si>
  <si>
    <t>B02701</t>
  </si>
  <si>
    <t>_x0007_`COD|B02701_x0005_`QTY1|1_x0005_`EXI|0_x0005_`IPR|0_x0005_`BLA|F_x0005_`</t>
  </si>
  <si>
    <t>B02701_1</t>
  </si>
  <si>
    <t>B26</t>
  </si>
  <si>
    <t>B02702</t>
  </si>
  <si>
    <t>_x0007_`COD|B02702_x0005_`QTY1|1_x0005_`EXI|0_x0005_`IPR|0_x0005_`BLA|F_x0005_`</t>
  </si>
  <si>
    <t>B02702_1</t>
  </si>
  <si>
    <t>B28</t>
  </si>
  <si>
    <t>B02703</t>
  </si>
  <si>
    <t>_x0007_`COD|B02703_x0005_`QTY1|1_x0005_`EXI|0_x0005_`IPR|0_x0005_`BLA|F_x0005_`</t>
  </si>
  <si>
    <t>B02703_1</t>
  </si>
  <si>
    <t>B30</t>
  </si>
  <si>
    <t>B02704</t>
  </si>
  <si>
    <t>_x0007_`COD|B02704_x0005_`QTY1|1_x0005_`EXI|0_x0005_`IPR|0_x0005_`BLA|F_x0005_`</t>
  </si>
  <si>
    <t>B02704_1</t>
  </si>
  <si>
    <t>B35</t>
  </si>
  <si>
    <t>B02705</t>
  </si>
  <si>
    <t>_x0007_`COD|B02705_x0005_`QTY1|1_x0005_`EXI|0_x0005_`IPR|0_x0005_`BLA|F_x0005_`</t>
  </si>
  <si>
    <t>B02705_1</t>
  </si>
  <si>
    <t>B40</t>
  </si>
  <si>
    <t>B02706</t>
  </si>
  <si>
    <t>_x0007_`COD|B02706_x0005_`QTY1|1_x0005_`EXI|0_x0005_`IPR|0_x0005_`BLA|F_x0005_`</t>
  </si>
  <si>
    <t>B02706_1</t>
  </si>
  <si>
    <t>B45</t>
  </si>
  <si>
    <t>B02707</t>
  </si>
  <si>
    <t>_x0007_`COD|B02707_x0005_`QTY1|1_x0005_`EXI|0_x0005_`IPR|0_x0005_`BLA|F_x0005_`</t>
  </si>
  <si>
    <t>B02707_1</t>
  </si>
  <si>
    <t>B50</t>
  </si>
  <si>
    <t>B02708</t>
  </si>
  <si>
    <t>_x0007_`COD|B02708_x0005_`QTY1|1_x0005_`EXI|0_x0005_`IPR|0_x0005_`BLA|F_x0005_`</t>
  </si>
  <si>
    <t>B02708_1</t>
  </si>
  <si>
    <t>B55</t>
  </si>
  <si>
    <t>B02709</t>
  </si>
  <si>
    <t>_x0007_`COD|B02709_x0005_`QTY1|1_x0005_`EXI|0_x0005_`IPR|0_x0005_`BLA|F_x0005_`</t>
  </si>
  <si>
    <t>B02709_1</t>
  </si>
  <si>
    <t>B60</t>
  </si>
  <si>
    <t>B02710</t>
  </si>
  <si>
    <t>_x0007_`COD|B02710_x0005_`QTY1|1_x0005_`EXI|0_x0005_`IPR|0_x0005_`BLA|F_x0005_`</t>
  </si>
  <si>
    <t>B02710_1</t>
  </si>
  <si>
    <t>B65</t>
  </si>
  <si>
    <t>B02711</t>
  </si>
  <si>
    <t>_x0007_`COD|B02711_x0005_`QTY1|1_x0005_`EXI|0_x0005_`IPR|0_x0005_`BLA|F_x0005_`</t>
  </si>
  <si>
    <t>B02711_1</t>
  </si>
  <si>
    <t>관목제거</t>
  </si>
  <si>
    <t>H0.3미만</t>
  </si>
  <si>
    <t>B02712</t>
  </si>
  <si>
    <t>_x0007_`COD|B02712_x0005_`QTY1|1_x0005_`EXI|0_x0005_`IPR|0_x0005_`BLA|F_x0005_`</t>
  </si>
  <si>
    <t>B02712_1</t>
  </si>
  <si>
    <t>H0.3~0.7</t>
  </si>
  <si>
    <t>B02713</t>
  </si>
  <si>
    <t>_x0007_`COD|B02713_x0005_`QTY1|1_x0005_`EXI|0_x0005_`IPR|0_x0005_`BLA|F_x0005_`</t>
  </si>
  <si>
    <t>B02713_1</t>
  </si>
  <si>
    <t>H0.8~1.1</t>
  </si>
  <si>
    <t>B02714</t>
  </si>
  <si>
    <t>_x0007_`COD|B02714_x0005_`QTY1|1_x0005_`EXI|0_x0005_`IPR|0_x0005_`BLA|F_x0005_`</t>
  </si>
  <si>
    <t>B02714_1</t>
  </si>
  <si>
    <t>H1.2~1.5</t>
  </si>
  <si>
    <t>B02715</t>
  </si>
  <si>
    <t>_x0007_`COD|B02715_x0005_`QTY1|1_x0005_`EXI|0_x0005_`IPR|0_x0005_`BLA|F_x0005_`</t>
  </si>
  <si>
    <t>B02715_1</t>
  </si>
  <si>
    <t>H1.6~2.0</t>
  </si>
  <si>
    <t>B02716</t>
  </si>
  <si>
    <t>_x0007_`COD|B02716_x0005_`QTY1|1_x0005_`EXI|0_x0005_`IPR|0_x0005_`BLA|F_x0005_`</t>
  </si>
  <si>
    <t>B02716_1</t>
  </si>
  <si>
    <t>H2.1~2.5</t>
  </si>
  <si>
    <t>B02717</t>
  </si>
  <si>
    <t>_x0007_`COD|B02717_x0005_`QTY1|1_x0005_`EXI|0_x0005_`IPR|0_x0005_`BLA|F_x0005_`</t>
  </si>
  <si>
    <t>B02717_1</t>
  </si>
  <si>
    <t>300*300*300</t>
  </si>
  <si>
    <t>B02618</t>
  </si>
  <si>
    <t>_x0007_`COD|B02618_x0005_`QTY1|1_x0005_`EXI|0_x0005_`IPR|0_x0005_`BLA|F_x0005_`</t>
  </si>
  <si>
    <t>B02618_1</t>
  </si>
  <si>
    <t>400*400*400</t>
  </si>
  <si>
    <t>B02617</t>
  </si>
  <si>
    <t>_x0007_`COD|B02617_x0005_`QTY1|1_x0005_`EXI|0_x0005_`IPR|0_x0005_`BLA|F_x0005_`</t>
  </si>
  <si>
    <t>B02617_1</t>
  </si>
  <si>
    <t>500*500*500</t>
  </si>
  <si>
    <t>B02616</t>
  </si>
  <si>
    <t>_x0007_`COD|B02616_x0005_`QTY1|1_x0005_`EXI|0_x0005_`IPR|0_x0005_`BLA|F_x0005_`</t>
  </si>
  <si>
    <t>B02616_1</t>
  </si>
  <si>
    <t>독립기초</t>
  </si>
  <si>
    <t>B02619</t>
  </si>
  <si>
    <t>_x0007_`COD|B02619_x0005_`QTY1|1_x0005_`EXI|0_x0005_`IPR|0_x0005_`BLA|F_x0005_`</t>
  </si>
  <si>
    <t>B02619_1</t>
  </si>
  <si>
    <t>B02620</t>
  </si>
  <si>
    <t>_x0007_`COD|B02620_x0005_`QTY1|1_x0005_`EXI|0_x0005_`IPR|0_x0005_`BLA|F_x0005_`</t>
  </si>
  <si>
    <t>B02620_1</t>
  </si>
  <si>
    <t>B02621</t>
  </si>
  <si>
    <t>_x0007_`COD|B02621_x0005_`QTY1|1_x0005_`EXI|0_x0005_`IPR|0_x0005_`BLA|F_x0005_`</t>
  </si>
  <si>
    <t>B02621_1</t>
  </si>
  <si>
    <t>자재소운반</t>
  </si>
  <si>
    <t>L=100m</t>
  </si>
  <si>
    <t>Ton</t>
  </si>
  <si>
    <t>D01179</t>
  </si>
  <si>
    <t>_x0007_`COD|D01179_x0005_`QTY1|1_x0005_`EXI|0_x0005_`IPR|0_x0005_`BLA|F_x0005_`</t>
  </si>
  <si>
    <t>D01179_1</t>
  </si>
  <si>
    <t>L=150m</t>
  </si>
  <si>
    <t>D01180</t>
  </si>
  <si>
    <t>_x0007_`COD|D01180_x0005_`QTY1|1_x0005_`EXI|0_x0005_`IPR|0_x0005_`BLA|F_x0005_`</t>
  </si>
  <si>
    <t>D01180_1</t>
  </si>
  <si>
    <t>L=200m</t>
  </si>
  <si>
    <t>D01181</t>
  </si>
  <si>
    <t>_x0007_`COD|D01181_x0005_`QTY1|1_x0005_`EXI|0_x0005_`IPR|0_x0005_`BLA|F_x0005_`</t>
  </si>
  <si>
    <t>D01181_1</t>
  </si>
  <si>
    <t>L=250m</t>
  </si>
  <si>
    <t>D01182</t>
  </si>
  <si>
    <t>_x0007_`COD|D01182_x0005_`QTY1|1_x0005_`EXI|0_x0005_`IPR|0_x0005_`BLA|F_x0005_`</t>
  </si>
  <si>
    <t>D01182_1</t>
  </si>
  <si>
    <t>L=300m</t>
  </si>
  <si>
    <t>D01183</t>
  </si>
  <si>
    <t>_x0007_`COD|D01183_x0005_`QTY1|1_x0005_`EXI|0_x0005_`IPR|0_x0005_`BLA|F_x0005_`</t>
  </si>
  <si>
    <t>D01183_1</t>
  </si>
  <si>
    <t>L=350m</t>
  </si>
  <si>
    <t>D01184</t>
  </si>
  <si>
    <t>_x0007_`COD|D01184_x0005_`QTY1|1_x0005_`EXI|0_x0005_`IPR|0_x0005_`BLA|F_x0005_`</t>
  </si>
  <si>
    <t>D01184_1</t>
  </si>
  <si>
    <t>L=400m</t>
  </si>
  <si>
    <t>D01185</t>
  </si>
  <si>
    <t>_x0007_`COD|D01185_x0005_`QTY1|1_x0005_`EXI|0_x0005_`IPR|0_x0005_`BLA|F_x0005_`</t>
  </si>
  <si>
    <t>D01185_1</t>
  </si>
  <si>
    <t>L=450m</t>
  </si>
  <si>
    <t>D01186</t>
  </si>
  <si>
    <t>_x0007_`COD|D01186_x0005_`QTY1|1_x0005_`EXI|0_x0005_`IPR|0_x0005_`BLA|F_x0005_`</t>
  </si>
  <si>
    <t>D01186_1</t>
  </si>
  <si>
    <t>L=500m</t>
  </si>
  <si>
    <t>D01187</t>
  </si>
  <si>
    <t>_x0007_`COD|D01187_x0005_`QTY1|1_x0005_`EXI|0_x0005_`IPR|0_x0005_`BLA|F_x0005_`</t>
  </si>
  <si>
    <t>D01187_1</t>
  </si>
  <si>
    <t>L=550m</t>
  </si>
  <si>
    <t>D01188</t>
  </si>
  <si>
    <t>_x0007_`COD|D01188_x0005_`QTY1|1_x0005_`EXI|0_x0005_`IPR|0_x0005_`BLA|F_x0005_`</t>
  </si>
  <si>
    <t>D01188_1</t>
  </si>
  <si>
    <t>L=600m</t>
  </si>
  <si>
    <t>D01189</t>
  </si>
  <si>
    <t>_x0007_`COD|D01189_x0005_`QTY1|1_x0005_`EXI|0_x0005_`IPR|0_x0005_`BLA|F_x0005_`</t>
  </si>
  <si>
    <t>D01189_1</t>
  </si>
  <si>
    <t>L=650m</t>
  </si>
  <si>
    <t>D01190</t>
  </si>
  <si>
    <t>_x0007_`COD|D01190_x0005_`QTY1|1_x0005_`EXI|0_x0005_`IPR|0_x0005_`BLA|F_x0005_`</t>
  </si>
  <si>
    <t>D01190_1</t>
  </si>
  <si>
    <t>L=700m</t>
  </si>
  <si>
    <t>D01191</t>
  </si>
  <si>
    <t>_x0007_`COD|D01191_x0005_`QTY1|1_x0005_`EXI|0_x0005_`IPR|0_x0005_`BLA|F_x0005_`</t>
  </si>
  <si>
    <t>D01191_1</t>
  </si>
  <si>
    <t>L=750m</t>
  </si>
  <si>
    <t>D01192</t>
  </si>
  <si>
    <t>_x0007_`COD|D01192_x0005_`QTY1|1_x0005_`EXI|0_x0005_`IPR|0_x0005_`BLA|F_x0005_`</t>
  </si>
  <si>
    <t>D01192_1</t>
  </si>
  <si>
    <t>L=800m</t>
  </si>
  <si>
    <t>D01193</t>
  </si>
  <si>
    <t>_x0007_`COD|D01193_x0005_`QTY1|1_x0005_`EXI|0_x0005_`IPR|0_x0005_`BLA|F_x0005_`</t>
  </si>
  <si>
    <t>D01193_1</t>
  </si>
  <si>
    <t>L=850m</t>
  </si>
  <si>
    <t>D01194</t>
  </si>
  <si>
    <t>_x0007_`COD|D01194_x0005_`QTY1|1_x0005_`EXI|0_x0005_`IPR|0_x0005_`BLA|F_x0005_`</t>
  </si>
  <si>
    <t>D01194_1</t>
  </si>
  <si>
    <t>L=900m</t>
  </si>
  <si>
    <t>D01195</t>
  </si>
  <si>
    <t>_x0007_`COD|D01195_x0005_`QTY1|1_x0005_`EXI|0_x0005_`IPR|0_x0005_`BLA|F_x0005_`</t>
  </si>
  <si>
    <t>D01195_1</t>
  </si>
  <si>
    <t>L=950m</t>
  </si>
  <si>
    <t>D01196</t>
  </si>
  <si>
    <t>_x0007_`COD|D01196_x0005_`QTY1|1_x0005_`EXI|0_x0005_`IPR|0_x0005_`BLA|F_x0005_`</t>
  </si>
  <si>
    <t>D01196_1</t>
  </si>
  <si>
    <t>L=1,000m</t>
  </si>
  <si>
    <t>D01197</t>
  </si>
  <si>
    <t>_x0007_`COD|D01197_x0005_`QTY1|1_x0005_`EXI|0_x0005_`IPR|0_x0005_`BLA|F_x0005_`</t>
  </si>
  <si>
    <t>D01197_1</t>
  </si>
  <si>
    <t>L=1,050m</t>
  </si>
  <si>
    <t>D01198</t>
  </si>
  <si>
    <t>_x0007_`COD|D01198_x0005_`QTY1|1_x0005_`EXI|0_x0005_`IPR|0_x0005_`BLA|F_x0005_`</t>
  </si>
  <si>
    <t>D01198_1</t>
  </si>
  <si>
    <t>L=1,100m</t>
  </si>
  <si>
    <t>D01199</t>
  </si>
  <si>
    <t>_x0007_`COD|D01199_x0005_`QTY1|1_x0005_`EXI|0_x0005_`IPR|0_x0005_`BLA|F_x0005_`</t>
  </si>
  <si>
    <t>D01199_1</t>
  </si>
  <si>
    <t>L=1,150m</t>
  </si>
  <si>
    <t>D01200</t>
  </si>
  <si>
    <t>_x0007_`COD|D01200_x0005_`QTY1|1_x0005_`EXI|0_x0005_`IPR|0_x0005_`BLA|F_x0005_`</t>
  </si>
  <si>
    <t>D01200_1</t>
  </si>
  <si>
    <t>L=1,200m</t>
  </si>
  <si>
    <t>D01201</t>
  </si>
  <si>
    <t>_x0007_`COD|D01201_x0005_`QTY1|1_x0005_`EXI|0_x0005_`IPR|0_x0005_`BLA|F_x0005_`</t>
  </si>
  <si>
    <t>D01201_1</t>
  </si>
  <si>
    <t>L=1,250m</t>
  </si>
  <si>
    <t>D01202</t>
  </si>
  <si>
    <t>_x0007_`COD|D01202_x0005_`QTY1|1_x0005_`EXI|0_x0005_`IPR|0_x0005_`BLA|F_x0005_`</t>
  </si>
  <si>
    <t>D01202_1</t>
  </si>
  <si>
    <t>L=1,300m</t>
  </si>
  <si>
    <t>D01203</t>
  </si>
  <si>
    <t>_x0007_`COD|D01203_x0005_`QTY1|1_x0005_`EXI|0_x0005_`IPR|0_x0005_`BLA|F_x0005_`</t>
  </si>
  <si>
    <t>D01203_1</t>
  </si>
  <si>
    <t>L=1,350m</t>
  </si>
  <si>
    <t>D01204</t>
  </si>
  <si>
    <t>_x0007_`COD|D01204_x0005_`QTY1|1_x0005_`EXI|0_x0005_`IPR|0_x0005_`BLA|F_x0005_`</t>
  </si>
  <si>
    <t>D01204_1</t>
  </si>
  <si>
    <t>L=1,450m</t>
  </si>
  <si>
    <t>D01206</t>
  </si>
  <si>
    <t>_x0007_`COD|D01206_x0005_`QTY1|1_x0005_`EXI|0_x0005_`IPR|0_x0005_`BLA|F_x0005_`</t>
  </si>
  <si>
    <t>D01206_1</t>
  </si>
  <si>
    <t>L=1,500m</t>
  </si>
  <si>
    <t>D01207</t>
  </si>
  <si>
    <t>_x0007_`COD|D01207_x0005_`QTY1|1_x0005_`EXI|0_x0005_`IPR|0_x0005_`BLA|F_x0005_`</t>
  </si>
  <si>
    <t>D01207_1</t>
  </si>
  <si>
    <t>(제외금액)</t>
  </si>
  <si>
    <t>C4_1</t>
  </si>
  <si>
    <t>폐기물 상차 및 운반</t>
  </si>
  <si>
    <t>30km이하,덤프15톤,건설폐재류</t>
  </si>
  <si>
    <t>D01218</t>
  </si>
  <si>
    <t>_x0007_`COD|D01218_x0005_`QTY1|1_x0005_`EXI|0_x0005_`IPR|0_x0005_`BLA|F_x0005_`</t>
  </si>
  <si>
    <t>D01218_1</t>
  </si>
  <si>
    <t>30km이하,암롤15톤,혼합건설폐기물</t>
  </si>
  <si>
    <t>D01219</t>
  </si>
  <si>
    <t>_x0007_`COD|D01219_x0005_`QTY1|1_x0005_`EXI|0_x0005_`IPR|0_x0005_`BLA|F_x0005_`</t>
  </si>
  <si>
    <t>D01219_1</t>
  </si>
  <si>
    <t>30km이하,덤프15톤,폐콘크리트</t>
  </si>
  <si>
    <t>D01220</t>
  </si>
  <si>
    <t>_x0007_`COD|D01220_x0005_`QTY1|1_x0005_`EXI|0_x0005_`IPR|0_x0005_`BLA|F_x0005_`</t>
  </si>
  <si>
    <t>D01220_1</t>
  </si>
  <si>
    <t>30km이하,집게5톤,폐목재</t>
  </si>
  <si>
    <t>D01221</t>
  </si>
  <si>
    <t>_x0007_`COD|D01221_x0005_`QTY1|1_x0005_`EXI|0_x0005_`IPR|0_x0005_`BLA|F_x0005_`</t>
  </si>
  <si>
    <t>D01221_1</t>
  </si>
  <si>
    <t>폐기물 처리</t>
  </si>
  <si>
    <t>건설폐기물</t>
  </si>
  <si>
    <t>D01222</t>
  </si>
  <si>
    <t>_x0007_`COD|D01222_x0005_`QTY1|1_x0005_`EXI|0_x0005_`IPR|0_x0005_`BLA|F_x0005_`</t>
  </si>
  <si>
    <t>D01222_1</t>
  </si>
  <si>
    <t>폐콘크리트</t>
  </si>
  <si>
    <t>D01223</t>
  </si>
  <si>
    <t>_x0007_`COD|D01223_x0005_`QTY1|1_x0005_`EXI|0_x0005_`IPR|0_x0005_`BLA|F_x0005_`</t>
  </si>
  <si>
    <t>D01223_1</t>
  </si>
  <si>
    <t>폐목재</t>
  </si>
  <si>
    <t>D01224</t>
  </si>
  <si>
    <t>_x0007_`COD|D01224_x0005_`QTY1|1_x0005_`EXI|0_x0005_`IPR|0_x0005_`BLA|F_x0005_`</t>
  </si>
  <si>
    <t>D01224_1</t>
  </si>
  <si>
    <t>직접공사비</t>
  </si>
  <si>
    <t>일위대가 목록표</t>
  </si>
  <si>
    <t>코드번호</t>
  </si>
  <si>
    <t>산림4-25</t>
  </si>
  <si>
    <t>25조경설계대가</t>
  </si>
  <si>
    <t>B02299</t>
  </si>
  <si>
    <t>기초다짐 및 뒷채움</t>
  </si>
  <si>
    <t>잡석, 75mm미만</t>
  </si>
  <si>
    <t>산림12-3</t>
  </si>
  <si>
    <t>건축11-2-6</t>
  </si>
  <si>
    <t>B02685</t>
  </si>
  <si>
    <t>돌붙임(큰돌)</t>
  </si>
  <si>
    <t>메붙임,직경40~60cm</t>
  </si>
  <si>
    <t>산림12-4-다</t>
  </si>
  <si>
    <t>B02145</t>
  </si>
  <si>
    <t>찰붙임,직경40~60cm</t>
  </si>
  <si>
    <t>B02146</t>
  </si>
  <si>
    <t>돌쌓기(큰돌)</t>
  </si>
  <si>
    <t>메쌓기,직경40~60cm</t>
  </si>
  <si>
    <t>B02144</t>
  </si>
  <si>
    <t>찰쌓기,직경40~60cm</t>
  </si>
  <si>
    <t>B01447</t>
  </si>
  <si>
    <t>되메우고 다지기</t>
  </si>
  <si>
    <t>인력, 15cm</t>
  </si>
  <si>
    <t>B01772</t>
  </si>
  <si>
    <t>모르타르 배합</t>
  </si>
  <si>
    <t>1:3, 체가름 제외</t>
  </si>
  <si>
    <t>건축9-1-1</t>
  </si>
  <si>
    <t>조경적산5.3.1</t>
  </si>
  <si>
    <t>B02719</t>
  </si>
  <si>
    <t>불순물 제거</t>
  </si>
  <si>
    <t>건축11-1-4</t>
  </si>
  <si>
    <t>토목6-2-1</t>
  </si>
  <si>
    <t>B01416</t>
  </si>
  <si>
    <t>볼트조이기</t>
  </si>
  <si>
    <t>수평·하향</t>
  </si>
  <si>
    <t>서울토목-30</t>
  </si>
  <si>
    <t>산림8-20</t>
  </si>
  <si>
    <t>공통4-1-4</t>
  </si>
  <si>
    <t>산림12-18</t>
  </si>
  <si>
    <t>2550*700*1830, 현장설치도</t>
  </si>
  <si>
    <t>건축11-2-7</t>
  </si>
  <si>
    <t>건축11-2-4</t>
  </si>
  <si>
    <t>B02733</t>
  </si>
  <si>
    <t>B01414</t>
  </si>
  <si>
    <t>잔토처리</t>
  </si>
  <si>
    <t>인력</t>
  </si>
  <si>
    <t>공통3-1-2</t>
  </si>
  <si>
    <t>B02691</t>
  </si>
  <si>
    <t>잡철물 제작 및 설치</t>
  </si>
  <si>
    <t>규격 철물, 일반철재</t>
  </si>
  <si>
    <t>건축8-3</t>
  </si>
  <si>
    <t>B02687</t>
  </si>
  <si>
    <t>현장제작, 경량철재</t>
  </si>
  <si>
    <t>건축8-3-1</t>
  </si>
  <si>
    <t>2024</t>
  </si>
  <si>
    <t>B02108</t>
  </si>
  <si>
    <t>철재면 바탕만들기</t>
  </si>
  <si>
    <t>철재면</t>
  </si>
  <si>
    <t>건축11-1-3</t>
  </si>
  <si>
    <t>산림4-5-4</t>
  </si>
  <si>
    <t>2023 태교숲길</t>
  </si>
  <si>
    <t>B01452</t>
  </si>
  <si>
    <t>프라이머칠</t>
  </si>
  <si>
    <t>유성, 철재면</t>
  </si>
  <si>
    <t>B01936</t>
  </si>
  <si>
    <t>현장 비빔 타설</t>
  </si>
  <si>
    <t>인력비빔, 무근</t>
  </si>
  <si>
    <t>공통6-1-2</t>
  </si>
  <si>
    <t>B01758</t>
  </si>
  <si>
    <t>인력비빔, 소형</t>
  </si>
  <si>
    <t>일 위 대 가 표</t>
  </si>
  <si>
    <t xml:space="preserve"> 제    1 호표</t>
  </si>
  <si>
    <t>볏짚거적</t>
  </si>
  <si>
    <t>1.0mx60m/Roll</t>
  </si>
  <si>
    <t xml:space="preserve">M08845 </t>
  </si>
  <si>
    <t>_x0007_`COD|M08845_x0005_`EXI|0_x0005_`DVD|F_x0005_`BMK| _x0005_`IPR|1_x0005_`KWN|0_x0005_`BLA|F_x0005_`</t>
  </si>
  <si>
    <t>M08845_1</t>
  </si>
  <si>
    <t>T7_1</t>
  </si>
  <si>
    <t>1_01</t>
  </si>
  <si>
    <t>조경공</t>
  </si>
  <si>
    <t xml:space="preserve">L00184 </t>
  </si>
  <si>
    <t>_x0007_`COD|L00184_x0005_`EXI|0_x0005_`DVD|F_x0005_`BMK| _x0005_`IPR|0_x0005_`BLA|F_x0005_`</t>
  </si>
  <si>
    <t>L00184_1</t>
  </si>
  <si>
    <t>보통인부</t>
  </si>
  <si>
    <t xml:space="preserve">L00017 </t>
  </si>
  <si>
    <t>_x0007_`COD|L00017_x0005_`EXI|0_x0005_`DVD|F_x0005_`BMK| _x0005_`IPR|0_x0005_`BLA|F_x0005_`</t>
  </si>
  <si>
    <t>L00017_1</t>
  </si>
  <si>
    <t>고정핀</t>
  </si>
  <si>
    <t>￠10*300mm</t>
  </si>
  <si>
    <t xml:space="preserve">M08843 </t>
  </si>
  <si>
    <t>_x0007_`COD|M08843_x0005_`EXI|0_x0005_`DVD|F_x0005_`BMK| _x0005_`IPR|1_x0005_`KWN|0_x0005_`BLA|F_x0005_`</t>
  </si>
  <si>
    <t>M08843_1</t>
  </si>
  <si>
    <t>잡재료비(고정끈 등)</t>
  </si>
  <si>
    <t>재료비의 %</t>
  </si>
  <si>
    <t>%</t>
  </si>
  <si>
    <t>_x0007_`COD|PR_x0005_`EXI|1_x0005_`DVD|F_x0005_`BMK| _x0005_`IPR|1_x0005_`EQC|A01_x0005_`PRI|1_x0005_`PRO|1_x0005_`UNI|%_x0005_`BLA|F_x0005_`</t>
  </si>
  <si>
    <t>PRA01_1</t>
  </si>
  <si>
    <t xml:space="preserve"> 제    2 호표</t>
  </si>
  <si>
    <t>공원안내판</t>
  </si>
  <si>
    <t>1000*750, 현장설치도</t>
  </si>
  <si>
    <t>개</t>
  </si>
  <si>
    <t xml:space="preserve">M01608 </t>
  </si>
  <si>
    <t>_x0007_`COD|M01608_x0005_`EXI|0_x0005_`DVD|F_x0005_`BMK| _x0005_`IPR|0_x0005_`KWN|0_x0005_`BLA|F_x0005_`</t>
  </si>
  <si>
    <t>M01608_1</t>
  </si>
  <si>
    <t xml:space="preserve"> 제    3 호표</t>
  </si>
  <si>
    <t>관광안내판</t>
  </si>
  <si>
    <t>2000*1200, 현장설치도</t>
  </si>
  <si>
    <t xml:space="preserve">M01609 </t>
  </si>
  <si>
    <t>_x0007_`COD|M01609_x0005_`EXI|0_x0005_`DVD|F_x0005_`BMK| _x0005_`IPR|0_x0005_`KWN|0_x0005_`BLA|F_x0005_`</t>
  </si>
  <si>
    <t>M01609_1</t>
  </si>
  <si>
    <t xml:space="preserve"> 제    4 호표</t>
  </si>
  <si>
    <t>벌근 굴취(상차 포함)</t>
  </si>
  <si>
    <t>_x0007_`COD|L00017_x0005_`EXI|1_x0005_`DVD|F_x0005_`BMK| _x0005_`IPR|0_x0005_`BLA|F_x0005_`</t>
  </si>
  <si>
    <t xml:space="preserve"> 제    5 호표</t>
  </si>
  <si>
    <t xml:space="preserve"> 제    6 호표</t>
  </si>
  <si>
    <t xml:space="preserve"> 제    7 호표</t>
  </si>
  <si>
    <t xml:space="preserve"> 제    8 호표</t>
  </si>
  <si>
    <t xml:space="preserve"> 제    9 호표</t>
  </si>
  <si>
    <t xml:space="preserve"> 제   10 호표</t>
  </si>
  <si>
    <t>2745*715*1830, 현장설치도</t>
  </si>
  <si>
    <t xml:space="preserve">M01612 </t>
  </si>
  <si>
    <t>_x0007_`COD|M01612_x0005_`EXI|0_x0005_`DVD|F_x0005_`BMK| _x0005_`IPR|0_x0005_`KWN|0_x0005_`BLA|F_x0005_`</t>
  </si>
  <si>
    <t>M01612_1</t>
  </si>
  <si>
    <t xml:space="preserve"> 제   11 호표</t>
  </si>
  <si>
    <t>금지행위안내판</t>
  </si>
  <si>
    <t>600*900, 현장설치도</t>
  </si>
  <si>
    <t xml:space="preserve">M01605 </t>
  </si>
  <si>
    <t>_x0007_`COD|M01605_x0005_`EXI|0_x0005_`DVD|F_x0005_`BMK| _x0005_`IPR|0_x0005_`KWN|0_x0005_`BLA|F_x0005_`</t>
  </si>
  <si>
    <t>M01605_1</t>
  </si>
  <si>
    <t xml:space="preserve"> 제   12 호표</t>
  </si>
  <si>
    <t>굴착기(무한궤도)</t>
  </si>
  <si>
    <t>0.2㎥</t>
  </si>
  <si>
    <t>시간</t>
  </si>
  <si>
    <t xml:space="preserve">X00273 </t>
  </si>
  <si>
    <t>_x0007_`COD|X00273_x0005_`EXI|0_x0005_`DVD|F_x0005_`BMK| _x0005_`IPR|0_x0005_`BLA|F_x0005_`</t>
  </si>
  <si>
    <t>X00273_1</t>
  </si>
  <si>
    <t>물탱크(살수차)</t>
  </si>
  <si>
    <t>5500ℓ</t>
  </si>
  <si>
    <t xml:space="preserve">X00271 </t>
  </si>
  <si>
    <t>_x0007_`COD|X00271_x0005_`EXI|0_x0005_`DVD|F_x0005_`BMK| _x0005_`IPR|0_x0005_`BLA|F_x0005_`</t>
  </si>
  <si>
    <t>X00271_1</t>
  </si>
  <si>
    <t>플레이트 콤팩터</t>
  </si>
  <si>
    <t>1.5톤</t>
  </si>
  <si>
    <t xml:space="preserve">X00272 </t>
  </si>
  <si>
    <t>_x0007_`COD|X00272_x0005_`EXI|0_x0005_`DVD|F_x0005_`BMK| _x0005_`IPR|0_x0005_`BLA|F_x0005_`</t>
  </si>
  <si>
    <t>X00272_1</t>
  </si>
  <si>
    <t xml:space="preserve"> 제   13 호표</t>
  </si>
  <si>
    <t>도장공</t>
  </si>
  <si>
    <t xml:space="preserve">L00010 </t>
  </si>
  <si>
    <t>_x0007_`COD|L00010_x0005_`EXI|0_x0005_`DVD|F_x0005_`BMK| _x0005_`IPR|1_x0005_`BLA|F_x0005_`</t>
  </si>
  <si>
    <t>L00010_1</t>
  </si>
  <si>
    <t>_x0007_`COD|L00017_x0005_`EXI|0_x0005_`DVD|F_x0005_`BMK| _x0005_`IPR|1_x0005_`BLA|F_x0005_`</t>
  </si>
  <si>
    <t>녹막이페인트</t>
  </si>
  <si>
    <t>철제녹막이 칠용</t>
  </si>
  <si>
    <t>ℓ</t>
  </si>
  <si>
    <t xml:space="preserve">M00990 </t>
  </si>
  <si>
    <t>_x0007_`COD|M00990_x0005_`EXI|0_x0005_`DVD|F_x0005_`BMK| _x0005_`IPR|0_x0005_`KWN|0_x0005_`BLA|F_x0005_`</t>
  </si>
  <si>
    <t>M00990_1</t>
  </si>
  <si>
    <t>신너</t>
  </si>
  <si>
    <t>조합페인트용</t>
  </si>
  <si>
    <t xml:space="preserve">M00167 </t>
  </si>
  <si>
    <t>_x0007_`COD|M00167_x0005_`EXI|0_x0005_`DVD|F_x0005_`BMK| _x0005_`IPR|0_x0005_`KWN|0_x0005_`BLA|F_x0005_`</t>
  </si>
  <si>
    <t>M00167_1</t>
  </si>
  <si>
    <t>공구손료</t>
  </si>
  <si>
    <t>노무비의 %</t>
  </si>
  <si>
    <t>_x0007_`COD|PR_x0005_`EXI|1_x0005_`DVD|F_x0005_`BMK| _x0005_`IPR|0_x0005_`EQC|A01_x0005_`PRI|2_x0005_`PRO|3_x0005_`UNI|%_x0005_`BLA|F_x0005_`</t>
  </si>
  <si>
    <t xml:space="preserve"> 제   14 호표</t>
  </si>
  <si>
    <t xml:space="preserve"> 제   15 호표</t>
  </si>
  <si>
    <t>2065*550*1800, 현장설치도</t>
  </si>
  <si>
    <t xml:space="preserve">M01538 </t>
  </si>
  <si>
    <t>_x0007_`COD|M01538_x0005_`EXI|0_x0005_`DVD|F_x0005_`BMK| _x0005_`IPR|0_x0005_`KWN|0_x0005_`BLA|F_x0005_`</t>
  </si>
  <si>
    <t>M01538_1</t>
  </si>
  <si>
    <t xml:space="preserve"> 제   16 호표</t>
  </si>
  <si>
    <t>2300*715*1800, 현장설치도</t>
  </si>
  <si>
    <t xml:space="preserve">M01543 </t>
  </si>
  <si>
    <t>_x0007_`COD|M01543_x0005_`EXI|0_x0005_`DVD|F_x0005_`BMK| _x0005_`IPR|0_x0005_`KWN|0_x0005_`BLA|F_x0005_`</t>
  </si>
  <si>
    <t>M01543_1</t>
  </si>
  <si>
    <t xml:space="preserve"> 제   17 호표</t>
  </si>
  <si>
    <t>3585*575*1830, 현장설치도</t>
  </si>
  <si>
    <t xml:space="preserve">M01540 </t>
  </si>
  <si>
    <t>_x0007_`COD|M01540_x0005_`EXI|0_x0005_`DVD|F_x0005_`BMK| _x0005_`IPR|0_x0005_`KWN|0_x0005_`BLA|F_x0005_`</t>
  </si>
  <si>
    <t>M01540_1</t>
  </si>
  <si>
    <t xml:space="preserve"> 제   18 호표</t>
  </si>
  <si>
    <t xml:space="preserve">B02719 </t>
  </si>
  <si>
    <t>_x0007_`COD|B02719_x0005_`EXI|0_x0005_`DVD|F_x0005_`BMK| _x0005_`IPR|0_x0005_`BLA|F_x0005_`</t>
  </si>
  <si>
    <t>B02719_1</t>
  </si>
  <si>
    <t xml:space="preserve">B02657 </t>
  </si>
  <si>
    <t>_x0007_`COD|B02657_x0005_`EXI|0_x0005_`DVD|F_x0005_`BMK| _x0005_`IPR|0_x0005_`BLA|F_x0005_`</t>
  </si>
  <si>
    <t xml:space="preserve"> 제   19 호표</t>
  </si>
  <si>
    <t>천연목재</t>
  </si>
  <si>
    <t>낙엽송, T24</t>
  </si>
  <si>
    <t xml:space="preserve">M08842 </t>
  </si>
  <si>
    <t>_x0007_`COD|M08842_x0005_`EXI|0_x0005_`DVD|F_x0005_`BMK| _x0005_`IPR|0_x0005_`KWN|0_x0005_`BLA|F_x0005_`</t>
  </si>
  <si>
    <t>M08842_1</t>
  </si>
  <si>
    <t xml:space="preserve">B01822 </t>
  </si>
  <si>
    <t>_x0007_`COD|B01822_x0005_`EXI|0_x0005_`DVD|F_x0005_`BMK| _x0005_`IPR|1_x0005_`BLA|F_x0005_`</t>
  </si>
  <si>
    <t xml:space="preserve">B01814 </t>
  </si>
  <si>
    <t>_x0007_`COD|B01814_x0005_`EXI|0_x0005_`DVD|F_x0005_`BMK| _x0005_`IPR|1_x0005_`BLA|F_x0005_`</t>
  </si>
  <si>
    <t>유동형 브라켓</t>
  </si>
  <si>
    <t>ea</t>
  </si>
  <si>
    <t xml:space="preserve">M08803 </t>
  </si>
  <si>
    <t>_x0007_`COD|M08803_x0005_`EXI|0_x0005_`DVD|F_x0005_`BMK| _x0005_`IPR|0_x0005_`KWN|0_x0005_`BLA|F_x0005_`</t>
  </si>
  <si>
    <t>M08803_1</t>
  </si>
  <si>
    <t xml:space="preserve"> 제   20 호표</t>
  </si>
  <si>
    <t xml:space="preserve">D01276 </t>
  </si>
  <si>
    <t>_x0007_`COD|D01276_x0005_`EXI|0_x0005_`DVD|F_x0005_`BMK| _x0005_`IPR|1_x0005_`BLA|F_x0005_`</t>
  </si>
  <si>
    <t xml:space="preserve"> 제   21 호표</t>
  </si>
  <si>
    <t>터파기(인력)</t>
  </si>
  <si>
    <t>보통토사</t>
  </si>
  <si>
    <t xml:space="preserve">D01241 </t>
  </si>
  <si>
    <t>_x0007_`COD|D01241_x0005_`EXI|0_x0005_`DVD|F_x0005_`BMK| _x0005_`IPR|1_x0005_`BLA|F_x0005_`</t>
  </si>
  <si>
    <t>D01241_1</t>
  </si>
  <si>
    <t xml:space="preserve">B01414 </t>
  </si>
  <si>
    <t>_x0007_`COD|B01414_x0005_`EXI|0_x0005_`DVD|F_x0005_`BMK| _x0005_`IPR|1_x0005_`BLA|F_x0005_`</t>
  </si>
  <si>
    <t>B01414_1</t>
  </si>
  <si>
    <t xml:space="preserve">B01447 </t>
  </si>
  <si>
    <t>_x0007_`COD|B01447_x0005_`EXI|0_x0005_`DVD|F_x0005_`BMK| _x0005_`IPR|1_x0005_`BLA|F_x0005_`</t>
  </si>
  <si>
    <t>B01447_1</t>
  </si>
  <si>
    <t>합판거푸집</t>
  </si>
  <si>
    <t>6회</t>
  </si>
  <si>
    <t xml:space="preserve">D01231 </t>
  </si>
  <si>
    <t>_x0007_`COD|D01231_x0005_`EXI|0_x0005_`DVD|F_x0005_`BMK| _x0005_`IPR|1_x0005_`BLA|F_x0005_`</t>
  </si>
  <si>
    <t>D01231_1</t>
  </si>
  <si>
    <t xml:space="preserve">B01936 </t>
  </si>
  <si>
    <t>_x0007_`COD|B01936_x0005_`EXI|0_x0005_`DVD|F_x0005_`BMK| _x0005_`IPR|1_x0005_`BLA|F_x0005_`</t>
  </si>
  <si>
    <t>B01936_1</t>
  </si>
  <si>
    <t xml:space="preserve"> 제   22 호표</t>
  </si>
  <si>
    <t>_x0007_`COD|D01241_x0005_`EXI|0_x0005_`DVD|F_x0005_`BMK| _x0005_`IPR|0_x0005_`BLA|F_x0005_`</t>
  </si>
  <si>
    <t xml:space="preserve"> 제   23 호표</t>
  </si>
  <si>
    <t xml:space="preserve"> 제   24 호표</t>
  </si>
  <si>
    <t>산지할증</t>
  </si>
  <si>
    <t>_x0007_`COD|PR_x0005_`EXI|1_x0005_`DVD|F_x0005_`BMK| _x0005_`IPR|0_x0005_`EQC|A01_x0005_`PRI|2_x0005_`PRO|2_x0005_`UNI|%_x0005_`BLA|F_x0005_`</t>
  </si>
  <si>
    <t xml:space="preserve"> 제   25 호표</t>
  </si>
  <si>
    <t xml:space="preserve"> 제   26 호표</t>
  </si>
  <si>
    <t xml:space="preserve"> 제   27 호표</t>
  </si>
  <si>
    <t>작업반장</t>
  </si>
  <si>
    <t xml:space="preserve">L00193 </t>
  </si>
  <si>
    <t>_x0007_`COD|L00193_x0005_`EXI|0_x0005_`DVD|F_x0005_`BMK| _x0005_`IPR|1_x0005_`BLA|F_x0005_`</t>
  </si>
  <si>
    <t>L00193_1</t>
  </si>
  <si>
    <t>특별인부</t>
  </si>
  <si>
    <t xml:space="preserve">L00016 </t>
  </si>
  <si>
    <t>_x0007_`COD|L00016_x0005_`EXI|0_x0005_`DVD|F_x0005_`BMK| _x0005_`IPR|1_x0005_`BLA|F_x0005_`</t>
  </si>
  <si>
    <t>L00016_1</t>
  </si>
  <si>
    <t>0.8㎥</t>
  </si>
  <si>
    <t xml:space="preserve">X00292 </t>
  </si>
  <si>
    <t>_x0007_`COD|X00292_x0005_`EXI|0_x0005_`DVD|F_x0005_`BMK| _x0005_`IPR|1_x0005_`BLA|F_x0005_`</t>
  </si>
  <si>
    <t>X00292_1</t>
  </si>
  <si>
    <t>손료계산</t>
  </si>
  <si>
    <t xml:space="preserve"> 제   28 호표</t>
  </si>
  <si>
    <t xml:space="preserve"> 제   29 호표</t>
  </si>
  <si>
    <t>_x0007_`COD|X00292_x0005_`EXI|2_x0005_`DVD|F_x0005_`BMK| _x0005_`IPR|1_x0005_`BLA|F_x0005_`</t>
  </si>
  <si>
    <t>제잡비</t>
  </si>
  <si>
    <t xml:space="preserve"> 제   30 호표</t>
  </si>
  <si>
    <t>제잡비(물빼기파이프 포함)</t>
  </si>
  <si>
    <t xml:space="preserve"> 제   31 호표</t>
  </si>
  <si>
    <t xml:space="preserve"> 제   32 호표</t>
  </si>
  <si>
    <t>혼합토사</t>
  </si>
  <si>
    <t xml:space="preserve">D01267 </t>
  </si>
  <si>
    <t>_x0007_`COD|D01267_x0005_`EXI|0_x0005_`DVD|F_x0005_`BMK| _x0005_`IPR|0_x0005_`BLA|F_x0005_`</t>
  </si>
  <si>
    <t>D01267_1</t>
  </si>
  <si>
    <t>_x0007_`COD|B01447_x0005_`EXI|0_x0005_`DVD|F_x0005_`BMK| _x0005_`IPR|0_x0005_`BLA|F_x0005_`</t>
  </si>
  <si>
    <t>_x0007_`COD|B01414_x0005_`EXI|0_x0005_`DVD|F_x0005_`BMK| _x0005_`IPR|0_x0005_`BLA|F_x0005_`</t>
  </si>
  <si>
    <t>수고 5m미만</t>
  </si>
  <si>
    <t xml:space="preserve">D01217 </t>
  </si>
  <si>
    <t>_x0007_`COD|D01217_x0005_`EXI|0_x0005_`DVD|F_x0005_`BMK| _x0005_`IPR|0_x0005_`BLA|F_x0005_`</t>
  </si>
  <si>
    <t>D01217_1</t>
  </si>
  <si>
    <t xml:space="preserve"> 제   33 호표</t>
  </si>
  <si>
    <t xml:space="preserve"> 제   34 호표</t>
  </si>
  <si>
    <t xml:space="preserve"> 제   35 호표</t>
  </si>
  <si>
    <t xml:space="preserve"> 제   36 호표</t>
  </si>
  <si>
    <t>_x0007_`COD|D01267_x0005_`EXI|0_x0005_`DVD|F_x0005_`BMK| _x0005_`IPR|1_x0005_`BLA|F_x0005_`</t>
  </si>
  <si>
    <t>_x0007_`COD|D01217_x0005_`EXI|0_x0005_`DVD|F_x0005_`BMK| _x0005_`IPR|1_x0005_`BLA|F_x0005_`</t>
  </si>
  <si>
    <t xml:space="preserve"> 제   37 호표</t>
  </si>
  <si>
    <t xml:space="preserve"> 제   38 호표</t>
  </si>
  <si>
    <t xml:space="preserve"> 제   39 호표</t>
  </si>
  <si>
    <t xml:space="preserve"> 제   40 호표</t>
  </si>
  <si>
    <t xml:space="preserve"> 제   41 호표</t>
  </si>
  <si>
    <t xml:space="preserve"> 제   42 호표</t>
  </si>
  <si>
    <t xml:space="preserve"> 제   43 호표</t>
  </si>
  <si>
    <t xml:space="preserve"> 제   44 호표</t>
  </si>
  <si>
    <t xml:space="preserve"> 제   45 호표</t>
  </si>
  <si>
    <t xml:space="preserve"> 제   46 호표</t>
  </si>
  <si>
    <t xml:space="preserve"> 제   47 호표</t>
  </si>
  <si>
    <t xml:space="preserve"> 제   48 호표</t>
  </si>
  <si>
    <t>고사점토</t>
  </si>
  <si>
    <t xml:space="preserve">D01266 </t>
  </si>
  <si>
    <t>_x0007_`COD|D01266_x0005_`EXI|0_x0005_`DVD|F_x0005_`BMK| _x0005_`IPR|0_x0005_`BLA|F_x0005_`</t>
  </si>
  <si>
    <t>D01266_1</t>
  </si>
  <si>
    <t>_x0007_`COD|D01231_x0005_`EXI|0_x0005_`DVD|F_x0005_`BMK| _x0005_`IPR|0_x0005_`BLA|F_x0005_`</t>
  </si>
  <si>
    <t xml:space="preserve">B01758 </t>
  </si>
  <si>
    <t>_x0007_`COD|B01758_x0005_`EXI|0_x0005_`DVD|F_x0005_`BMK| _x0005_`IPR|0_x0005_`BLA|F_x0005_`</t>
  </si>
  <si>
    <t>B01758_1</t>
  </si>
  <si>
    <t>등의자</t>
  </si>
  <si>
    <t>1600*586*H750</t>
  </si>
  <si>
    <t xml:space="preserve">M01611 </t>
  </si>
  <si>
    <t>_x0007_`COD|M01611_x0005_`EXI|0_x0005_`DVD|F_x0005_`BMK| _x0005_`IPR|0_x0005_`KWN|0_x0005_`BLA|F_x0005_`</t>
  </si>
  <si>
    <t>M01611_1</t>
  </si>
  <si>
    <t>이형철근( KSD3504)</t>
  </si>
  <si>
    <t>D13㎜</t>
  </si>
  <si>
    <t>ton</t>
  </si>
  <si>
    <t xml:space="preserve">M00150 </t>
  </si>
  <si>
    <t>_x0007_`COD|M00150_x0005_`EXI|0_x0005_`DVD|F_x0005_`BMK| _x0005_`IPR|0_x0005_`KWN|0_x0005_`BLA|F_x0005_`</t>
  </si>
  <si>
    <t>M00150_1</t>
  </si>
  <si>
    <t>철근가공조립</t>
  </si>
  <si>
    <t>토목TYPE-Ⅰ-1</t>
  </si>
  <si>
    <t xml:space="preserve">D00950 </t>
  </si>
  <si>
    <t>_x0007_`COD|D00950_x0005_`EXI|0_x0005_`DVD|F_x0005_`BMK| _x0005_`IPR|0_x0005_`BLA|F_x0005_`</t>
  </si>
  <si>
    <t>D00950_1</t>
  </si>
  <si>
    <t xml:space="preserve"> 제   49 호표</t>
  </si>
  <si>
    <t>_x0007_`COD|D01266_x0005_`EXI|0_x0005_`DVD|F_x0005_`BMK| _x0005_`IPR|1_x0005_`BLA|F_x0005_`</t>
  </si>
  <si>
    <t>_x0007_`COD|B01758_x0005_`EXI|0_x0005_`DVD|F_x0005_`BMK| _x0005_`IPR|1_x0005_`BLA|F_x0005_`</t>
  </si>
  <si>
    <t>_x0007_`COD|D00950_x0005_`EXI|0_x0005_`DVD|F_x0005_`BMK| _x0005_`IPR|1_x0005_`BLA|F_x0005_`</t>
  </si>
  <si>
    <t xml:space="preserve"> 제   50 호표</t>
  </si>
  <si>
    <t>경질토사</t>
  </si>
  <si>
    <t xml:space="preserve">D01265 </t>
  </si>
  <si>
    <t>_x0007_`COD|D01265_x0005_`EXI|0_x0005_`DVD|F_x0005_`BMK| _x0005_`IPR|1_x0005_`BLA|F_x0005_`</t>
  </si>
  <si>
    <t>D01265_1</t>
  </si>
  <si>
    <t xml:space="preserve">D01242 </t>
  </si>
  <si>
    <t>_x0007_`COD|D01242_x0005_`EXI|0_x0005_`DVD|F_x0005_`BMK| _x0005_`IPR|1_x0005_`BLA|F_x0005_`</t>
  </si>
  <si>
    <t xml:space="preserve">B02396 </t>
  </si>
  <si>
    <t>_x0007_`COD|B02396_x0005_`EXI|0_x0005_`DVD|F_x0005_`BMK| _x0005_`IPR|1_x0005_`BLA|F_x0005_`</t>
  </si>
  <si>
    <t xml:space="preserve"> 제   51 호표</t>
  </si>
  <si>
    <t xml:space="preserve"> 제   52 호표</t>
  </si>
  <si>
    <t xml:space="preserve">B02110 </t>
  </si>
  <si>
    <t>_x0007_`COD|B02110_x0005_`EXI|0_x0005_`DVD|F_x0005_`BMK| _x0005_`IPR|1_x0005_`BLA|F_x0005_`</t>
  </si>
  <si>
    <t xml:space="preserve"> 제   53 호표</t>
  </si>
  <si>
    <t xml:space="preserve"> 제   54 호표</t>
  </si>
  <si>
    <t>1545*820*1830,현장설치도</t>
  </si>
  <si>
    <t xml:space="preserve">M01539 </t>
  </si>
  <si>
    <t>_x0007_`COD|M01539_x0005_`EXI|0_x0005_`DVD|F_x0005_`BMK| _x0005_`IPR|0_x0005_`KWN|0_x0005_`BLA|F_x0005_`</t>
  </si>
  <si>
    <t>M01539_1</t>
  </si>
  <si>
    <t xml:space="preserve"> 제   55 호표</t>
  </si>
  <si>
    <t>시멘트</t>
  </si>
  <si>
    <t>보통포틀랜드</t>
  </si>
  <si>
    <t>㎏</t>
  </si>
  <si>
    <t xml:space="preserve">M00634 </t>
  </si>
  <si>
    <t>_x0007_`COD|M00634_x0005_`EXI|0_x0005_`DVD|F_x0005_`BMK| _x0005_`IPR|0_x0005_`KWN|0_x0005_`BLA|F_x0005_`</t>
  </si>
  <si>
    <t>M00634_1</t>
  </si>
  <si>
    <t>모래(강모래)</t>
  </si>
  <si>
    <t>시내도착도</t>
  </si>
  <si>
    <t xml:space="preserve">M00956 </t>
  </si>
  <si>
    <t>_x0007_`COD|M00956_x0005_`EXI|0_x0005_`DVD|F_x0005_`BMK| _x0005_`IPR|0_x0005_`KWN|0_x0005_`BLA|F_x0005_`</t>
  </si>
  <si>
    <t>M00956_1</t>
  </si>
  <si>
    <t xml:space="preserve"> 제   56 호표</t>
  </si>
  <si>
    <t>건축목공</t>
  </si>
  <si>
    <t xml:space="preserve">L00182 </t>
  </si>
  <si>
    <t>_x0007_`COD|L00182_x0005_`EXI|0_x0005_`DVD|F_x0005_`BMK| _x0005_`IPR|0_x0005_`BLA|F_x0005_`</t>
  </si>
  <si>
    <t>L00182_1</t>
  </si>
  <si>
    <t xml:space="preserve"> 제   57 호표</t>
  </si>
  <si>
    <t xml:space="preserve"> 제   58 호표</t>
  </si>
  <si>
    <t>각재(미송)-ACQ방부</t>
  </si>
  <si>
    <t>3.6m미만 (H3방부)</t>
  </si>
  <si>
    <t xml:space="preserve">M00950 </t>
  </si>
  <si>
    <t>_x0007_`COD|M00950_x0005_`EXI|0_x0005_`DVD|F_x0005_`BMK| _x0005_`IPR|0_x0005_`KWN|0_x0005_`BLA|F_x0005_`</t>
  </si>
  <si>
    <t>M00950_1</t>
  </si>
  <si>
    <t>D10㎜</t>
  </si>
  <si>
    <t xml:space="preserve">M01265 </t>
  </si>
  <si>
    <t>_x0007_`COD|M01265_x0005_`EXI|0_x0005_`DVD|F_x0005_`BMK| _x0005_`IPR|0_x0005_`KWN|0_x0005_`BLA|F_x0005_`</t>
  </si>
  <si>
    <t>M01265_1</t>
  </si>
  <si>
    <t xml:space="preserve"> 제   59 호표</t>
  </si>
  <si>
    <t xml:space="preserve"> 제   60 호표</t>
  </si>
  <si>
    <t xml:space="preserve"> 제   61 호표</t>
  </si>
  <si>
    <t xml:space="preserve"> 제   62 호표</t>
  </si>
  <si>
    <t xml:space="preserve"> 제   63 호표</t>
  </si>
  <si>
    <t xml:space="preserve"> 제   64 호표</t>
  </si>
  <si>
    <t xml:space="preserve"> 제   65 호표</t>
  </si>
  <si>
    <t xml:space="preserve"> 제   66 호표</t>
  </si>
  <si>
    <t>_x0007_`COD|PR_x0005_`EXI|1_x0005_`DVD|F_x0005_`BMK| _x0005_`IPR|1_x0005_`EQC|A01_x0005_`PRI|2_x0005_`PRO|2_x0005_`UNI|%_x0005_`BLA|F_x0005_`</t>
  </si>
  <si>
    <t xml:space="preserve"> 제   67 호표</t>
  </si>
  <si>
    <t xml:space="preserve"> 제   68 호표</t>
  </si>
  <si>
    <t xml:space="preserve"> 제   69 호표</t>
  </si>
  <si>
    <t xml:space="preserve"> 제   70 호표</t>
  </si>
  <si>
    <t xml:space="preserve"> 제   71 호표</t>
  </si>
  <si>
    <t xml:space="preserve"> 제   72 호표</t>
  </si>
  <si>
    <t xml:space="preserve"> 제   73 호표</t>
  </si>
  <si>
    <t xml:space="preserve"> 제   74 호표</t>
  </si>
  <si>
    <t xml:space="preserve"> 제   75 호표</t>
  </si>
  <si>
    <t xml:space="preserve"> 제   76 호표</t>
  </si>
  <si>
    <t xml:space="preserve"> 제   77 호표</t>
  </si>
  <si>
    <t xml:space="preserve"> 제   78 호표</t>
  </si>
  <si>
    <t xml:space="preserve"> 제   79 호표</t>
  </si>
  <si>
    <t xml:space="preserve"> 제   80 호표</t>
  </si>
  <si>
    <t xml:space="preserve"> 제   81 호표</t>
  </si>
  <si>
    <t xml:space="preserve"> 제   82 호표</t>
  </si>
  <si>
    <t xml:space="preserve"> 제   83 호표</t>
  </si>
  <si>
    <t xml:space="preserve"> 제   84 호표</t>
  </si>
  <si>
    <t xml:space="preserve"> 제   85 호표</t>
  </si>
  <si>
    <t>공구손료 및 잡재료비</t>
  </si>
  <si>
    <t xml:space="preserve"> 제   86 호표</t>
  </si>
  <si>
    <t>퍼티</t>
  </si>
  <si>
    <t xml:space="preserve">M00993 </t>
  </si>
  <si>
    <t>_x0007_`COD|M00993_x0005_`EXI|0_x0005_`DVD|F_x0005_`BMK| _x0005_`IPR|0_x0005_`KWN|0_x0005_`BLA|F_x0005_`</t>
  </si>
  <si>
    <t>M00993_1</t>
  </si>
  <si>
    <t xml:space="preserve"> 제   87 호표</t>
  </si>
  <si>
    <t>_x0007_`COD|B02396_x0005_`EXI|0_x0005_`DVD|F_x0005_`BMK| _x0005_`IPR|0_x0005_`BLA|F_x0005_`</t>
  </si>
  <si>
    <t>_x0007_`COD|B01822_x0005_`EXI|0_x0005_`DVD|F_x0005_`BMK| _x0005_`IPR|0_x0005_`BLA|F_x0005_`</t>
  </si>
  <si>
    <t>_x0007_`COD|B02110_x0005_`EXI|0_x0005_`DVD|F_x0005_`BMK| _x0005_`IPR|0_x0005_`BLA|F_x0005_`</t>
  </si>
  <si>
    <t>_x0007_`COD|B01814_x0005_`EXI|0_x0005_`DVD|F_x0005_`BMK| _x0005_`IPR|0_x0005_`BLA|F_x0005_`</t>
  </si>
  <si>
    <t xml:space="preserve"> 제   88 호표</t>
  </si>
  <si>
    <t>방향안내이정표(2방향)</t>
  </si>
  <si>
    <t>600*150, 현장설치도</t>
  </si>
  <si>
    <t xml:space="preserve">M01513 </t>
  </si>
  <si>
    <t>_x0007_`COD|M01513_x0005_`EXI|0_x0005_`DVD|F_x0005_`BMK| _x0005_`IPR|0_x0005_`KWN|0_x0005_`BLA|F_x0005_`</t>
  </si>
  <si>
    <t>M01513_1</t>
  </si>
  <si>
    <t xml:space="preserve"> 제   89 호표</t>
  </si>
  <si>
    <t>방향안내이정표(3방향)</t>
  </si>
  <si>
    <t xml:space="preserve">M01408 </t>
  </si>
  <si>
    <t>_x0007_`COD|M01408_x0005_`EXI|0_x0005_`DVD|F_x0005_`BMK| _x0005_`IPR|0_x0005_`KWN|0_x0005_`BLA|F_x0005_`</t>
  </si>
  <si>
    <t>M01408_1</t>
  </si>
  <si>
    <t xml:space="preserve"> 제   90 호표</t>
  </si>
  <si>
    <t>방향안내이정표(4방향)</t>
  </si>
  <si>
    <t xml:space="preserve">M01524 </t>
  </si>
  <si>
    <t>_x0007_`COD|M01524_x0005_`EXI|0_x0005_`DVD|F_x0005_`BMK| _x0005_`IPR|0_x0005_`KWN|0_x0005_`BLA|F_x0005_`</t>
  </si>
  <si>
    <t>M01524_1</t>
  </si>
  <si>
    <t xml:space="preserve"> 제   91 호표</t>
  </si>
  <si>
    <t xml:space="preserve"> 제   92 호표</t>
  </si>
  <si>
    <t xml:space="preserve"> 제   93 호표</t>
  </si>
  <si>
    <t xml:space="preserve"> 제   94 호표</t>
  </si>
  <si>
    <t>방향표시날개</t>
  </si>
  <si>
    <t xml:space="preserve">M01461 </t>
  </si>
  <si>
    <t>_x0007_`COD|M01461_x0005_`EXI|0_x0005_`DVD|F_x0005_`BMK| _x0005_`IPR|0_x0005_`KWN|0_x0005_`BLA|F_x0005_`</t>
  </si>
  <si>
    <t>M01461_1</t>
  </si>
  <si>
    <t xml:space="preserve"> 제   95 호표</t>
  </si>
  <si>
    <t>파형강관</t>
  </si>
  <si>
    <t>￠300mm*1.6T</t>
  </si>
  <si>
    <t xml:space="preserve">M01082 </t>
  </si>
  <si>
    <t>_x0007_`COD|M01082_x0005_`EXI|0_x0005_`DVD|F_x0005_`BMK| _x0005_`IPR|0_x0005_`KWN|0_x0005_`BLA|F_x0005_`</t>
  </si>
  <si>
    <t>M01082_1</t>
  </si>
  <si>
    <t>파형강관 부설 및 접합</t>
  </si>
  <si>
    <t>D300mm</t>
  </si>
  <si>
    <t xml:space="preserve">D01270 </t>
  </si>
  <si>
    <t>_x0007_`COD|D01270_x0005_`EXI|0_x0005_`DVD|F_x0005_`BMK| _x0005_`IPR|0_x0005_`BLA|F_x0005_`</t>
  </si>
  <si>
    <t>D01270_1</t>
  </si>
  <si>
    <t>구조물터파기(토사)</t>
  </si>
  <si>
    <t>굴삭기0.7㎥90%+인력10%, 관부설</t>
  </si>
  <si>
    <t xml:space="preserve">D01272 </t>
  </si>
  <si>
    <t>_x0007_`COD|D01272_x0005_`EXI|0_x0005_`DVD|F_x0005_`BMK| _x0005_`IPR|0_x0005_`BLA|F_x0005_`</t>
  </si>
  <si>
    <t>D01272_1</t>
  </si>
  <si>
    <t>구조물되메우기 및 다짐</t>
  </si>
  <si>
    <t>굴삭기0.7㎥90%+인력10%</t>
  </si>
  <si>
    <t xml:space="preserve">D00784 </t>
  </si>
  <si>
    <t>_x0007_`COD|D00784_x0005_`EXI|0_x0005_`DVD|F_x0005_`BMK| _x0005_`IPR|0_x0005_`BLA|F_x0005_`</t>
  </si>
  <si>
    <t>D00784_1</t>
  </si>
  <si>
    <t>구조물잔토처리</t>
  </si>
  <si>
    <t>굴삭기0.7㎥</t>
  </si>
  <si>
    <t xml:space="preserve">D00787 </t>
  </si>
  <si>
    <t>_x0007_`COD|D00787_x0005_`EXI|0_x0005_`DVD|F_x0005_`BMK| _x0005_`IPR|0_x0005_`BLA|F_x0005_`</t>
  </si>
  <si>
    <t>D00787_1</t>
  </si>
  <si>
    <t xml:space="preserve"> 제   96 호표</t>
  </si>
  <si>
    <t>￠600mm*2.0T</t>
  </si>
  <si>
    <t xml:space="preserve">M01081 </t>
  </si>
  <si>
    <t>_x0007_`COD|M01081_x0005_`EXI|0_x0005_`DVD|F_x0005_`BMK| _x0005_`IPR|0_x0005_`KWN|0_x0005_`BLA|F_x0005_`</t>
  </si>
  <si>
    <t>M01081_1</t>
  </si>
  <si>
    <t>D600mm</t>
  </si>
  <si>
    <t xml:space="preserve">D01271 </t>
  </si>
  <si>
    <t>_x0007_`COD|D01271_x0005_`EXI|0_x0005_`DVD|F_x0005_`BMK| _x0005_`IPR|0_x0005_`BLA|F_x0005_`</t>
  </si>
  <si>
    <t>D01271_1</t>
  </si>
  <si>
    <t xml:space="preserve"> 제   97 호표</t>
  </si>
  <si>
    <t>흙 다지기(인력)</t>
  </si>
  <si>
    <t>15cm다짐, 토사</t>
  </si>
  <si>
    <t xml:space="preserve">D01273 </t>
  </si>
  <si>
    <t>_x0007_`COD|D01273_x0005_`EXI|0_x0005_`DVD|F_x0005_`BMK| _x0005_`IPR|1_x0005_`BLA|F_x0005_`</t>
  </si>
  <si>
    <t>D01273_1</t>
  </si>
  <si>
    <t>야자섬유 매트 포장</t>
  </si>
  <si>
    <t>W1.5m 이하</t>
  </si>
  <si>
    <t xml:space="preserve">D01136 </t>
  </si>
  <si>
    <t>_x0007_`COD|D01136_x0005_`EXI|0_x0005_`DVD|F_x0005_`BMK| _x0005_`IPR|1_x0005_`BLA|F_x0005_`</t>
  </si>
  <si>
    <t>D01136_1</t>
  </si>
  <si>
    <t>보행매트</t>
  </si>
  <si>
    <t>1000*t30mm</t>
  </si>
  <si>
    <t xml:space="preserve">M01442 </t>
  </si>
  <si>
    <t>_x0007_`COD|M01442_x0005_`EXI|0_x0005_`DVD|F_x0005_`BMK| _x0005_`IPR|0_x0005_`KWN|0_x0005_`BLA|F_x0005_`</t>
  </si>
  <si>
    <t>M01442_1</t>
  </si>
  <si>
    <t>￠10*250mm</t>
  </si>
  <si>
    <t xml:space="preserve">M01205 </t>
  </si>
  <si>
    <t>_x0007_`COD|M01205_x0005_`EXI|0_x0005_`DVD|F_x0005_`BMK| _x0005_`IPR|0_x0005_`KWN|0_x0005_`BLA|F_x0005_`</t>
  </si>
  <si>
    <t>M01205_1</t>
  </si>
  <si>
    <t xml:space="preserve"> 제   98 호표</t>
  </si>
  <si>
    <t>보행매트(미끄럼방지)</t>
  </si>
  <si>
    <t xml:space="preserve">M01602 </t>
  </si>
  <si>
    <t>_x0007_`COD|M01602_x0005_`EXI|0_x0005_`DVD|F_x0005_`BMK| _x0005_`IPR|0_x0005_`KWN|0_x0005_`BLA|F_x0005_`</t>
  </si>
  <si>
    <t>M01602_1</t>
  </si>
  <si>
    <t xml:space="preserve"> 제   99 호표</t>
  </si>
  <si>
    <t>1200*t30mm</t>
  </si>
  <si>
    <t xml:space="preserve">M01479 </t>
  </si>
  <si>
    <t>_x0007_`COD|M01479_x0005_`EXI|0_x0005_`DVD|F_x0005_`BMK| _x0005_`IPR|0_x0005_`KWN|0_x0005_`BLA|F_x0005_`</t>
  </si>
  <si>
    <t>M01479_1</t>
  </si>
  <si>
    <t xml:space="preserve"> 제  100 호표</t>
  </si>
  <si>
    <t xml:space="preserve">M01603 </t>
  </si>
  <si>
    <t>_x0007_`COD|M01603_x0005_`EXI|0_x0005_`DVD|F_x0005_`BMK| _x0005_`IPR|0_x0005_`KWN|0_x0005_`BLA|F_x0005_`</t>
  </si>
  <si>
    <t>M01603_1</t>
  </si>
  <si>
    <t xml:space="preserve"> 제  101 호표</t>
  </si>
  <si>
    <t>1500*t30mm</t>
  </si>
  <si>
    <t xml:space="preserve">M01474 </t>
  </si>
  <si>
    <t>_x0007_`COD|M01474_x0005_`EXI|0_x0005_`DVD|F_x0005_`BMK| _x0005_`IPR|0_x0005_`KWN|0_x0005_`BLA|F_x0005_`</t>
  </si>
  <si>
    <t>M01474_1</t>
  </si>
  <si>
    <t xml:space="preserve"> 제  102 호표</t>
  </si>
  <si>
    <t xml:space="preserve">M01604 </t>
  </si>
  <si>
    <t>_x0007_`COD|M01604_x0005_`EXI|0_x0005_`DVD|F_x0005_`BMK| _x0005_`IPR|0_x0005_`KWN|0_x0005_`BLA|F_x0005_`</t>
  </si>
  <si>
    <t>M01604_1</t>
  </si>
  <si>
    <t xml:space="preserve"> 제  103 호표</t>
  </si>
  <si>
    <t>_x0007_`COD|D01273_x0005_`EXI|0_x0005_`DVD|F_x0005_`BMK| _x0005_`IPR|0_x0005_`BLA|F_x0005_`</t>
  </si>
  <si>
    <t>W2.0m 이하</t>
  </si>
  <si>
    <t xml:space="preserve">D01213 </t>
  </si>
  <si>
    <t>_x0007_`COD|D01213_x0005_`EXI|0_x0005_`DVD|F_x0005_`BMK| _x0005_`IPR|0_x0005_`BLA|F_x0005_`</t>
  </si>
  <si>
    <t>D01213_1</t>
  </si>
  <si>
    <t>2000*t30mm</t>
  </si>
  <si>
    <t xml:space="preserve">M08777 </t>
  </si>
  <si>
    <t>_x0007_`COD|M08777_x0005_`EXI|0_x0005_`DVD|F_x0005_`BMK| _x0005_`IPR|0_x0005_`KWN|0_x0005_`BLA|F_x0005_`</t>
  </si>
  <si>
    <t>M08777_1</t>
  </si>
  <si>
    <t xml:space="preserve"> 제  104 호표</t>
  </si>
  <si>
    <t xml:space="preserve">M08778 </t>
  </si>
  <si>
    <t>_x0007_`COD|M08778_x0005_`EXI|0_x0005_`DVD|F_x0005_`BMK| _x0005_`IPR|0_x0005_`KWN|0_x0005_`BLA|F_x0005_`</t>
  </si>
  <si>
    <t>M08778_1</t>
  </si>
  <si>
    <t xml:space="preserve"> 제  105 호표</t>
  </si>
  <si>
    <t>600*t30mm</t>
  </si>
  <si>
    <t xml:space="preserve">M01440 </t>
  </si>
  <si>
    <t>_x0007_`COD|M01440_x0005_`EXI|0_x0005_`DVD|F_x0005_`BMK| _x0005_`IPR|0_x0005_`KWN|0_x0005_`BLA|F_x0005_`</t>
  </si>
  <si>
    <t>M01440_1</t>
  </si>
  <si>
    <t xml:space="preserve"> 제  106 호표</t>
  </si>
  <si>
    <t>800*t30mm</t>
  </si>
  <si>
    <t xml:space="preserve">M01441 </t>
  </si>
  <si>
    <t>_x0007_`COD|M01441_x0005_`EXI|0_x0005_`DVD|F_x0005_`BMK| _x0005_`IPR|0_x0005_`KWN|0_x0005_`BLA|F_x0005_`</t>
  </si>
  <si>
    <t>M01441_1</t>
  </si>
  <si>
    <t xml:space="preserve"> 제  107 호표</t>
  </si>
  <si>
    <t xml:space="preserve"> 제  108 호표</t>
  </si>
  <si>
    <t xml:space="preserve"> 제  109 호표</t>
  </si>
  <si>
    <t xml:space="preserve"> 제  110 호표</t>
  </si>
  <si>
    <t>_x0007_`COD|D01213_x0005_`EXI|0_x0005_`DVD|F_x0005_`BMK| _x0005_`IPR|1_x0005_`BLA|F_x0005_`</t>
  </si>
  <si>
    <t xml:space="preserve"> 제  111 호표</t>
  </si>
  <si>
    <t>철골공</t>
  </si>
  <si>
    <t xml:space="preserve">L00199 </t>
  </si>
  <si>
    <t>_x0007_`COD|L00199_x0005_`EXI|0_x0005_`DVD|F_x0005_`BMK| _x0005_`IPR|1_x0005_`BLA|F_x0005_`</t>
  </si>
  <si>
    <t>L00199_1</t>
  </si>
  <si>
    <t>진동드릴</t>
  </si>
  <si>
    <t>600W</t>
  </si>
  <si>
    <t xml:space="preserve">M08791 </t>
  </si>
  <si>
    <t>_x0007_`COD|M08791_x0005_`EXI|0_x0005_`DVD|F_x0005_`BMK| _x0005_`IPR|0_x0005_`KWN|0_x0005_`BLA|F_x0005_`</t>
  </si>
  <si>
    <t>M08791_1</t>
  </si>
  <si>
    <t>잡재료비</t>
  </si>
  <si>
    <t>_x0007_`COD|PR_x0005_`EXI|1_x0005_`DVD|F_x0005_`BMK| _x0005_`IPR|0_x0005_`EQC|A01_x0005_`PRI|2_x0005_`PRO|1_x0005_`UNI|%_x0005_`BLA|F_x0005_`</t>
  </si>
  <si>
    <t xml:space="preserve"> 제  112 호표</t>
  </si>
  <si>
    <t>산벚나무</t>
  </si>
  <si>
    <t>H=3.5m, B8</t>
  </si>
  <si>
    <t xml:space="preserve">M08852 </t>
  </si>
  <si>
    <t>_x0007_`COD|M08852_x0005_`EXI|0_x0005_`DVD|F_x0005_`BMK| _x0005_`IPR|0_x0005_`KWN|0_x0005_`BLA|F_x0005_`</t>
  </si>
  <si>
    <t>M08852_1</t>
  </si>
  <si>
    <t xml:space="preserve">D01318 </t>
  </si>
  <si>
    <t>_x0007_`COD|D01318_x0005_`EXI|0_x0005_`DVD|F_x0005_`BMK| _x0005_`IPR|0_x0005_`BLA|F_x0005_`</t>
  </si>
  <si>
    <t xml:space="preserve"> 제  113 호표</t>
  </si>
  <si>
    <t xml:space="preserve"> 제  114 호표</t>
  </si>
  <si>
    <t xml:space="preserve"> 제  115 호표</t>
  </si>
  <si>
    <t>벌목부</t>
  </si>
  <si>
    <t xml:space="preserve">L00188 </t>
  </si>
  <si>
    <t>_x0007_`COD|L00188_x0005_`EXI|0_x0005_`DVD|F_x0005_`BMK| _x0005_`IPR|0_x0005_`BLA|F_x0005_`</t>
  </si>
  <si>
    <t>L00188_1</t>
  </si>
  <si>
    <t>기계톱 손료</t>
  </si>
  <si>
    <t>Hr</t>
  </si>
  <si>
    <t xml:space="preserve">S00297 </t>
  </si>
  <si>
    <t>_x0007_`COD|S00297_x0005_`EXI|0_x0005_`DVD|F_x0005_`BMK| _x0005_`IPR|0_x0005_`BLA|F_x0005_`</t>
  </si>
  <si>
    <t>S00297_1</t>
  </si>
  <si>
    <t>휘발유</t>
  </si>
  <si>
    <t>무연</t>
  </si>
  <si>
    <t>L</t>
  </si>
  <si>
    <t xml:space="preserve">M00927 </t>
  </si>
  <si>
    <t>_x0007_`COD|M00927_x0005_`EXI|0_x0005_`DVD|F_x0005_`BMK| _x0005_`IPR|0_x0005_`KWN|0_x0005_`BLA|F_x0005_`</t>
  </si>
  <si>
    <t>M00927_1</t>
  </si>
  <si>
    <t>엔진오일</t>
  </si>
  <si>
    <t>가솔린용</t>
  </si>
  <si>
    <t xml:space="preserve">M08793 </t>
  </si>
  <si>
    <t>_x0007_`COD|M08793_x0005_`EXI|0_x0005_`DVD|F_x0005_`BMK| _x0005_`IPR|0_x0005_`KWN|0_x0005_`BLA|F_x0005_`</t>
  </si>
  <si>
    <t>M08793_1</t>
  </si>
  <si>
    <t xml:space="preserve"> 제  116 호표</t>
  </si>
  <si>
    <t xml:space="preserve"> 제  117 호표</t>
  </si>
  <si>
    <t xml:space="preserve"> 제  118 호표</t>
  </si>
  <si>
    <t xml:space="preserve"> 제  119 호표</t>
  </si>
  <si>
    <t xml:space="preserve"> 제  120 호표</t>
  </si>
  <si>
    <t xml:space="preserve"> 제  121 호표</t>
  </si>
  <si>
    <t xml:space="preserve"> 제  122 호표</t>
  </si>
  <si>
    <t xml:space="preserve"> 제  123 호표</t>
  </si>
  <si>
    <t xml:space="preserve"> 제  124 호표</t>
  </si>
  <si>
    <t xml:space="preserve"> 제  125 호표</t>
  </si>
  <si>
    <t xml:space="preserve"> 제  126 호표</t>
  </si>
  <si>
    <t xml:space="preserve"> 제  127 호표</t>
  </si>
  <si>
    <t xml:space="preserve"> 제  128 호표</t>
  </si>
  <si>
    <t xml:space="preserve"> 제  129 호표</t>
  </si>
  <si>
    <t xml:space="preserve"> 제  130 호표</t>
  </si>
  <si>
    <t xml:space="preserve"> 제  131 호표</t>
  </si>
  <si>
    <t xml:space="preserve"> 제  132 호표</t>
  </si>
  <si>
    <t xml:space="preserve"> 제  133 호표</t>
  </si>
  <si>
    <t xml:space="preserve"> 제  134 호표</t>
  </si>
  <si>
    <t>시설안내판</t>
  </si>
  <si>
    <t>700*1200, 현장설치도</t>
  </si>
  <si>
    <t xml:space="preserve">M01606 </t>
  </si>
  <si>
    <t>_x0007_`COD|M01606_x0005_`EXI|0_x0005_`DVD|F_x0005_`BMK| _x0005_`IPR|0_x0005_`KWN|0_x0005_`BLA|F_x0005_`</t>
  </si>
  <si>
    <t>M01606_1</t>
  </si>
  <si>
    <t xml:space="preserve"> 제  135 호표</t>
  </si>
  <si>
    <t>식생매트설치</t>
  </si>
  <si>
    <t xml:space="preserve">D01298 </t>
  </si>
  <si>
    <t>_x0007_`COD|D01298_x0005_`EXI|0_x0005_`DVD|F_x0005_`BMK| _x0005_`IPR|0_x0005_`BLA|F_x0005_`</t>
  </si>
  <si>
    <t>D01298_1</t>
  </si>
  <si>
    <t>식생매트</t>
  </si>
  <si>
    <t xml:space="preserve">M08844 </t>
  </si>
  <si>
    <t>_x0007_`COD|M08844_x0005_`EXI|0_x0005_`DVD|F_x0005_`BMK| _x0005_`IPR|1_x0005_`KWN|0_x0005_`BLA|F_x0005_`</t>
  </si>
  <si>
    <t>M08844_1</t>
  </si>
  <si>
    <t xml:space="preserve"> 제  136 호표</t>
  </si>
  <si>
    <t>식생토낭설치</t>
  </si>
  <si>
    <t>80cm*40cm*20cm</t>
  </si>
  <si>
    <t xml:space="preserve">D01055 </t>
  </si>
  <si>
    <t>_x0007_`COD|D01055_x0005_`EXI|0_x0005_`DVD|F_x0005_`BMK| _x0005_`IPR|0_x0005_`BLA|F_x0005_`</t>
  </si>
  <si>
    <t>D01055_1</t>
  </si>
  <si>
    <t>500*1090</t>
  </si>
  <si>
    <t>set</t>
  </si>
  <si>
    <t xml:space="preserve">M00801 </t>
  </si>
  <si>
    <t>_x0007_`COD|M00801_x0005_`EXI|0_x0005_`DVD|F_x0005_`BMK| _x0005_`IPR|0_x0005_`KWN|0_x0005_`BLA|F_x0005_`</t>
  </si>
  <si>
    <t>M00801_1</t>
  </si>
  <si>
    <t xml:space="preserve"> 제  137 호표</t>
  </si>
  <si>
    <t xml:space="preserve"> 제  138 호표</t>
  </si>
  <si>
    <t xml:space="preserve"> 제  139 호표</t>
  </si>
  <si>
    <t>_x0007_`COD|D01055_x0005_`EXI|0_x0005_`DVD|F_x0005_`BMK| _x0005_`IPR|1_x0005_`BLA|F_x0005_`</t>
  </si>
  <si>
    <t xml:space="preserve"> 제  140 호표</t>
  </si>
  <si>
    <t xml:space="preserve"> 제  141 호표</t>
  </si>
  <si>
    <t xml:space="preserve"> 제  142 호표</t>
  </si>
  <si>
    <t xml:space="preserve"> 제  143 호표</t>
  </si>
  <si>
    <t>_x0007_`COD|D01242_x0005_`EXI|0_x0005_`DVD|F_x0005_`BMK| _x0005_`IPR|0_x0005_`BLA|F_x0005_`</t>
  </si>
  <si>
    <t xml:space="preserve"> 제  144 호표</t>
  </si>
  <si>
    <t xml:space="preserve"> 제  145 호표</t>
  </si>
  <si>
    <t xml:space="preserve"> 제  146 호표</t>
  </si>
  <si>
    <t xml:space="preserve"> 제  147 호표</t>
  </si>
  <si>
    <t xml:space="preserve"> 제  148 호표</t>
  </si>
  <si>
    <t xml:space="preserve"> 제  149 호표</t>
  </si>
  <si>
    <t xml:space="preserve"> 제  150 호표</t>
  </si>
  <si>
    <t xml:space="preserve"> 제  151 호표</t>
  </si>
  <si>
    <t>_x0007_`COD|B01936_x0005_`EXI|0_x0005_`DVD|F_x0005_`BMK| _x0005_`IPR|0_x0005_`BLA|F_x0005_`</t>
  </si>
  <si>
    <t>구조용강관(백관)</t>
  </si>
  <si>
    <t>Φ100mm(외경 114.3), 3.2T</t>
  </si>
  <si>
    <t xml:space="preserve">M08805 </t>
  </si>
  <si>
    <t>_x0007_`COD|M08805_x0005_`EXI|0_x0005_`DVD|F_x0005_`BMK| _x0005_`IPR|0_x0005_`KWN|0_x0005_`BLA|F_x0005_`</t>
  </si>
  <si>
    <t>M08805_1</t>
  </si>
  <si>
    <t xml:space="preserve">B02108 </t>
  </si>
  <si>
    <t>_x0007_`COD|B02108_x0005_`EXI|0_x0005_`DVD|F_x0005_`BMK| _x0005_`IPR|0_x0005_`BLA|F_x0005_`</t>
  </si>
  <si>
    <t>B02108_1</t>
  </si>
  <si>
    <t xml:space="preserve">B02733 </t>
  </si>
  <si>
    <t>_x0007_`COD|B02733_x0005_`EXI|0_x0005_`DVD|F_x0005_`BMK| _x0005_`IPR|0_x0005_`BLA|F_x0005_`</t>
  </si>
  <si>
    <t>B02733_1</t>
  </si>
  <si>
    <t>원주목(미송)-ACQ방부</t>
  </si>
  <si>
    <t>3.6m미만,H3 방부</t>
  </si>
  <si>
    <t xml:space="preserve">M00960 </t>
  </si>
  <si>
    <t>_x0007_`COD|M00960_x0005_`EXI|0_x0005_`DVD|F_x0005_`BMK| _x0005_`IPR|0_x0005_`KWN|0_x0005_`BLA|F_x0005_`</t>
  </si>
  <si>
    <t>M00960_1</t>
  </si>
  <si>
    <t>스텐육각볼트</t>
  </si>
  <si>
    <t>M12 L140 sts</t>
  </si>
  <si>
    <t xml:space="preserve">M08813 </t>
  </si>
  <si>
    <t>_x0007_`COD|M08813_x0005_`EXI|0_x0005_`DVD|F_x0005_`BMK| _x0005_`IPR|0_x0005_`KWN|0_x0005_`BLA|F_x0005_`</t>
  </si>
  <si>
    <t>M08813_1</t>
  </si>
  <si>
    <t>너트(스텐)</t>
  </si>
  <si>
    <t>Φ12, sts</t>
  </si>
  <si>
    <t xml:space="preserve">M00958 </t>
  </si>
  <si>
    <t>_x0007_`COD|M00958_x0005_`EXI|0_x0005_`DVD|F_x0005_`BMK| _x0005_`IPR|0_x0005_`KWN|0_x0005_`BLA|F_x0005_`</t>
  </si>
  <si>
    <t>M00958_1</t>
  </si>
  <si>
    <t>와셔</t>
  </si>
  <si>
    <t xml:space="preserve">M00648 </t>
  </si>
  <si>
    <t>_x0007_`COD|M00648_x0005_`EXI|0_x0005_`DVD|F_x0005_`BMK| _x0005_`IPR|0_x0005_`KWN|0_x0005_`BLA|F_x0005_`</t>
  </si>
  <si>
    <t>M00648_1</t>
  </si>
  <si>
    <t xml:space="preserve">B01416 </t>
  </si>
  <si>
    <t>_x0007_`COD|B01416_x0005_`EXI|0_x0005_`DVD|F_x0005_`BMK| _x0005_`IPR|0_x0005_`BLA|F_x0005_`</t>
  </si>
  <si>
    <t>B01416_1</t>
  </si>
  <si>
    <t>철근조립</t>
  </si>
  <si>
    <t xml:space="preserve">D01230 </t>
  </si>
  <si>
    <t>_x0007_`COD|D01230_x0005_`EXI|0_x0005_`DVD|F_x0005_`BMK| _x0005_`IPR|0_x0005_`BLA|F_x0005_`</t>
  </si>
  <si>
    <t>D01230_1</t>
  </si>
  <si>
    <t>P.P로프</t>
  </si>
  <si>
    <t>Φ20</t>
  </si>
  <si>
    <t xml:space="preserve">M00666 </t>
  </si>
  <si>
    <t>_x0007_`COD|M00666_x0005_`EXI|0_x0005_`DVD|F_x0005_`BMK| _x0005_`IPR|0_x0005_`KWN|0_x0005_`BLA|F_x0005_`</t>
  </si>
  <si>
    <t>M00666_1</t>
  </si>
  <si>
    <t xml:space="preserve"> 제  152 호표</t>
  </si>
  <si>
    <t xml:space="preserve"> 제  153 호표</t>
  </si>
  <si>
    <t>안전로프기둥 재설치</t>
  </si>
  <si>
    <t xml:space="preserve">D01225 </t>
  </si>
  <si>
    <t>_x0007_`COD|D01225_x0005_`EXI|0_x0005_`DVD|F_x0005_`BMK| _x0005_`IPR|0_x0005_`BLA|F_x0005_`</t>
  </si>
  <si>
    <t>D01225_1</t>
  </si>
  <si>
    <t xml:space="preserve"> 제  154 호표</t>
  </si>
  <si>
    <t>_x0007_`COD|D01225_x0005_`EXI|0_x0005_`DVD|F_x0005_`BMK| _x0005_`IPR|1_x0005_`BLA|F_x0005_`</t>
  </si>
  <si>
    <t xml:space="preserve"> 제  155 호표</t>
  </si>
  <si>
    <t>_x0007_`COD|M00666_x0005_`EXI|0_x0005_`DVD|F_x0005_`BMK| _x0005_`IPR|1_x0005_`KWN|0_x0005_`BLA|F_x0005_`</t>
  </si>
  <si>
    <t xml:space="preserve">D01226 </t>
  </si>
  <si>
    <t>_x0007_`COD|D01226_x0005_`EXI|0_x0005_`DVD|F_x0005_`BMK| _x0005_`IPR|0_x0005_`BLA|F_x0005_`</t>
  </si>
  <si>
    <t>D01226_1</t>
  </si>
  <si>
    <t>U클립(볼트)</t>
  </si>
  <si>
    <t>STS Φ3/8",20A</t>
  </si>
  <si>
    <t xml:space="preserve">M00795 </t>
  </si>
  <si>
    <t>_x0007_`COD|M00795_x0005_`EXI|0_x0005_`DVD|F_x0005_`BMK| _x0005_`IPR|1_x0005_`KWN|0_x0005_`BLA|F_x0005_`</t>
  </si>
  <si>
    <t>M00795_1</t>
  </si>
  <si>
    <t xml:space="preserve"> 제  156 호표</t>
  </si>
  <si>
    <t>_x0007_`COD|D01226_x0005_`EXI|0_x0005_`DVD|F_x0005_`BMK| _x0005_`IPR|1_x0005_`BLA|F_x0005_`</t>
  </si>
  <si>
    <t>_x0007_`COD|M00795_x0005_`EXI|0_x0005_`DVD|F_x0005_`BMK| _x0005_`IPR|0_x0005_`KWN|0_x0005_`BLA|F_x0005_`</t>
  </si>
  <si>
    <t xml:space="preserve"> 제  157 호표</t>
  </si>
  <si>
    <t>턴버클</t>
  </si>
  <si>
    <t>22mm, STS</t>
  </si>
  <si>
    <t xml:space="preserve">M01306 </t>
  </si>
  <si>
    <t>_x0007_`COD|M01306_x0005_`EXI|0_x0005_`DVD|F_x0005_`BMK| _x0005_`IPR|0_x0005_`KWN|0_x0005_`BLA|F_x0005_`</t>
  </si>
  <si>
    <t>M01306_1</t>
  </si>
  <si>
    <t xml:space="preserve"> 제  158 호표</t>
  </si>
  <si>
    <t xml:space="preserve"> 제  159 호표</t>
  </si>
  <si>
    <t xml:space="preserve"> 제  160 호표</t>
  </si>
  <si>
    <t xml:space="preserve"> 제  161 호표</t>
  </si>
  <si>
    <t xml:space="preserve"> 제  162 호표</t>
  </si>
  <si>
    <t xml:space="preserve"> 제  163 호표</t>
  </si>
  <si>
    <t>_x0007_`COD|B02108_x0005_`EXI|0_x0005_`DVD|F_x0005_`BMK| _x0005_`IPR|1_x0005_`BLA|F_x0005_`</t>
  </si>
  <si>
    <t>_x0007_`COD|B02733_x0005_`EXI|0_x0005_`DVD|F_x0005_`BMK| _x0005_`IPR|1_x0005_`BLA|F_x0005_`</t>
  </si>
  <si>
    <t>M12 L130 sts</t>
  </si>
  <si>
    <t xml:space="preserve">M00667 </t>
  </si>
  <si>
    <t>_x0007_`COD|M00667_x0005_`EXI|0_x0005_`DVD|F_x0005_`BMK| _x0005_`IPR|0_x0005_`KWN|0_x0005_`BLA|F_x0005_`</t>
  </si>
  <si>
    <t>M00667_1</t>
  </si>
  <si>
    <t>_x0007_`COD|B01416_x0005_`EXI|0_x0005_`DVD|F_x0005_`BMK| _x0005_`IPR|1_x0005_`BLA|F_x0005_`</t>
  </si>
  <si>
    <t>_x0007_`COD|D01230_x0005_`EXI|0_x0005_`DVD|F_x0005_`BMK| _x0005_`IPR|1_x0005_`BLA|F_x0005_`</t>
  </si>
  <si>
    <t xml:space="preserve"> 제  164 호표</t>
  </si>
  <si>
    <t xml:space="preserve">M01542 </t>
  </si>
  <si>
    <t>_x0007_`COD|M01542_x0005_`EXI|0_x0005_`DVD|F_x0005_`BMK| _x0005_`IPR|0_x0005_`KWN|0_x0005_`BLA|F_x0005_`</t>
  </si>
  <si>
    <t>M01542_1</t>
  </si>
  <si>
    <t xml:space="preserve"> 제  165 호표</t>
  </si>
  <si>
    <t>2760*725*1830, 현장설치도</t>
  </si>
  <si>
    <t xml:space="preserve">M01544 </t>
  </si>
  <si>
    <t>_x0007_`COD|M01544_x0005_`EXI|0_x0005_`DVD|F_x0005_`BMK| _x0005_`IPR|0_x0005_`KWN|0_x0005_`BLA|F_x0005_`</t>
  </si>
  <si>
    <t>M01544_1</t>
  </si>
  <si>
    <t xml:space="preserve"> 제  166 호표</t>
  </si>
  <si>
    <t>2035*725*1830, 현장설치도</t>
  </si>
  <si>
    <t xml:space="preserve">M01536 </t>
  </si>
  <si>
    <t>_x0007_`COD|M01536_x0005_`EXI|0_x0005_`DVD|F_x0005_`BMK| _x0005_`IPR|0_x0005_`KWN|0_x0005_`BLA|F_x0005_`</t>
  </si>
  <si>
    <t>M01536_1</t>
  </si>
  <si>
    <t xml:space="preserve"> 제  167 호표</t>
  </si>
  <si>
    <t>2245*725*1800, 현장설치도</t>
  </si>
  <si>
    <t xml:space="preserve">M01530 </t>
  </si>
  <si>
    <t>_x0007_`COD|M01530_x0005_`EXI|0_x0005_`DVD|F_x0005_`BMK| _x0005_`IPR|0_x0005_`KWN|0_x0005_`BLA|F_x0005_`</t>
  </si>
  <si>
    <t>M01530_1</t>
  </si>
  <si>
    <t xml:space="preserve"> 제  168 호표</t>
  </si>
  <si>
    <t>1990*795*1800, 현장설치도</t>
  </si>
  <si>
    <t xml:space="preserve">M01531 </t>
  </si>
  <si>
    <t>_x0007_`COD|M01531_x0005_`EXI|0_x0005_`DVD|F_x0005_`BMK| _x0005_`IPR|0_x0005_`KWN|0_x0005_`BLA|F_x0005_`</t>
  </si>
  <si>
    <t>M01531_1</t>
  </si>
  <si>
    <t xml:space="preserve"> 제  169 호표</t>
  </si>
  <si>
    <t>영산홍</t>
  </si>
  <si>
    <t>H=0.3m, W=0.3m</t>
  </si>
  <si>
    <t xml:space="preserve">M01589 </t>
  </si>
  <si>
    <t>_x0007_`COD|M01589_x0005_`EXI|0_x0005_`DVD|F_x0005_`BMK| _x0005_`IPR|0_x0005_`KWN|0_x0005_`BLA|F_x0005_`</t>
  </si>
  <si>
    <t>M01589_1</t>
  </si>
  <si>
    <t xml:space="preserve">D01261 </t>
  </si>
  <si>
    <t>_x0007_`COD|D01261_x0005_`EXI|0_x0005_`DVD|F_x0005_`BMK| _x0005_`IPR|0_x0005_`BLA|F_x0005_`</t>
  </si>
  <si>
    <t xml:space="preserve"> 제  170 호표</t>
  </si>
  <si>
    <t>1520*865*1800, 현장설치도</t>
  </si>
  <si>
    <t xml:space="preserve">M01527 </t>
  </si>
  <si>
    <t>_x0007_`COD|M01527_x0005_`EXI|0_x0005_`DVD|F_x0005_`BMK| _x0005_`IPR|0_x0005_`KWN|0_x0005_`BLA|F_x0005_`</t>
  </si>
  <si>
    <t>M01527_1</t>
  </si>
  <si>
    <t xml:space="preserve"> 제  171 호표</t>
  </si>
  <si>
    <t>1370*1095*2025, 현장설치도</t>
  </si>
  <si>
    <t xml:space="preserve">M01534 </t>
  </si>
  <si>
    <t>_x0007_`COD|M01534_x0005_`EXI|0_x0005_`DVD|F_x0005_`BMK| _x0005_`IPR|0_x0005_`KWN|0_x0005_`BLA|F_x0005_`</t>
  </si>
  <si>
    <t>M01534_1</t>
  </si>
  <si>
    <t xml:space="preserve"> 제  172 호표</t>
  </si>
  <si>
    <t>오일스테인</t>
  </si>
  <si>
    <t>kg</t>
  </si>
  <si>
    <t xml:space="preserve">M01004 </t>
  </si>
  <si>
    <t>_x0007_`COD|M01004_x0005_`EXI|0_x0005_`DVD|F_x0005_`BMK| _x0005_`IPR|0_x0005_`KWN|0_x0005_`BLA|F_x0005_`</t>
  </si>
  <si>
    <t>M01004_1</t>
  </si>
  <si>
    <t xml:space="preserve"> 제  173 호표</t>
  </si>
  <si>
    <t xml:space="preserve"> 제  174 호표</t>
  </si>
  <si>
    <t>1275*1095*1855, 현장설치도</t>
  </si>
  <si>
    <t xml:space="preserve">M01528 </t>
  </si>
  <si>
    <t>_x0007_`COD|M01528_x0005_`EXI|0_x0005_`DVD|F_x0005_`BMK| _x0005_`IPR|0_x0005_`KWN|0_x0005_`BLA|F_x0005_`</t>
  </si>
  <si>
    <t>M01528_1</t>
  </si>
  <si>
    <t xml:space="preserve"> 제  175 호표</t>
  </si>
  <si>
    <t>2960*820*1800, 현장설치도</t>
  </si>
  <si>
    <t xml:space="preserve">M01525 </t>
  </si>
  <si>
    <t>_x0007_`COD|M01525_x0005_`EXI|0_x0005_`DVD|F_x0005_`BMK| _x0005_`IPR|0_x0005_`KWN|0_x0005_`BLA|F_x0005_`</t>
  </si>
  <si>
    <t>M01525_1</t>
  </si>
  <si>
    <t xml:space="preserve"> 제  176 호표</t>
  </si>
  <si>
    <t>강판</t>
  </si>
  <si>
    <t>열연강판, 8T</t>
  </si>
  <si>
    <t xml:space="preserve">M01271 </t>
  </si>
  <si>
    <t>_x0007_`COD|M01271_x0005_`EXI|0_x0005_`DVD|F_x0005_`BMK| _x0005_`IPR|0_x0005_`KWN|0_x0005_`BLA|F_x0005_`</t>
  </si>
  <si>
    <t>M01271_1</t>
  </si>
  <si>
    <t>구조용 강관(백관)</t>
  </si>
  <si>
    <t>Φ89.1*T2.3</t>
  </si>
  <si>
    <t xml:space="preserve">M01613 </t>
  </si>
  <si>
    <t>_x0007_`COD|M01613_x0005_`EXI|0_x0005_`DVD|F_x0005_`BMK| _x0005_`IPR|0_x0005_`KWN|0_x0005_`BLA|F_x0005_`</t>
  </si>
  <si>
    <t>M01613_1</t>
  </si>
  <si>
    <t xml:space="preserve">B02687 </t>
  </si>
  <si>
    <t>_x0007_`COD|B02687_x0005_`EXI|0_x0005_`DVD|F_x0005_`BMK| _x0005_`IPR|0_x0005_`BLA|F_x0005_`</t>
  </si>
  <si>
    <t>B02687_1</t>
  </si>
  <si>
    <t xml:space="preserve">B01452 </t>
  </si>
  <si>
    <t>_x0007_`COD|B01452_x0005_`EXI|0_x0005_`DVD|F_x0005_`BMK| _x0005_`IPR|0_x0005_`BLA|F_x0005_`</t>
  </si>
  <si>
    <t>B01452_1</t>
  </si>
  <si>
    <t xml:space="preserve">B02107 </t>
  </si>
  <si>
    <t>_x0007_`COD|B02107_x0005_`EXI|0_x0005_`DVD|F_x0005_`BMK| _x0005_`IPR|0_x0005_`BLA|F_x0005_`</t>
  </si>
  <si>
    <t xml:space="preserve"> 제  177 호표</t>
  </si>
  <si>
    <t>_x0007_`COD|B01452_x0005_`EXI|0_x0005_`DVD|F_x0005_`BMK| _x0005_`IPR|1_x0005_`BLA|F_x0005_`</t>
  </si>
  <si>
    <t>_x0007_`COD|B02107_x0005_`EXI|0_x0005_`DVD|F_x0005_`BMK| _x0005_`IPR|1_x0005_`BLA|F_x0005_`</t>
  </si>
  <si>
    <t xml:space="preserve"> 제  178 호표</t>
  </si>
  <si>
    <t>M12 L200 sts</t>
  </si>
  <si>
    <t xml:space="preserve">M00955 </t>
  </si>
  <si>
    <t>_x0007_`COD|M00955_x0005_`EXI|0_x0005_`DVD|F_x0005_`BMK| _x0005_`IPR|0_x0005_`KWN|0_x0005_`BLA|F_x0005_`</t>
  </si>
  <si>
    <t>M00955_1</t>
  </si>
  <si>
    <t xml:space="preserve"> 제  179 호표</t>
  </si>
  <si>
    <t xml:space="preserve"> 제  180 호표</t>
  </si>
  <si>
    <t xml:space="preserve"> 제  181 호표</t>
  </si>
  <si>
    <t xml:space="preserve"> 제  182 호표</t>
  </si>
  <si>
    <t xml:space="preserve"> 제  183 호표</t>
  </si>
  <si>
    <t xml:space="preserve"> 제  184 호표</t>
  </si>
  <si>
    <t xml:space="preserve"> 제  185 호표</t>
  </si>
  <si>
    <t xml:space="preserve"> 제  186 호표</t>
  </si>
  <si>
    <t xml:space="preserve"> 제  187 호표</t>
  </si>
  <si>
    <t xml:space="preserve"> 제  188 호표</t>
  </si>
  <si>
    <t xml:space="preserve"> 제  189 호표</t>
  </si>
  <si>
    <t xml:space="preserve"> 제  190 호표</t>
  </si>
  <si>
    <t xml:space="preserve"> 제  191 호표</t>
  </si>
  <si>
    <t xml:space="preserve"> 제  192 호표</t>
  </si>
  <si>
    <t>1410*1355*1830, 현장설치도</t>
  </si>
  <si>
    <t xml:space="preserve">M01529 </t>
  </si>
  <si>
    <t>_x0007_`COD|M01529_x0005_`EXI|0_x0005_`DVD|F_x0005_`BMK| _x0005_`IPR|0_x0005_`KWN|0_x0005_`BLA|F_x0005_`</t>
  </si>
  <si>
    <t>M01529_1</t>
  </si>
  <si>
    <t xml:space="preserve"> 제  193 호표</t>
  </si>
  <si>
    <t xml:space="preserve"> 제  194 호표</t>
  </si>
  <si>
    <t xml:space="preserve"> 제  195 호표</t>
  </si>
  <si>
    <t xml:space="preserve"> 제  196 호표</t>
  </si>
  <si>
    <t>조합페인트(적갈색)</t>
  </si>
  <si>
    <t>KSM 6020 4ℓ/통</t>
  </si>
  <si>
    <t xml:space="preserve">M08804 </t>
  </si>
  <si>
    <t>_x0007_`COD|M08804_x0005_`EXI|0_x0005_`DVD|F_x0005_`BMK| _x0005_`IPR|0_x0005_`KWN|0_x0005_`BLA|F_x0005_`</t>
  </si>
  <si>
    <t>M08804_1</t>
  </si>
  <si>
    <t xml:space="preserve"> 제  197 호표</t>
  </si>
  <si>
    <t xml:space="preserve"> 제  198 호표</t>
  </si>
  <si>
    <t xml:space="preserve"> 제  199 호표</t>
  </si>
  <si>
    <t xml:space="preserve"> 제  200 호표</t>
  </si>
  <si>
    <t xml:space="preserve"> 제  201 호표</t>
  </si>
  <si>
    <t xml:space="preserve"> 제  202 호표</t>
  </si>
  <si>
    <t xml:space="preserve"> 제  203 호표</t>
  </si>
  <si>
    <t xml:space="preserve"> 제  204 호표</t>
  </si>
  <si>
    <t xml:space="preserve"> 제  205 호표</t>
  </si>
  <si>
    <t xml:space="preserve"> 제  206 호표</t>
  </si>
  <si>
    <t>2515*535*1830, 현장설치도</t>
  </si>
  <si>
    <t xml:space="preserve">M01526 </t>
  </si>
  <si>
    <t>_x0007_`COD|M01526_x0005_`EXI|0_x0005_`DVD|F_x0005_`BMK| _x0005_`IPR|0_x0005_`KWN|0_x0005_`BLA|F_x0005_`</t>
  </si>
  <si>
    <t>M01526_1</t>
  </si>
  <si>
    <t xml:space="preserve"> 제  207 호표</t>
  </si>
  <si>
    <t>2235*480*1800, 현장설치도</t>
  </si>
  <si>
    <t xml:space="preserve">M01545 </t>
  </si>
  <si>
    <t>_x0007_`COD|M01545_x0005_`EXI|1_x0005_`DVD|F_x0005_`BMK| _x0005_`IPR|0_x0005_`KWN|0_x0005_`BLA|F_x0005_`</t>
  </si>
  <si>
    <t>M01545_1</t>
  </si>
  <si>
    <t xml:space="preserve"> 제  208 호표</t>
  </si>
  <si>
    <t>잔디</t>
  </si>
  <si>
    <t>0.18*0.18*T0.02</t>
  </si>
  <si>
    <t>매</t>
  </si>
  <si>
    <t xml:space="preserve">M00982 </t>
  </si>
  <si>
    <t>_x0007_`COD|M00982_x0005_`EXI|0_x0005_`DVD|F_x0005_`BMK| _x0005_`IPR|0_x0005_`KWN|0_x0005_`BLA|F_x0005_`</t>
  </si>
  <si>
    <t>M00982_1</t>
  </si>
  <si>
    <t>줄떼 붙임</t>
  </si>
  <si>
    <t xml:space="preserve">D01216 </t>
  </si>
  <si>
    <t>_x0007_`COD|D01216_x0005_`EXI|0_x0005_`DVD|F_x0005_`BMK| _x0005_`IPR|0_x0005_`BLA|F_x0005_`</t>
  </si>
  <si>
    <t>D01216_1</t>
  </si>
  <si>
    <t xml:space="preserve"> 제  209 호표</t>
  </si>
  <si>
    <t>평떼 붙임</t>
  </si>
  <si>
    <t xml:space="preserve">D00939 </t>
  </si>
  <si>
    <t>_x0007_`COD|D00939_x0005_`EXI|0_x0005_`DVD|F_x0005_`BMK| _x0005_`IPR|0_x0005_`BLA|F_x0005_`</t>
  </si>
  <si>
    <t>D00939_1</t>
  </si>
  <si>
    <t xml:space="preserve"> 제  210 호표</t>
  </si>
  <si>
    <t xml:space="preserve"> 제  211 호표</t>
  </si>
  <si>
    <t>철공</t>
  </si>
  <si>
    <t xml:space="preserve">L00004 </t>
  </si>
  <si>
    <t>_x0007_`COD|L00004_x0005_`EXI|0_x0005_`DVD|F_x0005_`BMK| _x0005_`IPR|1_x0005_`BLA|F_x0005_`</t>
  </si>
  <si>
    <t>L00004_1</t>
  </si>
  <si>
    <t>용접공</t>
  </si>
  <si>
    <t xml:space="preserve">L00026 </t>
  </si>
  <si>
    <t>_x0007_`COD|L00026_x0005_`EXI|0_x0005_`DVD|F_x0005_`BMK| _x0005_`IPR|1_x0005_`BLA|F_x0005_`</t>
  </si>
  <si>
    <t>L00026_1</t>
  </si>
  <si>
    <t>공구손료 및 기계경비</t>
  </si>
  <si>
    <t xml:space="preserve"> 제  212 호표</t>
  </si>
  <si>
    <t>_x0007_`COD|PR_x0005_`EXI|1_x0005_`DVD|F_x0005_`BMK| _x0005_`IPR|1_x0005_`EQC|A01_x0005_`PRI|2_x0005_`PRO|3_x0005_`UNI|%_x0005_`BLA|F_x0005_`</t>
  </si>
  <si>
    <t xml:space="preserve"> 제  213 호표</t>
  </si>
  <si>
    <t>0.6㎥</t>
  </si>
  <si>
    <t xml:space="preserve">X00269 </t>
  </si>
  <si>
    <t>_x0007_`COD|X00269_x0005_`EXI|0_x0005_`DVD|F_x0005_`BMK| _x0005_`IPR|0_x0005_`BLA|F_x0005_`</t>
  </si>
  <si>
    <t>X00269_1</t>
  </si>
  <si>
    <t xml:space="preserve"> 제  214 호표</t>
  </si>
  <si>
    <t>0.7㎥</t>
  </si>
  <si>
    <t xml:space="preserve">X00262 </t>
  </si>
  <si>
    <t>_x0007_`COD|X00262_x0005_`EXI|0_x0005_`DVD|F_x0005_`BMK| _x0005_`IPR|0_x0005_`BLA|F_x0005_`</t>
  </si>
  <si>
    <t>X00262_1</t>
  </si>
  <si>
    <t xml:space="preserve"> 제  215 호표</t>
  </si>
  <si>
    <t xml:space="preserve"> 제  216 호표</t>
  </si>
  <si>
    <t>조경유용석 쌓기 및 놓기</t>
  </si>
  <si>
    <t xml:space="preserve">D01300 </t>
  </si>
  <si>
    <t>_x0007_`COD|D01300_x0005_`EXI|0_x0005_`DVD|F_x0005_`BMK| _x0005_`IPR|0_x0005_`BLA|F_x0005_`</t>
  </si>
  <si>
    <t>D01300_1</t>
  </si>
  <si>
    <t>굴림조경석</t>
  </si>
  <si>
    <t>4목</t>
  </si>
  <si>
    <t xml:space="preserve">M01053 </t>
  </si>
  <si>
    <t>_x0007_`COD|M01053_x0005_`EXI|0_x0005_`DVD|F_x0005_`BMK| _x0005_`IPR|0_x0005_`KWN|0_x0005_`BLA|F_x0005_`</t>
  </si>
  <si>
    <t>M01053_1</t>
  </si>
  <si>
    <t>Type-3(굴삭기0.6㎥)</t>
  </si>
  <si>
    <t xml:space="preserve">D01302 </t>
  </si>
  <si>
    <t>_x0007_`COD|D01302_x0005_`EXI|0_x0005_`DVD|F_x0005_`BMK| _x0005_`IPR|0_x0005_`BLA|F_x0005_`</t>
  </si>
  <si>
    <t>D01302_1</t>
  </si>
  <si>
    <t>되메우기</t>
  </si>
  <si>
    <t>굴삭기0.6㎥90%+인력10%</t>
  </si>
  <si>
    <t xml:space="preserve">D01303 </t>
  </si>
  <si>
    <t>_x0007_`COD|D01303_x0005_`EXI|0_x0005_`DVD|F_x0005_`BMK| _x0005_`IPR|0_x0005_`BLA|F_x0005_`</t>
  </si>
  <si>
    <t>D01303_1</t>
  </si>
  <si>
    <t>부직포</t>
  </si>
  <si>
    <t>300g/㎡</t>
  </si>
  <si>
    <t xml:space="preserve">M08846 </t>
  </si>
  <si>
    <t>_x0007_`COD|M08846_x0005_`EXI|0_x0005_`DVD|F_x0005_`BMK| _x0005_`IPR|0_x0005_`KWN|0_x0005_`BLA|F_x0005_`</t>
  </si>
  <si>
    <t>M08846_1</t>
  </si>
  <si>
    <t xml:space="preserve"> 제  217 호표</t>
  </si>
  <si>
    <t>종합안내판</t>
  </si>
  <si>
    <t>1200*750, 현장설치도</t>
  </si>
  <si>
    <t xml:space="preserve">M01607 </t>
  </si>
  <si>
    <t>_x0007_`COD|M01607_x0005_`EXI|0_x0005_`DVD|F_x0005_`BMK| _x0005_`IPR|0_x0005_`KWN|0_x0005_`BLA|F_x0005_`</t>
  </si>
  <si>
    <t>M01607_1</t>
  </si>
  <si>
    <t xml:space="preserve"> 제  218 호표</t>
  </si>
  <si>
    <t>구조용 STS원형관</t>
  </si>
  <si>
    <t>Φ25.4*T1.5</t>
  </si>
  <si>
    <t xml:space="preserve">M01585 </t>
  </si>
  <si>
    <t>_x0007_`COD|M01585_x0005_`EXI|0_x0005_`DVD|F_x0005_`BMK| _x0005_`IPR|0_x0005_`KWN|0_x0005_`BLA|F_x0005_`</t>
  </si>
  <si>
    <t>M01585_1</t>
  </si>
  <si>
    <t xml:space="preserve"> 제  219 호표</t>
  </si>
  <si>
    <t>Φ38.1*T1.5</t>
  </si>
  <si>
    <t xml:space="preserve">M01586 </t>
  </si>
  <si>
    <t>_x0007_`COD|M01586_x0005_`EXI|0_x0005_`DVD|F_x0005_`BMK| _x0005_`IPR|0_x0005_`KWN|0_x0005_`BLA|F_x0005_`</t>
  </si>
  <si>
    <t>M01586_1</t>
  </si>
  <si>
    <t xml:space="preserve"> 제  220 호표</t>
  </si>
  <si>
    <t>Φ50.8*T1.5</t>
  </si>
  <si>
    <t xml:space="preserve">M01587 </t>
  </si>
  <si>
    <t>_x0007_`COD|M01587_x0005_`EXI|0_x0005_`DVD|F_x0005_`BMK| _x0005_`IPR|0_x0005_`KWN|0_x0005_`BLA|F_x0005_`</t>
  </si>
  <si>
    <t>M01587_1</t>
  </si>
  <si>
    <t xml:space="preserve"> 제  221 호표</t>
  </si>
  <si>
    <t>Φ89.1*T1.5</t>
  </si>
  <si>
    <t xml:space="preserve">M01588 </t>
  </si>
  <si>
    <t>_x0007_`COD|M01588_x0005_`EXI|0_x0005_`DVD|F_x0005_`BMK| _x0005_`IPR|0_x0005_`KWN|0_x0005_`BLA|F_x0005_`</t>
  </si>
  <si>
    <t>M01588_1</t>
  </si>
  <si>
    <t xml:space="preserve"> 제  222 호표</t>
  </si>
  <si>
    <t xml:space="preserve">B02562 </t>
  </si>
  <si>
    <t>_x0007_`COD|B02562_x0005_`EXI|0_x0005_`DVD|F_x0005_`BMK| _x0005_`IPR|0_x0005_`BLA|F_x0005_`</t>
  </si>
  <si>
    <t xml:space="preserve">B02563 </t>
  </si>
  <si>
    <t>_x0007_`COD|B02563_x0005_`EXI|0_x0005_`DVD|F_x0005_`BMK| _x0005_`IPR|0_x0005_`BLA|F_x0005_`</t>
  </si>
  <si>
    <t xml:space="preserve"> 제  223 호표</t>
  </si>
  <si>
    <t xml:space="preserve"> 제  224 호표</t>
  </si>
  <si>
    <t xml:space="preserve">B02685 </t>
  </si>
  <si>
    <t>_x0007_`COD|B02685_x0005_`EXI|0_x0005_`DVD|F_x0005_`BMK| _x0005_`IPR|0_x0005_`BLA|F_x0005_`</t>
  </si>
  <si>
    <t>B02685_1</t>
  </si>
  <si>
    <t>고임돌채집, 운반</t>
  </si>
  <si>
    <t>기계(80%)인력(20%)</t>
  </si>
  <si>
    <t xml:space="preserve">D00970 </t>
  </si>
  <si>
    <t>_x0007_`COD|D00970_x0005_`EXI|0_x0005_`DVD|F_x0005_`BMK| _x0005_`IPR|0_x0005_`BLA|F_x0005_`</t>
  </si>
  <si>
    <t>D00970_1</t>
  </si>
  <si>
    <t xml:space="preserve">D00783 </t>
  </si>
  <si>
    <t>_x0007_`COD|D00783_x0005_`EXI|0_x0005_`DVD|F_x0005_`BMK| _x0005_`IPR|0_x0005_`BLA|F_x0005_`</t>
  </si>
  <si>
    <t>D00783_1</t>
  </si>
  <si>
    <t xml:space="preserve"> 제  225 호표</t>
  </si>
  <si>
    <t xml:space="preserve">B02146 </t>
  </si>
  <si>
    <t>_x0007_`COD|B02146_x0005_`EXI|0_x0005_`DVD|F_x0005_`BMK| _x0005_`IPR|0_x0005_`BLA|F_x0005_`</t>
  </si>
  <si>
    <t>B02146_1</t>
  </si>
  <si>
    <t>잡석(뒷채움석)</t>
  </si>
  <si>
    <t>Φ80~100mm</t>
  </si>
  <si>
    <t xml:space="preserve">M01154 </t>
  </si>
  <si>
    <t>_x0007_`COD|M01154_x0005_`EXI|0_x0005_`DVD|F_x0005_`BMK| _x0005_`IPR|0_x0005_`KWN|0_x0005_`BLA|F_x0005_`</t>
  </si>
  <si>
    <t>M01154_1</t>
  </si>
  <si>
    <t xml:space="preserve">B02299 </t>
  </si>
  <si>
    <t>_x0007_`COD|B02299_x0005_`EXI|0_x0005_`DVD|F_x0005_`BMK| _x0005_`IPR|0_x0005_`BLA|F_x0005_`</t>
  </si>
  <si>
    <t>B02299_1</t>
  </si>
  <si>
    <t xml:space="preserve"> 제  226 호표</t>
  </si>
  <si>
    <t xml:space="preserve">B02145 </t>
  </si>
  <si>
    <t>_x0007_`COD|B02145_x0005_`EXI|0_x0005_`DVD|F_x0005_`BMK| _x0005_`IPR|0_x0005_`BLA|F_x0005_`</t>
  </si>
  <si>
    <t>B02145_1</t>
  </si>
  <si>
    <t xml:space="preserve">B01772 </t>
  </si>
  <si>
    <t>_x0007_`COD|B01772_x0005_`EXI|0_x0005_`DVD|F_x0005_`BMK| _x0005_`IPR|0_x0005_`BLA|F_x0005_`</t>
  </si>
  <si>
    <t>B01772_1</t>
  </si>
  <si>
    <t xml:space="preserve"> 제  227 호표</t>
  </si>
  <si>
    <t xml:space="preserve">B02144 </t>
  </si>
  <si>
    <t>_x0007_`COD|B02144_x0005_`EXI|0_x0005_`DVD|F_x0005_`BMK| _x0005_`IPR|0_x0005_`BLA|F_x0005_`</t>
  </si>
  <si>
    <t>B02144_1</t>
  </si>
  <si>
    <t>PVC PIPE</t>
  </si>
  <si>
    <t>KSM3404,￠50mm</t>
  </si>
  <si>
    <t xml:space="preserve">M00912 </t>
  </si>
  <si>
    <t>_x0007_`COD|M00912_x0005_`EXI|0_x0005_`DVD|F_x0005_`BMK| _x0005_`IPR|0_x0005_`KWN|0_x0005_`BLA|F_x0005_`</t>
  </si>
  <si>
    <t>M00912_1</t>
  </si>
  <si>
    <t xml:space="preserve"> 제  228 호표</t>
  </si>
  <si>
    <t>Φ125mm(외경 139.8), 3.2T</t>
  </si>
  <si>
    <t xml:space="preserve">M01578 </t>
  </si>
  <si>
    <t>_x0007_`COD|M01578_x0005_`EXI|0_x0005_`DVD|F_x0005_`BMK| _x0005_`IPR|0_x0005_`KWN|0_x0005_`BLA|F_x0005_`</t>
  </si>
  <si>
    <t>M01578_1</t>
  </si>
  <si>
    <t xml:space="preserve">B02691 </t>
  </si>
  <si>
    <t>_x0007_`COD|B02691_x0005_`EXI|0_x0005_`DVD|F_x0005_`BMK| _x0005_`IPR|0_x0005_`BLA|F_x0005_`</t>
  </si>
  <si>
    <t>B02691_1</t>
  </si>
  <si>
    <t>전산볼트</t>
  </si>
  <si>
    <t>M12,스테인리스</t>
  </si>
  <si>
    <t xml:space="preserve">M01158 </t>
  </si>
  <si>
    <t>_x0007_`COD|M01158_x0005_`EXI|0_x0005_`DVD|F_x0005_`BMK| _x0005_`IPR|0_x0005_`KWN|0_x0005_`BLA|F_x0005_`</t>
  </si>
  <si>
    <t>M01158_1</t>
  </si>
  <si>
    <t>M12 L150 sts</t>
  </si>
  <si>
    <t xml:space="preserve">M01455 </t>
  </si>
  <si>
    <t>_x0007_`COD|M01455_x0005_`EXI|0_x0005_`DVD|F_x0005_`BMK| _x0005_`IPR|0_x0005_`KWN|0_x0005_`BLA|F_x0005_`</t>
  </si>
  <si>
    <t>M01455_1</t>
  </si>
  <si>
    <t xml:space="preserve"> 제  229 호표</t>
  </si>
  <si>
    <t xml:space="preserve"> 제  230 호표</t>
  </si>
  <si>
    <t xml:space="preserve"> 제  231 호표</t>
  </si>
  <si>
    <t>_x0007_`COD|B02691_x0005_`EXI|0_x0005_`DVD|F_x0005_`BMK| _x0005_`IPR|1_x0005_`BLA|F_x0005_`</t>
  </si>
  <si>
    <t xml:space="preserve"> 제  232 호표</t>
  </si>
  <si>
    <t xml:space="preserve"> 제  233 호표</t>
  </si>
  <si>
    <t xml:space="preserve"> 제  234 호표</t>
  </si>
  <si>
    <t>D22㎜</t>
  </si>
  <si>
    <t xml:space="preserve">M00691 </t>
  </si>
  <si>
    <t>_x0007_`COD|M00691_x0005_`EXI|0_x0005_`DVD|F_x0005_`BMK| _x0005_`IPR|0_x0005_`KWN|0_x0005_`BLA|F_x0005_`</t>
  </si>
  <si>
    <t>M00691_1</t>
  </si>
  <si>
    <t xml:space="preserve"> 제  235 호표</t>
  </si>
  <si>
    <t xml:space="preserve"> 제  236 호표</t>
  </si>
  <si>
    <t xml:space="preserve"> 제  237 호표</t>
  </si>
  <si>
    <t xml:space="preserve"> 제  238 호표</t>
  </si>
  <si>
    <t xml:space="preserve"> 제  239 호표</t>
  </si>
  <si>
    <t xml:space="preserve"> 제  240 호표</t>
  </si>
  <si>
    <t xml:space="preserve"> 제  241 호표</t>
  </si>
  <si>
    <t xml:space="preserve"> 제  242 호표</t>
  </si>
  <si>
    <t xml:space="preserve"> 제  243 호표</t>
  </si>
  <si>
    <t xml:space="preserve"> 제  244 호표</t>
  </si>
  <si>
    <t xml:space="preserve"> 제  245 호표</t>
  </si>
  <si>
    <t>평의자</t>
  </si>
  <si>
    <t>1700*440*H440</t>
  </si>
  <si>
    <t xml:space="preserve">M01055 </t>
  </si>
  <si>
    <t>_x0007_`COD|M01055_x0005_`EXI|0_x0005_`DVD|F_x0005_`BMK| _x0005_`IPR|0_x0005_`KWN|0_x0005_`BLA|F_x0005_`</t>
  </si>
  <si>
    <t>M01055_1</t>
  </si>
  <si>
    <t xml:space="preserve"> 제  246 호표</t>
  </si>
  <si>
    <t xml:space="preserve"> 제  247 호표</t>
  </si>
  <si>
    <t xml:space="preserve"> 제  248 호표</t>
  </si>
  <si>
    <t xml:space="preserve"> 제  249 호표</t>
  </si>
  <si>
    <t xml:space="preserve"> 제  250 호표</t>
  </si>
  <si>
    <t xml:space="preserve"> 제  251 호표</t>
  </si>
  <si>
    <t>워시프라이머</t>
  </si>
  <si>
    <t xml:space="preserve">M00743 </t>
  </si>
  <si>
    <t>_x0007_`COD|M00743_x0005_`EXI|0_x0005_`DVD|F_x0005_`BMK| _x0005_`IPR|0_x0005_`KWN|0_x0005_`BLA|F_x0005_`</t>
  </si>
  <si>
    <t>M00743_1</t>
  </si>
  <si>
    <t>공수손료</t>
  </si>
  <si>
    <t xml:space="preserve"> 제  252 호표</t>
  </si>
  <si>
    <t>2155*605*1830, 현장설치도</t>
  </si>
  <si>
    <t xml:space="preserve">M01532 </t>
  </si>
  <si>
    <t>_x0007_`COD|M01532_x0005_`EXI|0_x0005_`DVD|F_x0005_`BMK| _x0005_`IPR|0_x0005_`KWN|0_x0005_`BLA|F_x0005_`</t>
  </si>
  <si>
    <t>M01532_1</t>
  </si>
  <si>
    <t xml:space="preserve"> 제  253 호표</t>
  </si>
  <si>
    <t>자갈</t>
  </si>
  <si>
    <t>시내도착도,25mm</t>
  </si>
  <si>
    <t xml:space="preserve">M00957 </t>
  </si>
  <si>
    <t>_x0007_`COD|M00957_x0005_`EXI|0_x0005_`DVD|F_x0005_`BMK| _x0005_`IPR|0_x0005_`KWN|0_x0005_`BLA|F_x0005_`</t>
  </si>
  <si>
    <t>M00957_1</t>
  </si>
  <si>
    <t>콘크리트공</t>
  </si>
  <si>
    <t xml:space="preserve">L00008 </t>
  </si>
  <si>
    <t>_x0007_`COD|L00008_x0005_`EXI|0_x0005_`DVD|F_x0005_`BMK| _x0005_`IPR|0_x0005_`BLA|F_x0005_`</t>
  </si>
  <si>
    <t>L00008_1</t>
  </si>
  <si>
    <t xml:space="preserve"> 제  254 호표</t>
  </si>
  <si>
    <t xml:space="preserve"> 제  255 호표</t>
  </si>
  <si>
    <t xml:space="preserve"> 제  256 호표</t>
  </si>
  <si>
    <t xml:space="preserve"> 제  257 호표</t>
  </si>
  <si>
    <t xml:space="preserve"> 제  258 호표</t>
  </si>
  <si>
    <t xml:space="preserve"> 제  259 호표</t>
  </si>
  <si>
    <t xml:space="preserve"> 제  260 호표</t>
  </si>
  <si>
    <t xml:space="preserve"> 제  261 호표</t>
  </si>
  <si>
    <t xml:space="preserve"> 제  262 호표</t>
  </si>
  <si>
    <t xml:space="preserve"> 제  263 호표</t>
  </si>
  <si>
    <t>2300*1800*2500, 현장설치도</t>
  </si>
  <si>
    <t xml:space="preserve">M01535 </t>
  </si>
  <si>
    <t>_x0007_`COD|M01535_x0005_`EXI|0_x0005_`DVD|F_x0005_`BMK| _x0005_`IPR|0_x0005_`KWN|0_x0005_`BLA|F_x0005_`</t>
  </si>
  <si>
    <t>M01535_1</t>
  </si>
  <si>
    <t>단가산출근거 목록표</t>
  </si>
  <si>
    <t>D00970</t>
  </si>
  <si>
    <t>산림4-5-2</t>
  </si>
  <si>
    <t>공통4-3-5</t>
  </si>
  <si>
    <t>공통4-3-4</t>
  </si>
  <si>
    <t>D00784</t>
  </si>
  <si>
    <t>산림8-13</t>
  </si>
  <si>
    <t>D00787</t>
  </si>
  <si>
    <t>D01302</t>
  </si>
  <si>
    <t>공통3-2-4</t>
  </si>
  <si>
    <t>D00783</t>
  </si>
  <si>
    <t>산림8-12</t>
  </si>
  <si>
    <t>D01272</t>
  </si>
  <si>
    <t>D01303</t>
  </si>
  <si>
    <t>산림3-8</t>
  </si>
  <si>
    <t>공통4-4-4</t>
  </si>
  <si>
    <t>공통3-6-1</t>
  </si>
  <si>
    <t>D01298</t>
  </si>
  <si>
    <t>D01055</t>
  </si>
  <si>
    <t>D01226</t>
  </si>
  <si>
    <t>D01225</t>
  </si>
  <si>
    <t>*</t>
  </si>
  <si>
    <t>D01136</t>
  </si>
  <si>
    <t>D01213</t>
  </si>
  <si>
    <t>유지1-2-2</t>
  </si>
  <si>
    <t>유지3-3-3</t>
  </si>
  <si>
    <t>유지3-3-2</t>
  </si>
  <si>
    <t>D01300</t>
  </si>
  <si>
    <t>D01216</t>
  </si>
  <si>
    <t>공통4-1-1</t>
  </si>
  <si>
    <t>공통3-9-1</t>
  </si>
  <si>
    <t>D01217</t>
  </si>
  <si>
    <t>D00950</t>
  </si>
  <si>
    <t>공통6-2-2</t>
  </si>
  <si>
    <t>D01230</t>
  </si>
  <si>
    <t>공통6-2-3</t>
  </si>
  <si>
    <t>유지3-1-1</t>
  </si>
  <si>
    <t>D01265</t>
  </si>
  <si>
    <t>공통3-2-1</t>
  </si>
  <si>
    <t>D01266</t>
  </si>
  <si>
    <t>D01241</t>
  </si>
  <si>
    <t>D01267</t>
  </si>
  <si>
    <t>D01270</t>
  </si>
  <si>
    <t>토목6-7-2</t>
  </si>
  <si>
    <t>D01271</t>
  </si>
  <si>
    <t>D00939</t>
  </si>
  <si>
    <t>D01231</t>
  </si>
  <si>
    <t>공통6-3-1</t>
  </si>
  <si>
    <t>D01273</t>
  </si>
  <si>
    <t>공통3-4-3</t>
  </si>
  <si>
    <t>단 가 산 출 근 거</t>
  </si>
  <si>
    <t>공  종</t>
  </si>
  <si>
    <t>산  출  내  역</t>
  </si>
  <si>
    <t>수량부분 값 수정은 아래의 연두색 부분에</t>
  </si>
  <si>
    <t>QTY</t>
  </si>
  <si>
    <t>T</t>
  </si>
  <si>
    <t>M</t>
  </si>
  <si>
    <t>S</t>
  </si>
  <si>
    <t>고임돌채집, 운반 기계(80%)인력(20%)  / ㎥</t>
  </si>
  <si>
    <t>_x0007_</t>
  </si>
  <si>
    <t xml:space="preserve"> ○ 고임돌채집 </t>
  </si>
  <si>
    <t>_x0007_'○ 고임돌채집'</t>
  </si>
  <si>
    <t xml:space="preserve"> (기계 80%, 인력 20%), 운반거리 : 200m </t>
  </si>
  <si>
    <t>_x0007_'(기계 80%, 인력 20%), 운반거리 : 200m'</t>
  </si>
  <si>
    <t xml:space="preserve">  (1).인력 </t>
  </si>
  <si>
    <t>_x0007_ '(1).인력'</t>
  </si>
  <si>
    <t xml:space="preserve">_x0007_ </t>
  </si>
  <si>
    <t>L00017</t>
  </si>
  <si>
    <t>_x0007_'인부 :' 0.3'인/m3' * '보통인부 :'&amp;L00017&amp; * 0.2 =</t>
  </si>
  <si>
    <t>T1_1</t>
  </si>
  <si>
    <t>*1*</t>
  </si>
  <si>
    <t>=</t>
  </si>
  <si>
    <t>소계</t>
  </si>
  <si>
    <t>_x0007_(=)</t>
  </si>
  <si>
    <t>T2_1</t>
  </si>
  <si>
    <t xml:space="preserve">  (2).기계 </t>
  </si>
  <si>
    <t>_x0007_ '(2).기계'</t>
  </si>
  <si>
    <t xml:space="preserve"> 굴삭기 무한궤도 0.2㎥ (80%) </t>
  </si>
  <si>
    <t>_x0007_'굴삭기 무한궤도 0.2㎥ (80%)'</t>
  </si>
  <si>
    <t>_x0007_ q'(버킷용량)' = 0.2 , f'(체적환산계수)'=1/1 =</t>
  </si>
  <si>
    <t>,</t>
  </si>
  <si>
    <t>/</t>
  </si>
  <si>
    <t>_x0007_ K'(버킷계수)' = 0.55</t>
  </si>
  <si>
    <t>_x0007_ Cm'(1회 사이클 시간(초))' = 18'sec (135˚)' , E'(작업효율)' = 0.35</t>
  </si>
  <si>
    <t>_x0007_ Q'(시간당 작업량)' = 3600*q*K*f*E/Cm ='㎥/hr'</t>
  </si>
  <si>
    <t>X00273L</t>
  </si>
  <si>
    <t>_x0007_  '노무비:'&amp;X00273L&amp; / Q *0.8 =</t>
  </si>
  <si>
    <t>1/</t>
  </si>
  <si>
    <t>X00273M</t>
  </si>
  <si>
    <t>_x0007_  '재료비:'&amp;X00273M&amp; / Q *0.8 =</t>
  </si>
  <si>
    <t>X00273S</t>
  </si>
  <si>
    <t>_x0007_  '경  비:'&amp;X00273S&amp; / Q *0.8 =</t>
  </si>
  <si>
    <t>_x0007_ (=)</t>
  </si>
  <si>
    <t>계</t>
  </si>
  <si>
    <t>_x0007_ (==)</t>
  </si>
  <si>
    <t>T3_1</t>
  </si>
  <si>
    <t xml:space="preserve"> ○ 고임돌운반(15ton 덤프) </t>
  </si>
  <si>
    <t>_x0007_'○ 고임돌운반(15ton 덤프)'</t>
  </si>
  <si>
    <t xml:space="preserve">  (1).상차:(굴삭기0.7㎥) </t>
  </si>
  <si>
    <t>_x0007_ '(1).상차:(굴삭기0.7㎥)'</t>
  </si>
  <si>
    <t>_x0007_  q = 0.7, f = 1, K = 0.55</t>
  </si>
  <si>
    <t>_x0007_  Cm = 20 'sec(135˚)', E = 0.45</t>
  </si>
  <si>
    <t>_x0007_  Q = 3600*q*K*f*E / Cm = '㎥/hr'</t>
  </si>
  <si>
    <t>X00262L</t>
  </si>
  <si>
    <t>_x0007_  '노무비:'&amp;X00262L&amp; / Q =</t>
  </si>
  <si>
    <t>X00262M</t>
  </si>
  <si>
    <t>_x0007_  '재료비:'&amp;X00262M&amp; / Q =</t>
  </si>
  <si>
    <t>X00262S</t>
  </si>
  <si>
    <t>_x0007_  '경  비:'&amp;X00262S&amp; / Q =</t>
  </si>
  <si>
    <t xml:space="preserve">  (2).운반:덤프트럭 15톤 </t>
  </si>
  <si>
    <t>_x0007_ '(2).운반:덤프트럭 15톤'</t>
  </si>
  <si>
    <t>_x0007_  L = 0.2'km', K = 0.55, E = 0.9</t>
  </si>
  <si>
    <t>_x0007_  Es = 0.45, F = 1, T = 15'ton'</t>
  </si>
  <si>
    <t>_x0007_  rt = 1.75'ton/㎡', Lo = 1.0, q = 0.7</t>
  </si>
  <si>
    <t>_x0007_  Cms = 20'초', q1 = T/rt*Lo = '㎥'</t>
  </si>
  <si>
    <t>_x0007_  n = q1/(q*k) = '회',</t>
  </si>
  <si>
    <t>/(</t>
  </si>
  <si>
    <t>)</t>
  </si>
  <si>
    <t>_x0007_  t1 = Cms*n/(60*Es) = '분'</t>
  </si>
  <si>
    <t>_x0007_  t2 = (L/10+L/15)*60 = '분'</t>
  </si>
  <si>
    <t>(</t>
  </si>
  <si>
    <t>+</t>
  </si>
  <si>
    <t>)*</t>
  </si>
  <si>
    <t>_x0007_  t3 = 1.1'분', t4 = 0.7'분'</t>
  </si>
  <si>
    <t>_x0007_  t5 = 0 '현장내운반이므로 생략'</t>
  </si>
  <si>
    <t>_x0007_  Cm = t1+t2+t3+t4+t5 = '분'</t>
  </si>
  <si>
    <t>_x0007_  To = (Cm-t1)/Cm =</t>
  </si>
  <si>
    <t>-</t>
  </si>
  <si>
    <t>)/</t>
  </si>
  <si>
    <t>_x0007_  Q1 = 60*q1*F*E/Cm = '㎥/hr'</t>
  </si>
  <si>
    <t>X00270L</t>
  </si>
  <si>
    <t>_x0007_  '노무비:'&amp;X00270L&amp; / Q1 =</t>
  </si>
  <si>
    <t>X00270_1</t>
  </si>
  <si>
    <t>X00270M</t>
  </si>
  <si>
    <t>_x0007_  '재료비:'&amp;X00270M&amp; / Q1 =</t>
  </si>
  <si>
    <t>X00270S</t>
  </si>
  <si>
    <t>_x0007_  '경  비:'&amp;X00270S&amp; / Q1 =</t>
  </si>
  <si>
    <t>_x0007_(==)</t>
  </si>
  <si>
    <t>합계</t>
  </si>
  <si>
    <t>_x0007_ (===)</t>
  </si>
  <si>
    <t>총        계</t>
  </si>
  <si>
    <t>관목 식재(군식) H0.3m~0.7m이하  / 주</t>
  </si>
  <si>
    <t xml:space="preserve"> ○ 관목식재(군식) H0.3m~0.7m이하 / 주 </t>
  </si>
  <si>
    <t>_x0007_'○ 관목식재(군식) H0.3m~0.7m이하 / 주'</t>
  </si>
  <si>
    <t xml:space="preserve"> 공통부문 조경공사 4-2-3 </t>
  </si>
  <si>
    <t>_x0007_'공통부문 조경공사 4-2-3'</t>
  </si>
  <si>
    <t>_x0007_'일당 작업량 : ' Q1 = 300 '주'</t>
  </si>
  <si>
    <t xml:space="preserve"> 조경공 3인, 보통인부 1인 </t>
  </si>
  <si>
    <t>_x0007_'조경공 3인, 보통인부 1인'</t>
  </si>
  <si>
    <t xml:space="preserve"> 1.인건비 </t>
  </si>
  <si>
    <t>_x0007_'1.인건비'</t>
  </si>
  <si>
    <t>L00184</t>
  </si>
  <si>
    <t>_x0007_'조경공 : '&amp;L00184&amp; * 3'인' / Q1 =</t>
  </si>
  <si>
    <t>1*</t>
  </si>
  <si>
    <t>_x0007_'보통인부 :'&amp;L00017&amp; * 1'인' / Q1 =</t>
  </si>
  <si>
    <t xml:space="preserve">  2.재료비 </t>
  </si>
  <si>
    <t>_x0007_ '2.재료비'</t>
  </si>
  <si>
    <t>M01159</t>
  </si>
  <si>
    <t>_x0007_ '유기질비료 수목이식·식재용 :'&amp;M01159&amp; * 150'KG' / Q1 =</t>
  </si>
  <si>
    <t>M01159_1</t>
  </si>
  <si>
    <t>관목 식재(군식) H0.3m미만  / 주</t>
  </si>
  <si>
    <t xml:space="preserve"> ○ 관목식재(군식) H0.3m미만 / 주 </t>
  </si>
  <si>
    <t>_x0007_'○ 관목식재(군식) H0.3m미만 / 주'</t>
  </si>
  <si>
    <t>_x0007_'일당 작업량 : ' Q1 = 440 '주'</t>
  </si>
  <si>
    <t>_x0007_ '유기질비료 수목이식·식재용 :'&amp;M01159&amp; * 220'KG' / Q1 =</t>
  </si>
  <si>
    <t>관목 식재(군식) H0.8m~1.1m이하  / 주</t>
  </si>
  <si>
    <t xml:space="preserve"> ○ 관목식재(군식) H0.8m~1.1m이하 / 주 </t>
  </si>
  <si>
    <t>_x0007_'○ 관목식재(군식) H0.8m~1.1m이하 / 주'</t>
  </si>
  <si>
    <t>_x0007_'일당 작업량 : ' Q1 = 200 '주'</t>
  </si>
  <si>
    <t>_x0007_ '유기질비료 수목이식·식재용 :'&amp;M01159&amp; * 200'KG' / Q1 =</t>
  </si>
  <si>
    <t>관목 식재(군식) H1.2m~1.5m이하  / 주</t>
  </si>
  <si>
    <t xml:space="preserve"> ○ 관목식재(군식) H1.2m~1.5m이하 / 주 </t>
  </si>
  <si>
    <t>_x0007_'○ 관목식재(군식) H1.2m~1.5m이하 / 주'</t>
  </si>
  <si>
    <t>_x0007_'일당 작업량 : ' Q1 = 140 '주'</t>
  </si>
  <si>
    <t>_x0007_ '유기질비료 수목이식·식재용 :'&amp;M01159&amp; * 280'KG' / Q1 =</t>
  </si>
  <si>
    <t>관목 식재(단식) H0.3m~0.7m이하  / 주</t>
  </si>
  <si>
    <t xml:space="preserve"> ○ 관목식재(단식) H0.3m~0.7m이하 / 주 </t>
  </si>
  <si>
    <t>_x0007_'○ 관목식재(단식) H0.3m~0.7m이하 / 주'</t>
  </si>
  <si>
    <t xml:space="preserve"> 공통부문 조경공사 4-2-2 </t>
  </si>
  <si>
    <t>_x0007_'공통부문 조경공사 4-2-2'</t>
  </si>
  <si>
    <t>_x0007_'일당 작업량 : ' Q1 = 125 '주'</t>
  </si>
  <si>
    <t>관목 식재(단식) H0.3m미만  / 주</t>
  </si>
  <si>
    <t xml:space="preserve"> ○ 관목식재(단식) H0.3m미만 / 주 </t>
  </si>
  <si>
    <t>_x0007_'○ 관목식재(단식) H0.3m미만 / 주'</t>
  </si>
  <si>
    <t>_x0007_'일당 작업량 : ' Q1 = 160 '주'</t>
  </si>
  <si>
    <t>관목 식재(단식) H0.8m~1.1m이하  / 주</t>
  </si>
  <si>
    <t xml:space="preserve"> ○ 관목식재(단식) H0.8m~1.1m이하 / 주 </t>
  </si>
  <si>
    <t>_x0007_'○ 관목식재(단식) H0.8m~1.1m이하 / 주'</t>
  </si>
  <si>
    <t>_x0007_'일당 작업량 : ' Q1 = 75 '주'</t>
  </si>
  <si>
    <t>관목 식재(단식) H1.2m~1.5m이하  / 주</t>
  </si>
  <si>
    <t xml:space="preserve"> ○ 관목식재(단식) H1.2m~1.5m이하 / 주 </t>
  </si>
  <si>
    <t>_x0007_'○ 관목식재(단식) H1.2m~1.5m이하 / 주'</t>
  </si>
  <si>
    <t>_x0007_'일당 작업량 : ' Q1 = 55 '주'</t>
  </si>
  <si>
    <t>_x0007_ '유기질비료 수목이식·식재용 :'&amp;M01159&amp; * 210'KG' / Q1 =</t>
  </si>
  <si>
    <t>교목 식재(기계) B10~17 (R12~20)  / 주</t>
  </si>
  <si>
    <t xml:space="preserve"> ○ 교목식재(흉고직경) / 주 </t>
  </si>
  <si>
    <t>_x0007_'○ 교목식재(흉고직경) / 주'</t>
  </si>
  <si>
    <t xml:space="preserve"> 공통부문 조경공사 4-3-5 </t>
  </si>
  <si>
    <t>_x0007_'공통부문 조경공사 4-3-5'</t>
  </si>
  <si>
    <t>_x0007_'일당 작업량 : ' Q = 12 '주'</t>
  </si>
  <si>
    <t xml:space="preserve"> 조경공 3인, 보통인부 1인 굴착기(0.4㎥) 1대 </t>
  </si>
  <si>
    <t>_x0007_'조경공 3인, 보통인부 1인 굴착기(0.4㎥) 1대'</t>
  </si>
  <si>
    <t xml:space="preserve"> 1. 인건비 </t>
  </si>
  <si>
    <t>_x0007_'1. 인건비'</t>
  </si>
  <si>
    <t>_x0007_'조경공 : '&amp;L00184&amp; * 3'인' / Q =</t>
  </si>
  <si>
    <t>_x0007_'보통인부 :'&amp;L00017&amp; * 1'인' / Q =</t>
  </si>
  <si>
    <t xml:space="preserve">  2. 굴착기 0.4㎥ </t>
  </si>
  <si>
    <t>_x0007_ '2. 굴착기 0.4㎥'</t>
  </si>
  <si>
    <t>X00266L</t>
  </si>
  <si>
    <t>_x0007_ '노 무 비 : '&amp;X00266L&amp; / Q * 8 =</t>
  </si>
  <si>
    <t>X00266_1</t>
  </si>
  <si>
    <t>X00266M</t>
  </si>
  <si>
    <t>_x0007_ '재 료 비 : '&amp;X00266M&amp; / Q * 8 =</t>
  </si>
  <si>
    <t>X00266S</t>
  </si>
  <si>
    <t>_x0007_ '경    비 : '&amp;X00266S&amp; / Q * 8 =</t>
  </si>
  <si>
    <t xml:space="preserve">  3. 재료비 </t>
  </si>
  <si>
    <t>_x0007_ '3. 재료비'</t>
  </si>
  <si>
    <t>M08850</t>
  </si>
  <si>
    <t>_x0007_ '지주목삼발이, L1800 :'&amp;M08850&amp; * 1'조' =</t>
  </si>
  <si>
    <t>M08850_1</t>
  </si>
  <si>
    <t>_x0007_ '유기질비료 수목이식·식재용 :'&amp;M01159&amp; * 15'KG'  =</t>
  </si>
  <si>
    <t>교목 식재(기계) B18~24 (R21~29)  / 주</t>
  </si>
  <si>
    <t>_x0007_'일당 작업량 : ' Q = 9 '주'</t>
  </si>
  <si>
    <t xml:space="preserve"> 조경공 3인, 보통인부 1인, 굴착기(0.6㎥) 1대, 트럭탑재형크레인(10톤) </t>
  </si>
  <si>
    <t>_x0007_'조경공 3인, 보통인부 1인, 굴착기(0.6㎥) 1대, 트럭탑재형크레인(10톤)'</t>
  </si>
  <si>
    <t xml:space="preserve">  2. 기계경비 </t>
  </si>
  <si>
    <t>_x0007_ '2. 기계경비'</t>
  </si>
  <si>
    <t xml:space="preserve">  굴착기 0.6㎥ </t>
  </si>
  <si>
    <t>_x0007_ '굴착기 0.6㎥'</t>
  </si>
  <si>
    <t>X00269L</t>
  </si>
  <si>
    <t>_x0007_ '노 무 비 : '&amp;X00269L&amp; / Q * 8 =</t>
  </si>
  <si>
    <t>X00269M</t>
  </si>
  <si>
    <t>_x0007_ '재 료 비 : '&amp;X00269M&amp; / Q * 8 =</t>
  </si>
  <si>
    <t>X00269S</t>
  </si>
  <si>
    <t>_x0007_ '경    비 : '&amp;X00269S&amp; / Q * 8 =</t>
  </si>
  <si>
    <t xml:space="preserve">  트럭탑재형 크레인 10톤 </t>
  </si>
  <si>
    <t>_x0007_ '트럭탑재형 크레인 10톤'</t>
  </si>
  <si>
    <t>X00291L</t>
  </si>
  <si>
    <t>_x0007_ '노 무 비 : '&amp;X00291L&amp; / Q * 8 =</t>
  </si>
  <si>
    <t>X00291_1</t>
  </si>
  <si>
    <t>X00291M</t>
  </si>
  <si>
    <t>_x0007_ '재 료 비 : '&amp;X00291M&amp; / Q * 8 =</t>
  </si>
  <si>
    <t>X00291S</t>
  </si>
  <si>
    <t>_x0007_ '경    비 : '&amp;X00291S&amp; / Q * 8 =</t>
  </si>
  <si>
    <t>_x0007_ '유기질비료 수목이식·식재용 :'&amp;M01159&amp; * 30'KG'  =</t>
  </si>
  <si>
    <t>교목 식재(기계) B25~34 (R30~41)  / 주</t>
  </si>
  <si>
    <t>_x0007_'일당 작업량 : ' Q = 7 '주'</t>
  </si>
  <si>
    <t xml:space="preserve"> 조경공 3인, 보통인부 1인, 굴착기(0.6㎥) 1대, 트럭탑재형크레인(15톤) </t>
  </si>
  <si>
    <t>_x0007_'조경공 3인, 보통인부 1인, 굴착기(0.6㎥) 1대, 트럭탑재형크레인(15톤)'</t>
  </si>
  <si>
    <t xml:space="preserve">  트럭탑재형 크레인 15톤 </t>
  </si>
  <si>
    <t>_x0007_ '트럭탑재형 크레인 15톤'</t>
  </si>
  <si>
    <t>X00290L</t>
  </si>
  <si>
    <t>_x0007_ '노 무 비 : '&amp;X00290L&amp; / Q * 8 =</t>
  </si>
  <si>
    <t>X00290_1</t>
  </si>
  <si>
    <t>X00290M</t>
  </si>
  <si>
    <t>_x0007_ '재 료 비 : '&amp;X00290M&amp; / Q * 8 =</t>
  </si>
  <si>
    <t>X00290S</t>
  </si>
  <si>
    <t>_x0007_ '경    비 : '&amp;X00290S&amp; / Q * 8 =</t>
  </si>
  <si>
    <t>M08851</t>
  </si>
  <si>
    <t>_x0007_ '지주목 삼발이, L2700 :'&amp;M08851&amp; * 1'조' =</t>
  </si>
  <si>
    <t>M08851_1</t>
  </si>
  <si>
    <t>_x0007_ '유기질비료 수목이식·식재용 :'&amp;M01159&amp; * 40'KG'  =</t>
  </si>
  <si>
    <t>교목 식재(기계) B35~44 (R42~53)  / 주</t>
  </si>
  <si>
    <t>_x0007_'일당 작업량 : ' Q = 5 '주'</t>
  </si>
  <si>
    <t xml:space="preserve"> 조경공 3인, 보통인부 1인, 굴착기(0.6㎥) 1대, 크레인(타이어 25톤) </t>
  </si>
  <si>
    <t>_x0007_'조경공 3인, 보통인부 1인, 굴착기(0.6㎥) 1대, 크레인(타이어 25톤)'</t>
  </si>
  <si>
    <t xml:space="preserve">  크레인(타이어) 25톤 </t>
  </si>
  <si>
    <t>_x0007_ '크레인(타이어) 25톤'</t>
  </si>
  <si>
    <t>X00301L</t>
  </si>
  <si>
    <t>_x0007_ '노 무 비 : '&amp;X00301L&amp; / Q * 8 =</t>
  </si>
  <si>
    <t>X00301_1</t>
  </si>
  <si>
    <t>X00301M</t>
  </si>
  <si>
    <t>_x0007_ '재 료 비 : '&amp;X00301M&amp; / Q * 8 =</t>
  </si>
  <si>
    <t>X00301S</t>
  </si>
  <si>
    <t>_x0007_ '경    비 : '&amp;X00301S&amp; / Q * 8 =</t>
  </si>
  <si>
    <t>_x0007_ '유기질비료 수목이식·식재용 :'&amp;M01159&amp; * 50'KG'  =</t>
  </si>
  <si>
    <t>교목 식재(기계) B45~49 (R54~59)  / 주</t>
  </si>
  <si>
    <t>_x0007_'일당 작업량 : ' Q = 4 '주'</t>
  </si>
  <si>
    <t>_x0007_ '유기질비료 수목이식·식재용 :'&amp;M01159&amp; * 60'KG'  =</t>
  </si>
  <si>
    <t>교목 식재(기계) B5(R6) 이하  / 주</t>
  </si>
  <si>
    <t>_x0007_'일당 작업량 : ' Q = 45 '주'</t>
  </si>
  <si>
    <t>M08848</t>
  </si>
  <si>
    <t>_x0007_ '지주목 이각, L1200 :'&amp;M08848&amp; * 1'조' =</t>
  </si>
  <si>
    <t>M08848_1</t>
  </si>
  <si>
    <t>_x0007_ '유기질비료 수목이식·식재용 :'&amp;M01159&amp; * 10'KG'  =</t>
  </si>
  <si>
    <t>교목 식재(기계) B6~7 (R7~8)  / 주</t>
  </si>
  <si>
    <t>_x0007_'일당 작업량 : ' Q = 22 '주'</t>
  </si>
  <si>
    <t>M08849</t>
  </si>
  <si>
    <t>_x0007_ '지주목 삼발이, L1500 :'&amp;M08849&amp; * 1'조' =</t>
  </si>
  <si>
    <t>M08849_1</t>
  </si>
  <si>
    <t>교목 식재(기계) B8~9 (R9~11)  / 주</t>
  </si>
  <si>
    <t>_x0007_'일당 작업량 : ' Q = 17 '주'</t>
  </si>
  <si>
    <t>교목 식재(기계) 수고 2.0m 이하  / 주</t>
  </si>
  <si>
    <t xml:space="preserve"> ○ 교목식재(수고) / 주 </t>
  </si>
  <si>
    <t>_x0007_'○ 교목식재(수고) / 주'</t>
  </si>
  <si>
    <t xml:space="preserve"> 공통부문 조경공사 4-3-4 </t>
  </si>
  <si>
    <t>_x0007_'공통부문 조경공사 4-3-4'</t>
  </si>
  <si>
    <t>_x0007_'일당 작업량 : ' Q = 55 '주'</t>
  </si>
  <si>
    <t>교목 식재(기계) 수고 3.0m 이하  / 주</t>
  </si>
  <si>
    <t>_x0007_'일당 작업량 : ' Q = 30 '주'</t>
  </si>
  <si>
    <t>교목 식재(기계) 수고 5.0m 이하  / 주</t>
  </si>
  <si>
    <t>_x0007_'일당 작업량 : ' Q = 20 '주'</t>
  </si>
  <si>
    <t>_x0007_ '지주목 삼발이, L1800 :'&amp;M08850&amp; * 1'조' =</t>
  </si>
  <si>
    <t>교목 식재(인력) B5(R6) 이하  / 주</t>
  </si>
  <si>
    <t xml:space="preserve"> 조경공 4인, 보통인부 2인 </t>
  </si>
  <si>
    <t>_x0007_'조경공 4인, 보통인부 2인'</t>
  </si>
  <si>
    <t>_x0007_'조경공 : '&amp;L00184&amp; * 4'인' / Q =</t>
  </si>
  <si>
    <t>_x0007_'보통인부 :'&amp;L00017&amp; * 2'인' / Q =</t>
  </si>
  <si>
    <t>교목 식재(인력) B6~7 (R7~8)  / 주</t>
  </si>
  <si>
    <t>_x0007_'일당 작업량 : ' Q = 15 '주'</t>
  </si>
  <si>
    <t>교목 식재(인력) 수고 2.0m 이하  / 주</t>
  </si>
  <si>
    <t>_x0007_'일당 작업량 : ' Q = 40 '주'</t>
  </si>
  <si>
    <t>_x0007_ '유기질비료 수목이식·식재용 :'&amp;M01159&amp; * 5'KG'  =</t>
  </si>
  <si>
    <t>교목 식재(인력) 수고 3.0m 이하  / 주</t>
  </si>
  <si>
    <t>교목 식재(인력) 수고 5.0m 이하  / 주</t>
  </si>
  <si>
    <t>구조물되메우기 및 다짐 굴삭기0.7㎥90%+인력10%  / ㎥</t>
  </si>
  <si>
    <t xml:space="preserve"> ○ 구조물 되메우기 및 다짐 </t>
  </si>
  <si>
    <t>_x0007_'○ 구조물 되메우기 및 다짐'</t>
  </si>
  <si>
    <t xml:space="preserve">    산림품셈 8-13 </t>
  </si>
  <si>
    <t>_x0007_   '산림품셈 8-13'</t>
  </si>
  <si>
    <t xml:space="preserve"> 1. 되메우기-기계(90%) </t>
  </si>
  <si>
    <t>_x0007_'1. 되메우기-기계(90%)'</t>
  </si>
  <si>
    <t xml:space="preserve"> ○ 굴삭기(무한궤도,0.7㎥) </t>
  </si>
  <si>
    <t>_x0007_'○ 굴삭기(무한궤도,0.7㎥)'</t>
  </si>
  <si>
    <t>_x0007_ q = 0.7 , f = 0.9/1.3 = , K = 0.9</t>
  </si>
  <si>
    <t>_x0007_ Cm = 18'sec(90˚)',E=0.65</t>
  </si>
  <si>
    <t>_x0007_ Q = 3600*q*K*f*E/Cm ='㎥/hr'</t>
  </si>
  <si>
    <t>_x0007_'노 무 비  :'&amp;X00262L&amp; / Q * 0.9 =</t>
  </si>
  <si>
    <t>_x0007_'재 료 비  :'&amp;X00262M&amp; / Q * 0.9 =</t>
  </si>
  <si>
    <t>_x0007_'경    비  :'&amp;X00262S&amp; / Q * 0.9 =</t>
  </si>
  <si>
    <t xml:space="preserve"> 2. 되메우기-인력(10%) </t>
  </si>
  <si>
    <t>_x0007_'2. 되메우기-인력(10%)'</t>
  </si>
  <si>
    <t>_x0007_'○ 보통인부 :' &amp;L00017&amp; * 0.1 * 0.1 =</t>
  </si>
  <si>
    <t xml:space="preserve"> 3. 다짐(플레이트 콤펙터) </t>
  </si>
  <si>
    <t>_x0007_'3. 다짐(플레이트 콤펙터)'</t>
  </si>
  <si>
    <t>_x0007_ A = 0.09'㎡', N = 36000'회/hr', H = 0.15'm'</t>
  </si>
  <si>
    <t>_x0007_ f = 1.0, E = 0.5, P = 57'회'</t>
  </si>
  <si>
    <t>_x0007_ Q2 = (A*N*H*f*E)/P= '㎥/hr'</t>
  </si>
  <si>
    <t>X00272L</t>
  </si>
  <si>
    <t>_x0007_'노 무 비 : '&amp;X00272L&amp; / Q2 =</t>
  </si>
  <si>
    <t>X00272M</t>
  </si>
  <si>
    <t>_x0007_'재 료 비 : '&amp;X00272M&amp; / Q2 =</t>
  </si>
  <si>
    <t>X00272S</t>
  </si>
  <si>
    <t>_x0007_'경    비 : '&amp;X00272S&amp; / Q2 =</t>
  </si>
  <si>
    <t>구조물잔토처리 굴삭기0.7㎥  / ㎥</t>
  </si>
  <si>
    <t xml:space="preserve">○  구조물잔토처리 </t>
  </si>
  <si>
    <t>_x0007_○ '구조물잔토처리'</t>
  </si>
  <si>
    <t xml:space="preserve"> 1. 기계(100%) </t>
  </si>
  <si>
    <t>_x0007_'1. 기계(100%)'</t>
  </si>
  <si>
    <t>_x0007_ q = 0.7 , f = 1/1.3 =, K = 0.9</t>
  </si>
  <si>
    <t>_x0007_ Cm = 20'sec(135˚)',E = 0.65</t>
  </si>
  <si>
    <t>_x0007_'노 무 비  :'&amp;X00262L&amp; / Q  =</t>
  </si>
  <si>
    <t>_x0007_'재 료 비  :'&amp;X00262M&amp; / Q   =</t>
  </si>
  <si>
    <t>_x0007_'경    비  :'&amp;X00262S&amp; / Q   =</t>
  </si>
  <si>
    <t>구조물터파기(토사) Type-3(굴삭기0.6㎥)  / ㎥</t>
  </si>
  <si>
    <t xml:space="preserve"> ○ 구조물터파기 </t>
  </si>
  <si>
    <t>_x0007_'○ 구조물터파기'</t>
  </si>
  <si>
    <t xml:space="preserve"> 공통부문 3-2-4, 혼합토사, Type-3 </t>
  </si>
  <si>
    <t>_x0007_'공통부문 3-2-4, 혼합토사, Type-3'</t>
  </si>
  <si>
    <t>_x0007_'일당 작업량 :' Q1 = 150'㎥'</t>
  </si>
  <si>
    <t xml:space="preserve"> 굴착기(0.6㎥) 1대 </t>
  </si>
  <si>
    <t>_x0007_'굴착기(0.6㎥) 1대'</t>
  </si>
  <si>
    <t xml:space="preserve"> 1. 굴삭기(0.6㎥) </t>
  </si>
  <si>
    <t>_x0007_'1. 굴삭기(0.6㎥)'</t>
  </si>
  <si>
    <t>_x0007_'노 무 비  :'&amp;X00269L&amp; / (Q1/8) =</t>
  </si>
  <si>
    <t>1/(</t>
  </si>
  <si>
    <t>_x0007_'재 료 비  :'&amp;X00269M&amp; / (Q1/8) =</t>
  </si>
  <si>
    <t>_x0007_'경    비  :'&amp;X00269S&amp; / (Q1/8) =</t>
  </si>
  <si>
    <t>구조물터파기(토사) 굴삭기0.7㎥90%+인력10%  / ㎥</t>
  </si>
  <si>
    <t xml:space="preserve"> ○ 구조물터파기 - 육상토사(0-2m) </t>
  </si>
  <si>
    <t>_x0007_'○ 구조물터파기 - 육상토사(0-2m)'</t>
  </si>
  <si>
    <t xml:space="preserve"> 1. 기계(90%) </t>
  </si>
  <si>
    <t>_x0007_'1. 기계(90%)'</t>
  </si>
  <si>
    <t xml:space="preserve"> ○ 굴삭기(무한궤도, 0.7㎥) </t>
  </si>
  <si>
    <t>_x0007_'○ 굴삭기(무한궤도, 0.7㎥)'</t>
  </si>
  <si>
    <t>_x0007_ Cm = 20'sec(135˚)',E = 0.60 =</t>
  </si>
  <si>
    <t xml:space="preserve"> 2. 인력(10%) </t>
  </si>
  <si>
    <t>_x0007_'2. 인력(10%)'</t>
  </si>
  <si>
    <t>_x0007_'○ 보통인부 :'&amp;L00017&amp; * (0.23+0.31)/2 * 0.1 =</t>
  </si>
  <si>
    <t>1*(</t>
  </si>
  <si>
    <t>구조물터파기(토사) 굴삭기0.7㎥90%+인력10%, 관부설  / ㎥</t>
  </si>
  <si>
    <t xml:space="preserve"> ○ 구조물터파기 - 육상토사(0-2m), 관부설 보통인력할증 30% </t>
  </si>
  <si>
    <t>_x0007_'○ 구조물터파기 - 육상토사(0-2m), 관부설 보통인력할증 30%'</t>
  </si>
  <si>
    <t>_x0007_'○ 보통인부 :'&amp;L00017&amp; * (0.23+0.31)/2 *1.3 * 0.1 =</t>
  </si>
  <si>
    <t>데크 상판 설치 카스(90*21T)  / ㎡</t>
  </si>
  <si>
    <t xml:space="preserve"> ◈ 목재 데크 설치/㎡  </t>
  </si>
  <si>
    <t>_x0007_'◈ 목재 데크 설치/㎡ '</t>
  </si>
  <si>
    <t xml:space="preserve"> 건축부문 4-3-3 </t>
  </si>
  <si>
    <t>_x0007_'건축부문 4-3-3'</t>
  </si>
  <si>
    <t xml:space="preserve">   1. 자재비(판재 할증10%) </t>
  </si>
  <si>
    <t>_x0007_ ' 1. 자재비(판재 할증10%)'</t>
  </si>
  <si>
    <t>M08816:제외</t>
  </si>
  <si>
    <t>_x0007_ '목재덱 :'&amp;M08816&amp; * 1.1 := A01 -&gt;</t>
  </si>
  <si>
    <t>M08816_1</t>
  </si>
  <si>
    <t>T1_1:C</t>
  </si>
  <si>
    <t>_x0007_ '잡재료 및 소모재료 :'&amp;PA01M&amp; * '주재료비의'6'%' =</t>
  </si>
  <si>
    <t>PR_1</t>
  </si>
  <si>
    <t xml:space="preserve">  2. 인건비 </t>
  </si>
  <si>
    <t>_x0007_ '2. 인건비'</t>
  </si>
  <si>
    <t xml:space="preserve">  건축목공 3인, 보통인부 1인 - 일당 18㎡ 작업 </t>
  </si>
  <si>
    <t>_x0007_ '건축목공 3인, 보통인부 1인 - 일당 18㎡ 작업'</t>
  </si>
  <si>
    <t xml:space="preserve">  건축목공 </t>
  </si>
  <si>
    <t>_x0007_ '건축목공'</t>
  </si>
  <si>
    <t>L00182</t>
  </si>
  <si>
    <t>_x0007_   3'인' / 18'㎡' * '건축목공 :'&amp;L00182&amp; := A02</t>
  </si>
  <si>
    <t>1_02</t>
  </si>
  <si>
    <t>*1</t>
  </si>
  <si>
    <t xml:space="preserve">  보통인부 </t>
  </si>
  <si>
    <t>_x0007_ '보통인부'</t>
  </si>
  <si>
    <t>_x0007_   1'인' / 18'㎡' * '보통인부 :'&amp;L00017&amp; := A02</t>
  </si>
  <si>
    <t>_x0007_ '기계경비 :'&amp;PA02L:S&amp; * '인력품의'2'%' =</t>
  </si>
  <si>
    <t>_x0007_(===)</t>
  </si>
  <si>
    <t>되메우기 굴삭기0.6㎥90%+인력10%  / ㎥</t>
  </si>
  <si>
    <t xml:space="preserve"> ○ 되메우기 </t>
  </si>
  <si>
    <t>_x0007_'○ 되메우기'</t>
  </si>
  <si>
    <t xml:space="preserve"> ○ 굴삭기(무한궤도,0.6㎥) </t>
  </si>
  <si>
    <t>_x0007_'○ 굴삭기(무한궤도,0.6㎥)'</t>
  </si>
  <si>
    <t>_x0007_ q = 0.6 , f = 1/1.325 = , K = 1.1</t>
  </si>
  <si>
    <t>_x0007_'노 무 비  :'&amp;X00269L&amp; / Q * 0.9 =</t>
  </si>
  <si>
    <t>_x0007_'재 료 비  :'&amp;X00269M&amp; / Q * 0.9 =</t>
  </si>
  <si>
    <t>_x0007_'경    비  :'&amp;X00269S&amp; / Q * 0.9 =</t>
  </si>
  <si>
    <t>등산로 주변정리 가지정리, 1종  / ㎡</t>
  </si>
  <si>
    <t xml:space="preserve"> 가지정리 </t>
  </si>
  <si>
    <t>_x0007_'가지정리'</t>
  </si>
  <si>
    <t xml:space="preserve"> 산림품셈 3-8 </t>
  </si>
  <si>
    <t>_x0007_'산림품셈 3-8'</t>
  </si>
  <si>
    <t xml:space="preserve"> ○.보통인부 </t>
  </si>
  <si>
    <t>_x0007_'○.보통인부'</t>
  </si>
  <si>
    <t>_x0007_  P = 0.42  '인'</t>
  </si>
  <si>
    <t>_x0007_'노 무 비  :' P*&amp;L00017&amp;/100 =</t>
  </si>
  <si>
    <t>*1/</t>
  </si>
  <si>
    <t>보행매트 철거 W1.5m 이하, 설치품의 30%  / ㎡</t>
  </si>
  <si>
    <t xml:space="preserve"> (건설품셈 - 4-4-4 야자섬유 매트 포장) 품의 30% 적용 </t>
  </si>
  <si>
    <t>_x0007_'(건설품셈 - 4-4-4 야자섬유 매트 포장) 품의 30% 적용'</t>
  </si>
  <si>
    <t xml:space="preserve"> ○ W1.5m 이하 </t>
  </si>
  <si>
    <t>_x0007_'○ W1.5m 이하'</t>
  </si>
  <si>
    <t xml:space="preserve">_x0007_  </t>
  </si>
  <si>
    <t>_x0007_'조경공 :'&amp;L00184&amp;  * (2.0/90)'인' * 0.3 =</t>
  </si>
  <si>
    <t>_x0007_'보통인부 :'&amp;L00017&amp; * (1.0/90)'인' * 0.3 =</t>
  </si>
  <si>
    <t>보행매트 철거 W2.0m 이하, 설치품의 30%  / ㎡</t>
  </si>
  <si>
    <t xml:space="preserve"> ○ W2.0m 이하 </t>
  </si>
  <si>
    <t>_x0007_'○ W2.0m 이하'</t>
  </si>
  <si>
    <t>_x0007_'조경공 :'&amp;L00184&amp;  * (2.0/130)'인' * 0.3 =</t>
  </si>
  <si>
    <t>_x0007_'보통인부 :'&amp;L00017&amp; * (1.0/130)'인' * 0.3 =</t>
  </si>
  <si>
    <t>성토면 고르기 굴착기 1.0㎥  / ㎡</t>
  </si>
  <si>
    <t xml:space="preserve"> ○성토면 고르기 (굴착기 1.0㎥)  / ㎡ </t>
  </si>
  <si>
    <t>_x0007_'○성토면 고르기 (굴착기 1.0㎥)  / ㎡'</t>
  </si>
  <si>
    <t xml:space="preserve"> 공통부문 3-6-1 </t>
  </si>
  <si>
    <t>_x0007_'공통부문 3-6-1'</t>
  </si>
  <si>
    <t xml:space="preserve"> 굴착기 1대 </t>
  </si>
  <si>
    <t>_x0007_'굴착기 1대'</t>
  </si>
  <si>
    <t>_x0007_  Q = 1060 '㎡'</t>
  </si>
  <si>
    <t xml:space="preserve">  1. 굴착기 1.0㎥ </t>
  </si>
  <si>
    <t>_x0007_ '1. 굴착기 1.0㎥'</t>
  </si>
  <si>
    <t>X00280L</t>
  </si>
  <si>
    <t>_x0007_  '노 무 비 : '&amp;X00280L&amp; / Q * 8 =</t>
  </si>
  <si>
    <t>X00280_1</t>
  </si>
  <si>
    <t>X00280M</t>
  </si>
  <si>
    <t>_x0007_  '재 료 비 : '&amp;X00280M&amp; / Q * 8  =</t>
  </si>
  <si>
    <t>X00280S</t>
  </si>
  <si>
    <t>_x0007_  '경    비 : '&amp;X00280S&amp; / Q * 8  =</t>
  </si>
  <si>
    <t>식생매트설치   / ㎡</t>
  </si>
  <si>
    <t xml:space="preserve"> ○. 식생매트설치 </t>
  </si>
  <si>
    <t>_x0007_'○. 식생매트설치'</t>
  </si>
  <si>
    <t xml:space="preserve">   건설공사 표준품셈 토목부문 2-3-1 </t>
  </si>
  <si>
    <t>_x0007_ ' 건설공사 표준품셈 토목부문 2-3-1'</t>
  </si>
  <si>
    <t xml:space="preserve">  1.재료비 </t>
  </si>
  <si>
    <t>_x0007_ '1.재료비'</t>
  </si>
  <si>
    <t xml:space="preserve">  식생매트 : 별산 </t>
  </si>
  <si>
    <t>_x0007_ '식생매트 : 별산'</t>
  </si>
  <si>
    <t xml:space="preserve">  고정핀 : 별산 </t>
  </si>
  <si>
    <t>_x0007_ '고정핀 : 별산'</t>
  </si>
  <si>
    <t xml:space="preserve">  2. 매트깔기 </t>
  </si>
  <si>
    <t>_x0007_ '2. 매트깔기'</t>
  </si>
  <si>
    <t>L00016</t>
  </si>
  <si>
    <t>_x0007_   '특별인부 :'&amp;L00016&amp; * 0.014'인' =</t>
  </si>
  <si>
    <t xml:space="preserve">_x0007_   </t>
  </si>
  <si>
    <t>_x0007_   '보통인부 :'&amp;L00017&amp; * 0.003'인' =</t>
  </si>
  <si>
    <t>_x0007_   (==)</t>
  </si>
  <si>
    <t xml:space="preserve">  3. 복토 </t>
  </si>
  <si>
    <t>_x0007_ '3. 복토'</t>
  </si>
  <si>
    <t xml:space="preserve">   3-1.인건비 </t>
  </si>
  <si>
    <t>_x0007_  '3-1.인건비'</t>
  </si>
  <si>
    <t>_x0007_    '보통인부 :'&amp;L00017&amp; * 0.005'인' =</t>
  </si>
  <si>
    <t xml:space="preserve">_x0007_    </t>
  </si>
  <si>
    <t>_x0007_    (=)</t>
  </si>
  <si>
    <t xml:space="preserve">   3-2. 장비(굴삭기 0.6㎥)  </t>
  </si>
  <si>
    <t>_x0007_  '3-2. 장비(굴삭기 0.6㎥) '</t>
  </si>
  <si>
    <t>_x0007_  '노 무 비 : '&amp;X00269L&amp; * 0.031 =</t>
  </si>
  <si>
    <t>_x0007_  '재 료 비 : '&amp;X00269M&amp; * 0.031 =</t>
  </si>
  <si>
    <t>_x0007_  '경    비 : '&amp;X00269S&amp; * 0.031 =</t>
  </si>
  <si>
    <t>_x0007_  (=)</t>
  </si>
  <si>
    <t>_x0007_  (==)</t>
  </si>
  <si>
    <t>_x0007_  (===)</t>
  </si>
  <si>
    <t>식생토낭설치 80cm*40cm*20cm  / 개</t>
  </si>
  <si>
    <t xml:space="preserve"> ○식생토낭설치(산림품셈 12-18) </t>
  </si>
  <si>
    <t>_x0007_'○식생토낭설치(산림품셈 12-18)'</t>
  </si>
  <si>
    <t xml:space="preserve"> 1. 단끊기(단폭 30cm 적용) </t>
  </si>
  <si>
    <t>_x0007_'1. 단끊기(단폭 30cm 적용)'</t>
  </si>
  <si>
    <t>_x0007_'보통인부 :'&amp;L00017&amp; * 0.03 =</t>
  </si>
  <si>
    <t xml:space="preserve"> 2. 흙채우기 </t>
  </si>
  <si>
    <t>_x0007_'2. 흙채우기'</t>
  </si>
  <si>
    <t>_x0007_'보통인부 :'&amp;L00017&amp; * 0.035 =</t>
  </si>
  <si>
    <t xml:space="preserve"> 3. 마대쌓기 </t>
  </si>
  <si>
    <t>_x0007_'3. 마대쌓기'</t>
  </si>
  <si>
    <t>_x0007_'보통인부 :'&amp;L00017&amp; * 0.025 =</t>
  </si>
  <si>
    <t xml:space="preserve"> 4. 마대운반(운반거리 200m) </t>
  </si>
  <si>
    <t>_x0007_'4. 마대운반(운반거리 200m)'</t>
  </si>
  <si>
    <t>_x0007_'보통인부 :'&amp;L00017&amp; * 0.0046 =</t>
  </si>
  <si>
    <t>안전로프 로프교체 인력  / m</t>
  </si>
  <si>
    <t xml:space="preserve"> ◈ 로프교체 (인력)   </t>
  </si>
  <si>
    <t>_x0007_'◈ 로프교체 (인력)  '</t>
  </si>
  <si>
    <t xml:space="preserve">   1. 로프교체(토공 별도)  </t>
  </si>
  <si>
    <t>_x0007_ ' 1. 로프교체(토공 별도) '</t>
  </si>
  <si>
    <t>_x0007_ ' 2인 10분 작업: m 당 10 / 480분 * 2인 =' A = 0.041'인'</t>
  </si>
  <si>
    <t>_x0007_     &amp;L00017&amp;* A'인' = '원'</t>
  </si>
  <si>
    <t>안전로프기둥 재설치 인력  / 개소</t>
  </si>
  <si>
    <t xml:space="preserve"> ◈ 로프기둥 재설치(인력)   </t>
  </si>
  <si>
    <t>_x0007_'◈ 로프기둥 재설치(인력)  '</t>
  </si>
  <si>
    <t xml:space="preserve">   1. 재설치(토공 별도)  </t>
  </si>
  <si>
    <t>_x0007_ ' 1. 재설치(토공 별도) '</t>
  </si>
  <si>
    <t xml:space="preserve">   2인 20분 작업: 개소 당 20 / 480분 * 2인 = 0.083인 </t>
  </si>
  <si>
    <t>_x0007_ ' 2인 20분 작업: 개소 당 20 / 480분 * 2인 = 0.083인'</t>
  </si>
  <si>
    <t>_x0007_     &amp;L00017&amp;*0.083'인' = '원'</t>
  </si>
  <si>
    <t>야자섬유 매트 포장 W1.5m 이하  / ㎡</t>
  </si>
  <si>
    <t xml:space="preserve"> (건설품셈 - 4-4-4 야자섬유 매트 포장) </t>
  </si>
  <si>
    <t>_x0007_'(건설품셈 - 4-4-4 야자섬유 매트 포장)'</t>
  </si>
  <si>
    <t xml:space="preserve"> 1. 재료비 </t>
  </si>
  <si>
    <t>_x0007_'1. 재료비'</t>
  </si>
  <si>
    <t xml:space="preserve">   보행매트 : 별산 </t>
  </si>
  <si>
    <t>_x0007_  '보행매트 : 별산'</t>
  </si>
  <si>
    <t xml:space="preserve"> 2. 인건비 </t>
  </si>
  <si>
    <t>_x0007_'2. 인건비'</t>
  </si>
  <si>
    <t>_x0007_'조경공 :'&amp;L00184&amp;  * (2/90)'인' =</t>
  </si>
  <si>
    <t>_x0007_'보통인부 :'&amp;L00017&amp; * (1/90)'인' =</t>
  </si>
  <si>
    <t>야자섬유 매트 포장 W2.0m 이하  / ㎡</t>
  </si>
  <si>
    <t>_x0007_'조경공 :'&amp;L00184&amp;  * (2/130)'인' =</t>
  </si>
  <si>
    <t>_x0007_'보통인부 :'&amp;L00017&amp; * (1/130)'인' =</t>
  </si>
  <si>
    <t>예초 연 1회  / ㎡</t>
  </si>
  <si>
    <t xml:space="preserve"> ○ 예초(연 1회) </t>
  </si>
  <si>
    <t>_x0007_'○ 예초(연 1회)'</t>
  </si>
  <si>
    <t xml:space="preserve"> 유지관리 공통 1-2-12 </t>
  </si>
  <si>
    <t>_x0007_'유지관리 공통 1-2-12'</t>
  </si>
  <si>
    <t>_x0007_'일당 작업량 :' Q1 = 2500 * 0.7 = '㎡'</t>
  </si>
  <si>
    <t xml:space="preserve"> 특별인부 3인, 보통인부 1인 </t>
  </si>
  <si>
    <t>_x0007_'특별인부 3인, 보통인부 1인'</t>
  </si>
  <si>
    <t>_x0007_'특별인부 :'&amp;L00016&amp; * 3'인' / Q1 := A01</t>
  </si>
  <si>
    <t>_x0007_'보통인부 :'&amp;L00017&amp; * 1'인' / Q1 := A01</t>
  </si>
  <si>
    <t>_x0007_'2. 공구손료 및 기계경비(인력품의 6%) :'&amp;PA01L:S&amp; * 6'%' =</t>
  </si>
  <si>
    <t>예초 연 2회  / ㎡</t>
  </si>
  <si>
    <t xml:space="preserve"> ○ 예초(연 2회) </t>
  </si>
  <si>
    <t>_x0007_'○ 예초(연 2회)'</t>
  </si>
  <si>
    <t>_x0007_'일당 작업량 :' Q1 = 2500 * 0.8 = '㎡'</t>
  </si>
  <si>
    <t>예초 연 3회  / ㎡</t>
  </si>
  <si>
    <t xml:space="preserve"> ○ 예초(연 3회) </t>
  </si>
  <si>
    <t>_x0007_'○ 예초(연 3회)'</t>
  </si>
  <si>
    <t>_x0007_'일당 작업량 :' Q1 = 2500  = '㎡'</t>
  </si>
  <si>
    <t>일반 전정(기계시공) 낙엽수, B31~41cm미만  / 주</t>
  </si>
  <si>
    <t xml:space="preserve"> ○ 일반 전정(낙엽수, 31~41cm미만) </t>
  </si>
  <si>
    <t>_x0007_'○ 일반 전정(낙엽수, 31~41cm미만)'</t>
  </si>
  <si>
    <t xml:space="preserve"> 유지관리 공통 1-2-2 </t>
  </si>
  <si>
    <t>_x0007_'유지관리 공통 1-2-2'</t>
  </si>
  <si>
    <t>_x0007_'일당 작업량 :' Q = 18'주'</t>
  </si>
  <si>
    <t xml:space="preserve"> 조경공 2인, 보통인부 1인, 고소작업차(3Ton) </t>
  </si>
  <si>
    <t>_x0007_'조경공 2인, 보통인부 1인, 고소작업차(3Ton)'</t>
  </si>
  <si>
    <t>_x0007_'조 경 공 :'&amp;L00184&amp; * 2'인' / Q := A01</t>
  </si>
  <si>
    <t>_x0007_'보통인부 :'&amp;L00017&amp; * 1'인' / Q := A01</t>
  </si>
  <si>
    <t xml:space="preserve"> 2.고소작업차(3Ton) </t>
  </si>
  <si>
    <t>_x0007_'2.고소작업차(3Ton)'</t>
  </si>
  <si>
    <t>X00328L</t>
  </si>
  <si>
    <t>_x0007_ '노 무 비 : '&amp;X00328L&amp; / Q * 8 =</t>
  </si>
  <si>
    <t>X00328_1</t>
  </si>
  <si>
    <t>X00328M</t>
  </si>
  <si>
    <t>_x0007_ '재 료 비 : '&amp;X00328M&amp; / Q * 8 =</t>
  </si>
  <si>
    <t>X00328S</t>
  </si>
  <si>
    <t>_x0007_ '경    비 : '&amp;X00328S&amp; / Q * 8 =</t>
  </si>
  <si>
    <t>_x0007_'2. 기계경비(인력품의 3%) :'&amp;PA01L:S&amp; * 3'%' =</t>
  </si>
  <si>
    <t>일반 전정(기계시공) 낙엽수, B41~51cm미만  / 주</t>
  </si>
  <si>
    <t xml:space="preserve"> ○ 일반 전정(낙엽수, 41~51cm미만) </t>
  </si>
  <si>
    <t>_x0007_'○ 일반 전정(낙엽수, 41~51cm미만)'</t>
  </si>
  <si>
    <t>_x0007_'일당 작업량 :' Q = 13'주'</t>
  </si>
  <si>
    <t>일반 전정(기계시공) 낙엽수, B51~61cm미만  / 주</t>
  </si>
  <si>
    <t xml:space="preserve"> ○ 일반 전정(낙엽수, 51~61cm미만) </t>
  </si>
  <si>
    <t>_x0007_'○ 일반 전정(낙엽수, 51~61cm미만)'</t>
  </si>
  <si>
    <t>_x0007_'일당 작업량 :' Q = 8'주'</t>
  </si>
  <si>
    <t>일반 전정(기계시공) 낙엽수, B61cm초과  / 주</t>
  </si>
  <si>
    <t xml:space="preserve"> ○ 일반 전정(낙엽수, 61cm초과) </t>
  </si>
  <si>
    <t>_x0007_'○ 일반 전정(낙엽수, 61cm초과)'</t>
  </si>
  <si>
    <t>_x0007_'일당 작업량 :' Q = 6'주'</t>
  </si>
  <si>
    <t>일반 전정(기계시공) 상록수, B31~41cm미만  / 주</t>
  </si>
  <si>
    <t xml:space="preserve"> ○ 일반 전정(상록수, 31~41cm미만) </t>
  </si>
  <si>
    <t>_x0007_'○ 일반 전정(상록수, 31~41cm미만)'</t>
  </si>
  <si>
    <t>_x0007_'일당 작업량 :' Q = 22'주'</t>
  </si>
  <si>
    <t>일반 전정(기계시공) 상록수, B41~51cm미만  / 주</t>
  </si>
  <si>
    <t xml:space="preserve"> ○ 일반 전정(상록수, 41~51cm미만) </t>
  </si>
  <si>
    <t>_x0007_'○ 일반 전정(상록수, 41~51cm미만)'</t>
  </si>
  <si>
    <t>_x0007_'일당 작업량 :' Q = 15'주'</t>
  </si>
  <si>
    <t>일반 전정(기계시공) 상록수, B51~61cm미만  / 주</t>
  </si>
  <si>
    <t xml:space="preserve"> ○ 일반 전정(상록수, 51~61cm미만) </t>
  </si>
  <si>
    <t>_x0007_'○ 일반 전정(상록수, 51~61cm미만)'</t>
  </si>
  <si>
    <t>_x0007_'일당 작업량 :' Q = 10'주'</t>
  </si>
  <si>
    <t>일반 전정(기계시공) 상록수, B61cm초과  / 주</t>
  </si>
  <si>
    <t xml:space="preserve"> ○ 일반 전정(상록수, 61cm초과) </t>
  </si>
  <si>
    <t>_x0007_'○ 일반 전정(상록수, 61cm초과)'</t>
  </si>
  <si>
    <t>_x0007_'일당 작업량 :' Q = 7'주'</t>
  </si>
  <si>
    <t>일반 전정(인력시공) 낙엽수, B11cm미만  / 주</t>
  </si>
  <si>
    <t xml:space="preserve"> ○ 일반 전정(낙엽수, 11~21cm미만) </t>
  </si>
  <si>
    <t>_x0007_'○ 일반 전정(낙엽수, 11~21cm미만)'</t>
  </si>
  <si>
    <t xml:space="preserve"> 인력시공 </t>
  </si>
  <si>
    <t>_x0007_'인력시공'</t>
  </si>
  <si>
    <t>_x0007_'일당 작업량 :' Q1 = 36'주'</t>
  </si>
  <si>
    <t xml:space="preserve"> 조경공 2인, 보통인부 1인 </t>
  </si>
  <si>
    <t>_x0007_'조경공 2인, 보통인부 1인'</t>
  </si>
  <si>
    <t>_x0007_'조 경 공 :'&amp;L00184&amp; * 2'인' / Q1 := A01</t>
  </si>
  <si>
    <t>일반 전정(인력시공) 낙엽수, B11~21cm미만  / 주</t>
  </si>
  <si>
    <t>_x0007_'일당 작업량 :' Q1 = 22'주'</t>
  </si>
  <si>
    <t>일반 전정(인력시공) 낙엽수, B21~31cm미만  / 주</t>
  </si>
  <si>
    <t xml:space="preserve"> ○ 일반 전정(낙엽수, 21~31cm미만) </t>
  </si>
  <si>
    <t>_x0007_'○ 일반 전정(낙엽수, 21~31cm미만)'</t>
  </si>
  <si>
    <t>_x0007_'일당 작업량 :' Q1 = 13'주'</t>
  </si>
  <si>
    <t>일반 전정(인력시공) 상록수, B11cm미만  / 주</t>
  </si>
  <si>
    <t xml:space="preserve"> ○ 일반 전정(상록수, 11cm미만) </t>
  </si>
  <si>
    <t>_x0007_'○ 일반 전정(상록수, 11cm미만)'</t>
  </si>
  <si>
    <t>_x0007_'일당 작업량 :' Q1 = 42'주'</t>
  </si>
  <si>
    <t>일반 전정(인력시공) 상록수, B11~21cm미만  / 주</t>
  </si>
  <si>
    <t xml:space="preserve"> ○ 일반 전정(상록수, 11~21cm미만) </t>
  </si>
  <si>
    <t>_x0007_'○ 일반 전정(상록수, 11~21cm미만)'</t>
  </si>
  <si>
    <t>_x0007_'일당 작업량 :' Q1 = 24'주'</t>
  </si>
  <si>
    <t>일반 전정(인력시공) 상록수, B21~31cm미만  / 주</t>
  </si>
  <si>
    <t xml:space="preserve"> ○ 일반 전정(상록수, 21~31cm미만) </t>
  </si>
  <si>
    <t>_x0007_'○ 일반 전정(상록수, 21~31cm미만)'</t>
  </si>
  <si>
    <t>_x0007_'일당 작업량 :' Q1 = 15'주'</t>
  </si>
  <si>
    <t>자재소운반 L=1,000m  / Ton</t>
  </si>
  <si>
    <t xml:space="preserve"> 자재소운반 / ton </t>
  </si>
  <si>
    <t>_x0007_'자재소운반 / ton'</t>
  </si>
  <si>
    <t xml:space="preserve">  거리 : 1,000m </t>
  </si>
  <si>
    <t>_x0007_ '거리 : 1,000m'</t>
  </si>
  <si>
    <t xml:space="preserve">  자재무게 : 1,000kg </t>
  </si>
  <si>
    <t>_x0007_ '자재무게 : 1,000kg'</t>
  </si>
  <si>
    <t xml:space="preserve"> 1. 인력소운반 </t>
  </si>
  <si>
    <t>_x0007_'1. 인력소운반'</t>
  </si>
  <si>
    <t>_x0007_ L = 1000 , V = 2500 , t = 2  , T = 480-30</t>
  </si>
  <si>
    <t>_x0007_ N = V*T /( 120*L+V*2 ) ='회/일'</t>
  </si>
  <si>
    <t>_x0007_ Q = N*25'㎏'= 'kg/일'</t>
  </si>
  <si>
    <t>_x0007_ k = 1000'kg'/Q</t>
  </si>
  <si>
    <t>L00017L</t>
  </si>
  <si>
    <t>_x0007_'인    부:'&amp;L00017L&amp;*k ='원'</t>
  </si>
  <si>
    <t>C1_1</t>
  </si>
  <si>
    <t>소계(제외금액)</t>
  </si>
  <si>
    <t>_x0007_(-=)</t>
  </si>
  <si>
    <t>S00209</t>
  </si>
  <si>
    <t>_x0007_'경비로 적용 :'&amp;S00209&amp;  =</t>
  </si>
  <si>
    <t>S00209_1</t>
  </si>
  <si>
    <t>1</t>
  </si>
  <si>
    <t>자재소운반 L=1,050m  / Ton</t>
  </si>
  <si>
    <t xml:space="preserve">  거리 : 1,050m </t>
  </si>
  <si>
    <t>_x0007_ '거리 : 1,050m'</t>
  </si>
  <si>
    <t>_x0007_ L = 1050 , V = 2500 , t = 2  , T = 480-30</t>
  </si>
  <si>
    <t>자재소운반 L=1,100m  / Ton</t>
  </si>
  <si>
    <t xml:space="preserve">  거리 : 1,100m </t>
  </si>
  <si>
    <t>_x0007_ '거리 : 1,100m'</t>
  </si>
  <si>
    <t>_x0007_ L = 1100 , V = 2500 , t = 2  , T = 480-30</t>
  </si>
  <si>
    <t>자재소운반 L=1,150m  / Ton</t>
  </si>
  <si>
    <t xml:space="preserve">  거리 : 1,150m </t>
  </si>
  <si>
    <t>_x0007_ '거리 : 1,150m'</t>
  </si>
  <si>
    <t>_x0007_ L = 1150 , V = 2500 , t = 2  , T = 480-30</t>
  </si>
  <si>
    <t>자재소운반 L=1,200m  / Ton</t>
  </si>
  <si>
    <t xml:space="preserve">  거리 : 1,200m </t>
  </si>
  <si>
    <t>_x0007_ '거리 : 1,200m'</t>
  </si>
  <si>
    <t>_x0007_ L = 1200 , V = 2500 , t = 2  , T = 480-30</t>
  </si>
  <si>
    <t>자재소운반 L=1,250m  / Ton</t>
  </si>
  <si>
    <t xml:space="preserve">  거리 : 1,250m </t>
  </si>
  <si>
    <t>_x0007_ '거리 : 1,250m'</t>
  </si>
  <si>
    <t>_x0007_ L = 1250 , V = 2500 , t = 2  , T = 480-30</t>
  </si>
  <si>
    <t>자재소운반 L=1,300m  / Ton</t>
  </si>
  <si>
    <t xml:space="preserve">  거리 : 1,300m </t>
  </si>
  <si>
    <t>_x0007_ '거리 : 1,300m'</t>
  </si>
  <si>
    <t>_x0007_ L = 1300 , V = 2500 , t = 2  , T = 480-30</t>
  </si>
  <si>
    <t>자재소운반 L=1,350m  / Ton</t>
  </si>
  <si>
    <t xml:space="preserve">  거리 : 1,350m </t>
  </si>
  <si>
    <t>_x0007_ '거리 : 1,350m'</t>
  </si>
  <si>
    <t>_x0007_ L = 1350 , V = 2500 , t = 2  , T = 480-30</t>
  </si>
  <si>
    <t>자재소운반 L=1,450m  / Ton</t>
  </si>
  <si>
    <t xml:space="preserve">  거리 : 1,450m </t>
  </si>
  <si>
    <t>_x0007_ '거리 : 1,450m'</t>
  </si>
  <si>
    <t>_x0007_ L = 1450 , V = 2500 , t = 2  , T = 480-30</t>
  </si>
  <si>
    <t>자재소운반 L=1,500m  / Ton</t>
  </si>
  <si>
    <t xml:space="preserve">  거리 : 1,500m </t>
  </si>
  <si>
    <t>_x0007_ '거리 : 1,500m'</t>
  </si>
  <si>
    <t>_x0007_ L = 1500 , V = 2500 , t = 2  , T = 480-30</t>
  </si>
  <si>
    <t>자재소운반 L=100m  / Ton</t>
  </si>
  <si>
    <t xml:space="preserve">  거리 : 100m </t>
  </si>
  <si>
    <t>_x0007_ '거리 : 100m'</t>
  </si>
  <si>
    <t>_x0007_ L = 100 , V = 2500 , t = 2  , T = 480-30</t>
  </si>
  <si>
    <t>자재소운반 L=150m  / Ton</t>
  </si>
  <si>
    <t xml:space="preserve">  거리 : 150m </t>
  </si>
  <si>
    <t>_x0007_ '거리 : 150m'</t>
  </si>
  <si>
    <t>_x0007_ L = 150 , V = 2500 , t = 2  , T = 480-30</t>
  </si>
  <si>
    <t>자재소운반 L=200m  / Ton</t>
  </si>
  <si>
    <t xml:space="preserve">  거리 : 200m </t>
  </si>
  <si>
    <t>_x0007_ '거리 : 200m'</t>
  </si>
  <si>
    <t>_x0007_ L = 200 , V = 2500 , t = 2  , T = 480-30</t>
  </si>
  <si>
    <t>자재소운반 L=250m  / Ton</t>
  </si>
  <si>
    <t xml:space="preserve">  거리 : 250m </t>
  </si>
  <si>
    <t>_x0007_ '거리 : 250m'</t>
  </si>
  <si>
    <t>_x0007_ L = 250 , V = 2500 , t = 2  , T = 480-30</t>
  </si>
  <si>
    <t>자재소운반 L=300m  / Ton</t>
  </si>
  <si>
    <t xml:space="preserve">  거리 : 300m </t>
  </si>
  <si>
    <t>_x0007_ '거리 : 300m'</t>
  </si>
  <si>
    <t>_x0007_ L = 300 , V = 2500 , t = 2  , T = 480-30</t>
  </si>
  <si>
    <t>자재소운반 L=350m  / Ton</t>
  </si>
  <si>
    <t xml:space="preserve">  거리 : 350m </t>
  </si>
  <si>
    <t>_x0007_ '거리 : 350m'</t>
  </si>
  <si>
    <t>_x0007_ L = 350 , V = 2500 , t = 2  , T = 480-30</t>
  </si>
  <si>
    <t>자재소운반 L=400m  / Ton</t>
  </si>
  <si>
    <t xml:space="preserve">  거리 : 400m </t>
  </si>
  <si>
    <t>_x0007_ '거리 : 400m'</t>
  </si>
  <si>
    <t>_x0007_ L = 400 , V = 2500 , t = 2  , T = 480-30</t>
  </si>
  <si>
    <t>자재소운반 L=450m  / Ton</t>
  </si>
  <si>
    <t xml:space="preserve">  거리 : 450m </t>
  </si>
  <si>
    <t>_x0007_ '거리 : 450m'</t>
  </si>
  <si>
    <t>_x0007_ L = 450 , V = 2500 , t = 2  , T = 480-30</t>
  </si>
  <si>
    <t>자재소운반 L=500m  / Ton</t>
  </si>
  <si>
    <t xml:space="preserve">  거리 : 500m </t>
  </si>
  <si>
    <t>_x0007_ '거리 : 500m'</t>
  </si>
  <si>
    <t>_x0007_ L = 500 , V = 2500 , t = 2  , T = 480-30</t>
  </si>
  <si>
    <t>자재소운반 L=550m  / Ton</t>
  </si>
  <si>
    <t xml:space="preserve">  거리 : 550m </t>
  </si>
  <si>
    <t>_x0007_ '거리 : 550m'</t>
  </si>
  <si>
    <t>_x0007_ L = 550 , V = 2500 , t = 2  , T = 480-30</t>
  </si>
  <si>
    <t>자재소운반 L=600m  / Ton</t>
  </si>
  <si>
    <t xml:space="preserve">  거리 : 600m </t>
  </si>
  <si>
    <t>_x0007_ '거리 : 600m'</t>
  </si>
  <si>
    <t>_x0007_ L = 600 , V = 2500 , t = 2  , T = 480-30</t>
  </si>
  <si>
    <t>자재소운반 L=650m  / Ton</t>
  </si>
  <si>
    <t xml:space="preserve">  거리 : 650m </t>
  </si>
  <si>
    <t>_x0007_ '거리 : 650m'</t>
  </si>
  <si>
    <t>_x0007_ L = 650 , V = 2500 , t = 2  , T = 480-30</t>
  </si>
  <si>
    <t>자재소운반 L=700m  / Ton</t>
  </si>
  <si>
    <t xml:space="preserve">  거리 : 700m </t>
  </si>
  <si>
    <t>_x0007_ '거리 : 700m'</t>
  </si>
  <si>
    <t>_x0007_ L = 700 , V = 2500 , t = 2  , T = 480-30</t>
  </si>
  <si>
    <t>자재소운반 L=750m  / Ton</t>
  </si>
  <si>
    <t xml:space="preserve">  거리 : 750m </t>
  </si>
  <si>
    <t>_x0007_ '거리 : 750m'</t>
  </si>
  <si>
    <t>_x0007_ L = 750 , V = 2500 , t = 2  , T = 480-30</t>
  </si>
  <si>
    <t>자재소운반 L=800m  / Ton</t>
  </si>
  <si>
    <t xml:space="preserve">  거리 : 800m </t>
  </si>
  <si>
    <t>_x0007_ '거리 : 800m'</t>
  </si>
  <si>
    <t>_x0007_ L = 800 , V = 2500 , t = 2  , T = 480-30</t>
  </si>
  <si>
    <t>자재소운반 L=850m  / Ton</t>
  </si>
  <si>
    <t xml:space="preserve">  거리 : 850m </t>
  </si>
  <si>
    <t>_x0007_ '거리 : 850m'</t>
  </si>
  <si>
    <t>_x0007_ L = 850 , V = 2500 , t = 2  , T = 480-30</t>
  </si>
  <si>
    <t>자재소운반 L=900m  / Ton</t>
  </si>
  <si>
    <t xml:space="preserve">  거리 : 900m </t>
  </si>
  <si>
    <t>_x0007_ '거리 : 900m'</t>
  </si>
  <si>
    <t>_x0007_ L = 900 , V = 2500 , t = 2  , T = 480-30</t>
  </si>
  <si>
    <t>자재소운반 L=950m  / Ton</t>
  </si>
  <si>
    <t xml:space="preserve">  거리 : 950m </t>
  </si>
  <si>
    <t>_x0007_ '거리 : 950m'</t>
  </si>
  <si>
    <t>_x0007_ L = 950 , V = 2500 , t = 2  , T = 480-30</t>
  </si>
  <si>
    <t>재도장 시 바탕 처리 목재면, B급  / ㎡</t>
  </si>
  <si>
    <t xml:space="preserve"> ○ 재도장 시 바탕 처리 (목재면, B급) </t>
  </si>
  <si>
    <t>_x0007_'○ 재도장 시 바탕 처리 (목재면, B급)'</t>
  </si>
  <si>
    <t xml:space="preserve"> 유지관리 건축 3-3-3 </t>
  </si>
  <si>
    <t>_x0007_'유지관리 건축 3-3-3'</t>
  </si>
  <si>
    <t>_x0007_'일당 작업량 :' Q1 = 270'㎡'</t>
  </si>
  <si>
    <t xml:space="preserve"> 도장공 2인, 보통인부 1인 </t>
  </si>
  <si>
    <t>_x0007_'도장공 2인, 보통인부 1인'</t>
  </si>
  <si>
    <t>L00010</t>
  </si>
  <si>
    <t>_x0007_'도 장 공 :'&amp;L00010&amp; * 2'인' / Q1 := A01</t>
  </si>
  <si>
    <t>_x0007_'2. 공구손료 및 잡재료비(인력품의 3%) :'&amp;PA01L:S&amp; * 3'%' =</t>
  </si>
  <si>
    <t>재도장 시 바탕 처리 철재면, B급  / ㎡</t>
  </si>
  <si>
    <t xml:space="preserve"> ○ 재도장 시 바탕 처리 (철재면, B급) </t>
  </si>
  <si>
    <t>_x0007_'○ 재도장 시 바탕 처리 (철재면, B급)'</t>
  </si>
  <si>
    <t xml:space="preserve"> 유지관리 건축 3-3-2 </t>
  </si>
  <si>
    <t>_x0007_'유지관리 건축 3-3-2'</t>
  </si>
  <si>
    <t>_x0007_'일당 작업량 :' Q1 = 60'㎡'</t>
  </si>
  <si>
    <t>제초작업 인력, 지장물 지역  / ㎡</t>
  </si>
  <si>
    <t xml:space="preserve"> 제초작업(인력, 지장물지역) / ㎡ </t>
  </si>
  <si>
    <t>_x0007_'제초작업(인력, 지장물지역) / ㎡'</t>
  </si>
  <si>
    <t xml:space="preserve">   건설품셈 유지관리1-2-10 제초 </t>
  </si>
  <si>
    <t>_x0007_  '건설품셈 유지관리1-2-10 제초'</t>
  </si>
  <si>
    <t>_x0007_ P = 1000 '㎡'</t>
  </si>
  <si>
    <t>_x0007_'조경공 :'&amp;L00184&amp; * 1'인' / P =</t>
  </si>
  <si>
    <t>_x0007_'보통인부 :'&amp;L00017&amp; * 5'인' / P =</t>
  </si>
  <si>
    <t>조경유용석 쌓기 및 놓기   / Ton</t>
  </si>
  <si>
    <t xml:space="preserve"> ◈ 조경유용석 쌓기 및 놓기/ton  </t>
  </si>
  <si>
    <t>_x0007_'◈ 조경유용석 쌓기 및 놓기/ton '</t>
  </si>
  <si>
    <t xml:space="preserve"> 공통부문 4-2-2 </t>
  </si>
  <si>
    <t>_x0007_'공통부문 4-2-2'</t>
  </si>
  <si>
    <t xml:space="preserve">  조경공 1인, 석공 3인, 굴삭기0.6㎥ 1대 - 일당 13ton 작업 </t>
  </si>
  <si>
    <t>_x0007_ '조경공 1인, 석공 3인, 굴삭기0.6㎥ 1대 - 일당 13ton 작업'</t>
  </si>
  <si>
    <t xml:space="preserve"> (1) 인건비 </t>
  </si>
  <si>
    <t>_x0007_'(1) 인건비'</t>
  </si>
  <si>
    <t xml:space="preserve">   조경공 </t>
  </si>
  <si>
    <t>_x0007_  '조경공'</t>
  </si>
  <si>
    <t>_x0007_   1'인' / 13'ton' * '조경공 :'&amp;L00184&amp; =</t>
  </si>
  <si>
    <t xml:space="preserve">   석  공 </t>
  </si>
  <si>
    <t>_x0007_  '석  공'</t>
  </si>
  <si>
    <t>L00189</t>
  </si>
  <si>
    <t>_x0007_   3'인' / 13'ton' * '석 공 :'&amp;L00189&amp;  =</t>
  </si>
  <si>
    <t>L00189_1</t>
  </si>
  <si>
    <t xml:space="preserve"> (2) 굴삭기(0.6㎥,부착용집게) </t>
  </si>
  <si>
    <t>_x0007_'(2) 굴삭기(0.6㎥,부착용집게)'</t>
  </si>
  <si>
    <t>_x0007_ '(시간당 작업량)'Q = 13'ton' / 8 =</t>
  </si>
  <si>
    <t>X00329L</t>
  </si>
  <si>
    <t>_x0007_'노 무 비 : '&amp;X00329L&amp; / Q =</t>
  </si>
  <si>
    <t>X00329_1</t>
  </si>
  <si>
    <t>X00329M</t>
  </si>
  <si>
    <t>_x0007_'재 료 비 : '&amp;X00329M&amp; / Q =</t>
  </si>
  <si>
    <t>X00329S</t>
  </si>
  <si>
    <t>_x0007_'경    비 : '&amp;X00329S&amp; / Q =</t>
  </si>
  <si>
    <t>조경유용석 헐기 쌓기품의 20%적용  / TON</t>
  </si>
  <si>
    <t xml:space="preserve">  ○. 조경석 헐기 - 쌓기품의 20% 적용 </t>
  </si>
  <si>
    <t>_x0007_ '○. 조경석 헐기 - 쌓기품의 20% 적용'</t>
  </si>
  <si>
    <t xml:space="preserve">  공통부문 4-4-2 </t>
  </si>
  <si>
    <t>_x0007_ '공통부문 4-4-2'</t>
  </si>
  <si>
    <t xml:space="preserve">  1. 인건비 </t>
  </si>
  <si>
    <t>_x0007_ '1. 인건비'</t>
  </si>
  <si>
    <t>_x0007_  '조경공 :'&amp;L00184&amp; * 0.084'인' * 0.2 =</t>
  </si>
  <si>
    <t>_x0007_  '석공 :'&amp;L00189&amp; * 0.251'인' * 0.2 =</t>
  </si>
  <si>
    <t xml:space="preserve">  2. 장비(굴삭기 0.6㎥) </t>
  </si>
  <si>
    <t>_x0007_ '2. 장비(굴삭기 0.6㎥)'</t>
  </si>
  <si>
    <t>_x0007_  '노 무 비 : '&amp;X00269L&amp; * 0.588'HR' *0.2 =</t>
  </si>
  <si>
    <t>_x0007_  '재 료 비 : '&amp;X00269M&amp; * 0.588'HR' *0.2 =</t>
  </si>
  <si>
    <t>_x0007_  '경    비 : '&amp;X00269S&amp; * 0.588'HR' *0.2 =</t>
  </si>
  <si>
    <t>줄떼 붙임   / ㎡</t>
  </si>
  <si>
    <t xml:space="preserve"> ○ 잔디붙임 줄떼 </t>
  </si>
  <si>
    <t>_x0007_'○ 잔디붙임 줄떼'</t>
  </si>
  <si>
    <t xml:space="preserve"> 건설품셈 4-1-1 잔디붙임 </t>
  </si>
  <si>
    <t>_x0007_'건설품셈 4-1-1 잔디붙임'</t>
  </si>
  <si>
    <t>_x0007_ '조경공 1인, 보통인부 4인, 시공량 :' Q = 170'㎡'</t>
  </si>
  <si>
    <t>_x0007_'조경공 :'&amp;L00184&amp; * 1 / Q =</t>
  </si>
  <si>
    <t>_x0007_'보통인부 :'&amp;L00017&amp; * 4 / Q  =</t>
  </si>
  <si>
    <t>지장목제거 벌목  / ㎡</t>
  </si>
  <si>
    <t xml:space="preserve"> 지장목제거 (벌목)/(㎡당) </t>
  </si>
  <si>
    <t>_x0007_'지장목제거 (벌목)/(㎡당)'</t>
  </si>
  <si>
    <t xml:space="preserve">  1. 벌목 - 건설품셈 3-9-1 </t>
  </si>
  <si>
    <t>_x0007_' 1. 벌목 - 건설품셈 3-9-1'</t>
  </si>
  <si>
    <t xml:space="preserve"> ○.벌목인부 </t>
  </si>
  <si>
    <t>_x0007_'○.벌목인부'</t>
  </si>
  <si>
    <t>_x0007_ P = (2.14+2.80+3.65)/3 = '인'</t>
  </si>
  <si>
    <t>L00188</t>
  </si>
  <si>
    <t>_x0007_'노 무 비  :' P*&amp;L00188&amp;/1000 =</t>
  </si>
  <si>
    <t>_x0007_ Q = (0.51+0.66+0.87)/3 =  '인'</t>
  </si>
  <si>
    <t>_x0007_'노 무 비  :' Q*&amp;L00017&amp;/1000 =</t>
  </si>
  <si>
    <t xml:space="preserve"> ○.굴삭기+부착용집게(0.2㎥) </t>
  </si>
  <si>
    <t>_x0007_'○.굴삭기+부착용집게(0.2㎥)'</t>
  </si>
  <si>
    <t>_x0007_ Q = (2.71+3.54+4.61)/3 =  'Hr'</t>
  </si>
  <si>
    <t>X00323L</t>
  </si>
  <si>
    <t>_x0007_ '노 무 비 : '&amp;X00323L&amp; / Q / 1000 =</t>
  </si>
  <si>
    <t>X00323_1</t>
  </si>
  <si>
    <t>X00323M</t>
  </si>
  <si>
    <t>_x0007_ '재 료 비 : '&amp;X00323M&amp; / Q / 1000 =</t>
  </si>
  <si>
    <t>X00323S</t>
  </si>
  <si>
    <t>_x0007_ '경    비 : '&amp;X00323S&amp; / Q / 1000 =</t>
  </si>
  <si>
    <t xml:space="preserve">  ○.엔진톱 등 </t>
  </si>
  <si>
    <t>_x0007_ '○.엔진톱 등'</t>
  </si>
  <si>
    <t>_x0007_ '손료계산 :'&amp;PS_L:S&amp; * 10'%' =</t>
  </si>
  <si>
    <t>PRS_(6)_1</t>
  </si>
  <si>
    <t>지장목제거 벌목&amp;뿌리뽑기  / ㎡</t>
  </si>
  <si>
    <t xml:space="preserve"> 지장목제거 (벌목 + 뿌리뽑기)/(㎡당) </t>
  </si>
  <si>
    <t>_x0007_'지장목제거 (벌목 + 뿌리뽑기)/(㎡당)'</t>
  </si>
  <si>
    <t xml:space="preserve">  1. 벌목 - 건설공사 표준품셈 3-9-1 </t>
  </si>
  <si>
    <t>_x0007_' 1. 벌목 - 건설공사 표준품셈 3-9-1'</t>
  </si>
  <si>
    <t xml:space="preserve"> ○.엔진톱 </t>
  </si>
  <si>
    <t>_x0007_'○.엔진톱'</t>
  </si>
  <si>
    <t>L00194</t>
  </si>
  <si>
    <t>_x0007_ '기구손료 :'&amp;L00194&amp; * 10'%' =</t>
  </si>
  <si>
    <t>L00194_1</t>
  </si>
  <si>
    <t xml:space="preserve">  ○.굴삭기+부착용집계(0.2㎥) </t>
  </si>
  <si>
    <t>_x0007_ '○.굴삭기+부착용집계(0.2㎥)'</t>
  </si>
  <si>
    <t>_x0007_ T = (2.71+3.54+4.61)/3 =  'hr'</t>
  </si>
  <si>
    <t>_x0007_ '노 무 비 : '&amp;X00323L&amp; * T / 1000 =</t>
  </si>
  <si>
    <t>_x0007_ '재 료 비 : '&amp;X00323M&amp; * T / 1000 =</t>
  </si>
  <si>
    <t>_x0007_ '경    비 : '&amp;X00323S&amp; * T / 1000 =</t>
  </si>
  <si>
    <t xml:space="preserve">  2. 뿌리뽑기 - 건설공사 표준품셈 3-9-2 </t>
  </si>
  <si>
    <t>_x0007_ '2. 뿌리뽑기 - 건설공사 표준품셈 3-9-2'</t>
  </si>
  <si>
    <t>_x0007_ P1 = 1.06 '인'</t>
  </si>
  <si>
    <t>_x0007_'노 무 비  :' P1 * &amp;L00017&amp;/1000 =</t>
  </si>
  <si>
    <t xml:space="preserve"> ○.굴삭기(0.2㎥+부착용집계) </t>
  </si>
  <si>
    <t>_x0007_'○.굴삭기(0.2㎥+부착용집계)'</t>
  </si>
  <si>
    <t>_x0007_ T1 = 3.76'hr'</t>
  </si>
  <si>
    <t>_x0007_'노 무 비 : '&amp;X00323L&amp; * T / 1000 =</t>
  </si>
  <si>
    <t>_x0007_'재 료 비 : '&amp;X00323M&amp; * T / 1000 =</t>
  </si>
  <si>
    <t>_x0007_'경    비 : '&amp;X00323S&amp; * T / 1000 =</t>
  </si>
  <si>
    <t>지장목제거 수고 5m미만  / ㎡</t>
  </si>
  <si>
    <t>_x0007_ P = 2.14'인'</t>
  </si>
  <si>
    <t>_x0007_ Q = 0.51'인'</t>
  </si>
  <si>
    <t>S00200</t>
  </si>
  <si>
    <t>_x0007_ '기계경비 :'&amp;S00200&amp; * 10'%' =</t>
  </si>
  <si>
    <t>S00200_1</t>
  </si>
  <si>
    <t>_x0007_ T = 2.71'hr'</t>
  </si>
  <si>
    <t>철근가공조립 토목TYPE-Ⅰ-1  / Ton</t>
  </si>
  <si>
    <t xml:space="preserve"> ◈ 철근 현장가공조립(토목TYPE-1) /ton  </t>
  </si>
  <si>
    <t>_x0007_'◈ 철근 현장가공조립(토목TYPE-1) /ton '</t>
  </si>
  <si>
    <t xml:space="preserve">  건설품셈 6-2-2, -3 </t>
  </si>
  <si>
    <t>_x0007_ '건설품셈 6-2-2, -3'</t>
  </si>
  <si>
    <t xml:space="preserve"> (1) 재료비 </t>
  </si>
  <si>
    <t>_x0007_'(1) 재료비'</t>
  </si>
  <si>
    <t xml:space="preserve">   1. 철근 1.0 ton 별산  </t>
  </si>
  <si>
    <t>_x0007_ ' 1. 철근 1.0 ton 별산 '</t>
  </si>
  <si>
    <t xml:space="preserve">   2. 결속선(#20, 0.9mm) </t>
  </si>
  <si>
    <t>_x0007_ ' 2. 결속선(#20, 0.9mm)'</t>
  </si>
  <si>
    <t>M00875</t>
  </si>
  <si>
    <t>_x0007_   6.5'kg' * '(결속선) :'&amp;M00875&amp; =</t>
  </si>
  <si>
    <t>M00875_1</t>
  </si>
  <si>
    <t xml:space="preserve"> (2) 가공 </t>
  </si>
  <si>
    <t>_x0007_'(2) 가공'</t>
  </si>
  <si>
    <t xml:space="preserve">   철근공 </t>
  </si>
  <si>
    <t>_x0007_  '철근공'</t>
  </si>
  <si>
    <t>L00001</t>
  </si>
  <si>
    <t>_x0007_   3.0'인' / 4.5'ton' * '철근공 :'&amp;L00001&amp; =</t>
  </si>
  <si>
    <t>L00001_1</t>
  </si>
  <si>
    <t xml:space="preserve">   보통인부 </t>
  </si>
  <si>
    <t>_x0007_  '보통인부'</t>
  </si>
  <si>
    <t>_x0007_   1.0'인' / 4.5'ton' * '보통인부 :'&amp;L00017&amp; =</t>
  </si>
  <si>
    <t xml:space="preserve">   기구의 손료(노무비의 9%) </t>
  </si>
  <si>
    <t>_x0007_  '기구의 손료(노무비의 9%)'</t>
  </si>
  <si>
    <t>_x0007_  '기구손료 :'&amp;L00194&amp; * 9'(%)' =</t>
  </si>
  <si>
    <t xml:space="preserve"> (3) 조립 - 소량 산재 할증 적용 </t>
  </si>
  <si>
    <t>_x0007_'(3) 조립 - 소량 산재 할증 적용'</t>
  </si>
  <si>
    <t>_x0007_   6.0'인' / (3.5*0.5)'ton' * '철근공 :'&amp;L00001&amp; =</t>
  </si>
  <si>
    <t>)*1</t>
  </si>
  <si>
    <t>_x0007_   2.0'인' / (3.5*0.5)'ton'* '보통인부 :'&amp;L00017&amp; =</t>
  </si>
  <si>
    <t xml:space="preserve">   기구의 손료(노무비의 2%) </t>
  </si>
  <si>
    <t>_x0007_  '기구의 손료(노무비의 2%)'</t>
  </si>
  <si>
    <t>_x0007_  '기구손료 :'&amp;L00194&amp; * 2'(%)' =</t>
  </si>
  <si>
    <t>철근조립 토목TYPE-Ⅰ-1  / Ton</t>
  </si>
  <si>
    <t xml:space="preserve"> ◈ 철근조립 (토목Type-Ⅰ-1)/ton  </t>
  </si>
  <si>
    <t>_x0007_'◈ 철근조립 (토목Type-Ⅰ-1)/ton '</t>
  </si>
  <si>
    <t xml:space="preserve"> 공통부문 6-2-3 </t>
  </si>
  <si>
    <t>_x0007_'공통부문 6-2-3'</t>
  </si>
  <si>
    <t xml:space="preserve"> (1) 조립(Ⅰ-1) </t>
  </si>
  <si>
    <t>_x0007_'(1) 조립(Ⅰ-1)'</t>
  </si>
  <si>
    <t xml:space="preserve">  철근공 6인, 보통인부 2인 - 일당 3.4ton 작업 </t>
  </si>
  <si>
    <t>_x0007_ '철근공 6인, 보통인부 2인 - 일당 3.4ton 작업'</t>
  </si>
  <si>
    <t>_x0007_   6'인' / 3.4'ton' * '철근공 :'&amp;L00001&amp; := A01</t>
  </si>
  <si>
    <t>_x0007_   2'인' / 3.4'ton' * '보통인부 :'&amp;L00017&amp; := A01</t>
  </si>
  <si>
    <t xml:space="preserve">   기계경비(노무비의 2%) </t>
  </si>
  <si>
    <t>_x0007_  '기계경비(노무비의 2%)'</t>
  </si>
  <si>
    <t>_x0007_ '기계경비 :'&amp;PA01L:S&amp; * 2'%' =</t>
  </si>
  <si>
    <t>초화류 식재 보통  / 주</t>
  </si>
  <si>
    <t xml:space="preserve"> ○ 초화류 식재 (식재조건 보통) / 주 </t>
  </si>
  <si>
    <t>_x0007_'○ 초화류 식재 (식재조건 보통) / 주'</t>
  </si>
  <si>
    <t xml:space="preserve"> 공통부문 조경공사 4-1-3 </t>
  </si>
  <si>
    <t>_x0007_'공통부문 조경공사 4-1-3'</t>
  </si>
  <si>
    <t>_x0007_'일당 작업량 : ' Q = 1800 '주'</t>
  </si>
  <si>
    <t>_x0007_ '유기질비료 수목이식·식재용 :'&amp;M01159&amp; * 180'KG' / Q =</t>
  </si>
  <si>
    <t>초화류 식재 불량  / 주</t>
  </si>
  <si>
    <t xml:space="preserve"> ○ 초화류 식재 (식재조건 불량) / 주 </t>
  </si>
  <si>
    <t>_x0007_'○ 초화류 식재 (식재조건 불량) / 주'</t>
  </si>
  <si>
    <t>_x0007_'일당 작업량 : ' Q = 1100 '주'</t>
  </si>
  <si>
    <t>_x0007_ '유기질비료 수목이식·식재용 :'&amp;M01159&amp; * 110'KG' / Q =</t>
  </si>
  <si>
    <t>초화류 식재 양호  / 주</t>
  </si>
  <si>
    <t xml:space="preserve"> ○ 초화류 식재 (식재조건 양호) / 주 </t>
  </si>
  <si>
    <t>_x0007_'○ 초화류 식재 (식재조건 양호) / 주'</t>
  </si>
  <si>
    <t>_x0007_'일당 작업량 : ' Q = 2700 '주'</t>
  </si>
  <si>
    <t>_x0007_ '유기질비료 수목이식·식재용 :'&amp;M01159&amp; * 270'KG' / Q =</t>
  </si>
  <si>
    <t>콘크리트 구조물 헐기 인력, 무근  / ㎥</t>
  </si>
  <si>
    <t xml:space="preserve">   유지관리 3-1-1 </t>
  </si>
  <si>
    <t>_x0007_ ' 유지관리 3-1-1'</t>
  </si>
  <si>
    <t xml:space="preserve">  콘크리트 구조물 헐기 </t>
  </si>
  <si>
    <t>_x0007_ '콘크리트 구조물 헐기'</t>
  </si>
  <si>
    <t>_x0007_ '일당 작업량 :' Q1 = 2.7'㎥'</t>
  </si>
  <si>
    <t>_x0007_ '시간당 작업량 :' Q2 = 2.7 / 8 ='㎥/hr'</t>
  </si>
  <si>
    <t>L00209</t>
  </si>
  <si>
    <t>_x0007_  '착 암 공 :'&amp;L00209&amp; * 2'인' / Q1 := A01</t>
  </si>
  <si>
    <t>L00209_1</t>
  </si>
  <si>
    <t>_x0007_  '보통인부 :'&amp;L00017&amp; * 1'인' / Q1 := A01</t>
  </si>
  <si>
    <t xml:space="preserve">  2. 소형브레이커(공압식) </t>
  </si>
  <si>
    <t>_x0007_ '2. 소형브레이커(공압식)'</t>
  </si>
  <si>
    <t>X00321L</t>
  </si>
  <si>
    <t>_x0007_'노 무 비 : '&amp;X00321L&amp; / Q2 * 2'대' =</t>
  </si>
  <si>
    <t>X00321_1</t>
  </si>
  <si>
    <t>X00321M</t>
  </si>
  <si>
    <t>_x0007_'재 료 비 : '&amp;X00321M&amp; / Q2 * 2'대' =</t>
  </si>
  <si>
    <t>X00321S</t>
  </si>
  <si>
    <t>_x0007_'경    비 : '&amp;X00321S&amp; / Q2 * 2'대' =</t>
  </si>
  <si>
    <t xml:space="preserve">  3. 잡재료비(인력품의 1%) </t>
  </si>
  <si>
    <t>_x0007_ '3. 잡재료비(인력품의 1%)'</t>
  </si>
  <si>
    <t>_x0007_ '잡재료비 :'&amp;PA01L:S&amp; * 1'%' =</t>
  </si>
  <si>
    <t>_x0007_  '착 암 공 :'&amp;L00209&amp; * 2'인' / Q1 :=A01</t>
  </si>
  <si>
    <t>_x0007_  '보통인부 :'&amp;L00017&amp; * 1'인' / Q1 :=A01</t>
  </si>
  <si>
    <t>_x0007_'노 무 비 : '&amp;X00321L&amp; / Q2 * 2'대' :=A01</t>
  </si>
  <si>
    <t>_x0007_'재 료 비 : '&amp;X00321M&amp; / Q2 * 2'대' :=A01</t>
  </si>
  <si>
    <t>_x0007_'경    비 : '&amp;X00321S&amp; / Q2 * 2'대' :=A01</t>
  </si>
  <si>
    <t>_x0007_ '잡재료비 :'&amp;PA01L:S&amp; * 1'%' :=A01</t>
  </si>
  <si>
    <t>_x0007_'산지할증 :'&amp;PS_L:L&amp; * 25'%' =</t>
  </si>
  <si>
    <t>PRS_(10)_1</t>
  </si>
  <si>
    <t>터파기(인력) 경질토사  / ㎥</t>
  </si>
  <si>
    <t xml:space="preserve"> ○ 터파기(인력)     공통 3-2-1 </t>
  </si>
  <si>
    <t>_x0007_'○ 터파기(인력)'   '공통 3-2-1'</t>
  </si>
  <si>
    <t xml:space="preserve">  특별인부 1인 - 일당 2.7㎥ 작업 </t>
  </si>
  <si>
    <t>_x0007_ '특별인부 1인 - 일당 2.7㎥ 작업'</t>
  </si>
  <si>
    <t>_x0007_   1'인' / 2.7'㎥' * '특별인부 :'&amp;L00016&amp; =</t>
  </si>
  <si>
    <t>터파기(인력) 고사점토  / ㎥</t>
  </si>
  <si>
    <t xml:space="preserve">  특별인부 1인 - 일당 2.2㎥ 작업 </t>
  </si>
  <si>
    <t>_x0007_ '특별인부 1인 - 일당 2.2㎥ 작업'</t>
  </si>
  <si>
    <t>_x0007_   1'인' / 2.2'㎥' * '특별인부 :'&amp;L00016&amp; =</t>
  </si>
  <si>
    <t>터파기(인력) 보통토사  / ㎥</t>
  </si>
  <si>
    <t xml:space="preserve">  특별인부 1인 - 일당 3.6㎥ 작업 </t>
  </si>
  <si>
    <t>_x0007_ '특별인부 1인 - 일당 3.6㎥ 작업'</t>
  </si>
  <si>
    <t>_x0007_   1'인' / 3.6'㎥' * '특별인부 :'&amp;L00016&amp; =</t>
  </si>
  <si>
    <t>터파기(인력) 혼합토사  / ㎥</t>
  </si>
  <si>
    <t xml:space="preserve">  특별인부 1인 - 일당 (3.6+2.7+2.2+1.2)/4 = 2.425㎥ 작업 </t>
  </si>
  <si>
    <t>_x0007_ '특별인부 1인 - 일당 (3.6+2.7+2.2+1.2)/4 = 2.425㎥ 작업'</t>
  </si>
  <si>
    <t>_x0007_   1'인' / 2.425'㎥' * '특별인부 :'&amp;L00016&amp; =</t>
  </si>
  <si>
    <t>파형강관 부설 및 접합 D300mm  / m</t>
  </si>
  <si>
    <t xml:space="preserve"> ○ 파형강관 부설 및 접합(D300mm) / m </t>
  </si>
  <si>
    <t>_x0007_'○ 파형강관 부설 및 접합(D300mm) / m'</t>
  </si>
  <si>
    <t xml:space="preserve"> 토목부문 6-7-2 </t>
  </si>
  <si>
    <t>_x0007_'토목부문 6-7-2'</t>
  </si>
  <si>
    <t xml:space="preserve"> 배관공(수도) 0.06인, 보통인부 0.03인, 크레인 0.13hr / 본당 </t>
  </si>
  <si>
    <t>_x0007_'배관공(수도) 0.06인, 보통인부 0.03인, 크레인 0.13hr / 본당'</t>
  </si>
  <si>
    <t>L00208</t>
  </si>
  <si>
    <t>_x0007_'배관공(수도) :'&amp;L00208&amp; * 0.06'인' / 6 :=A01</t>
  </si>
  <si>
    <t>L00208_1</t>
  </si>
  <si>
    <t>_x0007_'보통인부 :'&amp;L00017&amp; * 0.03'인' / 6 :=A01</t>
  </si>
  <si>
    <t xml:space="preserve"> 2.트럭탑재형 크레인(5ton) </t>
  </si>
  <si>
    <t>_x0007_'2.트럭탑재형 크레인(5ton)'</t>
  </si>
  <si>
    <t>X00265L</t>
  </si>
  <si>
    <t>_x0007_'노 무 비  :'&amp;X00265L&amp; * 0.13 / 6 =</t>
  </si>
  <si>
    <t>X00265_1</t>
  </si>
  <si>
    <t>X00265M</t>
  </si>
  <si>
    <t>_x0007_'재 료 비  :'&amp;X00265M&amp; * 0.13 / 6 =</t>
  </si>
  <si>
    <t>X00265S</t>
  </si>
  <si>
    <t>_x0007_'경    비  :'&amp;X00265S&amp; * 0.13 / 6 =</t>
  </si>
  <si>
    <t>_x0007_'공구손료 및 잡재료비(노무비의 2%) :'&amp;PA01L:S&amp; * 2'%' =</t>
  </si>
  <si>
    <t>파형강관 부설 및 접합 D600mm  / m</t>
  </si>
  <si>
    <t xml:space="preserve"> ○ 파형강관 부설 및 접합(D600mm) / m </t>
  </si>
  <si>
    <t>_x0007_'○ 파형강관 부설 및 접합(D600mm) / m'</t>
  </si>
  <si>
    <t xml:space="preserve"> 배관공(수도) 0.17인, 보통인부 0.08인, 크레인 0.20hr / 본당 </t>
  </si>
  <si>
    <t>_x0007_'배관공(수도) 0.17인, 보통인부 0.08인, 크레인 0.20hr / 본당'</t>
  </si>
  <si>
    <t>_x0007_'배관공(수도) :'&amp;L00208&amp; * 0.17'인' / 6 :=A01</t>
  </si>
  <si>
    <t>_x0007_'보통인부 :'&amp;L00017&amp; * 0.08'인' / 6 :=A01</t>
  </si>
  <si>
    <t>_x0007_'노 무 비  :'&amp;X00265L&amp; * 0.20 / 6 =</t>
  </si>
  <si>
    <t>_x0007_'재 료 비  :'&amp;X00265M&amp; * 0.20 / 6 =</t>
  </si>
  <si>
    <t>_x0007_'경    비  :'&amp;X00265S&amp; * 0.20 / 6 =</t>
  </si>
  <si>
    <t>평떼 붙임   / ㎡</t>
  </si>
  <si>
    <t xml:space="preserve"> ○ 잔디붙임 평떼 </t>
  </si>
  <si>
    <t>_x0007_'○ 잔디붙임 평떼'</t>
  </si>
  <si>
    <t>_x0007_ '조경공 1인, 보통인부 4인, 시공량 :' Q = 150'㎡'</t>
  </si>
  <si>
    <t>폐기물 상차 및 운반 30km이하,덤프15톤,건설폐재류  / Ton</t>
  </si>
  <si>
    <t>M08786</t>
  </si>
  <si>
    <t>_x0007_'폐기물 상차 및 운반 :'&amp;M08786&amp; * 1'Ton' =</t>
  </si>
  <si>
    <t>M08786_1</t>
  </si>
  <si>
    <t>총        계  (경비 로적용)</t>
  </si>
  <si>
    <t>폐기물 상차 및 운반 30km이하,덤프15톤,폐콘크리트  / Ton</t>
  </si>
  <si>
    <t>M08782</t>
  </si>
  <si>
    <t>_x0007_'폐기물 상차 및 운반 :'&amp;M08782&amp; * 1'Ton' =</t>
  </si>
  <si>
    <t>M08782_1</t>
  </si>
  <si>
    <t>폐기물 상차 및 운반 30km이하,암롤15톤,혼합건설폐기물  / Ton</t>
  </si>
  <si>
    <t>M08787</t>
  </si>
  <si>
    <t>_x0007_'폐기물 상차 및 운반 :'&amp;M08787&amp; * 1'Ton' =</t>
  </si>
  <si>
    <t>M08787_1</t>
  </si>
  <si>
    <t>폐기물 상차 및 운반 30km이하,집게5톤,폐목재  / Ton</t>
  </si>
  <si>
    <t>M08780</t>
  </si>
  <si>
    <t>_x0007_'폐기물 상차 및 운반 :'&amp;M08780&amp; * 1'Ton' =</t>
  </si>
  <si>
    <t>M08780_1</t>
  </si>
  <si>
    <t>폐기물 처리 건설폐기물  / Ton</t>
  </si>
  <si>
    <t>M08785</t>
  </si>
  <si>
    <t>_x0007_'폐기물 처리 :'&amp;M08785&amp; * 1'Ton' =</t>
  </si>
  <si>
    <t>M08785_1</t>
  </si>
  <si>
    <t>폐기물 처리 폐목재  / Ton</t>
  </si>
  <si>
    <t>M01268</t>
  </si>
  <si>
    <t>_x0007_'폐기물 처리 :'&amp;M01268&amp; * 1'Ton' =</t>
  </si>
  <si>
    <t>M01268_1</t>
  </si>
  <si>
    <t>폐기물 처리 폐콘크리트  / Ton</t>
  </si>
  <si>
    <t>M08781</t>
  </si>
  <si>
    <t>_x0007_'폐기물 처리 :'&amp;M08781&amp; * 1'Ton' =</t>
  </si>
  <si>
    <t>M08781_1</t>
  </si>
  <si>
    <t>합판거푸집 6회  / ㎡</t>
  </si>
  <si>
    <t xml:space="preserve"> ◈ 합판거푸집(6회)/㎡  </t>
  </si>
  <si>
    <t>_x0007_'◈ 합판거푸집(6회)/㎡ '</t>
  </si>
  <si>
    <t xml:space="preserve"> 공통부문 6-3-1 </t>
  </si>
  <si>
    <t>_x0007_'공통부문 6-3-1'</t>
  </si>
  <si>
    <t xml:space="preserve">   1. 자재비 </t>
  </si>
  <si>
    <t>_x0007_ ' 1. 자재비'</t>
  </si>
  <si>
    <t>M02446</t>
  </si>
  <si>
    <t>_x0007_ '합판 :'&amp;M02446&amp; * 1.03'㎡'* 32.7 / 100 := A01</t>
  </si>
  <si>
    <t>M02446_1</t>
  </si>
  <si>
    <t>M02431</t>
  </si>
  <si>
    <t>_x0007_ '각재 :'&amp;M02431&amp; * 0.038'㎡' * 32.7 / 100 := A01</t>
  </si>
  <si>
    <t>M02431_1</t>
  </si>
  <si>
    <t>_x0007_ '소모자재 :'&amp;PA01M&amp; * '주자재의'11'%' =</t>
  </si>
  <si>
    <t xml:space="preserve">   형틀목공 5인, 보통인부 2인 - 일당 50㎡ 작업 </t>
  </si>
  <si>
    <t>_x0007_  '형틀목공 5인, 보통인부 2인 - 일당 50㎡ 작업'</t>
  </si>
  <si>
    <t xml:space="preserve">   형틀목공 </t>
  </si>
  <si>
    <t>_x0007_  '형틀목공'</t>
  </si>
  <si>
    <t>L00002</t>
  </si>
  <si>
    <t>_x0007_   5'인' / 50'㎡' * '형틀목공 :'&amp;L00002&amp; =</t>
  </si>
  <si>
    <t>L00002_1</t>
  </si>
  <si>
    <t>_x0007_   2'인' / 50'㎡' * '보통인부 :'&amp;L00017&amp; =</t>
  </si>
  <si>
    <t xml:space="preserve">   기계경비(노무비의 1%) </t>
  </si>
  <si>
    <t>_x0007_  '기계경비(노무비의 1%)'</t>
  </si>
  <si>
    <t>_x0007_  '기계경비 :'&amp;PC_L:S&amp; * 1'%' =</t>
  </si>
  <si>
    <t>PRC_(7)_1</t>
  </si>
  <si>
    <t>흙 다지기(인력) 15cm다짐, 토사  / ㎥</t>
  </si>
  <si>
    <t xml:space="preserve"> ○ 흙 다지기(인력) - 15cm, 토사 / ㎥ </t>
  </si>
  <si>
    <t>_x0007_'○ 흙 다지기(인력) - 15cm, 토사 / ㎥'</t>
  </si>
  <si>
    <t xml:space="preserve"> 공통부문 3-4-3 </t>
  </si>
  <si>
    <t>_x0007_'공통부문 3-4-3'</t>
  </si>
  <si>
    <t xml:space="preserve"> 특별인부 1인, 보통인부 1인, 래머 1대 </t>
  </si>
  <si>
    <t>_x0007_'특별인부 1인, 보통인부 1인, 래머 1대'</t>
  </si>
  <si>
    <t>_x0007_  Q = 14 '㎥'</t>
  </si>
  <si>
    <t>_x0007_'특별인부 :'&amp;L00016&amp; * 1'인' / Q  :=A01</t>
  </si>
  <si>
    <t>_x0007_'보통인부 :'&amp;L00017&amp; * 1'인' / Q :=A01</t>
  </si>
  <si>
    <t xml:space="preserve"> 2. 래 머(80kg)   - 조정원 미계상  </t>
  </si>
  <si>
    <t>_x0007_'2. 래 머(80kg)   - 조정원 미계상 '</t>
  </si>
  <si>
    <t>X00311M</t>
  </si>
  <si>
    <t>_x0007_'재 료 비  :'&amp;X00311M&amp;  / Q * 8  =</t>
  </si>
  <si>
    <t>X00311_1</t>
  </si>
  <si>
    <t>X00311S</t>
  </si>
  <si>
    <t>_x0007_'경    비  :'&amp;X00311S&amp;  / Q * 8  =</t>
  </si>
  <si>
    <t>1. 환  율</t>
  </si>
  <si>
    <t>100,000$ 미만</t>
  </si>
  <si>
    <t>100,000$ 이상</t>
  </si>
  <si>
    <t>유로화(€)</t>
  </si>
  <si>
    <t>엔화(100￥)</t>
  </si>
  <si>
    <t>2. 인 건 비</t>
  </si>
  <si>
    <t>건설기계운전사</t>
  </si>
  <si>
    <t>*  1/8 * 16/12 * 25/20  =</t>
  </si>
  <si>
    <t>L00190</t>
  </si>
  <si>
    <t>화물차운전사</t>
  </si>
  <si>
    <t>L00191</t>
  </si>
  <si>
    <t>일반기계운전사</t>
  </si>
  <si>
    <t>L00196</t>
  </si>
  <si>
    <t>3. 단가 및 재료비</t>
  </si>
  <si>
    <t>NO</t>
  </si>
  <si>
    <t>단 가 명</t>
  </si>
  <si>
    <t>규    격</t>
  </si>
  <si>
    <t>가  격</t>
  </si>
  <si>
    <t>2</t>
  </si>
  <si>
    <t>3</t>
  </si>
  <si>
    <t>4</t>
  </si>
  <si>
    <t>경유</t>
  </si>
  <si>
    <t>저유황</t>
  </si>
  <si>
    <t>M00874</t>
  </si>
  <si>
    <t>5</t>
  </si>
  <si>
    <t>M00927</t>
  </si>
  <si>
    <t>중기 목록표</t>
  </si>
  <si>
    <t>X00328</t>
  </si>
  <si>
    <t>고소작업차</t>
  </si>
  <si>
    <t>3톤</t>
  </si>
  <si>
    <t>20상' 신규</t>
  </si>
  <si>
    <t>X00273</t>
  </si>
  <si>
    <t>X00323</t>
  </si>
  <si>
    <t>0.2㎥,(부착용집게)</t>
  </si>
  <si>
    <t>X00266</t>
  </si>
  <si>
    <t>0.4㎥</t>
  </si>
  <si>
    <t>X00269</t>
  </si>
  <si>
    <t>08' 신규</t>
  </si>
  <si>
    <t>X00329</t>
  </si>
  <si>
    <t>0.6㎥,(부착용집게)</t>
  </si>
  <si>
    <t>X00262</t>
  </si>
  <si>
    <t>X00292</t>
  </si>
  <si>
    <t>X00280</t>
  </si>
  <si>
    <t>1.0㎥</t>
  </si>
  <si>
    <t>X00270</t>
  </si>
  <si>
    <t>덤프트럭</t>
  </si>
  <si>
    <t>15톤</t>
  </si>
  <si>
    <t>X00311</t>
  </si>
  <si>
    <t>래 머</t>
  </si>
  <si>
    <t>80㎏</t>
  </si>
  <si>
    <t>X00271</t>
  </si>
  <si>
    <t>X00321</t>
  </si>
  <si>
    <t>소형브레이커(공압식)</t>
  </si>
  <si>
    <t>1.3㎥/min</t>
  </si>
  <si>
    <t>17상' 신규</t>
  </si>
  <si>
    <t>X00301</t>
  </si>
  <si>
    <t>크레인(타이어)</t>
  </si>
  <si>
    <t>25톤</t>
  </si>
  <si>
    <t>X00291</t>
  </si>
  <si>
    <t>트럭탑재형 크레인</t>
  </si>
  <si>
    <t>10톤</t>
  </si>
  <si>
    <t>X00290</t>
  </si>
  <si>
    <t>X00265</t>
  </si>
  <si>
    <t>5톤</t>
  </si>
  <si>
    <t>X00272</t>
  </si>
  <si>
    <t>중 기 사 용 료</t>
  </si>
  <si>
    <t>제 1 호표</t>
  </si>
  <si>
    <t>천원</t>
  </si>
  <si>
    <t xml:space="preserve">S00299 </t>
  </si>
  <si>
    <t>_x0007_`COD|S00299_x0005_`EXI|0_x0005_`DVD|F_x0005_`BMK| _x0005_`IPR|0_x0005_`BLA|F_x0005_`</t>
  </si>
  <si>
    <t>S00299_1</t>
  </si>
  <si>
    <t xml:space="preserve">L00191 </t>
  </si>
  <si>
    <t>_x0007_`COD|L00191_x0005_`EXI|0_x0005_`DVD|F_x0005_`BMK| _x0005_`IPR|0_x0005_`BLA|F_x0005_`</t>
  </si>
  <si>
    <t>L00191_1</t>
  </si>
  <si>
    <t xml:space="preserve">M00874 </t>
  </si>
  <si>
    <t>_x0007_`COD|M00874_x0005_`EXI|0_x0005_`DVD|F_x0005_`BMK| _x0005_`IPR|1_x0005_`KWN|0_x0005_`BLA|F_x0005_`</t>
  </si>
  <si>
    <t>M00874_1</t>
  </si>
  <si>
    <t>잡품</t>
  </si>
  <si>
    <t>주연료의%</t>
  </si>
  <si>
    <t>_x0007_`COD|PR_x0005_`EXI|1_x0005_`DVD|F_x0005_`BMK| _x0005_`IPR|0_x0005_`EQC|A01_x0005_`PRI|1_x0005_`PRO|1_x0005_`UNI|%_x0005_`BLA|F_x0005_`</t>
  </si>
  <si>
    <t>제 2 호표</t>
  </si>
  <si>
    <t xml:space="preserve">S00223 </t>
  </si>
  <si>
    <t>_x0007_`COD|S00223_x0005_`EXI|0_x0005_`DVD|F_x0005_`BMK| _x0005_`IPR|0_x0005_`BLA|F_x0005_`</t>
  </si>
  <si>
    <t>S00223_1</t>
  </si>
  <si>
    <t xml:space="preserve">L00190 </t>
  </si>
  <si>
    <t>_x0007_`COD|L00190_x0005_`EXI|0_x0005_`DVD|F_x0005_`BMK| _x0005_`IPR|0_x0005_`BLA|F_x0005_`</t>
  </si>
  <si>
    <t>L00190_1</t>
  </si>
  <si>
    <t>제 3 호표</t>
  </si>
  <si>
    <t>부착용 집게</t>
  </si>
  <si>
    <t xml:space="preserve">S00295 </t>
  </si>
  <si>
    <t>_x0007_`COD|S00295_x0005_`EXI|0_x0005_`DVD|F_x0005_`BMK| _x0005_`IPR|0_x0005_`BLA|F_x0005_`</t>
  </si>
  <si>
    <t>S00295_1</t>
  </si>
  <si>
    <t>제 4 호표</t>
  </si>
  <si>
    <t xml:space="preserve">S00214 </t>
  </si>
  <si>
    <t>_x0007_`COD|S00214_x0005_`EXI|0_x0005_`DVD|F_x0005_`BMK| _x0005_`IPR|0_x0005_`BLA|F_x0005_`</t>
  </si>
  <si>
    <t>S00214_1</t>
  </si>
  <si>
    <t>제 5 호표</t>
  </si>
  <si>
    <t xml:space="preserve">S00218 </t>
  </si>
  <si>
    <t>_x0007_`COD|S00218_x0005_`EXI|0_x0005_`DVD|F_x0005_`BMK| _x0005_`IPR|0_x0005_`BLA|F_x0005_`</t>
  </si>
  <si>
    <t>S00218_1</t>
  </si>
  <si>
    <t>제 6 호표</t>
  </si>
  <si>
    <t>0.6~0.8㎥</t>
  </si>
  <si>
    <t xml:space="preserve">S00296 </t>
  </si>
  <si>
    <t>_x0007_`COD|S00296_x0005_`EXI|0_x0005_`DVD|F_x0005_`BMK| _x0005_`IPR|0_x0005_`BLA|F_x0005_`</t>
  </si>
  <si>
    <t>S00296_1</t>
  </si>
  <si>
    <t>제 7 호표</t>
  </si>
  <si>
    <t xml:space="preserve">S00210 </t>
  </si>
  <si>
    <t>_x0007_`COD|S00210_x0005_`EXI|0_x0005_`DVD|F_x0005_`BMK| _x0005_`IPR|0_x0005_`BLA|F_x0005_`</t>
  </si>
  <si>
    <t>S00210_1</t>
  </si>
  <si>
    <t>제 8 호표</t>
  </si>
  <si>
    <t xml:space="preserve">S00256 </t>
  </si>
  <si>
    <t>_x0007_`COD|S00256_x0005_`EXI|0_x0005_`DVD|F_x0005_`BMK| _x0005_`IPR|0_x0005_`BLA|F_x0005_`</t>
  </si>
  <si>
    <t>S00256_1</t>
  </si>
  <si>
    <t>제 9 호표</t>
  </si>
  <si>
    <t xml:space="preserve">S00239 </t>
  </si>
  <si>
    <t>_x0007_`COD|S00239_x0005_`EXI|0_x0005_`DVD|F_x0005_`BMK| _x0005_`IPR|0_x0005_`BLA|F_x0005_`</t>
  </si>
  <si>
    <t>S00239_1</t>
  </si>
  <si>
    <t>제 10 호표</t>
  </si>
  <si>
    <t xml:space="preserve">S00220 </t>
  </si>
  <si>
    <t>_x0007_`COD|S00220_x0005_`EXI|0_x0005_`DVD|F_x0005_`BMK| _x0005_`IPR|0_x0005_`BLA|F_x0005_`</t>
  </si>
  <si>
    <t>S00220_1</t>
  </si>
  <si>
    <t>제 11 호표</t>
  </si>
  <si>
    <t xml:space="preserve">S00284 </t>
  </si>
  <si>
    <t>_x0007_`COD|S00284_x0005_`EXI|0_x0005_`DVD|F_x0005_`BMK| _x0005_`IPR|0_x0005_`BLA|F_x0005_`</t>
  </si>
  <si>
    <t>S00284_1</t>
  </si>
  <si>
    <t xml:space="preserve">L00196 </t>
  </si>
  <si>
    <t>_x0007_`COD|L00196_x0005_`EXI|0_x0005_`DVD|F_x0005_`BMK| _x0005_`IPR|0_x0005_`BLA|F_x0005_`</t>
  </si>
  <si>
    <t>L00196_1</t>
  </si>
  <si>
    <t>_x0007_`COD|M00927_x0005_`EXI|0_x0005_`DVD|F_x0005_`BMK| _x0005_`IPR|1_x0005_`KWN|0_x0005_`BLA|F_x0005_`</t>
  </si>
  <si>
    <t>제 12 호표</t>
  </si>
  <si>
    <t xml:space="preserve">S00222 </t>
  </si>
  <si>
    <t>_x0007_`COD|S00222_x0005_`EXI|0_x0005_`DVD|F_x0005_`BMK| _x0005_`IPR|0_x0005_`BLA|F_x0005_`</t>
  </si>
  <si>
    <t>S00222_1</t>
  </si>
  <si>
    <t>제 13 호표</t>
  </si>
  <si>
    <t xml:space="preserve">S00293 </t>
  </si>
  <si>
    <t>_x0007_`COD|S00293_x0005_`EXI|0_x0005_`DVD|F_x0005_`BMK| _x0005_`IPR|0_x0005_`BLA|F_x0005_`</t>
  </si>
  <si>
    <t>S00293_1</t>
  </si>
  <si>
    <t>제 14 호표</t>
  </si>
  <si>
    <t xml:space="preserve">S00274 </t>
  </si>
  <si>
    <t>_x0007_`COD|S00274_x0005_`EXI|0_x0005_`DVD|F_x0005_`BMK| _x0005_`IPR|0_x0005_`BLA|F_x0005_`</t>
  </si>
  <si>
    <t>S00274_1</t>
  </si>
  <si>
    <t>제 15 호표</t>
  </si>
  <si>
    <t xml:space="preserve">S00251 </t>
  </si>
  <si>
    <t>_x0007_`COD|S00251_x0005_`EXI|0_x0005_`DVD|F_x0005_`BMK| _x0005_`IPR|0_x0005_`BLA|F_x0005_`</t>
  </si>
  <si>
    <t>S00251_1</t>
  </si>
  <si>
    <t>제 16 호표</t>
  </si>
  <si>
    <t xml:space="preserve">S00250 </t>
  </si>
  <si>
    <t>_x0007_`COD|S00250_x0005_`EXI|0_x0005_`DVD|F_x0005_`BMK| _x0005_`IPR|0_x0005_`BLA|F_x0005_`</t>
  </si>
  <si>
    <t>S00250_1</t>
  </si>
  <si>
    <t>제 17 호표</t>
  </si>
  <si>
    <t xml:space="preserve">S00213 </t>
  </si>
  <si>
    <t>_x0007_`COD|S00213_x0005_`EXI|0_x0005_`DVD|F_x0005_`BMK| _x0005_`IPR|0_x0005_`BLA|F_x0005_`</t>
  </si>
  <si>
    <t>S00213_1</t>
  </si>
  <si>
    <t>제 18 호표</t>
  </si>
  <si>
    <t xml:space="preserve">S00221 </t>
  </si>
  <si>
    <t>_x0007_`COD|S00221_x0005_`EXI|0_x0005_`DVD|F_x0005_`BMK| _x0005_`IPR|0_x0005_`BLA|F_x0005_`</t>
  </si>
  <si>
    <t>S00221_1</t>
  </si>
  <si>
    <t>재료비 목록표</t>
  </si>
  <si>
    <t>M00666</t>
  </si>
  <si>
    <t>M00912</t>
  </si>
  <si>
    <t>M00795</t>
  </si>
  <si>
    <t>각재</t>
  </si>
  <si>
    <t>각재, 외송</t>
  </si>
  <si>
    <t>M00950</t>
  </si>
  <si>
    <t>M01271</t>
  </si>
  <si>
    <t>M01205</t>
  </si>
  <si>
    <t>M08843</t>
  </si>
  <si>
    <t>M01608</t>
  </si>
  <si>
    <t>M01609</t>
  </si>
  <si>
    <t>M01612</t>
  </si>
  <si>
    <t>M01585</t>
  </si>
  <si>
    <t>M01586</t>
  </si>
  <si>
    <t>M01587</t>
  </si>
  <si>
    <t>M01588</t>
  </si>
  <si>
    <t>M01613</t>
  </si>
  <si>
    <t>M08805</t>
  </si>
  <si>
    <t>M01578</t>
  </si>
  <si>
    <t>M01053</t>
  </si>
  <si>
    <t>M01605</t>
  </si>
  <si>
    <t>내수합판</t>
  </si>
  <si>
    <t>내수합판, 1급, 12×910×1820mm</t>
  </si>
  <si>
    <t>M00958</t>
  </si>
  <si>
    <t>M00990</t>
  </si>
  <si>
    <t>M01538</t>
  </si>
  <si>
    <t>M01543</t>
  </si>
  <si>
    <t>M01540</t>
  </si>
  <si>
    <t>M01611</t>
  </si>
  <si>
    <t>M01539</t>
  </si>
  <si>
    <t>M00956</t>
  </si>
  <si>
    <t>M08816</t>
  </si>
  <si>
    <t>목재덱</t>
  </si>
  <si>
    <t>90*21T, 카스</t>
  </si>
  <si>
    <t>M01513</t>
  </si>
  <si>
    <t>M01408</t>
  </si>
  <si>
    <t>M01524</t>
  </si>
  <si>
    <t>M01461</t>
  </si>
  <si>
    <t>M08845</t>
  </si>
  <si>
    <t>보통철선(결속선)</t>
  </si>
  <si>
    <t>#20 , 0.9mm</t>
  </si>
  <si>
    <t>M01442</t>
  </si>
  <si>
    <t>M01479</t>
  </si>
  <si>
    <t>M01474</t>
  </si>
  <si>
    <t>M08777</t>
  </si>
  <si>
    <t>M01440</t>
  </si>
  <si>
    <t>M01441</t>
  </si>
  <si>
    <t>M01602</t>
  </si>
  <si>
    <t>M01603</t>
  </si>
  <si>
    <t>M01604</t>
  </si>
  <si>
    <t>M08778</t>
  </si>
  <si>
    <t>M08846</t>
  </si>
  <si>
    <t>M08852</t>
  </si>
  <si>
    <t>M00667</t>
  </si>
  <si>
    <t>M08813</t>
  </si>
  <si>
    <t>M01455</t>
  </si>
  <si>
    <t>M00955</t>
  </si>
  <si>
    <t>M00634</t>
  </si>
  <si>
    <t>M01606</t>
  </si>
  <si>
    <t>M08844</t>
  </si>
  <si>
    <t>M00801</t>
  </si>
  <si>
    <t>M00167</t>
  </si>
  <si>
    <t>M01542</t>
  </si>
  <si>
    <t>M01544</t>
  </si>
  <si>
    <t>M01536</t>
  </si>
  <si>
    <t>M01530</t>
  </si>
  <si>
    <t>M01531</t>
  </si>
  <si>
    <t>M08793</t>
  </si>
  <si>
    <t>M01589</t>
  </si>
  <si>
    <t>조경수목</t>
  </si>
  <si>
    <t>M01527</t>
  </si>
  <si>
    <t>M01534</t>
  </si>
  <si>
    <t>M01004</t>
  </si>
  <si>
    <t>M01528</t>
  </si>
  <si>
    <t>M01525</t>
  </si>
  <si>
    <t>M00648</t>
  </si>
  <si>
    <t>M00743</t>
  </si>
  <si>
    <t>M00960</t>
  </si>
  <si>
    <t>M01529</t>
  </si>
  <si>
    <t>유기질비료</t>
  </si>
  <si>
    <t>수목이식·식재용</t>
  </si>
  <si>
    <t>KG</t>
  </si>
  <si>
    <t>M08803</t>
  </si>
  <si>
    <t>M01265</t>
  </si>
  <si>
    <t>M00150</t>
  </si>
  <si>
    <t>M00691</t>
  </si>
  <si>
    <t>M00957</t>
  </si>
  <si>
    <t>M01526</t>
  </si>
  <si>
    <t>M01545</t>
  </si>
  <si>
    <t>자전거타기+허리돌리기</t>
  </si>
  <si>
    <t>M00982</t>
  </si>
  <si>
    <t>M01154</t>
  </si>
  <si>
    <t>M01158</t>
  </si>
  <si>
    <t>M08804</t>
  </si>
  <si>
    <t>M01607</t>
  </si>
  <si>
    <t>지주목</t>
  </si>
  <si>
    <t>삼발이, L1500</t>
  </si>
  <si>
    <t>조</t>
  </si>
  <si>
    <t>삼발이, L1800</t>
  </si>
  <si>
    <t>삼발이, L2700</t>
  </si>
  <si>
    <t>이각, L1200</t>
  </si>
  <si>
    <t>M08791</t>
  </si>
  <si>
    <t>M08842</t>
  </si>
  <si>
    <t>M01306</t>
  </si>
  <si>
    <t>M01082</t>
  </si>
  <si>
    <t>M01081</t>
  </si>
  <si>
    <t>M00993</t>
  </si>
  <si>
    <t>M01055</t>
  </si>
  <si>
    <t>30km이하,암롤16톤,혼합건설폐기물</t>
  </si>
  <si>
    <t>M01532</t>
  </si>
  <si>
    <t>M01535</t>
  </si>
  <si>
    <t>노무비 목록표</t>
  </si>
  <si>
    <t>01000000076</t>
  </si>
  <si>
    <t>_x0007_`COD|L00190_x0005_`QTY1|1_x0005_`BQC|01000000076_x0005_`EQC|01000001048_x0005_`JDC|L001010101000048_x0005_`WQC|_x0005_`EDT|2026.상_x0005_`</t>
  </si>
  <si>
    <t>01000000002</t>
  </si>
  <si>
    <t>_x0007_`COD|L00182_x0005_`QTY1|1_x0005_`BQC|01000000002_x0005_`EQC|01000001023_x0005_`JDC|L001010101000023_x0005_`WQC|_x0005_`EDT|2026.상_x0005_`</t>
  </si>
  <si>
    <t>기타기구손료</t>
  </si>
  <si>
    <t>품의 %,노무비의%</t>
  </si>
  <si>
    <t>_x0007_`COD|L00194_x0005_`QTY1|1_x0005_`UNT|L%_x0005_`BQC|_x0005_`EQC|_x0005_`JDC|_x0005_`WQC|_x0005_`EDT|_x0005_`</t>
  </si>
  <si>
    <t>01000000029</t>
  </si>
  <si>
    <t>_x0007_`COD|L00010_x0005_`QTY1|1_x0005_`BQC|01000000029_x0005_`EQC|01000001029_x0005_`JDC|L001010101000029_x0005_`WQC|_x0005_`EDT|2026.상_x0005_`</t>
  </si>
  <si>
    <t>배관공(수도)</t>
  </si>
  <si>
    <t>01000000026</t>
  </si>
  <si>
    <t>_x0007_`COD|L00208_x0005_`QTY1|1_x0005_`BQC|01000000026_x0005_`EQC|01000001040_x0005_`JDC|L001010101000040_x0005_`WQC|_x0005_`EDT|2026.상_x0005_`</t>
  </si>
  <si>
    <t>01000000045</t>
  </si>
  <si>
    <t>_x0007_`COD|L00188_x0005_`QTY1|1_x0005_`BQC|01000000045_x0005_`EQC|01000001037_x0005_`JDC|L001010101000037_x0005_`WQC|_x0005_`EDT|2026.상_x0005_`</t>
  </si>
  <si>
    <t>01000000075</t>
  </si>
  <si>
    <t>_x0007_`COD|L00017_x0005_`QTY1|1_x0005_`BQC|01000000075_x0005_`EQC|01000001002_x0005_`JDC|L001010101000002_x0005_`WQC|_x0005_`EDT|2026.상_x0005_`</t>
  </si>
  <si>
    <t>석공</t>
  </si>
  <si>
    <t>01000000011</t>
  </si>
  <si>
    <t>_x0007_`COD|L00189_x0005_`QTY1|1_x0005_`BQC|01000000011_x0005_`EQC|01000001033_x0005_`JDC|L001010101000033_x0005_`WQC|_x0005_`EDT|2026.상_x0005_`</t>
  </si>
  <si>
    <t>L00026</t>
  </si>
  <si>
    <t>01000000098</t>
  </si>
  <si>
    <t>_x0007_`COD|L00026_x0005_`QTY1|1_x0005_`BQC|01000000098_x0005_`EQC|01000001012_x0005_`JDC|L001010101000012_x0005_`WQC|_x0005_`EDT|2026.상_x0005_`</t>
  </si>
  <si>
    <t>01000000079</t>
  </si>
  <si>
    <t>_x0007_`COD|L00196_x0005_`QTY1|1_x0005_`BQC|01000000079_x0005_`EQC|01000001050_x0005_`JDC|L001010101000050_x0005_`WQC|_x0005_`EDT|2026.상_x0005_`</t>
  </si>
  <si>
    <t>L00193</t>
  </si>
  <si>
    <t>01000000071</t>
  </si>
  <si>
    <t>_x0007_`COD|L00193_x0005_`QTY1|1_x0005_`BQC|01000000071_x0005_`EQC|01000001001_x0005_`JDC|L001010101000001_x0005_`WQC|_x0005_`EDT|2026.상_x0005_`</t>
  </si>
  <si>
    <t>01000000044</t>
  </si>
  <si>
    <t>_x0007_`COD|L00184_x0005_`QTY1|1_x0005_`BQC|01000000044_x0005_`EQC|01000001038_x0005_`JDC|L001010101000038_x0005_`WQC|_x0005_`EDT|2026.상_x0005_`</t>
  </si>
  <si>
    <t>착암공</t>
  </si>
  <si>
    <t>01000000036</t>
  </si>
  <si>
    <t>_x0007_`COD|L00209_x0005_`QTY1|1_x0005_`BQC|01000000036_x0005_`EQC|01000001015_x0005_`JDC|L001010101000015_x0005_`WQC|_x0005_`EDT|2026.상_x0005_`</t>
  </si>
  <si>
    <t>L00199</t>
  </si>
  <si>
    <t>01000000005</t>
  </si>
  <si>
    <t>_x0007_`COD|L00199_x0005_`QTY1|1_x0005_`BQC|01000000005_x0005_`EQC|01000001011_x0005_`JDC|L001010101000011_x0005_`WQC|_x0005_`EDT|2026.상_x0005_`</t>
  </si>
  <si>
    <t>L00004</t>
  </si>
  <si>
    <t>01000000006</t>
  </si>
  <si>
    <t>_x0007_`COD|L00004_x0005_`QTY1|1_x0005_`BQC|01000000006_x0005_`EQC|01000001009_x0005_`JDC|L001010101000009_x0005_`WQC|_x0005_`EDT|2026.상_x0005_`</t>
  </si>
  <si>
    <t>철근공</t>
  </si>
  <si>
    <t>01000000007</t>
  </si>
  <si>
    <t>_x0007_`COD|L00001_x0005_`QTY1|1_x0005_`BQC|01000000007_x0005_`EQC|01000001008_x0005_`JDC|L001010101000008_x0005_`WQC|_x0005_`EDT|2026.상_x0005_`</t>
  </si>
  <si>
    <t>L00008</t>
  </si>
  <si>
    <t>01000000023</t>
  </si>
  <si>
    <t>_x0007_`COD|L00008_x0005_`QTY1|1_x0005_`BQC|01000000023_x0005_`EQC|01000001013_x0005_`JDC|L001010101000013_x0005_`WQC|_x0005_`EDT|2026.상_x0005_`</t>
  </si>
  <si>
    <t>01000000074</t>
  </si>
  <si>
    <t>_x0007_`COD|L00016_x0005_`QTY1|1_x0005_`BQC|01000000074_x0005_`EQC|01000001003_x0005_`JDC|L001010101000003_x0005_`WQC|_x0005_`EDT|2026.상_x0005_`</t>
  </si>
  <si>
    <t>형틀목공</t>
  </si>
  <si>
    <t>01000000003</t>
  </si>
  <si>
    <t>_x0007_`COD|L00002_x0005_`QTY1|1_x0005_`BQC|01000000003_x0005_`EQC|01000001007_x0005_`JDC|L001010101000007_x0005_`WQC|_x0005_`EDT|2026.상_x0005_`</t>
  </si>
  <si>
    <t>01000000078</t>
  </si>
  <si>
    <t>_x0007_`COD|L00191_x0005_`QTY1|1_x0005_`BQC|01000000078_x0005_`EQC|01000001049_x0005_`JDC|L001010101000049_x0005_`WQC|_x0005_`EDT|2026.상_x0005_`</t>
  </si>
  <si>
    <t>경비 목록표</t>
  </si>
  <si>
    <t>경비로 적용</t>
  </si>
  <si>
    <t>전체금액의 %</t>
  </si>
  <si>
    <t>_x0007_`COD|S00209_x0005_`QTY1|1_x0005_`UNT|T%_x0005_`BQC|_x0005_`EQC|_x0005_`JDC|_x0005_`WQC|_x0005_`EDT|_x0005_`</t>
  </si>
  <si>
    <t>S00299</t>
  </si>
  <si>
    <t>_x0007_`COD|S00299_x0005_`QTY1|1_x0005_`BQC|20상' 신규_x0005_`EQC|02210600030_x0005_`JDC|0000210600030000_x0005_`WQC|_x0005_`EDT|2026_x0005_`</t>
  </si>
  <si>
    <t>S00223</t>
  </si>
  <si>
    <t>_x0007_`COD|S00223_x0005_`QTY1|1_x0005_`BQC|_x0005_`EQC|02020100200_x0005_`JDC|0000020100200000_x0005_`WQC|_x0005_`EDT|2026_x0005_`</t>
  </si>
  <si>
    <t>S00214</t>
  </si>
  <si>
    <t>_x0007_`COD|S00214_x0005_`QTY1|1_x0005_`BQC|_x0005_`EQC|02020100400_x0005_`JDC|0000020100400000_x0005_`WQC|_x0005_`EDT|2026_x0005_`</t>
  </si>
  <si>
    <t>S00218</t>
  </si>
  <si>
    <t>_x0007_`COD|S00218_x0005_`QTY1|1_x0005_`BQC|_x0005_`EQC|02020100600_x0005_`JDC|0000020100600000_x0005_`WQC|_x0005_`EDT|2026_x0005_`</t>
  </si>
  <si>
    <t>S00210</t>
  </si>
  <si>
    <t>_x0007_`COD|S00210_x0005_`QTY1|1_x0005_`BQC|_x0005_`EQC|02020100700_x0005_`JDC|0000020100700000_x0005_`WQC|_x0005_`EDT|2026_x0005_`</t>
  </si>
  <si>
    <t>S00256</t>
  </si>
  <si>
    <t>_x0007_`COD|S00256_x0005_`QTY1|1_x0005_`BQC|_x0005_`EQC|02020100800_x0005_`JDC|0000020100800000_x0005_`WQC|_x0005_`EDT|2026_x0005_`</t>
  </si>
  <si>
    <t>S00239</t>
  </si>
  <si>
    <t>_x0007_`COD|S00239_x0005_`QTY1|1_x0005_`BQC|_x0005_`EQC|02020101000_x0005_`JDC|0000020101000000_x0005_`WQC|_x0005_`EDT|2026_x0005_`</t>
  </si>
  <si>
    <t>기계경비</t>
  </si>
  <si>
    <t>_x0007_`COD|S00200_x0005_`QTY1|1_x0005_`UNT|L%_x0005_`BQC|_x0005_`EQC|_x0005_`JDC|_x0005_`WQC|_x0005_`EDT|_x0005_`</t>
  </si>
  <si>
    <t>S00297</t>
  </si>
  <si>
    <t>_x0007_`COD|S00297_x0005_`QTY1|1_x0005_`BQC|_x0005_`EQC|_x0005_`JDC|_x0005_`WQC|_x0005_`EDT|_x0005_`</t>
  </si>
  <si>
    <t>S00220</t>
  </si>
  <si>
    <t>_x0007_`COD|S00220_x0005_`QTY1|1_x0005_`BQC|_x0005_`EQC|02060201500_x0005_`JDC|0000060201500000_x0005_`WQC|_x0005_`EDT|2026_x0005_`</t>
  </si>
  <si>
    <t>S00284</t>
  </si>
  <si>
    <t>_x0007_`COD|S00284_x0005_`QTY1|1_x0005_`BQC|_x0005_`EQC|02163000800_x0005_`JDC|0000163000800000_x0005_`WQC|_x0005_`EDT|2026_x0005_`</t>
  </si>
  <si>
    <t>S00222</t>
  </si>
  <si>
    <t>_x0007_`COD|S00222_x0005_`QTY1|1_x0005_`BQC|_x0005_`EQC|02720400550_x0005_`JDC|0000720400550000_x0005_`WQC|_x0005_`EDT|2026_x0005_`</t>
  </si>
  <si>
    <t>S00295</t>
  </si>
  <si>
    <t>12하' 신규</t>
  </si>
  <si>
    <t>_x0007_`COD|S00295_x0005_`QTY1|1_x0005_`BQC|12하' 신규_x0005_`EQC|02720600200_x0005_`JDC|0000720600200000_x0005_`WQC|_x0005_`EDT|2026_x0005_`</t>
  </si>
  <si>
    <t>S00296</t>
  </si>
  <si>
    <t>_x0007_`COD|S00296_x0005_`QTY1|1_x0005_`BQC|_x0005_`EQC|02720600700_x0005_`JDC|0000720600700000_x0005_`WQC|_x0005_`EDT|2026_x0005_`</t>
  </si>
  <si>
    <t>S00293</t>
  </si>
  <si>
    <t>_x0007_`COD|S00293_x0005_`QTY1|1_x0005_`BQC|17상' 신규_x0005_`EQC|02521000130_x0005_`JDC|0000521000130000_x0005_`WQC|_x0005_`EDT|2026_x0005_`</t>
  </si>
  <si>
    <t>S00274</t>
  </si>
  <si>
    <t>_x0007_`COD|S00274_x0005_`QTY1|1_x0005_`BQC|_x0005_`EQC|02210400250_x0005_`JDC|0000210400250000_x0005_`WQC|_x0005_`EDT|2026_x0005_`</t>
  </si>
  <si>
    <t>S00251</t>
  </si>
  <si>
    <t>_x0007_`COD|S00251_x0005_`QTY1|1_x0005_`BQC|_x0005_`EQC|02210500100_x0005_`JDC|0000210500100000_x0005_`WQC|_x0005_`EDT|2026_x0005_`</t>
  </si>
  <si>
    <t>S00250</t>
  </si>
  <si>
    <t>_x0007_`COD|S00250_x0005_`QTY1|1_x0005_`BQC|_x0005_`EQC|02210500150_x0005_`JDC|0000210500150000_x0005_`WQC|_x0005_`EDT|2026_x0005_`</t>
  </si>
  <si>
    <t>S00213</t>
  </si>
  <si>
    <t>_x0007_`COD|S00213_x0005_`QTY1|1_x0005_`BQC|_x0005_`EQC|02210500050_x0005_`JDC|0000210500050000_x0005_`WQC|_x0005_`EDT|2026_x0005_`</t>
  </si>
  <si>
    <t>S00221</t>
  </si>
  <si>
    <t>_x0007_`COD|S00221_x0005_`QTY1|1_x0005_`BQC|_x0005_`EQC|02173000150_x0005_`JDC|0000173000150000_x0005_`WQC|_x0005_`EDT|2026_x0005_`</t>
  </si>
  <si>
    <t>자재단가 대비표</t>
  </si>
  <si>
    <t>조달 가격</t>
  </si>
  <si>
    <t>물가 자료</t>
  </si>
  <si>
    <t>물가 정보</t>
  </si>
  <si>
    <t>가격 정보</t>
  </si>
  <si>
    <t>견적단가</t>
  </si>
  <si>
    <t>적용단가</t>
  </si>
  <si>
    <t>최소단가</t>
  </si>
  <si>
    <t>페이지</t>
  </si>
  <si>
    <t>이전단가</t>
  </si>
  <si>
    <t>위치</t>
  </si>
  <si>
    <t>물가지명</t>
  </si>
  <si>
    <t>별명</t>
  </si>
  <si>
    <t>21(하)</t>
  </si>
  <si>
    <t>물.자</t>
  </si>
  <si>
    <t>_x0007_`COD|M00666_x0005_`QTY1|1_x0005_`BQC|_x0005_`EQC|_x0005_`JDC|_x0005_`WQC|_x0005_`EDT|2026.01_x0005_`</t>
  </si>
  <si>
    <t>조달</t>
  </si>
  <si>
    <t>754</t>
  </si>
  <si>
    <t>720</t>
  </si>
  <si>
    <t>물.정</t>
  </si>
  <si>
    <t>_x0007_`COD|M00912_x0005_`QTY1|1_x0005_`BQC|_x0005_`EQC|_x0005_`JDC|_x0005_`WQC|_x0005_`EDT|2026.01_x0005_`</t>
  </si>
  <si>
    <t>44</t>
  </si>
  <si>
    <t>_x0007_`COD|M00795_x0005_`QTY1|1_x0005_`BQC|_x0005_`EQC|_x0005_`JDC|_x0005_`WQC|_x0005_`EDT|2026.01_x0005_`</t>
  </si>
  <si>
    <t>2025.상</t>
  </si>
  <si>
    <t>2025.하</t>
  </si>
  <si>
    <t>가.정</t>
  </si>
  <si>
    <t>_x0007_`COD|M02431_x0005_`QTY1|1_x0005_`BQC|_x0005_`EQC|_x0005_`JDC|3010369820141038_x0005_`WQC|_x0005_`EDT|_x0005_`</t>
  </si>
  <si>
    <t>102</t>
  </si>
  <si>
    <t>_x0007_`COD|M00950_x0005_`QTY1|1_x0005_`BQC|_x0005_`EQC|_x0005_`JDC|_x0005_`WQC|_x0005_`EDT|2026.01_x0005_`</t>
  </si>
  <si>
    <t>견적</t>
  </si>
  <si>
    <t>13</t>
  </si>
  <si>
    <t>14</t>
  </si>
  <si>
    <t>_x0007_`COD|M01271_x0005_`QTY1|1_x0005_`BQC|_x0005_`EQC|_x0005_`JDC|_x0005_`WQC|_x0005_`EDT|2026.01_x0005_`</t>
  </si>
  <si>
    <t>_x0007_`COD|M00874_x0005_`QTY1|1_x0005_`BQC|_x0005_`EQC|_x0005_`JDC|1510150520282163_x0005_`WQC|_x0005_`EDT|2025.12.30_x0005_`</t>
  </si>
  <si>
    <t>364</t>
  </si>
  <si>
    <t>366</t>
  </si>
  <si>
    <t>_x0007_`COD|M01205_x0005_`QTY1|1_x0005_`BQC|_x0005_`EQC|_x0005_`JDC|_x0005_`WQC|_x0005_`EDT|2026.01_x0005_`</t>
  </si>
  <si>
    <t>251</t>
  </si>
  <si>
    <t>_x0007_`COD|M08843_x0005_`QTY1|1_x0005_`BQC|_x0005_`EQC|_x0005_`JDC|_x0005_`WQC|_x0005_`EDT|2026.01_x0005_`</t>
  </si>
  <si>
    <t>356</t>
  </si>
  <si>
    <t>_x0007_`COD|M01608_x0005_`QTY1|1_x0005_`BQC|_x0005_`EQC|_x0005_`JDC|_x0005_`WQC|_x0005_`EDT|2026.01_x0005_`</t>
  </si>
  <si>
    <t>_x0007_`COD|M01609_x0005_`QTY1|1_x0005_`BQC|_x0005_`EQC|_x0005_`JDC|_x0005_`WQC|_x0005_`EDT|2026.01_x0005_`</t>
  </si>
  <si>
    <t>377</t>
  </si>
  <si>
    <t>378</t>
  </si>
  <si>
    <t>_x0007_`COD|M01612_x0005_`QTY1|1_x0005_`BQC|_x0005_`EQC|_x0005_`JDC|_x0005_`WQC|_x0005_`EDT|2026.01_x0005_`</t>
  </si>
  <si>
    <t>37</t>
  </si>
  <si>
    <t>23</t>
  </si>
  <si>
    <t>_x0007_`COD|M01585_x0005_`QTY1|1_x0005_`BQC|_x0005_`EQC|_x0005_`JDC|_x0005_`WQC|_x0005_`EDT|2026.01_x0005_`</t>
  </si>
  <si>
    <t>24</t>
  </si>
  <si>
    <t>_x0007_`COD|M01586_x0005_`QTY1|1_x0005_`BQC|_x0005_`EQC|_x0005_`JDC|_x0005_`WQC|_x0005_`EDT|2026.01_x0005_`</t>
  </si>
  <si>
    <t>_x0007_`COD|M01587_x0005_`QTY1|1_x0005_`BQC|_x0005_`EQC|_x0005_`JDC|_x0005_`WQC|_x0005_`EDT|2026.01_x0005_`</t>
  </si>
  <si>
    <t>_x0007_`COD|M01588_x0005_`QTY1|1_x0005_`BQC|_x0005_`EQC|_x0005_`JDC|_x0005_`WQC|_x0005_`EDT|2026.01_x0005_`</t>
  </si>
  <si>
    <t>25</t>
  </si>
  <si>
    <t>_x0007_`COD|M01613_x0005_`QTY1|1_x0005_`BQC|_x0005_`EQC|_x0005_`JDC|_x0005_`WQC|_x0005_`EDT|2026.01_x0005_`</t>
  </si>
  <si>
    <t>21</t>
  </si>
  <si>
    <t>_x0007_`COD|M08805_x0005_`QTY1|1_x0005_`BQC|_x0005_`EQC|_x0005_`JDC|_x0005_`WQC|_x0005_`EDT|2026.01_x0005_`</t>
  </si>
  <si>
    <t>_x0007_`COD|M01578_x0005_`QTY1|1_x0005_`BQC|_x0005_`EQC|_x0005_`JDC|_x0005_`WQC|_x0005_`EDT|2026.01_x0005_`</t>
  </si>
  <si>
    <t>338</t>
  </si>
  <si>
    <t>313</t>
  </si>
  <si>
    <t>_x0007_`COD|M01053_x0005_`QTY1|1_x0005_`BQC|_x0005_`EQC|_x0005_`JDC|_x0005_`WQC|_x0005_`EDT|2026.01_x0005_`</t>
  </si>
  <si>
    <t>_x0007_`COD|M01605_x0005_`QTY1|1_x0005_`BQC|_x0005_`EQC|_x0005_`JDC|_x0005_`WQC|_x0005_`EDT|2026.01_x0005_`</t>
  </si>
  <si>
    <t>_x0007_`COD|M02446_x0005_`QTY1|1_x0005_`BQC|_x0005_`EQC|_x0005_`JDC|1112200120142452_x0005_`WQC|_x0005_`EDT|_x0005_`</t>
  </si>
  <si>
    <t>51</t>
  </si>
  <si>
    <t>39</t>
  </si>
  <si>
    <t>_x0007_`COD|M00958_x0005_`QTY1|1_x0005_`BQC|_x0005_`EQC|_x0005_`JDC|_x0005_`WQC|_x0005_`EDT|2026.01_x0005_`</t>
  </si>
  <si>
    <t>592</t>
  </si>
  <si>
    <t>507</t>
  </si>
  <si>
    <t>_x0007_`COD|M00990_x0005_`QTY1|1_x0005_`BQC|_x0005_`EQC|_x0005_`JDC|_x0005_`WQC|_x0005_`EDT|2026.01_x0005_`</t>
  </si>
  <si>
    <t>_x0007_`COD|M01538_x0005_`QTY1|1_x0005_`BQC|_x0005_`EQC|_x0005_`JDC|_x0005_`WQC|_x0005_`EDT|2026.01_x0005_`</t>
  </si>
  <si>
    <t>_x0007_`COD|M01543_x0005_`QTY1|1_x0005_`BQC|_x0005_`EQC|_x0005_`JDC|_x0005_`WQC|_x0005_`EDT|2026.01_x0005_`</t>
  </si>
  <si>
    <t>_x0007_`COD|M01540_x0005_`QTY1|1_x0005_`BQC|_x0005_`EQC|_x0005_`JDC|_x0005_`WQC|_x0005_`EDT|2026.01_x0005_`</t>
  </si>
  <si>
    <t>361</t>
  </si>
  <si>
    <t>392</t>
  </si>
  <si>
    <t>_x0007_`COD|M01611_x0005_`QTY1|1_x0005_`BQC|_x0005_`EQC|_x0005_`JDC|_x0005_`WQC|_x0005_`EDT|2026.01_x0005_`</t>
  </si>
  <si>
    <t>_x0007_`COD|M01539_x0005_`QTY1|1_x0005_`BQC|_x0005_`EQC|_x0005_`JDC|_x0005_`WQC|_x0005_`EDT|2026.01_x0005_`</t>
  </si>
  <si>
    <t>62</t>
  </si>
  <si>
    <t>55</t>
  </si>
  <si>
    <t>_x0007_`COD|M00956_x0005_`QTY1|1_x0005_`BQC|_x0005_`EQC|_x0005_`JDC|_x0005_`WQC|_x0005_`EDT|2026.01_x0005_`</t>
  </si>
  <si>
    <t>99</t>
  </si>
  <si>
    <t>_x0007_`COD|M08816_x0005_`QTY1|1_x0005_`BQC|_x0005_`EQC|_x0005_`JDC|_x0005_`WQC|_x0005_`EDT|2026.01_x0005_`</t>
  </si>
  <si>
    <t>_x0007_`COD|M01513_x0005_`QTY1|1_x0005_`BQC|_x0005_`EQC|_x0005_`JDC|_x0005_`WQC|_x0005_`EDT|2026.01_x0005_`</t>
  </si>
  <si>
    <t>256</t>
  </si>
  <si>
    <t>_x0007_`COD|M01408_x0005_`QTY1|1_x0005_`BQC|_x0005_`EQC|_x0005_`JDC|_x0005_`WQC|_x0005_`EDT|2026.01_x0005_`</t>
  </si>
  <si>
    <t>_x0007_`COD|M01524_x0005_`QTY1|1_x0005_`BQC|_x0005_`EQC|_x0005_`JDC|_x0005_`WQC|_x0005_`EDT|2026.01_x0005_`</t>
  </si>
  <si>
    <t>_x0007_`COD|M01461_x0005_`QTY1|1_x0005_`BQC|_x0005_`EQC|_x0005_`JDC|_x0005_`WQC|_x0005_`EDT|2026.01_x0005_`</t>
  </si>
  <si>
    <t>314</t>
  </si>
  <si>
    <t>330</t>
  </si>
  <si>
    <t>_x0007_`COD|M08845_x0005_`QTY1|1_x0005_`BQC|_x0005_`EQC|_x0005_`JDC|_x0005_`WQC|_x0005_`EDT|2026.01_x0005_`</t>
  </si>
  <si>
    <t>27</t>
  </si>
  <si>
    <t>36</t>
  </si>
  <si>
    <t>_x0007_`COD|M00875_x0005_`QTY1|1_x0005_`BQC|_x0005_`EQC|_x0005_`JDC|_x0005_`WQC|_x0005_`EDT|2026.01_x0005_`</t>
  </si>
  <si>
    <t>_x0007_`COD|M01442_x0005_`QTY1|1_x0005_`BQC|_x0005_`EQC|_x0005_`JDC|_x0005_`WQC|_x0005_`EDT|2026.01_x0005_`</t>
  </si>
  <si>
    <t>_x0007_`COD|M01479_x0005_`QTY1|1_x0005_`BQC|_x0005_`EQC|_x0005_`JDC|_x0005_`WQC|_x0005_`EDT|2026.01_x0005_`</t>
  </si>
  <si>
    <t>_x0007_`COD|M01474_x0005_`QTY1|1_x0005_`BQC|_x0005_`EQC|_x0005_`JDC|_x0005_`WQC|_x0005_`EDT|2026.01_x0005_`</t>
  </si>
  <si>
    <t>_x0007_`COD|M08777_x0005_`QTY1|1_x0005_`BQC|_x0005_`EQC|_x0005_`JDC|_x0005_`WQC|_x0005_`EDT|2026.01_x0005_`</t>
  </si>
  <si>
    <t>_x0007_`COD|M01440_x0005_`QTY1|1_x0005_`BQC|_x0005_`EQC|_x0005_`JDC|_x0005_`WQC|_x0005_`EDT|2026.01_x0005_`</t>
  </si>
  <si>
    <t>_x0007_`COD|M01441_x0005_`QTY1|1_x0005_`BQC|_x0005_`EQC|_x0005_`JDC|_x0005_`WQC|_x0005_`EDT|2026.01_x0005_`</t>
  </si>
  <si>
    <t>_x0007_`COD|M01602_x0005_`QTY1|1_x0005_`BQC|_x0005_`EQC|_x0005_`JDC|_x0005_`WQC|_x0005_`EDT|2026.01_x0005_`</t>
  </si>
  <si>
    <t>_x0007_`COD|M01603_x0005_`QTY1|1_x0005_`BQC|_x0005_`EQC|_x0005_`JDC|_x0005_`WQC|_x0005_`EDT|2026.01_x0005_`</t>
  </si>
  <si>
    <t>_x0007_`COD|M01604_x0005_`QTY1|1_x0005_`BQC|_x0005_`EQC|_x0005_`JDC|_x0005_`WQC|_x0005_`EDT|2026.01_x0005_`</t>
  </si>
  <si>
    <t>_x0007_`COD|M08778_x0005_`QTY1|1_x0005_`BQC|_x0005_`EQC|_x0005_`JDC|_x0005_`WQC|_x0005_`EDT|2026.01_x0005_`</t>
  </si>
  <si>
    <t>296</t>
  </si>
  <si>
    <t>114</t>
  </si>
  <si>
    <t>_x0007_`COD|M08846_x0005_`QTY1|1_x0005_`BQC|_x0005_`EQC|_x0005_`JDC|_x0005_`WQC|_x0005_`EDT|2026.01_x0005_`</t>
  </si>
  <si>
    <t>305</t>
  </si>
  <si>
    <t>_x0007_`COD|M08852_x0005_`QTY1|1_x0005_`BQC|_x0005_`EQC|_x0005_`JDC|_x0005_`WQC|_x0005_`EDT|2026.01_x0005_`</t>
  </si>
  <si>
    <t>48</t>
  </si>
  <si>
    <t>41</t>
  </si>
  <si>
    <t>_x0007_`COD|M00667_x0005_`QTY1|1_x0005_`BQC|_x0005_`EQC|_x0005_`JDC|_x0005_`WQC|_x0005_`EDT|2026.01_x0005_`</t>
  </si>
  <si>
    <t>_x0007_`COD|M08813_x0005_`QTY1|1_x0005_`BQC|_x0005_`EQC|_x0005_`JDC|_x0005_`WQC|_x0005_`EDT|2026.01_x0005_`</t>
  </si>
  <si>
    <t>_x0007_`COD|M01455_x0005_`QTY1|1_x0005_`BQC|_x0005_`EQC|_x0005_`JDC|_x0005_`WQC|_x0005_`EDT|2026.01_x0005_`</t>
  </si>
  <si>
    <t>_x0007_`COD|M00955_x0005_`QTY1|1_x0005_`BQC|_x0005_`EQC|_x0005_`JDC|_x0005_`WQC|_x0005_`EDT|2026.01_x0005_`</t>
  </si>
  <si>
    <t>65</t>
  </si>
  <si>
    <t>58</t>
  </si>
  <si>
    <t>_x0007_`COD|M00634_x0005_`QTY1|1_x0005_`BQC|_x0005_`EQC|_x0005_`JDC|_x0005_`WQC|_x0005_`EDT|2026.01_x0005_`</t>
  </si>
  <si>
    <t>_x0007_`COD|M01606_x0005_`QTY1|1_x0005_`BQC|_x0005_`EQC|_x0005_`JDC|_x0005_`WQC|_x0005_`EDT|2026.01_x0005_`</t>
  </si>
  <si>
    <t>318</t>
  </si>
  <si>
    <t>_x0007_`COD|M08844_x0005_`QTY1|1_x0005_`BQC|_x0005_`EQC|_x0005_`JDC|_x0005_`WQC|_x0005_`EDT|2026.01_x0005_`</t>
  </si>
  <si>
    <t>325</t>
  </si>
  <si>
    <t>_x0007_`COD|M00801_x0005_`QTY1|1_x0005_`BQC|_x0005_`EQC|_x0005_`JDC|_x0005_`WQC|_x0005_`EDT|2026.01_x0005_`</t>
  </si>
  <si>
    <t>593</t>
  </si>
  <si>
    <t>504</t>
  </si>
  <si>
    <t>_x0007_`COD|M00167_x0005_`QTY1|1_x0005_`BQC|_x0005_`EQC|_x0005_`JDC|_x0005_`WQC|_x0005_`EDT|2026.01_x0005_`</t>
  </si>
  <si>
    <t>_x0007_`COD|M01542_x0005_`QTY1|1_x0005_`BQC|_x0005_`EQC|_x0005_`JDC|_x0005_`WQC|_x0005_`EDT|2026.01_x0005_`</t>
  </si>
  <si>
    <t>_x0007_`COD|M01544_x0005_`QTY1|1_x0005_`BQC|_x0005_`EQC|_x0005_`JDC|_x0005_`WQC|_x0005_`EDT|2026.01_x0005_`</t>
  </si>
  <si>
    <t>_x0007_`COD|M01536_x0005_`QTY1|1_x0005_`BQC|_x0005_`EQC|_x0005_`JDC|_x0005_`WQC|_x0005_`EDT|2026.01_x0005_`</t>
  </si>
  <si>
    <t>_x0007_`COD|M01530_x0005_`QTY1|1_x0005_`BQC|_x0005_`EQC|_x0005_`JDC|_x0005_`WQC|_x0005_`EDT|2026.01_x0005_`</t>
  </si>
  <si>
    <t>_x0007_`COD|M01531_x0005_`QTY1|1_x0005_`BQC|_x0005_`EQC|_x0005_`JDC|_x0005_`WQC|_x0005_`EDT|2026.01_x0005_`</t>
  </si>
  <si>
    <t>_x0007_`COD|M08793_x0005_`QTY1|1_x0005_`BQC|_x0005_`EQC|_x0005_`JDC|_x0005_`WQC|_x0005_`EDT|2025.12_x0005_`</t>
  </si>
  <si>
    <t>307</t>
  </si>
  <si>
    <t>_x0007_`COD|M01589_x0005_`QTY1|1_x0005_`BQC|조경수목_x0005_`EQC|_x0005_`JDC|1016159920281583_x0005_`WQC|_x0005_`EDT|2026.01_x0005_`</t>
  </si>
  <si>
    <t>_x0007_`COD|M01527_x0005_`QTY1|1_x0005_`BQC|_x0005_`EQC|_x0005_`JDC|_x0005_`WQC|_x0005_`EDT|2026.01_x0005_`</t>
  </si>
  <si>
    <t>_x0007_`COD|M01534_x0005_`QTY1|1_x0005_`BQC|_x0005_`EQC|_x0005_`JDC|_x0005_`WQC|_x0005_`EDT|2026.01_x0005_`</t>
  </si>
  <si>
    <t>105</t>
  </si>
  <si>
    <t>519</t>
  </si>
  <si>
    <t>_x0007_`COD|M01004_x0005_`QTY1|1_x0005_`BQC|_x0005_`EQC|_x0005_`JDC|_x0005_`WQC|_x0005_`EDT|2026.01_x0005_`</t>
  </si>
  <si>
    <t>_x0007_`COD|M01528_x0005_`QTY1|1_x0005_`BQC|_x0005_`EQC|_x0005_`JDC|_x0005_`WQC|_x0005_`EDT|2026.01_x0005_`</t>
  </si>
  <si>
    <t>_x0007_`COD|M01525_x0005_`QTY1|1_x0005_`BQC|_x0005_`EQC|_x0005_`JDC|_x0005_`WQC|_x0005_`EDT|2026.01_x0005_`</t>
  </si>
  <si>
    <t>43</t>
  </si>
  <si>
    <t>_x0007_`COD|M00648_x0005_`QTY1|1_x0005_`BQC|_x0005_`EQC|_x0005_`JDC|_x0005_`WQC|_x0005_`EDT|2026.01_x0005_`</t>
  </si>
  <si>
    <t>510</t>
  </si>
  <si>
    <t>_x0007_`COD|M00743_x0005_`QTY1|1_x0005_`BQC|_x0005_`EQC|_x0005_`JDC|_x0005_`WQC|_x0005_`EDT|2026.01_x0005_`</t>
  </si>
  <si>
    <t>_x0007_`COD|M00960_x0005_`QTY1|1_x0005_`BQC|_x0005_`EQC|_x0005_`JDC|_x0005_`WQC|_x0005_`EDT|2026.01_x0005_`</t>
  </si>
  <si>
    <t>_x0007_`COD|M01529_x0005_`QTY1|1_x0005_`BQC|_x0005_`EQC|_x0005_`JDC|_x0005_`WQC|_x0005_`EDT|2026.01_x0005_`</t>
  </si>
  <si>
    <t>24(하)</t>
  </si>
  <si>
    <t>_x0007_`COD|M01159_x0005_`QTY1|1_x0005_`BQC|_x0005_`EQC|_x0005_`JDC|_x0005_`WQC|_x0005_`EDT|2026.01_x0005_`</t>
  </si>
  <si>
    <t>100</t>
  </si>
  <si>
    <t>_x0007_`COD|M08803_x0005_`QTY1|1_x0005_`BQC|_x0005_`EQC|_x0005_`JDC|_x0005_`WQC|_x0005_`EDT|2026.01_x0005_`</t>
  </si>
  <si>
    <t>_x0007_`COD|M01265_x0005_`QTY1|1_x0005_`BQC|_x0005_`EQC|_x0005_`JDC|_x0005_`WQC|_x0005_`EDT|2026.01_x0005_`</t>
  </si>
  <si>
    <t>_x0007_`COD|M00150_x0005_`QTY1|1_x0005_`BQC|_x0005_`EQC|_x0005_`JDC|_x0005_`WQC|_x0005_`EDT|2026.01_x0005_`</t>
  </si>
  <si>
    <t>_x0007_`COD|M00691_x0005_`QTY1|1_x0005_`BQC|_x0005_`EQC|_x0005_`JDC|_x0005_`WQC|_x0005_`EDT|2026.01_x0005_`</t>
  </si>
  <si>
    <t>_x0007_`COD|M00957_x0005_`QTY1|1_x0005_`BQC|_x0005_`EQC|_x0005_`JDC|_x0005_`WQC|_x0005_`EDT|2026.01_x0005_`</t>
  </si>
  <si>
    <t>_x0007_`COD|M01526_x0005_`QTY1|1_x0005_`BQC|_x0005_`EQC|_x0005_`JDC|_x0005_`WQC|_x0005_`EDT|2026.01_x0005_`</t>
  </si>
  <si>
    <t>_x0007_`COD|M01545_x0005_`QTY1|1_x0005_`BQC|_x0005_`EQC|_x0005_`JDC|_x0005_`WQC|_x0005_`EDT|2026.01_x0005_`</t>
  </si>
  <si>
    <t>333</t>
  </si>
  <si>
    <t>317</t>
  </si>
  <si>
    <t>_x0007_`COD|M00982_x0005_`QTY1|1_x0005_`BQC|_x0005_`EQC|_x0005_`JDC|_x0005_`WQC|_x0005_`EDT|2026.01_x0005_`</t>
  </si>
  <si>
    <t>_x0007_`COD|M01154_x0005_`QTY1|1_x0005_`BQC|_x0005_`EQC|_x0005_`JDC|_x0005_`WQC|_x0005_`EDT|2026.01_x0005_`</t>
  </si>
  <si>
    <t>46</t>
  </si>
  <si>
    <t>_x0007_`COD|M01158_x0005_`QTY1|1_x0005_`BQC|_x0005_`EQC|_x0005_`JDC|_x0005_`WQC|_x0005_`EDT|2026.01_x0005_`</t>
  </si>
  <si>
    <t>590</t>
  </si>
  <si>
    <t>501</t>
  </si>
  <si>
    <t>_x0007_`COD|M08804_x0005_`QTY1|1_x0005_`BQC|_x0005_`EQC|_x0005_`JDC|_x0005_`WQC|_x0005_`EDT|2026.01_x0005_`</t>
  </si>
  <si>
    <t>_x0007_`COD|M01607_x0005_`QTY1|1_x0005_`BQC|_x0005_`EQC|_x0005_`JDC|_x0005_`WQC|_x0005_`EDT|2026.01_x0005_`</t>
  </si>
  <si>
    <t>326</t>
  </si>
  <si>
    <t>344</t>
  </si>
  <si>
    <t>_x0007_`COD|M08849_x0005_`QTY1|1_x0005_`BQC|_x0005_`EQC|_x0005_`JDC|_x0005_`WQC|_x0005_`EDT|2026.01_x0005_`</t>
  </si>
  <si>
    <t>_x0007_`COD|M08850_x0005_`QTY1|1_x0005_`BQC|_x0005_`EQC|_x0005_`JDC|_x0005_`WQC|_x0005_`EDT|2026.01_x0005_`</t>
  </si>
  <si>
    <t>_x0007_`COD|M08851_x0005_`QTY1|1_x0005_`BQC|_x0005_`EQC|_x0005_`JDC|_x0005_`WQC|_x0005_`EDT|2026.01_x0005_`</t>
  </si>
  <si>
    <t>_x0007_`COD|M08848_x0005_`QTY1|1_x0005_`BQC|_x0005_`EQC|_x0005_`JDC|_x0005_`WQC|_x0005_`EDT|2026.01_x0005_`</t>
  </si>
  <si>
    <t>1077</t>
  </si>
  <si>
    <t>_x0007_`COD|M08791_x0005_`QTY1|1_x0005_`BQC|_x0005_`EQC|_x0005_`JDC|_x0005_`WQC|_x0005_`EDT|2026.01_x0005_`</t>
  </si>
  <si>
    <t>81</t>
  </si>
  <si>
    <t>_x0007_`COD|M08842_x0005_`QTY1|1_x0005_`BQC|_x0005_`EQC|_x0005_`JDC|_x0005_`WQC|_x0005_`EDT|2026.01_x0005_`</t>
  </si>
  <si>
    <t>_x0007_`COD|M01306_x0005_`QTY1|1_x0005_`BQC|_x0005_`EQC|_x0005_`JDC|_x0005_`WQC|_x0005_`EDT|2026.01_x0005_`</t>
  </si>
  <si>
    <t>257</t>
  </si>
  <si>
    <t>_x0007_`COD|M01082_x0005_`QTY1|1_x0005_`BQC|_x0005_`EQC|_x0005_`JDC|_x0005_`WQC|_x0005_`EDT|2026.01_x0005_`</t>
  </si>
  <si>
    <t>_x0007_`COD|M01081_x0005_`QTY1|1_x0005_`BQC|_x0005_`EQC|_x0005_`JDC|_x0005_`WQC|_x0005_`EDT|2026.01_x0005_`</t>
  </si>
  <si>
    <t>598</t>
  </si>
  <si>
    <t>_x0007_`COD|M00993_x0005_`QTY1|1_x0005_`BQC|_x0005_`EQC|_x0005_`JDC|_x0005_`WQC|_x0005_`EDT|2026.01_x0005_`</t>
  </si>
  <si>
    <t>_x0007_`COD|M01055_x0005_`QTY1|1_x0005_`BQC|_x0005_`EQC|_x0005_`JDC|_x0005_`WQC|_x0005_`EDT|2026.01_x0005_`</t>
  </si>
  <si>
    <t>150(하)</t>
  </si>
  <si>
    <t>1583</t>
  </si>
  <si>
    <t>_x0007_`COD|M08786_x0005_`QTY1|1_x0005_`BQC|_x0005_`EQC|_x0005_`JDC|_x0005_`WQC|_x0005_`EDT|2026.01_x0005_`</t>
  </si>
  <si>
    <t>_x0007_`COD|M08782_x0005_`QTY1|1_x0005_`BQC|_x0005_`EQC|_x0005_`JDC|_x0005_`WQC|_x0005_`EDT|2026.01_x0005_`</t>
  </si>
  <si>
    <t>_x0007_`COD|M08787_x0005_`QTY1|1_x0005_`BQC|_x0005_`EQC|_x0005_`JDC|_x0005_`WQC|_x0005_`EDT|2026.01_x0005_`</t>
  </si>
  <si>
    <t>149(하)</t>
  </si>
  <si>
    <t>_x0007_`COD|M08780_x0005_`QTY1|1_x0005_`BQC|_x0005_`EQC|_x0005_`JDC|_x0005_`WQC|_x0005_`EDT|2026.01_x0005_`</t>
  </si>
  <si>
    <t>526(하)</t>
  </si>
  <si>
    <t>_x0007_`COD|M08785_x0005_`QTY1|1_x0005_`BQC|_x0005_`EQC|_x0005_`JDC|_x0005_`WQC|_x0005_`EDT|2026.01_x0005_`</t>
  </si>
  <si>
    <t>_x0007_`COD|M01268_x0005_`QTY1|1_x0005_`BQC|_x0005_`EQC|_x0005_`JDC|_x0005_`WQC|_x0005_`EDT|2026.01_x0005_`</t>
  </si>
  <si>
    <t>151(하)</t>
  </si>
  <si>
    <t>_x0007_`COD|M08781_x0005_`QTY1|1_x0005_`BQC|_x0005_`EQC|_x0005_`JDC|_x0005_`WQC|_x0005_`EDT|2026.01_x0005_`</t>
  </si>
  <si>
    <t>_x0007_`COD|M01532_x0005_`QTY1|1_x0005_`BQC|_x0005_`EQC|_x0005_`JDC|_x0005_`WQC|_x0005_`EDT|2026.01_x0005_`</t>
  </si>
  <si>
    <t>_x0007_`COD|M00927_x0005_`QTY1|1_x0005_`BQC|_x0005_`EQC|_x0005_`JDC|1510150620282203_x0005_`WQC|_x0005_`EDT|2025.12.30_x0005_`</t>
  </si>
  <si>
    <t>379</t>
  </si>
  <si>
    <t>_x0007_`COD|M01535_x0005_`QTY1|1_x0005_`BQC|_x0005_`EQC|_x0005_`JDC|_x0005_`WQC|_x0005_`EDT|2026.01_x0005_`</t>
  </si>
  <si>
    <t>퇴 직 공 제 부 금 비</t>
  </si>
  <si>
    <t>환  경  보  전  비</t>
  </si>
  <si>
    <t xml:space="preserve"> 7. 퇴직공제부금비</t>
  </si>
  <si>
    <t>_x0007_`DTP|305_x0005_`QTY1|1_x0005_`BDC|_x0005_`SRE|SA_x0005_`</t>
  </si>
  <si>
    <t xml:space="preserve"> 8. 산업안전보건관리비</t>
  </si>
  <si>
    <t xml:space="preserve"> 9. 기타경비</t>
  </si>
  <si>
    <t>10. 환경보전비</t>
  </si>
  <si>
    <t>_x0007_`DTP|309_x0005_`QTY1|1_x0005_`BDC|_x0005_`SRE|SA_x0005_`</t>
  </si>
  <si>
    <t>11. 건설기계대여금지급보증 금액</t>
  </si>
  <si>
    <t>12. 일반관리비</t>
  </si>
  <si>
    <t>13. 이   윤</t>
  </si>
  <si>
    <t>14. 부가가치세</t>
  </si>
  <si>
    <t>등산로만들기(산지할증A)</t>
  </si>
  <si>
    <t>B02823</t>
  </si>
  <si>
    <t>_x0007_`COD|B02823_x0005_`QTY1|1_x0005_`EXI|0_x0005_`IPR|0_x0005_`BLA|F_x0005_`</t>
  </si>
  <si>
    <t>B02823_1</t>
  </si>
  <si>
    <t>B02824</t>
  </si>
  <si>
    <t>_x0007_`COD|B02824_x0005_`QTY1|1_x0005_`EXI|0_x0005_`IPR|0_x0005_`BLA|F_x0005_`</t>
  </si>
  <si>
    <t>B02824_1</t>
  </si>
  <si>
    <t>B02825</t>
  </si>
  <si>
    <t>_x0007_`COD|B02825_x0005_`QTY1|1_x0005_`EXI|0_x0005_`IPR|0_x0005_`BLA|F_x0005_`</t>
  </si>
  <si>
    <t>B02825_1</t>
  </si>
  <si>
    <t>B02826</t>
  </si>
  <si>
    <t>_x0007_`COD|B02826_x0005_`QTY1|1_x0005_`EXI|0_x0005_`IPR|0_x0005_`BLA|F_x0005_`</t>
  </si>
  <si>
    <t>B02826_1</t>
  </si>
  <si>
    <t>등산로만들기(산지할증B)</t>
  </si>
  <si>
    <t>등산로 정비(산지할증A)</t>
  </si>
  <si>
    <t>B02827</t>
  </si>
  <si>
    <t>_x0007_`COD|B02827_x0005_`QTY1|1_x0005_`EXI|0_x0005_`IPR|0_x0005_`BLA|F_x0005_`</t>
  </si>
  <si>
    <t>B02827_1</t>
  </si>
  <si>
    <t>B02828</t>
  </si>
  <si>
    <t>_x0007_`COD|B02828_x0005_`QTY1|1_x0005_`EXI|0_x0005_`IPR|0_x0005_`BLA|F_x0005_`</t>
  </si>
  <si>
    <t>B02828_1</t>
  </si>
  <si>
    <t>B02829</t>
  </si>
  <si>
    <t>_x0007_`COD|B02829_x0005_`QTY1|1_x0005_`EXI|0_x0005_`IPR|0_x0005_`BLA|F_x0005_`</t>
  </si>
  <si>
    <t>B02829_1</t>
  </si>
  <si>
    <t>B02830</t>
  </si>
  <si>
    <t>_x0007_`COD|B02830_x0005_`QTY1|1_x0005_`EXI|0_x0005_`IPR|0_x0005_`BLA|F_x0005_`</t>
  </si>
  <si>
    <t>B02830_1</t>
  </si>
  <si>
    <t>등산로 정비(산지할증B)</t>
  </si>
  <si>
    <t>안전로프(산지할증A)</t>
  </si>
  <si>
    <t>B02831</t>
  </si>
  <si>
    <t>_x0007_`COD|B02831_x0005_`QTY1|1_x0005_`EXI|0_x0005_`IPR|0_x0005_`BLA|F_x0005_`</t>
  </si>
  <si>
    <t>B02831_1</t>
  </si>
  <si>
    <t>안전로프(산지할증B)</t>
  </si>
  <si>
    <t>안전로프 시종점(산지할증A)</t>
  </si>
  <si>
    <t>B02832</t>
  </si>
  <si>
    <t>_x0007_`COD|B02832_x0005_`QTY1|1_x0005_`EXI|0_x0005_`IPR|0_x0005_`BLA|F_x0005_`</t>
  </si>
  <si>
    <t>B02832_1</t>
  </si>
  <si>
    <t>안전로프 시종점(산지할증B)</t>
  </si>
  <si>
    <t>목재계단(산지할증A)</t>
  </si>
  <si>
    <t>B02833</t>
  </si>
  <si>
    <t>_x0007_`COD|B02833_x0005_`QTY1|1_x0005_`EXI|0_x0005_`IPR|0_x0005_`BLA|F_x0005_`</t>
  </si>
  <si>
    <t>B02833_1</t>
  </si>
  <si>
    <t>B02834</t>
  </si>
  <si>
    <t>_x0007_`COD|B02834_x0005_`QTY1|1_x0005_`EXI|0_x0005_`IPR|0_x0005_`BLA|F_x0005_`</t>
  </si>
  <si>
    <t>B02834_1</t>
  </si>
  <si>
    <t>B02835</t>
  </si>
  <si>
    <t>_x0007_`COD|B02835_x0005_`QTY1|1_x0005_`EXI|0_x0005_`IPR|0_x0005_`BLA|F_x0005_`</t>
  </si>
  <si>
    <t>B02835_1</t>
  </si>
  <si>
    <t>B02836</t>
  </si>
  <si>
    <t>_x0007_`COD|B02836_x0005_`QTY1|1_x0005_`EXI|0_x0005_`IPR|0_x0005_`BLA|F_x0005_`</t>
  </si>
  <si>
    <t>B02836_1</t>
  </si>
  <si>
    <t>B02837</t>
  </si>
  <si>
    <t>_x0007_`COD|B02837_x0005_`QTY1|1_x0005_`EXI|0_x0005_`IPR|0_x0005_`BLA|F_x0005_`</t>
  </si>
  <si>
    <t>B02837_1</t>
  </si>
  <si>
    <t>목재계단(산지할증B)</t>
  </si>
  <si>
    <t>목재계단 재설치(산지할증A)</t>
  </si>
  <si>
    <t>B02838</t>
  </si>
  <si>
    <t>_x0007_`COD|B02838_x0005_`QTY1|1_x0005_`EXI|0_x0005_`IPR|0_x0005_`BLA|F_x0005_`</t>
  </si>
  <si>
    <t>B02838_1</t>
  </si>
  <si>
    <t>B02839</t>
  </si>
  <si>
    <t>_x0007_`COD|B02839_x0005_`QTY1|1_x0005_`EXI|0_x0005_`IPR|0_x0005_`BLA|F_x0005_`</t>
  </si>
  <si>
    <t>B02839_1</t>
  </si>
  <si>
    <t>B02840</t>
  </si>
  <si>
    <t>_x0007_`COD|B02840_x0005_`QTY1|1_x0005_`EXI|0_x0005_`IPR|0_x0005_`BLA|F_x0005_`</t>
  </si>
  <si>
    <t>B02840_1</t>
  </si>
  <si>
    <t>목재계단 재설치(산지할증B)</t>
  </si>
  <si>
    <t>원주목계단(산지할증A)</t>
  </si>
  <si>
    <t>B02841</t>
  </si>
  <si>
    <t>_x0007_`COD|B02841_x0005_`QTY1|1_x0005_`EXI|0_x0005_`IPR|0_x0005_`BLA|F_x0005_`</t>
  </si>
  <si>
    <t>B02841_1</t>
  </si>
  <si>
    <t>B02842</t>
  </si>
  <si>
    <t>_x0007_`COD|B02842_x0005_`QTY1|1_x0005_`EXI|0_x0005_`IPR|0_x0005_`BLA|F_x0005_`</t>
  </si>
  <si>
    <t>B02842_1</t>
  </si>
  <si>
    <t>원주목계단(산지할증B)</t>
  </si>
  <si>
    <t>원주목계단 재설치(산지할증A)</t>
  </si>
  <si>
    <t>B02843</t>
  </si>
  <si>
    <t>_x0007_`COD|B02843_x0005_`QTY1|1_x0005_`EXI|0_x0005_`IPR|0_x0005_`BLA|F_x0005_`</t>
  </si>
  <si>
    <t>B02843_1</t>
  </si>
  <si>
    <t>B02844</t>
  </si>
  <si>
    <t>_x0007_`COD|B02844_x0005_`QTY1|1_x0005_`EXI|0_x0005_`IPR|0_x0005_`BLA|F_x0005_`</t>
  </si>
  <si>
    <t>B02844_1</t>
  </si>
  <si>
    <t>원주목계단 재설치(산지할증B)</t>
  </si>
  <si>
    <t>통나무횡배수대(산지할증A)</t>
  </si>
  <si>
    <t>B02845</t>
  </si>
  <si>
    <t>_x0007_`COD|B02845_x0005_`QTY1|1_x0005_`EXI|0_x0005_`IPR|0_x0005_`BLA|F_x0005_`</t>
  </si>
  <si>
    <t>B02845_1</t>
  </si>
  <si>
    <t>B02847</t>
  </si>
  <si>
    <t>_x0007_`COD|B02847_x0005_`QTY1|1_x0005_`EXI|0_x0005_`IPR|0_x0005_`BLA|F_x0005_`</t>
  </si>
  <si>
    <t>B02847_1</t>
  </si>
  <si>
    <t>B02846</t>
  </si>
  <si>
    <t>_x0007_`COD|B02846_x0005_`QTY1|1_x0005_`EXI|0_x0005_`IPR|0_x0005_`BLA|F_x0005_`</t>
  </si>
  <si>
    <t>B02846_1</t>
  </si>
  <si>
    <t>B02848</t>
  </si>
  <si>
    <t>_x0007_`COD|B02848_x0005_`QTY1|1_x0005_`EXI|0_x0005_`IPR|0_x0005_`BLA|F_x0005_`</t>
  </si>
  <si>
    <t>B02848_1</t>
  </si>
  <si>
    <t>B02849</t>
  </si>
  <si>
    <t>_x0007_`COD|B02849_x0005_`QTY1|1_x0005_`EXI|0_x0005_`IPR|0_x0005_`BLA|F_x0005_`</t>
  </si>
  <si>
    <t>B02849_1</t>
  </si>
  <si>
    <t>통나무횡배수대(산지할증B)</t>
  </si>
  <si>
    <t>횡단개거(산지할증A)</t>
  </si>
  <si>
    <t>B02850</t>
  </si>
  <si>
    <t>_x0007_`COD|B02850_x0005_`QTY1|1_x0005_`EXI|0_x0005_`IPR|0_x0005_`BLA|F_x0005_`</t>
  </si>
  <si>
    <t>B02850_1</t>
  </si>
  <si>
    <t>B02851</t>
  </si>
  <si>
    <t>_x0007_`COD|B02851_x0005_`QTY1|1_x0005_`EXI|0_x0005_`IPR|0_x0005_`BLA|F_x0005_`</t>
  </si>
  <si>
    <t>B02851_1</t>
  </si>
  <si>
    <t>B02852</t>
  </si>
  <si>
    <t>_x0007_`COD|B02852_x0005_`QTY1|1_x0005_`EXI|0_x0005_`IPR|0_x0005_`BLA|F_x0005_`</t>
  </si>
  <si>
    <t>B02852_1</t>
  </si>
  <si>
    <t>B02853</t>
  </si>
  <si>
    <t>_x0007_`COD|B02853_x0005_`QTY1|1_x0005_`EXI|0_x0005_`IPR|0_x0005_`BLA|F_x0005_`</t>
  </si>
  <si>
    <t>B02853_1</t>
  </si>
  <si>
    <t>횡단개거(산지할증B)</t>
  </si>
  <si>
    <t>식생토낭(산지할증A)</t>
  </si>
  <si>
    <t>B02854</t>
  </si>
  <si>
    <t>_x0007_`COD|B02854_x0005_`QTY1|1_x0005_`EXI|0_x0005_`IPR|0_x0005_`BLA|F_x0005_`</t>
  </si>
  <si>
    <t>B02854_1</t>
  </si>
  <si>
    <t>B02855</t>
  </si>
  <si>
    <t>_x0007_`COD|B02855_x0005_`QTY1|1_x0005_`EXI|0_x0005_`IPR|0_x0005_`BLA|F_x0005_`</t>
  </si>
  <si>
    <t>B02855_1</t>
  </si>
  <si>
    <t>B02856</t>
  </si>
  <si>
    <t>_x0007_`COD|B02856_x0005_`QTY1|1_x0005_`EXI|0_x0005_`IPR|0_x0005_`BLA|F_x0005_`</t>
  </si>
  <si>
    <t>B02856_1</t>
  </si>
  <si>
    <t>식생토낭(산지할증B)</t>
  </si>
  <si>
    <t>통나무편책(산지할증A)</t>
  </si>
  <si>
    <t>B02857</t>
  </si>
  <si>
    <t>_x0007_`COD|B02857_x0005_`QTY1|1_x0005_`EXI|0_x0005_`IPR|0_x0005_`BLA|F_x0005_`</t>
  </si>
  <si>
    <t>B02857_1</t>
  </si>
  <si>
    <t>B02858</t>
  </si>
  <si>
    <t>_x0007_`COD|B02858_x0005_`QTY1|1_x0005_`EXI|0_x0005_`IPR|0_x0005_`BLA|F_x0005_`</t>
  </si>
  <si>
    <t>B02858_1</t>
  </si>
  <si>
    <t>B02859</t>
  </si>
  <si>
    <t>_x0007_`COD|B02859_x0005_`QTY1|1_x0005_`EXI|0_x0005_`IPR|0_x0005_`BLA|F_x0005_`</t>
  </si>
  <si>
    <t>B02859_1</t>
  </si>
  <si>
    <t>통나무편책(산지할증B)</t>
  </si>
  <si>
    <t>보행매트 설치(산지할증A)</t>
  </si>
  <si>
    <t>B02860</t>
  </si>
  <si>
    <t>_x0007_`COD|B02860_x0005_`QTY1|1_x0005_`EXI|0_x0005_`IPR|0_x0005_`BLA|F_x0005_`</t>
  </si>
  <si>
    <t>B02860_1</t>
  </si>
  <si>
    <t>B02861</t>
  </si>
  <si>
    <t>_x0007_`COD|B02861_x0005_`QTY1|1_x0005_`EXI|0_x0005_`IPR|0_x0005_`BLA|F_x0005_`</t>
  </si>
  <si>
    <t>B02861_1</t>
  </si>
  <si>
    <t>B02862</t>
  </si>
  <si>
    <t>_x0007_`COD|B02862_x0005_`QTY1|1_x0005_`EXI|0_x0005_`IPR|0_x0005_`BLA|F_x0005_`</t>
  </si>
  <si>
    <t>B02862_1</t>
  </si>
  <si>
    <t>B02863</t>
  </si>
  <si>
    <t>_x0007_`COD|B02863_x0005_`QTY1|1_x0005_`EXI|0_x0005_`IPR|0_x0005_`BLA|F_x0005_`</t>
  </si>
  <si>
    <t>B02863_1</t>
  </si>
  <si>
    <t>보행매트 설치(산지할증B)</t>
  </si>
  <si>
    <t>평의자 설치(산지할증A)</t>
  </si>
  <si>
    <t>B02864</t>
  </si>
  <si>
    <t>_x0007_`COD|B02864_x0005_`QTY1|1_x0005_`EXI|0_x0005_`IPR|0_x0005_`BLA|F_x0005_`</t>
  </si>
  <si>
    <t>B02864_1</t>
  </si>
  <si>
    <t>평의자 설치(산지할증B)</t>
  </si>
  <si>
    <t>등의자 설치(산지할증A)</t>
  </si>
  <si>
    <t>B02865</t>
  </si>
  <si>
    <t>_x0007_`COD|B02865_x0005_`QTY1|1_x0005_`EXI|0_x0005_`IPR|0_x0005_`BLA|F_x0005_`</t>
  </si>
  <si>
    <t>B02865_1</t>
  </si>
  <si>
    <t>등의자 설치(산지할증B)</t>
  </si>
  <si>
    <t>_x0007_`COD|B02536_x0005_`QTY1|1_x0005_`EXI|0_x0005_`IPR|0_x0005_`BLA|F_x0005_`</t>
  </si>
  <si>
    <t>안전로프 재설치(산지할증A)</t>
  </si>
  <si>
    <t>B02866</t>
  </si>
  <si>
    <t>_x0007_`COD|B02866_x0005_`QTY1|1_x0005_`EXI|0_x0005_`IPR|0_x0005_`BLA|F_x0005_`</t>
  </si>
  <si>
    <t>B02866_1</t>
  </si>
  <si>
    <t>안전로프 재설치(산지할증B)</t>
  </si>
  <si>
    <t>안전로프 기둥 재설치(산지할증A)</t>
  </si>
  <si>
    <t>B02867</t>
  </si>
  <si>
    <t>_x0007_`COD|B02867_x0005_`QTY1|1_x0005_`EXI|0_x0005_`IPR|0_x0005_`BLA|F_x0005_`</t>
  </si>
  <si>
    <t>B02867_1</t>
  </si>
  <si>
    <t>안전로프 기둥 재설치(산지할증B)</t>
  </si>
  <si>
    <t>안전로프 로프교체(산지할증A)</t>
  </si>
  <si>
    <t>P.P로프, Φ20mm</t>
  </si>
  <si>
    <t>B02868</t>
  </si>
  <si>
    <t>_x0007_`COD|B02868_x0005_`QTY1|1_x0005_`EXI|0_x0005_`IPR|0_x0005_`BLA|F_x0005_`</t>
  </si>
  <si>
    <t>B02868_1</t>
  </si>
  <si>
    <t>안전로프 로프교체(산지할증B)</t>
  </si>
  <si>
    <t>운동기구 보수(산지할증A)</t>
  </si>
  <si>
    <t>B02869</t>
  </si>
  <si>
    <t>_x0007_`COD|B02869_x0005_`QTY1|1_x0005_`EXI|0_x0005_`IPR|0_x0005_`BLA|F_x0005_`</t>
  </si>
  <si>
    <t>B02869_1</t>
  </si>
  <si>
    <t>운동기구 보수(산지할증B)</t>
  </si>
  <si>
    <t>목재계단 철거(산지할증A)</t>
  </si>
  <si>
    <t>B02870</t>
  </si>
  <si>
    <t>_x0007_`COD|B02870_x0005_`QTY1|1_x0005_`EXI|0_x0005_`IPR|0_x0005_`BLA|F_x0005_`</t>
  </si>
  <si>
    <t>B02870_1</t>
  </si>
  <si>
    <t>B02871</t>
  </si>
  <si>
    <t>_x0007_`COD|B02871_x0005_`QTY1|1_x0005_`EXI|0_x0005_`IPR|0_x0005_`BLA|F_x0005_`</t>
  </si>
  <si>
    <t>B02871_1</t>
  </si>
  <si>
    <t>B02872</t>
  </si>
  <si>
    <t>_x0007_`COD|B02872_x0005_`QTY1|1_x0005_`EXI|0_x0005_`IPR|0_x0005_`BLA|F_x0005_`</t>
  </si>
  <si>
    <t>B02872_1</t>
  </si>
  <si>
    <t>B02873</t>
  </si>
  <si>
    <t>_x0007_`COD|B02873_x0005_`QTY1|1_x0005_`EXI|0_x0005_`IPR|0_x0005_`BLA|F_x0005_`</t>
  </si>
  <si>
    <t>B02873_1</t>
  </si>
  <si>
    <t>B02874</t>
  </si>
  <si>
    <t>_x0007_`COD|B02874_x0005_`QTY1|1_x0005_`EXI|0_x0005_`IPR|0_x0005_`BLA|F_x0005_`</t>
  </si>
  <si>
    <t>B02874_1</t>
  </si>
  <si>
    <t>목재계단 철거(산지할증B)</t>
  </si>
  <si>
    <t>원주목계단 철거(산지할증A)</t>
  </si>
  <si>
    <t>B02875</t>
  </si>
  <si>
    <t>_x0007_`COD|B02875_x0005_`QTY1|1_x0005_`EXI|0_x0005_`IPR|0_x0005_`BLA|F_x0005_`</t>
  </si>
  <si>
    <t>B02875_1</t>
  </si>
  <si>
    <t>B02876</t>
  </si>
  <si>
    <t>_x0007_`COD|B02876_x0005_`QTY1|1_x0005_`EXI|0_x0005_`IPR|0_x0005_`BLA|F_x0005_`</t>
  </si>
  <si>
    <t>B02876_1</t>
  </si>
  <si>
    <t>B02877</t>
  </si>
  <si>
    <t>_x0007_`COD|B02877_x0005_`QTY1|1_x0005_`EXI|0_x0005_`IPR|0_x0005_`BLA|F_x0005_`</t>
  </si>
  <si>
    <t>B02877_1</t>
  </si>
  <si>
    <t>원주목계단 철거(산지할증B)</t>
  </si>
  <si>
    <t>이정표 철거(산지할증A)</t>
  </si>
  <si>
    <t>B02878</t>
  </si>
  <si>
    <t>_x0007_`COD|B02878_x0005_`QTY1|1_x0005_`EXI|0_x0005_`IPR|0_x0005_`BLA|F_x0005_`</t>
  </si>
  <si>
    <t>B02878_1</t>
  </si>
  <si>
    <t>이정표 철거(산지할증B)</t>
  </si>
  <si>
    <t>방향안내이정표 철거(산지할증A)</t>
  </si>
  <si>
    <t>B02879</t>
  </si>
  <si>
    <t>_x0007_`COD|B02879_x0005_`QTY1|1_x0005_`EXI|0_x0005_`IPR|0_x0005_`BLA|F_x0005_`</t>
  </si>
  <si>
    <t>B02879_1</t>
  </si>
  <si>
    <t>방향안내이정표 철거(산지할증B)</t>
  </si>
  <si>
    <t>안내판 철거(산지할증A)</t>
  </si>
  <si>
    <t>B02880</t>
  </si>
  <si>
    <t>_x0007_`COD|B02880_x0005_`QTY1|1_x0005_`EXI|0_x0005_`IPR|0_x0005_`BLA|F_x0005_`</t>
  </si>
  <si>
    <t>B02880_1</t>
  </si>
  <si>
    <t>B02881</t>
  </si>
  <si>
    <t>_x0007_`COD|B02881_x0005_`QTY1|1_x0005_`EXI|0_x0005_`IPR|0_x0005_`BLA|F_x0005_`</t>
  </si>
  <si>
    <t>B02881_1</t>
  </si>
  <si>
    <t>B02882</t>
  </si>
  <si>
    <t>_x0007_`COD|B02882_x0005_`QTY1|1_x0005_`EXI|0_x0005_`IPR|0_x0005_`BLA|F_x0005_`</t>
  </si>
  <si>
    <t>B02882_1</t>
  </si>
  <si>
    <t>B02883</t>
  </si>
  <si>
    <t>_x0007_`COD|B02883_x0005_`QTY1|1_x0005_`EXI|0_x0005_`IPR|0_x0005_`BLA|F_x0005_`</t>
  </si>
  <si>
    <t>B02883_1</t>
  </si>
  <si>
    <t>안내판 철거(산지할증B)</t>
  </si>
  <si>
    <t>평의자 철거(산지할증A)</t>
  </si>
  <si>
    <t>B02884</t>
  </si>
  <si>
    <t>_x0007_`COD|B02884_x0005_`QTY1|1_x0005_`EXI|0_x0005_`IPR|0_x0005_`BLA|F_x0005_`</t>
  </si>
  <si>
    <t>B02884_1</t>
  </si>
  <si>
    <t>평의자 철거(산지할증B)</t>
  </si>
  <si>
    <t>등의자 철거(산지할증A)</t>
  </si>
  <si>
    <t>B02885</t>
  </si>
  <si>
    <t>_x0007_`COD|B02885_x0005_`QTY1|1_x0005_`EXI|0_x0005_`IPR|0_x0005_`BLA|F_x0005_`</t>
  </si>
  <si>
    <t>B02885_1</t>
  </si>
  <si>
    <t>등의자 철거(산지할증B)</t>
  </si>
  <si>
    <t>안전로프 철거(산지할증A)</t>
  </si>
  <si>
    <t>B02886</t>
  </si>
  <si>
    <t>_x0007_`COD|B02886_x0005_`QTY1|1_x0005_`EXI|0_x0005_`IPR|0_x0005_`BLA|F_x0005_`</t>
  </si>
  <si>
    <t>B02886_1</t>
  </si>
  <si>
    <t>안전로프 철거(산지할증B)</t>
  </si>
  <si>
    <t>윗몸일으키기대 철거(산지할증A)</t>
  </si>
  <si>
    <t>B02887</t>
  </si>
  <si>
    <t>_x0007_`COD|B02887_x0005_`QTY1|1_x0005_`EXI|0_x0005_`IPR|0_x0005_`BLA|F_x0005_`</t>
  </si>
  <si>
    <t>B02887_1</t>
  </si>
  <si>
    <t>윗몸일으키기대 철거(산지할증B)</t>
  </si>
  <si>
    <t>평상철거(산지할증A)</t>
  </si>
  <si>
    <t>B02888</t>
  </si>
  <si>
    <t>_x0007_`COD|B02888_x0005_`QTY1|1_x0005_`EXI|0_x0005_`IPR|0_x0005_`BLA|F_x0005_`</t>
  </si>
  <si>
    <t>B02888_1</t>
  </si>
  <si>
    <t>평상철거(산지할증B)</t>
  </si>
  <si>
    <t>B02819</t>
  </si>
  <si>
    <t>_x0007_`COD|B02819_x0005_`QTY1|1_x0005_`EXI|0_x0005_`IPR|0_x0005_`BLA|F_x0005_`</t>
  </si>
  <si>
    <t>B02819_1</t>
  </si>
  <si>
    <t>콘크리트 구조물 헐기(산지할증A)</t>
  </si>
  <si>
    <t>D01345</t>
  </si>
  <si>
    <t>_x0007_`COD|D01345_x0005_`QTY1|1_x0005_`EXI|0_x0005_`IPR|0_x0005_`BLA|F_x0005_`</t>
  </si>
  <si>
    <t>D01345_1</t>
  </si>
  <si>
    <t>콘크리트 구조물 헐기(산지할증B)</t>
  </si>
  <si>
    <t>산벚나무 식재(산지할증A)</t>
  </si>
  <si>
    <t>B02889</t>
  </si>
  <si>
    <t>_x0007_`COD|B02889_x0005_`QTY1|1_x0005_`EXI|0_x0005_`IPR|0_x0005_`BLA|F_x0005_`</t>
  </si>
  <si>
    <t>B02889_1</t>
  </si>
  <si>
    <t>산벚나무 식재(산지할증B)</t>
  </si>
  <si>
    <t>B02820</t>
  </si>
  <si>
    <t>_x0007_`COD|B02820_x0005_`QTY1|1_x0005_`EXI|0_x0005_`IPR|0_x0005_`BLA|F_x0005_`</t>
  </si>
  <si>
    <t>B02820_1</t>
  </si>
  <si>
    <t>교목 식재(인력, 산지할증A)</t>
  </si>
  <si>
    <t>D01346</t>
  </si>
  <si>
    <t>_x0007_`COD|D01346_x0005_`QTY1|1_x0005_`EXI|0_x0005_`IPR|0_x0005_`BLA|F_x0005_`</t>
  </si>
  <si>
    <t>D01346_1</t>
  </si>
  <si>
    <t>D01347</t>
  </si>
  <si>
    <t>_x0007_`COD|D01347_x0005_`QTY1|1_x0005_`EXI|0_x0005_`IPR|0_x0005_`BLA|F_x0005_`</t>
  </si>
  <si>
    <t>D01347_1</t>
  </si>
  <si>
    <t>교목 식재(인력, 산지할증B)</t>
  </si>
  <si>
    <t>D01320</t>
  </si>
  <si>
    <t>_x0007_`COD|D01320_x0005_`QTY1|1_x0005_`EXI|0_x0005_`IPR|0_x0005_`BLA|F_x0005_`</t>
  </si>
  <si>
    <t>D01320_1</t>
  </si>
  <si>
    <t>D01321</t>
  </si>
  <si>
    <t>_x0007_`COD|D01321_x0005_`QTY1|1_x0005_`EXI|0_x0005_`IPR|0_x0005_`BLA|F_x0005_`</t>
  </si>
  <si>
    <t>D01321_1</t>
  </si>
  <si>
    <t>D01348</t>
  </si>
  <si>
    <t>_x0007_`COD|D01348_x0005_`QTY1|1_x0005_`EXI|0_x0005_`IPR|0_x0005_`BLA|F_x0005_`</t>
  </si>
  <si>
    <t>D01348_1</t>
  </si>
  <si>
    <t>D01349</t>
  </si>
  <si>
    <t>_x0007_`COD|D01349_x0005_`QTY1|1_x0005_`EXI|0_x0005_`IPR|0_x0005_`BLA|F_x0005_`</t>
  </si>
  <si>
    <t>D01349_1</t>
  </si>
  <si>
    <t>D01350</t>
  </si>
  <si>
    <t>_x0007_`COD|D01350_x0005_`QTY1|1_x0005_`EXI|0_x0005_`IPR|0_x0005_`BLA|F_x0005_`</t>
  </si>
  <si>
    <t>D01350_1</t>
  </si>
  <si>
    <t>D01322</t>
  </si>
  <si>
    <t>_x0007_`COD|D01322_x0005_`QTY1|1_x0005_`EXI|0_x0005_`IPR|0_x0005_`BLA|F_x0005_`</t>
  </si>
  <si>
    <t>D01322_1</t>
  </si>
  <si>
    <t>D01323</t>
  </si>
  <si>
    <t>_x0007_`COD|D01323_x0005_`QTY1|1_x0005_`EXI|0_x0005_`IPR|0_x0005_`BLA|F_x0005_`</t>
  </si>
  <si>
    <t>D01323_1</t>
  </si>
  <si>
    <t>D01324</t>
  </si>
  <si>
    <t>_x0007_`COD|D01324_x0005_`QTY1|1_x0005_`EXI|0_x0005_`IPR|0_x0005_`BLA|F_x0005_`</t>
  </si>
  <si>
    <t>D01324_1</t>
  </si>
  <si>
    <t>영산홍 식재(산지할증A)</t>
  </si>
  <si>
    <t>B02890</t>
  </si>
  <si>
    <t>_x0007_`COD|B02890_x0005_`QTY1|1_x0005_`EXI|0_x0005_`IPR|0_x0005_`BLA|F_x0005_`</t>
  </si>
  <si>
    <t>B02890_1</t>
  </si>
  <si>
    <t>영산홍 식재(산지할증B)</t>
  </si>
  <si>
    <t>B02891</t>
  </si>
  <si>
    <t>_x0007_`COD|B02891_x0005_`QTY1|1_x0005_`EXI|0_x0005_`IPR|0_x0005_`BLA|F_x0005_`</t>
  </si>
  <si>
    <t>B02891_1</t>
  </si>
  <si>
    <t>관목 식재(단식, 산지할증A)</t>
  </si>
  <si>
    <t>D01351</t>
  </si>
  <si>
    <t>_x0007_`COD|D01351_x0005_`QTY1|1_x0005_`EXI|0_x0005_`IPR|0_x0005_`BLA|F_x0005_`</t>
  </si>
  <si>
    <t>D01351_1</t>
  </si>
  <si>
    <t>D01352</t>
  </si>
  <si>
    <t>_x0007_`COD|D01352_x0005_`QTY1|1_x0005_`EXI|0_x0005_`IPR|0_x0005_`BLA|F_x0005_`</t>
  </si>
  <si>
    <t>D01352_1</t>
  </si>
  <si>
    <t>D01353</t>
  </si>
  <si>
    <t>_x0007_`COD|D01353_x0005_`QTY1|1_x0005_`EXI|0_x0005_`IPR|0_x0005_`BLA|F_x0005_`</t>
  </si>
  <si>
    <t>D01353_1</t>
  </si>
  <si>
    <t>D01354</t>
  </si>
  <si>
    <t>_x0007_`COD|D01354_x0005_`QTY1|1_x0005_`EXI|0_x0005_`IPR|0_x0005_`BLA|F_x0005_`</t>
  </si>
  <si>
    <t>D01354_1</t>
  </si>
  <si>
    <t>관목 식재(단식, 산지할증B)</t>
  </si>
  <si>
    <t>D01325</t>
  </si>
  <si>
    <t>_x0007_`COD|D01325_x0005_`QTY1|1_x0005_`EXI|0_x0005_`IPR|0_x0005_`BLA|F_x0005_`</t>
  </si>
  <si>
    <t>D01325_1</t>
  </si>
  <si>
    <t>D01327</t>
  </si>
  <si>
    <t>_x0007_`COD|D01327_x0005_`QTY1|1_x0005_`EXI|0_x0005_`IPR|0_x0005_`BLA|F_x0005_`</t>
  </si>
  <si>
    <t>D01327_1</t>
  </si>
  <si>
    <t>D01328</t>
  </si>
  <si>
    <t>_x0007_`COD|D01328_x0005_`QTY1|1_x0005_`EXI|0_x0005_`IPR|0_x0005_`BLA|F_x0005_`</t>
  </si>
  <si>
    <t>D01328_1</t>
  </si>
  <si>
    <t>D01329</t>
  </si>
  <si>
    <t>_x0007_`COD|D01329_x0005_`QTY1|1_x0005_`EXI|0_x0005_`IPR|0_x0005_`BLA|F_x0005_`</t>
  </si>
  <si>
    <t>D01329_1</t>
  </si>
  <si>
    <t>관목 식재(군식, 산지할증A)</t>
  </si>
  <si>
    <t>D01355</t>
  </si>
  <si>
    <t>_x0007_`COD|D01355_x0005_`QTY1|1_x0005_`EXI|0_x0005_`IPR|0_x0005_`BLA|F_x0005_`</t>
  </si>
  <si>
    <t>D01355_1</t>
  </si>
  <si>
    <t>D01356</t>
  </si>
  <si>
    <t>_x0007_`COD|D01356_x0005_`QTY1|1_x0005_`EXI|0_x0005_`IPR|0_x0005_`BLA|F_x0005_`</t>
  </si>
  <si>
    <t>D01356_1</t>
  </si>
  <si>
    <t>D01357</t>
  </si>
  <si>
    <t>_x0007_`COD|D01357_x0005_`QTY1|1_x0005_`EXI|0_x0005_`IPR|0_x0005_`BLA|F_x0005_`</t>
  </si>
  <si>
    <t>D01357_1</t>
  </si>
  <si>
    <t>D01358</t>
  </si>
  <si>
    <t>_x0007_`COD|D01358_x0005_`QTY1|1_x0005_`EXI|0_x0005_`IPR|0_x0005_`BLA|F_x0005_`</t>
  </si>
  <si>
    <t>D01358_1</t>
  </si>
  <si>
    <t>관목 식재(군식, 산지할증B)</t>
  </si>
  <si>
    <t>D01330</t>
  </si>
  <si>
    <t>_x0007_`COD|D01330_x0005_`QTY1|1_x0005_`EXI|0_x0005_`IPR|0_x0005_`BLA|F_x0005_`</t>
  </si>
  <si>
    <t>D01330_1</t>
  </si>
  <si>
    <t>D01326</t>
  </si>
  <si>
    <t>_x0007_`COD|D01326_x0005_`QTY1|1_x0005_`EXI|0_x0005_`IPR|0_x0005_`BLA|F_x0005_`</t>
  </si>
  <si>
    <t>D01326_1</t>
  </si>
  <si>
    <t>D01331</t>
  </si>
  <si>
    <t>_x0007_`COD|D01331_x0005_`QTY1|1_x0005_`EXI|0_x0005_`IPR|0_x0005_`BLA|F_x0005_`</t>
  </si>
  <si>
    <t>D01331_1</t>
  </si>
  <si>
    <t>D01332</t>
  </si>
  <si>
    <t>_x0007_`COD|D01332_x0005_`QTY1|1_x0005_`EXI|0_x0005_`IPR|0_x0005_`BLA|F_x0005_`</t>
  </si>
  <si>
    <t>D01332_1</t>
  </si>
  <si>
    <t>초화류 식재(산지할증A)</t>
  </si>
  <si>
    <t>D01359</t>
  </si>
  <si>
    <t>_x0007_`COD|D01359_x0005_`QTY1|1_x0005_`EXI|0_x0005_`IPR|0_x0005_`BLA|F_x0005_`</t>
  </si>
  <si>
    <t>D01359_1</t>
  </si>
  <si>
    <t>D01360</t>
  </si>
  <si>
    <t>_x0007_`COD|D01360_x0005_`QTY1|1_x0005_`EXI|0_x0005_`IPR|0_x0005_`BLA|F_x0005_`</t>
  </si>
  <si>
    <t>D01360_1</t>
  </si>
  <si>
    <t>D01361</t>
  </si>
  <si>
    <t>_x0007_`COD|D01361_x0005_`QTY1|1_x0005_`EXI|0_x0005_`IPR|0_x0005_`BLA|F_x0005_`</t>
  </si>
  <si>
    <t>D01361_1</t>
  </si>
  <si>
    <t>초화류 식재(산지할증B)</t>
  </si>
  <si>
    <t>D01333</t>
  </si>
  <si>
    <t>_x0007_`COD|D01333_x0005_`QTY1|1_x0005_`EXI|0_x0005_`IPR|0_x0005_`BLA|F_x0005_`</t>
  </si>
  <si>
    <t>D01333_1</t>
  </si>
  <si>
    <t>D01334</t>
  </si>
  <si>
    <t>_x0007_`COD|D01334_x0005_`QTY1|1_x0005_`EXI|0_x0005_`IPR|0_x0005_`BLA|F_x0005_`</t>
  </si>
  <si>
    <t>D01334_1</t>
  </si>
  <si>
    <t>D01335</t>
  </si>
  <si>
    <t>_x0007_`COD|D01335_x0005_`QTY1|1_x0005_`EXI|0_x0005_`IPR|0_x0005_`BLA|F_x0005_`</t>
  </si>
  <si>
    <t>D01335_1</t>
  </si>
  <si>
    <t>잔디 붙임(산지할증A)</t>
  </si>
  <si>
    <t>B02892</t>
  </si>
  <si>
    <t>_x0007_`COD|B02892_x0005_`QTY1|1_x0005_`EXI|0_x0005_`IPR|0_x0005_`BLA|F_x0005_`</t>
  </si>
  <si>
    <t>B02892_1</t>
  </si>
  <si>
    <t>B02893</t>
  </si>
  <si>
    <t>_x0007_`COD|B02893_x0005_`QTY1|1_x0005_`EXI|0_x0005_`IPR|0_x0005_`BLA|F_x0005_`</t>
  </si>
  <si>
    <t>B02893_1</t>
  </si>
  <si>
    <t>잔디 붙임(산지할증B)</t>
  </si>
  <si>
    <t>B02821</t>
  </si>
  <si>
    <t>_x0007_`COD|B02821_x0005_`QTY1|1_x0005_`EXI|0_x0005_`IPR|0_x0005_`BLA|F_x0005_`</t>
  </si>
  <si>
    <t>B02821_1</t>
  </si>
  <si>
    <t>B02822</t>
  </si>
  <si>
    <t>_x0007_`COD|B02822_x0005_`QTY1|1_x0005_`EXI|0_x0005_`IPR|0_x0005_`BLA|F_x0005_`</t>
  </si>
  <si>
    <t>B02822_1</t>
  </si>
  <si>
    <t>예초(경사지)</t>
  </si>
  <si>
    <t>D01336</t>
  </si>
  <si>
    <t>_x0007_`COD|D01336_x0005_`QTY1|1_x0005_`EXI|0_x0005_`IPR|0_x0005_`BLA|F_x0005_`</t>
  </si>
  <si>
    <t>D01336_1</t>
  </si>
  <si>
    <t>D01337</t>
  </si>
  <si>
    <t>_x0007_`COD|D01337_x0005_`QTY1|1_x0005_`EXI|0_x0005_`IPR|0_x0005_`BLA|F_x0005_`</t>
  </si>
  <si>
    <t>D01337_1</t>
  </si>
  <si>
    <t>D01338</t>
  </si>
  <si>
    <t>_x0007_`COD|D01338_x0005_`QTY1|1_x0005_`EXI|0_x0005_`IPR|0_x0005_`BLA|F_x0005_`</t>
  </si>
  <si>
    <t>D01338_1</t>
  </si>
  <si>
    <t>일반 전정(인력시공, 산지할증A)</t>
  </si>
  <si>
    <t>D01362</t>
  </si>
  <si>
    <t>_x0007_`COD|D01362_x0005_`QTY1|1_x0005_`EXI|0_x0005_`IPR|0_x0005_`BLA|F_x0005_`</t>
  </si>
  <si>
    <t>D01362_1</t>
  </si>
  <si>
    <t>D01363</t>
  </si>
  <si>
    <t>_x0007_`COD|D01363_x0005_`QTY1|1_x0005_`EXI|0_x0005_`IPR|0_x0005_`BLA|F_x0005_`</t>
  </si>
  <si>
    <t>D01363_1</t>
  </si>
  <si>
    <t>D01364</t>
  </si>
  <si>
    <t>_x0007_`COD|D01364_x0005_`QTY1|1_x0005_`EXI|0_x0005_`IPR|0_x0005_`BLA|F_x0005_`</t>
  </si>
  <si>
    <t>D01364_1</t>
  </si>
  <si>
    <t>일반 전정(인력시공, 산지할증B)</t>
  </si>
  <si>
    <t>D01339</t>
  </si>
  <si>
    <t>_x0007_`COD|D01339_x0005_`QTY1|1_x0005_`EXI|0_x0005_`IPR|0_x0005_`BLA|F_x0005_`</t>
  </si>
  <si>
    <t>D01339_1</t>
  </si>
  <si>
    <t>D01340</t>
  </si>
  <si>
    <t>_x0007_`COD|D01340_x0005_`QTY1|1_x0005_`EXI|0_x0005_`IPR|0_x0005_`BLA|F_x0005_`</t>
  </si>
  <si>
    <t>D01340_1</t>
  </si>
  <si>
    <t>D01341</t>
  </si>
  <si>
    <t>_x0007_`COD|D01341_x0005_`QTY1|1_x0005_`EXI|0_x0005_`IPR|0_x0005_`BLA|F_x0005_`</t>
  </si>
  <si>
    <t>D01341_1</t>
  </si>
  <si>
    <t>D01365</t>
  </si>
  <si>
    <t>_x0007_`COD|D01365_x0005_`QTY1|1_x0005_`EXI|0_x0005_`IPR|0_x0005_`BLA|F_x0005_`</t>
  </si>
  <si>
    <t>D01365_1</t>
  </si>
  <si>
    <t>D01366</t>
  </si>
  <si>
    <t>_x0007_`COD|D01366_x0005_`QTY1|1_x0005_`EXI|0_x0005_`IPR|0_x0005_`BLA|F_x0005_`</t>
  </si>
  <si>
    <t>D01366_1</t>
  </si>
  <si>
    <t>D01367</t>
  </si>
  <si>
    <t>_x0007_`COD|D01367_x0005_`QTY1|1_x0005_`EXI|0_x0005_`IPR|0_x0005_`BLA|F_x0005_`</t>
  </si>
  <si>
    <t>D01367_1</t>
  </si>
  <si>
    <t>D01342</t>
  </si>
  <si>
    <t>_x0007_`COD|D01342_x0005_`QTY1|1_x0005_`EXI|0_x0005_`IPR|0_x0005_`BLA|F_x0005_`</t>
  </si>
  <si>
    <t>D01342_1</t>
  </si>
  <si>
    <t>D01343</t>
  </si>
  <si>
    <t>_x0007_`COD|D01343_x0005_`QTY1|1_x0005_`EXI|0_x0005_`IPR|0_x0005_`BLA|F_x0005_`</t>
  </si>
  <si>
    <t>D01343_1</t>
  </si>
  <si>
    <t>D01344</t>
  </si>
  <si>
    <t>_x0007_`COD|D01344_x0005_`QTY1|1_x0005_`EXI|0_x0005_`IPR|0_x0005_`BLA|F_x0005_`</t>
  </si>
  <si>
    <t>D01344_1</t>
  </si>
  <si>
    <t>독립기초(산지할증A)</t>
  </si>
  <si>
    <t>B02894</t>
  </si>
  <si>
    <t>_x0007_`COD|B02894_x0005_`QTY1|1_x0005_`EXI|0_x0005_`IPR|0_x0005_`BLA|F_x0005_`</t>
  </si>
  <si>
    <t>B02894_1</t>
  </si>
  <si>
    <t>B02895</t>
  </si>
  <si>
    <t>_x0007_`COD|B02895_x0005_`QTY1|1_x0005_`EXI|0_x0005_`IPR|0_x0005_`BLA|F_x0005_`</t>
  </si>
  <si>
    <t>B02895_1</t>
  </si>
  <si>
    <t>B02896</t>
  </si>
  <si>
    <t>_x0007_`COD|B02896_x0005_`QTY1|1_x0005_`EXI|0_x0005_`IPR|0_x0005_`BLA|F_x0005_`</t>
  </si>
  <si>
    <t>B02896_1</t>
  </si>
  <si>
    <t>독립기초(산지할증B)</t>
  </si>
  <si>
    <t xml:space="preserve">D01350 </t>
  </si>
  <si>
    <t>_x0007_`COD|D01350_x0005_`EXI|0_x0005_`DVD|F_x0005_`BMK| _x0005_`IPR|0_x0005_`BLA|F_x0005_`</t>
  </si>
  <si>
    <t xml:space="preserve">D01324 </t>
  </si>
  <si>
    <t>_x0007_`COD|D01324_x0005_`EXI|0_x0005_`DVD|F_x0005_`BMK| _x0005_`IPR|0_x0005_`BLA|F_x0005_`</t>
  </si>
  <si>
    <t xml:space="preserve">D01356 </t>
  </si>
  <si>
    <t>_x0007_`COD|D01356_x0005_`EXI|0_x0005_`DVD|F_x0005_`BMK| _x0005_`IPR|0_x0005_`BLA|F_x0005_`</t>
  </si>
  <si>
    <t xml:space="preserve">D01326 </t>
  </si>
  <si>
    <t>_x0007_`COD|D01326_x0005_`EXI|0_x0005_`DVD|F_x0005_`BMK| _x0005_`IPR|0_x0005_`BLA|F_x0005_`</t>
  </si>
  <si>
    <t xml:space="preserve"> 제  264 호표</t>
  </si>
  <si>
    <t xml:space="preserve"> 제  265 호표</t>
  </si>
  <si>
    <t xml:space="preserve"> 제  266 호표</t>
  </si>
  <si>
    <t xml:space="preserve"> 제  267 호표</t>
  </si>
  <si>
    <t xml:space="preserve"> 제  268 호표</t>
  </si>
  <si>
    <t>_x0007_`COD|D01216_x0005_`EXI|0_x0005_`DVD|F_x0005_`BMK| _x0005_`IPR|1_x0005_`BLA|F_x0005_`</t>
  </si>
  <si>
    <t xml:space="preserve"> 제  269 호표</t>
  </si>
  <si>
    <t>_x0007_`COD|D00939_x0005_`EXI|0_x0005_`DVD|F_x0005_`BMK| _x0005_`IPR|1_x0005_`BLA|F_x0005_`</t>
  </si>
  <si>
    <t xml:space="preserve"> 제  270 호표</t>
  </si>
  <si>
    <t xml:space="preserve"> 제  271 호표</t>
  </si>
  <si>
    <t xml:space="preserve"> 제  272 호표</t>
  </si>
  <si>
    <t xml:space="preserve"> 제  273 호표</t>
  </si>
  <si>
    <t xml:space="preserve"> 제  274 호표</t>
  </si>
  <si>
    <t xml:space="preserve"> 제  275 호표</t>
  </si>
  <si>
    <t xml:space="preserve"> 제  276 호표</t>
  </si>
  <si>
    <t xml:space="preserve"> 제  277 호표</t>
  </si>
  <si>
    <t xml:space="preserve"> 제  278 호표</t>
  </si>
  <si>
    <t xml:space="preserve"> 제  279 호표</t>
  </si>
  <si>
    <t xml:space="preserve"> 제  280 호표</t>
  </si>
  <si>
    <t xml:space="preserve"> 제  281 호표</t>
  </si>
  <si>
    <t xml:space="preserve"> 제  282 호표</t>
  </si>
  <si>
    <t xml:space="preserve"> 제  283 호표</t>
  </si>
  <si>
    <t xml:space="preserve"> 제  284 호표</t>
  </si>
  <si>
    <t xml:space="preserve"> 제  285 호표</t>
  </si>
  <si>
    <t xml:space="preserve"> 제  286 호표</t>
  </si>
  <si>
    <t xml:space="preserve"> 제  287 호표</t>
  </si>
  <si>
    <t xml:space="preserve"> 제  288 호표</t>
  </si>
  <si>
    <t xml:space="preserve"> 제  289 호표</t>
  </si>
  <si>
    <t xml:space="preserve"> 제  290 호표</t>
  </si>
  <si>
    <t xml:space="preserve"> 제  291 호표</t>
  </si>
  <si>
    <t xml:space="preserve"> 제  292 호표</t>
  </si>
  <si>
    <t xml:space="preserve"> 제  293 호표</t>
  </si>
  <si>
    <t xml:space="preserve"> 제  294 호표</t>
  </si>
  <si>
    <t xml:space="preserve"> 제  295 호표</t>
  </si>
  <si>
    <t xml:space="preserve"> 제  296 호표</t>
  </si>
  <si>
    <t xml:space="preserve"> 제  297 호표</t>
  </si>
  <si>
    <t xml:space="preserve"> 제  298 호표</t>
  </si>
  <si>
    <t xml:space="preserve"> 제  299 호표</t>
  </si>
  <si>
    <t xml:space="preserve"> 제  300 호표</t>
  </si>
  <si>
    <t xml:space="preserve"> 제  301 호표</t>
  </si>
  <si>
    <t xml:space="preserve"> 제  302 호표</t>
  </si>
  <si>
    <t xml:space="preserve"> 제  303 호표</t>
  </si>
  <si>
    <t xml:space="preserve"> 제  304 호표</t>
  </si>
  <si>
    <t xml:space="preserve"> 제  305 호표</t>
  </si>
  <si>
    <t xml:space="preserve"> 제  306 호표</t>
  </si>
  <si>
    <t xml:space="preserve"> 제  307 호표</t>
  </si>
  <si>
    <t xml:space="preserve"> 제  308 호표</t>
  </si>
  <si>
    <t xml:space="preserve"> 제  309 호표</t>
  </si>
  <si>
    <t xml:space="preserve"> 제  310 호표</t>
  </si>
  <si>
    <t xml:space="preserve"> 제  311 호표</t>
  </si>
  <si>
    <t xml:space="preserve"> 제  312 호표</t>
  </si>
  <si>
    <t xml:space="preserve"> 제  313 호표</t>
  </si>
  <si>
    <t xml:space="preserve"> 제  314 호표</t>
  </si>
  <si>
    <t xml:space="preserve"> 제  315 호표</t>
  </si>
  <si>
    <t xml:space="preserve"> 제  316 호표</t>
  </si>
  <si>
    <t xml:space="preserve"> 제  317 호표</t>
  </si>
  <si>
    <t xml:space="preserve"> 제  318 호표</t>
  </si>
  <si>
    <t xml:space="preserve"> 제  319 호표</t>
  </si>
  <si>
    <t xml:space="preserve"> 제  320 호표</t>
  </si>
  <si>
    <t xml:space="preserve"> 제  321 호표</t>
  </si>
  <si>
    <t xml:space="preserve"> 제  322 호표</t>
  </si>
  <si>
    <t xml:space="preserve"> 제  323 호표</t>
  </si>
  <si>
    <t xml:space="preserve"> 제  324 호표</t>
  </si>
  <si>
    <t xml:space="preserve"> 제  325 호표</t>
  </si>
  <si>
    <t xml:space="preserve"> 제  326 호표</t>
  </si>
  <si>
    <t xml:space="preserve"> 제  327 호표</t>
  </si>
  <si>
    <t xml:space="preserve"> 제  328 호표</t>
  </si>
  <si>
    <t xml:space="preserve"> 제  329 호표</t>
  </si>
  <si>
    <t xml:space="preserve"> 제  330 호표</t>
  </si>
  <si>
    <t xml:space="preserve"> 제  331 호표</t>
  </si>
  <si>
    <t xml:space="preserve"> 제  332 호표</t>
  </si>
  <si>
    <t xml:space="preserve"> 제  333 호표</t>
  </si>
  <si>
    <t xml:space="preserve"> 제  334 호표</t>
  </si>
  <si>
    <t xml:space="preserve"> 제  335 호표</t>
  </si>
  <si>
    <t xml:space="preserve"> 제  336 호표</t>
  </si>
  <si>
    <t xml:space="preserve"> 제  337 호표</t>
  </si>
  <si>
    <t xml:space="preserve"> 제  338 호표</t>
  </si>
  <si>
    <t xml:space="preserve"> 제  339 호표</t>
  </si>
  <si>
    <t xml:space="preserve"> 제  340 호표</t>
  </si>
  <si>
    <t xml:space="preserve"> 제  341 호표</t>
  </si>
  <si>
    <t>관목 식재(군식, 산지할증A) H0.3m~0.7m이하  / 주</t>
  </si>
  <si>
    <t>_x0007_ '산지할증 :'&amp;PS_L:L&amp; * 15'%' =</t>
  </si>
  <si>
    <t>관목 식재(군식, 산지할증A) H0.3m미만  / 주</t>
  </si>
  <si>
    <t>관목 식재(군식, 산지할증A) H0.8m~1.1m이하  / 주</t>
  </si>
  <si>
    <t>관목 식재(군식, 산지할증A) H1.2m~1.5m이하  / 주</t>
  </si>
  <si>
    <t>관목 식재(군식, 산지할증B) H0.3m~0.7m이하  / 주</t>
  </si>
  <si>
    <t>_x0007_ '산지할증 :'&amp;PS_L:L&amp; * 25'%' =</t>
  </si>
  <si>
    <t>관목 식재(군식, 산지할증B) H0.3m미만  / 주</t>
  </si>
  <si>
    <t>관목 식재(군식, 산지할증B) H0.8m~1.1m이하  / 주</t>
  </si>
  <si>
    <t>관목 식재(군식, 산지할증B) H1.2m~1.5m이하  / 주</t>
  </si>
  <si>
    <t>관목 식재(단식, 산지할증A) H0.3m~0.7m이하  / 주</t>
  </si>
  <si>
    <t>관목 식재(단식, 산지할증A) H0.3m미만  / 주</t>
  </si>
  <si>
    <t>관목 식재(단식, 산지할증A) H0.8m~1.1m이하  / 주</t>
  </si>
  <si>
    <t>관목 식재(단식, 산지할증A) H1.2m~1.5m이하  / 주</t>
  </si>
  <si>
    <t>관목 식재(단식, 산지할증B) H0.3m~0.7m이하  / 주</t>
  </si>
  <si>
    <t>관목 식재(단식, 산지할증B) H0.3m미만  / 주</t>
  </si>
  <si>
    <t>관목 식재(단식, 산지할증B) H0.8m~1.1m이하  / 주</t>
  </si>
  <si>
    <t>관목 식재(단식, 산지할증B) H1.2m~1.5m이하  / 주</t>
  </si>
  <si>
    <t>교목 식재(인력, 산지할증A) B5(R6) 이하  / 주</t>
  </si>
  <si>
    <t>PRS_(7)_1</t>
  </si>
  <si>
    <t>교목 식재(인력, 산지할증A) B6~7 (R7~8)  / 주</t>
  </si>
  <si>
    <t>교목 식재(인력, 산지할증A) 수고 2.0m 이하  / 주</t>
  </si>
  <si>
    <t>교목 식재(인력, 산지할증A) 수고 3.0m 이하  / 주</t>
  </si>
  <si>
    <t>교목 식재(인력, 산지할증A) 수고 5.0m 이하  / 주</t>
  </si>
  <si>
    <t>교목 식재(인력, 산지할증B) B5(R6) 이하  / 주</t>
  </si>
  <si>
    <t>교목 식재(인력, 산지할증B) B6~7 (R7~8)  / 주</t>
  </si>
  <si>
    <t>교목 식재(인력, 산지할증B) 수고 2.0m 이하  / 주</t>
  </si>
  <si>
    <t>교목 식재(인력, 산지할증B) 수고 3.0m 이하  / 주</t>
  </si>
  <si>
    <t>교목 식재(인력, 산지할증B) 수고 5.0m 이하  / 주</t>
  </si>
  <si>
    <t>예초(경사지) 연 1회  / ㎡</t>
  </si>
  <si>
    <t xml:space="preserve"> ○ 예초(연 1회, 경사도 25˚이상) </t>
  </si>
  <si>
    <t>_x0007_'○ 예초(연 1회, 경사도 25˚이상)'</t>
  </si>
  <si>
    <t>_x0007_'일당 작업량 :' Q1 = 2500 * 0.6 = '㎡'</t>
  </si>
  <si>
    <t>예초(경사지) 연 2회  / ㎡</t>
  </si>
  <si>
    <t xml:space="preserve"> ○ 예초(연 2회, 경사도 25˚이상) </t>
  </si>
  <si>
    <t>_x0007_'○ 예초(연 2회, 경사도 25˚이상)'</t>
  </si>
  <si>
    <t>예초(경사지) 연 3회  / ㎡</t>
  </si>
  <si>
    <t xml:space="preserve"> ○ 예초(연 3회, 경사도 25˚이상) </t>
  </si>
  <si>
    <t>_x0007_'○ 예초(연 3회, 경사도 25˚이상)'</t>
  </si>
  <si>
    <t>_x0007_'일당 작업량 :' Q1 = 2500 * 0.9 = '㎡'</t>
  </si>
  <si>
    <t>일반 전정(인력시공, 산지할증A) 낙엽수, B11cm미만  / 주</t>
  </si>
  <si>
    <t>일반 전정(인력시공, 산지할증A) 낙엽수, B11~21cm미만  / 주</t>
  </si>
  <si>
    <t>일반 전정(인력시공, 산지할증A) 낙엽수, B21~31cm미만  / 주</t>
  </si>
  <si>
    <t>일반 전정(인력시공, 산지할증A) 상록수, B11cm미만  / 주</t>
  </si>
  <si>
    <t>일반 전정(인력시공, 산지할증A) 상록수, B11~21cm미만  / 주</t>
  </si>
  <si>
    <t>일반 전정(인력시공, 산지할증A) 상록수, B21~31cm미만  / 주</t>
  </si>
  <si>
    <t>일반 전정(인력시공, 산지할증B) 낙엽수, B11cm미만  / 주</t>
  </si>
  <si>
    <t>일반 전정(인력시공, 산지할증B) 낙엽수, B11~21cm미만  / 주</t>
  </si>
  <si>
    <t>일반 전정(인력시공, 산지할증B) 낙엽수, B21~31cm미만  / 주</t>
  </si>
  <si>
    <t>일반 전정(인력시공, 산지할증B) 상록수, B11cm미만  / 주</t>
  </si>
  <si>
    <t>일반 전정(인력시공, 산지할증B) 상록수, B11~21cm미만  / 주</t>
  </si>
  <si>
    <t>일반 전정(인력시공, 산지할증B) 상록수, B21~31cm미만  / 주</t>
  </si>
  <si>
    <t>초화류 식재(산지할증A) 보통  / 주</t>
  </si>
  <si>
    <t>초화류 식재(산지할증A) 불량  / 주</t>
  </si>
  <si>
    <t>초화류 식재(산지할증A) 양호  / 주</t>
  </si>
  <si>
    <t>초화류 식재(산지할증B) 보통  / 주</t>
  </si>
  <si>
    <t>초화류 식재(산지할증B) 불량  / 주</t>
  </si>
  <si>
    <t>초화류 식재(산지할증B) 양호  / 주</t>
  </si>
  <si>
    <t>콘크리트 구조물 헐기(산지할증A) 인력, 무근  / ㎥</t>
  </si>
  <si>
    <t>_x0007_'산지할증 :'&amp;PS_L:L&amp; * 15'%' =</t>
  </si>
  <si>
    <t>콘크리트 구조물 헐기(산지할증B) 인력, 무근  / ㎥</t>
  </si>
  <si>
    <t xml:space="preserve"> 착공일로부터  12월 31일 까지</t>
    <phoneticPr fontId="13" type="noConversion"/>
  </si>
  <si>
    <t>용인특례시 처인구청</t>
    <phoneticPr fontId="13" type="noConversion"/>
  </si>
  <si>
    <t xml:space="preserve"> - 처인구 이동, 남사, 원삼, 백암, 양지 (상황에 따라 변동될 수 있음)</t>
    <phoneticPr fontId="13" type="noConversion"/>
  </si>
  <si>
    <t>2026. 08.</t>
    <phoneticPr fontId="13" type="noConversion"/>
  </si>
  <si>
    <t>2026년 처인구 숲길(등산로) 유지관리공사(2차)</t>
    <phoneticPr fontId="112" type="noConversion"/>
  </si>
  <si>
    <t>▣ 공   사   명 : 2026년 처인구 숲길(등산로) 유지관리공사(2차)</t>
    <phoneticPr fontId="13" type="noConversion"/>
  </si>
  <si>
    <t xml:space="preserve">     1. 공 사 명 : 2026년 처인구 숲길(등산로) 유지관리공사(2차)</t>
    <phoneticPr fontId="13" type="noConversion"/>
  </si>
  <si>
    <t>공사명 : 2026년 처인구 숲길(등산로) 유지관리공사(2차)</t>
  </si>
  <si>
    <t>공사명 : 2026년 처인구 숲길(등산로) 유지관리공사(2차)</t>
    <phoneticPr fontId="13" type="noConversion"/>
  </si>
  <si>
    <t>12. 석면피해구제분담금</t>
    <phoneticPr fontId="13" type="noConversion"/>
  </si>
  <si>
    <t>13. 임금채권부담금</t>
    <phoneticPr fontId="13" type="noConversion"/>
  </si>
  <si>
    <t>2026년 처인구 숲길(등산로) 유지관리공사(2차)</t>
    <phoneticPr fontId="13" type="noConversion"/>
  </si>
  <si>
    <t xml:space="preserve">   2026 년     8 월        일</t>
    <phoneticPr fontId="13" type="noConversion"/>
  </si>
  <si>
    <t>8월</t>
    <phoneticPr fontId="13" type="noConversion"/>
  </si>
  <si>
    <t>석면피해구제분담금</t>
  </si>
  <si>
    <t>임금채권부담금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</si>
</sst>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0.00_);[Red]\(0.00\)"/>
    <numFmt numFmtId="178" formatCode="0.000_);[Red]\(0.000\)"/>
    <numFmt numFmtId="179" formatCode="0_);[Red]\(0\)"/>
    <numFmt numFmtId="180" formatCode="0.0_);[Red]\(0.0\)"/>
    <numFmt numFmtId="181" formatCode="0.000"/>
    <numFmt numFmtId="182" formatCode="_-* #,##0.000_-;\-* #,##0.000_-;_-* &quot;-&quot;_-;_-@_-"/>
    <numFmt numFmtId="183" formatCode="#,##0&quot; &quot;;[Red]&quot;△&quot;#,##0&quot; &quot;"/>
    <numFmt numFmtId="184" formatCode="* #,##0&quot; &quot;;[Red]* &quot;△&quot;#,##0&quot; &quot;;* @"/>
    <numFmt numFmtId="185" formatCode="#,##0.####;[Red]&quot;△&quot;#,##0.####"/>
    <numFmt numFmtId="186" formatCode="#,##0.00##;[Red]&quot;△&quot;#,##0.00##"/>
    <numFmt numFmtId="187" formatCode="#,##0&quot; 원&quot;"/>
    <numFmt numFmtId="188" formatCode="0.00_)"/>
    <numFmt numFmtId="189" formatCode="yy&quot;₩&quot;/mm&quot;₩&quot;/dd"/>
    <numFmt numFmtId="190" formatCode="_(* #,##0.0_);_(* \(#,##0.0\);_(* &quot;-&quot;??_);_(@_)"/>
    <numFmt numFmtId="191" formatCode="mm&quot;월&quot;\ dd&quot;일&quot;"/>
    <numFmt numFmtId="192" formatCode="_ * #,##0_ ;_ * &quot;₩&quot;\!\-#,##0_ ;_ * &quot;-&quot;_ ;_ @_ "/>
    <numFmt numFmtId="193" formatCode="#,##0;[Red]&quot;-&quot;#,##0"/>
    <numFmt numFmtId="194" formatCode="_-&quot;₩&quot;* #,##0.00_-;&quot;₩&quot;&quot;₩&quot;\-&quot;₩&quot;* #,##0.00_-;_-&quot;₩&quot;* &quot;-&quot;??_-;_-@_-"/>
    <numFmt numFmtId="195" formatCode="_-* #,##0.00_-;&quot;₩&quot;&quot;₩&quot;\-* #,##0.00_-;_-* &quot;-&quot;??_-;_-@_-"/>
    <numFmt numFmtId="196" formatCode="&quot;₩&quot;#,##0;&quot;₩&quot;&quot;₩&quot;&quot;₩&quot;&quot;₩&quot;\-#,##0"/>
    <numFmt numFmtId="197" formatCode="&quot;₩&quot;#,##0.00;&quot;₩&quot;&quot;₩&quot;&quot;₩&quot;&quot;₩&quot;\-#,##0.00"/>
    <numFmt numFmtId="198" formatCode="#,##0.00_ "/>
    <numFmt numFmtId="199" formatCode="General_)"/>
    <numFmt numFmtId="200" formatCode="0.0_)"/>
    <numFmt numFmtId="201" formatCode="_-&quot;$&quot;* #,##0_-;\-&quot;$&quot;* #,##0_-;_-&quot;$&quot;* &quot;-&quot;_-;_-@_-"/>
    <numFmt numFmtId="202" formatCode="_-&quot;$&quot;* #,##0.00_-;\-&quot;$&quot;* #,##0.00_-;_-&quot;$&quot;* &quot;-&quot;??_-;_-@_-"/>
    <numFmt numFmtId="203" formatCode="#,##0&quot;£&quot;_);[Red]\(#,##0&quot;£&quot;\)"/>
    <numFmt numFmtId="204" formatCode="@\ &quot;주임&quot;"/>
    <numFmt numFmtId="205" formatCode="#,##0&quot;칸&quot;"/>
    <numFmt numFmtId="206" formatCode="_(* #,##0_);_(* \(#,##0\);_(* &quot;-&quot;_);_(@_)"/>
    <numFmt numFmtId="207" formatCode="&quot;Fr.&quot;\ #,##0;[Red]&quot;Fr.&quot;\ \-#,##0"/>
    <numFmt numFmtId="208" formatCode="&quot;Fr.&quot;\ #,##0.00;[Red]&quot;Fr.&quot;\ \-#,##0.00"/>
    <numFmt numFmtId="209" formatCode="#,##0.000;&quot;△&quot;#,##0.000"/>
    <numFmt numFmtId="210" formatCode="#,##0.00;&quot;△&quot;#,##0.00"/>
    <numFmt numFmtId="211" formatCode="_-[$€-2]* #,##0.00_-;\-[$€-2]* #,##0.00_-;_-[$€-2]* &quot;-&quot;??_-"/>
    <numFmt numFmtId="212" formatCode="_(&quot;$&quot;* #,##0_);_(&quot;$&quot;* \(#,##0\);_(&quot;$&quot;* &quot;-&quot;??_);_(@_)"/>
    <numFmt numFmtId="213" formatCode="0.00_ "/>
    <numFmt numFmtId="214" formatCode="_-* #,##0.0_-;\-* #,##0.0_-;_-* &quot;-&quot;_-;_-@_-"/>
    <numFmt numFmtId="215" formatCode="_-* #,##0.00_-;\-* #,##0.00_-;_-* &quot;-&quot;_-;_-@_-"/>
    <numFmt numFmtId="216" formatCode="#,##0_);\(#,##0\)"/>
    <numFmt numFmtId="217" formatCode="0_ "/>
    <numFmt numFmtId="218" formatCode="0.000_ "/>
    <numFmt numFmtId="219" formatCode="#,##0_ "/>
    <numFmt numFmtId="220" formatCode="0.0"/>
    <numFmt numFmtId="221" formatCode=";;;"/>
    <numFmt numFmtId="222" formatCode="_-* #,##0.0_-;\-* #,##0.0_-;_-* &quot;-&quot;??_-;_-@_-"/>
    <numFmt numFmtId="223" formatCode="_-* #,##0_-;\-* #,##0_-;_-* &quot;-&quot;??_-;_-@_-"/>
    <numFmt numFmtId="224" formatCode="#,##0;&quot;-&quot;#,##0"/>
    <numFmt numFmtId="225" formatCode="0.0000%"/>
    <numFmt numFmtId="226" formatCode="#,##0.0000"/>
    <numFmt numFmtId="227" formatCode="#,##0.0;[Red]#,##0.0;&quot; &quot;"/>
    <numFmt numFmtId="228" formatCode="0.0000"/>
    <numFmt numFmtId="229" formatCode="#,##0,"/>
    <numFmt numFmtId="230" formatCode="#,##0.000\ &quot;10공/㎥ &quot;"/>
    <numFmt numFmtId="231" formatCode="#,##0.00;[Red]#,##0.00;&quot; &quot;"/>
    <numFmt numFmtId="232" formatCode="#,##0.00\ &quot;a &quot;"/>
    <numFmt numFmtId="233" formatCode="_ &quot;₩&quot;* #,##0_ ;_ &quot;₩&quot;* \-#,##0_ ;_ &quot;₩&quot;* &quot;-&quot;_ ;_ @_ "/>
    <numFmt numFmtId="234" formatCode="_ &quot;₩&quot;* #,##0.00_ ;_ &quot;₩&quot;* \-#,##0.00_ ;_ &quot;₩&quot;* &quot;-&quot;??_ ;_ @_ "/>
    <numFmt numFmtId="235" formatCode="#,##0.000;[Red]&quot;-&quot;#,##0.000"/>
    <numFmt numFmtId="236" formatCode="_ * #,##0.00_ ;_ * \-#,##0.00_ ;_ * &quot;-&quot;??_ ;_ @_ "/>
    <numFmt numFmtId="237" formatCode="_ &quot;₩&quot;* #,##0.00_ ;_ &quot;₩&quot;* &quot;₩&quot;&quot;₩&quot;&quot;₩&quot;&quot;₩&quot;\-#,##0.00_ ;_ &quot;₩&quot;* &quot;-&quot;??_ ;_ @_ "/>
    <numFmt numFmtId="238" formatCode="_ &quot;₩&quot;\ * #,##0.00_ ;_ &quot;₩&quot;\ * \-#,##0.00_ ;_ &quot;₩&quot;\ * &quot;-&quot;??_ ;_ @_ "/>
    <numFmt numFmtId="239" formatCode="#,##0.000\ &quot;EA &quot;"/>
    <numFmt numFmtId="240" formatCode="#,##0.000\ &quot;㎏ &quot;"/>
    <numFmt numFmtId="241" formatCode="#,##0.00\ &quot;ℓ &quot;"/>
    <numFmt numFmtId="242" formatCode="#,##0.000\ &quot;m  &quot;"/>
    <numFmt numFmtId="243" formatCode="#,##0.000\ &quot;㎡ &quot;"/>
    <numFmt numFmtId="244" formatCode="#,##0.000\ &quot;㎥ &quot;"/>
    <numFmt numFmtId="245" formatCode="_-* #,##0_-;&quot;₩&quot;\!\-* #,##0_-;_-* &quot;-&quot;_-;_-@_-"/>
    <numFmt numFmtId="246" formatCode="#."/>
    <numFmt numFmtId="247" formatCode="_*\ ??_-"/>
    <numFmt numFmtId="248" formatCode="#,##0.000\ &quot;ton &quot;"/>
    <numFmt numFmtId="249" formatCode="#,##0.00\ &quot;개 &quot;"/>
    <numFmt numFmtId="250" formatCode="#,###\ &quot;개&quot;"/>
    <numFmt numFmtId="251" formatCode="#,##0.0\ &quot;개소 &quot;"/>
    <numFmt numFmtId="252" formatCode="#,##0;[Red]#,##0"/>
    <numFmt numFmtId="253" formatCode="#,###.00\ &quot;매 &quot;"/>
    <numFmt numFmtId="254" formatCode="_(&quot;RM&quot;* #,##0.00_);_(&quot;RM&quot;* \(#,##0.00\);_(&quot;RM&quot;* &quot;-&quot;??_);_(@_)"/>
    <numFmt numFmtId="255" formatCode="&quot;US$&quot;#,##0_);\(&quot;US$&quot;#,##0\)"/>
    <numFmt numFmtId="256" formatCode="0_);\(0\)"/>
    <numFmt numFmtId="257" formatCode="0.0%"/>
    <numFmt numFmtId="258" formatCode="#,##0.00;&quot;-&quot;#,##0.00"/>
    <numFmt numFmtId="259" formatCode="_-* #,##0;\-* #,##0;_-* &quot;-&quot;;_-@"/>
    <numFmt numFmtId="260" formatCode="&quot;  &quot;@"/>
    <numFmt numFmtId="261" formatCode="&quot;     &quot;@"/>
    <numFmt numFmtId="262" formatCode="0.00\ &quot;)&quot;"/>
    <numFmt numFmtId="263" formatCode="0.00\ &quot;)]&quot;"/>
    <numFmt numFmtId="264" formatCode="0.000\ &quot;²&quot;"/>
    <numFmt numFmtId="265" formatCode="&quot;(&quot;\ 0.00"/>
    <numFmt numFmtId="266" formatCode="&quot;[(&quot;\ 0.00"/>
    <numFmt numFmtId="267" formatCode="&quot;US$&quot;#,##0_);[Red]\(&quot;US$&quot;#,##0\)"/>
    <numFmt numFmtId="268" formatCode="0.0000_);[Red]\(0.0000\)"/>
    <numFmt numFmtId="269" formatCode="0.00_ &quot;kg&quot;"/>
    <numFmt numFmtId="270" formatCode="?/?#"/>
    <numFmt numFmtId="271" formatCode="#,##0.00_);[Red]\(#,##0.00\)"/>
    <numFmt numFmtId="272" formatCode="_ * #,##0.00_ ;_ * \-#,##0.00_ ;_ * &quot;-&quot;_ ;_ @_ "/>
    <numFmt numFmtId="273" formatCode="_ * #,##0.000_ ;_ * \-#,##0.000_ ;_ * &quot;-&quot;_ ;_ @_ "/>
    <numFmt numFmtId="274" formatCode="0.0000_ "/>
    <numFmt numFmtId="275" formatCode="0.000_ &quot;kg&quot;"/>
    <numFmt numFmtId="276" formatCode="0.000000_);[Red]\(0.000000\)"/>
    <numFmt numFmtId="277" formatCode="0.000000_ "/>
    <numFmt numFmtId="278" formatCode="0.00000_);[Red]\(0.00000\)"/>
    <numFmt numFmtId="279" formatCode="#,##0.0_);[Red]\(#,##0.0\)"/>
    <numFmt numFmtId="280" formatCode="#,##0.000_);[Red]\(#,##0.000\)"/>
    <numFmt numFmtId="281" formatCode="#,##0.00000_);[Red]\(#,##0.00000\)"/>
    <numFmt numFmtId="282" formatCode="#,##0.#######;\-#,##0.#######;#"/>
    <numFmt numFmtId="283" formatCode="#,##0;\-#,##0;#"/>
    <numFmt numFmtId="284" formatCode="0.000\ &quot;%&quot;;;#"/>
    <numFmt numFmtId="285" formatCode="#,###"/>
    <numFmt numFmtId="286" formatCode="#,##0.#######"/>
    <numFmt numFmtId="287" formatCode="#,##0.####;\-#,##0.####;#"/>
    <numFmt numFmtId="288" formatCode="#,##0.######;\-#,##0.######;#"/>
    <numFmt numFmtId="289" formatCode="0.#######;\-0.#######;#"/>
    <numFmt numFmtId="290" formatCode="#,##0.###;\-#,##0.###;#"/>
    <numFmt numFmtId="291" formatCode="#,##0.#;\-#,##0.#;#"/>
    <numFmt numFmtId="292" formatCode="#,##0.0#;\-#,##0.0#;#"/>
    <numFmt numFmtId="293" formatCode="0.######;\-0.######;#"/>
    <numFmt numFmtId="294" formatCode="#,##0.00\ &quot;(원/$)&quot;"/>
    <numFmt numFmtId="295" formatCode="#,##0.00\ &quot;(원/€)&quot;"/>
    <numFmt numFmtId="296" formatCode="#,##0.00\ &quot;(원/100￥)&quot;"/>
    <numFmt numFmtId="297" formatCode="#,##0.00#\ "/>
    <numFmt numFmtId="298" formatCode="#,##0.00#;\-#,##0.00#;#"/>
    <numFmt numFmtId="299" formatCode="#,##0.00#"/>
  </numFmts>
  <fonts count="213">
    <font>
      <sz val="11"/>
      <name val="돋움"/>
      <family val="3"/>
      <charset val="129"/>
    </font>
    <font>
      <sz val="11"/>
      <color theme="1"/>
      <name val="KoPub돋움체 Medium"/>
      <family val="2"/>
      <charset val="129"/>
    </font>
    <font>
      <sz val="11"/>
      <color theme="1"/>
      <name val="KoPub돋움체 Medium"/>
      <family val="2"/>
      <charset val="129"/>
    </font>
    <font>
      <sz val="11"/>
      <color theme="1"/>
      <name val="KoPub돋움체 Medium"/>
      <family val="2"/>
      <charset val="129"/>
    </font>
    <font>
      <sz val="11"/>
      <color theme="1"/>
      <name val="KoPub돋움체 Medium"/>
      <family val="2"/>
      <charset val="129"/>
    </font>
    <font>
      <sz val="11"/>
      <color theme="1"/>
      <name val="KoPub돋움체 Medium"/>
      <family val="2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0"/>
      <name val="MS Sans Serif"/>
      <family val="2"/>
    </font>
    <font>
      <sz val="12"/>
      <color indexed="24"/>
      <name val="Helv"/>
      <family val="2"/>
    </font>
    <font>
      <sz val="11"/>
      <name val="µ¸¿ò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  <family val="2"/>
    </font>
    <font>
      <b/>
      <sz val="9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돋움"/>
      <family val="3"/>
      <charset val="129"/>
    </font>
    <font>
      <sz val="12"/>
      <name val="돋움체"/>
      <family val="3"/>
      <charset val="129"/>
    </font>
    <font>
      <sz val="11"/>
      <name val="바탕체"/>
      <family val="1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0"/>
      <color indexed="22"/>
      <name val="Modern"/>
      <family val="3"/>
      <charset val="255"/>
    </font>
    <font>
      <sz val="10"/>
      <name val="Times New Roman"/>
      <family val="1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name val="굴림체"/>
      <family val="3"/>
      <charset val="129"/>
    </font>
    <font>
      <sz val="10"/>
      <name val="옛체"/>
      <family val="1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한양중고딕"/>
      <family val="1"/>
      <charset val="129"/>
    </font>
    <font>
      <sz val="14"/>
      <name val="뼥?ⓒ"/>
      <family val="3"/>
      <charset val="129"/>
    </font>
    <font>
      <sz val="10"/>
      <name val="돋움"/>
      <family val="3"/>
      <charset val="129"/>
    </font>
    <font>
      <sz val="11"/>
      <name val="뼻뮝"/>
      <family val="3"/>
      <charset val="129"/>
    </font>
    <font>
      <sz val="10"/>
      <color indexed="60"/>
      <name val="돋움"/>
      <family val="3"/>
      <charset val="129"/>
    </font>
    <font>
      <sz val="11"/>
      <name val="바탕체"/>
      <family val="1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52"/>
      <name val="돋움"/>
      <family val="3"/>
      <charset val="129"/>
    </font>
    <font>
      <sz val="10"/>
      <name val="한양신명조"/>
      <family val="1"/>
      <charset val="129"/>
    </font>
    <font>
      <sz val="10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2"/>
      <name val="견고딕"/>
      <family val="1"/>
      <charset val="129"/>
    </font>
    <font>
      <sz val="10"/>
      <color indexed="62"/>
      <name val="돋움"/>
      <family val="3"/>
      <charset val="129"/>
    </font>
    <font>
      <b/>
      <sz val="10"/>
      <name val="Flange-Light"/>
      <family val="1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9"/>
      <color indexed="8"/>
      <name val="Arial"/>
      <family val="2"/>
    </font>
    <font>
      <sz val="10"/>
      <color indexed="8"/>
      <name val="Gulim"/>
      <family val="3"/>
    </font>
    <font>
      <sz val="12"/>
      <name val="Arial"/>
      <family val="2"/>
    </font>
    <font>
      <sz val="12"/>
      <name val="¨ÏoUAAA¡§u"/>
      <family val="1"/>
      <charset val="129"/>
    </font>
    <font>
      <sz val="12"/>
      <name val="¥ì¢¬¢¯oA¨ù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  <charset val="129"/>
    </font>
    <font>
      <sz val="10"/>
      <name val="¨ÏoUAAA¡§u"/>
      <family val="1"/>
      <charset val="129"/>
    </font>
    <font>
      <sz val="10"/>
      <name val="±¼¸²Ã¼"/>
      <family val="3"/>
      <charset val="129"/>
    </font>
    <font>
      <sz val="11"/>
      <name val="μ¸¿o"/>
      <family val="3"/>
      <charset val="129"/>
    </font>
    <font>
      <sz val="10"/>
      <name val="¹ÙÅÁÃ¼"/>
      <family val="1"/>
      <charset val="129"/>
    </font>
    <font>
      <sz val="10"/>
      <name val="¹UAAA¼"/>
      <family val="3"/>
      <charset val="129"/>
    </font>
    <font>
      <sz val="10"/>
      <name val="µ¸¿òÃ¼"/>
      <family val="3"/>
      <charset val="129"/>
    </font>
    <font>
      <sz val="12"/>
      <name val="μ¸¿oA¼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0"/>
      <name val="±¼¸²A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i/>
      <sz val="12"/>
      <name val="Times New Roman"/>
      <family val="1"/>
    </font>
    <font>
      <sz val="10"/>
      <name val="Geneva"/>
      <family val="2"/>
    </font>
    <font>
      <sz val="12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¾©"/>
      <family val="1"/>
      <charset val="129"/>
    </font>
    <font>
      <u/>
      <sz val="10"/>
      <color indexed="36"/>
      <name val="Arial"/>
      <family val="2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9"/>
      <name val="돋움"/>
      <family val="3"/>
      <charset val="129"/>
    </font>
    <font>
      <b/>
      <sz val="10"/>
      <name val="Arial"/>
      <family val="2"/>
    </font>
    <font>
      <sz val="9"/>
      <name val="Arial"/>
      <family val="2"/>
    </font>
    <font>
      <sz val="8"/>
      <name val="굴림"/>
      <family val="3"/>
      <charset val="129"/>
    </font>
    <font>
      <sz val="10"/>
      <name val="Helv"/>
      <family val="2"/>
    </font>
    <font>
      <sz val="8"/>
      <color indexed="8"/>
      <name val="Gulim"/>
      <family val="3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8"/>
      <name val="¹ÙÅÁÃ¼"/>
      <family val="1"/>
      <charset val="129"/>
    </font>
    <font>
      <u/>
      <sz val="8.5"/>
      <color indexed="36"/>
      <name val="바탕체"/>
      <family val="1"/>
      <charset val="129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0"/>
      <name val="굴림체"/>
      <family val="3"/>
      <charset val="129"/>
    </font>
    <font>
      <sz val="1"/>
      <color indexed="16"/>
      <name val="Courier"/>
      <family val="3"/>
    </font>
    <font>
      <b/>
      <sz val="8"/>
      <name val="Times New Roman"/>
      <family val="1"/>
    </font>
    <font>
      <sz val="18"/>
      <color indexed="12"/>
      <name val="MS Sans Serif"/>
      <family val="2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9"/>
      <name val="돋움체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9"/>
      <name val="바탕체"/>
      <family val="1"/>
      <charset val="129"/>
    </font>
    <font>
      <b/>
      <sz val="12"/>
      <name val="돋움체"/>
      <family val="3"/>
      <charset val="129"/>
    </font>
    <font>
      <sz val="8"/>
      <name val="돋움체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b/>
      <sz val="25"/>
      <name val="HY견고딕"/>
      <family val="1"/>
      <charset val="129"/>
    </font>
    <font>
      <b/>
      <sz val="12"/>
      <name val="굴림"/>
      <family val="3"/>
      <charset val="129"/>
    </font>
    <font>
      <sz val="11"/>
      <name val="Arial"/>
      <family val="2"/>
    </font>
    <font>
      <i/>
      <sz val="12"/>
      <name val="굴림체"/>
      <family val="3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9"/>
      <name val="MS Sans Serif"/>
      <family val="2"/>
    </font>
    <font>
      <sz val="12"/>
      <name val="뼻뮝"/>
      <family val="3"/>
      <charset val="129"/>
    </font>
    <font>
      <sz val="17"/>
      <name val="바탕체"/>
      <family val="1"/>
      <charset val="129"/>
    </font>
    <font>
      <b/>
      <sz val="28"/>
      <name val="돋움체"/>
      <family val="3"/>
      <charset val="129"/>
    </font>
    <font>
      <b/>
      <sz val="20"/>
      <name val="돋움체"/>
      <family val="3"/>
      <charset val="129"/>
    </font>
    <font>
      <b/>
      <sz val="24"/>
      <name val="돋움체"/>
      <family val="3"/>
      <charset val="129"/>
    </font>
    <font>
      <sz val="20"/>
      <name val="돋움체"/>
      <family val="3"/>
      <charset val="129"/>
    </font>
    <font>
      <b/>
      <sz val="14"/>
      <name val="돋움체"/>
      <family val="3"/>
      <charset val="129"/>
    </font>
    <font>
      <b/>
      <sz val="22"/>
      <name val="돋움체"/>
      <family val="3"/>
      <charset val="129"/>
    </font>
    <font>
      <sz val="22"/>
      <name val="돋움체"/>
      <family val="3"/>
      <charset val="129"/>
    </font>
    <font>
      <b/>
      <sz val="22"/>
      <name val="굴림체"/>
      <family val="3"/>
      <charset val="129"/>
    </font>
    <font>
      <u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9"/>
      <name val="가는으뜸체"/>
      <family val="1"/>
      <charset val="129"/>
    </font>
    <font>
      <sz val="10"/>
      <name val="가는으뜸체"/>
      <family val="1"/>
      <charset val="129"/>
    </font>
    <font>
      <sz val="9"/>
      <color indexed="9"/>
      <name val="굴림"/>
      <family val="3"/>
      <charset val="129"/>
    </font>
    <font>
      <sz val="12"/>
      <name val="가는으뜸체"/>
      <family val="1"/>
      <charset val="129"/>
    </font>
    <font>
      <b/>
      <sz val="23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color rgb="FFFFFF00"/>
      <name val="가는으뜸체"/>
      <family val="1"/>
      <charset val="129"/>
    </font>
    <font>
      <sz val="20"/>
      <color indexed="8"/>
      <name val="돋움체"/>
      <family val="3"/>
      <charset val="129"/>
    </font>
    <font>
      <sz val="9"/>
      <color indexed="10"/>
      <name val="돋움체"/>
      <family val="3"/>
      <charset val="129"/>
    </font>
    <font>
      <sz val="11"/>
      <color indexed="8"/>
      <name val="돋움체"/>
      <family val="3"/>
      <charset val="129"/>
    </font>
    <font>
      <sz val="9"/>
      <color indexed="12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name val="KoPub돋움체 Medium"/>
      <family val="3"/>
      <charset val="129"/>
    </font>
    <font>
      <b/>
      <sz val="14"/>
      <color indexed="12"/>
      <name val="돋움체"/>
      <family val="3"/>
      <charset val="129"/>
    </font>
    <font>
      <sz val="10"/>
      <color indexed="8"/>
      <name val="돋움체"/>
      <family val="3"/>
      <charset val="129"/>
    </font>
    <font>
      <sz val="10"/>
      <color indexed="12"/>
      <name val="돋움체"/>
      <family val="3"/>
      <charset val="129"/>
    </font>
    <font>
      <sz val="10"/>
      <color indexed="9"/>
      <name val="돋움체"/>
      <family val="3"/>
      <charset val="129"/>
    </font>
    <font>
      <b/>
      <sz val="10"/>
      <color indexed="10"/>
      <name val="돋움체"/>
      <family val="3"/>
      <charset val="129"/>
    </font>
    <font>
      <b/>
      <sz val="9"/>
      <color indexed="12"/>
      <name val="돋움체"/>
      <family val="3"/>
      <charset val="129"/>
    </font>
    <font>
      <sz val="9"/>
      <color indexed="8"/>
      <name val="돋움체"/>
      <family val="3"/>
      <charset val="129"/>
    </font>
    <font>
      <b/>
      <u/>
      <sz val="15"/>
      <color indexed="8"/>
      <name val="돋움체"/>
      <family val="3"/>
      <charset val="129"/>
    </font>
    <font>
      <u/>
      <sz val="9"/>
      <color indexed="22"/>
      <name val="돋움체"/>
      <family val="3"/>
      <charset val="129"/>
    </font>
    <font>
      <sz val="9"/>
      <color indexed="22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9"/>
      <color indexed="9"/>
      <name val="돋움체"/>
      <family val="3"/>
      <charset val="129"/>
    </font>
    <font>
      <sz val="10"/>
      <color indexed="22"/>
      <name val="KoPub돋움체 Medium"/>
      <family val="3"/>
      <charset val="129"/>
    </font>
    <font>
      <sz val="9"/>
      <color indexed="22"/>
      <name val="KoPub돋움체 Medium"/>
      <family val="3"/>
      <charset val="129"/>
    </font>
    <font>
      <b/>
      <sz val="10"/>
      <name val="KoPub돋움체 Medium"/>
      <family val="3"/>
      <charset val="129"/>
    </font>
    <font>
      <b/>
      <sz val="10"/>
      <color indexed="8"/>
      <name val="돋움체"/>
      <family val="3"/>
      <charset val="129"/>
    </font>
    <font>
      <sz val="9"/>
      <color indexed="17"/>
      <name val="돋움체"/>
      <family val="3"/>
      <charset val="129"/>
    </font>
  </fonts>
  <fills count="6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766">
    <xf numFmtId="0" fontId="0" fillId="0" borderId="0"/>
    <xf numFmtId="0" fontId="14" fillId="0" borderId="1">
      <alignment horizontal="center"/>
    </xf>
    <xf numFmtId="3" fontId="28" fillId="0" borderId="2"/>
    <xf numFmtId="220" fontId="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46" fillId="0" borderId="0">
      <alignment vertical="center"/>
    </xf>
    <xf numFmtId="0" fontId="37" fillId="0" borderId="0">
      <alignment vertical="center"/>
    </xf>
    <xf numFmtId="221" fontId="58" fillId="0" borderId="2">
      <alignment vertical="center"/>
    </xf>
    <xf numFmtId="0" fontId="29" fillId="0" borderId="0" applyFont="0" applyFill="0" applyBorder="0" applyAlignment="0" applyProtection="0"/>
    <xf numFmtId="0" fontId="8" fillId="0" borderId="0"/>
    <xf numFmtId="0" fontId="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31" fillId="0" borderId="0"/>
    <xf numFmtId="0" fontId="32" fillId="0" borderId="0" applyProtection="0"/>
    <xf numFmtId="0" fontId="31" fillId="0" borderId="0" applyFont="0" applyFill="0" applyBorder="0" applyAlignment="0" applyProtection="0"/>
    <xf numFmtId="0" fontId="32" fillId="0" borderId="0" applyProtection="0"/>
    <xf numFmtId="0" fontId="32" fillId="0" borderId="0" applyProtection="0"/>
    <xf numFmtId="0" fontId="10" fillId="0" borderId="0"/>
    <xf numFmtId="0" fontId="31" fillId="0" borderId="0" applyFont="0" applyFill="0" applyBorder="0" applyAlignment="0" applyProtection="0"/>
    <xf numFmtId="0" fontId="32" fillId="0" borderId="0" applyProtection="0"/>
    <xf numFmtId="0" fontId="32" fillId="0" borderId="0" applyProtection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12" fillId="0" borderId="0"/>
    <xf numFmtId="0" fontId="10" fillId="0" borderId="0"/>
    <xf numFmtId="0" fontId="10" fillId="0" borderId="0"/>
    <xf numFmtId="0" fontId="32" fillId="0" borderId="0" applyProtection="0"/>
    <xf numFmtId="0" fontId="32" fillId="0" borderId="0" applyProtection="0"/>
    <xf numFmtId="0" fontId="33" fillId="0" borderId="0"/>
    <xf numFmtId="0" fontId="10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32" fillId="0" borderId="0" applyProtection="0"/>
    <xf numFmtId="0" fontId="7" fillId="0" borderId="0"/>
    <xf numFmtId="0" fontId="7" fillId="0" borderId="0"/>
    <xf numFmtId="0" fontId="7" fillId="0" borderId="0"/>
    <xf numFmtId="0" fontId="10" fillId="0" borderId="0"/>
    <xf numFmtId="0" fontId="33" fillId="0" borderId="0"/>
    <xf numFmtId="0" fontId="7" fillId="0" borderId="0"/>
    <xf numFmtId="0" fontId="3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0" fillId="0" borderId="0"/>
    <xf numFmtId="0" fontId="8" fillId="0" borderId="0"/>
    <xf numFmtId="0" fontId="31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10" fillId="0" borderId="0"/>
    <xf numFmtId="0" fontId="33" fillId="0" borderId="0"/>
    <xf numFmtId="0" fontId="10" fillId="0" borderId="0"/>
    <xf numFmtId="0" fontId="14" fillId="0" borderId="0"/>
    <xf numFmtId="0" fontId="14" fillId="0" borderId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/>
    <xf numFmtId="0" fontId="10" fillId="0" borderId="0"/>
    <xf numFmtId="0" fontId="32" fillId="0" borderId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10" fillId="0" borderId="0"/>
    <xf numFmtId="0" fontId="113" fillId="0" borderId="0"/>
    <xf numFmtId="0" fontId="113" fillId="0" borderId="0"/>
    <xf numFmtId="0" fontId="113" fillId="0" borderId="0"/>
    <xf numFmtId="0" fontId="31" fillId="0" borderId="0"/>
    <xf numFmtId="0" fontId="113" fillId="0" borderId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31" fillId="0" borderId="0"/>
    <xf numFmtId="0" fontId="3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32" fillId="0" borderId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3" fillId="0" borderId="0"/>
    <xf numFmtId="0" fontId="33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113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4" fillId="0" borderId="0"/>
    <xf numFmtId="0" fontId="33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31" fillId="0" borderId="0" applyFont="0" applyFill="0" applyBorder="0" applyAlignment="0" applyProtection="0"/>
    <xf numFmtId="0" fontId="32" fillId="0" borderId="0" applyProtection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 applyProtection="0"/>
    <xf numFmtId="0" fontId="10" fillId="0" borderId="0"/>
    <xf numFmtId="0" fontId="14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14" fillId="0" borderId="0"/>
    <xf numFmtId="0" fontId="3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10" fillId="0" borderId="0"/>
    <xf numFmtId="0" fontId="14" fillId="0" borderId="0"/>
    <xf numFmtId="0" fontId="10" fillId="0" borderId="0"/>
    <xf numFmtId="0" fontId="14" fillId="0" borderId="0"/>
    <xf numFmtId="0" fontId="10" fillId="0" borderId="0"/>
    <xf numFmtId="0" fontId="14" fillId="0" borderId="0"/>
    <xf numFmtId="0" fontId="10" fillId="0" borderId="0"/>
    <xf numFmtId="0" fontId="10" fillId="0" borderId="0"/>
    <xf numFmtId="0" fontId="33" fillId="0" borderId="0"/>
    <xf numFmtId="0" fontId="10" fillId="0" borderId="0"/>
    <xf numFmtId="0" fontId="10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32" fillId="0" borderId="0" applyProtection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10" fillId="0" borderId="0"/>
    <xf numFmtId="0" fontId="31" fillId="0" borderId="0" applyFont="0" applyFill="0" applyBorder="0" applyAlignment="0" applyProtection="0"/>
    <xf numFmtId="0" fontId="7" fillId="0" borderId="0"/>
    <xf numFmtId="0" fontId="32" fillId="0" borderId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/>
    <xf numFmtId="191" fontId="7" fillId="0" borderId="0" applyFont="0" applyFill="0" applyBorder="0" applyProtection="0">
      <alignment vertical="center"/>
    </xf>
    <xf numFmtId="222" fontId="7" fillId="0" borderId="0">
      <alignment vertical="center"/>
    </xf>
    <xf numFmtId="223" fontId="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4" fillId="0" borderId="0"/>
    <xf numFmtId="176" fontId="51" fillId="0" borderId="2">
      <alignment vertical="center"/>
    </xf>
    <xf numFmtId="3" fontId="28" fillId="0" borderId="2"/>
    <xf numFmtId="3" fontId="28" fillId="0" borderId="2"/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51" fillId="0" borderId="2">
      <alignment vertical="center"/>
    </xf>
    <xf numFmtId="176" fontId="51" fillId="0" borderId="2">
      <alignment vertical="center"/>
    </xf>
    <xf numFmtId="176" fontId="51" fillId="0" borderId="2">
      <alignment vertical="center"/>
    </xf>
    <xf numFmtId="176" fontId="51" fillId="0" borderId="2">
      <alignment vertical="center"/>
    </xf>
    <xf numFmtId="176" fontId="7" fillId="0" borderId="2">
      <alignment vertical="center"/>
    </xf>
    <xf numFmtId="176" fontId="10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176" fontId="7" fillId="0" borderId="2">
      <alignment vertical="center"/>
    </xf>
    <xf numFmtId="224" fontId="8" fillId="0" borderId="0">
      <alignment vertical="center"/>
    </xf>
    <xf numFmtId="0" fontId="35" fillId="0" borderId="0">
      <alignment horizontal="center" vertical="center"/>
    </xf>
    <xf numFmtId="3" fontId="114" fillId="0" borderId="3">
      <alignment horizontal="right" vertical="center"/>
    </xf>
    <xf numFmtId="227" fontId="115" fillId="0" borderId="0">
      <alignment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5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226" fontId="7" fillId="0" borderId="0">
      <alignment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3" fontId="114" fillId="0" borderId="3">
      <alignment horizontal="right" vertical="center"/>
    </xf>
    <xf numFmtId="227" fontId="115" fillId="0" borderId="0">
      <alignment vertical="center"/>
    </xf>
    <xf numFmtId="41" fontId="8" fillId="0" borderId="0">
      <alignment horizontal="center" vertical="center"/>
    </xf>
    <xf numFmtId="228" fontId="8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06" fontId="8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8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06" fontId="8" fillId="0" borderId="0">
      <alignment horizontal="center" vertical="center"/>
    </xf>
    <xf numFmtId="181" fontId="36" fillId="0" borderId="0">
      <alignment horizontal="center" vertical="center"/>
    </xf>
    <xf numFmtId="206" fontId="8" fillId="0" borderId="0">
      <alignment horizontal="center" vertical="center"/>
    </xf>
    <xf numFmtId="206" fontId="8" fillId="0" borderId="0">
      <alignment horizontal="center" vertical="center"/>
    </xf>
    <xf numFmtId="0" fontId="8" fillId="0" borderId="0">
      <alignment horizontal="center" vertical="center"/>
    </xf>
    <xf numFmtId="181" fontId="36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9" fontId="7" fillId="0" borderId="0">
      <alignment horizontal="center" vertical="center"/>
    </xf>
    <xf numFmtId="227" fontId="115" fillId="0" borderId="0">
      <alignment vertical="center"/>
    </xf>
    <xf numFmtId="227" fontId="115" fillId="0" borderId="0">
      <alignment vertical="center"/>
    </xf>
    <xf numFmtId="227" fontId="115" fillId="0" borderId="0">
      <alignment vertical="center"/>
    </xf>
    <xf numFmtId="0" fontId="35" fillId="0" borderId="0">
      <alignment horizontal="center" vertical="center"/>
    </xf>
    <xf numFmtId="3" fontId="114" fillId="0" borderId="3">
      <alignment horizontal="right" vertical="center"/>
    </xf>
    <xf numFmtId="227" fontId="115" fillId="0" borderId="0">
      <alignment vertical="center"/>
    </xf>
    <xf numFmtId="0" fontId="35" fillId="0" borderId="0">
      <alignment horizontal="center" vertical="center"/>
    </xf>
    <xf numFmtId="227" fontId="115" fillId="0" borderId="0">
      <alignment vertical="center"/>
    </xf>
    <xf numFmtId="0" fontId="37" fillId="0" borderId="0"/>
    <xf numFmtId="227" fontId="115" fillId="0" borderId="0">
      <alignment vertical="center"/>
    </xf>
    <xf numFmtId="227" fontId="115" fillId="0" borderId="0">
      <alignment vertical="center"/>
    </xf>
    <xf numFmtId="0" fontId="37" fillId="0" borderId="0"/>
    <xf numFmtId="0" fontId="37" fillId="0" borderId="0"/>
    <xf numFmtId="227" fontId="115" fillId="0" borderId="0">
      <alignment vertical="center"/>
    </xf>
    <xf numFmtId="227" fontId="115" fillId="0" borderId="0">
      <alignment vertical="center"/>
    </xf>
    <xf numFmtId="0" fontId="38" fillId="0" borderId="0"/>
    <xf numFmtId="230" fontId="58" fillId="0" borderId="4" applyBorder="0">
      <alignment vertical="center" wrapText="1"/>
    </xf>
    <xf numFmtId="231" fontId="116" fillId="0" borderId="0">
      <alignment vertical="center"/>
    </xf>
    <xf numFmtId="0" fontId="7" fillId="0" borderId="0"/>
    <xf numFmtId="2" fontId="114" fillId="0" borderId="3">
      <alignment horizontal="right" vertical="center"/>
    </xf>
    <xf numFmtId="0" fontId="8" fillId="0" borderId="5">
      <alignment horizont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2" fontId="114" fillId="0" borderId="3">
      <alignment horizontal="right" vertical="center"/>
    </xf>
    <xf numFmtId="0" fontId="27" fillId="2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168" fillId="3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168" fillId="3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231" fontId="116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168" fillId="35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168" fillId="36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168" fillId="3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9" fontId="8" fillId="0" borderId="0">
      <protection locked="0"/>
    </xf>
    <xf numFmtId="0" fontId="39" fillId="12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72" fillId="0" borderId="0"/>
    <xf numFmtId="232" fontId="58" fillId="0" borderId="2">
      <alignment vertical="center"/>
    </xf>
    <xf numFmtId="0" fontId="7" fillId="0" borderId="0">
      <protection locked="0"/>
    </xf>
    <xf numFmtId="192" fontId="10" fillId="0" borderId="0" applyFont="0" applyFill="0" applyBorder="0" applyAlignment="0" applyProtection="0"/>
    <xf numFmtId="0" fontId="7" fillId="0" borderId="0">
      <protection locked="0"/>
    </xf>
    <xf numFmtId="0" fontId="72" fillId="0" borderId="0"/>
    <xf numFmtId="0" fontId="7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35" fillId="0" borderId="6" applyProtection="0">
      <alignment horizontal="left" vertical="center" wrapText="1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233" fontId="77" fillId="0" borderId="0" applyFont="0" applyFill="0" applyBorder="0" applyAlignment="0" applyProtection="0"/>
    <xf numFmtId="212" fontId="7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234" fontId="77" fillId="0" borderId="0" applyFont="0" applyFill="0" applyBorder="0" applyAlignment="0" applyProtection="0"/>
    <xf numFmtId="235" fontId="24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7" fillId="0" borderId="0">
      <protection locked="0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4" fillId="0" borderId="0"/>
    <xf numFmtId="0" fontId="7" fillId="0" borderId="0">
      <protection locked="0"/>
    </xf>
    <xf numFmtId="0" fontId="77" fillId="0" borderId="0" applyFont="0" applyFill="0" applyBorder="0" applyAlignment="0" applyProtection="0"/>
    <xf numFmtId="0" fontId="80" fillId="0" borderId="0" applyFont="0" applyFill="0" applyBorder="0" applyAlignment="0" applyProtection="0"/>
    <xf numFmtId="176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176" fontId="117" fillId="0" borderId="7" applyFill="0" applyProtection="0">
      <alignment horizontal="center" vertical="center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36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236" fontId="77" fillId="0" borderId="0" applyFont="0" applyFill="0" applyBorder="0" applyAlignment="0" applyProtection="0"/>
    <xf numFmtId="0" fontId="110" fillId="0" borderId="0"/>
    <xf numFmtId="0" fontId="7" fillId="0" borderId="0">
      <protection locked="0"/>
    </xf>
    <xf numFmtId="0" fontId="7" fillId="0" borderId="0">
      <protection locked="0"/>
    </xf>
    <xf numFmtId="0" fontId="81" fillId="0" borderId="0"/>
    <xf numFmtId="0" fontId="81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0" fontId="82" fillId="0" borderId="0"/>
    <xf numFmtId="0" fontId="83" fillId="0" borderId="0"/>
    <xf numFmtId="0" fontId="7" fillId="0" borderId="0">
      <protection locked="0"/>
    </xf>
    <xf numFmtId="0" fontId="7" fillId="0" borderId="0">
      <protection locked="0"/>
    </xf>
    <xf numFmtId="0" fontId="84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5" fillId="0" borderId="0"/>
    <xf numFmtId="0" fontId="86" fillId="0" borderId="0"/>
    <xf numFmtId="0" fontId="81" fillId="0" borderId="0"/>
    <xf numFmtId="0" fontId="81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87" fillId="0" borderId="0"/>
    <xf numFmtId="0" fontId="88" fillId="0" borderId="0"/>
    <xf numFmtId="0" fontId="89" fillId="0" borderId="0"/>
    <xf numFmtId="0" fontId="86" fillId="0" borderId="0"/>
    <xf numFmtId="0" fontId="77" fillId="0" borderId="0"/>
    <xf numFmtId="0" fontId="78" fillId="0" borderId="0"/>
    <xf numFmtId="0" fontId="10" fillId="0" borderId="0"/>
    <xf numFmtId="0" fontId="81" fillId="0" borderId="0" applyNumberFormat="0"/>
    <xf numFmtId="0" fontId="81" fillId="0" borderId="0" applyNumberFormat="0"/>
    <xf numFmtId="0" fontId="90" fillId="0" borderId="0"/>
    <xf numFmtId="0" fontId="77" fillId="0" borderId="0"/>
    <xf numFmtId="0" fontId="78" fillId="0" borderId="0"/>
    <xf numFmtId="0" fontId="77" fillId="0" borderId="0"/>
    <xf numFmtId="0" fontId="91" fillId="0" borderId="0"/>
    <xf numFmtId="0" fontId="92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91" fillId="0" borderId="0"/>
    <xf numFmtId="0" fontId="92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9" fillId="0" borderId="0"/>
    <xf numFmtId="0" fontId="86" fillId="0" borderId="0"/>
    <xf numFmtId="0" fontId="77" fillId="0" borderId="0"/>
    <xf numFmtId="0" fontId="91" fillId="0" borderId="0"/>
    <xf numFmtId="0" fontId="92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91" fillId="0" borderId="0"/>
    <xf numFmtId="0" fontId="92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10" fillId="0" borderId="0"/>
    <xf numFmtId="0" fontId="16" fillId="0" borderId="0"/>
    <xf numFmtId="0" fontId="93" fillId="0" borderId="0"/>
    <xf numFmtId="0" fontId="85" fillId="0" borderId="0"/>
    <xf numFmtId="0" fontId="78" fillId="0" borderId="0"/>
    <xf numFmtId="0" fontId="77" fillId="0" borderId="0"/>
    <xf numFmtId="0" fontId="7" fillId="0" borderId="0" applyFill="0" applyBorder="0" applyAlignment="0"/>
    <xf numFmtId="0" fontId="17" fillId="0" borderId="0"/>
    <xf numFmtId="0" fontId="94" fillId="0" borderId="0" applyNumberFormat="0" applyFill="0" applyBorder="0" applyAlignment="0" applyProtection="0">
      <alignment vertical="top"/>
      <protection locked="0"/>
    </xf>
    <xf numFmtId="3" fontId="46" fillId="0" borderId="0">
      <alignment horizontal="center"/>
    </xf>
    <xf numFmtId="198" fontId="7" fillId="0" borderId="0">
      <protection locked="0"/>
    </xf>
    <xf numFmtId="0" fontId="14" fillId="0" borderId="0" applyFont="0" applyFill="0" applyBorder="0" applyAlignment="0" applyProtection="0"/>
    <xf numFmtId="190" fontId="6" fillId="0" borderId="0"/>
    <xf numFmtId="190" fontId="7" fillId="0" borderId="0"/>
    <xf numFmtId="0" fontId="10" fillId="0" borderId="0" applyFont="0" applyFill="0" applyBorder="0" applyAlignment="0" applyProtection="0"/>
    <xf numFmtId="3" fontId="72" fillId="0" borderId="0" applyFont="0" applyFill="0" applyBorder="0" applyAlignment="0" applyProtection="0"/>
    <xf numFmtId="0" fontId="95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198" fontId="7" fillId="0" borderId="0">
      <protection locked="0"/>
    </xf>
    <xf numFmtId="0" fontId="14" fillId="0" borderId="0" applyFont="0" applyFill="0" applyBorder="0" applyAlignment="0" applyProtection="0"/>
    <xf numFmtId="0" fontId="8" fillId="0" borderId="2" applyFill="0" applyBorder="0" applyAlignment="0"/>
    <xf numFmtId="237" fontId="7" fillId="0" borderId="0"/>
    <xf numFmtId="238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8" fillId="0" borderId="0"/>
    <xf numFmtId="0" fontId="10" fillId="0" borderId="0" applyFont="0" applyFill="0" applyBorder="0" applyAlignment="0" applyProtection="0"/>
    <xf numFmtId="37" fontId="58" fillId="0" borderId="2">
      <alignment horizontal="center" vertical="distributed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9" fontId="6" fillId="0" borderId="0"/>
    <xf numFmtId="189" fontId="7" fillId="0" borderId="0"/>
    <xf numFmtId="239" fontId="58" fillId="0" borderId="2">
      <alignment vertical="center"/>
    </xf>
    <xf numFmtId="0" fontId="96" fillId="0" borderId="0" applyNumberFormat="0" applyAlignment="0">
      <alignment horizontal="left"/>
    </xf>
    <xf numFmtId="211" fontId="7" fillId="0" borderId="0" applyFon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2" fontId="10" fillId="0" borderId="0" applyFont="0" applyFill="0" applyBorder="0" applyAlignment="0" applyProtection="0"/>
    <xf numFmtId="0" fontId="118" fillId="0" borderId="0" applyNumberFormat="0" applyFill="0" applyBorder="0" applyAlignment="0" applyProtection="0">
      <alignment vertical="top"/>
      <protection locked="0"/>
    </xf>
    <xf numFmtId="38" fontId="18" fillId="16" borderId="0" applyNumberFormat="0" applyBorder="0" applyAlignment="0" applyProtection="0"/>
    <xf numFmtId="3" fontId="58" fillId="0" borderId="8">
      <alignment horizontal="right" vertical="center"/>
    </xf>
    <xf numFmtId="4" fontId="58" fillId="0" borderId="8">
      <alignment horizontal="right" vertical="center"/>
    </xf>
    <xf numFmtId="0" fontId="147" fillId="0" borderId="0" applyAlignment="0">
      <alignment horizontal="right"/>
    </xf>
    <xf numFmtId="0" fontId="109" fillId="0" borderId="0"/>
    <xf numFmtId="0" fontId="148" fillId="0" borderId="0"/>
    <xf numFmtId="0" fontId="19" fillId="0" borderId="0">
      <alignment horizontal="left"/>
    </xf>
    <xf numFmtId="0" fontId="11" fillId="0" borderId="9" applyNumberFormat="0" applyAlignment="0" applyProtection="0">
      <alignment horizontal="left" vertical="center"/>
    </xf>
    <xf numFmtId="0" fontId="11" fillId="0" borderId="10">
      <alignment horizontal="left" vertical="center"/>
    </xf>
    <xf numFmtId="0" fontId="9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98" fontId="7" fillId="0" borderId="0">
      <protection locked="0"/>
    </xf>
    <xf numFmtId="198" fontId="7" fillId="0" borderId="0">
      <protection locked="0"/>
    </xf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10" fontId="18" fillId="16" borderId="2" applyNumberFormat="0" applyBorder="0" applyAlignment="0" applyProtection="0"/>
    <xf numFmtId="240" fontId="58" fillId="0" borderId="2">
      <alignment vertical="center"/>
    </xf>
    <xf numFmtId="241" fontId="58" fillId="0" borderId="2">
      <alignment vertical="center"/>
    </xf>
    <xf numFmtId="0" fontId="33" fillId="0" borderId="0" applyNumberFormat="0" applyFont="0" applyFill="0" applyBorder="0" applyProtection="0">
      <alignment horizontal="left" vertical="center"/>
    </xf>
    <xf numFmtId="0" fontId="121" fillId="0" borderId="11" applyFont="0" applyBorder="0" applyAlignment="0">
      <alignment horizontal="center" vertical="center"/>
    </xf>
    <xf numFmtId="242" fontId="58" fillId="0" borderId="2">
      <alignment horizontal="right" vertical="center"/>
    </xf>
    <xf numFmtId="243" fontId="58" fillId="0" borderId="2">
      <alignment vertical="center"/>
    </xf>
    <xf numFmtId="244" fontId="58" fillId="0" borderId="2">
      <alignment vertical="center"/>
    </xf>
    <xf numFmtId="199" fontId="98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20" fillId="0" borderId="12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37" fontId="21" fillId="0" borderId="0"/>
    <xf numFmtId="0" fontId="10" fillId="0" borderId="0" applyNumberFormat="0" applyFill="0" applyBorder="0" applyAlignment="0" applyProtection="0"/>
    <xf numFmtId="188" fontId="22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8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13"/>
    <xf numFmtId="0" fontId="10" fillId="0" borderId="0"/>
    <xf numFmtId="236" fontId="116" fillId="0" borderId="0">
      <alignment vertical="center"/>
    </xf>
    <xf numFmtId="198" fontId="7" fillId="0" borderId="0">
      <protection locked="0"/>
    </xf>
    <xf numFmtId="10" fontId="10" fillId="0" borderId="0" applyFont="0" applyFill="0" applyBorder="0" applyAlignment="0" applyProtection="0"/>
    <xf numFmtId="246" fontId="122" fillId="0" borderId="0">
      <protection locked="0"/>
    </xf>
    <xf numFmtId="203" fontId="10" fillId="0" borderId="0" applyNumberFormat="0" applyFill="0" applyBorder="0" applyAlignment="0" applyProtection="0">
      <alignment horizontal="left"/>
    </xf>
    <xf numFmtId="0" fontId="8" fillId="0" borderId="0"/>
    <xf numFmtId="177" fontId="116" fillId="0" borderId="0">
      <alignment vertical="center"/>
    </xf>
    <xf numFmtId="247" fontId="108" fillId="0" borderId="14" applyFont="0" applyFill="0" applyBorder="0" applyAlignment="0" applyProtection="0">
      <alignment horizontal="center" vertical="center"/>
    </xf>
    <xf numFmtId="177" fontId="116" fillId="0" borderId="0">
      <alignment vertical="distributed"/>
    </xf>
    <xf numFmtId="0" fontId="14" fillId="0" borderId="0"/>
    <xf numFmtId="0" fontId="123" fillId="0" borderId="0">
      <alignment horizontal="center" vertical="center"/>
    </xf>
    <xf numFmtId="0" fontId="20" fillId="0" borderId="0"/>
    <xf numFmtId="40" fontId="101" fillId="0" borderId="0" applyBorder="0">
      <alignment horizontal="right"/>
    </xf>
    <xf numFmtId="200" fontId="102" fillId="0" borderId="0">
      <alignment horizontal="center"/>
    </xf>
    <xf numFmtId="0" fontId="124" fillId="17" borderId="0">
      <alignment horizontal="centerContinuous"/>
    </xf>
    <xf numFmtId="0" fontId="103" fillId="0" borderId="0" applyFill="0" applyBorder="0" applyProtection="0">
      <alignment horizontal="centerContinuous" vertical="center"/>
    </xf>
    <xf numFmtId="0" fontId="37" fillId="16" borderId="0" applyFill="0" applyBorder="0" applyProtection="0">
      <alignment horizontal="center" vertical="center"/>
    </xf>
    <xf numFmtId="0" fontId="124" fillId="17" borderId="0">
      <alignment horizontal="centerContinuous"/>
    </xf>
    <xf numFmtId="248" fontId="58" fillId="0" borderId="2">
      <alignment vertical="center"/>
    </xf>
    <xf numFmtId="0" fontId="10" fillId="0" borderId="15" applyNumberFormat="0" applyFont="0" applyFill="0" applyAlignment="0" applyProtection="0"/>
    <xf numFmtId="0" fontId="12" fillId="0" borderId="5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9" fillId="0" borderId="0" applyNumberFormat="0" applyFont="0" applyFill="0" applyBorder="0" applyProtection="0">
      <alignment horizontal="center" vertical="center" wrapText="1"/>
    </xf>
    <xf numFmtId="0" fontId="105" fillId="0" borderId="0" applyNumberFormat="0" applyFill="0" applyBorder="0" applyAlignment="0" applyProtection="0">
      <alignment vertical="top"/>
      <protection locked="0"/>
    </xf>
    <xf numFmtId="0" fontId="8" fillId="0" borderId="0">
      <protection locked="0"/>
    </xf>
    <xf numFmtId="49" fontId="58" fillId="0" borderId="2">
      <alignment horizontal="center" vertical="center"/>
    </xf>
    <xf numFmtId="0" fontId="39" fillId="18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0" fontId="169" fillId="51" borderId="0" applyNumberFormat="0" applyBorder="0" applyAlignment="0" applyProtection="0">
      <alignment vertical="center"/>
    </xf>
    <xf numFmtId="249" fontId="58" fillId="0" borderId="2">
      <alignment vertical="center"/>
    </xf>
    <xf numFmtId="250" fontId="58" fillId="0" borderId="2">
      <alignment vertical="center"/>
    </xf>
    <xf numFmtId="251" fontId="58" fillId="0" borderId="2">
      <alignment vertical="center"/>
    </xf>
    <xf numFmtId="0" fontId="4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41" fillId="22" borderId="16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0" fontId="171" fillId="52" borderId="88" applyNumberFormat="0" applyAlignment="0" applyProtection="0">
      <alignment vertical="center"/>
    </xf>
    <xf numFmtId="196" fontId="8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09" fontId="7" fillId="0" borderId="0" applyBorder="0" applyAlignment="0"/>
    <xf numFmtId="191" fontId="7" fillId="0" borderId="17" applyBorder="0" applyAlignment="0">
      <alignment horizontal="center"/>
    </xf>
    <xf numFmtId="210" fontId="7" fillId="0" borderId="18"/>
    <xf numFmtId="0" fontId="54" fillId="0" borderId="0"/>
    <xf numFmtId="0" fontId="116" fillId="0" borderId="0">
      <alignment vertical="center"/>
    </xf>
    <xf numFmtId="0" fontId="68" fillId="0" borderId="19" applyBorder="0">
      <alignment horizontal="distributed"/>
      <protection locked="0"/>
    </xf>
    <xf numFmtId="0" fontId="43" fillId="0" borderId="6">
      <alignment horizontal="center" vertical="center"/>
    </xf>
    <xf numFmtId="0" fontId="125" fillId="0" borderId="0"/>
    <xf numFmtId="252" fontId="126" fillId="0" borderId="6">
      <alignment horizontal="right" vertical="center"/>
    </xf>
    <xf numFmtId="0" fontId="7" fillId="0" borderId="0"/>
    <xf numFmtId="0" fontId="44" fillId="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172" fillId="53" borderId="0" applyNumberFormat="0" applyBorder="0" applyAlignment="0" applyProtection="0">
      <alignment vertical="center"/>
    </xf>
    <xf numFmtId="0" fontId="45" fillId="0" borderId="0">
      <protection locked="0"/>
    </xf>
    <xf numFmtId="0" fontId="24" fillId="0" borderId="0">
      <alignment vertical="center"/>
    </xf>
    <xf numFmtId="3" fontId="14" fillId="0" borderId="20">
      <alignment horizontal="center"/>
    </xf>
    <xf numFmtId="0" fontId="127" fillId="0" borderId="21">
      <alignment vertical="center"/>
    </xf>
    <xf numFmtId="0" fontId="46" fillId="0" borderId="0" applyFont="0" applyAlignment="0">
      <alignment horizontal="left"/>
    </xf>
    <xf numFmtId="180" fontId="7" fillId="0" borderId="0" applyFill="0" applyBorder="0">
      <alignment horizontal="center" vertical="center"/>
    </xf>
    <xf numFmtId="219" fontId="7" fillId="0" borderId="22" applyFill="0" applyBorder="0">
      <alignment horizontal="center" vertical="center"/>
      <protection locked="0"/>
    </xf>
    <xf numFmtId="181" fontId="7" fillId="0" borderId="23" applyFill="0" applyBorder="0">
      <alignment horizontal="center"/>
      <protection locked="0"/>
    </xf>
    <xf numFmtId="182" fontId="7" fillId="0" borderId="23" applyFill="0" applyBorder="0">
      <alignment horizontal="center"/>
      <protection locked="0"/>
    </xf>
    <xf numFmtId="215" fontId="7" fillId="0" borderId="24">
      <alignment horizontal="center"/>
      <protection locked="0"/>
    </xf>
    <xf numFmtId="214" fontId="7" fillId="0" borderId="24">
      <alignment horizontal="center"/>
      <protection locked="0"/>
    </xf>
    <xf numFmtId="222" fontId="7" fillId="0" borderId="24">
      <alignment horizontal="center"/>
      <protection locked="0"/>
    </xf>
    <xf numFmtId="198" fontId="7" fillId="0" borderId="24">
      <alignment horizontal="center"/>
      <protection locked="0"/>
    </xf>
    <xf numFmtId="220" fontId="7" fillId="0" borderId="4" applyFill="0" applyBorder="0">
      <alignment horizontal="center" vertical="center"/>
      <protection locked="0"/>
    </xf>
    <xf numFmtId="0" fontId="45" fillId="0" borderId="0">
      <protection locked="0"/>
    </xf>
    <xf numFmtId="0" fontId="128" fillId="0" borderId="0" applyProtection="0"/>
    <xf numFmtId="0" fontId="129" fillId="0" borderId="0" applyNumberFormat="0" applyFill="0" applyBorder="0" applyAlignment="0" applyProtection="0">
      <alignment vertical="top"/>
      <protection locked="0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31" fillId="0" borderId="8">
      <alignment vertical="center"/>
    </xf>
    <xf numFmtId="253" fontId="58" fillId="0" borderId="0">
      <alignment vertical="center"/>
    </xf>
    <xf numFmtId="253" fontId="58" fillId="0" borderId="0">
      <alignment vertical="center"/>
    </xf>
    <xf numFmtId="0" fontId="7" fillId="23" borderId="25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168" fillId="54" borderId="8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6" fillId="0" borderId="0" applyNumberFormat="0" applyFont="0" applyFill="0" applyBorder="0" applyProtection="0">
      <alignment horizontal="distributed" vertical="center" justifyLastLine="1"/>
    </xf>
    <xf numFmtId="0" fontId="48" fillId="0" borderId="26" applyBorder="0">
      <alignment horizontal="distributed" vertical="center" wrapText="1" justifyLastLine="1"/>
    </xf>
    <xf numFmtId="10" fontId="130" fillId="0" borderId="0">
      <alignment vertical="center"/>
    </xf>
    <xf numFmtId="0" fontId="7" fillId="0" borderId="0">
      <protection locked="0"/>
    </xf>
    <xf numFmtId="10" fontId="130" fillId="0" borderId="0">
      <alignment vertical="center"/>
    </xf>
    <xf numFmtId="246" fontId="131" fillId="0" borderId="0">
      <protection locked="0"/>
    </xf>
    <xf numFmtId="246" fontId="131" fillId="0" borderId="0">
      <protection locked="0"/>
    </xf>
    <xf numFmtId="254" fontId="8" fillId="0" borderId="0" applyFont="0" applyFill="0" applyBorder="0" applyProtection="0">
      <alignment horizontal="center" vertical="center"/>
    </xf>
    <xf numFmtId="255" fontId="8" fillId="0" borderId="0" applyFont="0" applyFill="0" applyBorder="0" applyProtection="0">
      <alignment horizontal="center" vertical="center"/>
    </xf>
    <xf numFmtId="9" fontId="35" fillId="16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13" fontId="10" fillId="0" borderId="0" applyFont="0" applyFill="0" applyProtection="0"/>
    <xf numFmtId="9" fontId="162" fillId="0" borderId="0" applyFont="0" applyFill="0" applyBorder="0" applyAlignment="0" applyProtection="0">
      <alignment vertical="center"/>
    </xf>
    <xf numFmtId="256" fontId="7" fillId="0" borderId="0" applyFont="0" applyFill="0" applyBorder="0" applyAlignment="0" applyProtection="0"/>
    <xf numFmtId="257" fontId="116" fillId="0" borderId="0" applyFont="0" applyFill="0" applyBorder="0" applyAlignment="0" applyProtection="0"/>
    <xf numFmtId="0" fontId="49" fillId="0" borderId="0"/>
    <xf numFmtId="0" fontId="68" fillId="0" borderId="0" applyFont="0" applyFill="0" applyBorder="0" applyProtection="0">
      <alignment horizontal="center" vertical="center"/>
    </xf>
    <xf numFmtId="0" fontId="68" fillId="0" borderId="0" applyFont="0" applyFill="0" applyBorder="0" applyProtection="0">
      <alignment horizontal="center" vertical="center"/>
    </xf>
    <xf numFmtId="0" fontId="50" fillId="24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7" fillId="0" borderId="0"/>
    <xf numFmtId="270" fontId="149" fillId="0" borderId="27" applyFont="0" applyFill="0" applyAlignment="0" applyProtection="0">
      <alignment horizontal="center" vertical="center"/>
    </xf>
    <xf numFmtId="0" fontId="150" fillId="0" borderId="0"/>
    <xf numFmtId="176" fontId="132" fillId="0" borderId="17">
      <alignment vertical="center"/>
    </xf>
    <xf numFmtId="204" fontId="7" fillId="0" borderId="28" applyBorder="0"/>
    <xf numFmtId="49" fontId="68" fillId="0" borderId="29" applyFill="0" applyBorder="0">
      <alignment horizontal="center" vertical="center"/>
      <protection locked="0"/>
    </xf>
    <xf numFmtId="0" fontId="133" fillId="0" borderId="0" applyNumberFormat="0" applyFont="0" applyFill="0" applyBorder="0" applyProtection="0">
      <alignment horizontal="centerContinuous" vertical="center"/>
    </xf>
    <xf numFmtId="0" fontId="134" fillId="0" borderId="0" applyNumberFormat="0" applyFont="0" applyFill="0" applyBorder="0" applyProtection="0">
      <alignment horizontal="centerContinuous" vertical="center"/>
    </xf>
    <xf numFmtId="0" fontId="134" fillId="0" borderId="0" applyNumberFormat="0" applyFont="0" applyFill="0" applyBorder="0" applyProtection="0">
      <alignment horizontal="centerContinuous" vertical="center"/>
    </xf>
    <xf numFmtId="0" fontId="116" fillId="0" borderId="0" applyNumberFormat="0" applyFont="0" applyFill="0" applyBorder="0" applyProtection="0">
      <alignment horizontal="centerContinuous" vertical="center"/>
    </xf>
    <xf numFmtId="217" fontId="134" fillId="0" borderId="0" applyNumberFormat="0" applyFont="0" applyFill="0" applyBorder="0" applyProtection="0">
      <alignment horizontal="centerContinuous" vertical="center"/>
    </xf>
    <xf numFmtId="258" fontId="7" fillId="0" borderId="30" applyNumberFormat="0" applyBorder="0" applyAlignment="0"/>
    <xf numFmtId="38" fontId="51" fillId="0" borderId="0">
      <alignment vertical="center" wrapText="1"/>
    </xf>
    <xf numFmtId="0" fontId="52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53" fillId="25" borderId="31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75" fillId="56" borderId="90" applyNumberFormat="0" applyAlignment="0" applyProtection="0">
      <alignment vertical="center"/>
    </xf>
    <xf numFmtId="0" fontId="135" fillId="0" borderId="0" applyProtection="0">
      <alignment vertical="center"/>
      <protection locked="0"/>
    </xf>
    <xf numFmtId="0" fontId="54" fillId="0" borderId="32"/>
    <xf numFmtId="4" fontId="54" fillId="0" borderId="28"/>
    <xf numFmtId="205" fontId="7" fillId="0" borderId="28"/>
    <xf numFmtId="0" fontId="7" fillId="0" borderId="28"/>
    <xf numFmtId="0" fontId="136" fillId="0" borderId="0">
      <alignment vertical="center"/>
    </xf>
    <xf numFmtId="259" fontId="130" fillId="0" borderId="0">
      <alignment vertical="center"/>
    </xf>
    <xf numFmtId="0" fontId="48" fillId="0" borderId="0"/>
    <xf numFmtId="176" fontId="48" fillId="0" borderId="17">
      <alignment vertical="center"/>
    </xf>
    <xf numFmtId="1" fontId="134" fillId="0" borderId="0" applyFont="0" applyFill="0" applyBorder="0" applyProtection="0">
      <alignment horizontal="centerContinuous" vertical="center"/>
    </xf>
    <xf numFmtId="193" fontId="55" fillId="0" borderId="0">
      <alignment vertical="center"/>
    </xf>
    <xf numFmtId="0" fontId="134" fillId="0" borderId="0" applyFont="0" applyFill="0" applyBorder="0" applyProtection="0">
      <alignment horizontal="centerContinuous" vertical="center"/>
    </xf>
    <xf numFmtId="181" fontId="134" fillId="0" borderId="0" applyFont="0" applyFill="0" applyBorder="0" applyProtection="0">
      <alignment horizontal="centerContinuous"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6" fontId="10" fillId="0" borderId="0" applyFont="0" applyFill="0" applyProtection="0"/>
    <xf numFmtId="41" fontId="7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3" fillId="0" borderId="0"/>
    <xf numFmtId="0" fontId="8" fillId="0" borderId="0"/>
    <xf numFmtId="0" fontId="8" fillId="0" borderId="0"/>
    <xf numFmtId="0" fontId="33" fillId="0" borderId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Protection="0"/>
    <xf numFmtId="0" fontId="10" fillId="0" borderId="0" applyFont="0" applyFill="0" applyBorder="0" applyAlignment="0" applyProtection="0"/>
    <xf numFmtId="0" fontId="9" fillId="0" borderId="33"/>
    <xf numFmtId="0" fontId="137" fillId="0" borderId="29" applyBorder="0">
      <alignment horizontal="distributed" vertical="center"/>
      <protection locked="0"/>
    </xf>
    <xf numFmtId="0" fontId="56" fillId="0" borderId="34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176" fillId="0" borderId="91" applyNumberFormat="0" applyFill="0" applyAlignment="0" applyProtection="0">
      <alignment vertical="center"/>
    </xf>
    <xf numFmtId="0" fontId="57" fillId="0" borderId="2">
      <alignment vertical="center"/>
    </xf>
    <xf numFmtId="0" fontId="58" fillId="0" borderId="0"/>
    <xf numFmtId="0" fontId="58" fillId="0" borderId="21">
      <alignment vertical="center"/>
    </xf>
    <xf numFmtId="260" fontId="58" fillId="0" borderId="2" applyBorder="0">
      <alignment vertical="center"/>
    </xf>
    <xf numFmtId="261" fontId="58" fillId="0" borderId="2" applyBorder="0">
      <alignment horizontal="left" vertical="center"/>
    </xf>
    <xf numFmtId="0" fontId="59" fillId="0" borderId="35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0" fontId="177" fillId="0" borderId="92" applyNumberFormat="0" applyFill="0" applyAlignment="0" applyProtection="0">
      <alignment vertical="center"/>
    </xf>
    <xf numFmtId="262" fontId="108" fillId="0" borderId="0" applyFill="0" applyBorder="0">
      <alignment horizontal="centerContinuous"/>
    </xf>
    <xf numFmtId="263" fontId="108" fillId="0" borderId="0" applyFill="0" applyBorder="0">
      <alignment horizontal="centerContinuous"/>
    </xf>
    <xf numFmtId="0" fontId="138" fillId="0" borderId="0" applyFont="0" applyFill="0" applyBorder="0" applyAlignment="0" applyProtection="0"/>
    <xf numFmtId="0" fontId="139" fillId="0" borderId="0">
      <alignment vertical="center"/>
    </xf>
    <xf numFmtId="0" fontId="60" fillId="0" borderId="0">
      <alignment horizontal="center" vertical="center"/>
    </xf>
    <xf numFmtId="0" fontId="133" fillId="0" borderId="0" applyNumberFormat="0" applyFont="0" applyFill="0" applyBorder="0" applyProtection="0">
      <alignment vertical="center"/>
    </xf>
    <xf numFmtId="0" fontId="34" fillId="0" borderId="0"/>
    <xf numFmtId="0" fontId="51" fillId="0" borderId="0" applyNumberFormat="0" applyBorder="0" applyAlignment="0">
      <alignment horizontal="centerContinuous" vertical="center"/>
    </xf>
    <xf numFmtId="0" fontId="61" fillId="7" borderId="16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0" fontId="178" fillId="57" borderId="88" applyNumberFormat="0" applyAlignment="0" applyProtection="0">
      <alignment vertical="center"/>
    </xf>
    <xf numFmtId="4" fontId="45" fillId="0" borderId="0">
      <protection locked="0"/>
    </xf>
    <xf numFmtId="0" fontId="54" fillId="0" borderId="0"/>
    <xf numFmtId="4" fontId="45" fillId="0" borderId="0">
      <protection locked="0"/>
    </xf>
    <xf numFmtId="3" fontId="15" fillId="0" borderId="0" applyFont="0" applyFill="0" applyBorder="0" applyAlignment="0" applyProtection="0"/>
    <xf numFmtId="0" fontId="54" fillId="26" borderId="0"/>
    <xf numFmtId="264" fontId="110" fillId="0" borderId="0" applyFill="0" applyBorder="0">
      <alignment horizontal="centerContinuous"/>
    </xf>
    <xf numFmtId="0" fontId="62" fillId="27" borderId="14">
      <alignment horizontal="centerContinuous"/>
    </xf>
    <xf numFmtId="0" fontId="63" fillId="0" borderId="36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179" fillId="0" borderId="93" applyNumberFormat="0" applyFill="0" applyAlignment="0" applyProtection="0">
      <alignment vertical="center"/>
    </xf>
    <xf numFmtId="0" fontId="8" fillId="0" borderId="0">
      <alignment vertical="center"/>
    </xf>
    <xf numFmtId="0" fontId="140" fillId="0" borderId="0">
      <alignment horizontal="centerContinuous"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64" fillId="0" borderId="37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1" fillId="0" borderId="94" applyNumberFormat="0" applyFill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65" fillId="0" borderId="38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182" fillId="0" borderId="9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8" fillId="0" borderId="2">
      <alignment horizontal="distributed" vertical="center"/>
    </xf>
    <xf numFmtId="0" fontId="8" fillId="0" borderId="28">
      <alignment horizontal="distributed" vertical="top"/>
    </xf>
    <xf numFmtId="0" fontId="8" fillId="0" borderId="30">
      <alignment horizontal="distributed"/>
    </xf>
    <xf numFmtId="176" fontId="141" fillId="0" borderId="0">
      <alignment vertical="center"/>
    </xf>
    <xf numFmtId="0" fontId="151" fillId="0" borderId="0"/>
    <xf numFmtId="0" fontId="66" fillId="4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0" fontId="183" fillId="58" borderId="0" applyNumberFormat="0" applyBorder="0" applyAlignment="0" applyProtection="0">
      <alignment vertical="center"/>
    </xf>
    <xf numFmtId="265" fontId="108" fillId="0" borderId="0" applyFill="0" applyBorder="0">
      <alignment horizontal="centerContinuous"/>
    </xf>
    <xf numFmtId="266" fontId="108" fillId="0" borderId="0" applyFill="0" applyBorder="0">
      <alignment horizontal="centerContinuous"/>
    </xf>
    <xf numFmtId="0" fontId="8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7" fillId="22" borderId="39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84" fillId="52" borderId="96" applyNumberFormat="0" applyAlignment="0" applyProtection="0">
      <alignment vertical="center"/>
    </xf>
    <xf numFmtId="0" fontId="106" fillId="0" borderId="6" applyFill="0" applyProtection="0">
      <alignment horizontal="center" vertical="center"/>
    </xf>
    <xf numFmtId="246" fontId="131" fillId="0" borderId="0">
      <protection locked="0"/>
    </xf>
    <xf numFmtId="0" fontId="28" fillId="0" borderId="0" applyFont="0" applyFill="0" applyBorder="0" applyAlignment="0" applyProtection="0"/>
    <xf numFmtId="246" fontId="131" fillId="0" borderId="0">
      <protection locked="0"/>
    </xf>
    <xf numFmtId="267" fontId="8" fillId="0" borderId="0" applyFont="0" applyFill="0" applyBorder="0" applyProtection="0">
      <alignment vertical="center"/>
    </xf>
    <xf numFmtId="38" fontId="116" fillId="0" borderId="0" applyFont="0" applyFill="0" applyBorder="0" applyProtection="0">
      <alignment vertical="center"/>
    </xf>
    <xf numFmtId="245" fontId="7" fillId="0" borderId="0" applyFont="0" applyFill="0" applyBorder="0" applyAlignment="0" applyProtection="0"/>
    <xf numFmtId="176" fontId="8" fillId="0" borderId="0" applyNumberFormat="0" applyFont="0" applyFill="0" applyBorder="0" applyProtection="0">
      <alignment vertical="center"/>
    </xf>
    <xf numFmtId="0" fontId="10" fillId="0" borderId="2"/>
    <xf numFmtId="176" fontId="7" fillId="0" borderId="0"/>
    <xf numFmtId="9" fontId="134" fillId="0" borderId="0"/>
    <xf numFmtId="236" fontId="31" fillId="0" borderId="29"/>
    <xf numFmtId="38" fontId="116" fillId="0" borderId="0" applyFont="0" applyFill="0" applyBorder="0" applyAlignment="0" applyProtection="0">
      <alignment vertical="center"/>
    </xf>
    <xf numFmtId="219" fontId="116" fillId="0" borderId="0" applyFont="0" applyFill="0" applyBorder="0" applyAlignment="0" applyProtection="0">
      <alignment vertical="center"/>
    </xf>
    <xf numFmtId="38" fontId="116" fillId="0" borderId="0" applyFill="0" applyBorder="0" applyAlignment="0" applyProtection="0">
      <alignment vertical="center"/>
    </xf>
    <xf numFmtId="259" fontId="68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2" fontId="68" fillId="0" borderId="2">
      <alignment vertical="center"/>
    </xf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7" fillId="0" borderId="0">
      <protection locked="0"/>
    </xf>
    <xf numFmtId="0" fontId="142" fillId="0" borderId="0">
      <alignment horizontal="center" vertical="center"/>
    </xf>
    <xf numFmtId="2" fontId="69" fillId="0" borderId="6" applyNumberFormat="0" applyFont="0" applyFill="0" applyAlignment="0" applyProtection="0">
      <alignment vertical="center"/>
    </xf>
    <xf numFmtId="246" fontId="131" fillId="0" borderId="0">
      <protection locked="0"/>
    </xf>
    <xf numFmtId="246" fontId="131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168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195" fontId="8" fillId="0" borderId="0">
      <protection locked="0"/>
    </xf>
    <xf numFmtId="0" fontId="7" fillId="0" borderId="0"/>
    <xf numFmtId="0" fontId="48" fillId="0" borderId="6">
      <alignment horizontal="center" vertical="center"/>
    </xf>
    <xf numFmtId="0" fontId="48" fillId="0" borderId="6">
      <alignment horizontal="left" vertical="center"/>
    </xf>
    <xf numFmtId="0" fontId="48" fillId="0" borderId="6">
      <alignment vertical="center" textRotation="255"/>
    </xf>
    <xf numFmtId="0" fontId="28" fillId="0" borderId="30">
      <alignment horizontal="distributed"/>
    </xf>
    <xf numFmtId="0" fontId="28" fillId="0" borderId="40">
      <alignment horizontal="distributed" vertical="center"/>
    </xf>
    <xf numFmtId="0" fontId="28" fillId="0" borderId="41">
      <alignment horizontal="distributed" vertical="top"/>
    </xf>
    <xf numFmtId="0" fontId="168" fillId="0" borderId="0">
      <alignment vertical="center"/>
    </xf>
    <xf numFmtId="0" fontId="16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0" fillId="0" borderId="0"/>
    <xf numFmtId="0" fontId="7" fillId="0" borderId="0">
      <alignment vertical="center"/>
    </xf>
    <xf numFmtId="0" fontId="7" fillId="0" borderId="0"/>
    <xf numFmtId="0" fontId="70" fillId="0" borderId="0"/>
    <xf numFmtId="0" fontId="168" fillId="0" borderId="0">
      <alignment vertical="center"/>
    </xf>
    <xf numFmtId="0" fontId="71" fillId="0" borderId="0"/>
    <xf numFmtId="0" fontId="7" fillId="0" borderId="0"/>
    <xf numFmtId="0" fontId="7" fillId="0" borderId="0"/>
    <xf numFmtId="0" fontId="10" fillId="0" borderId="0"/>
    <xf numFmtId="0" fontId="168" fillId="0" borderId="0">
      <alignment vertical="center"/>
    </xf>
    <xf numFmtId="0" fontId="168" fillId="0" borderId="0">
      <alignment vertical="center"/>
    </xf>
    <xf numFmtId="0" fontId="168" fillId="0" borderId="0">
      <alignment vertical="center"/>
    </xf>
    <xf numFmtId="0" fontId="7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2" fillId="0" borderId="0">
      <alignment vertical="center"/>
    </xf>
    <xf numFmtId="0" fontId="168" fillId="0" borderId="0">
      <alignment vertical="center"/>
    </xf>
    <xf numFmtId="0" fontId="168" fillId="0" borderId="0">
      <alignment vertical="center"/>
    </xf>
    <xf numFmtId="0" fontId="106" fillId="0" borderId="0"/>
    <xf numFmtId="0" fontId="7" fillId="0" borderId="0"/>
    <xf numFmtId="0" fontId="6" fillId="0" borderId="0"/>
    <xf numFmtId="0" fontId="8" fillId="0" borderId="0"/>
    <xf numFmtId="0" fontId="58" fillId="0" borderId="0"/>
    <xf numFmtId="0" fontId="58" fillId="0" borderId="0"/>
    <xf numFmtId="0" fontId="7" fillId="0" borderId="0"/>
    <xf numFmtId="0" fontId="7" fillId="0" borderId="0"/>
    <xf numFmtId="0" fontId="58" fillId="0" borderId="0"/>
    <xf numFmtId="0" fontId="58" fillId="0" borderId="0"/>
    <xf numFmtId="0" fontId="8" fillId="0" borderId="0"/>
    <xf numFmtId="0" fontId="31" fillId="0" borderId="0"/>
    <xf numFmtId="0" fontId="7" fillId="0" borderId="2" applyNumberFormat="0" applyFill="0" applyProtection="0">
      <alignment vertical="center"/>
    </xf>
    <xf numFmtId="0" fontId="8" fillId="0" borderId="0"/>
    <xf numFmtId="0" fontId="37" fillId="0" borderId="0"/>
    <xf numFmtId="0" fontId="185" fillId="0" borderId="0" applyNumberFormat="0" applyFill="0" applyBorder="0" applyAlignment="0" applyProtection="0">
      <alignment vertical="top"/>
      <protection locked="0"/>
    </xf>
    <xf numFmtId="0" fontId="31" fillId="0" borderId="6">
      <alignment horizontal="center" vertical="center" wrapText="1"/>
    </xf>
    <xf numFmtId="0" fontId="45" fillId="0" borderId="15">
      <protection locked="0"/>
    </xf>
    <xf numFmtId="3" fontId="35" fillId="0" borderId="42">
      <alignment vertical="center"/>
    </xf>
    <xf numFmtId="201" fontId="34" fillId="0" borderId="0" applyFont="0" applyFill="0" applyBorder="0" applyAlignment="0" applyProtection="0"/>
    <xf numFmtId="202" fontId="34" fillId="0" borderId="0" applyFont="0" applyFill="0" applyBorder="0" applyAlignment="0" applyProtection="0"/>
    <xf numFmtId="194" fontId="8" fillId="0" borderId="0">
      <protection locked="0"/>
    </xf>
    <xf numFmtId="197" fontId="8" fillId="0" borderId="0">
      <protection locked="0"/>
    </xf>
    <xf numFmtId="176" fontId="8" fillId="0" borderId="43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625">
    <xf numFmtId="0" fontId="0" fillId="0" borderId="0" xfId="0"/>
    <xf numFmtId="0" fontId="24" fillId="0" borderId="2" xfId="0" applyFont="1" applyBorder="1" applyAlignment="1">
      <alignment horizontal="center" vertical="center"/>
    </xf>
    <xf numFmtId="0" fontId="106" fillId="0" borderId="0" xfId="0" applyFont="1" applyBorder="1" applyAlignment="1">
      <alignment vertical="center"/>
    </xf>
    <xf numFmtId="0" fontId="106" fillId="0" borderId="26" xfId="0" applyFont="1" applyBorder="1" applyAlignment="1">
      <alignment vertical="center"/>
    </xf>
    <xf numFmtId="0" fontId="106" fillId="0" borderId="29" xfId="0" applyFont="1" applyBorder="1" applyAlignment="1">
      <alignment vertical="center"/>
    </xf>
    <xf numFmtId="0" fontId="106" fillId="0" borderId="44" xfId="0" applyFont="1" applyBorder="1" applyAlignment="1">
      <alignment vertical="center"/>
    </xf>
    <xf numFmtId="0" fontId="106" fillId="0" borderId="23" xfId="0" applyFont="1" applyBorder="1" applyAlignment="1">
      <alignment vertical="center"/>
    </xf>
    <xf numFmtId="0" fontId="106" fillId="0" borderId="32" xfId="0" applyFont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32" xfId="0" applyFont="1" applyBorder="1" applyAlignment="1">
      <alignment vertical="center"/>
    </xf>
    <xf numFmtId="0" fontId="48" fillId="0" borderId="23" xfId="0" applyFont="1" applyBorder="1" applyAlignment="1">
      <alignment vertical="center"/>
    </xf>
    <xf numFmtId="0" fontId="48" fillId="0" borderId="32" xfId="0" applyFont="1" applyBorder="1" applyAlignment="1">
      <alignment vertical="center"/>
    </xf>
    <xf numFmtId="0" fontId="48" fillId="0" borderId="0" xfId="0" applyFont="1" applyAlignment="1">
      <alignment vertical="center"/>
    </xf>
    <xf numFmtId="0" fontId="48" fillId="0" borderId="45" xfId="0" applyFont="1" applyBorder="1" applyAlignment="1">
      <alignment vertical="center"/>
    </xf>
    <xf numFmtId="0" fontId="48" fillId="0" borderId="21" xfId="0" applyFont="1" applyBorder="1" applyAlignment="1">
      <alignment vertical="center"/>
    </xf>
    <xf numFmtId="0" fontId="25" fillId="0" borderId="21" xfId="0" applyFont="1" applyBorder="1" applyAlignment="1">
      <alignment vertical="center"/>
    </xf>
    <xf numFmtId="0" fontId="48" fillId="0" borderId="27" xfId="0" applyFont="1" applyBorder="1" applyAlignment="1">
      <alignment vertical="center"/>
    </xf>
    <xf numFmtId="0" fontId="0" fillId="0" borderId="0" xfId="0" applyAlignment="1">
      <alignment vertical="center"/>
    </xf>
    <xf numFmtId="0" fontId="107" fillId="0" borderId="0" xfId="0" applyFont="1" applyBorder="1" applyAlignment="1">
      <alignment vertical="center"/>
    </xf>
    <xf numFmtId="0" fontId="144" fillId="0" borderId="23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144" fillId="0" borderId="0" xfId="0" applyFont="1" applyBorder="1" applyAlignment="1">
      <alignment vertical="center"/>
    </xf>
    <xf numFmtId="0" fontId="144" fillId="0" borderId="32" xfId="0" applyFont="1" applyBorder="1" applyAlignment="1">
      <alignment vertical="center"/>
    </xf>
    <xf numFmtId="0" fontId="28" fillId="0" borderId="0" xfId="2742" applyFont="1"/>
    <xf numFmtId="0" fontId="58" fillId="0" borderId="0" xfId="2741"/>
    <xf numFmtId="0" fontId="116" fillId="0" borderId="0" xfId="2737" applyFont="1" applyAlignment="1">
      <alignment horizontal="center"/>
    </xf>
    <xf numFmtId="0" fontId="153" fillId="0" borderId="0" xfId="2737" applyFont="1" applyAlignment="1">
      <alignment horizontal="right"/>
    </xf>
    <xf numFmtId="0" fontId="153" fillId="0" borderId="0" xfId="2737" applyFont="1" applyAlignment="1">
      <alignment horizontal="center"/>
    </xf>
    <xf numFmtId="0" fontId="155" fillId="0" borderId="0" xfId="2737" applyFont="1" applyAlignment="1">
      <alignment horizontal="center"/>
    </xf>
    <xf numFmtId="0" fontId="156" fillId="0" borderId="0" xfId="2737" applyFont="1" applyAlignment="1">
      <alignment horizontal="left"/>
    </xf>
    <xf numFmtId="0" fontId="153" fillId="0" borderId="0" xfId="2737" applyFont="1" applyAlignment="1">
      <alignment horizontal="left"/>
    </xf>
    <xf numFmtId="0" fontId="157" fillId="0" borderId="0" xfId="2737" applyFont="1" applyAlignment="1">
      <alignment horizontal="left"/>
    </xf>
    <xf numFmtId="0" fontId="157" fillId="0" borderId="0" xfId="2737" applyFont="1" applyAlignment="1">
      <alignment horizontal="center"/>
    </xf>
    <xf numFmtId="0" fontId="158" fillId="0" borderId="0" xfId="2737" applyFont="1" applyAlignment="1">
      <alignment horizontal="center"/>
    </xf>
    <xf numFmtId="0" fontId="157" fillId="0" borderId="0" xfId="2737" applyFont="1" applyAlignment="1">
      <alignment horizontal="distributed" vertical="center"/>
    </xf>
    <xf numFmtId="0" fontId="116" fillId="0" borderId="0" xfId="2737" applyFont="1"/>
    <xf numFmtId="0" fontId="35" fillId="0" borderId="0" xfId="2734" applyFont="1" applyAlignment="1">
      <alignment horizontal="center" vertical="center"/>
    </xf>
    <xf numFmtId="0" fontId="35" fillId="0" borderId="0" xfId="2734" applyFont="1" applyAlignment="1">
      <alignment vertical="center"/>
    </xf>
    <xf numFmtId="0" fontId="121" fillId="0" borderId="0" xfId="2734" applyFont="1" applyAlignment="1">
      <alignment vertical="center"/>
    </xf>
    <xf numFmtId="0" fontId="31" fillId="0" borderId="0" xfId="2734" applyFont="1" applyAlignment="1">
      <alignment vertical="center"/>
    </xf>
    <xf numFmtId="0" fontId="31" fillId="0" borderId="0" xfId="2734" applyFont="1" applyAlignment="1">
      <alignment horizontal="center" vertical="center"/>
    </xf>
    <xf numFmtId="0" fontId="121" fillId="0" borderId="0" xfId="2734" applyFont="1" applyAlignment="1">
      <alignment horizontal="center" vertical="center"/>
    </xf>
    <xf numFmtId="0" fontId="31" fillId="0" borderId="0" xfId="2733" applyFont="1" applyBorder="1" applyAlignment="1">
      <alignment horizontal="left" vertical="center"/>
    </xf>
    <xf numFmtId="0" fontId="160" fillId="0" borderId="0" xfId="2734" applyFont="1" applyAlignment="1">
      <alignment vertical="center"/>
    </xf>
    <xf numFmtId="0" fontId="35" fillId="0" borderId="0" xfId="2734" applyFont="1"/>
    <xf numFmtId="0" fontId="161" fillId="0" borderId="0" xfId="2734" applyFont="1" applyAlignment="1">
      <alignment vertical="center"/>
    </xf>
    <xf numFmtId="0" fontId="35" fillId="0" borderId="46" xfId="2734" applyFont="1" applyBorder="1" applyAlignment="1">
      <alignment horizontal="center" vertical="center"/>
    </xf>
    <xf numFmtId="0" fontId="35" fillId="0" borderId="47" xfId="2734" applyFont="1" applyBorder="1" applyAlignment="1">
      <alignment horizontal="center" vertical="center"/>
    </xf>
    <xf numFmtId="0" fontId="35" fillId="0" borderId="48" xfId="2734" applyFont="1" applyBorder="1" applyAlignment="1">
      <alignment horizontal="center" vertical="center"/>
    </xf>
    <xf numFmtId="0" fontId="35" fillId="0" borderId="49" xfId="2734" applyFont="1" applyBorder="1" applyAlignment="1">
      <alignment horizontal="center" vertical="center"/>
    </xf>
    <xf numFmtId="0" fontId="23" fillId="59" borderId="50" xfId="2714" applyFont="1" applyFill="1" applyBorder="1" applyAlignment="1">
      <alignment horizontal="center" vertical="center"/>
    </xf>
    <xf numFmtId="0" fontId="23" fillId="59" borderId="51" xfId="2714" applyFont="1" applyFill="1" applyBorder="1" applyAlignment="1">
      <alignment horizontal="center" vertical="center"/>
    </xf>
    <xf numFmtId="0" fontId="23" fillId="59" borderId="43" xfId="2714" applyFont="1" applyFill="1" applyBorder="1" applyAlignment="1">
      <alignment horizontal="center" vertical="center"/>
    </xf>
    <xf numFmtId="0" fontId="163" fillId="0" borderId="0" xfId="2743" applyFont="1" applyAlignment="1">
      <alignment vertical="center"/>
    </xf>
    <xf numFmtId="0" fontId="24" fillId="0" borderId="26" xfId="2740" applyFont="1" applyBorder="1" applyAlignment="1">
      <alignment horizontal="left" vertical="center"/>
    </xf>
    <xf numFmtId="0" fontId="25" fillId="0" borderId="29" xfId="2743" applyFont="1" applyBorder="1" applyAlignment="1" applyProtection="1">
      <alignment vertical="center"/>
    </xf>
    <xf numFmtId="0" fontId="25" fillId="0" borderId="29" xfId="2743" applyFont="1" applyBorder="1" applyAlignment="1" applyProtection="1">
      <alignment horizontal="center" vertical="center"/>
    </xf>
    <xf numFmtId="176" fontId="26" fillId="0" borderId="44" xfId="2497" applyFont="1" applyBorder="1" applyAlignment="1" applyProtection="1">
      <alignment horizontal="center" vertical="center"/>
    </xf>
    <xf numFmtId="0" fontId="164" fillId="0" borderId="0" xfId="2743" applyFont="1" applyAlignment="1">
      <alignment vertical="center"/>
    </xf>
    <xf numFmtId="0" fontId="35" fillId="0" borderId="0" xfId="2714" applyFont="1" applyBorder="1" applyAlignment="1" applyProtection="1">
      <alignment horizontal="center" vertical="center"/>
    </xf>
    <xf numFmtId="0" fontId="26" fillId="0" borderId="0" xfId="2743" applyFont="1" applyBorder="1" applyAlignment="1" applyProtection="1">
      <alignment horizontal="center" vertical="center"/>
    </xf>
    <xf numFmtId="271" fontId="26" fillId="0" borderId="32" xfId="2743" applyNumberFormat="1" applyFont="1" applyBorder="1" applyAlignment="1" applyProtection="1">
      <alignment horizontal="center" vertical="center"/>
    </xf>
    <xf numFmtId="0" fontId="163" fillId="0" borderId="0" xfId="2743" applyFont="1"/>
    <xf numFmtId="0" fontId="26" fillId="0" borderId="5" xfId="2714" applyFont="1" applyFill="1" applyBorder="1" applyAlignment="1" applyProtection="1">
      <alignment horizontal="left" vertical="center"/>
    </xf>
    <xf numFmtId="0" fontId="26" fillId="0" borderId="6" xfId="2743" applyFont="1" applyFill="1" applyBorder="1" applyAlignment="1" applyProtection="1">
      <alignment horizontal="center" vertical="center"/>
    </xf>
    <xf numFmtId="178" fontId="26" fillId="0" borderId="52" xfId="2743" applyNumberFormat="1" applyFont="1" applyFill="1" applyBorder="1" applyAlignment="1" applyProtection="1">
      <alignment horizontal="center" vertical="center"/>
    </xf>
    <xf numFmtId="0" fontId="26" fillId="0" borderId="6" xfId="2739" applyFont="1" applyFill="1" applyBorder="1" applyAlignment="1" applyProtection="1">
      <alignment horizontal="left" vertical="center"/>
    </xf>
    <xf numFmtId="0" fontId="26" fillId="0" borderId="6" xfId="2714" quotePrefix="1" applyFont="1" applyFill="1" applyBorder="1" applyAlignment="1" applyProtection="1">
      <alignment horizontal="left" vertical="center"/>
    </xf>
    <xf numFmtId="272" fontId="26" fillId="0" borderId="6" xfId="2489" applyNumberFormat="1" applyFont="1" applyFill="1" applyBorder="1" applyAlignment="1" applyProtection="1">
      <alignment horizontal="center" vertical="center"/>
    </xf>
    <xf numFmtId="177" fontId="26" fillId="0" borderId="52" xfId="2496" applyNumberFormat="1" applyFont="1" applyFill="1" applyBorder="1" applyAlignment="1" applyProtection="1">
      <alignment horizontal="center" vertical="center"/>
    </xf>
    <xf numFmtId="0" fontId="26" fillId="0" borderId="5" xfId="2714" applyFont="1" applyFill="1" applyBorder="1" applyAlignment="1" applyProtection="1">
      <alignment horizontal="center" vertical="center"/>
    </xf>
    <xf numFmtId="0" fontId="26" fillId="0" borderId="6" xfId="2714" applyFont="1" applyFill="1" applyBorder="1" applyAlignment="1" applyProtection="1">
      <alignment horizontal="left" vertical="center"/>
    </xf>
    <xf numFmtId="178" fontId="26" fillId="0" borderId="52" xfId="2496" applyNumberFormat="1" applyFont="1" applyFill="1" applyBorder="1" applyAlignment="1" applyProtection="1">
      <alignment horizontal="center" vertical="center"/>
    </xf>
    <xf numFmtId="0" fontId="26" fillId="0" borderId="5" xfId="2743" applyFont="1" applyFill="1" applyBorder="1" applyAlignment="1" applyProtection="1">
      <alignment horizontal="left" vertical="center"/>
    </xf>
    <xf numFmtId="273" fontId="165" fillId="0" borderId="6" xfId="2489" quotePrefix="1" applyNumberFormat="1" applyFont="1" applyFill="1" applyBorder="1" applyAlignment="1" applyProtection="1">
      <alignment horizontal="center" vertical="center"/>
    </xf>
    <xf numFmtId="179" fontId="26" fillId="0" borderId="52" xfId="2743" applyNumberFormat="1" applyFont="1" applyFill="1" applyBorder="1" applyAlignment="1" applyProtection="1">
      <alignment horizontal="center" vertical="center"/>
    </xf>
    <xf numFmtId="0" fontId="26" fillId="0" borderId="5" xfId="2736" applyFont="1" applyFill="1" applyBorder="1" applyAlignment="1" applyProtection="1">
      <alignment horizontal="left" vertical="center"/>
    </xf>
    <xf numFmtId="0" fontId="163" fillId="0" borderId="0" xfId="2743" applyFont="1" applyAlignment="1">
      <alignment horizontal="right"/>
    </xf>
    <xf numFmtId="177" fontId="26" fillId="0" borderId="52" xfId="2743" applyNumberFormat="1" applyFont="1" applyFill="1" applyBorder="1" applyAlignment="1" applyProtection="1">
      <alignment horizontal="center" vertical="center"/>
    </xf>
    <xf numFmtId="0" fontId="26" fillId="0" borderId="5" xfId="2736" applyFont="1" applyFill="1" applyBorder="1" applyAlignment="1" applyProtection="1">
      <alignment horizontal="center" vertical="center"/>
    </xf>
    <xf numFmtId="0" fontId="26" fillId="0" borderId="6" xfId="2743" applyFont="1" applyFill="1" applyBorder="1" applyAlignment="1">
      <alignment horizontal="center" vertical="center"/>
    </xf>
    <xf numFmtId="0" fontId="26" fillId="0" borderId="52" xfId="2743" applyFont="1" applyFill="1" applyBorder="1" applyAlignment="1">
      <alignment horizontal="center" vertical="center"/>
    </xf>
    <xf numFmtId="0" fontId="166" fillId="0" borderId="0" xfId="2743" applyFont="1"/>
    <xf numFmtId="0" fontId="26" fillId="0" borderId="5" xfId="2743" applyFont="1" applyFill="1" applyBorder="1" applyAlignment="1">
      <alignment vertical="center"/>
    </xf>
    <xf numFmtId="0" fontId="26" fillId="0" borderId="53" xfId="2714" applyFont="1" applyFill="1" applyBorder="1" applyAlignment="1" applyProtection="1">
      <alignment horizontal="left" vertical="center"/>
    </xf>
    <xf numFmtId="0" fontId="26" fillId="0" borderId="20" xfId="2743" applyFont="1" applyFill="1" applyBorder="1" applyAlignment="1">
      <alignment horizontal="center" vertical="center"/>
    </xf>
    <xf numFmtId="0" fontId="26" fillId="0" borderId="54" xfId="2743" applyFont="1" applyFill="1" applyBorder="1" applyAlignment="1">
      <alignment horizontal="center" vertical="center"/>
    </xf>
    <xf numFmtId="0" fontId="166" fillId="0" borderId="0" xfId="2743" applyFont="1" applyAlignment="1">
      <alignment horizontal="center"/>
    </xf>
    <xf numFmtId="0" fontId="163" fillId="0" borderId="0" xfId="2743" applyFont="1" applyAlignment="1">
      <alignment horizontal="center"/>
    </xf>
    <xf numFmtId="0" fontId="23" fillId="59" borderId="50" xfId="2739" applyFont="1" applyFill="1" applyBorder="1" applyAlignment="1">
      <alignment horizontal="center" vertical="center"/>
    </xf>
    <xf numFmtId="0" fontId="23" fillId="59" borderId="51" xfId="2739" applyFont="1" applyFill="1" applyBorder="1" applyAlignment="1">
      <alignment horizontal="center" vertical="center"/>
    </xf>
    <xf numFmtId="0" fontId="23" fillId="59" borderId="43" xfId="2739" applyFont="1" applyFill="1" applyBorder="1" applyAlignment="1">
      <alignment horizontal="center" vertical="center"/>
    </xf>
    <xf numFmtId="0" fontId="24" fillId="0" borderId="26" xfId="2743" applyFont="1" applyBorder="1" applyAlignment="1" applyProtection="1">
      <alignment horizontal="left" vertical="center"/>
    </xf>
    <xf numFmtId="0" fontId="164" fillId="0" borderId="0" xfId="2743" applyFont="1" applyBorder="1" applyAlignment="1">
      <alignment vertical="center"/>
    </xf>
    <xf numFmtId="0" fontId="26" fillId="0" borderId="23" xfId="2739" applyFont="1" applyBorder="1" applyAlignment="1" applyProtection="1">
      <alignment horizontal="left" vertical="center"/>
    </xf>
    <xf numFmtId="0" fontId="26" fillId="0" borderId="0" xfId="2739" applyFont="1" applyBorder="1" applyAlignment="1" applyProtection="1">
      <alignment horizontal="left" vertical="center"/>
    </xf>
    <xf numFmtId="0" fontId="163" fillId="0" borderId="0" xfId="2743" applyFont="1" applyBorder="1"/>
    <xf numFmtId="0" fontId="26" fillId="0" borderId="5" xfId="2739" applyFont="1" applyFill="1" applyBorder="1" applyAlignment="1" applyProtection="1">
      <alignment horizontal="left" vertical="center"/>
    </xf>
    <xf numFmtId="0" fontId="26" fillId="0" borderId="0" xfId="2739" applyFont="1" applyFill="1" applyBorder="1" applyAlignment="1" applyProtection="1">
      <alignment horizontal="left" vertical="center"/>
    </xf>
    <xf numFmtId="0" fontId="26" fillId="0" borderId="6" xfId="2739" quotePrefix="1" applyFont="1" applyFill="1" applyBorder="1" applyAlignment="1" applyProtection="1">
      <alignment horizontal="left" vertical="center"/>
    </xf>
    <xf numFmtId="0" fontId="163" fillId="0" borderId="0" xfId="2743" applyFont="1" applyBorder="1" applyAlignment="1">
      <alignment horizontal="right"/>
    </xf>
    <xf numFmtId="0" fontId="26" fillId="0" borderId="5" xfId="2739" applyFont="1" applyFill="1" applyBorder="1" applyAlignment="1" applyProtection="1">
      <alignment horizontal="center" vertical="center"/>
    </xf>
    <xf numFmtId="274" fontId="26" fillId="0" borderId="6" xfId="2739" quotePrefix="1" applyNumberFormat="1" applyFont="1" applyFill="1" applyBorder="1" applyAlignment="1" applyProtection="1">
      <alignment horizontal="left" vertical="center"/>
    </xf>
    <xf numFmtId="274" fontId="163" fillId="0" borderId="0" xfId="2743" applyNumberFormat="1" applyFont="1" applyAlignment="1">
      <alignment horizontal="right"/>
    </xf>
    <xf numFmtId="213" fontId="163" fillId="0" borderId="0" xfId="2743" applyNumberFormat="1" applyFont="1" applyAlignment="1">
      <alignment horizontal="right"/>
    </xf>
    <xf numFmtId="213" fontId="163" fillId="0" borderId="0" xfId="2743" applyNumberFormat="1" applyFont="1"/>
    <xf numFmtId="0" fontId="26" fillId="0" borderId="55" xfId="2736" applyFont="1" applyFill="1" applyBorder="1" applyAlignment="1" applyProtection="1">
      <alignment horizontal="left" vertical="center"/>
    </xf>
    <xf numFmtId="0" fontId="26" fillId="0" borderId="3" xfId="2739" applyFont="1" applyFill="1" applyBorder="1" applyAlignment="1" applyProtection="1">
      <alignment horizontal="left" vertical="center"/>
    </xf>
    <xf numFmtId="0" fontId="26" fillId="0" borderId="3" xfId="2743" applyFont="1" applyFill="1" applyBorder="1" applyAlignment="1" applyProtection="1">
      <alignment horizontal="center" vertical="center"/>
    </xf>
    <xf numFmtId="178" fontId="26" fillId="0" borderId="56" xfId="2496" applyNumberFormat="1" applyFont="1" applyFill="1" applyBorder="1" applyAlignment="1" applyProtection="1">
      <alignment horizontal="center" vertical="center"/>
    </xf>
    <xf numFmtId="218" fontId="163" fillId="0" borderId="0" xfId="2743" applyNumberFormat="1" applyFont="1"/>
    <xf numFmtId="275" fontId="26" fillId="0" borderId="6" xfId="2739" applyNumberFormat="1" applyFont="1" applyFill="1" applyBorder="1" applyAlignment="1" applyProtection="1">
      <alignment horizontal="left" vertical="center"/>
    </xf>
    <xf numFmtId="0" fontId="26" fillId="0" borderId="55" xfId="2743" applyFont="1" applyFill="1" applyBorder="1" applyAlignment="1" applyProtection="1">
      <alignment horizontal="left" vertical="center"/>
    </xf>
    <xf numFmtId="177" fontId="26" fillId="0" borderId="56" xfId="2743" applyNumberFormat="1" applyFont="1" applyFill="1" applyBorder="1" applyAlignment="1" applyProtection="1">
      <alignment horizontal="center" vertical="center"/>
    </xf>
    <xf numFmtId="0" fontId="26" fillId="0" borderId="6" xfId="2743" applyFont="1" applyFill="1" applyBorder="1" applyAlignment="1">
      <alignment vertical="center"/>
    </xf>
    <xf numFmtId="0" fontId="26" fillId="0" borderId="3" xfId="2743" applyFont="1" applyFill="1" applyBorder="1" applyAlignment="1">
      <alignment horizontal="center" vertical="center"/>
    </xf>
    <xf numFmtId="213" fontId="26" fillId="0" borderId="56" xfId="2743" applyNumberFormat="1" applyFont="1" applyFill="1" applyBorder="1" applyAlignment="1">
      <alignment horizontal="center" vertical="center"/>
    </xf>
    <xf numFmtId="0" fontId="26" fillId="0" borderId="55" xfId="2743" applyFont="1" applyFill="1" applyBorder="1" applyAlignment="1">
      <alignment vertical="center"/>
    </xf>
    <xf numFmtId="0" fontId="26" fillId="0" borderId="56" xfId="2743" applyFont="1" applyFill="1" applyBorder="1" applyAlignment="1">
      <alignment horizontal="center" vertical="center"/>
    </xf>
    <xf numFmtId="0" fontId="26" fillId="0" borderId="57" xfId="2743" applyFont="1" applyFill="1" applyBorder="1" applyAlignment="1">
      <alignment vertical="center"/>
    </xf>
    <xf numFmtId="0" fontId="26" fillId="0" borderId="58" xfId="2743" applyFont="1" applyFill="1" applyBorder="1" applyAlignment="1">
      <alignment vertical="center"/>
    </xf>
    <xf numFmtId="0" fontId="26" fillId="0" borderId="58" xfId="2743" applyFont="1" applyFill="1" applyBorder="1" applyAlignment="1">
      <alignment horizontal="center" vertical="center"/>
    </xf>
    <xf numFmtId="0" fontId="26" fillId="0" borderId="59" xfId="2743" applyFont="1" applyFill="1" applyBorder="1" applyAlignment="1">
      <alignment horizontal="center" vertical="center"/>
    </xf>
    <xf numFmtId="0" fontId="26" fillId="0" borderId="53" xfId="2739" applyFont="1" applyFill="1" applyBorder="1" applyAlignment="1" applyProtection="1">
      <alignment horizontal="left" vertical="center"/>
    </xf>
    <xf numFmtId="0" fontId="159" fillId="0" borderId="0" xfId="2734" applyFont="1" applyAlignment="1">
      <alignment horizontal="center" vertical="center"/>
    </xf>
    <xf numFmtId="0" fontId="24" fillId="0" borderId="60" xfId="2740" applyFont="1" applyBorder="1" applyAlignment="1">
      <alignment horizontal="left" vertical="center"/>
    </xf>
    <xf numFmtId="0" fontId="25" fillId="0" borderId="61" xfId="2743" applyFont="1" applyBorder="1" applyAlignment="1" applyProtection="1">
      <alignment vertical="center"/>
    </xf>
    <xf numFmtId="0" fontId="25" fillId="0" borderId="61" xfId="2743" applyFont="1" applyBorder="1" applyAlignment="1" applyProtection="1">
      <alignment horizontal="center" vertical="center"/>
    </xf>
    <xf numFmtId="176" fontId="26" fillId="0" borderId="62" xfId="2497" applyFont="1" applyBorder="1" applyAlignment="1" applyProtection="1">
      <alignment horizontal="center" vertical="center"/>
    </xf>
    <xf numFmtId="0" fontId="26" fillId="0" borderId="5" xfId="2714" applyFont="1" applyBorder="1" applyAlignment="1" applyProtection="1">
      <alignment horizontal="left" vertical="center"/>
    </xf>
    <xf numFmtId="0" fontId="35" fillId="0" borderId="6" xfId="2714" applyFont="1" applyBorder="1" applyAlignment="1" applyProtection="1">
      <alignment horizontal="center" vertical="center"/>
    </xf>
    <xf numFmtId="0" fontId="26" fillId="0" borderId="6" xfId="2743" applyFont="1" applyBorder="1" applyAlignment="1" applyProtection="1">
      <alignment horizontal="center" vertical="center"/>
    </xf>
    <xf numFmtId="271" fontId="26" fillId="0" borderId="52" xfId="2743" applyNumberFormat="1" applyFont="1" applyBorder="1" applyAlignment="1" applyProtection="1">
      <alignment horizontal="center" vertical="center"/>
    </xf>
    <xf numFmtId="0" fontId="26" fillId="0" borderId="5" xfId="2743" applyFont="1" applyFill="1" applyBorder="1" applyAlignment="1" applyProtection="1">
      <alignment horizontal="center" vertical="center"/>
    </xf>
    <xf numFmtId="269" fontId="26" fillId="0" borderId="6" xfId="2739" applyNumberFormat="1" applyFont="1" applyFill="1" applyBorder="1" applyAlignment="1" applyProtection="1">
      <alignment horizontal="left" vertical="center"/>
    </xf>
    <xf numFmtId="276" fontId="26" fillId="0" borderId="52" xfId="2496" applyNumberFormat="1" applyFont="1" applyFill="1" applyBorder="1" applyAlignment="1" applyProtection="1">
      <alignment horizontal="center" vertical="center"/>
    </xf>
    <xf numFmtId="268" fontId="26" fillId="0" borderId="52" xfId="2496" applyNumberFormat="1" applyFont="1" applyFill="1" applyBorder="1" applyAlignment="1" applyProtection="1">
      <alignment horizontal="center" vertical="center"/>
    </xf>
    <xf numFmtId="213" fontId="26" fillId="0" borderId="52" xfId="2743" applyNumberFormat="1" applyFont="1" applyFill="1" applyBorder="1" applyAlignment="1">
      <alignment horizontal="center" vertical="center"/>
    </xf>
    <xf numFmtId="0" fontId="26" fillId="0" borderId="23" xfId="0" applyFont="1" applyBorder="1" applyAlignment="1" applyProtection="1">
      <alignment horizontal="left" vertical="center"/>
    </xf>
    <xf numFmtId="0" fontId="26" fillId="0" borderId="0" xfId="0" applyFont="1" applyBorder="1" applyAlignment="1" applyProtection="1">
      <alignment horizontal="left" vertical="center"/>
    </xf>
    <xf numFmtId="0" fontId="26" fillId="0" borderId="5" xfId="0" applyFont="1" applyFill="1" applyBorder="1" applyAlignment="1" applyProtection="1">
      <alignment horizontal="left" vertical="center"/>
    </xf>
    <xf numFmtId="0" fontId="26" fillId="0" borderId="6" xfId="0" applyFont="1" applyFill="1" applyBorder="1" applyAlignment="1" applyProtection="1">
      <alignment horizontal="left" vertical="center"/>
    </xf>
    <xf numFmtId="0" fontId="26" fillId="0" borderId="5" xfId="0" applyFont="1" applyFill="1" applyBorder="1" applyAlignment="1" applyProtection="1">
      <alignment horizontal="center" vertical="center"/>
    </xf>
    <xf numFmtId="0" fontId="26" fillId="0" borderId="6" xfId="0" quotePrefix="1" applyFont="1" applyFill="1" applyBorder="1" applyAlignment="1" applyProtection="1">
      <alignment horizontal="left" vertical="center"/>
    </xf>
    <xf numFmtId="272" fontId="26" fillId="0" borderId="6" xfId="2487" applyNumberFormat="1" applyFont="1" applyFill="1" applyBorder="1" applyAlignment="1" applyProtection="1">
      <alignment horizontal="center" vertical="center"/>
    </xf>
    <xf numFmtId="273" fontId="165" fillId="0" borderId="6" xfId="2487" quotePrefix="1" applyNumberFormat="1" applyFont="1" applyFill="1" applyBorder="1" applyAlignment="1" applyProtection="1">
      <alignment horizontal="center" vertical="center"/>
    </xf>
    <xf numFmtId="0" fontId="26" fillId="0" borderId="63" xfId="2736" applyFont="1" applyFill="1" applyBorder="1" applyAlignment="1" applyProtection="1">
      <alignment horizontal="left" vertical="center"/>
    </xf>
    <xf numFmtId="0" fontId="26" fillId="0" borderId="64" xfId="0" applyFont="1" applyFill="1" applyBorder="1" applyAlignment="1" applyProtection="1">
      <alignment horizontal="left" vertical="center"/>
    </xf>
    <xf numFmtId="0" fontId="26" fillId="0" borderId="64" xfId="2743" applyFont="1" applyFill="1" applyBorder="1" applyAlignment="1" applyProtection="1">
      <alignment horizontal="center" vertical="center"/>
    </xf>
    <xf numFmtId="268" fontId="26" fillId="0" borderId="65" xfId="2496" applyNumberFormat="1" applyFont="1" applyFill="1" applyBorder="1" applyAlignment="1" applyProtection="1">
      <alignment horizontal="center" vertical="center"/>
    </xf>
    <xf numFmtId="0" fontId="26" fillId="0" borderId="66" xfId="2736" applyFont="1" applyFill="1" applyBorder="1" applyAlignment="1" applyProtection="1">
      <alignment horizontal="center" vertical="center"/>
    </xf>
    <xf numFmtId="0" fontId="26" fillId="0" borderId="53" xfId="0" applyFont="1" applyFill="1" applyBorder="1" applyAlignment="1" applyProtection="1">
      <alignment horizontal="left" vertical="center"/>
    </xf>
    <xf numFmtId="0" fontId="26" fillId="0" borderId="53" xfId="2743" applyFont="1" applyFill="1" applyBorder="1" applyAlignment="1" applyProtection="1">
      <alignment horizontal="center" vertical="center"/>
    </xf>
    <xf numFmtId="268" fontId="26" fillId="0" borderId="67" xfId="2496" applyNumberFormat="1" applyFont="1" applyFill="1" applyBorder="1" applyAlignment="1" applyProtection="1">
      <alignment horizontal="center" vertical="center"/>
    </xf>
    <xf numFmtId="0" fontId="26" fillId="0" borderId="3" xfId="0" applyFont="1" applyFill="1" applyBorder="1" applyAlignment="1" applyProtection="1">
      <alignment horizontal="left" vertical="center"/>
    </xf>
    <xf numFmtId="0" fontId="26" fillId="0" borderId="68" xfId="2736" applyFont="1" applyFill="1" applyBorder="1" applyAlignment="1" applyProtection="1">
      <alignment horizontal="left" vertical="center"/>
    </xf>
    <xf numFmtId="0" fontId="26" fillId="0" borderId="20" xfId="0" applyFont="1" applyFill="1" applyBorder="1" applyAlignment="1" applyProtection="1">
      <alignment horizontal="left" vertical="center"/>
    </xf>
    <xf numFmtId="0" fontId="26" fillId="0" borderId="60" xfId="2736" applyFont="1" applyFill="1" applyBorder="1" applyAlignment="1" applyProtection="1">
      <alignment horizontal="left" vertical="center"/>
    </xf>
    <xf numFmtId="0" fontId="26" fillId="0" borderId="61" xfId="2743" applyFont="1" applyFill="1" applyBorder="1" applyAlignment="1" applyProtection="1">
      <alignment horizontal="center" vertical="center"/>
    </xf>
    <xf numFmtId="0" fontId="26" fillId="0" borderId="62" xfId="2743" applyFont="1" applyFill="1" applyBorder="1" applyAlignment="1">
      <alignment horizontal="center" vertical="center"/>
    </xf>
    <xf numFmtId="0" fontId="26" fillId="0" borderId="5" xfId="2743" applyFont="1" applyFill="1" applyBorder="1" applyAlignment="1">
      <alignment horizontal="left" vertical="center"/>
    </xf>
    <xf numFmtId="0" fontId="26" fillId="0" borderId="5" xfId="2743" applyFont="1" applyFill="1" applyBorder="1" applyAlignment="1">
      <alignment horizontal="center" vertical="center"/>
    </xf>
    <xf numFmtId="0" fontId="26" fillId="0" borderId="6" xfId="0" applyFont="1" applyFill="1" applyBorder="1" applyAlignment="1" applyProtection="1">
      <alignment horizontal="center" vertical="center"/>
    </xf>
    <xf numFmtId="0" fontId="26" fillId="0" borderId="52" xfId="0" applyFont="1" applyFill="1" applyBorder="1" applyAlignment="1" applyProtection="1">
      <alignment horizontal="center" vertical="center"/>
    </xf>
    <xf numFmtId="277" fontId="26" fillId="0" borderId="52" xfId="2743" applyNumberFormat="1" applyFont="1" applyFill="1" applyBorder="1" applyAlignment="1">
      <alignment horizontal="center" vertical="center"/>
    </xf>
    <xf numFmtId="213" fontId="26" fillId="0" borderId="52" xfId="0" applyNumberFormat="1" applyFont="1" applyFill="1" applyBorder="1" applyAlignment="1" applyProtection="1">
      <alignment horizontal="center" vertical="center"/>
    </xf>
    <xf numFmtId="0" fontId="108" fillId="0" borderId="6" xfId="0" applyNumberFormat="1" applyFont="1" applyFill="1" applyBorder="1" applyAlignment="1">
      <alignment horizontal="left" vertical="center" shrinkToFit="1"/>
    </xf>
    <xf numFmtId="191" fontId="26" fillId="0" borderId="6" xfId="0" applyNumberFormat="1" applyFont="1" applyFill="1" applyBorder="1" applyAlignment="1" applyProtection="1">
      <alignment horizontal="left" vertical="center"/>
    </xf>
    <xf numFmtId="0" fontId="108" fillId="0" borderId="6" xfId="0" applyFont="1" applyFill="1" applyBorder="1" applyAlignment="1" applyProtection="1">
      <alignment horizontal="left" vertical="center"/>
    </xf>
    <xf numFmtId="0" fontId="26" fillId="0" borderId="66" xfId="2743" applyFont="1" applyFill="1" applyBorder="1" applyAlignment="1" applyProtection="1">
      <alignment horizontal="left" vertical="center"/>
    </xf>
    <xf numFmtId="178" fontId="26" fillId="0" borderId="67" xfId="2743" applyNumberFormat="1" applyFont="1" applyFill="1" applyBorder="1" applyAlignment="1" applyProtection="1">
      <alignment horizontal="center" vertical="center"/>
    </xf>
    <xf numFmtId="272" fontId="26" fillId="0" borderId="20" xfId="2487" applyNumberFormat="1" applyFont="1" applyFill="1" applyBorder="1" applyAlignment="1" applyProtection="1">
      <alignment horizontal="center" vertical="center"/>
    </xf>
    <xf numFmtId="177" fontId="26" fillId="0" borderId="54" xfId="2743" applyNumberFormat="1" applyFont="1" applyFill="1" applyBorder="1" applyAlignment="1" applyProtection="1">
      <alignment horizontal="center" vertical="center"/>
    </xf>
    <xf numFmtId="0" fontId="121" fillId="0" borderId="0" xfId="2734" applyFont="1" applyFill="1" applyAlignment="1">
      <alignment vertical="center"/>
    </xf>
    <xf numFmtId="0" fontId="31" fillId="0" borderId="0" xfId="2734" applyFont="1" applyFill="1" applyAlignment="1">
      <alignment vertical="center"/>
    </xf>
    <xf numFmtId="0" fontId="31" fillId="0" borderId="0" xfId="2734" applyFont="1" applyFill="1" applyAlignment="1">
      <alignment horizontal="center" vertical="center"/>
    </xf>
    <xf numFmtId="177" fontId="26" fillId="0" borderId="56" xfId="2743" applyNumberFormat="1" applyFont="1" applyFill="1" applyBorder="1" applyAlignment="1">
      <alignment horizontal="center" vertical="center"/>
    </xf>
    <xf numFmtId="0" fontId="26" fillId="0" borderId="55" xfId="2743" applyFont="1" applyFill="1" applyBorder="1" applyAlignment="1">
      <alignment horizontal="left" vertical="center"/>
    </xf>
    <xf numFmtId="220" fontId="26" fillId="0" borderId="6" xfId="2739" applyNumberFormat="1" applyFont="1" applyFill="1" applyBorder="1" applyAlignment="1" applyProtection="1">
      <alignment horizontal="left" vertical="center"/>
    </xf>
    <xf numFmtId="0" fontId="26" fillId="0" borderId="66" xfId="2714" applyFont="1" applyFill="1" applyBorder="1" applyAlignment="1" applyProtection="1">
      <alignment horizontal="left" vertical="center"/>
    </xf>
    <xf numFmtId="177" fontId="26" fillId="0" borderId="67" xfId="2743" applyNumberFormat="1" applyFont="1" applyFill="1" applyBorder="1" applyAlignment="1" applyProtection="1">
      <alignment horizontal="center" vertical="center"/>
    </xf>
    <xf numFmtId="0" fontId="26" fillId="0" borderId="61" xfId="2714" quotePrefix="1" applyFont="1" applyFill="1" applyBorder="1" applyAlignment="1" applyProtection="1">
      <alignment horizontal="left" vertical="center"/>
    </xf>
    <xf numFmtId="272" fontId="26" fillId="0" borderId="61" xfId="2489" applyNumberFormat="1" applyFont="1" applyFill="1" applyBorder="1" applyAlignment="1" applyProtection="1">
      <alignment horizontal="center" vertical="center"/>
    </xf>
    <xf numFmtId="177" fontId="26" fillId="0" borderId="62" xfId="2496" applyNumberFormat="1" applyFont="1" applyFill="1" applyBorder="1" applyAlignment="1" applyProtection="1">
      <alignment horizontal="center" vertical="center"/>
    </xf>
    <xf numFmtId="0" fontId="26" fillId="0" borderId="68" xfId="2736" applyFont="1" applyFill="1" applyBorder="1" applyAlignment="1" applyProtection="1">
      <alignment horizontal="center" vertical="center"/>
    </xf>
    <xf numFmtId="0" fontId="26" fillId="0" borderId="20" xfId="2739" applyFont="1" applyFill="1" applyBorder="1" applyAlignment="1" applyProtection="1">
      <alignment horizontal="left" vertical="center"/>
    </xf>
    <xf numFmtId="0" fontId="26" fillId="0" borderId="20" xfId="2743" applyFont="1" applyFill="1" applyBorder="1" applyAlignment="1" applyProtection="1">
      <alignment horizontal="center" vertical="center"/>
    </xf>
    <xf numFmtId="177" fontId="26" fillId="0" borderId="54" xfId="2496" applyNumberFormat="1" applyFont="1" applyFill="1" applyBorder="1" applyAlignment="1" applyProtection="1">
      <alignment horizontal="center" vertical="center"/>
    </xf>
    <xf numFmtId="0" fontId="26" fillId="0" borderId="66" xfId="2736" applyFont="1" applyFill="1" applyBorder="1" applyAlignment="1" applyProtection="1">
      <alignment horizontal="left" vertical="center"/>
    </xf>
    <xf numFmtId="177" fontId="26" fillId="0" borderId="67" xfId="2496" applyNumberFormat="1" applyFont="1" applyFill="1" applyBorder="1" applyAlignment="1" applyProtection="1">
      <alignment horizontal="center" vertical="center"/>
    </xf>
    <xf numFmtId="0" fontId="23" fillId="60" borderId="60" xfId="2714" applyFont="1" applyFill="1" applyBorder="1" applyAlignment="1" applyProtection="1">
      <alignment horizontal="center" vertical="center"/>
    </xf>
    <xf numFmtId="0" fontId="111" fillId="0" borderId="5" xfId="2736" applyFont="1" applyFill="1" applyBorder="1" applyAlignment="1" applyProtection="1">
      <alignment horizontal="left" vertical="center"/>
    </xf>
    <xf numFmtId="220" fontId="26" fillId="0" borderId="52" xfId="2743" applyNumberFormat="1" applyFont="1" applyFill="1" applyBorder="1" applyAlignment="1">
      <alignment horizontal="center" vertical="center"/>
    </xf>
    <xf numFmtId="279" fontId="26" fillId="0" borderId="52" xfId="2496" applyNumberFormat="1" applyFont="1" applyFill="1" applyBorder="1" applyAlignment="1" applyProtection="1">
      <alignment horizontal="center" vertical="center"/>
    </xf>
    <xf numFmtId="0" fontId="166" fillId="0" borderId="6" xfId="2743" applyFont="1" applyBorder="1"/>
    <xf numFmtId="0" fontId="166" fillId="0" borderId="6" xfId="2743" applyFont="1" applyBorder="1" applyAlignment="1">
      <alignment horizontal="center"/>
    </xf>
    <xf numFmtId="0" fontId="163" fillId="0" borderId="52" xfId="2743" applyFont="1" applyBorder="1" applyAlignment="1">
      <alignment horizontal="center"/>
    </xf>
    <xf numFmtId="0" fontId="23" fillId="0" borderId="5" xfId="2714" applyFont="1" applyFill="1" applyBorder="1" applyAlignment="1" applyProtection="1">
      <alignment horizontal="left" vertical="center"/>
    </xf>
    <xf numFmtId="0" fontId="23" fillId="0" borderId="6" xfId="2743" applyFont="1" applyFill="1" applyBorder="1" applyAlignment="1" applyProtection="1">
      <alignment horizontal="center" vertical="center"/>
    </xf>
    <xf numFmtId="0" fontId="23" fillId="0" borderId="68" xfId="2714" applyFont="1" applyFill="1" applyBorder="1" applyAlignment="1" applyProtection="1">
      <alignment horizontal="center" vertical="center"/>
    </xf>
    <xf numFmtId="0" fontId="23" fillId="0" borderId="20" xfId="2739" applyFont="1" applyFill="1" applyBorder="1" applyAlignment="1" applyProtection="1">
      <alignment horizontal="left" vertical="center"/>
    </xf>
    <xf numFmtId="272" fontId="23" fillId="0" borderId="20" xfId="2489" applyNumberFormat="1" applyFont="1" applyFill="1" applyBorder="1" applyAlignment="1" applyProtection="1">
      <alignment horizontal="center" vertical="center"/>
    </xf>
    <xf numFmtId="0" fontId="186" fillId="0" borderId="0" xfId="2743" applyFont="1" applyAlignment="1">
      <alignment horizontal="center" vertical="center"/>
    </xf>
    <xf numFmtId="0" fontId="187" fillId="0" borderId="0" xfId="2743" applyFont="1" applyBorder="1" applyAlignment="1">
      <alignment horizontal="center" vertical="center"/>
    </xf>
    <xf numFmtId="0" fontId="186" fillId="0" borderId="0" xfId="2743" applyFont="1" applyBorder="1" applyAlignment="1">
      <alignment horizontal="center" vertical="center"/>
    </xf>
    <xf numFmtId="0" fontId="186" fillId="0" borderId="0" xfId="2739" applyFont="1" applyFill="1" applyBorder="1" applyAlignment="1" applyProtection="1">
      <alignment horizontal="center" vertical="center"/>
    </xf>
    <xf numFmtId="0" fontId="188" fillId="0" borderId="0" xfId="2743" applyFont="1" applyAlignment="1">
      <alignment horizontal="center" vertical="center"/>
    </xf>
    <xf numFmtId="0" fontId="26" fillId="0" borderId="0" xfId="2736" applyFont="1" applyFill="1" applyBorder="1" applyAlignment="1" applyProtection="1">
      <alignment horizontal="left" vertical="center"/>
    </xf>
    <xf numFmtId="0" fontId="26" fillId="0" borderId="0" xfId="2714" applyFont="1" applyFill="1" applyBorder="1" applyAlignment="1" applyProtection="1">
      <alignment horizontal="left" vertical="center"/>
    </xf>
    <xf numFmtId="0" fontId="26" fillId="0" borderId="0" xfId="2743" applyFont="1" applyFill="1" applyBorder="1" applyAlignment="1" applyProtection="1">
      <alignment horizontal="center" vertical="center"/>
    </xf>
    <xf numFmtId="268" fontId="26" fillId="0" borderId="0" xfId="2496" applyNumberFormat="1" applyFont="1" applyFill="1" applyBorder="1" applyAlignment="1" applyProtection="1">
      <alignment horizontal="center" vertical="center"/>
    </xf>
    <xf numFmtId="0" fontId="161" fillId="0" borderId="0" xfId="2742" applyFont="1" applyFill="1" applyAlignment="1">
      <alignment horizontal="left" vertical="center"/>
    </xf>
    <xf numFmtId="0" fontId="161" fillId="0" borderId="0" xfId="2742" applyFont="1" applyFill="1" applyAlignment="1">
      <alignment vertical="center"/>
    </xf>
    <xf numFmtId="0" fontId="161" fillId="0" borderId="0" xfId="2738" applyFont="1" applyFill="1"/>
    <xf numFmtId="0" fontId="31" fillId="0" borderId="0" xfId="2742" applyFont="1" applyFill="1" applyAlignment="1">
      <alignment vertical="center"/>
    </xf>
    <xf numFmtId="0" fontId="31" fillId="0" borderId="0" xfId="2738" applyFont="1" applyFill="1"/>
    <xf numFmtId="0" fontId="161" fillId="0" borderId="0" xfId="2713" applyFont="1" applyFill="1" applyBorder="1">
      <alignment vertical="center"/>
    </xf>
    <xf numFmtId="0" fontId="31" fillId="0" borderId="0" xfId="2713" applyFont="1" applyFill="1" applyBorder="1">
      <alignment vertical="center"/>
    </xf>
    <xf numFmtId="0" fontId="35" fillId="0" borderId="0" xfId="2734" applyFont="1" applyFill="1"/>
    <xf numFmtId="0" fontId="35" fillId="0" borderId="0" xfId="2734" applyFont="1" applyFill="1" applyAlignment="1">
      <alignment vertical="center"/>
    </xf>
    <xf numFmtId="0" fontId="35" fillId="0" borderId="0" xfId="2734" applyFont="1" applyFill="1" applyAlignment="1">
      <alignment horizontal="center" vertical="center"/>
    </xf>
    <xf numFmtId="0" fontId="166" fillId="0" borderId="5" xfId="2743" applyFont="1" applyBorder="1"/>
    <xf numFmtId="0" fontId="166" fillId="0" borderId="68" xfId="2743" applyFont="1" applyBorder="1"/>
    <xf numFmtId="0" fontId="166" fillId="0" borderId="20" xfId="2743" applyFont="1" applyBorder="1"/>
    <xf numFmtId="0" fontId="166" fillId="0" borderId="20" xfId="2743" applyFont="1" applyBorder="1" applyAlignment="1">
      <alignment horizontal="center"/>
    </xf>
    <xf numFmtId="0" fontId="163" fillId="0" borderId="54" xfId="2743" applyFont="1" applyBorder="1" applyAlignment="1">
      <alignment horizontal="center"/>
    </xf>
    <xf numFmtId="0" fontId="26" fillId="0" borderId="23" xfId="2714" applyFont="1" applyBorder="1" applyAlignment="1" applyProtection="1">
      <alignment horizontal="center" vertical="center"/>
    </xf>
    <xf numFmtId="0" fontId="159" fillId="0" borderId="0" xfId="2734" applyFont="1" applyFill="1" applyAlignment="1">
      <alignment horizontal="center" vertical="center"/>
    </xf>
    <xf numFmtId="0" fontId="161" fillId="0" borderId="0" xfId="2734" applyFont="1" applyFill="1" applyAlignment="1">
      <alignment vertical="center"/>
    </xf>
    <xf numFmtId="0" fontId="26" fillId="0" borderId="68" xfId="2743" applyFont="1" applyFill="1" applyBorder="1" applyAlignment="1">
      <alignment vertical="center"/>
    </xf>
    <xf numFmtId="278" fontId="26" fillId="0" borderId="52" xfId="2496" applyNumberFormat="1" applyFont="1" applyFill="1" applyBorder="1" applyAlignment="1" applyProtection="1">
      <alignment horizontal="center" vertical="center"/>
    </xf>
    <xf numFmtId="279" fontId="23" fillId="0" borderId="54" xfId="2496" applyNumberFormat="1" applyFont="1" applyFill="1" applyBorder="1" applyAlignment="1" applyProtection="1">
      <alignment horizontal="center" vertical="center"/>
    </xf>
    <xf numFmtId="279" fontId="23" fillId="0" borderId="52" xfId="2743" applyNumberFormat="1" applyFont="1" applyFill="1" applyBorder="1" applyAlignment="1" applyProtection="1">
      <alignment horizontal="center" vertical="center"/>
    </xf>
    <xf numFmtId="0" fontId="35" fillId="0" borderId="69" xfId="2734" applyFont="1" applyFill="1" applyBorder="1" applyAlignment="1">
      <alignment horizontal="center" vertical="center"/>
    </xf>
    <xf numFmtId="0" fontId="35" fillId="0" borderId="70" xfId="2734" applyFont="1" applyFill="1" applyBorder="1" applyAlignment="1">
      <alignment horizontal="center" vertical="center"/>
    </xf>
    <xf numFmtId="0" fontId="35" fillId="0" borderId="71" xfId="2734" applyFont="1" applyFill="1" applyBorder="1" applyAlignment="1">
      <alignment horizontal="center" vertical="center"/>
    </xf>
    <xf numFmtId="0" fontId="35" fillId="0" borderId="49" xfId="2734" applyFont="1" applyFill="1" applyBorder="1" applyAlignment="1">
      <alignment horizontal="center" vertical="center"/>
    </xf>
    <xf numFmtId="0" fontId="161" fillId="0" borderId="73" xfId="2734" applyFont="1" applyFill="1" applyBorder="1" applyAlignment="1">
      <alignment horizontal="center" vertical="center"/>
    </xf>
    <xf numFmtId="0" fontId="161" fillId="0" borderId="49" xfId="2734" applyFont="1" applyFill="1" applyBorder="1" applyAlignment="1">
      <alignment horizontal="center" vertical="center"/>
    </xf>
    <xf numFmtId="0" fontId="161" fillId="0" borderId="74" xfId="2734" applyFont="1" applyFill="1" applyBorder="1" applyAlignment="1">
      <alignment horizontal="center" vertical="center"/>
    </xf>
    <xf numFmtId="0" fontId="161" fillId="0" borderId="75" xfId="2734" applyFont="1" applyFill="1" applyBorder="1" applyAlignment="1">
      <alignment horizontal="center" vertical="center"/>
    </xf>
    <xf numFmtId="0" fontId="35" fillId="0" borderId="77" xfId="2734" applyFont="1" applyFill="1" applyBorder="1" applyAlignment="1">
      <alignment horizontal="center" vertical="center"/>
    </xf>
    <xf numFmtId="0" fontId="163" fillId="0" borderId="0" xfId="2743" applyFont="1" applyFill="1"/>
    <xf numFmtId="0" fontId="31" fillId="61" borderId="0" xfId="2734" applyFont="1" applyFill="1" applyAlignment="1">
      <alignment vertical="center"/>
    </xf>
    <xf numFmtId="0" fontId="26" fillId="0" borderId="68" xfId="2743" applyFont="1" applyFill="1" applyBorder="1" applyAlignment="1" applyProtection="1">
      <alignment horizontal="center" vertical="center"/>
    </xf>
    <xf numFmtId="0" fontId="26" fillId="0" borderId="66" xfId="2714" applyFont="1" applyFill="1" applyBorder="1" applyAlignment="1" applyProtection="1">
      <alignment horizontal="center" vertical="center"/>
    </xf>
    <xf numFmtId="0" fontId="23" fillId="0" borderId="60" xfId="2714" applyFont="1" applyFill="1" applyBorder="1" applyAlignment="1" applyProtection="1">
      <alignment horizontal="left" vertical="center"/>
    </xf>
    <xf numFmtId="269" fontId="26" fillId="0" borderId="61" xfId="2739" applyNumberFormat="1" applyFont="1" applyFill="1" applyBorder="1" applyAlignment="1" applyProtection="1">
      <alignment horizontal="left" vertical="center"/>
    </xf>
    <xf numFmtId="0" fontId="23" fillId="0" borderId="61" xfId="2743" applyFont="1" applyFill="1" applyBorder="1" applyAlignment="1" applyProtection="1">
      <alignment horizontal="center" vertical="center"/>
    </xf>
    <xf numFmtId="279" fontId="23" fillId="0" borderId="62" xfId="2743" applyNumberFormat="1" applyFont="1" applyFill="1" applyBorder="1" applyAlignment="1" applyProtection="1">
      <alignment horizontal="center" vertical="center"/>
    </xf>
    <xf numFmtId="0" fontId="166" fillId="0" borderId="29" xfId="2743" applyFont="1" applyBorder="1"/>
    <xf numFmtId="0" fontId="166" fillId="0" borderId="29" xfId="2743" applyFont="1" applyBorder="1" applyAlignment="1">
      <alignment horizontal="center"/>
    </xf>
    <xf numFmtId="0" fontId="23" fillId="0" borderId="5" xfId="2714" applyFont="1" applyFill="1" applyBorder="1" applyAlignment="1" applyProtection="1">
      <alignment horizontal="center" vertical="center"/>
    </xf>
    <xf numFmtId="0" fontId="163" fillId="0" borderId="44" xfId="2743" applyFont="1" applyBorder="1" applyAlignment="1">
      <alignment horizontal="center"/>
    </xf>
    <xf numFmtId="0" fontId="24" fillId="0" borderId="78" xfId="2740" applyFont="1" applyBorder="1" applyAlignment="1">
      <alignment horizontal="left" vertical="center"/>
    </xf>
    <xf numFmtId="0" fontId="26" fillId="0" borderId="55" xfId="2714" applyFont="1" applyFill="1" applyBorder="1" applyAlignment="1" applyProtection="1">
      <alignment horizontal="center" vertical="center"/>
    </xf>
    <xf numFmtId="269" fontId="26" fillId="0" borderId="3" xfId="2739" applyNumberFormat="1" applyFont="1" applyFill="1" applyBorder="1" applyAlignment="1" applyProtection="1">
      <alignment horizontal="left" vertical="center"/>
    </xf>
    <xf numFmtId="279" fontId="26" fillId="0" borderId="56" xfId="2496" applyNumberFormat="1" applyFont="1" applyFill="1" applyBorder="1" applyAlignment="1" applyProtection="1">
      <alignment horizontal="center" vertical="center"/>
    </xf>
    <xf numFmtId="0" fontId="26" fillId="0" borderId="68" xfId="2714" applyFont="1" applyFill="1" applyBorder="1" applyAlignment="1" applyProtection="1">
      <alignment horizontal="center" vertical="center"/>
    </xf>
    <xf numFmtId="269" fontId="26" fillId="0" borderId="20" xfId="2739" applyNumberFormat="1" applyFont="1" applyFill="1" applyBorder="1" applyAlignment="1" applyProtection="1">
      <alignment horizontal="left" vertical="center"/>
    </xf>
    <xf numFmtId="279" fontId="26" fillId="0" borderId="54" xfId="2496" applyNumberFormat="1" applyFont="1" applyFill="1" applyBorder="1" applyAlignment="1" applyProtection="1">
      <alignment horizontal="center" vertical="center"/>
    </xf>
    <xf numFmtId="0" fontId="166" fillId="0" borderId="55" xfId="2743" applyFont="1" applyBorder="1"/>
    <xf numFmtId="0" fontId="166" fillId="0" borderId="3" xfId="2743" applyFont="1" applyBorder="1"/>
    <xf numFmtId="0" fontId="166" fillId="0" borderId="3" xfId="2743" applyFont="1" applyBorder="1" applyAlignment="1">
      <alignment horizontal="center"/>
    </xf>
    <xf numFmtId="0" fontId="163" fillId="0" borderId="56" xfId="2743" applyFont="1" applyBorder="1" applyAlignment="1">
      <alignment horizontal="center"/>
    </xf>
    <xf numFmtId="0" fontId="23" fillId="0" borderId="55" xfId="2714" applyFont="1" applyFill="1" applyBorder="1" applyAlignment="1" applyProtection="1">
      <alignment horizontal="left" vertical="center"/>
    </xf>
    <xf numFmtId="0" fontId="23" fillId="0" borderId="3" xfId="2743" applyFont="1" applyFill="1" applyBorder="1" applyAlignment="1" applyProtection="1">
      <alignment horizontal="center" vertical="center"/>
    </xf>
    <xf numFmtId="279" fontId="23" fillId="0" borderId="56" xfId="2743" applyNumberFormat="1" applyFont="1" applyFill="1" applyBorder="1" applyAlignment="1" applyProtection="1">
      <alignment horizontal="center" vertical="center"/>
    </xf>
    <xf numFmtId="0" fontId="166" fillId="0" borderId="45" xfId="2743" applyFont="1" applyBorder="1"/>
    <xf numFmtId="0" fontId="166" fillId="0" borderId="21" xfId="2743" applyFont="1" applyBorder="1"/>
    <xf numFmtId="0" fontId="166" fillId="0" borderId="21" xfId="2743" applyFont="1" applyBorder="1" applyAlignment="1">
      <alignment horizontal="center"/>
    </xf>
    <xf numFmtId="0" fontId="163" fillId="0" borderId="27" xfId="2743" applyFont="1" applyBorder="1" applyAlignment="1">
      <alignment horizontal="center"/>
    </xf>
    <xf numFmtId="272" fontId="26" fillId="0" borderId="20" xfId="2489" applyNumberFormat="1" applyFont="1" applyFill="1" applyBorder="1" applyAlignment="1" applyProtection="1">
      <alignment horizontal="center" vertical="center"/>
    </xf>
    <xf numFmtId="178" fontId="26" fillId="0" borderId="54" xfId="2496" applyNumberFormat="1" applyFont="1" applyFill="1" applyBorder="1" applyAlignment="1" applyProtection="1">
      <alignment horizontal="center" vertical="center"/>
    </xf>
    <xf numFmtId="0" fontId="166" fillId="0" borderId="57" xfId="2743" applyFont="1" applyBorder="1"/>
    <xf numFmtId="0" fontId="166" fillId="0" borderId="58" xfId="2743" applyFont="1" applyBorder="1"/>
    <xf numFmtId="0" fontId="166" fillId="0" borderId="58" xfId="2743" applyFont="1" applyBorder="1" applyAlignment="1">
      <alignment horizontal="center"/>
    </xf>
    <xf numFmtId="0" fontId="163" fillId="0" borderId="59" xfId="2743" applyFont="1" applyBorder="1" applyAlignment="1">
      <alignment horizontal="center"/>
    </xf>
    <xf numFmtId="178" fontId="26" fillId="0" borderId="62" xfId="2496" applyNumberFormat="1" applyFont="1" applyFill="1" applyBorder="1" applyAlignment="1" applyProtection="1">
      <alignment horizontal="center" vertical="center"/>
    </xf>
    <xf numFmtId="0" fontId="161" fillId="0" borderId="79" xfId="2734" applyFont="1" applyFill="1" applyBorder="1" applyAlignment="1">
      <alignment horizontal="center" vertical="center"/>
    </xf>
    <xf numFmtId="0" fontId="24" fillId="0" borderId="5" xfId="2740" applyFont="1" applyFill="1" applyBorder="1" applyAlignment="1">
      <alignment horizontal="center" vertical="center"/>
    </xf>
    <xf numFmtId="0" fontId="25" fillId="0" borderId="6" xfId="2743" applyFont="1" applyFill="1" applyBorder="1" applyAlignment="1" applyProtection="1">
      <alignment vertical="center"/>
    </xf>
    <xf numFmtId="0" fontId="25" fillId="0" borderId="6" xfId="2743" applyFont="1" applyFill="1" applyBorder="1" applyAlignment="1" applyProtection="1">
      <alignment horizontal="center" vertical="center"/>
    </xf>
    <xf numFmtId="176" fontId="26" fillId="0" borderId="52" xfId="2497" applyFont="1" applyFill="1" applyBorder="1" applyAlignment="1" applyProtection="1">
      <alignment horizontal="center" vertical="center"/>
    </xf>
    <xf numFmtId="178" fontId="23" fillId="0" borderId="52" xfId="2743" applyNumberFormat="1" applyFont="1" applyFill="1" applyBorder="1" applyAlignment="1" applyProtection="1">
      <alignment horizontal="center" vertical="center"/>
    </xf>
    <xf numFmtId="0" fontId="23" fillId="0" borderId="5" xfId="2743" applyFont="1" applyFill="1" applyBorder="1" applyAlignment="1" applyProtection="1">
      <alignment horizontal="center" vertical="center"/>
    </xf>
    <xf numFmtId="0" fontId="23" fillId="0" borderId="6" xfId="2739" applyFont="1" applyFill="1" applyBorder="1" applyAlignment="1" applyProtection="1">
      <alignment horizontal="left" vertical="center"/>
    </xf>
    <xf numFmtId="0" fontId="35" fillId="0" borderId="33" xfId="2714" applyFont="1" applyBorder="1" applyAlignment="1" applyProtection="1">
      <alignment horizontal="center" vertical="center"/>
    </xf>
    <xf numFmtId="0" fontId="26" fillId="0" borderId="80" xfId="2714" applyFont="1" applyFill="1" applyBorder="1" applyAlignment="1" applyProtection="1">
      <alignment horizontal="left" vertical="center"/>
    </xf>
    <xf numFmtId="178" fontId="26" fillId="0" borderId="54" xfId="2743" applyNumberFormat="1" applyFont="1" applyFill="1" applyBorder="1" applyAlignment="1" applyProtection="1">
      <alignment horizontal="center" vertical="center"/>
    </xf>
    <xf numFmtId="0" fontId="189" fillId="0" borderId="0" xfId="2743" applyFont="1"/>
    <xf numFmtId="0" fontId="161" fillId="0" borderId="12" xfId="2734" applyFont="1" applyFill="1" applyBorder="1" applyAlignment="1">
      <alignment vertical="center"/>
    </xf>
    <xf numFmtId="0" fontId="23" fillId="59" borderId="50" xfId="2757" applyFont="1" applyFill="1" applyBorder="1" applyAlignment="1">
      <alignment horizontal="center" vertical="center"/>
    </xf>
    <xf numFmtId="0" fontId="23" fillId="59" borderId="51" xfId="2757" applyFont="1" applyFill="1" applyBorder="1" applyAlignment="1">
      <alignment horizontal="center" vertical="center"/>
    </xf>
    <xf numFmtId="0" fontId="23" fillId="59" borderId="43" xfId="2757" applyFont="1" applyFill="1" applyBorder="1" applyAlignment="1">
      <alignment horizontal="center" vertical="center"/>
    </xf>
    <xf numFmtId="0" fontId="24" fillId="0" borderId="60" xfId="2758" applyFont="1" applyBorder="1" applyAlignment="1">
      <alignment horizontal="left" vertical="center"/>
    </xf>
    <xf numFmtId="0" fontId="25" fillId="0" borderId="61" xfId="2743" applyFont="1" applyBorder="1" applyAlignment="1">
      <alignment vertical="center"/>
    </xf>
    <xf numFmtId="0" fontId="25" fillId="0" borderId="61" xfId="2743" applyFont="1" applyBorder="1" applyAlignment="1">
      <alignment horizontal="center" vertical="center"/>
    </xf>
    <xf numFmtId="0" fontId="26" fillId="0" borderId="5" xfId="2759" applyFont="1" applyBorder="1" applyAlignment="1">
      <alignment horizontal="left" vertical="center"/>
    </xf>
    <xf numFmtId="0" fontId="26" fillId="0" borderId="6" xfId="2759" quotePrefix="1" applyFont="1" applyBorder="1" applyAlignment="1">
      <alignment horizontal="left" vertical="center"/>
    </xf>
    <xf numFmtId="272" fontId="26" fillId="0" borderId="6" xfId="2760" applyNumberFormat="1" applyFont="1" applyFill="1" applyBorder="1" applyAlignment="1" applyProtection="1">
      <alignment horizontal="center" vertical="center"/>
    </xf>
    <xf numFmtId="0" fontId="35" fillId="0" borderId="6" xfId="2759" applyFont="1" applyBorder="1" applyAlignment="1">
      <alignment horizontal="center" vertical="center"/>
    </xf>
    <xf numFmtId="0" fontId="26" fillId="0" borderId="6" xfId="2743" applyFont="1" applyBorder="1" applyAlignment="1">
      <alignment horizontal="center" vertical="center"/>
    </xf>
    <xf numFmtId="271" fontId="26" fillId="0" borderId="52" xfId="2743" applyNumberFormat="1" applyFont="1" applyBorder="1" applyAlignment="1">
      <alignment horizontal="center" vertical="center"/>
    </xf>
    <xf numFmtId="0" fontId="26" fillId="0" borderId="5" xfId="2743" applyFont="1" applyBorder="1" applyAlignment="1">
      <alignment horizontal="left" vertical="center"/>
    </xf>
    <xf numFmtId="220" fontId="26" fillId="0" borderId="6" xfId="2757" applyNumberFormat="1" applyFont="1" applyBorder="1" applyAlignment="1">
      <alignment horizontal="left" vertical="center"/>
    </xf>
    <xf numFmtId="178" fontId="26" fillId="0" borderId="52" xfId="2743" applyNumberFormat="1" applyFont="1" applyBorder="1" applyAlignment="1">
      <alignment horizontal="center" vertical="center"/>
    </xf>
    <xf numFmtId="273" fontId="165" fillId="0" borderId="6" xfId="2760" quotePrefix="1" applyNumberFormat="1" applyFont="1" applyFill="1" applyBorder="1" applyAlignment="1" applyProtection="1">
      <alignment horizontal="center" vertical="center"/>
    </xf>
    <xf numFmtId="179" fontId="26" fillId="0" borderId="52" xfId="2743" applyNumberFormat="1" applyFont="1" applyBorder="1" applyAlignment="1">
      <alignment horizontal="center" vertical="center"/>
    </xf>
    <xf numFmtId="0" fontId="26" fillId="0" borderId="55" xfId="2736" applyFont="1" applyBorder="1" applyAlignment="1">
      <alignment horizontal="left" vertical="center"/>
    </xf>
    <xf numFmtId="269" fontId="26" fillId="0" borderId="3" xfId="2757" applyNumberFormat="1" applyFont="1" applyBorder="1" applyAlignment="1">
      <alignment horizontal="left" vertical="center"/>
    </xf>
    <xf numFmtId="0" fontId="26" fillId="0" borderId="3" xfId="2743" applyFont="1" applyBorder="1" applyAlignment="1">
      <alignment horizontal="center" vertical="center"/>
    </xf>
    <xf numFmtId="0" fontId="26" fillId="0" borderId="5" xfId="2736" applyFont="1" applyBorder="1" applyAlignment="1">
      <alignment horizontal="center" vertical="center"/>
    </xf>
    <xf numFmtId="269" fontId="26" fillId="0" borderId="6" xfId="2757" applyNumberFormat="1" applyFont="1" applyBorder="1" applyAlignment="1">
      <alignment horizontal="left" vertical="center"/>
    </xf>
    <xf numFmtId="0" fontId="26" fillId="0" borderId="5" xfId="2743" applyFont="1" applyBorder="1" applyAlignment="1">
      <alignment horizontal="center" vertical="center"/>
    </xf>
    <xf numFmtId="0" fontId="26" fillId="0" borderId="5" xfId="2736" applyFont="1" applyBorder="1" applyAlignment="1">
      <alignment horizontal="left" vertical="center"/>
    </xf>
    <xf numFmtId="0" fontId="26" fillId="0" borderId="6" xfId="2759" applyFont="1" applyBorder="1" applyAlignment="1">
      <alignment horizontal="left" vertical="center"/>
    </xf>
    <xf numFmtId="220" fontId="26" fillId="0" borderId="52" xfId="2743" applyNumberFormat="1" applyFont="1" applyBorder="1" applyAlignment="1">
      <alignment horizontal="center" vertical="center"/>
    </xf>
    <xf numFmtId="0" fontId="26" fillId="0" borderId="6" xfId="2757" applyFont="1" applyBorder="1" applyAlignment="1">
      <alignment horizontal="left" vertical="center"/>
    </xf>
    <xf numFmtId="181" fontId="26" fillId="0" borderId="52" xfId="2743" applyNumberFormat="1" applyFont="1" applyBorder="1" applyAlignment="1">
      <alignment horizontal="center" vertical="center"/>
    </xf>
    <xf numFmtId="0" fontId="24" fillId="0" borderId="5" xfId="2743" applyFont="1" applyBorder="1" applyAlignment="1">
      <alignment horizontal="left" vertical="center"/>
    </xf>
    <xf numFmtId="0" fontId="25" fillId="0" borderId="6" xfId="2743" applyFont="1" applyBorder="1" applyAlignment="1">
      <alignment vertical="center"/>
    </xf>
    <xf numFmtId="0" fontId="25" fillId="0" borderId="6" xfId="2743" applyFont="1" applyBorder="1" applyAlignment="1">
      <alignment horizontal="center" vertical="center"/>
    </xf>
    <xf numFmtId="176" fontId="26" fillId="0" borderId="52" xfId="2497" applyFont="1" applyBorder="1" applyAlignment="1" applyProtection="1">
      <alignment horizontal="center" vertical="center"/>
    </xf>
    <xf numFmtId="213" fontId="26" fillId="0" borderId="52" xfId="2743" applyNumberFormat="1" applyFont="1" applyBorder="1" applyAlignment="1">
      <alignment horizontal="center" vertical="center"/>
    </xf>
    <xf numFmtId="0" fontId="26" fillId="0" borderId="52" xfId="2743" applyFont="1" applyBorder="1" applyAlignment="1">
      <alignment horizontal="center" vertical="center"/>
    </xf>
    <xf numFmtId="0" fontId="26" fillId="0" borderId="68" xfId="2743" applyFont="1" applyBorder="1" applyAlignment="1">
      <alignment vertical="center"/>
    </xf>
    <xf numFmtId="0" fontId="26" fillId="0" borderId="20" xfId="2743" applyFont="1" applyBorder="1" applyAlignment="1">
      <alignment vertical="center"/>
    </xf>
    <xf numFmtId="0" fontId="26" fillId="0" borderId="20" xfId="2743" applyFont="1" applyBorder="1" applyAlignment="1">
      <alignment horizontal="center" vertical="center"/>
    </xf>
    <xf numFmtId="0" fontId="26" fillId="0" borderId="54" xfId="2743" applyFont="1" applyBorder="1" applyAlignment="1">
      <alignment horizontal="center" vertical="center"/>
    </xf>
    <xf numFmtId="0" fontId="26" fillId="0" borderId="0" xfId="2757" applyFont="1" applyFill="1" applyBorder="1" applyAlignment="1" applyProtection="1">
      <alignment horizontal="left" vertical="center"/>
    </xf>
    <xf numFmtId="0" fontId="26" fillId="0" borderId="6" xfId="2757" applyFont="1" applyFill="1" applyBorder="1" applyAlignment="1" applyProtection="1">
      <alignment horizontal="left" vertical="center"/>
    </xf>
    <xf numFmtId="0" fontId="163" fillId="0" borderId="0" xfId="2743" applyFont="1" applyFill="1" applyAlignment="1">
      <alignment horizontal="right"/>
    </xf>
    <xf numFmtId="269" fontId="26" fillId="0" borderId="6" xfId="2757" applyNumberFormat="1" applyFont="1" applyFill="1" applyBorder="1" applyAlignment="1" applyProtection="1">
      <alignment horizontal="left" vertical="center"/>
    </xf>
    <xf numFmtId="269" fontId="26" fillId="0" borderId="61" xfId="2757" applyNumberFormat="1" applyFont="1" applyFill="1" applyBorder="1" applyAlignment="1" applyProtection="1">
      <alignment horizontal="left" vertical="center"/>
    </xf>
    <xf numFmtId="269" fontId="26" fillId="0" borderId="20" xfId="2757" applyNumberFormat="1" applyFont="1" applyFill="1" applyBorder="1" applyAlignment="1" applyProtection="1">
      <alignment horizontal="left" vertical="center"/>
    </xf>
    <xf numFmtId="0" fontId="26" fillId="0" borderId="5" xfId="2759" applyFont="1" applyBorder="1" applyAlignment="1" applyProtection="1">
      <alignment horizontal="left" vertical="center"/>
    </xf>
    <xf numFmtId="0" fontId="35" fillId="0" borderId="6" xfId="2759" applyFont="1" applyBorder="1" applyAlignment="1" applyProtection="1">
      <alignment horizontal="center" vertical="center"/>
    </xf>
    <xf numFmtId="0" fontId="26" fillId="0" borderId="6" xfId="2759" applyFont="1" applyFill="1" applyBorder="1" applyAlignment="1" applyProtection="1">
      <alignment horizontal="left" vertical="center"/>
    </xf>
    <xf numFmtId="0" fontId="26" fillId="0" borderId="5" xfId="2759" applyFont="1" applyFill="1" applyBorder="1" applyAlignment="1" applyProtection="1">
      <alignment horizontal="left" vertical="center"/>
    </xf>
    <xf numFmtId="0" fontId="26" fillId="0" borderId="5" xfId="2759" applyFont="1" applyFill="1" applyBorder="1" applyAlignment="1" applyProtection="1">
      <alignment horizontal="center" vertical="center"/>
    </xf>
    <xf numFmtId="0" fontId="26" fillId="0" borderId="6" xfId="2759" quotePrefix="1" applyFont="1" applyFill="1" applyBorder="1" applyAlignment="1" applyProtection="1">
      <alignment horizontal="left" vertical="center"/>
    </xf>
    <xf numFmtId="0" fontId="26" fillId="0" borderId="20" xfId="2757" applyFont="1" applyFill="1" applyBorder="1" applyAlignment="1" applyProtection="1">
      <alignment horizontal="left" vertical="center"/>
    </xf>
    <xf numFmtId="0" fontId="26" fillId="0" borderId="3" xfId="2757" applyFont="1" applyFill="1" applyBorder="1" applyAlignment="1" applyProtection="1">
      <alignment horizontal="left" vertical="center"/>
    </xf>
    <xf numFmtId="0" fontId="26" fillId="0" borderId="63" xfId="2743" applyFont="1" applyFill="1" applyBorder="1" applyAlignment="1" applyProtection="1">
      <alignment horizontal="center" vertical="center"/>
    </xf>
    <xf numFmtId="0" fontId="26" fillId="0" borderId="64" xfId="2759" quotePrefix="1" applyFont="1" applyFill="1" applyBorder="1" applyAlignment="1" applyProtection="1">
      <alignment horizontal="left" vertical="center"/>
    </xf>
    <xf numFmtId="273" fontId="165" fillId="0" borderId="64" xfId="2760" quotePrefix="1" applyNumberFormat="1" applyFont="1" applyFill="1" applyBorder="1" applyAlignment="1" applyProtection="1">
      <alignment horizontal="center" vertical="center"/>
    </xf>
    <xf numFmtId="179" fontId="26" fillId="0" borderId="65" xfId="2743" applyNumberFormat="1" applyFont="1" applyFill="1" applyBorder="1" applyAlignment="1" applyProtection="1">
      <alignment horizontal="center" vertical="center"/>
    </xf>
    <xf numFmtId="0" fontId="26" fillId="0" borderId="5" xfId="2757" applyFont="1" applyFill="1" applyBorder="1" applyAlignment="1" applyProtection="1">
      <alignment horizontal="center" vertical="center"/>
    </xf>
    <xf numFmtId="0" fontId="26" fillId="0" borderId="6" xfId="2757" quotePrefix="1" applyFont="1" applyFill="1" applyBorder="1" applyAlignment="1" applyProtection="1">
      <alignment horizontal="left" vertical="center"/>
    </xf>
    <xf numFmtId="0" fontId="26" fillId="0" borderId="66" xfId="2757" applyFont="1" applyFill="1" applyBorder="1" applyAlignment="1" applyProtection="1">
      <alignment horizontal="left" vertical="center"/>
    </xf>
    <xf numFmtId="0" fontId="26" fillId="0" borderId="53" xfId="2757" applyFont="1" applyFill="1" applyBorder="1" applyAlignment="1" applyProtection="1">
      <alignment horizontal="left" vertical="center"/>
    </xf>
    <xf numFmtId="0" fontId="26" fillId="0" borderId="68" xfId="2759" applyFont="1" applyFill="1" applyBorder="1" applyAlignment="1" applyProtection="1">
      <alignment horizontal="left" vertical="center"/>
    </xf>
    <xf numFmtId="272" fontId="26" fillId="0" borderId="20" xfId="2760" applyNumberFormat="1" applyFont="1" applyFill="1" applyBorder="1" applyAlignment="1" applyProtection="1">
      <alignment horizontal="center" vertical="center"/>
    </xf>
    <xf numFmtId="0" fontId="26" fillId="0" borderId="63" xfId="2759" applyFont="1" applyFill="1" applyBorder="1" applyAlignment="1" applyProtection="1">
      <alignment horizontal="left" vertical="center"/>
    </xf>
    <xf numFmtId="272" fontId="26" fillId="0" borderId="64" xfId="2760" applyNumberFormat="1" applyFont="1" applyFill="1" applyBorder="1" applyAlignment="1" applyProtection="1">
      <alignment horizontal="center" vertical="center"/>
    </xf>
    <xf numFmtId="177" fontId="26" fillId="0" borderId="65" xfId="2496" applyNumberFormat="1" applyFont="1" applyFill="1" applyBorder="1" applyAlignment="1" applyProtection="1">
      <alignment horizontal="center" vertical="center"/>
    </xf>
    <xf numFmtId="0" fontId="26" fillId="0" borderId="64" xfId="2757" applyFont="1" applyFill="1" applyBorder="1" applyAlignment="1" applyProtection="1">
      <alignment horizontal="left" vertical="center"/>
    </xf>
    <xf numFmtId="271" fontId="23" fillId="0" borderId="52" xfId="2743" applyNumberFormat="1" applyFont="1" applyBorder="1" applyAlignment="1" applyProtection="1">
      <alignment horizontal="center" vertical="center"/>
    </xf>
    <xf numFmtId="0" fontId="26" fillId="0" borderId="55" xfId="2757" applyFont="1" applyFill="1" applyBorder="1" applyAlignment="1" applyProtection="1">
      <alignment horizontal="center" vertical="center"/>
    </xf>
    <xf numFmtId="0" fontId="26" fillId="0" borderId="3" xfId="2757" quotePrefix="1" applyFont="1" applyFill="1" applyBorder="1" applyAlignment="1" applyProtection="1">
      <alignment horizontal="left" vertical="center"/>
    </xf>
    <xf numFmtId="272" fontId="26" fillId="0" borderId="3" xfId="2760" applyNumberFormat="1" applyFont="1" applyFill="1" applyBorder="1" applyAlignment="1" applyProtection="1">
      <alignment horizontal="center" vertical="center"/>
    </xf>
    <xf numFmtId="177" fontId="26" fillId="0" borderId="56" xfId="2496" applyNumberFormat="1" applyFont="1" applyFill="1" applyBorder="1" applyAlignment="1" applyProtection="1">
      <alignment horizontal="center" vertical="center"/>
    </xf>
    <xf numFmtId="0" fontId="23" fillId="0" borderId="5" xfId="2743" applyFont="1" applyFill="1" applyBorder="1" applyAlignment="1" applyProtection="1">
      <alignment horizontal="left" vertical="center"/>
    </xf>
    <xf numFmtId="177" fontId="23" fillId="0" borderId="52" xfId="2743" applyNumberFormat="1" applyFont="1" applyFill="1" applyBorder="1" applyAlignment="1" applyProtection="1">
      <alignment horizontal="center" vertical="center"/>
    </xf>
    <xf numFmtId="177" fontId="163" fillId="0" borderId="0" xfId="2743" applyNumberFormat="1" applyFont="1"/>
    <xf numFmtId="0" fontId="24" fillId="0" borderId="5" xfId="2736" applyFont="1" applyFill="1" applyBorder="1" applyAlignment="1" applyProtection="1">
      <alignment horizontal="left" vertical="center"/>
    </xf>
    <xf numFmtId="220" fontId="164" fillId="0" borderId="0" xfId="2743" applyNumberFormat="1" applyFont="1" applyAlignment="1">
      <alignment horizontal="right" vertical="center"/>
    </xf>
    <xf numFmtId="220" fontId="25" fillId="0" borderId="6" xfId="2757" applyNumberFormat="1" applyFont="1" applyFill="1" applyBorder="1" applyAlignment="1" applyProtection="1">
      <alignment horizontal="right" vertical="center"/>
    </xf>
    <xf numFmtId="0" fontId="26" fillId="0" borderId="55" xfId="2743" applyFont="1" applyFill="1" applyBorder="1" applyAlignment="1">
      <alignment horizontal="center" vertical="center"/>
    </xf>
    <xf numFmtId="0" fontId="35" fillId="0" borderId="6" xfId="2759" applyFont="1" applyFill="1" applyBorder="1" applyAlignment="1" applyProtection="1">
      <alignment horizontal="center" vertical="center"/>
    </xf>
    <xf numFmtId="271" fontId="26" fillId="0" borderId="52" xfId="2743" applyNumberFormat="1" applyFont="1" applyFill="1" applyBorder="1" applyAlignment="1" applyProtection="1">
      <alignment horizontal="center" vertical="center"/>
    </xf>
    <xf numFmtId="0" fontId="26" fillId="0" borderId="0" xfId="2757" applyFont="1" applyFill="1" applyBorder="1" applyAlignment="1" applyProtection="1">
      <alignment horizontal="center" vertical="center"/>
    </xf>
    <xf numFmtId="0" fontId="163" fillId="0" borderId="0" xfId="2743" applyFont="1" applyBorder="1" applyAlignment="1">
      <alignment horizontal="center"/>
    </xf>
    <xf numFmtId="0" fontId="26" fillId="0" borderId="53" xfId="2759" applyFont="1" applyFill="1" applyBorder="1" applyAlignment="1" applyProtection="1">
      <alignment horizontal="left" vertical="center"/>
    </xf>
    <xf numFmtId="0" fontId="26" fillId="0" borderId="53" xfId="2743" applyFont="1" applyFill="1" applyBorder="1" applyAlignment="1">
      <alignment horizontal="center" vertical="center"/>
    </xf>
    <xf numFmtId="0" fontId="26" fillId="0" borderId="67" xfId="2743" applyFont="1" applyFill="1" applyBorder="1" applyAlignment="1">
      <alignment horizontal="center" vertical="center"/>
    </xf>
    <xf numFmtId="0" fontId="26" fillId="0" borderId="55" xfId="2759" applyFont="1" applyFill="1" applyBorder="1" applyAlignment="1" applyProtection="1">
      <alignment horizontal="left" vertical="center"/>
    </xf>
    <xf numFmtId="0" fontId="26" fillId="0" borderId="57" xfId="2736" applyFont="1" applyFill="1" applyBorder="1" applyAlignment="1" applyProtection="1">
      <alignment horizontal="center" vertical="center"/>
    </xf>
    <xf numFmtId="0" fontId="26" fillId="0" borderId="58" xfId="2757" applyFont="1" applyFill="1" applyBorder="1" applyAlignment="1" applyProtection="1">
      <alignment horizontal="left" vertical="center"/>
    </xf>
    <xf numFmtId="213" fontId="26" fillId="0" borderId="59" xfId="2743" applyNumberFormat="1" applyFont="1" applyFill="1" applyBorder="1" applyAlignment="1">
      <alignment horizontal="center" vertical="center"/>
    </xf>
    <xf numFmtId="269" fontId="26" fillId="0" borderId="3" xfId="2757" applyNumberFormat="1" applyFont="1" applyFill="1" applyBorder="1" applyAlignment="1" applyProtection="1">
      <alignment horizontal="left" vertical="center"/>
    </xf>
    <xf numFmtId="0" fontId="24" fillId="0" borderId="5" xfId="2743" applyFont="1" applyBorder="1" applyAlignment="1" applyProtection="1">
      <alignment horizontal="left" vertical="center"/>
    </xf>
    <xf numFmtId="0" fontId="25" fillId="0" borderId="6" xfId="2743" applyFont="1" applyBorder="1" applyAlignment="1" applyProtection="1">
      <alignment vertical="center"/>
    </xf>
    <xf numFmtId="0" fontId="25" fillId="0" borderId="6" xfId="2743" applyFont="1" applyBorder="1" applyAlignment="1" applyProtection="1">
      <alignment horizontal="center" vertical="center"/>
    </xf>
    <xf numFmtId="0" fontId="26" fillId="0" borderId="20" xfId="2743" applyFont="1" applyFill="1" applyBorder="1" applyAlignment="1">
      <alignment vertical="center"/>
    </xf>
    <xf numFmtId="0" fontId="23" fillId="0" borderId="6" xfId="2759" quotePrefix="1" applyFont="1" applyFill="1" applyBorder="1" applyAlignment="1" applyProtection="1">
      <alignment horizontal="left" vertical="center"/>
    </xf>
    <xf numFmtId="178" fontId="26" fillId="0" borderId="56" xfId="2743" applyNumberFormat="1" applyFont="1" applyFill="1" applyBorder="1" applyAlignment="1" applyProtection="1">
      <alignment horizontal="center" vertical="center"/>
    </xf>
    <xf numFmtId="0" fontId="26" fillId="0" borderId="5" xfId="2759" applyFont="1" applyBorder="1" applyAlignment="1">
      <alignment horizontal="center" vertical="center"/>
    </xf>
    <xf numFmtId="271" fontId="26" fillId="0" borderId="67" xfId="2743" applyNumberFormat="1" applyFont="1" applyFill="1" applyBorder="1" applyAlignment="1" applyProtection="1">
      <alignment horizontal="center" vertical="center"/>
    </xf>
    <xf numFmtId="280" fontId="111" fillId="0" borderId="54" xfId="2743" applyNumberFormat="1" applyFont="1" applyFill="1" applyBorder="1" applyAlignment="1" applyProtection="1">
      <alignment horizontal="center" vertical="center"/>
    </xf>
    <xf numFmtId="281" fontId="111" fillId="0" borderId="54" xfId="2743" applyNumberFormat="1" applyFont="1" applyFill="1" applyBorder="1" applyAlignment="1" applyProtection="1">
      <alignment horizontal="center" vertical="center"/>
    </xf>
    <xf numFmtId="280" fontId="111" fillId="0" borderId="52" xfId="2743" applyNumberFormat="1" applyFont="1" applyFill="1" applyBorder="1" applyAlignment="1" applyProtection="1">
      <alignment horizontal="center" vertical="center"/>
    </xf>
    <xf numFmtId="0" fontId="26" fillId="0" borderId="63" xfId="2759" applyFont="1" applyFill="1" applyBorder="1" applyAlignment="1" applyProtection="1">
      <alignment horizontal="center" vertical="center"/>
    </xf>
    <xf numFmtId="0" fontId="26" fillId="0" borderId="68" xfId="2759" applyFont="1" applyFill="1" applyBorder="1" applyAlignment="1" applyProtection="1">
      <alignment horizontal="center" vertical="center"/>
    </xf>
    <xf numFmtId="0" fontId="144" fillId="0" borderId="23" xfId="2758" applyFont="1" applyBorder="1" applyAlignment="1">
      <alignment horizontal="left" vertical="center"/>
    </xf>
    <xf numFmtId="0" fontId="23" fillId="0" borderId="3" xfId="2757" applyFont="1" applyFill="1" applyBorder="1" applyAlignment="1" applyProtection="1">
      <alignment horizontal="left" vertical="center"/>
    </xf>
    <xf numFmtId="178" fontId="23" fillId="0" borderId="56" xfId="2743" applyNumberFormat="1" applyFont="1" applyFill="1" applyBorder="1" applyAlignment="1" applyProtection="1">
      <alignment horizontal="center" vertical="center"/>
    </xf>
    <xf numFmtId="0" fontId="5" fillId="0" borderId="0" xfId="2761"/>
    <xf numFmtId="0" fontId="137" fillId="0" borderId="0" xfId="2761" applyNumberFormat="1" applyFont="1" applyAlignment="1">
      <alignment horizontal="left" vertical="center"/>
    </xf>
    <xf numFmtId="49" fontId="190" fillId="0" borderId="0" xfId="2761" applyNumberFormat="1" applyFont="1" applyAlignment="1">
      <alignment horizontal="left" vertical="center"/>
    </xf>
    <xf numFmtId="49" fontId="191" fillId="0" borderId="0" xfId="2761" applyNumberFormat="1" applyFont="1" applyAlignment="1">
      <alignment horizontal="left" vertical="center"/>
    </xf>
    <xf numFmtId="49" fontId="192" fillId="0" borderId="0" xfId="2761" applyNumberFormat="1" applyFont="1" applyAlignment="1">
      <alignment horizontal="left" vertical="center"/>
    </xf>
    <xf numFmtId="0" fontId="193" fillId="0" borderId="0" xfId="2761" applyNumberFormat="1" applyFont="1" applyAlignment="1">
      <alignment horizontal="left" vertical="center"/>
    </xf>
    <xf numFmtId="49" fontId="137" fillId="0" borderId="0" xfId="2761" applyNumberFormat="1" applyFont="1" applyAlignment="1">
      <alignment horizontal="left" vertical="center"/>
    </xf>
    <xf numFmtId="0" fontId="195" fillId="0" borderId="0" xfId="2761" applyFont="1"/>
    <xf numFmtId="49" fontId="196" fillId="0" borderId="0" xfId="2761" applyNumberFormat="1" applyFont="1" applyAlignment="1">
      <alignment horizontal="left" vertical="center"/>
    </xf>
    <xf numFmtId="49" fontId="197" fillId="0" borderId="0" xfId="2761" applyNumberFormat="1" applyFont="1" applyAlignment="1">
      <alignment horizontal="left" vertical="center"/>
    </xf>
    <xf numFmtId="49" fontId="198" fillId="0" borderId="0" xfId="2761" applyNumberFormat="1" applyFont="1" applyAlignment="1">
      <alignment horizontal="left" vertical="center"/>
    </xf>
    <xf numFmtId="49" fontId="200" fillId="0" borderId="0" xfId="2761" applyNumberFormat="1" applyFont="1" applyAlignment="1">
      <alignment horizontal="left" vertical="center"/>
    </xf>
    <xf numFmtId="49" fontId="201" fillId="0" borderId="0" xfId="2761" applyNumberFormat="1" applyFont="1" applyAlignment="1">
      <alignment horizontal="left" vertical="center"/>
    </xf>
    <xf numFmtId="49" fontId="202" fillId="0" borderId="0" xfId="2761" applyNumberFormat="1" applyFont="1" applyAlignment="1">
      <alignment horizontal="left" vertical="center"/>
    </xf>
    <xf numFmtId="0" fontId="161" fillId="0" borderId="97" xfId="2734" applyFont="1" applyFill="1" applyBorder="1" applyAlignment="1">
      <alignment horizontal="center" vertical="center"/>
    </xf>
    <xf numFmtId="0" fontId="35" fillId="0" borderId="98" xfId="2734" applyFont="1" applyFill="1" applyBorder="1" applyAlignment="1">
      <alignment horizontal="center" vertical="center"/>
    </xf>
    <xf numFmtId="0" fontId="161" fillId="0" borderId="98" xfId="2734" applyFont="1" applyFill="1" applyBorder="1" applyAlignment="1">
      <alignment horizontal="center" vertical="center"/>
    </xf>
    <xf numFmtId="0" fontId="161" fillId="0" borderId="28" xfId="2734" applyFont="1" applyFill="1" applyBorder="1" applyAlignment="1">
      <alignment horizontal="center" vertical="center"/>
    </xf>
    <xf numFmtId="0" fontId="35" fillId="0" borderId="28" xfId="2734" applyFont="1" applyFill="1" applyBorder="1" applyAlignment="1">
      <alignment horizontal="center" vertical="center"/>
    </xf>
    <xf numFmtId="0" fontId="161" fillId="0" borderId="30" xfId="2734" applyFont="1" applyFill="1" applyBorder="1" applyAlignment="1">
      <alignment horizontal="center" vertical="center"/>
    </xf>
    <xf numFmtId="0" fontId="35" fillId="0" borderId="99" xfId="2734" applyFont="1" applyFill="1" applyBorder="1" applyAlignment="1">
      <alignment horizontal="center" vertical="center"/>
    </xf>
    <xf numFmtId="0" fontId="161" fillId="0" borderId="99" xfId="2734" applyFont="1" applyFill="1" applyBorder="1" applyAlignment="1">
      <alignment horizontal="center" vertical="center"/>
    </xf>
    <xf numFmtId="0" fontId="35" fillId="0" borderId="17" xfId="2734" applyFont="1" applyFill="1" applyBorder="1" applyAlignment="1">
      <alignment horizontal="center" vertical="center"/>
    </xf>
    <xf numFmtId="0" fontId="35" fillId="0" borderId="30" xfId="2734" applyFont="1" applyFill="1" applyBorder="1" applyAlignment="1">
      <alignment horizontal="center" vertical="center"/>
    </xf>
    <xf numFmtId="0" fontId="35" fillId="0" borderId="100" xfId="2734" applyFont="1" applyFill="1" applyBorder="1" applyAlignment="1">
      <alignment horizontal="center" vertical="center"/>
    </xf>
    <xf numFmtId="0" fontId="35" fillId="0" borderId="100" xfId="2734" applyFont="1" applyFill="1" applyBorder="1"/>
    <xf numFmtId="0" fontId="35" fillId="0" borderId="101" xfId="2734" applyFont="1" applyFill="1" applyBorder="1"/>
    <xf numFmtId="0" fontId="204" fillId="0" borderId="0" xfId="2765" applyFont="1" applyAlignment="1">
      <alignment horizontal="center" vertical="center"/>
    </xf>
    <xf numFmtId="0" fontId="204" fillId="0" borderId="0" xfId="2765" applyFont="1" applyAlignment="1">
      <alignment horizontal="center" vertical="center" shrinkToFit="1"/>
    </xf>
    <xf numFmtId="0" fontId="1" fillId="0" borderId="0" xfId="2765" applyAlignment="1">
      <alignment shrinkToFit="1"/>
    </xf>
    <xf numFmtId="49" fontId="202" fillId="0" borderId="0" xfId="2765" applyNumberFormat="1" applyFont="1" applyAlignment="1">
      <alignment horizontal="left" vertical="center"/>
    </xf>
    <xf numFmtId="49" fontId="202" fillId="0" borderId="0" xfId="2765" applyNumberFormat="1" applyFont="1" applyAlignment="1">
      <alignment horizontal="right" vertical="center" shrinkToFit="1"/>
    </xf>
    <xf numFmtId="282" fontId="205" fillId="0" borderId="0" xfId="2765" applyNumberFormat="1" applyFont="1" applyAlignment="1">
      <alignment horizontal="left" vertical="center" shrinkToFit="1"/>
    </xf>
    <xf numFmtId="0" fontId="195" fillId="0" borderId="0" xfId="2765" applyFont="1" applyAlignment="1">
      <alignment shrinkToFit="1"/>
    </xf>
    <xf numFmtId="0" fontId="193" fillId="0" borderId="0" xfId="2765" applyFont="1" applyAlignment="1">
      <alignment horizontal="left" vertical="center" shrinkToFit="1"/>
    </xf>
    <xf numFmtId="49" fontId="202" fillId="0" borderId="17" xfId="2765" applyNumberFormat="1" applyFont="1" applyBorder="1" applyAlignment="1">
      <alignment horizontal="center" vertical="center" shrinkToFit="1"/>
    </xf>
    <xf numFmtId="283" fontId="202" fillId="0" borderId="17" xfId="2765" applyNumberFormat="1" applyFont="1" applyBorder="1" applyAlignment="1">
      <alignment horizontal="right" vertical="center" shrinkToFit="1"/>
    </xf>
    <xf numFmtId="284" fontId="202" fillId="0" borderId="17" xfId="2765" applyNumberFormat="1" applyFont="1" applyBorder="1" applyAlignment="1">
      <alignment horizontal="right" vertical="center" shrinkToFit="1"/>
    </xf>
    <xf numFmtId="49" fontId="202" fillId="0" borderId="17" xfId="2765" applyNumberFormat="1" applyFont="1" applyBorder="1" applyAlignment="1">
      <alignment horizontal="left" vertical="center" shrinkToFit="1"/>
    </xf>
    <xf numFmtId="285" fontId="202" fillId="0" borderId="17" xfId="2765" applyNumberFormat="1" applyFont="1" applyBorder="1" applyAlignment="1">
      <alignment horizontal="right" vertical="center" shrinkToFit="1"/>
    </xf>
    <xf numFmtId="0" fontId="1" fillId="0" borderId="17" xfId="2765" applyBorder="1" applyAlignment="1">
      <alignment shrinkToFit="1"/>
    </xf>
    <xf numFmtId="49" fontId="202" fillId="0" borderId="2" xfId="2765" applyNumberFormat="1" applyFont="1" applyBorder="1" applyAlignment="1">
      <alignment horizontal="center" vertical="center" shrinkToFit="1"/>
    </xf>
    <xf numFmtId="283" fontId="202" fillId="0" borderId="2" xfId="2765" applyNumberFormat="1" applyFont="1" applyBorder="1" applyAlignment="1">
      <alignment horizontal="right" vertical="center" shrinkToFit="1"/>
    </xf>
    <xf numFmtId="284" fontId="202" fillId="0" borderId="2" xfId="2765" applyNumberFormat="1" applyFont="1" applyBorder="1" applyAlignment="1">
      <alignment horizontal="right" vertical="center" shrinkToFit="1"/>
    </xf>
    <xf numFmtId="49" fontId="202" fillId="0" borderId="2" xfId="2765" applyNumberFormat="1" applyFont="1" applyBorder="1" applyAlignment="1">
      <alignment horizontal="left" vertical="center" shrinkToFit="1"/>
    </xf>
    <xf numFmtId="282" fontId="202" fillId="0" borderId="17" xfId="2765" applyNumberFormat="1" applyFont="1" applyBorder="1" applyAlignment="1">
      <alignment horizontal="left" vertical="center" shrinkToFit="1"/>
    </xf>
    <xf numFmtId="49" fontId="202" fillId="0" borderId="30" xfId="2765" applyNumberFormat="1" applyFont="1" applyBorder="1" applyAlignment="1">
      <alignment horizontal="center" vertical="center" shrinkToFit="1"/>
    </xf>
    <xf numFmtId="283" fontId="202" fillId="0" borderId="28" xfId="2765" applyNumberFormat="1" applyFont="1" applyBorder="1" applyAlignment="1">
      <alignment horizontal="right" vertical="center" shrinkToFit="1"/>
    </xf>
    <xf numFmtId="284" fontId="202" fillId="0" borderId="21" xfId="2765" applyNumberFormat="1" applyFont="1" applyBorder="1" applyAlignment="1">
      <alignment horizontal="right" vertical="center" shrinkToFit="1"/>
    </xf>
    <xf numFmtId="282" fontId="202" fillId="0" borderId="28" xfId="2765" applyNumberFormat="1" applyFont="1" applyBorder="1" applyAlignment="1">
      <alignment horizontal="left" vertical="center" shrinkToFit="1"/>
    </xf>
    <xf numFmtId="49" fontId="202" fillId="0" borderId="28" xfId="2765" applyNumberFormat="1" applyFont="1" applyBorder="1" applyAlignment="1">
      <alignment horizontal="left" vertical="center" shrinkToFit="1"/>
    </xf>
    <xf numFmtId="49" fontId="202" fillId="0" borderId="81" xfId="2765" applyNumberFormat="1" applyFont="1" applyBorder="1" applyAlignment="1">
      <alignment horizontal="center" vertical="center" shrinkToFit="1"/>
    </xf>
    <xf numFmtId="49" fontId="205" fillId="0" borderId="0" xfId="2765" applyNumberFormat="1" applyFont="1" applyAlignment="1">
      <alignment horizontal="left" vertical="center" shrinkToFit="1"/>
    </xf>
    <xf numFmtId="49" fontId="202" fillId="0" borderId="45" xfId="2765" applyNumberFormat="1" applyFont="1" applyBorder="1" applyAlignment="1">
      <alignment horizontal="left" vertical="center" shrinkToFit="1"/>
    </xf>
    <xf numFmtId="283" fontId="202" fillId="0" borderId="27" xfId="2765" applyNumberFormat="1" applyFont="1" applyBorder="1" applyAlignment="1">
      <alignment horizontal="right" vertical="center" shrinkToFit="1"/>
    </xf>
    <xf numFmtId="283" fontId="202" fillId="0" borderId="21" xfId="2765" applyNumberFormat="1" applyFont="1" applyBorder="1" applyAlignment="1">
      <alignment horizontal="right" vertical="center" shrinkToFit="1"/>
    </xf>
    <xf numFmtId="0" fontId="208" fillId="0" borderId="0" xfId="2765" applyFont="1" applyAlignment="1">
      <alignment shrinkToFit="1"/>
    </xf>
    <xf numFmtId="285" fontId="202" fillId="0" borderId="0" xfId="2765" applyNumberFormat="1" applyFont="1" applyAlignment="1">
      <alignment horizontal="right" vertical="center" shrinkToFit="1"/>
    </xf>
    <xf numFmtId="286" fontId="202" fillId="65" borderId="0" xfId="2765" applyNumberFormat="1" applyFont="1" applyFill="1" applyAlignment="1">
      <alignment horizontal="right" vertical="center" shrinkToFit="1"/>
    </xf>
    <xf numFmtId="283" fontId="202" fillId="0" borderId="0" xfId="2765" applyNumberFormat="1" applyFont="1" applyAlignment="1">
      <alignment horizontal="right" vertical="center" shrinkToFit="1"/>
    </xf>
    <xf numFmtId="285" fontId="202" fillId="65" borderId="0" xfId="2765" applyNumberFormat="1" applyFont="1" applyFill="1" applyAlignment="1">
      <alignment horizontal="right" vertical="center" shrinkToFit="1"/>
    </xf>
    <xf numFmtId="49" fontId="202" fillId="0" borderId="45" xfId="2765" applyNumberFormat="1" applyFont="1" applyBorder="1" applyAlignment="1">
      <alignment horizontal="center" vertical="center" shrinkToFit="1"/>
    </xf>
    <xf numFmtId="49" fontId="206" fillId="0" borderId="45" xfId="2765" applyNumberFormat="1" applyFont="1" applyBorder="1" applyAlignment="1">
      <alignment horizontal="left" vertical="center" shrinkToFit="1"/>
    </xf>
    <xf numFmtId="49" fontId="202" fillId="0" borderId="21" xfId="2765" applyNumberFormat="1" applyFont="1" applyBorder="1" applyAlignment="1">
      <alignment horizontal="right" vertical="center" shrinkToFit="1"/>
    </xf>
    <xf numFmtId="49" fontId="202" fillId="0" borderId="28" xfId="2765" applyNumberFormat="1" applyFont="1" applyBorder="1" applyAlignment="1">
      <alignment horizontal="center" vertical="center" shrinkToFit="1"/>
    </xf>
    <xf numFmtId="285" fontId="202" fillId="0" borderId="27" xfId="2765" applyNumberFormat="1" applyFont="1" applyBorder="1" applyAlignment="1">
      <alignment horizontal="right" vertical="center" shrinkToFit="1"/>
    </xf>
    <xf numFmtId="285" fontId="202" fillId="0" borderId="21" xfId="2765" applyNumberFormat="1" applyFont="1" applyBorder="1" applyAlignment="1">
      <alignment horizontal="right" vertical="center" shrinkToFit="1"/>
    </xf>
    <xf numFmtId="283" fontId="202" fillId="0" borderId="45" xfId="2765" applyNumberFormat="1" applyFont="1" applyBorder="1" applyAlignment="1">
      <alignment horizontal="right" vertical="center" shrinkToFit="1"/>
    </xf>
    <xf numFmtId="285" fontId="202" fillId="0" borderId="45" xfId="2765" applyNumberFormat="1" applyFont="1" applyBorder="1" applyAlignment="1">
      <alignment horizontal="right" vertical="center" shrinkToFit="1"/>
    </xf>
    <xf numFmtId="49" fontId="202" fillId="0" borderId="0" xfId="2765" applyNumberFormat="1" applyFont="1" applyAlignment="1">
      <alignment horizontal="left" vertical="center" shrinkToFit="1"/>
    </xf>
    <xf numFmtId="49" fontId="206" fillId="0" borderId="28" xfId="2765" applyNumberFormat="1" applyFont="1" applyBorder="1" applyAlignment="1">
      <alignment horizontal="left" vertical="center" shrinkToFit="1"/>
    </xf>
    <xf numFmtId="287" fontId="202" fillId="0" borderId="21" xfId="2765" applyNumberFormat="1" applyFont="1" applyBorder="1" applyAlignment="1">
      <alignment horizontal="right" vertical="center" shrinkToFit="1"/>
    </xf>
    <xf numFmtId="288" fontId="202" fillId="0" borderId="21" xfId="2765" applyNumberFormat="1" applyFont="1" applyBorder="1" applyAlignment="1">
      <alignment horizontal="right" vertical="center" shrinkToFit="1"/>
    </xf>
    <xf numFmtId="288" fontId="202" fillId="0" borderId="27" xfId="2765" applyNumberFormat="1" applyFont="1" applyBorder="1" applyAlignment="1">
      <alignment horizontal="right" vertical="center" shrinkToFit="1"/>
    </xf>
    <xf numFmtId="288" fontId="202" fillId="0" borderId="28" xfId="2765" applyNumberFormat="1" applyFont="1" applyBorder="1" applyAlignment="1">
      <alignment horizontal="right" vertical="center" shrinkToFit="1"/>
    </xf>
    <xf numFmtId="288" fontId="202" fillId="0" borderId="45" xfId="2765" applyNumberFormat="1" applyFont="1" applyBorder="1" applyAlignment="1">
      <alignment horizontal="right" vertical="center" shrinkToFit="1"/>
    </xf>
    <xf numFmtId="49" fontId="202" fillId="0" borderId="81" xfId="2765" applyNumberFormat="1" applyFont="1" applyBorder="1" applyAlignment="1">
      <alignment horizontal="left" vertical="center" shrinkToFit="1"/>
    </xf>
    <xf numFmtId="49" fontId="202" fillId="0" borderId="2" xfId="2765" applyNumberFormat="1" applyFont="1" applyBorder="1" applyAlignment="1">
      <alignment horizontal="right" vertical="center" shrinkToFit="1"/>
    </xf>
    <xf numFmtId="49" fontId="202" fillId="0" borderId="10" xfId="2765" applyNumberFormat="1" applyFont="1" applyBorder="1" applyAlignment="1">
      <alignment horizontal="center" vertical="center" shrinkToFit="1"/>
    </xf>
    <xf numFmtId="49" fontId="202" fillId="0" borderId="81" xfId="2765" applyNumberFormat="1" applyFont="1" applyBorder="1" applyAlignment="1">
      <alignment horizontal="right" vertical="center" shrinkToFit="1"/>
    </xf>
    <xf numFmtId="49" fontId="202" fillId="0" borderId="28" xfId="2765" applyNumberFormat="1" applyFont="1" applyBorder="1" applyAlignment="1">
      <alignment horizontal="right" vertical="center" shrinkToFit="1"/>
    </xf>
    <xf numFmtId="49" fontId="202" fillId="0" borderId="21" xfId="2765" applyNumberFormat="1" applyFont="1" applyBorder="1" applyAlignment="1">
      <alignment horizontal="center" vertical="center" shrinkToFit="1"/>
    </xf>
    <xf numFmtId="49" fontId="202" fillId="0" borderId="45" xfId="2765" applyNumberFormat="1" applyFont="1" applyBorder="1" applyAlignment="1">
      <alignment horizontal="right" vertical="center" shrinkToFit="1"/>
    </xf>
    <xf numFmtId="49" fontId="202" fillId="0" borderId="27" xfId="2765" applyNumberFormat="1" applyFont="1" applyBorder="1" applyAlignment="1">
      <alignment horizontal="center" vertical="center" shrinkToFit="1"/>
    </xf>
    <xf numFmtId="0" fontId="209" fillId="0" borderId="0" xfId="2765" applyFont="1" applyAlignment="1">
      <alignment shrinkToFit="1"/>
    </xf>
    <xf numFmtId="49" fontId="206" fillId="0" borderId="17" xfId="2765" applyNumberFormat="1" applyFont="1" applyBorder="1" applyAlignment="1">
      <alignment horizontal="left" vertical="center" shrinkToFit="1"/>
    </xf>
    <xf numFmtId="0" fontId="210" fillId="0" borderId="17" xfId="2765" applyFont="1" applyBorder="1" applyAlignment="1">
      <alignment shrinkToFit="1"/>
    </xf>
    <xf numFmtId="0" fontId="205" fillId="0" borderId="0" xfId="2765" applyFont="1" applyAlignment="1">
      <alignment horizontal="left" vertical="center" shrinkToFit="1"/>
    </xf>
    <xf numFmtId="0" fontId="210" fillId="0" borderId="28" xfId="2765" applyFont="1" applyBorder="1" applyAlignment="1">
      <alignment shrinkToFit="1"/>
    </xf>
    <xf numFmtId="49" fontId="206" fillId="0" borderId="28" xfId="2765" applyNumberFormat="1" applyFont="1" applyBorder="1" applyAlignment="1">
      <alignment horizontal="center" vertical="center" shrinkToFit="1"/>
    </xf>
    <xf numFmtId="289" fontId="202" fillId="0" borderId="28" xfId="2765" applyNumberFormat="1" applyFont="1" applyBorder="1" applyAlignment="1">
      <alignment horizontal="right" vertical="center" shrinkToFit="1"/>
    </xf>
    <xf numFmtId="290" fontId="202" fillId="0" borderId="45" xfId="2765" applyNumberFormat="1" applyFont="1" applyBorder="1" applyAlignment="1">
      <alignment horizontal="right" vertical="center" shrinkToFit="1"/>
    </xf>
    <xf numFmtId="291" fontId="202" fillId="0" borderId="28" xfId="2765" applyNumberFormat="1" applyFont="1" applyBorder="1" applyAlignment="1">
      <alignment horizontal="right" vertical="center" shrinkToFit="1"/>
    </xf>
    <xf numFmtId="290" fontId="202" fillId="0" borderId="21" xfId="2765" applyNumberFormat="1" applyFont="1" applyBorder="1" applyAlignment="1">
      <alignment horizontal="right" vertical="center" shrinkToFit="1"/>
    </xf>
    <xf numFmtId="291" fontId="202" fillId="0" borderId="45" xfId="2765" applyNumberFormat="1" applyFont="1" applyBorder="1" applyAlignment="1">
      <alignment horizontal="right" vertical="center" shrinkToFit="1"/>
    </xf>
    <xf numFmtId="282" fontId="202" fillId="0" borderId="28" xfId="2765" applyNumberFormat="1" applyFont="1" applyBorder="1" applyAlignment="1">
      <alignment horizontal="right" vertical="center" shrinkToFit="1"/>
    </xf>
    <xf numFmtId="291" fontId="202" fillId="0" borderId="27" xfId="2765" applyNumberFormat="1" applyFont="1" applyBorder="1" applyAlignment="1">
      <alignment horizontal="right" vertical="center" shrinkToFit="1"/>
    </xf>
    <xf numFmtId="282" fontId="202" fillId="0" borderId="21" xfId="2765" applyNumberFormat="1" applyFont="1" applyBorder="1" applyAlignment="1">
      <alignment horizontal="right" vertical="center" shrinkToFit="1"/>
    </xf>
    <xf numFmtId="0" fontId="1" fillId="0" borderId="28" xfId="2765" applyBorder="1" applyAlignment="1">
      <alignment shrinkToFit="1"/>
    </xf>
    <xf numFmtId="291" fontId="202" fillId="0" borderId="21" xfId="2765" applyNumberFormat="1" applyFont="1" applyBorder="1" applyAlignment="1">
      <alignment horizontal="right" vertical="center" shrinkToFit="1"/>
    </xf>
    <xf numFmtId="282" fontId="202" fillId="0" borderId="45" xfId="2765" applyNumberFormat="1" applyFont="1" applyBorder="1" applyAlignment="1">
      <alignment horizontal="right" vertical="center" shrinkToFit="1"/>
    </xf>
    <xf numFmtId="0" fontId="1" fillId="0" borderId="0" xfId="2765" applyAlignment="1">
      <alignment horizontal="center" shrinkToFit="1"/>
    </xf>
    <xf numFmtId="49" fontId="202" fillId="0" borderId="0" xfId="2765" applyNumberFormat="1" applyFont="1" applyAlignment="1">
      <alignment horizontal="center" vertical="center" shrinkToFit="1"/>
    </xf>
    <xf numFmtId="49" fontId="211" fillId="0" borderId="17" xfId="2765" applyNumberFormat="1" applyFont="1" applyBorder="1" applyAlignment="1">
      <alignment horizontal="center" vertical="center" shrinkToFit="1"/>
    </xf>
    <xf numFmtId="49" fontId="211" fillId="0" borderId="17" xfId="2765" applyNumberFormat="1" applyFont="1" applyBorder="1" applyAlignment="1">
      <alignment horizontal="left" vertical="center" shrinkToFit="1"/>
    </xf>
    <xf numFmtId="0" fontId="1" fillId="0" borderId="30" xfId="2765" applyBorder="1" applyAlignment="1">
      <alignment shrinkToFit="1"/>
    </xf>
    <xf numFmtId="0" fontId="202" fillId="0" borderId="17" xfId="2765" applyFont="1" applyBorder="1" applyAlignment="1">
      <alignment horizontal="left" vertical="center" shrinkToFit="1"/>
    </xf>
    <xf numFmtId="292" fontId="202" fillId="0" borderId="17" xfId="2765" applyNumberFormat="1" applyFont="1" applyBorder="1" applyAlignment="1">
      <alignment horizontal="right" vertical="center" shrinkToFit="1"/>
    </xf>
    <xf numFmtId="293" fontId="202" fillId="0" borderId="0" xfId="2765" applyNumberFormat="1" applyFont="1" applyAlignment="1">
      <alignment horizontal="right" vertical="center" shrinkToFit="1"/>
    </xf>
    <xf numFmtId="292" fontId="202" fillId="0" borderId="0" xfId="2765" applyNumberFormat="1" applyFont="1" applyAlignment="1">
      <alignment horizontal="right" vertical="center" shrinkToFit="1"/>
    </xf>
    <xf numFmtId="282" fontId="202" fillId="0" borderId="0" xfId="2765" applyNumberFormat="1" applyFont="1" applyAlignment="1">
      <alignment horizontal="right" vertical="center" shrinkToFit="1"/>
    </xf>
    <xf numFmtId="0" fontId="202" fillId="0" borderId="0" xfId="2765" applyFont="1" applyAlignment="1">
      <alignment horizontal="left" vertical="center" shrinkToFit="1"/>
    </xf>
    <xf numFmtId="286" fontId="212" fillId="65" borderId="0" xfId="2765" applyNumberFormat="1" applyFont="1" applyFill="1" applyAlignment="1">
      <alignment horizontal="center" vertical="center" shrinkToFit="1"/>
    </xf>
    <xf numFmtId="0" fontId="202" fillId="0" borderId="0" xfId="2765" applyFont="1" applyAlignment="1">
      <alignment horizontal="center" vertical="center" shrinkToFit="1"/>
    </xf>
    <xf numFmtId="292" fontId="202" fillId="0" borderId="28" xfId="2765" applyNumberFormat="1" applyFont="1" applyBorder="1" applyAlignment="1">
      <alignment horizontal="right" vertical="center" shrinkToFit="1"/>
    </xf>
    <xf numFmtId="49" fontId="202" fillId="17" borderId="0" xfId="2765" applyNumberFormat="1" applyFont="1" applyFill="1" applyAlignment="1">
      <alignment horizontal="center" vertical="center" shrinkToFit="1"/>
    </xf>
    <xf numFmtId="285" fontId="212" fillId="65" borderId="0" xfId="2765" applyNumberFormat="1" applyFont="1" applyFill="1" applyAlignment="1">
      <alignment horizontal="center" vertical="center" shrinkToFit="1"/>
    </xf>
    <xf numFmtId="292" fontId="202" fillId="0" borderId="102" xfId="2765" applyNumberFormat="1" applyFont="1" applyBorder="1" applyAlignment="1">
      <alignment horizontal="right" vertical="center" shrinkToFit="1"/>
    </xf>
    <xf numFmtId="0" fontId="1" fillId="0" borderId="103" xfId="2765" applyBorder="1" applyAlignment="1">
      <alignment shrinkToFit="1"/>
    </xf>
    <xf numFmtId="286" fontId="202" fillId="0" borderId="0" xfId="2765" applyNumberFormat="1" applyFont="1" applyAlignment="1">
      <alignment horizontal="right" vertical="center" shrinkToFit="1"/>
    </xf>
    <xf numFmtId="294" fontId="202" fillId="0" borderId="10" xfId="2765" applyNumberFormat="1" applyFont="1" applyBorder="1" applyAlignment="1">
      <alignment horizontal="center" vertical="center" shrinkToFit="1"/>
    </xf>
    <xf numFmtId="0" fontId="1" fillId="0" borderId="29" xfId="2765" applyBorder="1" applyAlignment="1">
      <alignment shrinkToFit="1"/>
    </xf>
    <xf numFmtId="49" fontId="202" fillId="0" borderId="21" xfId="2765" applyNumberFormat="1" applyFont="1" applyBorder="1" applyAlignment="1">
      <alignment horizontal="left" vertical="center" shrinkToFit="1"/>
    </xf>
    <xf numFmtId="297" fontId="202" fillId="0" borderId="21" xfId="2765" applyNumberFormat="1" applyFont="1" applyBorder="1" applyAlignment="1">
      <alignment horizontal="right" vertical="center" shrinkToFit="1"/>
    </xf>
    <xf numFmtId="49" fontId="202" fillId="0" borderId="10" xfId="2765" applyNumberFormat="1" applyFont="1" applyBorder="1" applyAlignment="1">
      <alignment horizontal="left" vertical="center" shrinkToFit="1"/>
    </xf>
    <xf numFmtId="297" fontId="202" fillId="0" borderId="10" xfId="2765" applyNumberFormat="1" applyFont="1" applyBorder="1" applyAlignment="1">
      <alignment horizontal="right" vertical="center" shrinkToFit="1"/>
    </xf>
    <xf numFmtId="298" fontId="202" fillId="0" borderId="45" xfId="2765" applyNumberFormat="1" applyFont="1" applyBorder="1" applyAlignment="1">
      <alignment horizontal="right" vertical="center" shrinkToFit="1"/>
    </xf>
    <xf numFmtId="299" fontId="202" fillId="0" borderId="45" xfId="2765" applyNumberFormat="1" applyFont="1" applyBorder="1" applyAlignment="1">
      <alignment horizontal="right" vertical="center" shrinkToFit="1"/>
    </xf>
    <xf numFmtId="283" fontId="202" fillId="0" borderId="0" xfId="2765" applyNumberFormat="1" applyFont="1" applyAlignment="1">
      <alignment horizontal="center" vertical="center" shrinkToFit="1"/>
    </xf>
    <xf numFmtId="282" fontId="202" fillId="0" borderId="0" xfId="2765" applyNumberFormat="1" applyFont="1" applyAlignment="1">
      <alignment horizontal="center" vertical="center" shrinkToFit="1"/>
    </xf>
    <xf numFmtId="286" fontId="202" fillId="0" borderId="45" xfId="2765" applyNumberFormat="1" applyFont="1" applyBorder="1" applyAlignment="1">
      <alignment horizontal="right" vertical="center" shrinkToFit="1"/>
    </xf>
    <xf numFmtId="49" fontId="202" fillId="0" borderId="45" xfId="2765" applyNumberFormat="1" applyFont="1" applyBorder="1" applyAlignment="1">
      <alignment horizontal="left" vertical="center" shrinkToFit="1"/>
    </xf>
    <xf numFmtId="283" fontId="202" fillId="0" borderId="17" xfId="2765" applyNumberFormat="1" applyFont="1" applyBorder="1" applyAlignment="1">
      <alignment horizontal="right" vertical="center" shrinkToFit="1"/>
    </xf>
    <xf numFmtId="0" fontId="167" fillId="0" borderId="0" xfId="2742" applyFont="1" applyAlignment="1">
      <alignment horizontal="center"/>
    </xf>
    <xf numFmtId="0" fontId="153" fillId="0" borderId="0" xfId="2742" applyFont="1" applyAlignment="1">
      <alignment horizontal="center"/>
    </xf>
    <xf numFmtId="0" fontId="157" fillId="0" borderId="0" xfId="2742" applyFont="1" applyAlignment="1">
      <alignment horizontal="center"/>
    </xf>
    <xf numFmtId="0" fontId="157" fillId="0" borderId="0" xfId="2742" quotePrefix="1" applyFont="1" applyAlignment="1">
      <alignment horizontal="center"/>
    </xf>
    <xf numFmtId="0" fontId="154" fillId="0" borderId="0" xfId="2742" applyFont="1" applyAlignment="1">
      <alignment horizontal="center"/>
    </xf>
    <xf numFmtId="216" fontId="145" fillId="62" borderId="2" xfId="0" applyNumberFormat="1" applyFont="1" applyFill="1" applyBorder="1" applyAlignment="1">
      <alignment horizontal="right" vertical="center" shrinkToFit="1"/>
    </xf>
    <xf numFmtId="216" fontId="145" fillId="62" borderId="2" xfId="0" applyNumberFormat="1" applyFont="1" applyFill="1" applyBorder="1" applyAlignment="1">
      <alignment horizontal="center" vertical="center" shrinkToFit="1"/>
    </xf>
    <xf numFmtId="0" fontId="106" fillId="62" borderId="2" xfId="0" applyFont="1" applyFill="1" applyBorder="1" applyAlignment="1">
      <alignment horizontal="center" vertical="center"/>
    </xf>
    <xf numFmtId="10" fontId="106" fillId="62" borderId="2" xfId="2697" applyNumberFormat="1" applyFont="1" applyFill="1" applyBorder="1" applyAlignment="1">
      <alignment horizontal="left" vertical="center"/>
    </xf>
    <xf numFmtId="0" fontId="24" fillId="0" borderId="3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wrapText="1"/>
    </xf>
    <xf numFmtId="0" fontId="26" fillId="0" borderId="44" xfId="0" applyFont="1" applyBorder="1" applyAlignment="1">
      <alignment horizontal="center"/>
    </xf>
    <xf numFmtId="0" fontId="106" fillId="0" borderId="2" xfId="0" applyFont="1" applyBorder="1" applyAlignment="1">
      <alignment horizontal="center" vertical="center"/>
    </xf>
    <xf numFmtId="10" fontId="106" fillId="0" borderId="2" xfId="2697" applyNumberFormat="1" applyFont="1" applyBorder="1" applyAlignment="1">
      <alignment horizontal="left" vertical="center"/>
    </xf>
    <xf numFmtId="0" fontId="115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216" fontId="145" fillId="0" borderId="2" xfId="0" applyNumberFormat="1" applyFont="1" applyFill="1" applyBorder="1" applyAlignment="1">
      <alignment horizontal="right" vertical="center" shrinkToFit="1"/>
    </xf>
    <xf numFmtId="216" fontId="110" fillId="0" borderId="2" xfId="0" applyNumberFormat="1" applyFont="1" applyBorder="1" applyAlignment="1">
      <alignment horizontal="center" vertical="center" shrinkToFit="1"/>
    </xf>
    <xf numFmtId="0" fontId="24" fillId="0" borderId="2" xfId="0" applyFont="1" applyBorder="1" applyAlignment="1">
      <alignment vertical="center"/>
    </xf>
    <xf numFmtId="0" fontId="24" fillId="0" borderId="8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143" fillId="0" borderId="23" xfId="0" applyFont="1" applyBorder="1" applyAlignment="1">
      <alignment horizontal="center" vertical="center"/>
    </xf>
    <xf numFmtId="0" fontId="143" fillId="0" borderId="0" xfId="0" applyFont="1" applyBorder="1" applyAlignment="1">
      <alignment horizontal="center" vertical="center"/>
    </xf>
    <xf numFmtId="0" fontId="143" fillId="0" borderId="32" xfId="0" applyFont="1" applyBorder="1" applyAlignment="1">
      <alignment horizontal="center" vertical="center"/>
    </xf>
    <xf numFmtId="216" fontId="110" fillId="0" borderId="2" xfId="0" applyNumberFormat="1" applyFont="1" applyBorder="1" applyAlignment="1">
      <alignment horizontal="center" vertical="center" wrapText="1" shrinkToFit="1"/>
    </xf>
    <xf numFmtId="0" fontId="153" fillId="0" borderId="0" xfId="2737" applyFont="1" applyAlignment="1">
      <alignment horizontal="distributed" vertical="center"/>
    </xf>
    <xf numFmtId="0" fontId="157" fillId="0" borderId="0" xfId="2737" applyFont="1" applyAlignment="1">
      <alignment horizontal="distributed" vertical="center"/>
    </xf>
    <xf numFmtId="0" fontId="152" fillId="0" borderId="0" xfId="2737" applyFont="1" applyAlignment="1">
      <alignment horizontal="center"/>
    </xf>
    <xf numFmtId="0" fontId="159" fillId="0" borderId="0" xfId="2734" applyFont="1" applyAlignment="1">
      <alignment horizontal="center" vertical="center"/>
    </xf>
    <xf numFmtId="0" fontId="161" fillId="0" borderId="87" xfId="2734" applyFont="1" applyFill="1" applyBorder="1" applyAlignment="1">
      <alignment horizontal="left" vertical="center" wrapText="1" indent="1"/>
    </xf>
    <xf numFmtId="0" fontId="161" fillId="0" borderId="15" xfId="2734" applyFont="1" applyFill="1" applyBorder="1" applyAlignment="1">
      <alignment horizontal="left" vertical="center" indent="1"/>
    </xf>
    <xf numFmtId="0" fontId="161" fillId="0" borderId="72" xfId="2734" applyFont="1" applyFill="1" applyBorder="1" applyAlignment="1">
      <alignment horizontal="left" vertical="center" indent="1"/>
    </xf>
    <xf numFmtId="0" fontId="161" fillId="0" borderId="83" xfId="2734" applyFont="1" applyFill="1" applyBorder="1" applyAlignment="1">
      <alignment horizontal="left" vertical="center" indent="1"/>
    </xf>
    <xf numFmtId="0" fontId="161" fillId="0" borderId="21" xfId="2734" applyFont="1" applyFill="1" applyBorder="1" applyAlignment="1">
      <alignment horizontal="left" vertical="center" indent="1"/>
    </xf>
    <xf numFmtId="0" fontId="161" fillId="0" borderId="27" xfId="2734" applyFont="1" applyFill="1" applyBorder="1" applyAlignment="1">
      <alignment horizontal="left" vertical="center" indent="1"/>
    </xf>
    <xf numFmtId="0" fontId="161" fillId="0" borderId="82" xfId="2734" applyFont="1" applyFill="1" applyBorder="1" applyAlignment="1">
      <alignment horizontal="left" vertical="center" indent="1"/>
    </xf>
    <xf numFmtId="0" fontId="161" fillId="0" borderId="29" xfId="2734" applyFont="1" applyFill="1" applyBorder="1" applyAlignment="1">
      <alignment horizontal="left" vertical="center" indent="1"/>
    </xf>
    <xf numFmtId="0" fontId="161" fillId="0" borderId="44" xfId="2734" applyFont="1" applyFill="1" applyBorder="1" applyAlignment="1">
      <alignment horizontal="left" vertical="center" indent="1"/>
    </xf>
    <xf numFmtId="0" fontId="161" fillId="0" borderId="84" xfId="2734" applyFont="1" applyFill="1" applyBorder="1" applyAlignment="1">
      <alignment horizontal="left" vertical="center" indent="1"/>
    </xf>
    <xf numFmtId="0" fontId="161" fillId="0" borderId="12" xfId="2734" applyFont="1" applyFill="1" applyBorder="1" applyAlignment="1">
      <alignment horizontal="left" vertical="center" indent="1"/>
    </xf>
    <xf numFmtId="0" fontId="161" fillId="0" borderId="76" xfId="2734" applyFont="1" applyFill="1" applyBorder="1" applyAlignment="1">
      <alignment horizontal="left" vertical="center" indent="1"/>
    </xf>
    <xf numFmtId="0" fontId="161" fillId="0" borderId="49" xfId="2734" applyFont="1" applyFill="1" applyBorder="1" applyAlignment="1">
      <alignment horizontal="left" vertical="center" wrapText="1" indent="1"/>
    </xf>
    <xf numFmtId="0" fontId="161" fillId="0" borderId="0" xfId="2734" applyFont="1" applyFill="1" applyBorder="1" applyAlignment="1">
      <alignment horizontal="left" vertical="center" indent="1"/>
    </xf>
    <xf numFmtId="0" fontId="161" fillId="0" borderId="32" xfId="2734" applyFont="1" applyFill="1" applyBorder="1" applyAlignment="1">
      <alignment horizontal="left" vertical="center" indent="1"/>
    </xf>
    <xf numFmtId="0" fontId="35" fillId="0" borderId="85" xfId="2734" applyFont="1" applyFill="1" applyBorder="1" applyAlignment="1">
      <alignment horizontal="center" vertical="center"/>
    </xf>
    <xf numFmtId="0" fontId="35" fillId="0" borderId="86" xfId="2734" applyFont="1" applyFill="1" applyBorder="1" applyAlignment="1">
      <alignment horizontal="center" vertical="center"/>
    </xf>
    <xf numFmtId="0" fontId="35" fillId="0" borderId="42" xfId="2734" applyFont="1" applyFill="1" applyBorder="1" applyAlignment="1">
      <alignment horizontal="center" vertical="center"/>
    </xf>
    <xf numFmtId="0" fontId="35" fillId="0" borderId="41" xfId="2734" applyFont="1" applyFill="1" applyBorder="1" applyAlignment="1">
      <alignment horizontal="center" vertical="center"/>
    </xf>
    <xf numFmtId="0" fontId="0" fillId="0" borderId="42" xfId="2713" applyFont="1" applyFill="1" applyBorder="1" applyAlignment="1">
      <alignment horizontal="center" vertical="center"/>
    </xf>
    <xf numFmtId="0" fontId="0" fillId="0" borderId="41" xfId="2713" applyFont="1" applyFill="1" applyBorder="1" applyAlignment="1">
      <alignment horizontal="center" vertical="center"/>
    </xf>
    <xf numFmtId="0" fontId="199" fillId="63" borderId="0" xfId="2761" applyNumberFormat="1" applyFont="1" applyFill="1" applyAlignment="1">
      <alignment horizontal="left" vertical="center"/>
    </xf>
    <xf numFmtId="0" fontId="5" fillId="0" borderId="0" xfId="2761"/>
    <xf numFmtId="49" fontId="206" fillId="0" borderId="45" xfId="2765" applyNumberFormat="1" applyFont="1" applyBorder="1" applyAlignment="1">
      <alignment horizontal="distributed" vertical="center" indent="2" shrinkToFit="1"/>
    </xf>
    <xf numFmtId="0" fontId="1" fillId="0" borderId="21" xfId="2765" applyBorder="1" applyAlignment="1">
      <alignment horizontal="distributed" indent="2"/>
    </xf>
    <xf numFmtId="49" fontId="202" fillId="0" borderId="45" xfId="2765" applyNumberFormat="1" applyFont="1" applyBorder="1" applyAlignment="1">
      <alignment horizontal="distributed" vertical="center" indent="2" shrinkToFit="1"/>
    </xf>
    <xf numFmtId="49" fontId="202" fillId="0" borderId="17" xfId="2765" applyNumberFormat="1" applyFont="1" applyBorder="1" applyAlignment="1">
      <alignment horizontal="center" vertical="center" textRotation="255" shrinkToFit="1"/>
    </xf>
    <xf numFmtId="0" fontId="1" fillId="0" borderId="17" xfId="2765" applyBorder="1"/>
    <xf numFmtId="0" fontId="1" fillId="0" borderId="28" xfId="2765" applyBorder="1"/>
    <xf numFmtId="49" fontId="202" fillId="0" borderId="28" xfId="2765" applyNumberFormat="1" applyFont="1" applyBorder="1" applyAlignment="1">
      <alignment horizontal="distributed" vertical="center" indent="2" shrinkToFit="1"/>
    </xf>
    <xf numFmtId="0" fontId="1" fillId="0" borderId="28" xfId="2765" applyBorder="1" applyAlignment="1">
      <alignment horizontal="distributed" indent="2"/>
    </xf>
    <xf numFmtId="0" fontId="1" fillId="0" borderId="81" xfId="2765" applyBorder="1" applyAlignment="1">
      <alignment horizontal="distributed" indent="2"/>
    </xf>
    <xf numFmtId="49" fontId="203" fillId="0" borderId="0" xfId="2765" applyNumberFormat="1" applyFont="1" applyAlignment="1">
      <alignment horizontal="center" vertical="center" shrinkToFit="1"/>
    </xf>
    <xf numFmtId="0" fontId="1" fillId="0" borderId="0" xfId="2765"/>
    <xf numFmtId="49" fontId="202" fillId="0" borderId="30" xfId="2765" applyNumberFormat="1" applyFont="1" applyBorder="1" applyAlignment="1">
      <alignment horizontal="right" vertical="center" shrinkToFit="1"/>
    </xf>
    <xf numFmtId="0" fontId="1" fillId="0" borderId="30" xfId="2765" applyBorder="1"/>
    <xf numFmtId="49" fontId="202" fillId="0" borderId="2" xfId="2765" applyNumberFormat="1" applyFont="1" applyBorder="1" applyAlignment="1">
      <alignment horizontal="center" vertical="center" shrinkToFit="1"/>
    </xf>
    <xf numFmtId="0" fontId="1" fillId="0" borderId="2" xfId="2765" applyBorder="1"/>
    <xf numFmtId="49" fontId="202" fillId="0" borderId="28" xfId="2765" applyNumberFormat="1" applyFont="1" applyBorder="1" applyAlignment="1">
      <alignment horizontal="left" vertical="center" shrinkToFit="1"/>
    </xf>
    <xf numFmtId="49" fontId="202" fillId="0" borderId="21" xfId="2765" applyNumberFormat="1" applyFont="1" applyBorder="1" applyAlignment="1">
      <alignment horizontal="left" vertical="center" shrinkToFit="1"/>
    </xf>
    <xf numFmtId="0" fontId="1" fillId="0" borderId="21" xfId="2765" applyBorder="1"/>
    <xf numFmtId="0" fontId="1" fillId="0" borderId="27" xfId="2765" applyBorder="1"/>
    <xf numFmtId="282" fontId="202" fillId="0" borderId="21" xfId="2765" applyNumberFormat="1" applyFont="1" applyBorder="1" applyAlignment="1">
      <alignment horizontal="left" vertical="center" shrinkToFit="1"/>
    </xf>
    <xf numFmtId="49" fontId="207" fillId="64" borderId="0" xfId="2765" applyNumberFormat="1" applyFont="1" applyFill="1" applyAlignment="1">
      <alignment horizontal="center" vertical="center" shrinkToFit="1"/>
    </xf>
    <xf numFmtId="49" fontId="202" fillId="0" borderId="45" xfId="2765" applyNumberFormat="1" applyFont="1" applyBorder="1" applyAlignment="1">
      <alignment horizontal="left" vertical="center" shrinkToFit="1"/>
    </xf>
    <xf numFmtId="49" fontId="202" fillId="0" borderId="45" xfId="2765" applyNumberFormat="1" applyFont="1" applyBorder="1" applyAlignment="1">
      <alignment horizontal="left" vertical="center"/>
    </xf>
    <xf numFmtId="49" fontId="206" fillId="0" borderId="45" xfId="2765" applyNumberFormat="1" applyFont="1" applyBorder="1" applyAlignment="1">
      <alignment horizontal="left" vertical="center" shrinkToFit="1"/>
    </xf>
    <xf numFmtId="49" fontId="206" fillId="0" borderId="28" xfId="2765" applyNumberFormat="1" applyFont="1" applyBorder="1" applyAlignment="1">
      <alignment horizontal="left" vertical="center"/>
    </xf>
    <xf numFmtId="49" fontId="202" fillId="0" borderId="81" xfId="2765" applyNumberFormat="1" applyFont="1" applyBorder="1" applyAlignment="1">
      <alignment horizontal="center" vertical="center" shrinkToFit="1"/>
    </xf>
    <xf numFmtId="0" fontId="1" fillId="0" borderId="81" xfId="2765" applyBorder="1"/>
    <xf numFmtId="283" fontId="202" fillId="0" borderId="17" xfId="2765" applyNumberFormat="1" applyFont="1" applyBorder="1" applyAlignment="1">
      <alignment horizontal="right" vertical="center" shrinkToFit="1"/>
    </xf>
    <xf numFmtId="49" fontId="202" fillId="0" borderId="45" xfId="2765" applyNumberFormat="1" applyFont="1" applyBorder="1" applyAlignment="1">
      <alignment horizontal="center" vertical="center" shrinkToFit="1"/>
    </xf>
    <xf numFmtId="0" fontId="1" fillId="0" borderId="0" xfId="2765" applyAlignment="1">
      <alignment horizontal="center"/>
    </xf>
    <xf numFmtId="49" fontId="202" fillId="0" borderId="21" xfId="2765" applyNumberFormat="1" applyFont="1" applyBorder="1" applyAlignment="1">
      <alignment horizontal="center" vertical="center" shrinkToFit="1"/>
    </xf>
    <xf numFmtId="49" fontId="202" fillId="0" borderId="10" xfId="2765" applyNumberFormat="1" applyFont="1" applyBorder="1" applyAlignment="1">
      <alignment horizontal="center" vertical="center" shrinkToFit="1"/>
    </xf>
    <xf numFmtId="0" fontId="1" fillId="0" borderId="10" xfId="2765" applyBorder="1"/>
    <xf numFmtId="49" fontId="192" fillId="0" borderId="0" xfId="2765" applyNumberFormat="1" applyFont="1" applyAlignment="1">
      <alignment horizontal="left" vertical="center" shrinkToFit="1"/>
    </xf>
    <xf numFmtId="295" fontId="202" fillId="0" borderId="10" xfId="2765" applyNumberFormat="1" applyFont="1" applyBorder="1" applyAlignment="1">
      <alignment horizontal="center" vertical="center" shrinkToFit="1"/>
    </xf>
    <xf numFmtId="296" fontId="202" fillId="0" borderId="10" xfId="2765" applyNumberFormat="1" applyFont="1" applyBorder="1" applyAlignment="1">
      <alignment horizontal="center" vertical="center" shrinkToFit="1"/>
    </xf>
    <xf numFmtId="49" fontId="202" fillId="0" borderId="0" xfId="2765" applyNumberFormat="1" applyFont="1" applyAlignment="1">
      <alignment horizontal="center" vertical="center" shrinkToFit="1"/>
    </xf>
  </cellXfs>
  <cellStyles count="2766">
    <cellStyle name="&quot;" xfId="1" xr:uid="{00000000-0005-0000-0000-000000000000}"/>
    <cellStyle name="#,##0" xfId="2" xr:uid="{00000000-0005-0000-0000-000001000000}"/>
    <cellStyle name="(##.00)" xfId="3" xr:uid="{00000000-0005-0000-0000-000002000000}"/>
    <cellStyle name="(△콤마)" xfId="4" xr:uid="{00000000-0005-0000-0000-000003000000}"/>
    <cellStyle name="(백분율)" xfId="5" xr:uid="{00000000-0005-0000-0000-000004000000}"/>
    <cellStyle name="(콤마)" xfId="6" xr:uid="{00000000-0005-0000-0000-000005000000}"/>
    <cellStyle name=";;;" xfId="7" xr:uid="{00000000-0005-0000-0000-000006000000}"/>
    <cellStyle name="?? [0]_m.7.2" xfId="8" xr:uid="{00000000-0005-0000-0000-000007000000}"/>
    <cellStyle name="??&amp;O?&amp;H?_x0008__x000f__x0007_?_x0007__x0001__x0001_" xfId="9" xr:uid="{00000000-0005-0000-0000-000008000000}"/>
    <cellStyle name="??&amp;O?&amp;H?_x0008_??_x0007__x0001__x0001_" xfId="10" xr:uid="{00000000-0005-0000-0000-000009000000}"/>
    <cellStyle name="???­ [0]_INQUIRY ¿?¾÷?ß?ø " xfId="11" xr:uid="{00000000-0005-0000-0000-00000A000000}"/>
    <cellStyle name="???­_INQUIRY ¿?¾÷?ß?ø " xfId="12" xr:uid="{00000000-0005-0000-0000-00000B000000}"/>
    <cellStyle name="???Ø_??°???(2¿?) " xfId="13" xr:uid="{00000000-0005-0000-0000-00000C000000}"/>
    <cellStyle name="??_m.7.2.7.3" xfId="14" xr:uid="{00000000-0005-0000-0000-00000D000000}"/>
    <cellStyle name="?Þ¸¶ [0]_INQUIRY ¿?¾÷?ß?ø " xfId="15" xr:uid="{00000000-0005-0000-0000-00000E000000}"/>
    <cellStyle name="?Þ¸¶_INQUIRY ¿?¾÷?ß?ø " xfId="16" xr:uid="{00000000-0005-0000-0000-00000F000000}"/>
    <cellStyle name="?W?_laroux" xfId="17" xr:uid="{00000000-0005-0000-0000-000010000000}"/>
    <cellStyle name="_00.시공변경2차(토목)" xfId="18" xr:uid="{00000000-0005-0000-0000-000011000000}"/>
    <cellStyle name="_01토공" xfId="19" xr:uid="{00000000-0005-0000-0000-000012000000}"/>
    <cellStyle name="_01토공_Book1" xfId="20" xr:uid="{00000000-0005-0000-0000-000013000000}"/>
    <cellStyle name="_01토공_Book1_수량산출서양식" xfId="21" xr:uid="{00000000-0005-0000-0000-000014000000}"/>
    <cellStyle name="_01토공_Book1_주암수량산출(1차)" xfId="22" xr:uid="{00000000-0005-0000-0000-000015000000}"/>
    <cellStyle name="_01토공_Book1_주암수량산출서" xfId="23" xr:uid="{00000000-0005-0000-0000-000016000000}"/>
    <cellStyle name="_01토공_라멘교 토공" xfId="24" xr:uid="{00000000-0005-0000-0000-000017000000}"/>
    <cellStyle name="_01토공_라멘교 토공_Book1" xfId="25" xr:uid="{00000000-0005-0000-0000-000018000000}"/>
    <cellStyle name="_01토공_라멘교 토공_Book1_수량산출서양식" xfId="26" xr:uid="{00000000-0005-0000-0000-000019000000}"/>
    <cellStyle name="_01토공_라멘교 토공_Book1_주암수량산출(1차)" xfId="27" xr:uid="{00000000-0005-0000-0000-00001A000000}"/>
    <cellStyle name="_01토공_라멘교 토공_Book1_주암수량산출서" xfId="28" xr:uid="{00000000-0005-0000-0000-00001B000000}"/>
    <cellStyle name="_01토공_철거" xfId="29" xr:uid="{00000000-0005-0000-0000-00001C000000}"/>
    <cellStyle name="_01토공_철거_Book1" xfId="30" xr:uid="{00000000-0005-0000-0000-00001D000000}"/>
    <cellStyle name="_01토공_철거_Book1_수량산출서양식" xfId="31" xr:uid="{00000000-0005-0000-0000-00001E000000}"/>
    <cellStyle name="_01토공_철거_Book1_주암수량산출(1차)" xfId="32" xr:uid="{00000000-0005-0000-0000-00001F000000}"/>
    <cellStyle name="_01토공_철거_Book1_주암수량산출서" xfId="33" xr:uid="{00000000-0005-0000-0000-000020000000}"/>
    <cellStyle name="_01토공_철거_라멘교 토공" xfId="34" xr:uid="{00000000-0005-0000-0000-000021000000}"/>
    <cellStyle name="_01토공_철거_라멘교 토공_Book1" xfId="35" xr:uid="{00000000-0005-0000-0000-000022000000}"/>
    <cellStyle name="_01토공_철거_라멘교 토공_Book1_수량산출서양식" xfId="36" xr:uid="{00000000-0005-0000-0000-000023000000}"/>
    <cellStyle name="_01토공_철거_라멘교 토공_Book1_주암수량산출(1차)" xfId="37" xr:uid="{00000000-0005-0000-0000-000024000000}"/>
    <cellStyle name="_01토공_철거_라멘교 토공_Book1_주암수량산출서" xfId="38" xr:uid="{00000000-0005-0000-0000-000025000000}"/>
    <cellStyle name="_03.톤백" xfId="39" xr:uid="{00000000-0005-0000-0000-000026000000}"/>
    <cellStyle name="_04.도로포장 공사비" xfId="40" xr:uid="{00000000-0005-0000-0000-000027000000}"/>
    <cellStyle name="_0518  해외전기(4월말 손익 분석)" xfId="41" xr:uid="{00000000-0005-0000-0000-000028000000}"/>
    <cellStyle name="_05년 상반기 공종단가" xfId="42" xr:uid="{00000000-0005-0000-0000-000029000000}"/>
    <cellStyle name="_0718 손익계산서 - 해외전기" xfId="43" xr:uid="{00000000-0005-0000-0000-00002A000000}"/>
    <cellStyle name="_1020 확대간부 회의 Highlight현황(9월분 총괄)" xfId="44" xr:uid="{00000000-0005-0000-0000-00002B000000}"/>
    <cellStyle name="_110" xfId="45" xr:uid="{00000000-0005-0000-0000-00002C000000}"/>
    <cellStyle name="_1117 확대간부회의자료(총괄)" xfId="46" xr:uid="{00000000-0005-0000-0000-00002D000000}"/>
    <cellStyle name="_1222 중점관리  3개현장" xfId="47" xr:uid="{00000000-0005-0000-0000-00002E000000}"/>
    <cellStyle name="_145호 세월교 교량공사" xfId="48" xr:uid="{00000000-0005-0000-0000-00002F000000}"/>
    <cellStyle name="_154kV 신포상부내역서(설계변경)" xfId="49" xr:uid="{00000000-0005-0000-0000-000030000000}"/>
    <cellStyle name="_154kV신포원설계서" xfId="50" xr:uid="{00000000-0005-0000-0000-000031000000}"/>
    <cellStyle name="_154kV포항설계변경3" xfId="51" xr:uid="{00000000-0005-0000-0000-000032000000}"/>
    <cellStyle name="_154남사분기건설공사(수정분)" xfId="52" xr:uid="{00000000-0005-0000-0000-000033000000}"/>
    <cellStyle name="_154남사분기건설공사(채)" xfId="53" xr:uid="{00000000-0005-0000-0000-000034000000}"/>
    <cellStyle name="_1차 설계변경내역서(토목분)" xfId="54" xr:uid="{00000000-0005-0000-0000-000035000000}"/>
    <cellStyle name="_1차 인입내역서" xfId="55" xr:uid="{00000000-0005-0000-0000-000036000000}"/>
    <cellStyle name="_1회설계변경(북전주)" xfId="56" xr:uid="{00000000-0005-0000-0000-000037000000}"/>
    <cellStyle name="_1회설변(최종분2)-토사복토자료" xfId="57" xr:uid="{00000000-0005-0000-0000-000038000000}"/>
    <cellStyle name="_2002년5월말 손익(2002.6.12)" xfId="58" xr:uid="{00000000-0005-0000-0000-000039000000}"/>
    <cellStyle name="_2002년6월말손익(2002.7.18)" xfId="59" xr:uid="{00000000-0005-0000-0000-00003A000000}"/>
    <cellStyle name="_2-4.상반기실적부문별요약" xfId="60" xr:uid="{00000000-0005-0000-0000-00003B000000}"/>
    <cellStyle name="_2-4.상반기실적부문별요약(표지및목차포함)" xfId="61" xr:uid="{00000000-0005-0000-0000-00003C000000}"/>
    <cellStyle name="_2-4.상반기실적부문별요약(표지및목차포함)_1" xfId="62" xr:uid="{00000000-0005-0000-0000-00003D000000}"/>
    <cellStyle name="_2-4.상반기실적부문별요약_1" xfId="63" xr:uid="{00000000-0005-0000-0000-00003E000000}"/>
    <cellStyle name="_2-설계내역서-0316" xfId="64" xr:uid="{00000000-0005-0000-0000-00003F000000}"/>
    <cellStyle name="_2-제출 - 기흥구갈3지구근린공원_바닥분수_설계내역폼(설비)-2004년12월_end" xfId="65" xr:uid="{00000000-0005-0000-0000-000040000000}"/>
    <cellStyle name="_2차준공내역" xfId="66" xr:uid="{00000000-0005-0000-0000-000041000000}"/>
    <cellStyle name="_4월말 손익(2002.5.15)" xfId="67" xr:uid="{00000000-0005-0000-0000-000042000000}"/>
    <cellStyle name="_5옹벽공" xfId="68" xr:uid="{00000000-0005-0000-0000-000043000000}"/>
    <cellStyle name="_5옹벽공_(준공)평택수량0727" xfId="69" xr:uid="{00000000-0005-0000-0000-000044000000}"/>
    <cellStyle name="_5옹벽공_평택수량0727" xfId="70" xr:uid="{00000000-0005-0000-0000-000045000000}"/>
    <cellStyle name="_91울진3공구내역(0.75)" xfId="71" xr:uid="{00000000-0005-0000-0000-000046000000}"/>
    <cellStyle name="_'99상반기경영개선활동결과(게시용)" xfId="72" xr:uid="{00000000-0005-0000-0000-000047000000}"/>
    <cellStyle name="_AR3041 허리돌리기" xfId="73" xr:uid="{00000000-0005-0000-0000-000048000000}"/>
    <cellStyle name="_Book1" xfId="74" xr:uid="{00000000-0005-0000-0000-000049000000}"/>
    <cellStyle name="_Book2" xfId="75" xr:uid="{00000000-0005-0000-0000-00004A000000}"/>
    <cellStyle name="_Book2_(준공)평택수량0727" xfId="76" xr:uid="{00000000-0005-0000-0000-00004B000000}"/>
    <cellStyle name="_Book2_평택수량0727" xfId="77" xr:uid="{00000000-0005-0000-0000-00004C000000}"/>
    <cellStyle name="_Book8" xfId="78" xr:uid="{00000000-0005-0000-0000-00004D000000}"/>
    <cellStyle name="_RE" xfId="79" xr:uid="{00000000-0005-0000-0000-00004E000000}"/>
    <cellStyle name="_SEBJ 공사현황(A4)" xfId="80" xr:uid="{00000000-0005-0000-0000-00004F000000}"/>
    <cellStyle name="_가선자재 재료조서" xfId="81" xr:uid="{00000000-0005-0000-0000-000050000000}"/>
    <cellStyle name="_가양-화곡내역(일위대가)" xfId="82" xr:uid="{00000000-0005-0000-0000-000051000000}"/>
    <cellStyle name="_가양-화곡내역(일위대가)_(준공)평택수량0727" xfId="83" xr:uid="{00000000-0005-0000-0000-000052000000}"/>
    <cellStyle name="_가양-화곡내역(일위대가)_5옹벽공" xfId="84" xr:uid="{00000000-0005-0000-0000-000053000000}"/>
    <cellStyle name="_가양-화곡내역(일위대가)_5옹벽공_(준공)평택수량0727" xfId="85" xr:uid="{00000000-0005-0000-0000-000054000000}"/>
    <cellStyle name="_가양-화곡내역(일위대가)_5옹벽공_평택수량0727" xfId="86" xr:uid="{00000000-0005-0000-0000-000055000000}"/>
    <cellStyle name="_가양-화곡내역(일위대가)_가양-화곡내역(토형100M)" xfId="87" xr:uid="{00000000-0005-0000-0000-000056000000}"/>
    <cellStyle name="_가양-화곡내역(일위대가)_가양-화곡내역(토형100M)_(준공)평택수량0727" xfId="88" xr:uid="{00000000-0005-0000-0000-000057000000}"/>
    <cellStyle name="_가양-화곡내역(일위대가)_가양-화곡내역(토형100M)_5옹벽공" xfId="89" xr:uid="{00000000-0005-0000-0000-000058000000}"/>
    <cellStyle name="_가양-화곡내역(일위대가)_가양-화곡내역(토형100M)_5옹벽공_(준공)평택수량0727" xfId="90" xr:uid="{00000000-0005-0000-0000-000059000000}"/>
    <cellStyle name="_가양-화곡내역(일위대가)_가양-화곡내역(토형100M)_5옹벽공_평택수량0727" xfId="91" xr:uid="{00000000-0005-0000-0000-00005A000000}"/>
    <cellStyle name="_가양-화곡내역(일위대가)_가양-화곡내역(토형100M)_수량산출" xfId="92" xr:uid="{00000000-0005-0000-0000-00005B000000}"/>
    <cellStyle name="_가양-화곡내역(일위대가)_가양-화곡내역(토형100M)_수량산출_(준공)평택수량0727" xfId="93" xr:uid="{00000000-0005-0000-0000-00005C000000}"/>
    <cellStyle name="_가양-화곡내역(일위대가)_가양-화곡내역(토형100M)_수량산출_5옹벽공" xfId="94" xr:uid="{00000000-0005-0000-0000-00005D000000}"/>
    <cellStyle name="_가양-화곡내역(일위대가)_가양-화곡내역(토형100M)_수량산출_5옹벽공_(준공)평택수량0727" xfId="95" xr:uid="{00000000-0005-0000-0000-00005E000000}"/>
    <cellStyle name="_가양-화곡내역(일위대가)_가양-화곡내역(토형100M)_수량산출_5옹벽공_평택수량0727" xfId="96" xr:uid="{00000000-0005-0000-0000-00005F000000}"/>
    <cellStyle name="_가양-화곡내역(일위대가)_가양-화곡내역(토형100M)_수량산출_옹벽공" xfId="97" xr:uid="{00000000-0005-0000-0000-000060000000}"/>
    <cellStyle name="_가양-화곡내역(일위대가)_가양-화곡내역(토형100M)_수량산출_옹벽공_(준공)평택수량0727" xfId="98" xr:uid="{00000000-0005-0000-0000-000061000000}"/>
    <cellStyle name="_가양-화곡내역(일위대가)_가양-화곡내역(토형100M)_수량산출_옹벽공_평택수량0727" xfId="99" xr:uid="{00000000-0005-0000-0000-000062000000}"/>
    <cellStyle name="_가양-화곡내역(일위대가)_가양-화곡내역(토형100M)_수량산출_옹벽수량" xfId="100" xr:uid="{00000000-0005-0000-0000-000063000000}"/>
    <cellStyle name="_가양-화곡내역(일위대가)_가양-화곡내역(토형100M)_수량산출_옹벽수량_(준공)평택수량0727" xfId="101" xr:uid="{00000000-0005-0000-0000-000064000000}"/>
    <cellStyle name="_가양-화곡내역(일위대가)_가양-화곡내역(토형100M)_수량산출_옹벽수량_평택수량0727" xfId="102" xr:uid="{00000000-0005-0000-0000-000065000000}"/>
    <cellStyle name="_가양-화곡내역(일위대가)_가양-화곡내역(토형100M)_수량산출_평택수량0727" xfId="103" xr:uid="{00000000-0005-0000-0000-000066000000}"/>
    <cellStyle name="_가양-화곡내역(일위대가)_가양-화곡내역(토형100M)_옹벽공" xfId="104" xr:uid="{00000000-0005-0000-0000-000067000000}"/>
    <cellStyle name="_가양-화곡내역(일위대가)_가양-화곡내역(토형100M)_옹벽공_(준공)평택수량0727" xfId="105" xr:uid="{00000000-0005-0000-0000-000068000000}"/>
    <cellStyle name="_가양-화곡내역(일위대가)_가양-화곡내역(토형100M)_옹벽공_평택수량0727" xfId="106" xr:uid="{00000000-0005-0000-0000-000069000000}"/>
    <cellStyle name="_가양-화곡내역(일위대가)_가양-화곡내역(토형100M)_옹벽수량" xfId="107" xr:uid="{00000000-0005-0000-0000-00006A000000}"/>
    <cellStyle name="_가양-화곡내역(일위대가)_가양-화곡내역(토형100M)_옹벽수량_(준공)평택수량0727" xfId="108" xr:uid="{00000000-0005-0000-0000-00006B000000}"/>
    <cellStyle name="_가양-화곡내역(일위대가)_가양-화곡내역(토형100M)_옹벽수량_평택수량0727" xfId="109" xr:uid="{00000000-0005-0000-0000-00006C000000}"/>
    <cellStyle name="_가양-화곡내역(일위대가)_가양-화곡내역(토형100M)_평택수량0727" xfId="110" xr:uid="{00000000-0005-0000-0000-00006D000000}"/>
    <cellStyle name="_가양-화곡내역(일위대가)_옹벽공" xfId="111" xr:uid="{00000000-0005-0000-0000-00006E000000}"/>
    <cellStyle name="_가양-화곡내역(일위대가)_옹벽공_(준공)평택수량0727" xfId="112" xr:uid="{00000000-0005-0000-0000-00006F000000}"/>
    <cellStyle name="_가양-화곡내역(일위대가)_옹벽공_평택수량0727" xfId="113" xr:uid="{00000000-0005-0000-0000-000070000000}"/>
    <cellStyle name="_가양-화곡내역(일위대가)_옹벽수량" xfId="114" xr:uid="{00000000-0005-0000-0000-000071000000}"/>
    <cellStyle name="_가양-화곡내역(일위대가)_옹벽수량_(준공)평택수량0727" xfId="115" xr:uid="{00000000-0005-0000-0000-000072000000}"/>
    <cellStyle name="_가양-화곡내역(일위대가)_옹벽수량_평택수량0727" xfId="116" xr:uid="{00000000-0005-0000-0000-000073000000}"/>
    <cellStyle name="_가양-화곡내역(일위대가)_평택수량0727" xfId="117" xr:uid="{00000000-0005-0000-0000-000074000000}"/>
    <cellStyle name="_가양-화곡내역(토형100M)" xfId="118" xr:uid="{00000000-0005-0000-0000-000075000000}"/>
    <cellStyle name="_가양-화곡내역(토형100M)_(준공)평택수량0727" xfId="119" xr:uid="{00000000-0005-0000-0000-000076000000}"/>
    <cellStyle name="_가양-화곡내역(토형100M)_5옹벽공" xfId="120" xr:uid="{00000000-0005-0000-0000-000077000000}"/>
    <cellStyle name="_가양-화곡내역(토형100M)_5옹벽공_(준공)평택수량0727" xfId="121" xr:uid="{00000000-0005-0000-0000-000078000000}"/>
    <cellStyle name="_가양-화곡내역(토형100M)_5옹벽공_평택수량0727" xfId="122" xr:uid="{00000000-0005-0000-0000-000079000000}"/>
    <cellStyle name="_가양-화곡내역(토형100M)_수량산출" xfId="123" xr:uid="{00000000-0005-0000-0000-00007A000000}"/>
    <cellStyle name="_가양-화곡내역(토형100M)_수량산출_(준공)평택수량0727" xfId="124" xr:uid="{00000000-0005-0000-0000-00007B000000}"/>
    <cellStyle name="_가양-화곡내역(토형100M)_수량산출_5옹벽공" xfId="125" xr:uid="{00000000-0005-0000-0000-00007C000000}"/>
    <cellStyle name="_가양-화곡내역(토형100M)_수량산출_5옹벽공_(준공)평택수량0727" xfId="126" xr:uid="{00000000-0005-0000-0000-00007D000000}"/>
    <cellStyle name="_가양-화곡내역(토형100M)_수량산출_5옹벽공_평택수량0727" xfId="127" xr:uid="{00000000-0005-0000-0000-00007E000000}"/>
    <cellStyle name="_가양-화곡내역(토형100M)_수량산출_옹벽공" xfId="128" xr:uid="{00000000-0005-0000-0000-00007F000000}"/>
    <cellStyle name="_가양-화곡내역(토형100M)_수량산출_옹벽공_(준공)평택수량0727" xfId="129" xr:uid="{00000000-0005-0000-0000-000080000000}"/>
    <cellStyle name="_가양-화곡내역(토형100M)_수량산출_옹벽공_평택수량0727" xfId="130" xr:uid="{00000000-0005-0000-0000-000081000000}"/>
    <cellStyle name="_가양-화곡내역(토형100M)_수량산출_옹벽수량" xfId="131" xr:uid="{00000000-0005-0000-0000-000082000000}"/>
    <cellStyle name="_가양-화곡내역(토형100M)_수량산출_옹벽수량_(준공)평택수량0727" xfId="132" xr:uid="{00000000-0005-0000-0000-000083000000}"/>
    <cellStyle name="_가양-화곡내역(토형100M)_수량산출_옹벽수량_평택수량0727" xfId="133" xr:uid="{00000000-0005-0000-0000-000084000000}"/>
    <cellStyle name="_가양-화곡내역(토형100M)_수량산출_평택수량0727" xfId="134" xr:uid="{00000000-0005-0000-0000-000085000000}"/>
    <cellStyle name="_가양-화곡내역(토형100M)_옹벽공" xfId="135" xr:uid="{00000000-0005-0000-0000-000086000000}"/>
    <cellStyle name="_가양-화곡내역(토형100M)_옹벽공_(준공)평택수량0727" xfId="136" xr:uid="{00000000-0005-0000-0000-000087000000}"/>
    <cellStyle name="_가양-화곡내역(토형100M)_옹벽공_평택수량0727" xfId="137" xr:uid="{00000000-0005-0000-0000-000088000000}"/>
    <cellStyle name="_가양-화곡내역(토형100M)_옹벽수량" xfId="138" xr:uid="{00000000-0005-0000-0000-000089000000}"/>
    <cellStyle name="_가양-화곡내역(토형100M)_옹벽수량_(준공)평택수량0727" xfId="139" xr:uid="{00000000-0005-0000-0000-00008A000000}"/>
    <cellStyle name="_가양-화곡내역(토형100M)_옹벽수량_평택수량0727" xfId="140" xr:uid="{00000000-0005-0000-0000-00008B000000}"/>
    <cellStyle name="_가양-화곡내역(토형100M)_평택수량0727" xfId="141" xr:uid="{00000000-0005-0000-0000-00008C000000}"/>
    <cellStyle name="_간지" xfId="142" xr:uid="{00000000-0005-0000-0000-00008D000000}"/>
    <cellStyle name="_갑지(0127)" xfId="143" xr:uid="{00000000-0005-0000-0000-00008E000000}"/>
    <cellStyle name="_경영개선활동상반기실적(990708)" xfId="144" xr:uid="{00000000-0005-0000-0000-00008F000000}"/>
    <cellStyle name="_경영개선활동상반기실적(990708)_1" xfId="145" xr:uid="{00000000-0005-0000-0000-000090000000}"/>
    <cellStyle name="_경영개선활동상반기실적(990708)_2" xfId="146" xr:uid="{00000000-0005-0000-0000-000091000000}"/>
    <cellStyle name="_경영개선활성화방안(990802)" xfId="147" xr:uid="{00000000-0005-0000-0000-000092000000}"/>
    <cellStyle name="_경영개선활성화방안(990802)_1" xfId="148" xr:uid="{00000000-0005-0000-0000-000093000000}"/>
    <cellStyle name="_골재포설,포장(우기)" xfId="149" xr:uid="{00000000-0005-0000-0000-000094000000}"/>
    <cellStyle name="_공내역서" xfId="150" xr:uid="{00000000-0005-0000-0000-000095000000}"/>
    <cellStyle name="_공사현황-20020913" xfId="151" xr:uid="{00000000-0005-0000-0000-000096000000}"/>
    <cellStyle name="_공양식(레인보우스케이프)" xfId="152" xr:uid="{00000000-0005-0000-0000-000097000000}"/>
    <cellStyle name="_관공서용공양식(레인보우스케이프)ISO14001" xfId="153" xr:uid="{00000000-0005-0000-0000-000098000000}"/>
    <cellStyle name="_관급-(수배전반)" xfId="154" xr:uid="{00000000-0005-0000-0000-000099000000}"/>
    <cellStyle name="_관청제출용 아차산설변자료1216" xfId="155" xr:uid="{00000000-0005-0000-0000-00009A000000}"/>
    <cellStyle name="_구내도로포장계획" xfId="156" xr:uid="{00000000-0005-0000-0000-00009B000000}"/>
    <cellStyle name="_구조물도면" xfId="157" xr:uid="{00000000-0005-0000-0000-00009C000000}"/>
    <cellStyle name="_국도23호선영암연소지구내역서" xfId="158" xr:uid="{00000000-0005-0000-0000-00009D000000}"/>
    <cellStyle name="_국도38호선통리지구내역서" xfId="159" xr:uid="{00000000-0005-0000-0000-00009E000000}"/>
    <cellStyle name="_국도42호선여량지구오르막차로" xfId="160" xr:uid="{00000000-0005-0000-0000-00009F000000}"/>
    <cellStyle name="_국수교수량" xfId="161" xr:uid="{00000000-0005-0000-0000-0000A0000000}"/>
    <cellStyle name="_국수교수량_우수수량-1" xfId="162" xr:uid="{00000000-0005-0000-0000-0000A1000000}"/>
    <cellStyle name="_국수교수량_우수수량-1_토적수정  (8.13)" xfId="163" xr:uid="{00000000-0005-0000-0000-0000A2000000}"/>
    <cellStyle name="_국수교수량_우수수량-1_토적수정  (8.24)" xfId="164" xr:uid="{00000000-0005-0000-0000-0000A3000000}"/>
    <cellStyle name="_국수교수량_차집관로수량(수정811)" xfId="165" xr:uid="{00000000-0005-0000-0000-0000A4000000}"/>
    <cellStyle name="_국수교수량_차집관로수량(수정811)_토적수정  (8.13)" xfId="166" xr:uid="{00000000-0005-0000-0000-0000A5000000}"/>
    <cellStyle name="_국수교수량_차집관로수량(수정811)_토적수정  (8.24)" xfId="167" xr:uid="{00000000-0005-0000-0000-0000A6000000}"/>
    <cellStyle name="_국수교수량_포장수량-2" xfId="168" xr:uid="{00000000-0005-0000-0000-0000A7000000}"/>
    <cellStyle name="_국수교수량_포장수량-2_토적수정  (8.13)" xfId="169" xr:uid="{00000000-0005-0000-0000-0000A8000000}"/>
    <cellStyle name="_국수교수량_포장수량-2_토적수정  (8.24)" xfId="170" xr:uid="{00000000-0005-0000-0000-0000A9000000}"/>
    <cellStyle name="_금천청소년수련관(토목林)" xfId="171" xr:uid="{00000000-0005-0000-0000-0000AA000000}"/>
    <cellStyle name="_금토동놀이터-내역서" xfId="172" xr:uid="{00000000-0005-0000-0000-0000AB000000}"/>
    <cellStyle name="_급경사지 마대쌓기" xfId="173" xr:uid="{00000000-0005-0000-0000-0000AC000000}"/>
    <cellStyle name="_기성" xfId="174" xr:uid="{00000000-0005-0000-0000-0000AD000000}"/>
    <cellStyle name="_기초설계변경" xfId="175" xr:uid="{00000000-0005-0000-0000-0000AE000000}"/>
    <cellStyle name="_기초자료" xfId="176" xr:uid="{00000000-0005-0000-0000-0000AF000000}"/>
    <cellStyle name="_기타공사" xfId="177" xr:uid="{00000000-0005-0000-0000-0000B0000000}"/>
    <cellStyle name="_내역서" xfId="178" xr:uid="{00000000-0005-0000-0000-0000B1000000}"/>
    <cellStyle name="_내역서(0823)" xfId="179" xr:uid="{00000000-0005-0000-0000-0000B2000000}"/>
    <cellStyle name="_내역서(숭실대)" xfId="180" xr:uid="{00000000-0005-0000-0000-0000B3000000}"/>
    <cellStyle name="_내역서(총괄변경)" xfId="181" xr:uid="{00000000-0005-0000-0000-0000B4000000}"/>
    <cellStyle name="_내역서1" xfId="182" xr:uid="{00000000-0005-0000-0000-0000B5000000}"/>
    <cellStyle name="_내역서2" xfId="183" xr:uid="{00000000-0005-0000-0000-0000B6000000}"/>
    <cellStyle name="_년간추정실적자료(2002.8.19)" xfId="184" xr:uid="{00000000-0005-0000-0000-0000B7000000}"/>
    <cellStyle name="_능말폐기물내역(2단계-총괄)" xfId="185" xr:uid="{00000000-0005-0000-0000-0000B8000000}"/>
    <cellStyle name="_단가산출서" xfId="186" xr:uid="{00000000-0005-0000-0000-0000B9000000}"/>
    <cellStyle name="_단가산출서(검토)" xfId="187" xr:uid="{00000000-0005-0000-0000-0000BA000000}"/>
    <cellStyle name="_답동-수량산출서-0414" xfId="188" xr:uid="{00000000-0005-0000-0000-0000BB000000}"/>
    <cellStyle name="_대국교일반수량" xfId="189" xr:uid="{00000000-0005-0000-0000-0000BC000000}"/>
    <cellStyle name="_대원공원설계서" xfId="190" xr:uid="{00000000-0005-0000-0000-0000BD000000}"/>
    <cellStyle name="_대원공원설계서_0501설계내역서" xfId="191" xr:uid="{00000000-0005-0000-0000-0000BE000000}"/>
    <cellStyle name="_대원공원설계서_0501설계내역서_0501설계내역서" xfId="192" xr:uid="{00000000-0005-0000-0000-0000BF000000}"/>
    <cellStyle name="_대원공원설계서_0501설계내역서_0501설계내역서(10억)" xfId="193" xr:uid="{00000000-0005-0000-0000-0000C0000000}"/>
    <cellStyle name="_대원공원설계서_0501설계내역서_0501설계내역서(7억)" xfId="194" xr:uid="{00000000-0005-0000-0000-0000C1000000}"/>
    <cellStyle name="_대원공원설계서_0501설계내역서_0501설계내역서(7억)-최종" xfId="195" xr:uid="{00000000-0005-0000-0000-0000C2000000}"/>
    <cellStyle name="_대원공원설계서_0501설계내역서_0501설계내역서(최종)" xfId="196" xr:uid="{00000000-0005-0000-0000-0000C3000000}"/>
    <cellStyle name="_대원공원설계서_0501설계내역서_0510도급내역서" xfId="197" xr:uid="{00000000-0005-0000-0000-0000C4000000}"/>
    <cellStyle name="_대원공원설계서_0501설계내역서_0513설계내역서" xfId="198" xr:uid="{00000000-0005-0000-0000-0000C5000000}"/>
    <cellStyle name="_대원공원설계서_0501설계내역서_0523설계내역서" xfId="199" xr:uid="{00000000-0005-0000-0000-0000C6000000}"/>
    <cellStyle name="_대원공원설계서_0501설계내역서_0523설계내역서 (version 1)" xfId="200" xr:uid="{00000000-0005-0000-0000-0000C7000000}"/>
    <cellStyle name="_대원공원설계서_0501설계내역서_0523설계내역서(최종)" xfId="201" xr:uid="{00000000-0005-0000-0000-0000C8000000}"/>
    <cellStyle name="_대원공원설계서_0501설계내역서_2006 학교숲 설계내역서" xfId="202" xr:uid="{00000000-0005-0000-0000-0000C9000000}"/>
    <cellStyle name="_대원공원설계서_0501설계내역서_남한산성변경도급내역서 050517" xfId="203" xr:uid="{00000000-0005-0000-0000-0000CA000000}"/>
    <cellStyle name="_대원공원설계서_0501설계내역서_로프울타리" xfId="204" xr:uid="{00000000-0005-0000-0000-0000CB000000}"/>
    <cellStyle name="_대원공원설계서_0501설계내역서_물놀이장준공내역서(0624)" xfId="205" xr:uid="{00000000-0005-0000-0000-0000CC000000}"/>
    <cellStyle name="_대원공원설계서_0501설계내역서_사본 - 0501설계내역서" xfId="206" xr:uid="{00000000-0005-0000-0000-0000CD000000}"/>
    <cellStyle name="_대원공원설계서_0501설계내역서_중원구학교숲-내역서0126" xfId="207" xr:uid="{00000000-0005-0000-0000-0000CE000000}"/>
    <cellStyle name="_대원공원설계서_0501설계내역서_중원구학교숲-수량산출서0126" xfId="208" xr:uid="{00000000-0005-0000-0000-0000CF000000}"/>
    <cellStyle name="_대원공원설계서_0501설계내역서_학교숲유지관리내역서(수정)" xfId="209" xr:uid="{00000000-0005-0000-0000-0000D0000000}"/>
    <cellStyle name="_대원공원설계서_0502설계내역서" xfId="210" xr:uid="{00000000-0005-0000-0000-0000D1000000}"/>
    <cellStyle name="_대원공원설계서_0502설계내역서_0502설계내역서(0219)" xfId="211" xr:uid="{00000000-0005-0000-0000-0000D2000000}"/>
    <cellStyle name="_대원공원설계서_0502설계내역서_0502설계내역서(수정)" xfId="212" xr:uid="{00000000-0005-0000-0000-0000D3000000}"/>
    <cellStyle name="_대원공원설계서_0502설계내역서_0502설계내역서(최종)" xfId="213" xr:uid="{00000000-0005-0000-0000-0000D4000000}"/>
    <cellStyle name="_대원공원설계서_0502설계내역서_0515설계내역서" xfId="214" xr:uid="{00000000-0005-0000-0000-0000D5000000}"/>
    <cellStyle name="_대원공원설계서_내역서-최종0223" xfId="215" xr:uid="{00000000-0005-0000-0000-0000D6000000}"/>
    <cellStyle name="_대원공원설계서_내역서-최종0223_진해자은수량산출서(단지내)" xfId="216" xr:uid="{00000000-0005-0000-0000-0000D7000000}"/>
    <cellStyle name="_대원공원설계서_내역서-최종0223_진해자은수량산출서(단지내)_진해자은수량산출서(도시기반)0621" xfId="217" xr:uid="{00000000-0005-0000-0000-0000D8000000}"/>
    <cellStyle name="_대원공원설계서_내역서-최종0223_철거 및 이설수량산출-학교숲" xfId="218" xr:uid="{00000000-0005-0000-0000-0000D9000000}"/>
    <cellStyle name="_대원공원설계서_율동자연공원내 화장실 보수 및 도색공사" xfId="219" xr:uid="{00000000-0005-0000-0000-0000DA000000}"/>
    <cellStyle name="_대원공원설계서_율동자연공원내 화장실 보수 및 도색공사_내역서-최종0223" xfId="220" xr:uid="{00000000-0005-0000-0000-0000DB000000}"/>
    <cellStyle name="_대원공원설계서_율동자연공원내 화장실 보수 및 도색공사_내역서-최종0223_진해자은수량산출서(단지내)" xfId="221" xr:uid="{00000000-0005-0000-0000-0000DC000000}"/>
    <cellStyle name="_대원공원설계서_율동자연공원내 화장실 보수 및 도색공사_내역서-최종0223_진해자은수량산출서(단지내)_진해자은수량산출서(도시기반)0621" xfId="222" xr:uid="{00000000-0005-0000-0000-0000DD000000}"/>
    <cellStyle name="_대원공원설계서_율동자연공원내 화장실 보수 및 도색공사_내역서-최종0223_철거 및 이설수량산출-학교숲" xfId="223" xr:uid="{00000000-0005-0000-0000-0000DE000000}"/>
    <cellStyle name="_대원공원설계서_율동자연공원내 화장실 보수 및 도색공사_진해자은수량산출서(단지내)" xfId="224" xr:uid="{00000000-0005-0000-0000-0000DF000000}"/>
    <cellStyle name="_대원공원설계서_율동자연공원내 화장실 보수 및 도색공사_진해자은수량산출서(단지내)_진해자은수량산출서(도시기반)0621" xfId="225" xr:uid="{00000000-0005-0000-0000-0000E0000000}"/>
    <cellStyle name="_대원공원설계서_율동자연공원내 화장실 보수 및 도색공사_철거 및 이설수량산출-학교숲" xfId="226" xr:uid="{00000000-0005-0000-0000-0000E1000000}"/>
    <cellStyle name="_대원공원설계서_율동자연공원내 휴게편의점 도색작업-할증-천정면적추가" xfId="227" xr:uid="{00000000-0005-0000-0000-0000E2000000}"/>
    <cellStyle name="_대원공원설계서_율동자연공원내 휴게편의점 도색작업-할증-천정면적추가_내역서-최종0223" xfId="228" xr:uid="{00000000-0005-0000-0000-0000E3000000}"/>
    <cellStyle name="_대원공원설계서_율동자연공원내 휴게편의점 도색작업-할증-천정면적추가_내역서-최종0223_진해자은수량산출서(단지내)" xfId="229" xr:uid="{00000000-0005-0000-0000-0000E4000000}"/>
    <cellStyle name="_대원공원설계서_율동자연공원내 휴게편의점 도색작업-할증-천정면적추가_내역서-최종0223_진해자은수량산출서(단지내)_진해자은수량산출서(도시기반)0621" xfId="230" xr:uid="{00000000-0005-0000-0000-0000E5000000}"/>
    <cellStyle name="_대원공원설계서_율동자연공원내 휴게편의점 도색작업-할증-천정면적추가_내역서-최종0223_철거 및 이설수량산출-학교숲" xfId="231" xr:uid="{00000000-0005-0000-0000-0000E6000000}"/>
    <cellStyle name="_대원공원설계서_율동자연공원내 휴게편의점 도색작업-할증-천정면적추가_진해자은수량산출서(단지내)" xfId="232" xr:uid="{00000000-0005-0000-0000-0000E7000000}"/>
    <cellStyle name="_대원공원설계서_율동자연공원내 휴게편의점 도색작업-할증-천정면적추가_진해자은수량산출서(단지내)_진해자은수량산출서(도시기반)0621" xfId="233" xr:uid="{00000000-0005-0000-0000-0000E8000000}"/>
    <cellStyle name="_대원공원설계서_율동자연공원내 휴게편의점 도색작업-할증-천정면적추가_철거 및 이설수량산출-학교숲" xfId="234" xr:uid="{00000000-0005-0000-0000-0000E9000000}"/>
    <cellStyle name="_대원공원설계서_진해자은수량산출서(단지내)" xfId="235" xr:uid="{00000000-0005-0000-0000-0000EA000000}"/>
    <cellStyle name="_대원공원설계서_진해자은수량산출서(단지내)_진해자은수량산출서(도시기반)0621" xfId="236" xr:uid="{00000000-0005-0000-0000-0000EB000000}"/>
    <cellStyle name="_대원공원설계서_철거 및 이설수량산출-학교숲" xfId="237" xr:uid="{00000000-0005-0000-0000-0000EC000000}"/>
    <cellStyle name="_도급내역서 " xfId="238" xr:uid="{00000000-0005-0000-0000-0000ED000000}"/>
    <cellStyle name="_도급분개(송전-03.10.24)" xfId="239" xr:uid="{00000000-0005-0000-0000-0000EE000000}"/>
    <cellStyle name="_동해-양양(토목분)" xfId="240" xr:uid="{00000000-0005-0000-0000-0000EF000000}"/>
    <cellStyle name="_두계변전소하도급" xfId="241" xr:uid="{00000000-0005-0000-0000-0000F0000000}"/>
    <cellStyle name="_두산공문(마대)" xfId="242" xr:uid="{00000000-0005-0000-0000-0000F1000000}"/>
    <cellStyle name="_라멘교 토공" xfId="243" xr:uid="{00000000-0005-0000-0000-0000F2000000}"/>
    <cellStyle name="_라멘교 토공_Book1" xfId="244" xr:uid="{00000000-0005-0000-0000-0000F3000000}"/>
    <cellStyle name="_라멘교 토공_Book1_수량산출서양식" xfId="245" xr:uid="{00000000-0005-0000-0000-0000F4000000}"/>
    <cellStyle name="_라멘교 토공_Book1_주암수량산출(1차)" xfId="246" xr:uid="{00000000-0005-0000-0000-0000F5000000}"/>
    <cellStyle name="_라멘교 토공_Book1_주암수량산출서" xfId="247" xr:uid="{00000000-0005-0000-0000-0000F6000000}"/>
    <cellStyle name="_레미콘(변경11.04)" xfId="248" xr:uid="{00000000-0005-0000-0000-0000F7000000}"/>
    <cellStyle name="_만석공원음악분수_설계내역" xfId="249" xr:uid="{00000000-0005-0000-0000-0000F8000000}"/>
    <cellStyle name="_만석공원음악분수_전기설계내역" xfId="250" xr:uid="{00000000-0005-0000-0000-0000F9000000}"/>
    <cellStyle name="_방동" xfId="251" xr:uid="{00000000-0005-0000-0000-0000FA000000}"/>
    <cellStyle name="_방동_03구조~1" xfId="252" xr:uid="{00000000-0005-0000-0000-0000FB000000}"/>
    <cellStyle name="_방동_03구조~1_Book1" xfId="253" xr:uid="{00000000-0005-0000-0000-0000FC000000}"/>
    <cellStyle name="_방동_03구조~1_Book1_수량산출서양식" xfId="254" xr:uid="{00000000-0005-0000-0000-0000FD000000}"/>
    <cellStyle name="_방동_03구조~1_Book1_주암수량산출(1차)" xfId="255" xr:uid="{00000000-0005-0000-0000-0000FE000000}"/>
    <cellStyle name="_방동_03구조~1_Book1_주암수량산출서" xfId="256" xr:uid="{00000000-0005-0000-0000-0000FF000000}"/>
    <cellStyle name="_방동_03구조~1_라멘교 토공" xfId="257" xr:uid="{00000000-0005-0000-0000-000000010000}"/>
    <cellStyle name="_방동_03구조~1_라멘교 토공_Book1" xfId="258" xr:uid="{00000000-0005-0000-0000-000001010000}"/>
    <cellStyle name="_방동_03구조~1_라멘교 토공_Book1_수량산출서양식" xfId="259" xr:uid="{00000000-0005-0000-0000-000002010000}"/>
    <cellStyle name="_방동_03구조~1_라멘교 토공_Book1_주암수량산출(1차)" xfId="260" xr:uid="{00000000-0005-0000-0000-000003010000}"/>
    <cellStyle name="_방동_03구조~1_라멘교 토공_Book1_주암수량산출서" xfId="261" xr:uid="{00000000-0005-0000-0000-000004010000}"/>
    <cellStyle name="_방동_03구조~1_포장" xfId="262" xr:uid="{00000000-0005-0000-0000-000005010000}"/>
    <cellStyle name="_방동_03구조~1_포장_Book1" xfId="263" xr:uid="{00000000-0005-0000-0000-000006010000}"/>
    <cellStyle name="_방동_03구조~1_포장_Book1_수량산출서양식" xfId="264" xr:uid="{00000000-0005-0000-0000-000007010000}"/>
    <cellStyle name="_방동_03구조~1_포장_Book1_주암수량산출(1차)" xfId="265" xr:uid="{00000000-0005-0000-0000-000008010000}"/>
    <cellStyle name="_방동_03구조~1_포장_Book1_주암수량산출서" xfId="266" xr:uid="{00000000-0005-0000-0000-000009010000}"/>
    <cellStyle name="_방동_03구조~1_포장_라멘교 토공" xfId="267" xr:uid="{00000000-0005-0000-0000-00000A010000}"/>
    <cellStyle name="_방동_03구조~1_포장_라멘교 토공_Book1" xfId="268" xr:uid="{00000000-0005-0000-0000-00000B010000}"/>
    <cellStyle name="_방동_03구조~1_포장_라멘교 토공_Book1_수량산출서양식" xfId="269" xr:uid="{00000000-0005-0000-0000-00000C010000}"/>
    <cellStyle name="_방동_03구조~1_포장_라멘교 토공_Book1_주암수량산출(1차)" xfId="270" xr:uid="{00000000-0005-0000-0000-00000D010000}"/>
    <cellStyle name="_방동_03구조~1_포장_라멘교 토공_Book1_주암수량산출서" xfId="271" xr:uid="{00000000-0005-0000-0000-00000E010000}"/>
    <cellStyle name="_방동_03구조물공" xfId="272" xr:uid="{00000000-0005-0000-0000-00000F010000}"/>
    <cellStyle name="_방동_03구조물공_Book1" xfId="273" xr:uid="{00000000-0005-0000-0000-000010010000}"/>
    <cellStyle name="_방동_03구조물공_Book1_수량산출서양식" xfId="274" xr:uid="{00000000-0005-0000-0000-000011010000}"/>
    <cellStyle name="_방동_03구조물공_Book1_주암수량산출(1차)" xfId="275" xr:uid="{00000000-0005-0000-0000-000012010000}"/>
    <cellStyle name="_방동_03구조물공_Book1_주암수량산출서" xfId="276" xr:uid="{00000000-0005-0000-0000-000013010000}"/>
    <cellStyle name="_방동_03구조물공_라멘교 토공" xfId="277" xr:uid="{00000000-0005-0000-0000-000014010000}"/>
    <cellStyle name="_방동_03구조물공_라멘교 토공_Book1" xfId="278" xr:uid="{00000000-0005-0000-0000-000015010000}"/>
    <cellStyle name="_방동_03구조물공_라멘교 토공_Book1_수량산출서양식" xfId="279" xr:uid="{00000000-0005-0000-0000-000016010000}"/>
    <cellStyle name="_방동_03구조물공_라멘교 토공_Book1_주암수량산출(1차)" xfId="280" xr:uid="{00000000-0005-0000-0000-000017010000}"/>
    <cellStyle name="_방동_03구조물공_라멘교 토공_Book1_주암수량산출서" xfId="281" xr:uid="{00000000-0005-0000-0000-000018010000}"/>
    <cellStyle name="_방동_03구조물공_포장" xfId="282" xr:uid="{00000000-0005-0000-0000-000019010000}"/>
    <cellStyle name="_방동_03구조물공_포장_Book1" xfId="283" xr:uid="{00000000-0005-0000-0000-00001A010000}"/>
    <cellStyle name="_방동_03구조물공_포장_Book1_수량산출서양식" xfId="284" xr:uid="{00000000-0005-0000-0000-00001B010000}"/>
    <cellStyle name="_방동_03구조물공_포장_Book1_주암수량산출(1차)" xfId="285" xr:uid="{00000000-0005-0000-0000-00001C010000}"/>
    <cellStyle name="_방동_03구조물공_포장_Book1_주암수량산출서" xfId="286" xr:uid="{00000000-0005-0000-0000-00001D010000}"/>
    <cellStyle name="_방동_03구조물공_포장_라멘교 토공" xfId="287" xr:uid="{00000000-0005-0000-0000-00001E010000}"/>
    <cellStyle name="_방동_03구조물공_포장_라멘교 토공_Book1" xfId="288" xr:uid="{00000000-0005-0000-0000-00001F010000}"/>
    <cellStyle name="_방동_03구조물공_포장_라멘교 토공_Book1_수량산출서양식" xfId="289" xr:uid="{00000000-0005-0000-0000-000020010000}"/>
    <cellStyle name="_방동_03구조물공_포장_라멘교 토공_Book1_주암수량산출(1차)" xfId="290" xr:uid="{00000000-0005-0000-0000-000021010000}"/>
    <cellStyle name="_방동_03구조물공_포장_라멘교 토공_Book1_주암수량산출서" xfId="291" xr:uid="{00000000-0005-0000-0000-000022010000}"/>
    <cellStyle name="_방동_0501설계내역서" xfId="292" xr:uid="{00000000-0005-0000-0000-000023010000}"/>
    <cellStyle name="_방동_0501설계내역서_0501설계내역서" xfId="293" xr:uid="{00000000-0005-0000-0000-000024010000}"/>
    <cellStyle name="_방동_0501설계내역서_0501설계내역서(10억)" xfId="294" xr:uid="{00000000-0005-0000-0000-000025010000}"/>
    <cellStyle name="_방동_0501설계내역서_0501설계내역서(7억)" xfId="295" xr:uid="{00000000-0005-0000-0000-000026010000}"/>
    <cellStyle name="_방동_0501설계내역서_0501설계내역서(7억)-최종" xfId="296" xr:uid="{00000000-0005-0000-0000-000027010000}"/>
    <cellStyle name="_방동_0501설계내역서_0501설계내역서(최종)" xfId="297" xr:uid="{00000000-0005-0000-0000-000028010000}"/>
    <cellStyle name="_방동_0501설계내역서_0510도급내역서" xfId="298" xr:uid="{00000000-0005-0000-0000-000029010000}"/>
    <cellStyle name="_방동_0501설계내역서_0513설계내역서" xfId="299" xr:uid="{00000000-0005-0000-0000-00002A010000}"/>
    <cellStyle name="_방동_0501설계내역서_0523설계내역서" xfId="300" xr:uid="{00000000-0005-0000-0000-00002B010000}"/>
    <cellStyle name="_방동_0501설계내역서_0523설계내역서 (version 1)" xfId="301" xr:uid="{00000000-0005-0000-0000-00002C010000}"/>
    <cellStyle name="_방동_0501설계내역서_0523설계내역서(최종)" xfId="302" xr:uid="{00000000-0005-0000-0000-00002D010000}"/>
    <cellStyle name="_방동_0501설계내역서_2006 학교숲 설계내역서" xfId="303" xr:uid="{00000000-0005-0000-0000-00002E010000}"/>
    <cellStyle name="_방동_0501설계내역서_남한산성변경도급내역서 050517" xfId="304" xr:uid="{00000000-0005-0000-0000-00002F010000}"/>
    <cellStyle name="_방동_0501설계내역서_로프울타리" xfId="305" xr:uid="{00000000-0005-0000-0000-000030010000}"/>
    <cellStyle name="_방동_0501설계내역서_물놀이장준공내역서(0624)" xfId="306" xr:uid="{00000000-0005-0000-0000-000031010000}"/>
    <cellStyle name="_방동_0501설계내역서_사본 - 0501설계내역서" xfId="307" xr:uid="{00000000-0005-0000-0000-000032010000}"/>
    <cellStyle name="_방동_0501설계내역서_중원구학교숲-내역서0126" xfId="308" xr:uid="{00000000-0005-0000-0000-000033010000}"/>
    <cellStyle name="_방동_0501설계내역서_중원구학교숲-수량산출서0126" xfId="309" xr:uid="{00000000-0005-0000-0000-000034010000}"/>
    <cellStyle name="_방동_0501설계내역서_학교숲유지관리내역서(수정)" xfId="310" xr:uid="{00000000-0005-0000-0000-000035010000}"/>
    <cellStyle name="_방동_0502설계내역서" xfId="311" xr:uid="{00000000-0005-0000-0000-000036010000}"/>
    <cellStyle name="_방동_0502설계내역서_0502설계내역서(0219)" xfId="312" xr:uid="{00000000-0005-0000-0000-000037010000}"/>
    <cellStyle name="_방동_0502설계내역서_0502설계내역서(수정)" xfId="313" xr:uid="{00000000-0005-0000-0000-000038010000}"/>
    <cellStyle name="_방동_0502설계내역서_0502설계내역서(최종)" xfId="314" xr:uid="{00000000-0005-0000-0000-000039010000}"/>
    <cellStyle name="_방동_0502설계내역서_0515설계내역서" xfId="315" xr:uid="{00000000-0005-0000-0000-00003A010000}"/>
    <cellStyle name="_방동_Book1" xfId="316" xr:uid="{00000000-0005-0000-0000-00003B010000}"/>
    <cellStyle name="_방동_Book1_수량산출서양식" xfId="317" xr:uid="{00000000-0005-0000-0000-00003C010000}"/>
    <cellStyle name="_방동_Book1_주암수량산출(1차)" xfId="318" xr:uid="{00000000-0005-0000-0000-00003D010000}"/>
    <cellStyle name="_방동_Book1_주암수량산출서" xfId="319" xr:uid="{00000000-0005-0000-0000-00003E010000}"/>
    <cellStyle name="_방동_내역서-최종0223" xfId="320" xr:uid="{00000000-0005-0000-0000-00003F010000}"/>
    <cellStyle name="_방동_내역서-최종0223_진해자은수량산출서(단지내)" xfId="321" xr:uid="{00000000-0005-0000-0000-000040010000}"/>
    <cellStyle name="_방동_내역서-최종0223_진해자은수량산출서(단지내)_진해자은수량산출서(도시기반)0621" xfId="322" xr:uid="{00000000-0005-0000-0000-000041010000}"/>
    <cellStyle name="_방동_내역서-최종0223_철거 및 이설수량산출-학교숲" xfId="323" xr:uid="{00000000-0005-0000-0000-000042010000}"/>
    <cellStyle name="_방동_동막리소교량" xfId="324" xr:uid="{00000000-0005-0000-0000-000043010000}"/>
    <cellStyle name="_방동_동막리소교량_Book1" xfId="325" xr:uid="{00000000-0005-0000-0000-000044010000}"/>
    <cellStyle name="_방동_동막리소교량_Book1_수량산출서양식" xfId="326" xr:uid="{00000000-0005-0000-0000-000045010000}"/>
    <cellStyle name="_방동_동막리소교량_Book1_주암수량산출(1차)" xfId="327" xr:uid="{00000000-0005-0000-0000-000046010000}"/>
    <cellStyle name="_방동_동막리소교량_Book1_주암수량산출서" xfId="328" xr:uid="{00000000-0005-0000-0000-000047010000}"/>
    <cellStyle name="_방동_동막리소교량_라멘교 토공" xfId="329" xr:uid="{00000000-0005-0000-0000-000048010000}"/>
    <cellStyle name="_방동_동막리소교량_라멘교 토공_Book1" xfId="330" xr:uid="{00000000-0005-0000-0000-000049010000}"/>
    <cellStyle name="_방동_동막리소교량_라멘교 토공_Book1_수량산출서양식" xfId="331" xr:uid="{00000000-0005-0000-0000-00004A010000}"/>
    <cellStyle name="_방동_동막리소교량_라멘교 토공_Book1_주암수량산출(1차)" xfId="332" xr:uid="{00000000-0005-0000-0000-00004B010000}"/>
    <cellStyle name="_방동_동막리소교량_라멘교 토공_Book1_주암수량산출서" xfId="333" xr:uid="{00000000-0005-0000-0000-00004C010000}"/>
    <cellStyle name="_방동_동막리소교량_포장" xfId="334" xr:uid="{00000000-0005-0000-0000-00004D010000}"/>
    <cellStyle name="_방동_동막리소교량_포장_Book1" xfId="335" xr:uid="{00000000-0005-0000-0000-00004E010000}"/>
    <cellStyle name="_방동_동막리소교량_포장_Book1_수량산출서양식" xfId="336" xr:uid="{00000000-0005-0000-0000-00004F010000}"/>
    <cellStyle name="_방동_동막리소교량_포장_Book1_주암수량산출(1차)" xfId="337" xr:uid="{00000000-0005-0000-0000-000050010000}"/>
    <cellStyle name="_방동_동막리소교량_포장_Book1_주암수량산출서" xfId="338" xr:uid="{00000000-0005-0000-0000-000051010000}"/>
    <cellStyle name="_방동_동막리소교량_포장_라멘교 토공" xfId="339" xr:uid="{00000000-0005-0000-0000-000052010000}"/>
    <cellStyle name="_방동_동막리소교량_포장_라멘교 토공_Book1" xfId="340" xr:uid="{00000000-0005-0000-0000-000053010000}"/>
    <cellStyle name="_방동_동막리소교량_포장_라멘교 토공_Book1_수량산출서양식" xfId="341" xr:uid="{00000000-0005-0000-0000-000054010000}"/>
    <cellStyle name="_방동_동막리소교량_포장_라멘교 토공_Book1_주암수량산출(1차)" xfId="342" xr:uid="{00000000-0005-0000-0000-000055010000}"/>
    <cellStyle name="_방동_동막리소교량_포장_라멘교 토공_Book1_주암수량산출서" xfId="343" xr:uid="{00000000-0005-0000-0000-000056010000}"/>
    <cellStyle name="_방동_라멘교 토공" xfId="344" xr:uid="{00000000-0005-0000-0000-000057010000}"/>
    <cellStyle name="_방동_라멘교 토공_Book1" xfId="345" xr:uid="{00000000-0005-0000-0000-000058010000}"/>
    <cellStyle name="_방동_라멘교 토공_Book1_수량산출서양식" xfId="346" xr:uid="{00000000-0005-0000-0000-000059010000}"/>
    <cellStyle name="_방동_라멘교 토공_Book1_주암수량산출(1차)" xfId="347" xr:uid="{00000000-0005-0000-0000-00005A010000}"/>
    <cellStyle name="_방동_라멘교 토공_Book1_주암수량산출서" xfId="348" xr:uid="{00000000-0005-0000-0000-00005B010000}"/>
    <cellStyle name="_방동_마현12~1" xfId="349" xr:uid="{00000000-0005-0000-0000-00005C010000}"/>
    <cellStyle name="_방동_마현12~1_Book1" xfId="350" xr:uid="{00000000-0005-0000-0000-00005D010000}"/>
    <cellStyle name="_방동_마현12~1_Book1_수량산출서양식" xfId="351" xr:uid="{00000000-0005-0000-0000-00005E010000}"/>
    <cellStyle name="_방동_마현12~1_Book1_주암수량산출(1차)" xfId="352" xr:uid="{00000000-0005-0000-0000-00005F010000}"/>
    <cellStyle name="_방동_마현12~1_Book1_주암수량산출서" xfId="353" xr:uid="{00000000-0005-0000-0000-000060010000}"/>
    <cellStyle name="_방동_마현12~1_라멘교 토공" xfId="354" xr:uid="{00000000-0005-0000-0000-000061010000}"/>
    <cellStyle name="_방동_마현12~1_라멘교 토공_Book1" xfId="355" xr:uid="{00000000-0005-0000-0000-000062010000}"/>
    <cellStyle name="_방동_마현12~1_라멘교 토공_Book1_수량산출서양식" xfId="356" xr:uid="{00000000-0005-0000-0000-000063010000}"/>
    <cellStyle name="_방동_마현12~1_라멘교 토공_Book1_주암수량산출(1차)" xfId="357" xr:uid="{00000000-0005-0000-0000-000064010000}"/>
    <cellStyle name="_방동_마현12~1_라멘교 토공_Book1_주암수량산출서" xfId="358" xr:uid="{00000000-0005-0000-0000-000065010000}"/>
    <cellStyle name="_방동_마현12~1_포장" xfId="359" xr:uid="{00000000-0005-0000-0000-000066010000}"/>
    <cellStyle name="_방동_마현12~1_포장_Book1" xfId="360" xr:uid="{00000000-0005-0000-0000-000067010000}"/>
    <cellStyle name="_방동_마현12~1_포장_Book1_수량산출서양식" xfId="361" xr:uid="{00000000-0005-0000-0000-000068010000}"/>
    <cellStyle name="_방동_마현12~1_포장_Book1_주암수량산출(1차)" xfId="362" xr:uid="{00000000-0005-0000-0000-000069010000}"/>
    <cellStyle name="_방동_마현12~1_포장_Book1_주암수량산출서" xfId="363" xr:uid="{00000000-0005-0000-0000-00006A010000}"/>
    <cellStyle name="_방동_마현12~1_포장_라멘교 토공" xfId="364" xr:uid="{00000000-0005-0000-0000-00006B010000}"/>
    <cellStyle name="_방동_마현12~1_포장_라멘교 토공_Book1" xfId="365" xr:uid="{00000000-0005-0000-0000-00006C010000}"/>
    <cellStyle name="_방동_마현12~1_포장_라멘교 토공_Book1_수량산출서양식" xfId="366" xr:uid="{00000000-0005-0000-0000-00006D010000}"/>
    <cellStyle name="_방동_마현12~1_포장_라멘교 토공_Book1_주암수량산출(1차)" xfId="367" xr:uid="{00000000-0005-0000-0000-00006E010000}"/>
    <cellStyle name="_방동_마현12~1_포장_라멘교 토공_Book1_주암수량산출서" xfId="368" xr:uid="{00000000-0005-0000-0000-00006F010000}"/>
    <cellStyle name="_방동_문혜3리" xfId="369" xr:uid="{00000000-0005-0000-0000-000070010000}"/>
    <cellStyle name="_방동_문혜3리_Book1" xfId="370" xr:uid="{00000000-0005-0000-0000-000071010000}"/>
    <cellStyle name="_방동_문혜3리_Book1_수량산출서양식" xfId="371" xr:uid="{00000000-0005-0000-0000-000072010000}"/>
    <cellStyle name="_방동_문혜3리_Book1_주암수량산출(1차)" xfId="372" xr:uid="{00000000-0005-0000-0000-000073010000}"/>
    <cellStyle name="_방동_문혜3리_Book1_주암수량산출서" xfId="373" xr:uid="{00000000-0005-0000-0000-000074010000}"/>
    <cellStyle name="_방동_문혜3리_라멘교 토공" xfId="374" xr:uid="{00000000-0005-0000-0000-000075010000}"/>
    <cellStyle name="_방동_문혜3리_라멘교 토공_Book1" xfId="375" xr:uid="{00000000-0005-0000-0000-000076010000}"/>
    <cellStyle name="_방동_문혜3리_라멘교 토공_Book1_수량산출서양식" xfId="376" xr:uid="{00000000-0005-0000-0000-000077010000}"/>
    <cellStyle name="_방동_문혜3리_라멘교 토공_Book1_주암수량산출(1차)" xfId="377" xr:uid="{00000000-0005-0000-0000-000078010000}"/>
    <cellStyle name="_방동_문혜3리_라멘교 토공_Book1_주암수량산출서" xfId="378" xr:uid="{00000000-0005-0000-0000-000079010000}"/>
    <cellStyle name="_방동_문혜3리_포장" xfId="379" xr:uid="{00000000-0005-0000-0000-00007A010000}"/>
    <cellStyle name="_방동_문혜3리_포장_Book1" xfId="380" xr:uid="{00000000-0005-0000-0000-00007B010000}"/>
    <cellStyle name="_방동_문혜3리_포장_Book1_수량산출서양식" xfId="381" xr:uid="{00000000-0005-0000-0000-00007C010000}"/>
    <cellStyle name="_방동_문혜3리_포장_Book1_주암수량산출(1차)" xfId="382" xr:uid="{00000000-0005-0000-0000-00007D010000}"/>
    <cellStyle name="_방동_문혜3리_포장_Book1_주암수량산출서" xfId="383" xr:uid="{00000000-0005-0000-0000-00007E010000}"/>
    <cellStyle name="_방동_문혜3리_포장_라멘교 토공" xfId="384" xr:uid="{00000000-0005-0000-0000-00007F010000}"/>
    <cellStyle name="_방동_문혜3리_포장_라멘교 토공_Book1" xfId="385" xr:uid="{00000000-0005-0000-0000-000080010000}"/>
    <cellStyle name="_방동_문혜3리_포장_라멘교 토공_Book1_수량산출서양식" xfId="386" xr:uid="{00000000-0005-0000-0000-000081010000}"/>
    <cellStyle name="_방동_문혜3리_포장_라멘교 토공_Book1_주암수량산출(1차)" xfId="387" xr:uid="{00000000-0005-0000-0000-000082010000}"/>
    <cellStyle name="_방동_문혜3리_포장_라멘교 토공_Book1_주암수량산출서" xfId="388" xr:uid="{00000000-0005-0000-0000-000083010000}"/>
    <cellStyle name="_방동_방동" xfId="389" xr:uid="{00000000-0005-0000-0000-000084010000}"/>
    <cellStyle name="_방동_방동_0501설계내역서" xfId="390" xr:uid="{00000000-0005-0000-0000-000085010000}"/>
    <cellStyle name="_방동_방동_0501설계내역서_0501설계내역서" xfId="391" xr:uid="{00000000-0005-0000-0000-000086010000}"/>
    <cellStyle name="_방동_방동_0501설계내역서_0501설계내역서(10억)" xfId="392" xr:uid="{00000000-0005-0000-0000-000087010000}"/>
    <cellStyle name="_방동_방동_0501설계내역서_0501설계내역서(7억)" xfId="393" xr:uid="{00000000-0005-0000-0000-000088010000}"/>
    <cellStyle name="_방동_방동_0501설계내역서_0501설계내역서(7억)-최종" xfId="394" xr:uid="{00000000-0005-0000-0000-000089010000}"/>
    <cellStyle name="_방동_방동_0501설계내역서_0501설계내역서(최종)" xfId="395" xr:uid="{00000000-0005-0000-0000-00008A010000}"/>
    <cellStyle name="_방동_방동_0501설계내역서_0510도급내역서" xfId="396" xr:uid="{00000000-0005-0000-0000-00008B010000}"/>
    <cellStyle name="_방동_방동_0501설계내역서_0513설계내역서" xfId="397" xr:uid="{00000000-0005-0000-0000-00008C010000}"/>
    <cellStyle name="_방동_방동_0501설계내역서_0523설계내역서" xfId="398" xr:uid="{00000000-0005-0000-0000-00008D010000}"/>
    <cellStyle name="_방동_방동_0501설계내역서_0523설계내역서 (version 1)" xfId="399" xr:uid="{00000000-0005-0000-0000-00008E010000}"/>
    <cellStyle name="_방동_방동_0501설계내역서_0523설계내역서(최종)" xfId="400" xr:uid="{00000000-0005-0000-0000-00008F010000}"/>
    <cellStyle name="_방동_방동_0501설계내역서_2006 학교숲 설계내역서" xfId="401" xr:uid="{00000000-0005-0000-0000-000090010000}"/>
    <cellStyle name="_방동_방동_0501설계내역서_남한산성변경도급내역서 050517" xfId="402" xr:uid="{00000000-0005-0000-0000-000091010000}"/>
    <cellStyle name="_방동_방동_0501설계내역서_로프울타리" xfId="403" xr:uid="{00000000-0005-0000-0000-000092010000}"/>
    <cellStyle name="_방동_방동_0501설계내역서_물놀이장준공내역서(0624)" xfId="404" xr:uid="{00000000-0005-0000-0000-000093010000}"/>
    <cellStyle name="_방동_방동_0501설계내역서_사본 - 0501설계내역서" xfId="405" xr:uid="{00000000-0005-0000-0000-000094010000}"/>
    <cellStyle name="_방동_방동_0501설계내역서_중원구학교숲-내역서0126" xfId="406" xr:uid="{00000000-0005-0000-0000-000095010000}"/>
    <cellStyle name="_방동_방동_0501설계내역서_중원구학교숲-수량산출서0126" xfId="407" xr:uid="{00000000-0005-0000-0000-000096010000}"/>
    <cellStyle name="_방동_방동_0501설계내역서_학교숲유지관리내역서(수정)" xfId="408" xr:uid="{00000000-0005-0000-0000-000097010000}"/>
    <cellStyle name="_방동_방동_0502설계내역서" xfId="409" xr:uid="{00000000-0005-0000-0000-000098010000}"/>
    <cellStyle name="_방동_방동_0502설계내역서_0502설계내역서(0219)" xfId="410" xr:uid="{00000000-0005-0000-0000-000099010000}"/>
    <cellStyle name="_방동_방동_0502설계내역서_0502설계내역서(수정)" xfId="411" xr:uid="{00000000-0005-0000-0000-00009A010000}"/>
    <cellStyle name="_방동_방동_0502설계내역서_0502설계내역서(최종)" xfId="412" xr:uid="{00000000-0005-0000-0000-00009B010000}"/>
    <cellStyle name="_방동_방동_0502설계내역서_0515설계내역서" xfId="413" xr:uid="{00000000-0005-0000-0000-00009C010000}"/>
    <cellStyle name="_방동_방동_Book1" xfId="414" xr:uid="{00000000-0005-0000-0000-00009D010000}"/>
    <cellStyle name="_방동_방동_Book1_수량산출서양식" xfId="415" xr:uid="{00000000-0005-0000-0000-00009E010000}"/>
    <cellStyle name="_방동_방동_Book1_주암수량산출(1차)" xfId="416" xr:uid="{00000000-0005-0000-0000-00009F010000}"/>
    <cellStyle name="_방동_방동_Book1_주암수량산출서" xfId="417" xr:uid="{00000000-0005-0000-0000-0000A0010000}"/>
    <cellStyle name="_방동_방동_내역서-최종0223" xfId="418" xr:uid="{00000000-0005-0000-0000-0000A1010000}"/>
    <cellStyle name="_방동_방동_내역서-최종0223_진해자은수량산출서(단지내)" xfId="419" xr:uid="{00000000-0005-0000-0000-0000A2010000}"/>
    <cellStyle name="_방동_방동_내역서-최종0223_진해자은수량산출서(단지내)_진해자은수량산출서(도시기반)0621" xfId="420" xr:uid="{00000000-0005-0000-0000-0000A3010000}"/>
    <cellStyle name="_방동_방동_내역서-최종0223_철거 및 이설수량산출-학교숲" xfId="421" xr:uid="{00000000-0005-0000-0000-0000A4010000}"/>
    <cellStyle name="_방동_방동_라멘교 토공" xfId="422" xr:uid="{00000000-0005-0000-0000-0000A5010000}"/>
    <cellStyle name="_방동_방동_라멘교 토공_Book1" xfId="423" xr:uid="{00000000-0005-0000-0000-0000A6010000}"/>
    <cellStyle name="_방동_방동_라멘교 토공_Book1_수량산출서양식" xfId="424" xr:uid="{00000000-0005-0000-0000-0000A7010000}"/>
    <cellStyle name="_방동_방동_라멘교 토공_Book1_주암수량산출(1차)" xfId="425" xr:uid="{00000000-0005-0000-0000-0000A8010000}"/>
    <cellStyle name="_방동_방동_라멘교 토공_Book1_주암수량산출서" xfId="426" xr:uid="{00000000-0005-0000-0000-0000A9010000}"/>
    <cellStyle name="_방동_방동_율동자연공원내 화장실 보수 및 도색공사" xfId="427" xr:uid="{00000000-0005-0000-0000-0000AA010000}"/>
    <cellStyle name="_방동_방동_율동자연공원내 화장실 보수 및 도색공사_내역서-최종0223" xfId="428" xr:uid="{00000000-0005-0000-0000-0000AB010000}"/>
    <cellStyle name="_방동_방동_율동자연공원내 화장실 보수 및 도색공사_내역서-최종0223_진해자은수량산출서(단지내)" xfId="429" xr:uid="{00000000-0005-0000-0000-0000AC010000}"/>
    <cellStyle name="_방동_방동_율동자연공원내 화장실 보수 및 도색공사_내역서-최종0223_진해자은수량산출서(단지내)_진해자은수량산출서(도시기반)0621" xfId="430" xr:uid="{00000000-0005-0000-0000-0000AD010000}"/>
    <cellStyle name="_방동_방동_율동자연공원내 화장실 보수 및 도색공사_내역서-최종0223_철거 및 이설수량산출-학교숲" xfId="431" xr:uid="{00000000-0005-0000-0000-0000AE010000}"/>
    <cellStyle name="_방동_방동_율동자연공원내 화장실 보수 및 도색공사_진해자은수량산출서(단지내)" xfId="432" xr:uid="{00000000-0005-0000-0000-0000AF010000}"/>
    <cellStyle name="_방동_방동_율동자연공원내 화장실 보수 및 도색공사_진해자은수량산출서(단지내)_진해자은수량산출서(도시기반)0621" xfId="433" xr:uid="{00000000-0005-0000-0000-0000B0010000}"/>
    <cellStyle name="_방동_방동_율동자연공원내 화장실 보수 및 도색공사_철거 및 이설수량산출-학교숲" xfId="434" xr:uid="{00000000-0005-0000-0000-0000B1010000}"/>
    <cellStyle name="_방동_방동_율동자연공원내 휴게편의점 도색작업-할증-천정면적추가" xfId="435" xr:uid="{00000000-0005-0000-0000-0000B2010000}"/>
    <cellStyle name="_방동_방동_율동자연공원내 휴게편의점 도색작업-할증-천정면적추가_내역서-최종0223" xfId="436" xr:uid="{00000000-0005-0000-0000-0000B3010000}"/>
    <cellStyle name="_방동_방동_율동자연공원내 휴게편의점 도색작업-할증-천정면적추가_내역서-최종0223_진해자은수량산출서(단지내)" xfId="437" xr:uid="{00000000-0005-0000-0000-0000B4010000}"/>
    <cellStyle name="_방동_방동_율동자연공원내 휴게편의점 도색작업-할증-천정면적추가_내역서-최종0223_진해자은수량산출서(단지내)_진해자은수량산출서(도시기반)0621" xfId="438" xr:uid="{00000000-0005-0000-0000-0000B5010000}"/>
    <cellStyle name="_방동_방동_율동자연공원내 휴게편의점 도색작업-할증-천정면적추가_내역서-최종0223_철거 및 이설수량산출-학교숲" xfId="439" xr:uid="{00000000-0005-0000-0000-0000B6010000}"/>
    <cellStyle name="_방동_방동_율동자연공원내 휴게편의점 도색작업-할증-천정면적추가_진해자은수량산출서(단지내)" xfId="440" xr:uid="{00000000-0005-0000-0000-0000B7010000}"/>
    <cellStyle name="_방동_방동_율동자연공원내 휴게편의점 도색작업-할증-천정면적추가_진해자은수량산출서(단지내)_진해자은수량산출서(도시기반)0621" xfId="441" xr:uid="{00000000-0005-0000-0000-0000B8010000}"/>
    <cellStyle name="_방동_방동_율동자연공원내 휴게편의점 도색작업-할증-천정면적추가_철거 및 이설수량산출-학교숲" xfId="442" xr:uid="{00000000-0005-0000-0000-0000B9010000}"/>
    <cellStyle name="_방동_방동_진해자은수량산출서(단지내)" xfId="443" xr:uid="{00000000-0005-0000-0000-0000BA010000}"/>
    <cellStyle name="_방동_방동_진해자은수량산출서(단지내)_진해자은수량산출서(도시기반)0621" xfId="444" xr:uid="{00000000-0005-0000-0000-0000BB010000}"/>
    <cellStyle name="_방동_방동_철거 및 이설수량산출-학교숲" xfId="445" xr:uid="{00000000-0005-0000-0000-0000BC010000}"/>
    <cellStyle name="_방동_방동_포장" xfId="446" xr:uid="{00000000-0005-0000-0000-0000BD010000}"/>
    <cellStyle name="_방동_방동_포장_Book1" xfId="447" xr:uid="{00000000-0005-0000-0000-0000BE010000}"/>
    <cellStyle name="_방동_방동_포장_Book1_수량산출서양식" xfId="448" xr:uid="{00000000-0005-0000-0000-0000BF010000}"/>
    <cellStyle name="_방동_방동_포장_Book1_주암수량산출(1차)" xfId="449" xr:uid="{00000000-0005-0000-0000-0000C0010000}"/>
    <cellStyle name="_방동_방동_포장_Book1_주암수량산출서" xfId="450" xr:uid="{00000000-0005-0000-0000-0000C1010000}"/>
    <cellStyle name="_방동_방동_포장_라멘교 토공" xfId="451" xr:uid="{00000000-0005-0000-0000-0000C2010000}"/>
    <cellStyle name="_방동_방동_포장_라멘교 토공_Book1" xfId="452" xr:uid="{00000000-0005-0000-0000-0000C3010000}"/>
    <cellStyle name="_방동_방동_포장_라멘교 토공_Book1_수량산출서양식" xfId="453" xr:uid="{00000000-0005-0000-0000-0000C4010000}"/>
    <cellStyle name="_방동_방동_포장_라멘교 토공_Book1_주암수량산출(1차)" xfId="454" xr:uid="{00000000-0005-0000-0000-0000C5010000}"/>
    <cellStyle name="_방동_방동_포장_라멘교 토공_Book1_주암수량산출서" xfId="455" xr:uid="{00000000-0005-0000-0000-0000C6010000}"/>
    <cellStyle name="_방동_산양2리지구" xfId="456" xr:uid="{00000000-0005-0000-0000-0000C7010000}"/>
    <cellStyle name="_방동_산양2리지구_Book1" xfId="457" xr:uid="{00000000-0005-0000-0000-0000C8010000}"/>
    <cellStyle name="_방동_산양2리지구_Book1_수량산출서양식" xfId="458" xr:uid="{00000000-0005-0000-0000-0000C9010000}"/>
    <cellStyle name="_방동_산양2리지구_Book1_주암수량산출(1차)" xfId="459" xr:uid="{00000000-0005-0000-0000-0000CA010000}"/>
    <cellStyle name="_방동_산양2리지구_Book1_주암수량산출서" xfId="460" xr:uid="{00000000-0005-0000-0000-0000CB010000}"/>
    <cellStyle name="_방동_산양2리지구_라멘교 토공" xfId="461" xr:uid="{00000000-0005-0000-0000-0000CC010000}"/>
    <cellStyle name="_방동_산양2리지구_라멘교 토공_Book1" xfId="462" xr:uid="{00000000-0005-0000-0000-0000CD010000}"/>
    <cellStyle name="_방동_산양2리지구_라멘교 토공_Book1_수량산출서양식" xfId="463" xr:uid="{00000000-0005-0000-0000-0000CE010000}"/>
    <cellStyle name="_방동_산양2리지구_라멘교 토공_Book1_주암수량산출(1차)" xfId="464" xr:uid="{00000000-0005-0000-0000-0000CF010000}"/>
    <cellStyle name="_방동_산양2리지구_라멘교 토공_Book1_주암수량산출서" xfId="465" xr:uid="{00000000-0005-0000-0000-0000D0010000}"/>
    <cellStyle name="_방동_산양2리지구_포장" xfId="466" xr:uid="{00000000-0005-0000-0000-0000D1010000}"/>
    <cellStyle name="_방동_산양2리지구_포장_Book1" xfId="467" xr:uid="{00000000-0005-0000-0000-0000D2010000}"/>
    <cellStyle name="_방동_산양2리지구_포장_Book1_수량산출서양식" xfId="468" xr:uid="{00000000-0005-0000-0000-0000D3010000}"/>
    <cellStyle name="_방동_산양2리지구_포장_Book1_주암수량산출(1차)" xfId="469" xr:uid="{00000000-0005-0000-0000-0000D4010000}"/>
    <cellStyle name="_방동_산양2리지구_포장_Book1_주암수량산출서" xfId="470" xr:uid="{00000000-0005-0000-0000-0000D5010000}"/>
    <cellStyle name="_방동_산양2리지구_포장_라멘교 토공" xfId="471" xr:uid="{00000000-0005-0000-0000-0000D6010000}"/>
    <cellStyle name="_방동_산양2리지구_포장_라멘교 토공_Book1" xfId="472" xr:uid="{00000000-0005-0000-0000-0000D7010000}"/>
    <cellStyle name="_방동_산양2리지구_포장_라멘교 토공_Book1_수량산출서양식" xfId="473" xr:uid="{00000000-0005-0000-0000-0000D8010000}"/>
    <cellStyle name="_방동_산양2리지구_포장_라멘교 토공_Book1_주암수량산출(1차)" xfId="474" xr:uid="{00000000-0005-0000-0000-0000D9010000}"/>
    <cellStyle name="_방동_산양2리지구_포장_라멘교 토공_Book1_주암수량산출서" xfId="475" xr:uid="{00000000-0005-0000-0000-0000DA010000}"/>
    <cellStyle name="_방동_산양리지구" xfId="476" xr:uid="{00000000-0005-0000-0000-0000DB010000}"/>
    <cellStyle name="_방동_산양리지구_0501설계내역서" xfId="477" xr:uid="{00000000-0005-0000-0000-0000DC010000}"/>
    <cellStyle name="_방동_산양리지구_0501설계내역서_0501설계내역서" xfId="478" xr:uid="{00000000-0005-0000-0000-0000DD010000}"/>
    <cellStyle name="_방동_산양리지구_0501설계내역서_0501설계내역서(10억)" xfId="479" xr:uid="{00000000-0005-0000-0000-0000DE010000}"/>
    <cellStyle name="_방동_산양리지구_0501설계내역서_0501설계내역서(7억)" xfId="480" xr:uid="{00000000-0005-0000-0000-0000DF010000}"/>
    <cellStyle name="_방동_산양리지구_0501설계내역서_0501설계내역서(7억)-최종" xfId="481" xr:uid="{00000000-0005-0000-0000-0000E0010000}"/>
    <cellStyle name="_방동_산양리지구_0501설계내역서_0501설계내역서(최종)" xfId="482" xr:uid="{00000000-0005-0000-0000-0000E1010000}"/>
    <cellStyle name="_방동_산양리지구_0501설계내역서_0510도급내역서" xfId="483" xr:uid="{00000000-0005-0000-0000-0000E2010000}"/>
    <cellStyle name="_방동_산양리지구_0501설계내역서_0513설계내역서" xfId="484" xr:uid="{00000000-0005-0000-0000-0000E3010000}"/>
    <cellStyle name="_방동_산양리지구_0501설계내역서_0523설계내역서" xfId="485" xr:uid="{00000000-0005-0000-0000-0000E4010000}"/>
    <cellStyle name="_방동_산양리지구_0501설계내역서_0523설계내역서 (version 1)" xfId="486" xr:uid="{00000000-0005-0000-0000-0000E5010000}"/>
    <cellStyle name="_방동_산양리지구_0501설계내역서_0523설계내역서(최종)" xfId="487" xr:uid="{00000000-0005-0000-0000-0000E6010000}"/>
    <cellStyle name="_방동_산양리지구_0501설계내역서_2006 학교숲 설계내역서" xfId="488" xr:uid="{00000000-0005-0000-0000-0000E7010000}"/>
    <cellStyle name="_방동_산양리지구_0501설계내역서_남한산성변경도급내역서 050517" xfId="489" xr:uid="{00000000-0005-0000-0000-0000E8010000}"/>
    <cellStyle name="_방동_산양리지구_0501설계내역서_로프울타리" xfId="490" xr:uid="{00000000-0005-0000-0000-0000E9010000}"/>
    <cellStyle name="_방동_산양리지구_0501설계내역서_물놀이장준공내역서(0624)" xfId="491" xr:uid="{00000000-0005-0000-0000-0000EA010000}"/>
    <cellStyle name="_방동_산양리지구_0501설계내역서_사본 - 0501설계내역서" xfId="492" xr:uid="{00000000-0005-0000-0000-0000EB010000}"/>
    <cellStyle name="_방동_산양리지구_0501설계내역서_중원구학교숲-내역서0126" xfId="493" xr:uid="{00000000-0005-0000-0000-0000EC010000}"/>
    <cellStyle name="_방동_산양리지구_0501설계내역서_중원구학교숲-수량산출서0126" xfId="494" xr:uid="{00000000-0005-0000-0000-0000ED010000}"/>
    <cellStyle name="_방동_산양리지구_0501설계내역서_학교숲유지관리내역서(수정)" xfId="495" xr:uid="{00000000-0005-0000-0000-0000EE010000}"/>
    <cellStyle name="_방동_산양리지구_0502설계내역서" xfId="496" xr:uid="{00000000-0005-0000-0000-0000EF010000}"/>
    <cellStyle name="_방동_산양리지구_0502설계내역서_0502설계내역서(0219)" xfId="497" xr:uid="{00000000-0005-0000-0000-0000F0010000}"/>
    <cellStyle name="_방동_산양리지구_0502설계내역서_0502설계내역서(수정)" xfId="498" xr:uid="{00000000-0005-0000-0000-0000F1010000}"/>
    <cellStyle name="_방동_산양리지구_0502설계내역서_0502설계내역서(최종)" xfId="499" xr:uid="{00000000-0005-0000-0000-0000F2010000}"/>
    <cellStyle name="_방동_산양리지구_0502설계내역서_0515설계내역서" xfId="500" xr:uid="{00000000-0005-0000-0000-0000F3010000}"/>
    <cellStyle name="_방동_산양리지구_Book1" xfId="501" xr:uid="{00000000-0005-0000-0000-0000F4010000}"/>
    <cellStyle name="_방동_산양리지구_Book1_수량산출서양식" xfId="502" xr:uid="{00000000-0005-0000-0000-0000F5010000}"/>
    <cellStyle name="_방동_산양리지구_Book1_주암수량산출(1차)" xfId="503" xr:uid="{00000000-0005-0000-0000-0000F6010000}"/>
    <cellStyle name="_방동_산양리지구_Book1_주암수량산출서" xfId="504" xr:uid="{00000000-0005-0000-0000-0000F7010000}"/>
    <cellStyle name="_방동_산양리지구_내역서-최종0223" xfId="505" xr:uid="{00000000-0005-0000-0000-0000F8010000}"/>
    <cellStyle name="_방동_산양리지구_내역서-최종0223_진해자은수량산출서(단지내)" xfId="506" xr:uid="{00000000-0005-0000-0000-0000F9010000}"/>
    <cellStyle name="_방동_산양리지구_내역서-최종0223_진해자은수량산출서(단지내)_진해자은수량산출서(도시기반)0621" xfId="507" xr:uid="{00000000-0005-0000-0000-0000FA010000}"/>
    <cellStyle name="_방동_산양리지구_내역서-최종0223_철거 및 이설수량산출-학교숲" xfId="508" xr:uid="{00000000-0005-0000-0000-0000FB010000}"/>
    <cellStyle name="_방동_산양리지구_라멘교 토공" xfId="509" xr:uid="{00000000-0005-0000-0000-0000FC010000}"/>
    <cellStyle name="_방동_산양리지구_라멘교 토공_Book1" xfId="510" xr:uid="{00000000-0005-0000-0000-0000FD010000}"/>
    <cellStyle name="_방동_산양리지구_라멘교 토공_Book1_수량산출서양식" xfId="511" xr:uid="{00000000-0005-0000-0000-0000FE010000}"/>
    <cellStyle name="_방동_산양리지구_라멘교 토공_Book1_주암수량산출(1차)" xfId="512" xr:uid="{00000000-0005-0000-0000-0000FF010000}"/>
    <cellStyle name="_방동_산양리지구_라멘교 토공_Book1_주암수량산출서" xfId="513" xr:uid="{00000000-0005-0000-0000-000000020000}"/>
    <cellStyle name="_방동_산양리지구_율동자연공원내 화장실 보수 및 도색공사" xfId="514" xr:uid="{00000000-0005-0000-0000-000001020000}"/>
    <cellStyle name="_방동_산양리지구_율동자연공원내 화장실 보수 및 도색공사_내역서-최종0223" xfId="515" xr:uid="{00000000-0005-0000-0000-000002020000}"/>
    <cellStyle name="_방동_산양리지구_율동자연공원내 화장실 보수 및 도색공사_내역서-최종0223_진해자은수량산출서(단지내)" xfId="516" xr:uid="{00000000-0005-0000-0000-000003020000}"/>
    <cellStyle name="_방동_산양리지구_율동자연공원내 화장실 보수 및 도색공사_내역서-최종0223_진해자은수량산출서(단지내)_진해자은수량산출서(도시기반)0621" xfId="517" xr:uid="{00000000-0005-0000-0000-000004020000}"/>
    <cellStyle name="_방동_산양리지구_율동자연공원내 화장실 보수 및 도색공사_내역서-최종0223_철거 및 이설수량산출-학교숲" xfId="518" xr:uid="{00000000-0005-0000-0000-000005020000}"/>
    <cellStyle name="_방동_산양리지구_율동자연공원내 화장실 보수 및 도색공사_진해자은수량산출서(단지내)" xfId="519" xr:uid="{00000000-0005-0000-0000-000006020000}"/>
    <cellStyle name="_방동_산양리지구_율동자연공원내 화장실 보수 및 도색공사_진해자은수량산출서(단지내)_진해자은수량산출서(도시기반)0621" xfId="520" xr:uid="{00000000-0005-0000-0000-000007020000}"/>
    <cellStyle name="_방동_산양리지구_율동자연공원내 화장실 보수 및 도색공사_철거 및 이설수량산출-학교숲" xfId="521" xr:uid="{00000000-0005-0000-0000-000008020000}"/>
    <cellStyle name="_방동_산양리지구_율동자연공원내 휴게편의점 도색작업-할증-천정면적추가" xfId="522" xr:uid="{00000000-0005-0000-0000-000009020000}"/>
    <cellStyle name="_방동_산양리지구_율동자연공원내 휴게편의점 도색작업-할증-천정면적추가_내역서-최종0223" xfId="523" xr:uid="{00000000-0005-0000-0000-00000A020000}"/>
    <cellStyle name="_방동_산양리지구_율동자연공원내 휴게편의점 도색작업-할증-천정면적추가_내역서-최종0223_진해자은수량산출서(단지내)" xfId="524" xr:uid="{00000000-0005-0000-0000-00000B020000}"/>
    <cellStyle name="_방동_산양리지구_율동자연공원내 휴게편의점 도색작업-할증-천정면적추가_내역서-최종0223_진해자은수량산출서(단지내)_진해자은수량산출서(도시기반)0621" xfId="525" xr:uid="{00000000-0005-0000-0000-00000C020000}"/>
    <cellStyle name="_방동_산양리지구_율동자연공원내 휴게편의점 도색작업-할증-천정면적추가_내역서-최종0223_철거 및 이설수량산출-학교숲" xfId="526" xr:uid="{00000000-0005-0000-0000-00000D020000}"/>
    <cellStyle name="_방동_산양리지구_율동자연공원내 휴게편의점 도색작업-할증-천정면적추가_진해자은수량산출서(단지내)" xfId="527" xr:uid="{00000000-0005-0000-0000-00000E020000}"/>
    <cellStyle name="_방동_산양리지구_율동자연공원내 휴게편의점 도색작업-할증-천정면적추가_진해자은수량산출서(단지내)_진해자은수량산출서(도시기반)0621" xfId="528" xr:uid="{00000000-0005-0000-0000-00000F020000}"/>
    <cellStyle name="_방동_산양리지구_율동자연공원내 휴게편의점 도색작업-할증-천정면적추가_철거 및 이설수량산출-학교숲" xfId="529" xr:uid="{00000000-0005-0000-0000-000010020000}"/>
    <cellStyle name="_방동_산양리지구_진해자은수량산출서(단지내)" xfId="530" xr:uid="{00000000-0005-0000-0000-000011020000}"/>
    <cellStyle name="_방동_산양리지구_진해자은수량산출서(단지내)_진해자은수량산출서(도시기반)0621" xfId="531" xr:uid="{00000000-0005-0000-0000-000012020000}"/>
    <cellStyle name="_방동_산양리지구_철거 및 이설수량산출-학교숲" xfId="532" xr:uid="{00000000-0005-0000-0000-000013020000}"/>
    <cellStyle name="_방동_산양리지구_포장" xfId="533" xr:uid="{00000000-0005-0000-0000-000014020000}"/>
    <cellStyle name="_방동_산양리지구_포장_Book1" xfId="534" xr:uid="{00000000-0005-0000-0000-000015020000}"/>
    <cellStyle name="_방동_산양리지구_포장_Book1_수량산출서양식" xfId="535" xr:uid="{00000000-0005-0000-0000-000016020000}"/>
    <cellStyle name="_방동_산양리지구_포장_Book1_주암수량산출(1차)" xfId="536" xr:uid="{00000000-0005-0000-0000-000017020000}"/>
    <cellStyle name="_방동_산양리지구_포장_Book1_주암수량산출서" xfId="537" xr:uid="{00000000-0005-0000-0000-000018020000}"/>
    <cellStyle name="_방동_산양리지구_포장_라멘교 토공" xfId="538" xr:uid="{00000000-0005-0000-0000-000019020000}"/>
    <cellStyle name="_방동_산양리지구_포장_라멘교 토공_Book1" xfId="539" xr:uid="{00000000-0005-0000-0000-00001A020000}"/>
    <cellStyle name="_방동_산양리지구_포장_라멘교 토공_Book1_수량산출서양식" xfId="540" xr:uid="{00000000-0005-0000-0000-00001B020000}"/>
    <cellStyle name="_방동_산양리지구_포장_라멘교 토공_Book1_주암수량산출(1차)" xfId="541" xr:uid="{00000000-0005-0000-0000-00001C020000}"/>
    <cellStyle name="_방동_산양리지구_포장_라멘교 토공_Book1_주암수량산출서" xfId="542" xr:uid="{00000000-0005-0000-0000-00001D020000}"/>
    <cellStyle name="_방동_서상2리" xfId="543" xr:uid="{00000000-0005-0000-0000-00001E020000}"/>
    <cellStyle name="_방동_서상2리_0501설계내역서" xfId="544" xr:uid="{00000000-0005-0000-0000-00001F020000}"/>
    <cellStyle name="_방동_서상2리_0501설계내역서_0501설계내역서" xfId="545" xr:uid="{00000000-0005-0000-0000-000020020000}"/>
    <cellStyle name="_방동_서상2리_0501설계내역서_0501설계내역서(10억)" xfId="546" xr:uid="{00000000-0005-0000-0000-000021020000}"/>
    <cellStyle name="_방동_서상2리_0501설계내역서_0501설계내역서(7억)" xfId="547" xr:uid="{00000000-0005-0000-0000-000022020000}"/>
    <cellStyle name="_방동_서상2리_0501설계내역서_0501설계내역서(7억)-최종" xfId="548" xr:uid="{00000000-0005-0000-0000-000023020000}"/>
    <cellStyle name="_방동_서상2리_0501설계내역서_0501설계내역서(최종)" xfId="549" xr:uid="{00000000-0005-0000-0000-000024020000}"/>
    <cellStyle name="_방동_서상2리_0501설계내역서_0510도급내역서" xfId="550" xr:uid="{00000000-0005-0000-0000-000025020000}"/>
    <cellStyle name="_방동_서상2리_0501설계내역서_0513설계내역서" xfId="551" xr:uid="{00000000-0005-0000-0000-000026020000}"/>
    <cellStyle name="_방동_서상2리_0501설계내역서_0523설계내역서" xfId="552" xr:uid="{00000000-0005-0000-0000-000027020000}"/>
    <cellStyle name="_방동_서상2리_0501설계내역서_0523설계내역서 (version 1)" xfId="553" xr:uid="{00000000-0005-0000-0000-000028020000}"/>
    <cellStyle name="_방동_서상2리_0501설계내역서_0523설계내역서(최종)" xfId="554" xr:uid="{00000000-0005-0000-0000-000029020000}"/>
    <cellStyle name="_방동_서상2리_0501설계내역서_2006 학교숲 설계내역서" xfId="555" xr:uid="{00000000-0005-0000-0000-00002A020000}"/>
    <cellStyle name="_방동_서상2리_0501설계내역서_남한산성변경도급내역서 050517" xfId="556" xr:uid="{00000000-0005-0000-0000-00002B020000}"/>
    <cellStyle name="_방동_서상2리_0501설계내역서_로프울타리" xfId="557" xr:uid="{00000000-0005-0000-0000-00002C020000}"/>
    <cellStyle name="_방동_서상2리_0501설계내역서_물놀이장준공내역서(0624)" xfId="558" xr:uid="{00000000-0005-0000-0000-00002D020000}"/>
    <cellStyle name="_방동_서상2리_0501설계내역서_사본 - 0501설계내역서" xfId="559" xr:uid="{00000000-0005-0000-0000-00002E020000}"/>
    <cellStyle name="_방동_서상2리_0501설계내역서_중원구학교숲-내역서0126" xfId="560" xr:uid="{00000000-0005-0000-0000-00002F020000}"/>
    <cellStyle name="_방동_서상2리_0501설계내역서_중원구학교숲-수량산출서0126" xfId="561" xr:uid="{00000000-0005-0000-0000-000030020000}"/>
    <cellStyle name="_방동_서상2리_0501설계내역서_학교숲유지관리내역서(수정)" xfId="562" xr:uid="{00000000-0005-0000-0000-000031020000}"/>
    <cellStyle name="_방동_서상2리_0502설계내역서" xfId="563" xr:uid="{00000000-0005-0000-0000-000032020000}"/>
    <cellStyle name="_방동_서상2리_0502설계내역서_0502설계내역서(0219)" xfId="564" xr:uid="{00000000-0005-0000-0000-000033020000}"/>
    <cellStyle name="_방동_서상2리_0502설계내역서_0502설계내역서(수정)" xfId="565" xr:uid="{00000000-0005-0000-0000-000034020000}"/>
    <cellStyle name="_방동_서상2리_0502설계내역서_0502설계내역서(최종)" xfId="566" xr:uid="{00000000-0005-0000-0000-000035020000}"/>
    <cellStyle name="_방동_서상2리_0502설계내역서_0515설계내역서" xfId="567" xr:uid="{00000000-0005-0000-0000-000036020000}"/>
    <cellStyle name="_방동_서상2리_Book1" xfId="568" xr:uid="{00000000-0005-0000-0000-000037020000}"/>
    <cellStyle name="_방동_서상2리_Book1_수량산출서양식" xfId="569" xr:uid="{00000000-0005-0000-0000-000038020000}"/>
    <cellStyle name="_방동_서상2리_Book1_주암수량산출(1차)" xfId="570" xr:uid="{00000000-0005-0000-0000-000039020000}"/>
    <cellStyle name="_방동_서상2리_Book1_주암수량산출서" xfId="571" xr:uid="{00000000-0005-0000-0000-00003A020000}"/>
    <cellStyle name="_방동_서상2리_내역서-최종0223" xfId="572" xr:uid="{00000000-0005-0000-0000-00003B020000}"/>
    <cellStyle name="_방동_서상2리_내역서-최종0223_진해자은수량산출서(단지내)" xfId="573" xr:uid="{00000000-0005-0000-0000-00003C020000}"/>
    <cellStyle name="_방동_서상2리_내역서-최종0223_진해자은수량산출서(단지내)_진해자은수량산출서(도시기반)0621" xfId="574" xr:uid="{00000000-0005-0000-0000-00003D020000}"/>
    <cellStyle name="_방동_서상2리_내역서-최종0223_철거 및 이설수량산출-학교숲" xfId="575" xr:uid="{00000000-0005-0000-0000-00003E020000}"/>
    <cellStyle name="_방동_서상2리_라멘교 토공" xfId="576" xr:uid="{00000000-0005-0000-0000-00003F020000}"/>
    <cellStyle name="_방동_서상2리_라멘교 토공_Book1" xfId="577" xr:uid="{00000000-0005-0000-0000-000040020000}"/>
    <cellStyle name="_방동_서상2리_라멘교 토공_Book1_수량산출서양식" xfId="578" xr:uid="{00000000-0005-0000-0000-000041020000}"/>
    <cellStyle name="_방동_서상2리_라멘교 토공_Book1_주암수량산출(1차)" xfId="579" xr:uid="{00000000-0005-0000-0000-000042020000}"/>
    <cellStyle name="_방동_서상2리_라멘교 토공_Book1_주암수량산출서" xfId="580" xr:uid="{00000000-0005-0000-0000-000043020000}"/>
    <cellStyle name="_방동_서상2리_율동자연공원내 화장실 보수 및 도색공사" xfId="581" xr:uid="{00000000-0005-0000-0000-000044020000}"/>
    <cellStyle name="_방동_서상2리_율동자연공원내 화장실 보수 및 도색공사_내역서-최종0223" xfId="582" xr:uid="{00000000-0005-0000-0000-000045020000}"/>
    <cellStyle name="_방동_서상2리_율동자연공원내 화장실 보수 및 도색공사_내역서-최종0223_진해자은수량산출서(단지내)" xfId="583" xr:uid="{00000000-0005-0000-0000-000046020000}"/>
    <cellStyle name="_방동_서상2리_율동자연공원내 화장실 보수 및 도색공사_내역서-최종0223_진해자은수량산출서(단지내)_진해자은수량산출서(도시기반)0621" xfId="584" xr:uid="{00000000-0005-0000-0000-000047020000}"/>
    <cellStyle name="_방동_서상2리_율동자연공원내 화장실 보수 및 도색공사_내역서-최종0223_철거 및 이설수량산출-학교숲" xfId="585" xr:uid="{00000000-0005-0000-0000-000048020000}"/>
    <cellStyle name="_방동_서상2리_율동자연공원내 화장실 보수 및 도색공사_진해자은수량산출서(단지내)" xfId="586" xr:uid="{00000000-0005-0000-0000-000049020000}"/>
    <cellStyle name="_방동_서상2리_율동자연공원내 화장실 보수 및 도색공사_진해자은수량산출서(단지내)_진해자은수량산출서(도시기반)0621" xfId="587" xr:uid="{00000000-0005-0000-0000-00004A020000}"/>
    <cellStyle name="_방동_서상2리_율동자연공원내 화장실 보수 및 도색공사_철거 및 이설수량산출-학교숲" xfId="588" xr:uid="{00000000-0005-0000-0000-00004B020000}"/>
    <cellStyle name="_방동_서상2리_율동자연공원내 휴게편의점 도색작업-할증-천정면적추가" xfId="589" xr:uid="{00000000-0005-0000-0000-00004C020000}"/>
    <cellStyle name="_방동_서상2리_율동자연공원내 휴게편의점 도색작업-할증-천정면적추가_내역서-최종0223" xfId="590" xr:uid="{00000000-0005-0000-0000-00004D020000}"/>
    <cellStyle name="_방동_서상2리_율동자연공원내 휴게편의점 도색작업-할증-천정면적추가_내역서-최종0223_진해자은수량산출서(단지내)" xfId="591" xr:uid="{00000000-0005-0000-0000-00004E020000}"/>
    <cellStyle name="_방동_서상2리_율동자연공원내 휴게편의점 도색작업-할증-천정면적추가_내역서-최종0223_진해자은수량산출서(단지내)_진해자은수량산출서(도시기반)0621" xfId="592" xr:uid="{00000000-0005-0000-0000-00004F020000}"/>
    <cellStyle name="_방동_서상2리_율동자연공원내 휴게편의점 도색작업-할증-천정면적추가_내역서-최종0223_철거 및 이설수량산출-학교숲" xfId="593" xr:uid="{00000000-0005-0000-0000-000050020000}"/>
    <cellStyle name="_방동_서상2리_율동자연공원내 휴게편의점 도색작업-할증-천정면적추가_진해자은수량산출서(단지내)" xfId="594" xr:uid="{00000000-0005-0000-0000-000051020000}"/>
    <cellStyle name="_방동_서상2리_율동자연공원내 휴게편의점 도색작업-할증-천정면적추가_진해자은수량산출서(단지내)_진해자은수량산출서(도시기반)0621" xfId="595" xr:uid="{00000000-0005-0000-0000-000052020000}"/>
    <cellStyle name="_방동_서상2리_율동자연공원내 휴게편의점 도색작업-할증-천정면적추가_철거 및 이설수량산출-학교숲" xfId="596" xr:uid="{00000000-0005-0000-0000-000053020000}"/>
    <cellStyle name="_방동_서상2리_진해자은수량산출서(단지내)" xfId="597" xr:uid="{00000000-0005-0000-0000-000054020000}"/>
    <cellStyle name="_방동_서상2리_진해자은수량산출서(단지내)_진해자은수량산출서(도시기반)0621" xfId="598" xr:uid="{00000000-0005-0000-0000-000055020000}"/>
    <cellStyle name="_방동_서상2리_철거 및 이설수량산출-학교숲" xfId="599" xr:uid="{00000000-0005-0000-0000-000056020000}"/>
    <cellStyle name="_방동_서상2리_포장" xfId="600" xr:uid="{00000000-0005-0000-0000-000057020000}"/>
    <cellStyle name="_방동_서상2리_포장_Book1" xfId="601" xr:uid="{00000000-0005-0000-0000-000058020000}"/>
    <cellStyle name="_방동_서상2리_포장_Book1_수량산출서양식" xfId="602" xr:uid="{00000000-0005-0000-0000-000059020000}"/>
    <cellStyle name="_방동_서상2리_포장_Book1_주암수량산출(1차)" xfId="603" xr:uid="{00000000-0005-0000-0000-00005A020000}"/>
    <cellStyle name="_방동_서상2리_포장_Book1_주암수량산출서" xfId="604" xr:uid="{00000000-0005-0000-0000-00005B020000}"/>
    <cellStyle name="_방동_서상2리_포장_라멘교 토공" xfId="605" xr:uid="{00000000-0005-0000-0000-00005C020000}"/>
    <cellStyle name="_방동_서상2리_포장_라멘교 토공_Book1" xfId="606" xr:uid="{00000000-0005-0000-0000-00005D020000}"/>
    <cellStyle name="_방동_서상2리_포장_라멘교 토공_Book1_수량산출서양식" xfId="607" xr:uid="{00000000-0005-0000-0000-00005E020000}"/>
    <cellStyle name="_방동_서상2리_포장_라멘교 토공_Book1_주암수량산출(1차)" xfId="608" xr:uid="{00000000-0005-0000-0000-00005F020000}"/>
    <cellStyle name="_방동_서상2리_포장_라멘교 토공_Book1_주암수량산출서" xfId="609" xr:uid="{00000000-0005-0000-0000-000060020000}"/>
    <cellStyle name="_방동_오항" xfId="610" xr:uid="{00000000-0005-0000-0000-000061020000}"/>
    <cellStyle name="_방동_오항_Book1" xfId="611" xr:uid="{00000000-0005-0000-0000-000062020000}"/>
    <cellStyle name="_방동_오항_Book1_수량산출서양식" xfId="612" xr:uid="{00000000-0005-0000-0000-000063020000}"/>
    <cellStyle name="_방동_오항_Book1_주암수량산출(1차)" xfId="613" xr:uid="{00000000-0005-0000-0000-000064020000}"/>
    <cellStyle name="_방동_오항_Book1_주암수량산출서" xfId="614" xr:uid="{00000000-0005-0000-0000-000065020000}"/>
    <cellStyle name="_방동_오항_라멘교 토공" xfId="615" xr:uid="{00000000-0005-0000-0000-000066020000}"/>
    <cellStyle name="_방동_오항_라멘교 토공_Book1" xfId="616" xr:uid="{00000000-0005-0000-0000-000067020000}"/>
    <cellStyle name="_방동_오항_라멘교 토공_Book1_수량산출서양식" xfId="617" xr:uid="{00000000-0005-0000-0000-000068020000}"/>
    <cellStyle name="_방동_오항_라멘교 토공_Book1_주암수량산출(1차)" xfId="618" xr:uid="{00000000-0005-0000-0000-000069020000}"/>
    <cellStyle name="_방동_오항_라멘교 토공_Book1_주암수량산출서" xfId="619" xr:uid="{00000000-0005-0000-0000-00006A020000}"/>
    <cellStyle name="_방동_오항_포장" xfId="620" xr:uid="{00000000-0005-0000-0000-00006B020000}"/>
    <cellStyle name="_방동_오항_포장_Book1" xfId="621" xr:uid="{00000000-0005-0000-0000-00006C020000}"/>
    <cellStyle name="_방동_오항_포장_Book1_수량산출서양식" xfId="622" xr:uid="{00000000-0005-0000-0000-00006D020000}"/>
    <cellStyle name="_방동_오항_포장_Book1_주암수량산출(1차)" xfId="623" xr:uid="{00000000-0005-0000-0000-00006E020000}"/>
    <cellStyle name="_방동_오항_포장_Book1_주암수량산출서" xfId="624" xr:uid="{00000000-0005-0000-0000-00006F020000}"/>
    <cellStyle name="_방동_오항_포장_라멘교 토공" xfId="625" xr:uid="{00000000-0005-0000-0000-000070020000}"/>
    <cellStyle name="_방동_오항_포장_라멘교 토공_Book1" xfId="626" xr:uid="{00000000-0005-0000-0000-000071020000}"/>
    <cellStyle name="_방동_오항_포장_라멘교 토공_Book1_수량산출서양식" xfId="627" xr:uid="{00000000-0005-0000-0000-000072020000}"/>
    <cellStyle name="_방동_오항_포장_라멘교 토공_Book1_주암수량산출(1차)" xfId="628" xr:uid="{00000000-0005-0000-0000-000073020000}"/>
    <cellStyle name="_방동_오항_포장_라멘교 토공_Book1_주암수량산출서" xfId="629" xr:uid="{00000000-0005-0000-0000-000074020000}"/>
    <cellStyle name="_방동_원평" xfId="630" xr:uid="{00000000-0005-0000-0000-000075020000}"/>
    <cellStyle name="_방동_원평_0501설계내역서" xfId="631" xr:uid="{00000000-0005-0000-0000-000076020000}"/>
    <cellStyle name="_방동_원평_0501설계내역서_0501설계내역서" xfId="632" xr:uid="{00000000-0005-0000-0000-000077020000}"/>
    <cellStyle name="_방동_원평_0501설계내역서_0501설계내역서(10억)" xfId="633" xr:uid="{00000000-0005-0000-0000-000078020000}"/>
    <cellStyle name="_방동_원평_0501설계내역서_0501설계내역서(7억)" xfId="634" xr:uid="{00000000-0005-0000-0000-000079020000}"/>
    <cellStyle name="_방동_원평_0501설계내역서_0501설계내역서(7억)-최종" xfId="635" xr:uid="{00000000-0005-0000-0000-00007A020000}"/>
    <cellStyle name="_방동_원평_0501설계내역서_0501설계내역서(최종)" xfId="636" xr:uid="{00000000-0005-0000-0000-00007B020000}"/>
    <cellStyle name="_방동_원평_0501설계내역서_0510도급내역서" xfId="637" xr:uid="{00000000-0005-0000-0000-00007C020000}"/>
    <cellStyle name="_방동_원평_0501설계내역서_0513설계내역서" xfId="638" xr:uid="{00000000-0005-0000-0000-00007D020000}"/>
    <cellStyle name="_방동_원평_0501설계내역서_0523설계내역서" xfId="639" xr:uid="{00000000-0005-0000-0000-00007E020000}"/>
    <cellStyle name="_방동_원평_0501설계내역서_0523설계내역서 (version 1)" xfId="640" xr:uid="{00000000-0005-0000-0000-00007F020000}"/>
    <cellStyle name="_방동_원평_0501설계내역서_0523설계내역서(최종)" xfId="641" xr:uid="{00000000-0005-0000-0000-000080020000}"/>
    <cellStyle name="_방동_원평_0501설계내역서_2006 학교숲 설계내역서" xfId="642" xr:uid="{00000000-0005-0000-0000-000081020000}"/>
    <cellStyle name="_방동_원평_0501설계내역서_남한산성변경도급내역서 050517" xfId="643" xr:uid="{00000000-0005-0000-0000-000082020000}"/>
    <cellStyle name="_방동_원평_0501설계내역서_로프울타리" xfId="644" xr:uid="{00000000-0005-0000-0000-000083020000}"/>
    <cellStyle name="_방동_원평_0501설계내역서_물놀이장준공내역서(0624)" xfId="645" xr:uid="{00000000-0005-0000-0000-000084020000}"/>
    <cellStyle name="_방동_원평_0501설계내역서_사본 - 0501설계내역서" xfId="646" xr:uid="{00000000-0005-0000-0000-000085020000}"/>
    <cellStyle name="_방동_원평_0501설계내역서_중원구학교숲-내역서0126" xfId="647" xr:uid="{00000000-0005-0000-0000-000086020000}"/>
    <cellStyle name="_방동_원평_0501설계내역서_중원구학교숲-수량산출서0126" xfId="648" xr:uid="{00000000-0005-0000-0000-000087020000}"/>
    <cellStyle name="_방동_원평_0501설계내역서_학교숲유지관리내역서(수정)" xfId="649" xr:uid="{00000000-0005-0000-0000-000088020000}"/>
    <cellStyle name="_방동_원평_0502설계내역서" xfId="650" xr:uid="{00000000-0005-0000-0000-000089020000}"/>
    <cellStyle name="_방동_원평_0502설계내역서_0502설계내역서(0219)" xfId="651" xr:uid="{00000000-0005-0000-0000-00008A020000}"/>
    <cellStyle name="_방동_원평_0502설계내역서_0502설계내역서(수정)" xfId="652" xr:uid="{00000000-0005-0000-0000-00008B020000}"/>
    <cellStyle name="_방동_원평_0502설계내역서_0502설계내역서(최종)" xfId="653" xr:uid="{00000000-0005-0000-0000-00008C020000}"/>
    <cellStyle name="_방동_원평_0502설계내역서_0515설계내역서" xfId="654" xr:uid="{00000000-0005-0000-0000-00008D020000}"/>
    <cellStyle name="_방동_원평_Book1" xfId="655" xr:uid="{00000000-0005-0000-0000-00008E020000}"/>
    <cellStyle name="_방동_원평_Book1_수량산출서양식" xfId="656" xr:uid="{00000000-0005-0000-0000-00008F020000}"/>
    <cellStyle name="_방동_원평_Book1_주암수량산출(1차)" xfId="657" xr:uid="{00000000-0005-0000-0000-000090020000}"/>
    <cellStyle name="_방동_원평_Book1_주암수량산출서" xfId="658" xr:uid="{00000000-0005-0000-0000-000091020000}"/>
    <cellStyle name="_방동_원평_내역서-최종0223" xfId="659" xr:uid="{00000000-0005-0000-0000-000092020000}"/>
    <cellStyle name="_방동_원평_내역서-최종0223_진해자은수량산출서(단지내)" xfId="660" xr:uid="{00000000-0005-0000-0000-000093020000}"/>
    <cellStyle name="_방동_원평_내역서-최종0223_진해자은수량산출서(단지내)_진해자은수량산출서(도시기반)0621" xfId="661" xr:uid="{00000000-0005-0000-0000-000094020000}"/>
    <cellStyle name="_방동_원평_내역서-최종0223_철거 및 이설수량산출-학교숲" xfId="662" xr:uid="{00000000-0005-0000-0000-000095020000}"/>
    <cellStyle name="_방동_원평_라멘교 토공" xfId="663" xr:uid="{00000000-0005-0000-0000-000096020000}"/>
    <cellStyle name="_방동_원평_라멘교 토공_Book1" xfId="664" xr:uid="{00000000-0005-0000-0000-000097020000}"/>
    <cellStyle name="_방동_원평_라멘교 토공_Book1_수량산출서양식" xfId="665" xr:uid="{00000000-0005-0000-0000-000098020000}"/>
    <cellStyle name="_방동_원평_라멘교 토공_Book1_주암수량산출(1차)" xfId="666" xr:uid="{00000000-0005-0000-0000-000099020000}"/>
    <cellStyle name="_방동_원평_라멘교 토공_Book1_주암수량산출서" xfId="667" xr:uid="{00000000-0005-0000-0000-00009A020000}"/>
    <cellStyle name="_방동_원평_율동자연공원내 화장실 보수 및 도색공사" xfId="668" xr:uid="{00000000-0005-0000-0000-00009B020000}"/>
    <cellStyle name="_방동_원평_율동자연공원내 화장실 보수 및 도색공사_내역서-최종0223" xfId="669" xr:uid="{00000000-0005-0000-0000-00009C020000}"/>
    <cellStyle name="_방동_원평_율동자연공원내 화장실 보수 및 도색공사_내역서-최종0223_진해자은수량산출서(단지내)" xfId="670" xr:uid="{00000000-0005-0000-0000-00009D020000}"/>
    <cellStyle name="_방동_원평_율동자연공원내 화장실 보수 및 도색공사_내역서-최종0223_진해자은수량산출서(단지내)_진해자은수량산출서(도시기반)0621" xfId="671" xr:uid="{00000000-0005-0000-0000-00009E020000}"/>
    <cellStyle name="_방동_원평_율동자연공원내 화장실 보수 및 도색공사_내역서-최종0223_철거 및 이설수량산출-학교숲" xfId="672" xr:uid="{00000000-0005-0000-0000-00009F020000}"/>
    <cellStyle name="_방동_원평_율동자연공원내 화장실 보수 및 도색공사_진해자은수량산출서(단지내)" xfId="673" xr:uid="{00000000-0005-0000-0000-0000A0020000}"/>
    <cellStyle name="_방동_원평_율동자연공원내 화장실 보수 및 도색공사_진해자은수량산출서(단지내)_진해자은수량산출서(도시기반)0621" xfId="674" xr:uid="{00000000-0005-0000-0000-0000A1020000}"/>
    <cellStyle name="_방동_원평_율동자연공원내 화장실 보수 및 도색공사_철거 및 이설수량산출-학교숲" xfId="675" xr:uid="{00000000-0005-0000-0000-0000A2020000}"/>
    <cellStyle name="_방동_원평_율동자연공원내 휴게편의점 도색작업-할증-천정면적추가" xfId="676" xr:uid="{00000000-0005-0000-0000-0000A3020000}"/>
    <cellStyle name="_방동_원평_율동자연공원내 휴게편의점 도색작업-할증-천정면적추가_내역서-최종0223" xfId="677" xr:uid="{00000000-0005-0000-0000-0000A4020000}"/>
    <cellStyle name="_방동_원평_율동자연공원내 휴게편의점 도색작업-할증-천정면적추가_내역서-최종0223_진해자은수량산출서(단지내)" xfId="678" xr:uid="{00000000-0005-0000-0000-0000A5020000}"/>
    <cellStyle name="_방동_원평_율동자연공원내 휴게편의점 도색작업-할증-천정면적추가_내역서-최종0223_진해자은수량산출서(단지내)_진해자은수량산출서(도시기반)0621" xfId="679" xr:uid="{00000000-0005-0000-0000-0000A6020000}"/>
    <cellStyle name="_방동_원평_율동자연공원내 휴게편의점 도색작업-할증-천정면적추가_내역서-최종0223_철거 및 이설수량산출-학교숲" xfId="680" xr:uid="{00000000-0005-0000-0000-0000A7020000}"/>
    <cellStyle name="_방동_원평_율동자연공원내 휴게편의점 도색작업-할증-천정면적추가_진해자은수량산출서(단지내)" xfId="681" xr:uid="{00000000-0005-0000-0000-0000A8020000}"/>
    <cellStyle name="_방동_원평_율동자연공원내 휴게편의점 도색작업-할증-천정면적추가_진해자은수량산출서(단지내)_진해자은수량산출서(도시기반)0621" xfId="682" xr:uid="{00000000-0005-0000-0000-0000A9020000}"/>
    <cellStyle name="_방동_원평_율동자연공원내 휴게편의점 도색작업-할증-천정면적추가_철거 및 이설수량산출-학교숲" xfId="683" xr:uid="{00000000-0005-0000-0000-0000AA020000}"/>
    <cellStyle name="_방동_원평_진해자은수량산출서(단지내)" xfId="684" xr:uid="{00000000-0005-0000-0000-0000AB020000}"/>
    <cellStyle name="_방동_원평_진해자은수량산출서(단지내)_진해자은수량산출서(도시기반)0621" xfId="685" xr:uid="{00000000-0005-0000-0000-0000AC020000}"/>
    <cellStyle name="_방동_원평_철거 및 이설수량산출-학교숲" xfId="686" xr:uid="{00000000-0005-0000-0000-0000AD020000}"/>
    <cellStyle name="_방동_원평_포장" xfId="687" xr:uid="{00000000-0005-0000-0000-0000AE020000}"/>
    <cellStyle name="_방동_원평_포장_Book1" xfId="688" xr:uid="{00000000-0005-0000-0000-0000AF020000}"/>
    <cellStyle name="_방동_원평_포장_Book1_수량산출서양식" xfId="689" xr:uid="{00000000-0005-0000-0000-0000B0020000}"/>
    <cellStyle name="_방동_원평_포장_Book1_주암수량산출(1차)" xfId="690" xr:uid="{00000000-0005-0000-0000-0000B1020000}"/>
    <cellStyle name="_방동_원평_포장_Book1_주암수량산출서" xfId="691" xr:uid="{00000000-0005-0000-0000-0000B2020000}"/>
    <cellStyle name="_방동_원평_포장_라멘교 토공" xfId="692" xr:uid="{00000000-0005-0000-0000-0000B3020000}"/>
    <cellStyle name="_방동_원평_포장_라멘교 토공_Book1" xfId="693" xr:uid="{00000000-0005-0000-0000-0000B4020000}"/>
    <cellStyle name="_방동_원평_포장_라멘교 토공_Book1_수량산출서양식" xfId="694" xr:uid="{00000000-0005-0000-0000-0000B5020000}"/>
    <cellStyle name="_방동_원평_포장_라멘교 토공_Book1_주암수량산출(1차)" xfId="695" xr:uid="{00000000-0005-0000-0000-0000B6020000}"/>
    <cellStyle name="_방동_원평_포장_라멘교 토공_Book1_주암수량산출서" xfId="696" xr:uid="{00000000-0005-0000-0000-0000B7020000}"/>
    <cellStyle name="_방동_율동자연공원내 화장실 보수 및 도색공사" xfId="697" xr:uid="{00000000-0005-0000-0000-0000B8020000}"/>
    <cellStyle name="_방동_율동자연공원내 화장실 보수 및 도색공사_내역서-최종0223" xfId="698" xr:uid="{00000000-0005-0000-0000-0000B9020000}"/>
    <cellStyle name="_방동_율동자연공원내 화장실 보수 및 도색공사_내역서-최종0223_진해자은수량산출서(단지내)" xfId="699" xr:uid="{00000000-0005-0000-0000-0000BA020000}"/>
    <cellStyle name="_방동_율동자연공원내 화장실 보수 및 도색공사_내역서-최종0223_진해자은수량산출서(단지내)_진해자은수량산출서(도시기반)0621" xfId="700" xr:uid="{00000000-0005-0000-0000-0000BB020000}"/>
    <cellStyle name="_방동_율동자연공원내 화장실 보수 및 도색공사_내역서-최종0223_철거 및 이설수량산출-학교숲" xfId="701" xr:uid="{00000000-0005-0000-0000-0000BC020000}"/>
    <cellStyle name="_방동_율동자연공원내 화장실 보수 및 도색공사_진해자은수량산출서(단지내)" xfId="702" xr:uid="{00000000-0005-0000-0000-0000BD020000}"/>
    <cellStyle name="_방동_율동자연공원내 화장실 보수 및 도색공사_진해자은수량산출서(단지내)_진해자은수량산출서(도시기반)0621" xfId="703" xr:uid="{00000000-0005-0000-0000-0000BE020000}"/>
    <cellStyle name="_방동_율동자연공원내 화장실 보수 및 도색공사_철거 및 이설수량산출-학교숲" xfId="704" xr:uid="{00000000-0005-0000-0000-0000BF020000}"/>
    <cellStyle name="_방동_율동자연공원내 휴게편의점 도색작업-할증-천정면적추가" xfId="705" xr:uid="{00000000-0005-0000-0000-0000C0020000}"/>
    <cellStyle name="_방동_율동자연공원내 휴게편의점 도색작업-할증-천정면적추가_내역서-최종0223" xfId="706" xr:uid="{00000000-0005-0000-0000-0000C1020000}"/>
    <cellStyle name="_방동_율동자연공원내 휴게편의점 도색작업-할증-천정면적추가_내역서-최종0223_진해자은수량산출서(단지내)" xfId="707" xr:uid="{00000000-0005-0000-0000-0000C2020000}"/>
    <cellStyle name="_방동_율동자연공원내 휴게편의점 도색작업-할증-천정면적추가_내역서-최종0223_진해자은수량산출서(단지내)_진해자은수량산출서(도시기반)0621" xfId="708" xr:uid="{00000000-0005-0000-0000-0000C3020000}"/>
    <cellStyle name="_방동_율동자연공원내 휴게편의점 도색작업-할증-천정면적추가_내역서-최종0223_철거 및 이설수량산출-학교숲" xfId="709" xr:uid="{00000000-0005-0000-0000-0000C4020000}"/>
    <cellStyle name="_방동_율동자연공원내 휴게편의점 도색작업-할증-천정면적추가_진해자은수량산출서(단지내)" xfId="710" xr:uid="{00000000-0005-0000-0000-0000C5020000}"/>
    <cellStyle name="_방동_율동자연공원내 휴게편의점 도색작업-할증-천정면적추가_진해자은수량산출서(단지내)_진해자은수량산출서(도시기반)0621" xfId="711" xr:uid="{00000000-0005-0000-0000-0000C6020000}"/>
    <cellStyle name="_방동_율동자연공원내 휴게편의점 도색작업-할증-천정면적추가_철거 및 이설수량산출-학교숲" xfId="712" xr:uid="{00000000-0005-0000-0000-0000C7020000}"/>
    <cellStyle name="_방동_진해자은수량산출서(단지내)" xfId="713" xr:uid="{00000000-0005-0000-0000-0000C8020000}"/>
    <cellStyle name="_방동_진해자은수량산출서(단지내)_진해자은수량산출서(도시기반)0621" xfId="714" xr:uid="{00000000-0005-0000-0000-0000C9020000}"/>
    <cellStyle name="_방동_철거 및 이설수량산출-학교숲" xfId="715" xr:uid="{00000000-0005-0000-0000-0000CA020000}"/>
    <cellStyle name="_방동_추곡" xfId="716" xr:uid="{00000000-0005-0000-0000-0000CB020000}"/>
    <cellStyle name="_방동_추곡_0501설계내역서" xfId="717" xr:uid="{00000000-0005-0000-0000-0000CC020000}"/>
    <cellStyle name="_방동_추곡_0501설계내역서_0501설계내역서" xfId="718" xr:uid="{00000000-0005-0000-0000-0000CD020000}"/>
    <cellStyle name="_방동_추곡_0501설계내역서_0501설계내역서(10억)" xfId="719" xr:uid="{00000000-0005-0000-0000-0000CE020000}"/>
    <cellStyle name="_방동_추곡_0501설계내역서_0501설계내역서(7억)" xfId="720" xr:uid="{00000000-0005-0000-0000-0000CF020000}"/>
    <cellStyle name="_방동_추곡_0501설계내역서_0501설계내역서(7억)-최종" xfId="721" xr:uid="{00000000-0005-0000-0000-0000D0020000}"/>
    <cellStyle name="_방동_추곡_0501설계내역서_0501설계내역서(최종)" xfId="722" xr:uid="{00000000-0005-0000-0000-0000D1020000}"/>
    <cellStyle name="_방동_추곡_0501설계내역서_0510도급내역서" xfId="723" xr:uid="{00000000-0005-0000-0000-0000D2020000}"/>
    <cellStyle name="_방동_추곡_0501설계내역서_0513설계내역서" xfId="724" xr:uid="{00000000-0005-0000-0000-0000D3020000}"/>
    <cellStyle name="_방동_추곡_0501설계내역서_0523설계내역서" xfId="725" xr:uid="{00000000-0005-0000-0000-0000D4020000}"/>
    <cellStyle name="_방동_추곡_0501설계내역서_0523설계내역서 (version 1)" xfId="726" xr:uid="{00000000-0005-0000-0000-0000D5020000}"/>
    <cellStyle name="_방동_추곡_0501설계내역서_0523설계내역서(최종)" xfId="727" xr:uid="{00000000-0005-0000-0000-0000D6020000}"/>
    <cellStyle name="_방동_추곡_0501설계내역서_2006 학교숲 설계내역서" xfId="728" xr:uid="{00000000-0005-0000-0000-0000D7020000}"/>
    <cellStyle name="_방동_추곡_0501설계내역서_남한산성변경도급내역서 050517" xfId="729" xr:uid="{00000000-0005-0000-0000-0000D8020000}"/>
    <cellStyle name="_방동_추곡_0501설계내역서_로프울타리" xfId="730" xr:uid="{00000000-0005-0000-0000-0000D9020000}"/>
    <cellStyle name="_방동_추곡_0501설계내역서_물놀이장준공내역서(0624)" xfId="731" xr:uid="{00000000-0005-0000-0000-0000DA020000}"/>
    <cellStyle name="_방동_추곡_0501설계내역서_사본 - 0501설계내역서" xfId="732" xr:uid="{00000000-0005-0000-0000-0000DB020000}"/>
    <cellStyle name="_방동_추곡_0501설계내역서_중원구학교숲-내역서0126" xfId="733" xr:uid="{00000000-0005-0000-0000-0000DC020000}"/>
    <cellStyle name="_방동_추곡_0501설계내역서_중원구학교숲-수량산출서0126" xfId="734" xr:uid="{00000000-0005-0000-0000-0000DD020000}"/>
    <cellStyle name="_방동_추곡_0501설계내역서_학교숲유지관리내역서(수정)" xfId="735" xr:uid="{00000000-0005-0000-0000-0000DE020000}"/>
    <cellStyle name="_방동_추곡_0502설계내역서" xfId="736" xr:uid="{00000000-0005-0000-0000-0000DF020000}"/>
    <cellStyle name="_방동_추곡_0502설계내역서_0502설계내역서(0219)" xfId="737" xr:uid="{00000000-0005-0000-0000-0000E0020000}"/>
    <cellStyle name="_방동_추곡_0502설계내역서_0502설계내역서(수정)" xfId="738" xr:uid="{00000000-0005-0000-0000-0000E1020000}"/>
    <cellStyle name="_방동_추곡_0502설계내역서_0502설계내역서(최종)" xfId="739" xr:uid="{00000000-0005-0000-0000-0000E2020000}"/>
    <cellStyle name="_방동_추곡_0502설계내역서_0515설계내역서" xfId="740" xr:uid="{00000000-0005-0000-0000-0000E3020000}"/>
    <cellStyle name="_방동_추곡_Book1" xfId="741" xr:uid="{00000000-0005-0000-0000-0000E4020000}"/>
    <cellStyle name="_방동_추곡_Book1_수량산출서양식" xfId="742" xr:uid="{00000000-0005-0000-0000-0000E5020000}"/>
    <cellStyle name="_방동_추곡_Book1_주암수량산출(1차)" xfId="743" xr:uid="{00000000-0005-0000-0000-0000E6020000}"/>
    <cellStyle name="_방동_추곡_Book1_주암수량산출서" xfId="744" xr:uid="{00000000-0005-0000-0000-0000E7020000}"/>
    <cellStyle name="_방동_추곡_내역서-최종0223" xfId="745" xr:uid="{00000000-0005-0000-0000-0000E8020000}"/>
    <cellStyle name="_방동_추곡_내역서-최종0223_진해자은수량산출서(단지내)" xfId="746" xr:uid="{00000000-0005-0000-0000-0000E9020000}"/>
    <cellStyle name="_방동_추곡_내역서-최종0223_진해자은수량산출서(단지내)_진해자은수량산출서(도시기반)0621" xfId="747" xr:uid="{00000000-0005-0000-0000-0000EA020000}"/>
    <cellStyle name="_방동_추곡_내역서-최종0223_철거 및 이설수량산출-학교숲" xfId="748" xr:uid="{00000000-0005-0000-0000-0000EB020000}"/>
    <cellStyle name="_방동_추곡_라멘교 토공" xfId="749" xr:uid="{00000000-0005-0000-0000-0000EC020000}"/>
    <cellStyle name="_방동_추곡_라멘교 토공_Book1" xfId="750" xr:uid="{00000000-0005-0000-0000-0000ED020000}"/>
    <cellStyle name="_방동_추곡_라멘교 토공_Book1_수량산출서양식" xfId="751" xr:uid="{00000000-0005-0000-0000-0000EE020000}"/>
    <cellStyle name="_방동_추곡_라멘교 토공_Book1_주암수량산출(1차)" xfId="752" xr:uid="{00000000-0005-0000-0000-0000EF020000}"/>
    <cellStyle name="_방동_추곡_라멘교 토공_Book1_주암수량산출서" xfId="753" xr:uid="{00000000-0005-0000-0000-0000F0020000}"/>
    <cellStyle name="_방동_추곡_율동자연공원내 화장실 보수 및 도색공사" xfId="754" xr:uid="{00000000-0005-0000-0000-0000F1020000}"/>
    <cellStyle name="_방동_추곡_율동자연공원내 화장실 보수 및 도색공사_내역서-최종0223" xfId="755" xr:uid="{00000000-0005-0000-0000-0000F2020000}"/>
    <cellStyle name="_방동_추곡_율동자연공원내 화장실 보수 및 도색공사_내역서-최종0223_진해자은수량산출서(단지내)" xfId="756" xr:uid="{00000000-0005-0000-0000-0000F3020000}"/>
    <cellStyle name="_방동_추곡_율동자연공원내 화장실 보수 및 도색공사_내역서-최종0223_진해자은수량산출서(단지내)_진해자은수량산출서(도시기반)0621" xfId="757" xr:uid="{00000000-0005-0000-0000-0000F4020000}"/>
    <cellStyle name="_방동_추곡_율동자연공원내 화장실 보수 및 도색공사_내역서-최종0223_철거 및 이설수량산출-학교숲" xfId="758" xr:uid="{00000000-0005-0000-0000-0000F5020000}"/>
    <cellStyle name="_방동_추곡_율동자연공원내 화장실 보수 및 도색공사_진해자은수량산출서(단지내)" xfId="759" xr:uid="{00000000-0005-0000-0000-0000F6020000}"/>
    <cellStyle name="_방동_추곡_율동자연공원내 화장실 보수 및 도색공사_진해자은수량산출서(단지내)_진해자은수량산출서(도시기반)0621" xfId="760" xr:uid="{00000000-0005-0000-0000-0000F7020000}"/>
    <cellStyle name="_방동_추곡_율동자연공원내 화장실 보수 및 도색공사_철거 및 이설수량산출-학교숲" xfId="761" xr:uid="{00000000-0005-0000-0000-0000F8020000}"/>
    <cellStyle name="_방동_추곡_율동자연공원내 휴게편의점 도색작업-할증-천정면적추가" xfId="762" xr:uid="{00000000-0005-0000-0000-0000F9020000}"/>
    <cellStyle name="_방동_추곡_율동자연공원내 휴게편의점 도색작업-할증-천정면적추가_내역서-최종0223" xfId="763" xr:uid="{00000000-0005-0000-0000-0000FA020000}"/>
    <cellStyle name="_방동_추곡_율동자연공원내 휴게편의점 도색작업-할증-천정면적추가_내역서-최종0223_진해자은수량산출서(단지내)" xfId="764" xr:uid="{00000000-0005-0000-0000-0000FB020000}"/>
    <cellStyle name="_방동_추곡_율동자연공원내 휴게편의점 도색작업-할증-천정면적추가_내역서-최종0223_진해자은수량산출서(단지내)_진해자은수량산출서(도시기반)0621" xfId="765" xr:uid="{00000000-0005-0000-0000-0000FC020000}"/>
    <cellStyle name="_방동_추곡_율동자연공원내 휴게편의점 도색작업-할증-천정면적추가_내역서-최종0223_철거 및 이설수량산출-학교숲" xfId="766" xr:uid="{00000000-0005-0000-0000-0000FD020000}"/>
    <cellStyle name="_방동_추곡_율동자연공원내 휴게편의점 도색작업-할증-천정면적추가_진해자은수량산출서(단지내)" xfId="767" xr:uid="{00000000-0005-0000-0000-0000FE020000}"/>
    <cellStyle name="_방동_추곡_율동자연공원내 휴게편의점 도색작업-할증-천정면적추가_진해자은수량산출서(단지내)_진해자은수량산출서(도시기반)0621" xfId="768" xr:uid="{00000000-0005-0000-0000-0000FF020000}"/>
    <cellStyle name="_방동_추곡_율동자연공원내 휴게편의점 도색작업-할증-천정면적추가_철거 및 이설수량산출-학교숲" xfId="769" xr:uid="{00000000-0005-0000-0000-000000030000}"/>
    <cellStyle name="_방동_추곡_진해자은수량산출서(단지내)" xfId="770" xr:uid="{00000000-0005-0000-0000-000001030000}"/>
    <cellStyle name="_방동_추곡_진해자은수량산출서(단지내)_진해자은수량산출서(도시기반)0621" xfId="771" xr:uid="{00000000-0005-0000-0000-000002030000}"/>
    <cellStyle name="_방동_추곡_철거 및 이설수량산출-학교숲" xfId="772" xr:uid="{00000000-0005-0000-0000-000003030000}"/>
    <cellStyle name="_방동_추곡_포장" xfId="773" xr:uid="{00000000-0005-0000-0000-000004030000}"/>
    <cellStyle name="_방동_추곡_포장_Book1" xfId="774" xr:uid="{00000000-0005-0000-0000-000005030000}"/>
    <cellStyle name="_방동_추곡_포장_Book1_수량산출서양식" xfId="775" xr:uid="{00000000-0005-0000-0000-000006030000}"/>
    <cellStyle name="_방동_추곡_포장_Book1_주암수량산출(1차)" xfId="776" xr:uid="{00000000-0005-0000-0000-000007030000}"/>
    <cellStyle name="_방동_추곡_포장_Book1_주암수량산출서" xfId="777" xr:uid="{00000000-0005-0000-0000-000008030000}"/>
    <cellStyle name="_방동_추곡_포장_라멘교 토공" xfId="778" xr:uid="{00000000-0005-0000-0000-000009030000}"/>
    <cellStyle name="_방동_추곡_포장_라멘교 토공_Book1" xfId="779" xr:uid="{00000000-0005-0000-0000-00000A030000}"/>
    <cellStyle name="_방동_추곡_포장_라멘교 토공_Book1_수량산출서양식" xfId="780" xr:uid="{00000000-0005-0000-0000-00000B030000}"/>
    <cellStyle name="_방동_추곡_포장_라멘교 토공_Book1_주암수량산출(1차)" xfId="781" xr:uid="{00000000-0005-0000-0000-00000C030000}"/>
    <cellStyle name="_방동_추곡_포장_라멘교 토공_Book1_주암수량산출서" xfId="782" xr:uid="{00000000-0005-0000-0000-00000D030000}"/>
    <cellStyle name="_방동_포장" xfId="783" xr:uid="{00000000-0005-0000-0000-00000E030000}"/>
    <cellStyle name="_방동_포장_Book1" xfId="784" xr:uid="{00000000-0005-0000-0000-00000F030000}"/>
    <cellStyle name="_방동_포장_Book1_수량산출서양식" xfId="785" xr:uid="{00000000-0005-0000-0000-000010030000}"/>
    <cellStyle name="_방동_포장_Book1_주암수량산출(1차)" xfId="786" xr:uid="{00000000-0005-0000-0000-000011030000}"/>
    <cellStyle name="_방동_포장_Book1_주암수량산출서" xfId="787" xr:uid="{00000000-0005-0000-0000-000012030000}"/>
    <cellStyle name="_방동_포장_라멘교 토공" xfId="788" xr:uid="{00000000-0005-0000-0000-000013030000}"/>
    <cellStyle name="_방동_포장_라멘교 토공_Book1" xfId="789" xr:uid="{00000000-0005-0000-0000-000014030000}"/>
    <cellStyle name="_방동_포장_라멘교 토공_Book1_수량산출서양식" xfId="790" xr:uid="{00000000-0005-0000-0000-000015030000}"/>
    <cellStyle name="_방동_포장_라멘교 토공_Book1_주암수량산출(1차)" xfId="791" xr:uid="{00000000-0005-0000-0000-000016030000}"/>
    <cellStyle name="_방동_포장_라멘교 토공_Book1_주암수량산출서" xfId="792" xr:uid="{00000000-0005-0000-0000-000017030000}"/>
    <cellStyle name="_백운초통신내역(최종)" xfId="793" xr:uid="{00000000-0005-0000-0000-000018030000}"/>
    <cellStyle name="_변경내역(추가2)" xfId="794" xr:uid="{00000000-0005-0000-0000-000019030000}"/>
    <cellStyle name="_별첨(계획서및실적서양식)" xfId="795" xr:uid="{00000000-0005-0000-0000-00001A030000}"/>
    <cellStyle name="_별첨(계획서및실적서양식)_1" xfId="796" xr:uid="{00000000-0005-0000-0000-00001B030000}"/>
    <cellStyle name="_보수로공사비2" xfId="797" xr:uid="{00000000-0005-0000-0000-00001C030000}"/>
    <cellStyle name="_복구설계(73) 9.22" xfId="798" xr:uid="{00000000-0005-0000-0000-00001D030000}"/>
    <cellStyle name="_복구설계서-시청검토031208" xfId="799" xr:uid="{00000000-0005-0000-0000-00001E030000}"/>
    <cellStyle name="_봉평~내면토공" xfId="800" xr:uid="{00000000-0005-0000-0000-00001F030000}"/>
    <cellStyle name="_북포항포장보강공사(정산)" xfId="801" xr:uid="{00000000-0005-0000-0000-000020030000}"/>
    <cellStyle name="_사동초중" xfId="802" xr:uid="{00000000-0005-0000-0000-000021030000}"/>
    <cellStyle name="_사방구조물도(설계변경)" xfId="803" xr:uid="{00000000-0005-0000-0000-000022030000}"/>
    <cellStyle name="_사방품셈초안(김천금릉)" xfId="804" xr:uid="{00000000-0005-0000-0000-000023030000}"/>
    <cellStyle name="_사본-검측야장" xfId="805" xr:uid="{00000000-0005-0000-0000-000024030000}"/>
    <cellStyle name="_삼척대분수예산(0906)수배전-사급-터파기수정2" xfId="806" xr:uid="{00000000-0005-0000-0000-000025030000}"/>
    <cellStyle name="_상리~사천간국도4차로공사내역" xfId="807" xr:uid="{00000000-0005-0000-0000-000026030000}"/>
    <cellStyle name="_상부설계변경" xfId="808" xr:uid="{00000000-0005-0000-0000-000027030000}"/>
    <cellStyle name="_상주신촌서만체육공원내역서" xfId="809" xr:uid="{00000000-0005-0000-0000-000028030000}"/>
    <cellStyle name="_서대구복구설계(0110종결분)" xfId="810" xr:uid="{00000000-0005-0000-0000-000029030000}"/>
    <cellStyle name="_석은희지압보도" xfId="811" xr:uid="{00000000-0005-0000-0000-00002A030000}"/>
    <cellStyle name="_석은희지압보도_내역서-최종0223" xfId="812" xr:uid="{00000000-0005-0000-0000-00002B030000}"/>
    <cellStyle name="_석은희지압보도_내역서-최종0223_진해자은수량산출서(단지내)" xfId="813" xr:uid="{00000000-0005-0000-0000-00002C030000}"/>
    <cellStyle name="_석은희지압보도_내역서-최종0223_진해자은수량산출서(단지내)_진해자은수량산출서(도시기반)0621" xfId="814" xr:uid="{00000000-0005-0000-0000-00002D030000}"/>
    <cellStyle name="_석은희지압보도_내역서-최종0223_철거 및 이설수량산출-학교숲" xfId="815" xr:uid="{00000000-0005-0000-0000-00002E030000}"/>
    <cellStyle name="_석은희지압보도_진해자은수량산출서(단지내)" xfId="816" xr:uid="{00000000-0005-0000-0000-00002F030000}"/>
    <cellStyle name="_석은희지압보도_진해자은수량산출서(단지내)_진해자은수량산출서(도시기반)0621" xfId="817" xr:uid="{00000000-0005-0000-0000-000030030000}"/>
    <cellStyle name="_석은희지압보도_철거 및 이설수량산출-학교숲" xfId="818" xr:uid="{00000000-0005-0000-0000-000031030000}"/>
    <cellStyle name="_설계내역서0312" xfId="819" xr:uid="{00000000-0005-0000-0000-000032030000}"/>
    <cellStyle name="_설계변경 총괄 양식" xfId="820" xr:uid="{00000000-0005-0000-0000-000033030000}"/>
    <cellStyle name="_설계변경작성서식" xfId="821" xr:uid="{00000000-0005-0000-0000-000034030000}"/>
    <cellStyle name="_설계변경조서" xfId="822" xr:uid="{00000000-0005-0000-0000-000035030000}"/>
    <cellStyle name="_설계변경조서(8.15)" xfId="823" xr:uid="{00000000-0005-0000-0000-000036030000}"/>
    <cellStyle name="_설계서 표지" xfId="824" xr:uid="{00000000-0005-0000-0000-000037030000}"/>
    <cellStyle name="_설변(토)-최종" xfId="825" xr:uid="{00000000-0005-0000-0000-000038030000}"/>
    <cellStyle name="_설비변경내역서" xfId="826" xr:uid="{00000000-0005-0000-0000-000039030000}"/>
    <cellStyle name="_송전물가변경(최종)" xfId="827" xr:uid="{00000000-0005-0000-0000-00003A030000}"/>
    <cellStyle name="_송전물가변경(최종1)" xfId="828" xr:uid="{00000000-0005-0000-0000-00003B030000}"/>
    <cellStyle name="_수량" xfId="829" xr:uid="{00000000-0005-0000-0000-00003C030000}"/>
    <cellStyle name="_수량 산출(관창,옥산,홍성)" xfId="830" xr:uid="{00000000-0005-0000-0000-00003D030000}"/>
    <cellStyle name="_수량산출서" xfId="831" xr:uid="{00000000-0005-0000-0000-00003E030000}"/>
    <cellStyle name="_수량산출서(0722)" xfId="832" xr:uid="{00000000-0005-0000-0000-00003F030000}"/>
    <cellStyle name="_수량산출서(안덕-대정1차)" xfId="833" xr:uid="{00000000-0005-0000-0000-000040030000}"/>
    <cellStyle name="_수성구청내역서" xfId="834" xr:uid="{00000000-0005-0000-0000-000041030000}"/>
    <cellStyle name="_수성구청내역서_수성구청내역서" xfId="835" xr:uid="{00000000-0005-0000-0000-000042030000}"/>
    <cellStyle name="_숭실대학교 걷고싶은 거리 녹화사업" xfId="836" xr:uid="{00000000-0005-0000-0000-000043030000}"/>
    <cellStyle name="_신규비목 품셈" xfId="837" xr:uid="{00000000-0005-0000-0000-000044030000}"/>
    <cellStyle name="_신남원임실배수로(설계)" xfId="838" xr:uid="{00000000-0005-0000-0000-000045030000}"/>
    <cellStyle name="_신진천-성거(계약변경)" xfId="839" xr:uid="{00000000-0005-0000-0000-000046030000}"/>
    <cellStyle name="_신진천-성거(설변송)-예정" xfId="840" xr:uid="{00000000-0005-0000-0000-000047030000}"/>
    <cellStyle name="_신진천-성거(설변송)-예정1" xfId="841" xr:uid="{00000000-0005-0000-0000-000048030000}"/>
    <cellStyle name="_신진천-성거(설변토)-예정" xfId="842" xr:uid="{00000000-0005-0000-0000-000049030000}"/>
    <cellStyle name="_신포(단가엑셀)-재설계" xfId="843" xr:uid="{00000000-0005-0000-0000-00004A030000}"/>
    <cellStyle name="_실정보고3차(암거11.28)" xfId="844" xr:uid="{00000000-0005-0000-0000-00004B030000}"/>
    <cellStyle name="_암거낙차부" xfId="845" xr:uid="{00000000-0005-0000-0000-00004C030000}"/>
    <cellStyle name="_암거낙차부_우수수량-1" xfId="846" xr:uid="{00000000-0005-0000-0000-00004D030000}"/>
    <cellStyle name="_암거낙차부_우수수량-1_토적수정  (8.13)" xfId="847" xr:uid="{00000000-0005-0000-0000-00004E030000}"/>
    <cellStyle name="_암거낙차부_우수수량-1_토적수정  (8.24)" xfId="848" xr:uid="{00000000-0005-0000-0000-00004F030000}"/>
    <cellStyle name="_암거낙차부_차집관로수량(수정811)" xfId="849" xr:uid="{00000000-0005-0000-0000-000050030000}"/>
    <cellStyle name="_암거낙차부_차집관로수량(수정811)_토적수정  (8.13)" xfId="850" xr:uid="{00000000-0005-0000-0000-000051030000}"/>
    <cellStyle name="_암거낙차부_차집관로수량(수정811)_토적수정  (8.24)" xfId="851" xr:uid="{00000000-0005-0000-0000-000052030000}"/>
    <cellStyle name="_암거낙차부_포장수량-2" xfId="852" xr:uid="{00000000-0005-0000-0000-000053030000}"/>
    <cellStyle name="_암거낙차부_포장수량-2_토적수정  (8.13)" xfId="853" xr:uid="{00000000-0005-0000-0000-000054030000}"/>
    <cellStyle name="_암거낙차부_포장수량-2_토적수정  (8.24)" xfId="854" xr:uid="{00000000-0005-0000-0000-000055030000}"/>
    <cellStyle name="_양식" xfId="855" xr:uid="{00000000-0005-0000-0000-000056030000}"/>
    <cellStyle name="_양식_1" xfId="856" xr:uid="{00000000-0005-0000-0000-000057030000}"/>
    <cellStyle name="_양식_2" xfId="857" xr:uid="{00000000-0005-0000-0000-000058030000}"/>
    <cellStyle name="_양양-동해(1공구)" xfId="858" xr:uid="{00000000-0005-0000-0000-000059030000}"/>
    <cellStyle name="_양양설계서(1공구토목최종분)" xfId="859" xr:uid="{00000000-0005-0000-0000-00005A030000}"/>
    <cellStyle name="_연안권내역서(토목부문내역서)" xfId="860" xr:uid="{00000000-0005-0000-0000-00005B030000}"/>
    <cellStyle name="_연안권역특화거리조성을위한음악분수대설치" xfId="861" xr:uid="{00000000-0005-0000-0000-00005C030000}"/>
    <cellStyle name="_연안권역특화거리조성을위한음악분수대설치_Book1" xfId="862" xr:uid="{00000000-0005-0000-0000-00005D030000}"/>
    <cellStyle name="_연안권역특화거리조성을위한음악분수대설치_Book1_수량산출서양식" xfId="863" xr:uid="{00000000-0005-0000-0000-00005E030000}"/>
    <cellStyle name="_연안권역특화거리조성을위한음악분수대설치_Book1_주암수량산출(1차)" xfId="864" xr:uid="{00000000-0005-0000-0000-00005F030000}"/>
    <cellStyle name="_연안권역특화거리조성을위한음악분수대설치_Book1_주암수량산출서" xfId="865" xr:uid="{00000000-0005-0000-0000-000060030000}"/>
    <cellStyle name="_연안권역특화거리조성을위한음악분수대설치R6(제출EBS)-설비,전기,관리실" xfId="866" xr:uid="{00000000-0005-0000-0000-000061030000}"/>
    <cellStyle name="_연안권역특화거리조성을위한음악분수대설치R6(제출EBS)-설비,전기,관리실_Book1" xfId="867" xr:uid="{00000000-0005-0000-0000-000062030000}"/>
    <cellStyle name="_연안권역특화거리조성을위한음악분수대설치R6(제출EBS)-설비,전기,관리실_Book1_수량산출서양식" xfId="868" xr:uid="{00000000-0005-0000-0000-000063030000}"/>
    <cellStyle name="_연안권역특화거리조성을위한음악분수대설치R6(제출EBS)-설비,전기,관리실_Book1_주암수량산출(1차)" xfId="869" xr:uid="{00000000-0005-0000-0000-000064030000}"/>
    <cellStyle name="_연안권역특화거리조성을위한음악분수대설치R6(제출EBS)-설비,전기,관리실_Book1_주암수량산출서" xfId="870" xr:uid="{00000000-0005-0000-0000-000065030000}"/>
    <cellStyle name="_영등포구청(간지)" xfId="871" xr:uid="{00000000-0005-0000-0000-000066030000}"/>
    <cellStyle name="_영등포구청(간지)_Book1" xfId="872" xr:uid="{00000000-0005-0000-0000-000067030000}"/>
    <cellStyle name="_영등포구청(간지)_Book1_수량산출서양식" xfId="873" xr:uid="{00000000-0005-0000-0000-000068030000}"/>
    <cellStyle name="_영등포구청(간지)_Book1_주암수량산출(1차)" xfId="874" xr:uid="{00000000-0005-0000-0000-000069030000}"/>
    <cellStyle name="_영등포구청(간지)_Book1_주암수량산출서" xfId="875" xr:uid="{00000000-0005-0000-0000-00006A030000}"/>
    <cellStyle name="_영등포구청분수 - 전기" xfId="876" xr:uid="{00000000-0005-0000-0000-00006B030000}"/>
    <cellStyle name="_영등포구청분수 - 전기_Book1" xfId="877" xr:uid="{00000000-0005-0000-0000-00006C030000}"/>
    <cellStyle name="_영등포구청분수 - 전기_Book1_수량산출서양식" xfId="878" xr:uid="{00000000-0005-0000-0000-00006D030000}"/>
    <cellStyle name="_영등포구청분수 - 전기_Book1_주암수량산출(1차)" xfId="879" xr:uid="{00000000-0005-0000-0000-00006E030000}"/>
    <cellStyle name="_영등포구청분수 - 전기_Book1_주암수량산출서" xfId="880" xr:uid="{00000000-0005-0000-0000-00006F030000}"/>
    <cellStyle name="_영등포구청역앞친수공간조성공사" xfId="881" xr:uid="{00000000-0005-0000-0000-000070030000}"/>
    <cellStyle name="_오수공" xfId="882" xr:uid="{00000000-0005-0000-0000-000071030000}"/>
    <cellStyle name="_오수수량-1" xfId="883" xr:uid="{00000000-0005-0000-0000-000072030000}"/>
    <cellStyle name="_온천19호(최종수량)" xfId="884" xr:uid="{00000000-0005-0000-0000-000073030000}"/>
    <cellStyle name="_옹벽공" xfId="885" xr:uid="{00000000-0005-0000-0000-000074030000}"/>
    <cellStyle name="_옹벽공_(준공)평택수량0727" xfId="886" xr:uid="{00000000-0005-0000-0000-000075030000}"/>
    <cellStyle name="_옹벽공_평택수량0727" xfId="887" xr:uid="{00000000-0005-0000-0000-000076030000}"/>
    <cellStyle name="_옹벽수량" xfId="888" xr:uid="{00000000-0005-0000-0000-000077030000}"/>
    <cellStyle name="_옹벽수량_(준공)평택수량0727" xfId="889" xr:uid="{00000000-0005-0000-0000-000078030000}"/>
    <cellStyle name="_옹벽수량_평택수량0727" xfId="890" xr:uid="{00000000-0005-0000-0000-000079030000}"/>
    <cellStyle name="_용문산관광지조경및편익시설설치공사(간지)" xfId="891" xr:uid="{00000000-0005-0000-0000-00007A030000}"/>
    <cellStyle name="_용문산관광지조경및편익시설설치공사(간지)_Book1" xfId="892" xr:uid="{00000000-0005-0000-0000-00007B030000}"/>
    <cellStyle name="_용문산관광지조경및편익시설설치공사(간지)_Book1_수량산출서양식" xfId="893" xr:uid="{00000000-0005-0000-0000-00007C030000}"/>
    <cellStyle name="_용문산관광지조경및편익시설설치공사(간지)_Book1_주암수량산출(1차)" xfId="894" xr:uid="{00000000-0005-0000-0000-00007D030000}"/>
    <cellStyle name="_용문산관광지조경및편익시설설치공사(간지)_Book1_주암수량산출서" xfId="895" xr:uid="{00000000-0005-0000-0000-00007E030000}"/>
    <cellStyle name="_용문산관광지조경및편익시설설치공사R3" xfId="896" xr:uid="{00000000-0005-0000-0000-00007F030000}"/>
    <cellStyle name="_용연사 포장(추가)" xfId="897" xr:uid="{00000000-0005-0000-0000-000080030000}"/>
    <cellStyle name="_용연사 포장공사" xfId="898" xr:uid="{00000000-0005-0000-0000-000081030000}"/>
    <cellStyle name="_우수수량-1" xfId="899" xr:uid="{00000000-0005-0000-0000-000082030000}"/>
    <cellStyle name="_운반별표" xfId="900" xr:uid="{00000000-0005-0000-0000-000083030000}"/>
    <cellStyle name="_운반별표(현대)" xfId="901" xr:uid="{00000000-0005-0000-0000-000084030000}"/>
    <cellStyle name="_울진신태백가선1" xfId="902" xr:uid="{00000000-0005-0000-0000-000085030000}"/>
    <cellStyle name="_울타리단가산출" xfId="903" xr:uid="{00000000-0005-0000-0000-000086030000}"/>
    <cellStyle name="_원동근린공원조경공사(간지)" xfId="904" xr:uid="{00000000-0005-0000-0000-000087030000}"/>
    <cellStyle name="_원동근린공원조경공사(간지)_Book1" xfId="905" xr:uid="{00000000-0005-0000-0000-000088030000}"/>
    <cellStyle name="_원동근린공원조경공사(간지)_Book1_수량산출서양식" xfId="906" xr:uid="{00000000-0005-0000-0000-000089030000}"/>
    <cellStyle name="_원동근린공원조경공사(간지)_Book1_주암수량산출(1차)" xfId="907" xr:uid="{00000000-0005-0000-0000-00008A030000}"/>
    <cellStyle name="_원동근린공원조경공사(간지)_Book1_주암수량산출서" xfId="908" xr:uid="{00000000-0005-0000-0000-00008B030000}"/>
    <cellStyle name="_월간공정현황(4월)" xfId="909" xr:uid="{00000000-0005-0000-0000-00008C030000}"/>
    <cellStyle name="_유첨3(서식)" xfId="910" xr:uid="{00000000-0005-0000-0000-00008D030000}"/>
    <cellStyle name="_유첨3(서식)_1" xfId="911" xr:uid="{00000000-0005-0000-0000-00008E030000}"/>
    <cellStyle name="_응급ES" xfId="912" xr:uid="{00000000-0005-0000-0000-00008F030000}"/>
    <cellStyle name="_응급RE" xfId="913" xr:uid="{00000000-0005-0000-0000-000090030000}"/>
    <cellStyle name="_인천북항관공선부두(수정내역)" xfId="914" xr:uid="{00000000-0005-0000-0000-000091030000}"/>
    <cellStyle name="_입찰내역서(765울진신태백3공구100)" xfId="915" xr:uid="{00000000-0005-0000-0000-000092030000}"/>
    <cellStyle name="_자금수지(9월) " xfId="916" xr:uid="{00000000-0005-0000-0000-000093030000}"/>
    <cellStyle name="_자금수지(9월) _9공구 기성도면" xfId="917" xr:uid="{00000000-0005-0000-0000-000094030000}"/>
    <cellStyle name="_자금수지(9월) _공사업무현황" xfId="918" xr:uid="{00000000-0005-0000-0000-000095030000}"/>
    <cellStyle name="_자금수지(9월) _공사업무현황(11월)" xfId="919" xr:uid="{00000000-0005-0000-0000-000096030000}"/>
    <cellStyle name="_자금수지(9월) _기성청구" xfId="920" xr:uid="{00000000-0005-0000-0000-000097030000}"/>
    <cellStyle name="_자금수지(9월) _기성청구내역" xfId="921" xr:uid="{00000000-0005-0000-0000-000098030000}"/>
    <cellStyle name="_자금수지(9월) _수지분석" xfId="922" xr:uid="{00000000-0005-0000-0000-000099030000}"/>
    <cellStyle name="_자금수지(9월) _원청보고용(기성대투입)" xfId="923" xr:uid="{00000000-0005-0000-0000-00009A030000}"/>
    <cellStyle name="_자금수지(9월) _중앙고속(9공구)기성" xfId="924" xr:uid="{00000000-0005-0000-0000-00009B030000}"/>
    <cellStyle name="_자금수지(9월) _한양방수(변경)" xfId="925" xr:uid="{00000000-0005-0000-0000-00009C030000}"/>
    <cellStyle name="_자금수지(9월) _한양철콘(변경)" xfId="926" xr:uid="{00000000-0005-0000-0000-00009D030000}"/>
    <cellStyle name="_자금수지(9월) _한양토공(변경)" xfId="927" xr:uid="{00000000-0005-0000-0000-00009E030000}"/>
    <cellStyle name="_전기설계내역서(1127)" xfId="928" xr:uid="{00000000-0005-0000-0000-00009F030000}"/>
    <cellStyle name="_전선발주(1공구)최종0501" xfId="929" xr:uid="{00000000-0005-0000-0000-0000A0030000}"/>
    <cellStyle name="_전주시관내(이서~용정)건설공사(신화)" xfId="930" xr:uid="{00000000-0005-0000-0000-0000A1030000}"/>
    <cellStyle name="_조경4차" xfId="931" xr:uid="{00000000-0005-0000-0000-0000A2030000}"/>
    <cellStyle name="_중원구학교숲(폐기물)-내역서0126" xfId="932" xr:uid="{00000000-0005-0000-0000-0000A3030000}"/>
    <cellStyle name="_중원구학교숲-수량산출서0126" xfId="933" xr:uid="{00000000-0005-0000-0000-0000A4030000}"/>
    <cellStyle name="_지정과제1분기실적(확정990408)" xfId="934" xr:uid="{00000000-0005-0000-0000-0000A5030000}"/>
    <cellStyle name="_지정과제1분기실적(확정990408)_1" xfId="935" xr:uid="{00000000-0005-0000-0000-0000A6030000}"/>
    <cellStyle name="_지정과제2차심의list" xfId="936" xr:uid="{00000000-0005-0000-0000-0000A7030000}"/>
    <cellStyle name="_지정과제2차심의list_1" xfId="937" xr:uid="{00000000-0005-0000-0000-0000A8030000}"/>
    <cellStyle name="_지정과제2차심의list_2" xfId="938" xr:uid="{00000000-0005-0000-0000-0000A9030000}"/>
    <cellStyle name="_지정과제2차심의결과" xfId="939" xr:uid="{00000000-0005-0000-0000-0000AA030000}"/>
    <cellStyle name="_지정과제2차심의결과(금액조정후최종)" xfId="940" xr:uid="{00000000-0005-0000-0000-0000AB030000}"/>
    <cellStyle name="_지정과제2차심의결과(금액조정후최종)_1" xfId="941" xr:uid="{00000000-0005-0000-0000-0000AC030000}"/>
    <cellStyle name="_지정과제2차심의결과(금액조정후최종)_1_경영개선실적보고(전주공장)" xfId="942" xr:uid="{00000000-0005-0000-0000-0000AD030000}"/>
    <cellStyle name="_지정과제2차심의결과(금액조정후최종)_1_별첨1_2" xfId="943" xr:uid="{00000000-0005-0000-0000-0000AE030000}"/>
    <cellStyle name="_지정과제2차심의결과(금액조정후최종)_1_제안과제집계표(공장전체)" xfId="944" xr:uid="{00000000-0005-0000-0000-0000AF030000}"/>
    <cellStyle name="_지정과제2차심의결과(금액조정후최종)_경영개선실적보고(전주공장)" xfId="945" xr:uid="{00000000-0005-0000-0000-0000B0030000}"/>
    <cellStyle name="_지정과제2차심의결과(금액조정후최종)_별첨1_2" xfId="946" xr:uid="{00000000-0005-0000-0000-0000B1030000}"/>
    <cellStyle name="_지정과제2차심의결과(금액조정후최종)_제안과제집계표(공장전체)" xfId="947" xr:uid="{00000000-0005-0000-0000-0000B2030000}"/>
    <cellStyle name="_지정과제2차심의결과_1" xfId="948" xr:uid="{00000000-0005-0000-0000-0000B3030000}"/>
    <cellStyle name="_진주시음악분수총괄모음" xfId="949" xr:uid="{00000000-0005-0000-0000-0000B4030000}"/>
    <cellStyle name="_진주시음악분수총괄모음(18억-0922)" xfId="950" xr:uid="{00000000-0005-0000-0000-0000B5030000}"/>
    <cellStyle name="_집중관리(981231)" xfId="951" xr:uid="{00000000-0005-0000-0000-0000B6030000}"/>
    <cellStyle name="_집중관리(981231)_1" xfId="952" xr:uid="{00000000-0005-0000-0000-0000B7030000}"/>
    <cellStyle name="_집중관리(지정과제및 양식)" xfId="953" xr:uid="{00000000-0005-0000-0000-0000B8030000}"/>
    <cellStyle name="_집중관리(지정과제및 양식)_1" xfId="954" xr:uid="{00000000-0005-0000-0000-0000B9030000}"/>
    <cellStyle name="_차집관로수량(수정811)" xfId="955" xr:uid="{00000000-0005-0000-0000-0000BA030000}"/>
    <cellStyle name="_차집관로수량(수정811)_토적수정  (8.13)" xfId="956" xr:uid="{00000000-0005-0000-0000-0000BB030000}"/>
    <cellStyle name="_차집관로수량(수정811)_토적수정  (8.24)" xfId="957" xr:uid="{00000000-0005-0000-0000-0000BC030000}"/>
    <cellStyle name="_청통복구내역서" xfId="958" xr:uid="{00000000-0005-0000-0000-0000BD030000}"/>
    <cellStyle name="_청통복구내역서최종분" xfId="959" xr:uid="{00000000-0005-0000-0000-0000BE030000}"/>
    <cellStyle name="_총괄(토목,송전)" xfId="960" xr:uid="{00000000-0005-0000-0000-0000BF030000}"/>
    <cellStyle name="_최종154kV신포설계변경" xfId="961" xr:uid="{00000000-0005-0000-0000-0000C0030000}"/>
    <cellStyle name="_추곡" xfId="962" xr:uid="{00000000-0005-0000-0000-0000C1030000}"/>
    <cellStyle name="_추곡_0501설계내역서" xfId="963" xr:uid="{00000000-0005-0000-0000-0000C2030000}"/>
    <cellStyle name="_추곡_0501설계내역서_0501설계내역서" xfId="964" xr:uid="{00000000-0005-0000-0000-0000C3030000}"/>
    <cellStyle name="_추곡_0501설계내역서_0501설계내역서(10억)" xfId="965" xr:uid="{00000000-0005-0000-0000-0000C4030000}"/>
    <cellStyle name="_추곡_0501설계내역서_0501설계내역서(7억)" xfId="966" xr:uid="{00000000-0005-0000-0000-0000C5030000}"/>
    <cellStyle name="_추곡_0501설계내역서_0501설계내역서(7억)-최종" xfId="967" xr:uid="{00000000-0005-0000-0000-0000C6030000}"/>
    <cellStyle name="_추곡_0501설계내역서_0501설계내역서(최종)" xfId="968" xr:uid="{00000000-0005-0000-0000-0000C7030000}"/>
    <cellStyle name="_추곡_0501설계내역서_0510도급내역서" xfId="969" xr:uid="{00000000-0005-0000-0000-0000C8030000}"/>
    <cellStyle name="_추곡_0501설계내역서_0513설계내역서" xfId="970" xr:uid="{00000000-0005-0000-0000-0000C9030000}"/>
    <cellStyle name="_추곡_0501설계내역서_0523설계내역서" xfId="971" xr:uid="{00000000-0005-0000-0000-0000CA030000}"/>
    <cellStyle name="_추곡_0501설계내역서_0523설계내역서 (version 1)" xfId="972" xr:uid="{00000000-0005-0000-0000-0000CB030000}"/>
    <cellStyle name="_추곡_0501설계내역서_0523설계내역서(최종)" xfId="973" xr:uid="{00000000-0005-0000-0000-0000CC030000}"/>
    <cellStyle name="_추곡_0501설계내역서_2006 학교숲 설계내역서" xfId="974" xr:uid="{00000000-0005-0000-0000-0000CD030000}"/>
    <cellStyle name="_추곡_0501설계내역서_남한산성변경도급내역서 050517" xfId="975" xr:uid="{00000000-0005-0000-0000-0000CE030000}"/>
    <cellStyle name="_추곡_0501설계내역서_로프울타리" xfId="976" xr:uid="{00000000-0005-0000-0000-0000CF030000}"/>
    <cellStyle name="_추곡_0501설계내역서_물놀이장준공내역서(0624)" xfId="977" xr:uid="{00000000-0005-0000-0000-0000D0030000}"/>
    <cellStyle name="_추곡_0501설계내역서_사본 - 0501설계내역서" xfId="978" xr:uid="{00000000-0005-0000-0000-0000D1030000}"/>
    <cellStyle name="_추곡_0501설계내역서_중원구학교숲-내역서0126" xfId="979" xr:uid="{00000000-0005-0000-0000-0000D2030000}"/>
    <cellStyle name="_추곡_0501설계내역서_중원구학교숲-수량산출서0126" xfId="980" xr:uid="{00000000-0005-0000-0000-0000D3030000}"/>
    <cellStyle name="_추곡_0501설계내역서_학교숲유지관리내역서(수정)" xfId="981" xr:uid="{00000000-0005-0000-0000-0000D4030000}"/>
    <cellStyle name="_추곡_0502설계내역서" xfId="982" xr:uid="{00000000-0005-0000-0000-0000D5030000}"/>
    <cellStyle name="_추곡_0502설계내역서_0502설계내역서(0219)" xfId="983" xr:uid="{00000000-0005-0000-0000-0000D6030000}"/>
    <cellStyle name="_추곡_0502설계내역서_0502설계내역서(수정)" xfId="984" xr:uid="{00000000-0005-0000-0000-0000D7030000}"/>
    <cellStyle name="_추곡_0502설계내역서_0502설계내역서(최종)" xfId="985" xr:uid="{00000000-0005-0000-0000-0000D8030000}"/>
    <cellStyle name="_추곡_0502설계내역서_0515설계내역서" xfId="986" xr:uid="{00000000-0005-0000-0000-0000D9030000}"/>
    <cellStyle name="_추곡_Book1" xfId="987" xr:uid="{00000000-0005-0000-0000-0000DA030000}"/>
    <cellStyle name="_추곡_Book1_수량산출서양식" xfId="988" xr:uid="{00000000-0005-0000-0000-0000DB030000}"/>
    <cellStyle name="_추곡_Book1_주암수량산출(1차)" xfId="989" xr:uid="{00000000-0005-0000-0000-0000DC030000}"/>
    <cellStyle name="_추곡_Book1_주암수량산출서" xfId="990" xr:uid="{00000000-0005-0000-0000-0000DD030000}"/>
    <cellStyle name="_추곡_내역서-최종0223" xfId="991" xr:uid="{00000000-0005-0000-0000-0000DE030000}"/>
    <cellStyle name="_추곡_내역서-최종0223_진해자은수량산출서(단지내)" xfId="992" xr:uid="{00000000-0005-0000-0000-0000DF030000}"/>
    <cellStyle name="_추곡_내역서-최종0223_진해자은수량산출서(단지내)_진해자은수량산출서(도시기반)0621" xfId="993" xr:uid="{00000000-0005-0000-0000-0000E0030000}"/>
    <cellStyle name="_추곡_내역서-최종0223_철거 및 이설수량산출-학교숲" xfId="994" xr:uid="{00000000-0005-0000-0000-0000E1030000}"/>
    <cellStyle name="_추곡_라멘교 토공" xfId="995" xr:uid="{00000000-0005-0000-0000-0000E2030000}"/>
    <cellStyle name="_추곡_라멘교 토공_Book1" xfId="996" xr:uid="{00000000-0005-0000-0000-0000E3030000}"/>
    <cellStyle name="_추곡_라멘교 토공_Book1_수량산출서양식" xfId="997" xr:uid="{00000000-0005-0000-0000-0000E4030000}"/>
    <cellStyle name="_추곡_라멘교 토공_Book1_주암수량산출(1차)" xfId="998" xr:uid="{00000000-0005-0000-0000-0000E5030000}"/>
    <cellStyle name="_추곡_라멘교 토공_Book1_주암수량산출서" xfId="999" xr:uid="{00000000-0005-0000-0000-0000E6030000}"/>
    <cellStyle name="_추곡_율동자연공원내 화장실 보수 및 도색공사" xfId="1000" xr:uid="{00000000-0005-0000-0000-0000E7030000}"/>
    <cellStyle name="_추곡_율동자연공원내 화장실 보수 및 도색공사_내역서-최종0223" xfId="1001" xr:uid="{00000000-0005-0000-0000-0000E8030000}"/>
    <cellStyle name="_추곡_율동자연공원내 화장실 보수 및 도색공사_내역서-최종0223_진해자은수량산출서(단지내)" xfId="1002" xr:uid="{00000000-0005-0000-0000-0000E9030000}"/>
    <cellStyle name="_추곡_율동자연공원내 화장실 보수 및 도색공사_내역서-최종0223_진해자은수량산출서(단지내)_진해자은수량산출서(도시기반)0621" xfId="1003" xr:uid="{00000000-0005-0000-0000-0000EA030000}"/>
    <cellStyle name="_추곡_율동자연공원내 화장실 보수 및 도색공사_내역서-최종0223_철거 및 이설수량산출-학교숲" xfId="1004" xr:uid="{00000000-0005-0000-0000-0000EB030000}"/>
    <cellStyle name="_추곡_율동자연공원내 화장실 보수 및 도색공사_진해자은수량산출서(단지내)" xfId="1005" xr:uid="{00000000-0005-0000-0000-0000EC030000}"/>
    <cellStyle name="_추곡_율동자연공원내 화장실 보수 및 도색공사_진해자은수량산출서(단지내)_진해자은수량산출서(도시기반)0621" xfId="1006" xr:uid="{00000000-0005-0000-0000-0000ED030000}"/>
    <cellStyle name="_추곡_율동자연공원내 화장실 보수 및 도색공사_철거 및 이설수량산출-학교숲" xfId="1007" xr:uid="{00000000-0005-0000-0000-0000EE030000}"/>
    <cellStyle name="_추곡_율동자연공원내 휴게편의점 도색작업-할증-천정면적추가" xfId="1008" xr:uid="{00000000-0005-0000-0000-0000EF030000}"/>
    <cellStyle name="_추곡_율동자연공원내 휴게편의점 도색작업-할증-천정면적추가_내역서-최종0223" xfId="1009" xr:uid="{00000000-0005-0000-0000-0000F0030000}"/>
    <cellStyle name="_추곡_율동자연공원내 휴게편의점 도색작업-할증-천정면적추가_내역서-최종0223_진해자은수량산출서(단지내)" xfId="1010" xr:uid="{00000000-0005-0000-0000-0000F1030000}"/>
    <cellStyle name="_추곡_율동자연공원내 휴게편의점 도색작업-할증-천정면적추가_내역서-최종0223_진해자은수량산출서(단지내)_진해자은수량산출서(도시기반)0621" xfId="1011" xr:uid="{00000000-0005-0000-0000-0000F2030000}"/>
    <cellStyle name="_추곡_율동자연공원내 휴게편의점 도색작업-할증-천정면적추가_내역서-최종0223_철거 및 이설수량산출-학교숲" xfId="1012" xr:uid="{00000000-0005-0000-0000-0000F3030000}"/>
    <cellStyle name="_추곡_율동자연공원내 휴게편의점 도색작업-할증-천정면적추가_진해자은수량산출서(단지내)" xfId="1013" xr:uid="{00000000-0005-0000-0000-0000F4030000}"/>
    <cellStyle name="_추곡_율동자연공원내 휴게편의점 도색작업-할증-천정면적추가_진해자은수량산출서(단지내)_진해자은수량산출서(도시기반)0621" xfId="1014" xr:uid="{00000000-0005-0000-0000-0000F5030000}"/>
    <cellStyle name="_추곡_율동자연공원내 휴게편의점 도색작업-할증-천정면적추가_철거 및 이설수량산출-학교숲" xfId="1015" xr:uid="{00000000-0005-0000-0000-0000F6030000}"/>
    <cellStyle name="_추곡_진해자은수량산출서(단지내)" xfId="1016" xr:uid="{00000000-0005-0000-0000-0000F7030000}"/>
    <cellStyle name="_추곡_진해자은수량산출서(단지내)_진해자은수량산출서(도시기반)0621" xfId="1017" xr:uid="{00000000-0005-0000-0000-0000F8030000}"/>
    <cellStyle name="_추곡_철거 및 이설수량산출-학교숲" xfId="1018" xr:uid="{00000000-0005-0000-0000-0000F9030000}"/>
    <cellStyle name="_추곡_추곡" xfId="1019" xr:uid="{00000000-0005-0000-0000-0000FA030000}"/>
    <cellStyle name="_추곡_추곡_0501설계내역서" xfId="1020" xr:uid="{00000000-0005-0000-0000-0000FB030000}"/>
    <cellStyle name="_추곡_추곡_0501설계내역서_0501설계내역서" xfId="1021" xr:uid="{00000000-0005-0000-0000-0000FC030000}"/>
    <cellStyle name="_추곡_추곡_0501설계내역서_0501설계내역서(10억)" xfId="1022" xr:uid="{00000000-0005-0000-0000-0000FD030000}"/>
    <cellStyle name="_추곡_추곡_0501설계내역서_0501설계내역서(7억)" xfId="1023" xr:uid="{00000000-0005-0000-0000-0000FE030000}"/>
    <cellStyle name="_추곡_추곡_0501설계내역서_0501설계내역서(7억)-최종" xfId="1024" xr:uid="{00000000-0005-0000-0000-0000FF030000}"/>
    <cellStyle name="_추곡_추곡_0501설계내역서_0501설계내역서(최종)" xfId="1025" xr:uid="{00000000-0005-0000-0000-000000040000}"/>
    <cellStyle name="_추곡_추곡_0501설계내역서_0510도급내역서" xfId="1026" xr:uid="{00000000-0005-0000-0000-000001040000}"/>
    <cellStyle name="_추곡_추곡_0501설계내역서_0513설계내역서" xfId="1027" xr:uid="{00000000-0005-0000-0000-000002040000}"/>
    <cellStyle name="_추곡_추곡_0501설계내역서_0523설계내역서" xfId="1028" xr:uid="{00000000-0005-0000-0000-000003040000}"/>
    <cellStyle name="_추곡_추곡_0501설계내역서_0523설계내역서 (version 1)" xfId="1029" xr:uid="{00000000-0005-0000-0000-000004040000}"/>
    <cellStyle name="_추곡_추곡_0501설계내역서_0523설계내역서(최종)" xfId="1030" xr:uid="{00000000-0005-0000-0000-000005040000}"/>
    <cellStyle name="_추곡_추곡_0501설계내역서_2006 학교숲 설계내역서" xfId="1031" xr:uid="{00000000-0005-0000-0000-000006040000}"/>
    <cellStyle name="_추곡_추곡_0501설계내역서_남한산성변경도급내역서 050517" xfId="1032" xr:uid="{00000000-0005-0000-0000-000007040000}"/>
    <cellStyle name="_추곡_추곡_0501설계내역서_로프울타리" xfId="1033" xr:uid="{00000000-0005-0000-0000-000008040000}"/>
    <cellStyle name="_추곡_추곡_0501설계내역서_물놀이장준공내역서(0624)" xfId="1034" xr:uid="{00000000-0005-0000-0000-000009040000}"/>
    <cellStyle name="_추곡_추곡_0501설계내역서_사본 - 0501설계내역서" xfId="1035" xr:uid="{00000000-0005-0000-0000-00000A040000}"/>
    <cellStyle name="_추곡_추곡_0501설계내역서_중원구학교숲-내역서0126" xfId="1036" xr:uid="{00000000-0005-0000-0000-00000B040000}"/>
    <cellStyle name="_추곡_추곡_0501설계내역서_중원구학교숲-수량산출서0126" xfId="1037" xr:uid="{00000000-0005-0000-0000-00000C040000}"/>
    <cellStyle name="_추곡_추곡_0501설계내역서_학교숲유지관리내역서(수정)" xfId="1038" xr:uid="{00000000-0005-0000-0000-00000D040000}"/>
    <cellStyle name="_추곡_추곡_0502설계내역서" xfId="1039" xr:uid="{00000000-0005-0000-0000-00000E040000}"/>
    <cellStyle name="_추곡_추곡_0502설계내역서_0502설계내역서(0219)" xfId="1040" xr:uid="{00000000-0005-0000-0000-00000F040000}"/>
    <cellStyle name="_추곡_추곡_0502설계내역서_0502설계내역서(수정)" xfId="1041" xr:uid="{00000000-0005-0000-0000-000010040000}"/>
    <cellStyle name="_추곡_추곡_0502설계내역서_0502설계내역서(최종)" xfId="1042" xr:uid="{00000000-0005-0000-0000-000011040000}"/>
    <cellStyle name="_추곡_추곡_0502설계내역서_0515설계내역서" xfId="1043" xr:uid="{00000000-0005-0000-0000-000012040000}"/>
    <cellStyle name="_추곡_추곡_Book1" xfId="1044" xr:uid="{00000000-0005-0000-0000-000013040000}"/>
    <cellStyle name="_추곡_추곡_Book1_수량산출서양식" xfId="1045" xr:uid="{00000000-0005-0000-0000-000014040000}"/>
    <cellStyle name="_추곡_추곡_Book1_주암수량산출(1차)" xfId="1046" xr:uid="{00000000-0005-0000-0000-000015040000}"/>
    <cellStyle name="_추곡_추곡_Book1_주암수량산출서" xfId="1047" xr:uid="{00000000-0005-0000-0000-000016040000}"/>
    <cellStyle name="_추곡_추곡_내역서-최종0223" xfId="1048" xr:uid="{00000000-0005-0000-0000-000017040000}"/>
    <cellStyle name="_추곡_추곡_내역서-최종0223_진해자은수량산출서(단지내)" xfId="1049" xr:uid="{00000000-0005-0000-0000-000018040000}"/>
    <cellStyle name="_추곡_추곡_내역서-최종0223_진해자은수량산출서(단지내)_진해자은수량산출서(도시기반)0621" xfId="1050" xr:uid="{00000000-0005-0000-0000-000019040000}"/>
    <cellStyle name="_추곡_추곡_내역서-최종0223_철거 및 이설수량산출-학교숲" xfId="1051" xr:uid="{00000000-0005-0000-0000-00001A040000}"/>
    <cellStyle name="_추곡_추곡_라멘교 토공" xfId="1052" xr:uid="{00000000-0005-0000-0000-00001B040000}"/>
    <cellStyle name="_추곡_추곡_라멘교 토공_Book1" xfId="1053" xr:uid="{00000000-0005-0000-0000-00001C040000}"/>
    <cellStyle name="_추곡_추곡_라멘교 토공_Book1_수량산출서양식" xfId="1054" xr:uid="{00000000-0005-0000-0000-00001D040000}"/>
    <cellStyle name="_추곡_추곡_라멘교 토공_Book1_주암수량산출(1차)" xfId="1055" xr:uid="{00000000-0005-0000-0000-00001E040000}"/>
    <cellStyle name="_추곡_추곡_라멘교 토공_Book1_주암수량산출서" xfId="1056" xr:uid="{00000000-0005-0000-0000-00001F040000}"/>
    <cellStyle name="_추곡_추곡_율동자연공원내 화장실 보수 및 도색공사" xfId="1057" xr:uid="{00000000-0005-0000-0000-000020040000}"/>
    <cellStyle name="_추곡_추곡_율동자연공원내 화장실 보수 및 도색공사_내역서-최종0223" xfId="1058" xr:uid="{00000000-0005-0000-0000-000021040000}"/>
    <cellStyle name="_추곡_추곡_율동자연공원내 화장실 보수 및 도색공사_내역서-최종0223_진해자은수량산출서(단지내)" xfId="1059" xr:uid="{00000000-0005-0000-0000-000022040000}"/>
    <cellStyle name="_추곡_추곡_율동자연공원내 화장실 보수 및 도색공사_내역서-최종0223_진해자은수량산출서(단지내)_진해자은수량산출서(도시기반)0621" xfId="1060" xr:uid="{00000000-0005-0000-0000-000023040000}"/>
    <cellStyle name="_추곡_추곡_율동자연공원내 화장실 보수 및 도색공사_내역서-최종0223_철거 및 이설수량산출-학교숲" xfId="1061" xr:uid="{00000000-0005-0000-0000-000024040000}"/>
    <cellStyle name="_추곡_추곡_율동자연공원내 화장실 보수 및 도색공사_진해자은수량산출서(단지내)" xfId="1062" xr:uid="{00000000-0005-0000-0000-000025040000}"/>
    <cellStyle name="_추곡_추곡_율동자연공원내 화장실 보수 및 도색공사_진해자은수량산출서(단지내)_진해자은수량산출서(도시기반)0621" xfId="1063" xr:uid="{00000000-0005-0000-0000-000026040000}"/>
    <cellStyle name="_추곡_추곡_율동자연공원내 화장실 보수 및 도색공사_철거 및 이설수량산출-학교숲" xfId="1064" xr:uid="{00000000-0005-0000-0000-000027040000}"/>
    <cellStyle name="_추곡_추곡_율동자연공원내 휴게편의점 도색작업-할증-천정면적추가" xfId="1065" xr:uid="{00000000-0005-0000-0000-000028040000}"/>
    <cellStyle name="_추곡_추곡_율동자연공원내 휴게편의점 도색작업-할증-천정면적추가_내역서-최종0223" xfId="1066" xr:uid="{00000000-0005-0000-0000-000029040000}"/>
    <cellStyle name="_추곡_추곡_율동자연공원내 휴게편의점 도색작업-할증-천정면적추가_내역서-최종0223_진해자은수량산출서(단지내)" xfId="1067" xr:uid="{00000000-0005-0000-0000-00002A040000}"/>
    <cellStyle name="_추곡_추곡_율동자연공원내 휴게편의점 도색작업-할증-천정면적추가_내역서-최종0223_진해자은수량산출서(단지내)_진해자은수량산출서(도시기반)0621" xfId="1068" xr:uid="{00000000-0005-0000-0000-00002B040000}"/>
    <cellStyle name="_추곡_추곡_율동자연공원내 휴게편의점 도색작업-할증-천정면적추가_내역서-최종0223_철거 및 이설수량산출-학교숲" xfId="1069" xr:uid="{00000000-0005-0000-0000-00002C040000}"/>
    <cellStyle name="_추곡_추곡_율동자연공원내 휴게편의점 도색작업-할증-천정면적추가_진해자은수량산출서(단지내)" xfId="1070" xr:uid="{00000000-0005-0000-0000-00002D040000}"/>
    <cellStyle name="_추곡_추곡_율동자연공원내 휴게편의점 도색작업-할증-천정면적추가_진해자은수량산출서(단지내)_진해자은수량산출서(도시기반)0621" xfId="1071" xr:uid="{00000000-0005-0000-0000-00002E040000}"/>
    <cellStyle name="_추곡_추곡_율동자연공원내 휴게편의점 도색작업-할증-천정면적추가_철거 및 이설수량산출-학교숲" xfId="1072" xr:uid="{00000000-0005-0000-0000-00002F040000}"/>
    <cellStyle name="_추곡_추곡_진해자은수량산출서(단지내)" xfId="1073" xr:uid="{00000000-0005-0000-0000-000030040000}"/>
    <cellStyle name="_추곡_추곡_진해자은수량산출서(단지내)_진해자은수량산출서(도시기반)0621" xfId="1074" xr:uid="{00000000-0005-0000-0000-000031040000}"/>
    <cellStyle name="_추곡_추곡_철거 및 이설수량산출-학교숲" xfId="1075" xr:uid="{00000000-0005-0000-0000-000032040000}"/>
    <cellStyle name="_추곡_추곡_포장" xfId="1076" xr:uid="{00000000-0005-0000-0000-000033040000}"/>
    <cellStyle name="_추곡_추곡_포장_Book1" xfId="1077" xr:uid="{00000000-0005-0000-0000-000034040000}"/>
    <cellStyle name="_추곡_추곡_포장_Book1_수량산출서양식" xfId="1078" xr:uid="{00000000-0005-0000-0000-000035040000}"/>
    <cellStyle name="_추곡_추곡_포장_Book1_주암수량산출(1차)" xfId="1079" xr:uid="{00000000-0005-0000-0000-000036040000}"/>
    <cellStyle name="_추곡_추곡_포장_Book1_주암수량산출서" xfId="1080" xr:uid="{00000000-0005-0000-0000-000037040000}"/>
    <cellStyle name="_추곡_추곡_포장_라멘교 토공" xfId="1081" xr:uid="{00000000-0005-0000-0000-000038040000}"/>
    <cellStyle name="_추곡_추곡_포장_라멘교 토공_Book1" xfId="1082" xr:uid="{00000000-0005-0000-0000-000039040000}"/>
    <cellStyle name="_추곡_추곡_포장_라멘교 토공_Book1_수량산출서양식" xfId="1083" xr:uid="{00000000-0005-0000-0000-00003A040000}"/>
    <cellStyle name="_추곡_추곡_포장_라멘교 토공_Book1_주암수량산출(1차)" xfId="1084" xr:uid="{00000000-0005-0000-0000-00003B040000}"/>
    <cellStyle name="_추곡_추곡_포장_라멘교 토공_Book1_주암수량산출서" xfId="1085" xr:uid="{00000000-0005-0000-0000-00003C040000}"/>
    <cellStyle name="_추곡_포장" xfId="1086" xr:uid="{00000000-0005-0000-0000-00003D040000}"/>
    <cellStyle name="_추곡_포장_Book1" xfId="1087" xr:uid="{00000000-0005-0000-0000-00003E040000}"/>
    <cellStyle name="_추곡_포장_Book1_수량산출서양식" xfId="1088" xr:uid="{00000000-0005-0000-0000-00003F040000}"/>
    <cellStyle name="_추곡_포장_Book1_주암수량산출(1차)" xfId="1089" xr:uid="{00000000-0005-0000-0000-000040040000}"/>
    <cellStyle name="_추곡_포장_Book1_주암수량산출서" xfId="1090" xr:uid="{00000000-0005-0000-0000-000041040000}"/>
    <cellStyle name="_추곡_포장_라멘교 토공" xfId="1091" xr:uid="{00000000-0005-0000-0000-000042040000}"/>
    <cellStyle name="_추곡_포장_라멘교 토공_Book1" xfId="1092" xr:uid="{00000000-0005-0000-0000-000043040000}"/>
    <cellStyle name="_추곡_포장_라멘교 토공_Book1_수량산출서양식" xfId="1093" xr:uid="{00000000-0005-0000-0000-000044040000}"/>
    <cellStyle name="_추곡_포장_라멘교 토공_Book1_주암수량산출(1차)" xfId="1094" xr:uid="{00000000-0005-0000-0000-000045040000}"/>
    <cellStyle name="_추곡_포장_라멘교 토공_Book1_주암수량산출서" xfId="1095" xr:uid="{00000000-0005-0000-0000-000046040000}"/>
    <cellStyle name="_측량결과" xfId="1096" xr:uid="{00000000-0005-0000-0000-000047040000}"/>
    <cellStyle name="_콘크리트타설계획8" xfId="1097" xr:uid="{00000000-0005-0000-0000-000048040000}"/>
    <cellStyle name="_토목분" xfId="1098" xr:uid="{00000000-0005-0000-0000-000049040000}"/>
    <cellStyle name="_토목분 설변내역" xfId="1099" xr:uid="{00000000-0005-0000-0000-00004A040000}"/>
    <cellStyle name="_토목성거설계변경" xfId="1100" xr:uid="{00000000-0005-0000-0000-00004B040000}"/>
    <cellStyle name="_토사운반(적치장적용)" xfId="1101" xr:uid="{00000000-0005-0000-0000-00004C040000}"/>
    <cellStyle name="_토적표(진주분수)" xfId="1102" xr:uid="{00000000-0005-0000-0000-00004D040000}"/>
    <cellStyle name="_파형강관 부설" xfId="1103" xr:uid="{00000000-0005-0000-0000-00004E040000}"/>
    <cellStyle name="_포장" xfId="1104" xr:uid="{00000000-0005-0000-0000-00004F040000}"/>
    <cellStyle name="_포장_Book1" xfId="1105" xr:uid="{00000000-0005-0000-0000-000050040000}"/>
    <cellStyle name="_포장_Book1_수량산출서양식" xfId="1106" xr:uid="{00000000-0005-0000-0000-000051040000}"/>
    <cellStyle name="_포장_Book1_주암수량산출(1차)" xfId="1107" xr:uid="{00000000-0005-0000-0000-000052040000}"/>
    <cellStyle name="_포장_Book1_주암수량산출서" xfId="1108" xr:uid="{00000000-0005-0000-0000-000053040000}"/>
    <cellStyle name="_포장_라멘교 토공" xfId="1109" xr:uid="{00000000-0005-0000-0000-000054040000}"/>
    <cellStyle name="_포장_라멘교 토공_Book1" xfId="1110" xr:uid="{00000000-0005-0000-0000-000055040000}"/>
    <cellStyle name="_포장_라멘교 토공_Book1_수량산출서양식" xfId="1111" xr:uid="{00000000-0005-0000-0000-000056040000}"/>
    <cellStyle name="_포장_라멘교 토공_Book1_주암수량산출(1차)" xfId="1112" xr:uid="{00000000-0005-0000-0000-000057040000}"/>
    <cellStyle name="_포장_라멘교 토공_Book1_주암수량산출서" xfId="1113" xr:uid="{00000000-0005-0000-0000-000058040000}"/>
    <cellStyle name="_포장수량-2" xfId="1114" xr:uid="{00000000-0005-0000-0000-000059040000}"/>
    <cellStyle name="_행위허가서류" xfId="1115" xr:uid="{00000000-0005-0000-0000-00005A040000}"/>
    <cellStyle name="_호남선두계역외2개소연결통로" xfId="1116" xr:uid="{00000000-0005-0000-0000-00005B040000}"/>
    <cellStyle name="_호암지수경분수설비(re01)" xfId="1117" xr:uid="{00000000-0005-0000-0000-00005C040000}"/>
    <cellStyle name="_호우피해복구내역(긴급)-2" xfId="1118" xr:uid="{00000000-0005-0000-0000-00005D040000}"/>
    <cellStyle name="_홍제토목" xfId="1119" xr:uid="{00000000-0005-0000-0000-00005E040000}"/>
    <cellStyle name="’E‰Y [0.00]_laroux" xfId="1120" xr:uid="{00000000-0005-0000-0000-00005F040000}"/>
    <cellStyle name="’E‰Y_laroux" xfId="1121" xr:uid="{00000000-0005-0000-0000-000060040000}"/>
    <cellStyle name="¤@?e_TEST-1 " xfId="1122" xr:uid="{00000000-0005-0000-0000-000061040000}"/>
    <cellStyle name="+,-,0" xfId="1123" xr:uid="{00000000-0005-0000-0000-000062040000}"/>
    <cellStyle name="△ []" xfId="1124" xr:uid="{00000000-0005-0000-0000-000063040000}"/>
    <cellStyle name="△ [0]" xfId="1125" xr:uid="{00000000-0005-0000-0000-000064040000}"/>
    <cellStyle name="△백분율" xfId="1126" xr:uid="{00000000-0005-0000-0000-000065040000}"/>
    <cellStyle name="△콤마" xfId="1127" xr:uid="{00000000-0005-0000-0000-000066040000}"/>
    <cellStyle name="ÊÝ [0.00]_PRODUCT DETAIL Q3 (2)_3¿ù ½ÇÀû " xfId="1128" xr:uid="{00000000-0005-0000-0000-000067040000}"/>
    <cellStyle name="ÊÝ_PRODUCT DETAIL Q3 (2)_3¿ù ½ÇÀû " xfId="1129" xr:uid="{00000000-0005-0000-0000-000068040000}"/>
    <cellStyle name="W?_BOOKSHIP_½ÇÀûÇöÈ² " xfId="1130" xr:uid="{00000000-0005-0000-0000-000069040000}"/>
    <cellStyle name="0" xfId="1131" xr:uid="{00000000-0005-0000-0000-00006A040000}"/>
    <cellStyle name="0.0" xfId="1132" xr:uid="{00000000-0005-0000-0000-00006B040000}"/>
    <cellStyle name="0.00" xfId="1133" xr:uid="{00000000-0005-0000-0000-00006C040000}"/>
    <cellStyle name="0_내역서" xfId="1134" xr:uid="{00000000-0005-0000-0000-00006D040000}"/>
    <cellStyle name="0_내역서(0823)" xfId="1135" xr:uid="{00000000-0005-0000-0000-00006E040000}"/>
    <cellStyle name="0_내역서_2005년학교숲" xfId="1136" xr:uid="{00000000-0005-0000-0000-00006F040000}"/>
    <cellStyle name="0_내역서_2005년학교숲_2006년학교숲내역서1" xfId="1137" xr:uid="{00000000-0005-0000-0000-000070040000}"/>
    <cellStyle name="0_내역서_2006년학교숲내역서1" xfId="1138" xr:uid="{00000000-0005-0000-0000-000071040000}"/>
    <cellStyle name="0_내역서_2006년학교숲내역서1_2006년학교숲내역서1" xfId="1139" xr:uid="{00000000-0005-0000-0000-000072040000}"/>
    <cellStyle name="0_내역서_2차내역서-0222-제출용" xfId="1140" xr:uid="{00000000-0005-0000-0000-000073040000}"/>
    <cellStyle name="0_내역서_내역서-0223조경-제출용" xfId="1141" xr:uid="{00000000-0005-0000-0000-000074040000}"/>
    <cellStyle name="0_내역서_내역서-0223조경-제출용_2006년학교숲내역서1" xfId="1142" xr:uid="{00000000-0005-0000-0000-000075040000}"/>
    <cellStyle name="0_내역서_내역서-0223조경-제출용_8단지-제출용" xfId="1143" xr:uid="{00000000-0005-0000-0000-000076040000}"/>
    <cellStyle name="0_내역서_내역서-0223조경-제출용_내역서-0309조경-제출용" xfId="1144" xr:uid="{00000000-0005-0000-0000-000077040000}"/>
    <cellStyle name="0_내역서_내역서-0223조경-제출용_내역서0331" xfId="1145" xr:uid="{00000000-0005-0000-0000-000078040000}"/>
    <cellStyle name="0_내역서_내역서-0223조경-제출용_내역서0331-제출" xfId="1146" xr:uid="{00000000-0005-0000-0000-000079040000}"/>
    <cellStyle name="0_내역서_내역서-0223조경-제출용_내역서0421" xfId="1147" xr:uid="{00000000-0005-0000-0000-00007A040000}"/>
    <cellStyle name="0_내역서_내역서-0223조경-제출용_설계서갑지" xfId="1148" xr:uid="{00000000-0005-0000-0000-00007B040000}"/>
    <cellStyle name="0_내역서_내역서-0223조경-제출용_수량산출" xfId="1149" xr:uid="{00000000-0005-0000-0000-00007C040000}"/>
    <cellStyle name="0_내역서_내역서-0223조경-제출용_시설물일위" xfId="1150" xr:uid="{00000000-0005-0000-0000-00007D040000}"/>
    <cellStyle name="0_내역서_내역서-0223조경-제출용_식재일위" xfId="1151" xr:uid="{00000000-0005-0000-0000-00007E040000}"/>
    <cellStyle name="0_내역서_내역서-0223조경-제출용_중기단가" xfId="1152" xr:uid="{00000000-0005-0000-0000-00007F040000}"/>
    <cellStyle name="0_내역서_내역서-0223조경-제출용_철거수량산출" xfId="1153" xr:uid="{00000000-0005-0000-0000-000080040000}"/>
    <cellStyle name="0_내역서_내역서-0308조경-제출용" xfId="1154" xr:uid="{00000000-0005-0000-0000-000081040000}"/>
    <cellStyle name="0_내역서_학교숲관리내역서-0222-제출용" xfId="1155" xr:uid="{00000000-0005-0000-0000-000082040000}"/>
    <cellStyle name="0_내역서_학교숲관리내역서-최종" xfId="1156" xr:uid="{00000000-0005-0000-0000-000083040000}"/>
    <cellStyle name="0_내역서2" xfId="1157" xr:uid="{00000000-0005-0000-0000-000084040000}"/>
    <cellStyle name="0_단가산출서" xfId="1158" xr:uid="{00000000-0005-0000-0000-000085040000}"/>
    <cellStyle name="0_수량산출서" xfId="1159" xr:uid="{00000000-0005-0000-0000-000086040000}"/>
    <cellStyle name="0_수량산출서(0722)" xfId="1160" xr:uid="{00000000-0005-0000-0000-000087040000}"/>
    <cellStyle name="0_숭실대학교 걷고싶은 거리 녹화사업" xfId="1161" xr:uid="{00000000-0005-0000-0000-000088040000}"/>
    <cellStyle name="0_숭실대학교 걷고싶은 거리 녹화사업_1" xfId="1162" xr:uid="{00000000-0005-0000-0000-000089040000}"/>
    <cellStyle name="0_숭실대학교 걷고싶은 거리 녹화사업_2005년학교숲" xfId="1163" xr:uid="{00000000-0005-0000-0000-00008A040000}"/>
    <cellStyle name="0_숭실대학교 걷고싶은 거리 녹화사업_2005년학교숲_2006년학교숲내역서1" xfId="1164" xr:uid="{00000000-0005-0000-0000-00008B040000}"/>
    <cellStyle name="0_숭실대학교 걷고싶은 거리 녹화사업_2006년학교숲내역서1" xfId="1165" xr:uid="{00000000-0005-0000-0000-00008C040000}"/>
    <cellStyle name="0_숭실대학교 걷고싶은 거리 녹화사업_2006년학교숲내역서1_2006년학교숲내역서1" xfId="1166" xr:uid="{00000000-0005-0000-0000-00008D040000}"/>
    <cellStyle name="0_숭실대학교 걷고싶은 거리 녹화사업_2차내역서-0222-제출용" xfId="1167" xr:uid="{00000000-0005-0000-0000-00008E040000}"/>
    <cellStyle name="0_숭실대학교 걷고싶은 거리 녹화사업_내역서-0223조경-제출용" xfId="1168" xr:uid="{00000000-0005-0000-0000-00008F040000}"/>
    <cellStyle name="0_숭실대학교 걷고싶은 거리 녹화사업_내역서-0223조경-제출용_2006년학교숲내역서1" xfId="1169" xr:uid="{00000000-0005-0000-0000-000090040000}"/>
    <cellStyle name="0_숭실대학교 걷고싶은 거리 녹화사업_내역서-0223조경-제출용_8단지-제출용" xfId="1170" xr:uid="{00000000-0005-0000-0000-000091040000}"/>
    <cellStyle name="0_숭실대학교 걷고싶은 거리 녹화사업_내역서-0223조경-제출용_내역서-0309조경-제출용" xfId="1171" xr:uid="{00000000-0005-0000-0000-000092040000}"/>
    <cellStyle name="0_숭실대학교 걷고싶은 거리 녹화사업_내역서-0223조경-제출용_내역서0331" xfId="1172" xr:uid="{00000000-0005-0000-0000-000093040000}"/>
    <cellStyle name="0_숭실대학교 걷고싶은 거리 녹화사업_내역서-0223조경-제출용_내역서0331-제출" xfId="1173" xr:uid="{00000000-0005-0000-0000-000094040000}"/>
    <cellStyle name="0_숭실대학교 걷고싶은 거리 녹화사업_내역서-0223조경-제출용_내역서0421" xfId="1174" xr:uid="{00000000-0005-0000-0000-000095040000}"/>
    <cellStyle name="0_숭실대학교 걷고싶은 거리 녹화사업_내역서-0223조경-제출용_설계서갑지" xfId="1175" xr:uid="{00000000-0005-0000-0000-000096040000}"/>
    <cellStyle name="0_숭실대학교 걷고싶은 거리 녹화사업_내역서-0223조경-제출용_수량산출" xfId="1176" xr:uid="{00000000-0005-0000-0000-000097040000}"/>
    <cellStyle name="0_숭실대학교 걷고싶은 거리 녹화사업_내역서-0223조경-제출용_시설물일위" xfId="1177" xr:uid="{00000000-0005-0000-0000-000098040000}"/>
    <cellStyle name="0_숭실대학교 걷고싶은 거리 녹화사업_내역서-0223조경-제출용_식재일위" xfId="1178" xr:uid="{00000000-0005-0000-0000-000099040000}"/>
    <cellStyle name="0_숭실대학교 걷고싶은 거리 녹화사업_내역서-0223조경-제출용_중기단가" xfId="1179" xr:uid="{00000000-0005-0000-0000-00009A040000}"/>
    <cellStyle name="0_숭실대학교 걷고싶은 거리 녹화사업_내역서-0223조경-제출용_철거수량산출" xfId="1180" xr:uid="{00000000-0005-0000-0000-00009B040000}"/>
    <cellStyle name="0_숭실대학교 걷고싶은 거리 녹화사업_내역서-0308조경-제출용" xfId="1181" xr:uid="{00000000-0005-0000-0000-00009C040000}"/>
    <cellStyle name="0_숭실대학교 걷고싶은 거리 녹화사업_학교숲관리내역서-0222-제출용" xfId="1182" xr:uid="{00000000-0005-0000-0000-00009D040000}"/>
    <cellStyle name="0_숭실대학교 걷고싶은 거리 녹화사업_학교숲관리내역서-최종" xfId="1183" xr:uid="{00000000-0005-0000-0000-00009E040000}"/>
    <cellStyle name="00" xfId="1184" xr:uid="{00000000-0005-0000-0000-00009F040000}"/>
    <cellStyle name="1" xfId="1185" xr:uid="{00000000-0005-0000-0000-0000A0040000}"/>
    <cellStyle name="1_2006 학교숲 설계내역서" xfId="1186" xr:uid="{00000000-0005-0000-0000-0000A1040000}"/>
    <cellStyle name="1_22bl3lot수량산출" xfId="1187" xr:uid="{00000000-0005-0000-0000-0000A2040000}"/>
    <cellStyle name="1_22수량산출서(총괄)" xfId="1188" xr:uid="{00000000-0005-0000-0000-0000A3040000}"/>
    <cellStyle name="1_laroux" xfId="1189" xr:uid="{00000000-0005-0000-0000-0000A4040000}"/>
    <cellStyle name="1_laroux_ATC-YOON1" xfId="1190" xr:uid="{00000000-0005-0000-0000-0000A5040000}"/>
    <cellStyle name="1_total" xfId="1191" xr:uid="{00000000-0005-0000-0000-0000A6040000}"/>
    <cellStyle name="1_total_Book1" xfId="1192" xr:uid="{00000000-0005-0000-0000-0000A7040000}"/>
    <cellStyle name="1_total_Book1_수량산출서양식" xfId="1193" xr:uid="{00000000-0005-0000-0000-0000A8040000}"/>
    <cellStyle name="1_total_Book1_주암수량산출(1차)" xfId="1194" xr:uid="{00000000-0005-0000-0000-0000A9040000}"/>
    <cellStyle name="1_total_Book1_주암수량산출서" xfId="1195" xr:uid="{00000000-0005-0000-0000-0000AA040000}"/>
    <cellStyle name="1_total_구로리총괄내역" xfId="1196" xr:uid="{00000000-0005-0000-0000-0000AB040000}"/>
    <cellStyle name="1_total_구로리총괄내역_구로리설계예산서1029" xfId="1197" xr:uid="{00000000-0005-0000-0000-0000AC040000}"/>
    <cellStyle name="1_total_구로리총괄내역_구로리설계예산서1029_진해자은수량산출서(단지내)" xfId="1198" xr:uid="{00000000-0005-0000-0000-0000AD040000}"/>
    <cellStyle name="1_total_구로리총괄내역_구로리설계예산서1029_진해자은수량산출서(단지내)_진해자은수량산출서(도시기반)0621" xfId="1199" xr:uid="{00000000-0005-0000-0000-0000AE040000}"/>
    <cellStyle name="1_total_구로리총괄내역_구로리설계예산서1029_철거 및 이설수량산출-학교숲" xfId="1200" xr:uid="{00000000-0005-0000-0000-0000AF040000}"/>
    <cellStyle name="1_total_구로리총괄내역_구로리설계예산서1118준공" xfId="1201" xr:uid="{00000000-0005-0000-0000-0000B0040000}"/>
    <cellStyle name="1_total_구로리총괄내역_구로리설계예산서1118준공_진해자은수량산출서(단지내)" xfId="1202" xr:uid="{00000000-0005-0000-0000-0000B1040000}"/>
    <cellStyle name="1_total_구로리총괄내역_구로리설계예산서1118준공_진해자은수량산출서(단지내)_진해자은수량산출서(도시기반)0621" xfId="1203" xr:uid="{00000000-0005-0000-0000-0000B2040000}"/>
    <cellStyle name="1_total_구로리총괄내역_구로리설계예산서1118준공_철거 및 이설수량산출-학교숲" xfId="1204" xr:uid="{00000000-0005-0000-0000-0000B3040000}"/>
    <cellStyle name="1_total_구로리총괄내역_구로리설계예산서조경" xfId="1205" xr:uid="{00000000-0005-0000-0000-0000B4040000}"/>
    <cellStyle name="1_total_구로리총괄내역_구로리설계예산서조경_진해자은수량산출서(단지내)" xfId="1206" xr:uid="{00000000-0005-0000-0000-0000B5040000}"/>
    <cellStyle name="1_total_구로리총괄내역_구로리설계예산서조경_진해자은수량산출서(단지내)_진해자은수량산출서(도시기반)0621" xfId="1207" xr:uid="{00000000-0005-0000-0000-0000B6040000}"/>
    <cellStyle name="1_total_구로리총괄내역_구로리설계예산서조경_철거 및 이설수량산출-학교숲" xfId="1208" xr:uid="{00000000-0005-0000-0000-0000B7040000}"/>
    <cellStyle name="1_total_구로리총괄내역_구로리어린이공원예산서(조경)1125" xfId="1209" xr:uid="{00000000-0005-0000-0000-0000B8040000}"/>
    <cellStyle name="1_total_구로리총괄내역_구로리어린이공원예산서(조경)1125_진해자은수량산출서(단지내)" xfId="1210" xr:uid="{00000000-0005-0000-0000-0000B9040000}"/>
    <cellStyle name="1_total_구로리총괄내역_구로리어린이공원예산서(조경)1125_진해자은수량산출서(단지내)_진해자은수량산출서(도시기반)0621" xfId="1211" xr:uid="{00000000-0005-0000-0000-0000BA040000}"/>
    <cellStyle name="1_total_구로리총괄내역_구로리어린이공원예산서(조경)1125_철거 및 이설수량산출-학교숲" xfId="1212" xr:uid="{00000000-0005-0000-0000-0000BB040000}"/>
    <cellStyle name="1_total_구로리총괄내역_내역서" xfId="1213" xr:uid="{00000000-0005-0000-0000-0000BC040000}"/>
    <cellStyle name="1_total_구로리총괄내역_내역서_진해자은수량산출서(단지내)" xfId="1214" xr:uid="{00000000-0005-0000-0000-0000BD040000}"/>
    <cellStyle name="1_total_구로리총괄내역_내역서_진해자은수량산출서(단지내)_진해자은수량산출서(도시기반)0621" xfId="1215" xr:uid="{00000000-0005-0000-0000-0000BE040000}"/>
    <cellStyle name="1_total_구로리총괄내역_내역서_철거 및 이설수량산출-학교숲" xfId="1216" xr:uid="{00000000-0005-0000-0000-0000BF040000}"/>
    <cellStyle name="1_total_구로리총괄내역_노임단가표" xfId="1217" xr:uid="{00000000-0005-0000-0000-0000C0040000}"/>
    <cellStyle name="1_total_구로리총괄내역_노임단가표_진해자은수량산출서(단지내)" xfId="1218" xr:uid="{00000000-0005-0000-0000-0000C1040000}"/>
    <cellStyle name="1_total_구로리총괄내역_노임단가표_진해자은수량산출서(단지내)_진해자은수량산출서(도시기반)0621" xfId="1219" xr:uid="{00000000-0005-0000-0000-0000C2040000}"/>
    <cellStyle name="1_total_구로리총괄내역_노임단가표_철거 및 이설수량산출-학교숲" xfId="1220" xr:uid="{00000000-0005-0000-0000-0000C3040000}"/>
    <cellStyle name="1_total_구로리총괄내역_수도권매립지" xfId="1221" xr:uid="{00000000-0005-0000-0000-0000C4040000}"/>
    <cellStyle name="1_total_구로리총괄내역_수도권매립지_진해자은수량산출서(단지내)" xfId="1222" xr:uid="{00000000-0005-0000-0000-0000C5040000}"/>
    <cellStyle name="1_total_구로리총괄내역_수도권매립지_진해자은수량산출서(단지내)_진해자은수량산출서(도시기반)0621" xfId="1223" xr:uid="{00000000-0005-0000-0000-0000C6040000}"/>
    <cellStyle name="1_total_구로리총괄내역_수도권매립지_철거 및 이설수량산출-학교숲" xfId="1224" xr:uid="{00000000-0005-0000-0000-0000C7040000}"/>
    <cellStyle name="1_total_구로리총괄내역_수도권매립지1004(발주용)" xfId="1225" xr:uid="{00000000-0005-0000-0000-0000C8040000}"/>
    <cellStyle name="1_total_구로리총괄내역_수도권매립지1004(발주용)_진해자은수량산출서(단지내)" xfId="1226" xr:uid="{00000000-0005-0000-0000-0000C9040000}"/>
    <cellStyle name="1_total_구로리총괄내역_수도권매립지1004(발주용)_진해자은수량산출서(단지내)_진해자은수량산출서(도시기반)0621" xfId="1227" xr:uid="{00000000-0005-0000-0000-0000CA040000}"/>
    <cellStyle name="1_total_구로리총괄내역_수도권매립지1004(발주용)_철거 및 이설수량산출-학교숲" xfId="1228" xr:uid="{00000000-0005-0000-0000-0000CB040000}"/>
    <cellStyle name="1_total_구로리총괄내역_일신건영설계예산서(0211)" xfId="1229" xr:uid="{00000000-0005-0000-0000-0000CC040000}"/>
    <cellStyle name="1_total_구로리총괄내역_일신건영설계예산서(0211)_진해자은수량산출서(단지내)" xfId="1230" xr:uid="{00000000-0005-0000-0000-0000CD040000}"/>
    <cellStyle name="1_total_구로리총괄내역_일신건영설계예산서(0211)_진해자은수량산출서(단지내)_진해자은수량산출서(도시기반)0621" xfId="1231" xr:uid="{00000000-0005-0000-0000-0000CE040000}"/>
    <cellStyle name="1_total_구로리총괄내역_일신건영설계예산서(0211)_철거 및 이설수량산출-학교숲" xfId="1232" xr:uid="{00000000-0005-0000-0000-0000CF040000}"/>
    <cellStyle name="1_total_구로리총괄내역_일위대가" xfId="1233" xr:uid="{00000000-0005-0000-0000-0000D0040000}"/>
    <cellStyle name="1_total_구로리총괄내역_일위대가_진해자은수량산출서(단지내)" xfId="1234" xr:uid="{00000000-0005-0000-0000-0000D1040000}"/>
    <cellStyle name="1_total_구로리총괄내역_일위대가_진해자은수량산출서(단지내)_진해자은수량산출서(도시기반)0621" xfId="1235" xr:uid="{00000000-0005-0000-0000-0000D2040000}"/>
    <cellStyle name="1_total_구로리총괄내역_일위대가_철거 및 이설수량산출-학교숲" xfId="1236" xr:uid="{00000000-0005-0000-0000-0000D3040000}"/>
    <cellStyle name="1_total_구로리총괄내역_자재단가표" xfId="1237" xr:uid="{00000000-0005-0000-0000-0000D4040000}"/>
    <cellStyle name="1_total_구로리총괄내역_자재단가표_진해자은수량산출서(단지내)" xfId="1238" xr:uid="{00000000-0005-0000-0000-0000D5040000}"/>
    <cellStyle name="1_total_구로리총괄내역_자재단가표_진해자은수량산출서(단지내)_진해자은수량산출서(도시기반)0621" xfId="1239" xr:uid="{00000000-0005-0000-0000-0000D6040000}"/>
    <cellStyle name="1_total_구로리총괄내역_자재단가표_철거 및 이설수량산출-학교숲" xfId="1240" xr:uid="{00000000-0005-0000-0000-0000D7040000}"/>
    <cellStyle name="1_total_구로리총괄내역_장안초등학교내역0814" xfId="1241" xr:uid="{00000000-0005-0000-0000-0000D8040000}"/>
    <cellStyle name="1_total_구로리총괄내역_장안초등학교내역0814_진해자은수량산출서(단지내)" xfId="1242" xr:uid="{00000000-0005-0000-0000-0000D9040000}"/>
    <cellStyle name="1_total_구로리총괄내역_장안초등학교내역0814_진해자은수량산출서(단지내)_진해자은수량산출서(도시기반)0621" xfId="1243" xr:uid="{00000000-0005-0000-0000-0000DA040000}"/>
    <cellStyle name="1_total_구로리총괄내역_장안초등학교내역0814_철거 및 이설수량산출-학교숲" xfId="1244" xr:uid="{00000000-0005-0000-0000-0000DB040000}"/>
    <cellStyle name="1_total_구로리총괄내역_진해자은수량산출서(단지내)" xfId="1245" xr:uid="{00000000-0005-0000-0000-0000DC040000}"/>
    <cellStyle name="1_total_구로리총괄내역_진해자은수량산출서(단지내)_진해자은수량산출서(도시기반)0621" xfId="1246" xr:uid="{00000000-0005-0000-0000-0000DD040000}"/>
    <cellStyle name="1_total_구로리총괄내역_철거 및 이설수량산출-학교숲" xfId="1247" xr:uid="{00000000-0005-0000-0000-0000DE040000}"/>
    <cellStyle name="1_total_수량표(가채리최종)" xfId="1248" xr:uid="{00000000-0005-0000-0000-0000DF040000}"/>
    <cellStyle name="1_total_수량표(가채리최종)_광양수량표" xfId="1249" xr:uid="{00000000-0005-0000-0000-0000E0040000}"/>
    <cellStyle name="1_total_수량표(가채리최종)_낭천산림욕장수량표" xfId="1250" xr:uid="{00000000-0005-0000-0000-0000E1040000}"/>
    <cellStyle name="1_total_수량표(가채리최종)_낭천산림욕장수량표_천호3동수량표" xfId="1251" xr:uid="{00000000-0005-0000-0000-0000E2040000}"/>
    <cellStyle name="1_total_수량표(가채리최종)_낭천산림욕장수량표_천호3동수량표_광양수량표" xfId="1252" xr:uid="{00000000-0005-0000-0000-0000E3040000}"/>
    <cellStyle name="1_total_진해자은수량산출서(단지내)" xfId="1253" xr:uid="{00000000-0005-0000-0000-0000E4040000}"/>
    <cellStyle name="1_total_진해자은수량산출서(단지내)_진해자은수량산출서(도시기반)0621" xfId="1254" xr:uid="{00000000-0005-0000-0000-0000E5040000}"/>
    <cellStyle name="1_total_천호3동수량표" xfId="1255" xr:uid="{00000000-0005-0000-0000-0000E6040000}"/>
    <cellStyle name="1_total_천호3동수량표_광양수량표" xfId="1256" xr:uid="{00000000-0005-0000-0000-0000E7040000}"/>
    <cellStyle name="1_total_철거 및 이설수량산출-학교숲" xfId="1257" xr:uid="{00000000-0005-0000-0000-0000E8040000}"/>
    <cellStyle name="1_total_총괄내역0518" xfId="1258" xr:uid="{00000000-0005-0000-0000-0000E9040000}"/>
    <cellStyle name="1_total_총괄내역0518_구로리설계예산서1029" xfId="1259" xr:uid="{00000000-0005-0000-0000-0000EA040000}"/>
    <cellStyle name="1_total_총괄내역0518_구로리설계예산서1029_진해자은수량산출서(단지내)" xfId="1260" xr:uid="{00000000-0005-0000-0000-0000EB040000}"/>
    <cellStyle name="1_total_총괄내역0518_구로리설계예산서1029_진해자은수량산출서(단지내)_진해자은수량산출서(도시기반)0621" xfId="1261" xr:uid="{00000000-0005-0000-0000-0000EC040000}"/>
    <cellStyle name="1_total_총괄내역0518_구로리설계예산서1029_철거 및 이설수량산출-학교숲" xfId="1262" xr:uid="{00000000-0005-0000-0000-0000ED040000}"/>
    <cellStyle name="1_total_총괄내역0518_구로리설계예산서1118준공" xfId="1263" xr:uid="{00000000-0005-0000-0000-0000EE040000}"/>
    <cellStyle name="1_total_총괄내역0518_구로리설계예산서1118준공_진해자은수량산출서(단지내)" xfId="1264" xr:uid="{00000000-0005-0000-0000-0000EF040000}"/>
    <cellStyle name="1_total_총괄내역0518_구로리설계예산서1118준공_진해자은수량산출서(단지내)_진해자은수량산출서(도시기반)0621" xfId="1265" xr:uid="{00000000-0005-0000-0000-0000F0040000}"/>
    <cellStyle name="1_total_총괄내역0518_구로리설계예산서1118준공_철거 및 이설수량산출-학교숲" xfId="1266" xr:uid="{00000000-0005-0000-0000-0000F1040000}"/>
    <cellStyle name="1_total_총괄내역0518_구로리설계예산서조경" xfId="1267" xr:uid="{00000000-0005-0000-0000-0000F2040000}"/>
    <cellStyle name="1_total_총괄내역0518_구로리설계예산서조경_진해자은수량산출서(단지내)" xfId="1268" xr:uid="{00000000-0005-0000-0000-0000F3040000}"/>
    <cellStyle name="1_total_총괄내역0518_구로리설계예산서조경_진해자은수량산출서(단지내)_진해자은수량산출서(도시기반)0621" xfId="1269" xr:uid="{00000000-0005-0000-0000-0000F4040000}"/>
    <cellStyle name="1_total_총괄내역0518_구로리설계예산서조경_철거 및 이설수량산출-학교숲" xfId="1270" xr:uid="{00000000-0005-0000-0000-0000F5040000}"/>
    <cellStyle name="1_total_총괄내역0518_구로리어린이공원예산서(조경)1125" xfId="1271" xr:uid="{00000000-0005-0000-0000-0000F6040000}"/>
    <cellStyle name="1_total_총괄내역0518_구로리어린이공원예산서(조경)1125_진해자은수량산출서(단지내)" xfId="1272" xr:uid="{00000000-0005-0000-0000-0000F7040000}"/>
    <cellStyle name="1_total_총괄내역0518_구로리어린이공원예산서(조경)1125_진해자은수량산출서(단지내)_진해자은수량산출서(도시기반)0621" xfId="1273" xr:uid="{00000000-0005-0000-0000-0000F8040000}"/>
    <cellStyle name="1_total_총괄내역0518_구로리어린이공원예산서(조경)1125_철거 및 이설수량산출-학교숲" xfId="1274" xr:uid="{00000000-0005-0000-0000-0000F9040000}"/>
    <cellStyle name="1_total_총괄내역0518_내역서" xfId="1275" xr:uid="{00000000-0005-0000-0000-0000FA040000}"/>
    <cellStyle name="1_total_총괄내역0518_내역서_진해자은수량산출서(단지내)" xfId="1276" xr:uid="{00000000-0005-0000-0000-0000FB040000}"/>
    <cellStyle name="1_total_총괄내역0518_내역서_진해자은수량산출서(단지내)_진해자은수량산출서(도시기반)0621" xfId="1277" xr:uid="{00000000-0005-0000-0000-0000FC040000}"/>
    <cellStyle name="1_total_총괄내역0518_내역서_철거 및 이설수량산출-학교숲" xfId="1278" xr:uid="{00000000-0005-0000-0000-0000FD040000}"/>
    <cellStyle name="1_total_총괄내역0518_노임단가표" xfId="1279" xr:uid="{00000000-0005-0000-0000-0000FE040000}"/>
    <cellStyle name="1_total_총괄내역0518_노임단가표_진해자은수량산출서(단지내)" xfId="1280" xr:uid="{00000000-0005-0000-0000-0000FF040000}"/>
    <cellStyle name="1_total_총괄내역0518_노임단가표_진해자은수량산출서(단지내)_진해자은수량산출서(도시기반)0621" xfId="1281" xr:uid="{00000000-0005-0000-0000-000000050000}"/>
    <cellStyle name="1_total_총괄내역0518_노임단가표_철거 및 이설수량산출-학교숲" xfId="1282" xr:uid="{00000000-0005-0000-0000-000001050000}"/>
    <cellStyle name="1_total_총괄내역0518_수도권매립지" xfId="1283" xr:uid="{00000000-0005-0000-0000-000002050000}"/>
    <cellStyle name="1_total_총괄내역0518_수도권매립지_진해자은수량산출서(단지내)" xfId="1284" xr:uid="{00000000-0005-0000-0000-000003050000}"/>
    <cellStyle name="1_total_총괄내역0518_수도권매립지_진해자은수량산출서(단지내)_진해자은수량산출서(도시기반)0621" xfId="1285" xr:uid="{00000000-0005-0000-0000-000004050000}"/>
    <cellStyle name="1_total_총괄내역0518_수도권매립지_철거 및 이설수량산출-학교숲" xfId="1286" xr:uid="{00000000-0005-0000-0000-000005050000}"/>
    <cellStyle name="1_total_총괄내역0518_수도권매립지1004(발주용)" xfId="1287" xr:uid="{00000000-0005-0000-0000-000006050000}"/>
    <cellStyle name="1_total_총괄내역0518_수도권매립지1004(발주용)_진해자은수량산출서(단지내)" xfId="1288" xr:uid="{00000000-0005-0000-0000-000007050000}"/>
    <cellStyle name="1_total_총괄내역0518_수도권매립지1004(발주용)_진해자은수량산출서(단지내)_진해자은수량산출서(도시기반)0621" xfId="1289" xr:uid="{00000000-0005-0000-0000-000008050000}"/>
    <cellStyle name="1_total_총괄내역0518_수도권매립지1004(발주용)_철거 및 이설수량산출-학교숲" xfId="1290" xr:uid="{00000000-0005-0000-0000-000009050000}"/>
    <cellStyle name="1_total_총괄내역0518_일신건영설계예산서(0211)" xfId="1291" xr:uid="{00000000-0005-0000-0000-00000A050000}"/>
    <cellStyle name="1_total_총괄내역0518_일신건영설계예산서(0211)_진해자은수량산출서(단지내)" xfId="1292" xr:uid="{00000000-0005-0000-0000-00000B050000}"/>
    <cellStyle name="1_total_총괄내역0518_일신건영설계예산서(0211)_진해자은수량산출서(단지내)_진해자은수량산출서(도시기반)0621" xfId="1293" xr:uid="{00000000-0005-0000-0000-00000C050000}"/>
    <cellStyle name="1_total_총괄내역0518_일신건영설계예산서(0211)_철거 및 이설수량산출-학교숲" xfId="1294" xr:uid="{00000000-0005-0000-0000-00000D050000}"/>
    <cellStyle name="1_total_총괄내역0518_일위대가" xfId="1295" xr:uid="{00000000-0005-0000-0000-00000E050000}"/>
    <cellStyle name="1_total_총괄내역0518_일위대가_진해자은수량산출서(단지내)" xfId="1296" xr:uid="{00000000-0005-0000-0000-00000F050000}"/>
    <cellStyle name="1_total_총괄내역0518_일위대가_진해자은수량산출서(단지내)_진해자은수량산출서(도시기반)0621" xfId="1297" xr:uid="{00000000-0005-0000-0000-000010050000}"/>
    <cellStyle name="1_total_총괄내역0518_일위대가_철거 및 이설수량산출-학교숲" xfId="1298" xr:uid="{00000000-0005-0000-0000-000011050000}"/>
    <cellStyle name="1_total_총괄내역0518_자재단가표" xfId="1299" xr:uid="{00000000-0005-0000-0000-000012050000}"/>
    <cellStyle name="1_total_총괄내역0518_자재단가표_진해자은수량산출서(단지내)" xfId="1300" xr:uid="{00000000-0005-0000-0000-000013050000}"/>
    <cellStyle name="1_total_총괄내역0518_자재단가표_진해자은수량산출서(단지내)_진해자은수량산출서(도시기반)0621" xfId="1301" xr:uid="{00000000-0005-0000-0000-000014050000}"/>
    <cellStyle name="1_total_총괄내역0518_자재단가표_철거 및 이설수량산출-학교숲" xfId="1302" xr:uid="{00000000-0005-0000-0000-000015050000}"/>
    <cellStyle name="1_total_총괄내역0518_장안초등학교내역0814" xfId="1303" xr:uid="{00000000-0005-0000-0000-000016050000}"/>
    <cellStyle name="1_total_총괄내역0518_장안초등학교내역0814_진해자은수량산출서(단지내)" xfId="1304" xr:uid="{00000000-0005-0000-0000-000017050000}"/>
    <cellStyle name="1_total_총괄내역0518_장안초등학교내역0814_진해자은수량산출서(단지내)_진해자은수량산출서(도시기반)0621" xfId="1305" xr:uid="{00000000-0005-0000-0000-000018050000}"/>
    <cellStyle name="1_total_총괄내역0518_장안초등학교내역0814_철거 및 이설수량산출-학교숲" xfId="1306" xr:uid="{00000000-0005-0000-0000-000019050000}"/>
    <cellStyle name="1_total_총괄내역0518_진해자은수량산출서(단지내)" xfId="1307" xr:uid="{00000000-0005-0000-0000-00001A050000}"/>
    <cellStyle name="1_total_총괄내역0518_진해자은수량산출서(단지내)_진해자은수량산출서(도시기반)0621" xfId="1308" xr:uid="{00000000-0005-0000-0000-00001B050000}"/>
    <cellStyle name="1_total_총괄내역0518_철거 및 이설수량산출-학교숲" xfId="1309" xr:uid="{00000000-0005-0000-0000-00001C050000}"/>
    <cellStyle name="1_tree" xfId="1310" xr:uid="{00000000-0005-0000-0000-00001D050000}"/>
    <cellStyle name="1_tree_Book1" xfId="1311" xr:uid="{00000000-0005-0000-0000-00001E050000}"/>
    <cellStyle name="1_tree_Book1_수량산출서양식" xfId="1312" xr:uid="{00000000-0005-0000-0000-00001F050000}"/>
    <cellStyle name="1_tree_Book1_주암수량산출(1차)" xfId="1313" xr:uid="{00000000-0005-0000-0000-000020050000}"/>
    <cellStyle name="1_tree_Book1_주암수량산출서" xfId="1314" xr:uid="{00000000-0005-0000-0000-000021050000}"/>
    <cellStyle name="1_tree_구로리총괄내역" xfId="1315" xr:uid="{00000000-0005-0000-0000-000022050000}"/>
    <cellStyle name="1_tree_구로리총괄내역_구로리설계예산서1029" xfId="1316" xr:uid="{00000000-0005-0000-0000-000023050000}"/>
    <cellStyle name="1_tree_구로리총괄내역_구로리설계예산서1029_진해자은수량산출서(단지내)" xfId="1317" xr:uid="{00000000-0005-0000-0000-000024050000}"/>
    <cellStyle name="1_tree_구로리총괄내역_구로리설계예산서1029_진해자은수량산출서(단지내)_진해자은수량산출서(도시기반)0621" xfId="1318" xr:uid="{00000000-0005-0000-0000-000025050000}"/>
    <cellStyle name="1_tree_구로리총괄내역_구로리설계예산서1029_철거 및 이설수량산출-학교숲" xfId="1319" xr:uid="{00000000-0005-0000-0000-000026050000}"/>
    <cellStyle name="1_tree_구로리총괄내역_구로리설계예산서1118준공" xfId="1320" xr:uid="{00000000-0005-0000-0000-000027050000}"/>
    <cellStyle name="1_tree_구로리총괄내역_구로리설계예산서1118준공_진해자은수량산출서(단지내)" xfId="1321" xr:uid="{00000000-0005-0000-0000-000028050000}"/>
    <cellStyle name="1_tree_구로리총괄내역_구로리설계예산서1118준공_진해자은수량산출서(단지내)_진해자은수량산출서(도시기반)0621" xfId="1322" xr:uid="{00000000-0005-0000-0000-000029050000}"/>
    <cellStyle name="1_tree_구로리총괄내역_구로리설계예산서1118준공_철거 및 이설수량산출-학교숲" xfId="1323" xr:uid="{00000000-0005-0000-0000-00002A050000}"/>
    <cellStyle name="1_tree_구로리총괄내역_구로리설계예산서조경" xfId="1324" xr:uid="{00000000-0005-0000-0000-00002B050000}"/>
    <cellStyle name="1_tree_구로리총괄내역_구로리설계예산서조경_진해자은수량산출서(단지내)" xfId="1325" xr:uid="{00000000-0005-0000-0000-00002C050000}"/>
    <cellStyle name="1_tree_구로리총괄내역_구로리설계예산서조경_진해자은수량산출서(단지내)_진해자은수량산출서(도시기반)0621" xfId="1326" xr:uid="{00000000-0005-0000-0000-00002D050000}"/>
    <cellStyle name="1_tree_구로리총괄내역_구로리설계예산서조경_철거 및 이설수량산출-학교숲" xfId="1327" xr:uid="{00000000-0005-0000-0000-00002E050000}"/>
    <cellStyle name="1_tree_구로리총괄내역_구로리어린이공원예산서(조경)1125" xfId="1328" xr:uid="{00000000-0005-0000-0000-00002F050000}"/>
    <cellStyle name="1_tree_구로리총괄내역_구로리어린이공원예산서(조경)1125_진해자은수량산출서(단지내)" xfId="1329" xr:uid="{00000000-0005-0000-0000-000030050000}"/>
    <cellStyle name="1_tree_구로리총괄내역_구로리어린이공원예산서(조경)1125_진해자은수량산출서(단지내)_진해자은수량산출서(도시기반)0621" xfId="1330" xr:uid="{00000000-0005-0000-0000-000031050000}"/>
    <cellStyle name="1_tree_구로리총괄내역_구로리어린이공원예산서(조경)1125_철거 및 이설수량산출-학교숲" xfId="1331" xr:uid="{00000000-0005-0000-0000-000032050000}"/>
    <cellStyle name="1_tree_구로리총괄내역_내역서" xfId="1332" xr:uid="{00000000-0005-0000-0000-000033050000}"/>
    <cellStyle name="1_tree_구로리총괄내역_내역서_진해자은수량산출서(단지내)" xfId="1333" xr:uid="{00000000-0005-0000-0000-000034050000}"/>
    <cellStyle name="1_tree_구로리총괄내역_내역서_진해자은수량산출서(단지내)_진해자은수량산출서(도시기반)0621" xfId="1334" xr:uid="{00000000-0005-0000-0000-000035050000}"/>
    <cellStyle name="1_tree_구로리총괄내역_내역서_철거 및 이설수량산출-학교숲" xfId="1335" xr:uid="{00000000-0005-0000-0000-000036050000}"/>
    <cellStyle name="1_tree_구로리총괄내역_노임단가표" xfId="1336" xr:uid="{00000000-0005-0000-0000-000037050000}"/>
    <cellStyle name="1_tree_구로리총괄내역_노임단가표_진해자은수량산출서(단지내)" xfId="1337" xr:uid="{00000000-0005-0000-0000-000038050000}"/>
    <cellStyle name="1_tree_구로리총괄내역_노임단가표_진해자은수량산출서(단지내)_진해자은수량산출서(도시기반)0621" xfId="1338" xr:uid="{00000000-0005-0000-0000-000039050000}"/>
    <cellStyle name="1_tree_구로리총괄내역_노임단가표_철거 및 이설수량산출-학교숲" xfId="1339" xr:uid="{00000000-0005-0000-0000-00003A050000}"/>
    <cellStyle name="1_tree_구로리총괄내역_수도권매립지" xfId="1340" xr:uid="{00000000-0005-0000-0000-00003B050000}"/>
    <cellStyle name="1_tree_구로리총괄내역_수도권매립지_진해자은수량산출서(단지내)" xfId="1341" xr:uid="{00000000-0005-0000-0000-00003C050000}"/>
    <cellStyle name="1_tree_구로리총괄내역_수도권매립지_진해자은수량산출서(단지내)_진해자은수량산출서(도시기반)0621" xfId="1342" xr:uid="{00000000-0005-0000-0000-00003D050000}"/>
    <cellStyle name="1_tree_구로리총괄내역_수도권매립지_철거 및 이설수량산출-학교숲" xfId="1343" xr:uid="{00000000-0005-0000-0000-00003E050000}"/>
    <cellStyle name="1_tree_구로리총괄내역_수도권매립지1004(발주용)" xfId="1344" xr:uid="{00000000-0005-0000-0000-00003F050000}"/>
    <cellStyle name="1_tree_구로리총괄내역_수도권매립지1004(발주용)_진해자은수량산출서(단지내)" xfId="1345" xr:uid="{00000000-0005-0000-0000-000040050000}"/>
    <cellStyle name="1_tree_구로리총괄내역_수도권매립지1004(발주용)_진해자은수량산출서(단지내)_진해자은수량산출서(도시기반)0621" xfId="1346" xr:uid="{00000000-0005-0000-0000-000041050000}"/>
    <cellStyle name="1_tree_구로리총괄내역_수도권매립지1004(발주용)_철거 및 이설수량산출-학교숲" xfId="1347" xr:uid="{00000000-0005-0000-0000-000042050000}"/>
    <cellStyle name="1_tree_구로리총괄내역_일신건영설계예산서(0211)" xfId="1348" xr:uid="{00000000-0005-0000-0000-000043050000}"/>
    <cellStyle name="1_tree_구로리총괄내역_일신건영설계예산서(0211)_진해자은수량산출서(단지내)" xfId="1349" xr:uid="{00000000-0005-0000-0000-000044050000}"/>
    <cellStyle name="1_tree_구로리총괄내역_일신건영설계예산서(0211)_진해자은수량산출서(단지내)_진해자은수량산출서(도시기반)0621" xfId="1350" xr:uid="{00000000-0005-0000-0000-000045050000}"/>
    <cellStyle name="1_tree_구로리총괄내역_일신건영설계예산서(0211)_철거 및 이설수량산출-학교숲" xfId="1351" xr:uid="{00000000-0005-0000-0000-000046050000}"/>
    <cellStyle name="1_tree_구로리총괄내역_일위대가" xfId="1352" xr:uid="{00000000-0005-0000-0000-000047050000}"/>
    <cellStyle name="1_tree_구로리총괄내역_일위대가_진해자은수량산출서(단지내)" xfId="1353" xr:uid="{00000000-0005-0000-0000-000048050000}"/>
    <cellStyle name="1_tree_구로리총괄내역_일위대가_진해자은수량산출서(단지내)_진해자은수량산출서(도시기반)0621" xfId="1354" xr:uid="{00000000-0005-0000-0000-000049050000}"/>
    <cellStyle name="1_tree_구로리총괄내역_일위대가_철거 및 이설수량산출-학교숲" xfId="1355" xr:uid="{00000000-0005-0000-0000-00004A050000}"/>
    <cellStyle name="1_tree_구로리총괄내역_자재단가표" xfId="1356" xr:uid="{00000000-0005-0000-0000-00004B050000}"/>
    <cellStyle name="1_tree_구로리총괄내역_자재단가표_진해자은수량산출서(단지내)" xfId="1357" xr:uid="{00000000-0005-0000-0000-00004C050000}"/>
    <cellStyle name="1_tree_구로리총괄내역_자재단가표_진해자은수량산출서(단지내)_진해자은수량산출서(도시기반)0621" xfId="1358" xr:uid="{00000000-0005-0000-0000-00004D050000}"/>
    <cellStyle name="1_tree_구로리총괄내역_자재단가표_철거 및 이설수량산출-학교숲" xfId="1359" xr:uid="{00000000-0005-0000-0000-00004E050000}"/>
    <cellStyle name="1_tree_구로리총괄내역_장안초등학교내역0814" xfId="1360" xr:uid="{00000000-0005-0000-0000-00004F050000}"/>
    <cellStyle name="1_tree_구로리총괄내역_장안초등학교내역0814_진해자은수량산출서(단지내)" xfId="1361" xr:uid="{00000000-0005-0000-0000-000050050000}"/>
    <cellStyle name="1_tree_구로리총괄내역_장안초등학교내역0814_진해자은수량산출서(단지내)_진해자은수량산출서(도시기반)0621" xfId="1362" xr:uid="{00000000-0005-0000-0000-000051050000}"/>
    <cellStyle name="1_tree_구로리총괄내역_장안초등학교내역0814_철거 및 이설수량산출-학교숲" xfId="1363" xr:uid="{00000000-0005-0000-0000-000052050000}"/>
    <cellStyle name="1_tree_구로리총괄내역_진해자은수량산출서(단지내)" xfId="1364" xr:uid="{00000000-0005-0000-0000-000053050000}"/>
    <cellStyle name="1_tree_구로리총괄내역_진해자은수량산출서(단지내)_진해자은수량산출서(도시기반)0621" xfId="1365" xr:uid="{00000000-0005-0000-0000-000054050000}"/>
    <cellStyle name="1_tree_구로리총괄내역_철거 및 이설수량산출-학교숲" xfId="1366" xr:uid="{00000000-0005-0000-0000-000055050000}"/>
    <cellStyle name="1_tree_수량산출" xfId="1367" xr:uid="{00000000-0005-0000-0000-000056050000}"/>
    <cellStyle name="1_tree_수량산출_Book1" xfId="1368" xr:uid="{00000000-0005-0000-0000-000057050000}"/>
    <cellStyle name="1_tree_수량산출_Book1_수량산출서양식" xfId="1369" xr:uid="{00000000-0005-0000-0000-000058050000}"/>
    <cellStyle name="1_tree_수량산출_Book1_주암수량산출(1차)" xfId="1370" xr:uid="{00000000-0005-0000-0000-000059050000}"/>
    <cellStyle name="1_tree_수량산출_Book1_주암수량산출서" xfId="1371" xr:uid="{00000000-0005-0000-0000-00005A050000}"/>
    <cellStyle name="1_tree_수량산출_구로리총괄내역" xfId="1372" xr:uid="{00000000-0005-0000-0000-00005B050000}"/>
    <cellStyle name="1_tree_수량산출_구로리총괄내역_구로리설계예산서1029" xfId="1373" xr:uid="{00000000-0005-0000-0000-00005C050000}"/>
    <cellStyle name="1_tree_수량산출_구로리총괄내역_구로리설계예산서1029_진해자은수량산출서(단지내)" xfId="1374" xr:uid="{00000000-0005-0000-0000-00005D050000}"/>
    <cellStyle name="1_tree_수량산출_구로리총괄내역_구로리설계예산서1029_진해자은수량산출서(단지내)_진해자은수량산출서(도시기반)0621" xfId="1375" xr:uid="{00000000-0005-0000-0000-00005E050000}"/>
    <cellStyle name="1_tree_수량산출_구로리총괄내역_구로리설계예산서1029_철거 및 이설수량산출-학교숲" xfId="1376" xr:uid="{00000000-0005-0000-0000-00005F050000}"/>
    <cellStyle name="1_tree_수량산출_구로리총괄내역_구로리설계예산서1118준공" xfId="1377" xr:uid="{00000000-0005-0000-0000-000060050000}"/>
    <cellStyle name="1_tree_수량산출_구로리총괄내역_구로리설계예산서1118준공_진해자은수량산출서(단지내)" xfId="1378" xr:uid="{00000000-0005-0000-0000-000061050000}"/>
    <cellStyle name="1_tree_수량산출_구로리총괄내역_구로리설계예산서1118준공_진해자은수량산출서(단지내)_진해자은수량산출서(도시기반)0621" xfId="1379" xr:uid="{00000000-0005-0000-0000-000062050000}"/>
    <cellStyle name="1_tree_수량산출_구로리총괄내역_구로리설계예산서1118준공_철거 및 이설수량산출-학교숲" xfId="1380" xr:uid="{00000000-0005-0000-0000-000063050000}"/>
    <cellStyle name="1_tree_수량산출_구로리총괄내역_구로리설계예산서조경" xfId="1381" xr:uid="{00000000-0005-0000-0000-000064050000}"/>
    <cellStyle name="1_tree_수량산출_구로리총괄내역_구로리설계예산서조경_진해자은수량산출서(단지내)" xfId="1382" xr:uid="{00000000-0005-0000-0000-000065050000}"/>
    <cellStyle name="1_tree_수량산출_구로리총괄내역_구로리설계예산서조경_진해자은수량산출서(단지내)_진해자은수량산출서(도시기반)0621" xfId="1383" xr:uid="{00000000-0005-0000-0000-000066050000}"/>
    <cellStyle name="1_tree_수량산출_구로리총괄내역_구로리설계예산서조경_철거 및 이설수량산출-학교숲" xfId="1384" xr:uid="{00000000-0005-0000-0000-000067050000}"/>
    <cellStyle name="1_tree_수량산출_구로리총괄내역_구로리어린이공원예산서(조경)1125" xfId="1385" xr:uid="{00000000-0005-0000-0000-000068050000}"/>
    <cellStyle name="1_tree_수량산출_구로리총괄내역_구로리어린이공원예산서(조경)1125_진해자은수량산출서(단지내)" xfId="1386" xr:uid="{00000000-0005-0000-0000-000069050000}"/>
    <cellStyle name="1_tree_수량산출_구로리총괄내역_구로리어린이공원예산서(조경)1125_진해자은수량산출서(단지내)_진해자은수량산출서(도시기반)0621" xfId="1387" xr:uid="{00000000-0005-0000-0000-00006A050000}"/>
    <cellStyle name="1_tree_수량산출_구로리총괄내역_구로리어린이공원예산서(조경)1125_철거 및 이설수량산출-학교숲" xfId="1388" xr:uid="{00000000-0005-0000-0000-00006B050000}"/>
    <cellStyle name="1_tree_수량산출_구로리총괄내역_내역서" xfId="1389" xr:uid="{00000000-0005-0000-0000-00006C050000}"/>
    <cellStyle name="1_tree_수량산출_구로리총괄내역_내역서_진해자은수량산출서(단지내)" xfId="1390" xr:uid="{00000000-0005-0000-0000-00006D050000}"/>
    <cellStyle name="1_tree_수량산출_구로리총괄내역_내역서_진해자은수량산출서(단지내)_진해자은수량산출서(도시기반)0621" xfId="1391" xr:uid="{00000000-0005-0000-0000-00006E050000}"/>
    <cellStyle name="1_tree_수량산출_구로리총괄내역_내역서_철거 및 이설수량산출-학교숲" xfId="1392" xr:uid="{00000000-0005-0000-0000-00006F050000}"/>
    <cellStyle name="1_tree_수량산출_구로리총괄내역_노임단가표" xfId="1393" xr:uid="{00000000-0005-0000-0000-000070050000}"/>
    <cellStyle name="1_tree_수량산출_구로리총괄내역_노임단가표_진해자은수량산출서(단지내)" xfId="1394" xr:uid="{00000000-0005-0000-0000-000071050000}"/>
    <cellStyle name="1_tree_수량산출_구로리총괄내역_노임단가표_진해자은수량산출서(단지내)_진해자은수량산출서(도시기반)0621" xfId="1395" xr:uid="{00000000-0005-0000-0000-000072050000}"/>
    <cellStyle name="1_tree_수량산출_구로리총괄내역_노임단가표_철거 및 이설수량산출-학교숲" xfId="1396" xr:uid="{00000000-0005-0000-0000-000073050000}"/>
    <cellStyle name="1_tree_수량산출_구로리총괄내역_수도권매립지" xfId="1397" xr:uid="{00000000-0005-0000-0000-000074050000}"/>
    <cellStyle name="1_tree_수량산출_구로리총괄내역_수도권매립지_진해자은수량산출서(단지내)" xfId="1398" xr:uid="{00000000-0005-0000-0000-000075050000}"/>
    <cellStyle name="1_tree_수량산출_구로리총괄내역_수도권매립지_진해자은수량산출서(단지내)_진해자은수량산출서(도시기반)0621" xfId="1399" xr:uid="{00000000-0005-0000-0000-000076050000}"/>
    <cellStyle name="1_tree_수량산출_구로리총괄내역_수도권매립지_철거 및 이설수량산출-학교숲" xfId="1400" xr:uid="{00000000-0005-0000-0000-000077050000}"/>
    <cellStyle name="1_tree_수량산출_구로리총괄내역_수도권매립지1004(발주용)" xfId="1401" xr:uid="{00000000-0005-0000-0000-000078050000}"/>
    <cellStyle name="1_tree_수량산출_구로리총괄내역_수도권매립지1004(발주용)_진해자은수량산출서(단지내)" xfId="1402" xr:uid="{00000000-0005-0000-0000-000079050000}"/>
    <cellStyle name="1_tree_수량산출_구로리총괄내역_수도권매립지1004(발주용)_진해자은수량산출서(단지내)_진해자은수량산출서(도시기반)0621" xfId="1403" xr:uid="{00000000-0005-0000-0000-00007A050000}"/>
    <cellStyle name="1_tree_수량산출_구로리총괄내역_수도권매립지1004(발주용)_철거 및 이설수량산출-학교숲" xfId="1404" xr:uid="{00000000-0005-0000-0000-00007B050000}"/>
    <cellStyle name="1_tree_수량산출_구로리총괄내역_일신건영설계예산서(0211)" xfId="1405" xr:uid="{00000000-0005-0000-0000-00007C050000}"/>
    <cellStyle name="1_tree_수량산출_구로리총괄내역_일신건영설계예산서(0211)_진해자은수량산출서(단지내)" xfId="1406" xr:uid="{00000000-0005-0000-0000-00007D050000}"/>
    <cellStyle name="1_tree_수량산출_구로리총괄내역_일신건영설계예산서(0211)_진해자은수량산출서(단지내)_진해자은수량산출서(도시기반)0621" xfId="1407" xr:uid="{00000000-0005-0000-0000-00007E050000}"/>
    <cellStyle name="1_tree_수량산출_구로리총괄내역_일신건영설계예산서(0211)_철거 및 이설수량산출-학교숲" xfId="1408" xr:uid="{00000000-0005-0000-0000-00007F050000}"/>
    <cellStyle name="1_tree_수량산출_구로리총괄내역_일위대가" xfId="1409" xr:uid="{00000000-0005-0000-0000-000080050000}"/>
    <cellStyle name="1_tree_수량산출_구로리총괄내역_일위대가_진해자은수량산출서(단지내)" xfId="1410" xr:uid="{00000000-0005-0000-0000-000081050000}"/>
    <cellStyle name="1_tree_수량산출_구로리총괄내역_일위대가_진해자은수량산출서(단지내)_진해자은수량산출서(도시기반)0621" xfId="1411" xr:uid="{00000000-0005-0000-0000-000082050000}"/>
    <cellStyle name="1_tree_수량산출_구로리총괄내역_일위대가_철거 및 이설수량산출-학교숲" xfId="1412" xr:uid="{00000000-0005-0000-0000-000083050000}"/>
    <cellStyle name="1_tree_수량산출_구로리총괄내역_자재단가표" xfId="1413" xr:uid="{00000000-0005-0000-0000-000084050000}"/>
    <cellStyle name="1_tree_수량산출_구로리총괄내역_자재단가표_진해자은수량산출서(단지내)" xfId="1414" xr:uid="{00000000-0005-0000-0000-000085050000}"/>
    <cellStyle name="1_tree_수량산출_구로리총괄내역_자재단가표_진해자은수량산출서(단지내)_진해자은수량산출서(도시기반)0621" xfId="1415" xr:uid="{00000000-0005-0000-0000-000086050000}"/>
    <cellStyle name="1_tree_수량산출_구로리총괄내역_자재단가표_철거 및 이설수량산출-학교숲" xfId="1416" xr:uid="{00000000-0005-0000-0000-000087050000}"/>
    <cellStyle name="1_tree_수량산출_구로리총괄내역_장안초등학교내역0814" xfId="1417" xr:uid="{00000000-0005-0000-0000-000088050000}"/>
    <cellStyle name="1_tree_수량산출_구로리총괄내역_장안초등학교내역0814_진해자은수량산출서(단지내)" xfId="1418" xr:uid="{00000000-0005-0000-0000-000089050000}"/>
    <cellStyle name="1_tree_수량산출_구로리총괄내역_장안초등학교내역0814_진해자은수량산출서(단지내)_진해자은수량산출서(도시기반)0621" xfId="1419" xr:uid="{00000000-0005-0000-0000-00008A050000}"/>
    <cellStyle name="1_tree_수량산출_구로리총괄내역_장안초등학교내역0814_철거 및 이설수량산출-학교숲" xfId="1420" xr:uid="{00000000-0005-0000-0000-00008B050000}"/>
    <cellStyle name="1_tree_수량산출_구로리총괄내역_진해자은수량산출서(단지내)" xfId="1421" xr:uid="{00000000-0005-0000-0000-00008C050000}"/>
    <cellStyle name="1_tree_수량산출_구로리총괄내역_진해자은수량산출서(단지내)_진해자은수량산출서(도시기반)0621" xfId="1422" xr:uid="{00000000-0005-0000-0000-00008D050000}"/>
    <cellStyle name="1_tree_수량산출_구로리총괄내역_철거 및 이설수량산출-학교숲" xfId="1423" xr:uid="{00000000-0005-0000-0000-00008E050000}"/>
    <cellStyle name="1_tree_수량산출_수량표(가채리최종)" xfId="1424" xr:uid="{00000000-0005-0000-0000-00008F050000}"/>
    <cellStyle name="1_tree_수량산출_수량표(가채리최종)_광양수량표" xfId="1425" xr:uid="{00000000-0005-0000-0000-000090050000}"/>
    <cellStyle name="1_tree_수량산출_수량표(가채리최종)_낭천산림욕장수량표" xfId="1426" xr:uid="{00000000-0005-0000-0000-000091050000}"/>
    <cellStyle name="1_tree_수량산출_수량표(가채리최종)_낭천산림욕장수량표_천호3동수량표" xfId="1427" xr:uid="{00000000-0005-0000-0000-000092050000}"/>
    <cellStyle name="1_tree_수량산출_수량표(가채리최종)_낭천산림욕장수량표_천호3동수량표_광양수량표" xfId="1428" xr:uid="{00000000-0005-0000-0000-000093050000}"/>
    <cellStyle name="1_tree_수량산출_진해자은수량산출서(단지내)" xfId="1429" xr:uid="{00000000-0005-0000-0000-000094050000}"/>
    <cellStyle name="1_tree_수량산출_진해자은수량산출서(단지내)_진해자은수량산출서(도시기반)0621" xfId="1430" xr:uid="{00000000-0005-0000-0000-000095050000}"/>
    <cellStyle name="1_tree_수량산출_천호3동수량표" xfId="1431" xr:uid="{00000000-0005-0000-0000-000096050000}"/>
    <cellStyle name="1_tree_수량산출_천호3동수량표_광양수량표" xfId="1432" xr:uid="{00000000-0005-0000-0000-000097050000}"/>
    <cellStyle name="1_tree_수량산출_철거 및 이설수량산출-학교숲" xfId="1433" xr:uid="{00000000-0005-0000-0000-000098050000}"/>
    <cellStyle name="1_tree_수량산출_총괄내역0518" xfId="1434" xr:uid="{00000000-0005-0000-0000-000099050000}"/>
    <cellStyle name="1_tree_수량산출_총괄내역0518_구로리설계예산서1029" xfId="1435" xr:uid="{00000000-0005-0000-0000-00009A050000}"/>
    <cellStyle name="1_tree_수량산출_총괄내역0518_구로리설계예산서1029_진해자은수량산출서(단지내)" xfId="1436" xr:uid="{00000000-0005-0000-0000-00009B050000}"/>
    <cellStyle name="1_tree_수량산출_총괄내역0518_구로리설계예산서1029_진해자은수량산출서(단지내)_진해자은수량산출서(도시기반)0621" xfId="1437" xr:uid="{00000000-0005-0000-0000-00009C050000}"/>
    <cellStyle name="1_tree_수량산출_총괄내역0518_구로리설계예산서1029_철거 및 이설수량산출-학교숲" xfId="1438" xr:uid="{00000000-0005-0000-0000-00009D050000}"/>
    <cellStyle name="1_tree_수량산출_총괄내역0518_구로리설계예산서1118준공" xfId="1439" xr:uid="{00000000-0005-0000-0000-00009E050000}"/>
    <cellStyle name="1_tree_수량산출_총괄내역0518_구로리설계예산서1118준공_진해자은수량산출서(단지내)" xfId="1440" xr:uid="{00000000-0005-0000-0000-00009F050000}"/>
    <cellStyle name="1_tree_수량산출_총괄내역0518_구로리설계예산서1118준공_진해자은수량산출서(단지내)_진해자은수량산출서(도시기반)0621" xfId="1441" xr:uid="{00000000-0005-0000-0000-0000A0050000}"/>
    <cellStyle name="1_tree_수량산출_총괄내역0518_구로리설계예산서1118준공_철거 및 이설수량산출-학교숲" xfId="1442" xr:uid="{00000000-0005-0000-0000-0000A1050000}"/>
    <cellStyle name="1_tree_수량산출_총괄내역0518_구로리설계예산서조경" xfId="1443" xr:uid="{00000000-0005-0000-0000-0000A2050000}"/>
    <cellStyle name="1_tree_수량산출_총괄내역0518_구로리설계예산서조경_진해자은수량산출서(단지내)" xfId="1444" xr:uid="{00000000-0005-0000-0000-0000A3050000}"/>
    <cellStyle name="1_tree_수량산출_총괄내역0518_구로리설계예산서조경_진해자은수량산출서(단지내)_진해자은수량산출서(도시기반)0621" xfId="1445" xr:uid="{00000000-0005-0000-0000-0000A4050000}"/>
    <cellStyle name="1_tree_수량산출_총괄내역0518_구로리설계예산서조경_철거 및 이설수량산출-학교숲" xfId="1446" xr:uid="{00000000-0005-0000-0000-0000A5050000}"/>
    <cellStyle name="1_tree_수량산출_총괄내역0518_구로리어린이공원예산서(조경)1125" xfId="1447" xr:uid="{00000000-0005-0000-0000-0000A6050000}"/>
    <cellStyle name="1_tree_수량산출_총괄내역0518_구로리어린이공원예산서(조경)1125_진해자은수량산출서(단지내)" xfId="1448" xr:uid="{00000000-0005-0000-0000-0000A7050000}"/>
    <cellStyle name="1_tree_수량산출_총괄내역0518_구로리어린이공원예산서(조경)1125_진해자은수량산출서(단지내)_진해자은수량산출서(도시기반)0621" xfId="1449" xr:uid="{00000000-0005-0000-0000-0000A8050000}"/>
    <cellStyle name="1_tree_수량산출_총괄내역0518_구로리어린이공원예산서(조경)1125_철거 및 이설수량산출-학교숲" xfId="1450" xr:uid="{00000000-0005-0000-0000-0000A9050000}"/>
    <cellStyle name="1_tree_수량산출_총괄내역0518_내역서" xfId="1451" xr:uid="{00000000-0005-0000-0000-0000AA050000}"/>
    <cellStyle name="1_tree_수량산출_총괄내역0518_내역서_진해자은수량산출서(단지내)" xfId="1452" xr:uid="{00000000-0005-0000-0000-0000AB050000}"/>
    <cellStyle name="1_tree_수량산출_총괄내역0518_내역서_진해자은수량산출서(단지내)_진해자은수량산출서(도시기반)0621" xfId="1453" xr:uid="{00000000-0005-0000-0000-0000AC050000}"/>
    <cellStyle name="1_tree_수량산출_총괄내역0518_내역서_철거 및 이설수량산출-학교숲" xfId="1454" xr:uid="{00000000-0005-0000-0000-0000AD050000}"/>
    <cellStyle name="1_tree_수량산출_총괄내역0518_노임단가표" xfId="1455" xr:uid="{00000000-0005-0000-0000-0000AE050000}"/>
    <cellStyle name="1_tree_수량산출_총괄내역0518_노임단가표_진해자은수량산출서(단지내)" xfId="1456" xr:uid="{00000000-0005-0000-0000-0000AF050000}"/>
    <cellStyle name="1_tree_수량산출_총괄내역0518_노임단가표_진해자은수량산출서(단지내)_진해자은수량산출서(도시기반)0621" xfId="1457" xr:uid="{00000000-0005-0000-0000-0000B0050000}"/>
    <cellStyle name="1_tree_수량산출_총괄내역0518_노임단가표_철거 및 이설수량산출-학교숲" xfId="1458" xr:uid="{00000000-0005-0000-0000-0000B1050000}"/>
    <cellStyle name="1_tree_수량산출_총괄내역0518_수도권매립지" xfId="1459" xr:uid="{00000000-0005-0000-0000-0000B2050000}"/>
    <cellStyle name="1_tree_수량산출_총괄내역0518_수도권매립지_진해자은수량산출서(단지내)" xfId="1460" xr:uid="{00000000-0005-0000-0000-0000B3050000}"/>
    <cellStyle name="1_tree_수량산출_총괄내역0518_수도권매립지_진해자은수량산출서(단지내)_진해자은수량산출서(도시기반)0621" xfId="1461" xr:uid="{00000000-0005-0000-0000-0000B4050000}"/>
    <cellStyle name="1_tree_수량산출_총괄내역0518_수도권매립지_철거 및 이설수량산출-학교숲" xfId="1462" xr:uid="{00000000-0005-0000-0000-0000B5050000}"/>
    <cellStyle name="1_tree_수량산출_총괄내역0518_수도권매립지1004(발주용)" xfId="1463" xr:uid="{00000000-0005-0000-0000-0000B6050000}"/>
    <cellStyle name="1_tree_수량산출_총괄내역0518_수도권매립지1004(발주용)_진해자은수량산출서(단지내)" xfId="1464" xr:uid="{00000000-0005-0000-0000-0000B7050000}"/>
    <cellStyle name="1_tree_수량산출_총괄내역0518_수도권매립지1004(발주용)_진해자은수량산출서(단지내)_진해자은수량산출서(도시기반)0621" xfId="1465" xr:uid="{00000000-0005-0000-0000-0000B8050000}"/>
    <cellStyle name="1_tree_수량산출_총괄내역0518_수도권매립지1004(발주용)_철거 및 이설수량산출-학교숲" xfId="1466" xr:uid="{00000000-0005-0000-0000-0000B9050000}"/>
    <cellStyle name="1_tree_수량산출_총괄내역0518_일신건영설계예산서(0211)" xfId="1467" xr:uid="{00000000-0005-0000-0000-0000BA050000}"/>
    <cellStyle name="1_tree_수량산출_총괄내역0518_일신건영설계예산서(0211)_진해자은수량산출서(단지내)" xfId="1468" xr:uid="{00000000-0005-0000-0000-0000BB050000}"/>
    <cellStyle name="1_tree_수량산출_총괄내역0518_일신건영설계예산서(0211)_진해자은수량산출서(단지내)_진해자은수량산출서(도시기반)0621" xfId="1469" xr:uid="{00000000-0005-0000-0000-0000BC050000}"/>
    <cellStyle name="1_tree_수량산출_총괄내역0518_일신건영설계예산서(0211)_철거 및 이설수량산출-학교숲" xfId="1470" xr:uid="{00000000-0005-0000-0000-0000BD050000}"/>
    <cellStyle name="1_tree_수량산출_총괄내역0518_일위대가" xfId="1471" xr:uid="{00000000-0005-0000-0000-0000BE050000}"/>
    <cellStyle name="1_tree_수량산출_총괄내역0518_일위대가_진해자은수량산출서(단지내)" xfId="1472" xr:uid="{00000000-0005-0000-0000-0000BF050000}"/>
    <cellStyle name="1_tree_수량산출_총괄내역0518_일위대가_진해자은수량산출서(단지내)_진해자은수량산출서(도시기반)0621" xfId="1473" xr:uid="{00000000-0005-0000-0000-0000C0050000}"/>
    <cellStyle name="1_tree_수량산출_총괄내역0518_일위대가_철거 및 이설수량산출-학교숲" xfId="1474" xr:uid="{00000000-0005-0000-0000-0000C1050000}"/>
    <cellStyle name="1_tree_수량산출_총괄내역0518_자재단가표" xfId="1475" xr:uid="{00000000-0005-0000-0000-0000C2050000}"/>
    <cellStyle name="1_tree_수량산출_총괄내역0518_자재단가표_진해자은수량산출서(단지내)" xfId="1476" xr:uid="{00000000-0005-0000-0000-0000C3050000}"/>
    <cellStyle name="1_tree_수량산출_총괄내역0518_자재단가표_진해자은수량산출서(단지내)_진해자은수량산출서(도시기반)0621" xfId="1477" xr:uid="{00000000-0005-0000-0000-0000C4050000}"/>
    <cellStyle name="1_tree_수량산출_총괄내역0518_자재단가표_철거 및 이설수량산출-학교숲" xfId="1478" xr:uid="{00000000-0005-0000-0000-0000C5050000}"/>
    <cellStyle name="1_tree_수량산출_총괄내역0518_장안초등학교내역0814" xfId="1479" xr:uid="{00000000-0005-0000-0000-0000C6050000}"/>
    <cellStyle name="1_tree_수량산출_총괄내역0518_장안초등학교내역0814_진해자은수량산출서(단지내)" xfId="1480" xr:uid="{00000000-0005-0000-0000-0000C7050000}"/>
    <cellStyle name="1_tree_수량산출_총괄내역0518_장안초등학교내역0814_진해자은수량산출서(단지내)_진해자은수량산출서(도시기반)0621" xfId="1481" xr:uid="{00000000-0005-0000-0000-0000C8050000}"/>
    <cellStyle name="1_tree_수량산출_총괄내역0518_장안초등학교내역0814_철거 및 이설수량산출-학교숲" xfId="1482" xr:uid="{00000000-0005-0000-0000-0000C9050000}"/>
    <cellStyle name="1_tree_수량산출_총괄내역0518_진해자은수량산출서(단지내)" xfId="1483" xr:uid="{00000000-0005-0000-0000-0000CA050000}"/>
    <cellStyle name="1_tree_수량산출_총괄내역0518_진해자은수량산출서(단지내)_진해자은수량산출서(도시기반)0621" xfId="1484" xr:uid="{00000000-0005-0000-0000-0000CB050000}"/>
    <cellStyle name="1_tree_수량산출_총괄내역0518_철거 및 이설수량산출-학교숲" xfId="1485" xr:uid="{00000000-0005-0000-0000-0000CC050000}"/>
    <cellStyle name="1_tree_수량표(가채리최종)" xfId="1486" xr:uid="{00000000-0005-0000-0000-0000CD050000}"/>
    <cellStyle name="1_tree_수량표(가채리최종)_광양수량표" xfId="1487" xr:uid="{00000000-0005-0000-0000-0000CE050000}"/>
    <cellStyle name="1_tree_수량표(가채리최종)_낭천산림욕장수량표" xfId="1488" xr:uid="{00000000-0005-0000-0000-0000CF050000}"/>
    <cellStyle name="1_tree_수량표(가채리최종)_낭천산림욕장수량표_천호3동수량표" xfId="1489" xr:uid="{00000000-0005-0000-0000-0000D0050000}"/>
    <cellStyle name="1_tree_수량표(가채리최종)_낭천산림욕장수량표_천호3동수량표_광양수량표" xfId="1490" xr:uid="{00000000-0005-0000-0000-0000D1050000}"/>
    <cellStyle name="1_tree_진해자은수량산출서(단지내)" xfId="1491" xr:uid="{00000000-0005-0000-0000-0000D2050000}"/>
    <cellStyle name="1_tree_진해자은수량산출서(단지내)_진해자은수량산출서(도시기반)0621" xfId="1492" xr:uid="{00000000-0005-0000-0000-0000D3050000}"/>
    <cellStyle name="1_tree_천호3동수량표" xfId="1493" xr:uid="{00000000-0005-0000-0000-0000D4050000}"/>
    <cellStyle name="1_tree_천호3동수량표_광양수량표" xfId="1494" xr:uid="{00000000-0005-0000-0000-0000D5050000}"/>
    <cellStyle name="1_tree_철거 및 이설수량산출-학교숲" xfId="1495" xr:uid="{00000000-0005-0000-0000-0000D6050000}"/>
    <cellStyle name="1_tree_총괄내역0518" xfId="1496" xr:uid="{00000000-0005-0000-0000-0000D7050000}"/>
    <cellStyle name="1_tree_총괄내역0518_구로리설계예산서1029" xfId="1497" xr:uid="{00000000-0005-0000-0000-0000D8050000}"/>
    <cellStyle name="1_tree_총괄내역0518_구로리설계예산서1029_진해자은수량산출서(단지내)" xfId="1498" xr:uid="{00000000-0005-0000-0000-0000D9050000}"/>
    <cellStyle name="1_tree_총괄내역0518_구로리설계예산서1029_진해자은수량산출서(단지내)_진해자은수량산출서(도시기반)0621" xfId="1499" xr:uid="{00000000-0005-0000-0000-0000DA050000}"/>
    <cellStyle name="1_tree_총괄내역0518_구로리설계예산서1029_철거 및 이설수량산출-학교숲" xfId="1500" xr:uid="{00000000-0005-0000-0000-0000DB050000}"/>
    <cellStyle name="1_tree_총괄내역0518_구로리설계예산서1118준공" xfId="1501" xr:uid="{00000000-0005-0000-0000-0000DC050000}"/>
    <cellStyle name="1_tree_총괄내역0518_구로리설계예산서1118준공_진해자은수량산출서(단지내)" xfId="1502" xr:uid="{00000000-0005-0000-0000-0000DD050000}"/>
    <cellStyle name="1_tree_총괄내역0518_구로리설계예산서1118준공_진해자은수량산출서(단지내)_진해자은수량산출서(도시기반)0621" xfId="1503" xr:uid="{00000000-0005-0000-0000-0000DE050000}"/>
    <cellStyle name="1_tree_총괄내역0518_구로리설계예산서1118준공_철거 및 이설수량산출-학교숲" xfId="1504" xr:uid="{00000000-0005-0000-0000-0000DF050000}"/>
    <cellStyle name="1_tree_총괄내역0518_구로리설계예산서조경" xfId="1505" xr:uid="{00000000-0005-0000-0000-0000E0050000}"/>
    <cellStyle name="1_tree_총괄내역0518_구로리설계예산서조경_진해자은수량산출서(단지내)" xfId="1506" xr:uid="{00000000-0005-0000-0000-0000E1050000}"/>
    <cellStyle name="1_tree_총괄내역0518_구로리설계예산서조경_진해자은수량산출서(단지내)_진해자은수량산출서(도시기반)0621" xfId="1507" xr:uid="{00000000-0005-0000-0000-0000E2050000}"/>
    <cellStyle name="1_tree_총괄내역0518_구로리설계예산서조경_철거 및 이설수량산출-학교숲" xfId="1508" xr:uid="{00000000-0005-0000-0000-0000E3050000}"/>
    <cellStyle name="1_tree_총괄내역0518_구로리어린이공원예산서(조경)1125" xfId="1509" xr:uid="{00000000-0005-0000-0000-0000E4050000}"/>
    <cellStyle name="1_tree_총괄내역0518_구로리어린이공원예산서(조경)1125_진해자은수량산출서(단지내)" xfId="1510" xr:uid="{00000000-0005-0000-0000-0000E5050000}"/>
    <cellStyle name="1_tree_총괄내역0518_구로리어린이공원예산서(조경)1125_진해자은수량산출서(단지내)_진해자은수량산출서(도시기반)0621" xfId="1511" xr:uid="{00000000-0005-0000-0000-0000E6050000}"/>
    <cellStyle name="1_tree_총괄내역0518_구로리어린이공원예산서(조경)1125_철거 및 이설수량산출-학교숲" xfId="1512" xr:uid="{00000000-0005-0000-0000-0000E7050000}"/>
    <cellStyle name="1_tree_총괄내역0518_내역서" xfId="1513" xr:uid="{00000000-0005-0000-0000-0000E8050000}"/>
    <cellStyle name="1_tree_총괄내역0518_내역서_진해자은수량산출서(단지내)" xfId="1514" xr:uid="{00000000-0005-0000-0000-0000E9050000}"/>
    <cellStyle name="1_tree_총괄내역0518_내역서_진해자은수량산출서(단지내)_진해자은수량산출서(도시기반)0621" xfId="1515" xr:uid="{00000000-0005-0000-0000-0000EA050000}"/>
    <cellStyle name="1_tree_총괄내역0518_내역서_철거 및 이설수량산출-학교숲" xfId="1516" xr:uid="{00000000-0005-0000-0000-0000EB050000}"/>
    <cellStyle name="1_tree_총괄내역0518_노임단가표" xfId="1517" xr:uid="{00000000-0005-0000-0000-0000EC050000}"/>
    <cellStyle name="1_tree_총괄내역0518_노임단가표_진해자은수량산출서(단지내)" xfId="1518" xr:uid="{00000000-0005-0000-0000-0000ED050000}"/>
    <cellStyle name="1_tree_총괄내역0518_노임단가표_진해자은수량산출서(단지내)_진해자은수량산출서(도시기반)0621" xfId="1519" xr:uid="{00000000-0005-0000-0000-0000EE050000}"/>
    <cellStyle name="1_tree_총괄내역0518_노임단가표_철거 및 이설수량산출-학교숲" xfId="1520" xr:uid="{00000000-0005-0000-0000-0000EF050000}"/>
    <cellStyle name="1_tree_총괄내역0518_수도권매립지" xfId="1521" xr:uid="{00000000-0005-0000-0000-0000F0050000}"/>
    <cellStyle name="1_tree_총괄내역0518_수도권매립지_진해자은수량산출서(단지내)" xfId="1522" xr:uid="{00000000-0005-0000-0000-0000F1050000}"/>
    <cellStyle name="1_tree_총괄내역0518_수도권매립지_진해자은수량산출서(단지내)_진해자은수량산출서(도시기반)0621" xfId="1523" xr:uid="{00000000-0005-0000-0000-0000F2050000}"/>
    <cellStyle name="1_tree_총괄내역0518_수도권매립지_철거 및 이설수량산출-학교숲" xfId="1524" xr:uid="{00000000-0005-0000-0000-0000F3050000}"/>
    <cellStyle name="1_tree_총괄내역0518_수도권매립지1004(발주용)" xfId="1525" xr:uid="{00000000-0005-0000-0000-0000F4050000}"/>
    <cellStyle name="1_tree_총괄내역0518_수도권매립지1004(발주용)_진해자은수량산출서(단지내)" xfId="1526" xr:uid="{00000000-0005-0000-0000-0000F5050000}"/>
    <cellStyle name="1_tree_총괄내역0518_수도권매립지1004(발주용)_진해자은수량산출서(단지내)_진해자은수량산출서(도시기반)0621" xfId="1527" xr:uid="{00000000-0005-0000-0000-0000F6050000}"/>
    <cellStyle name="1_tree_총괄내역0518_수도권매립지1004(발주용)_철거 및 이설수량산출-학교숲" xfId="1528" xr:uid="{00000000-0005-0000-0000-0000F7050000}"/>
    <cellStyle name="1_tree_총괄내역0518_일신건영설계예산서(0211)" xfId="1529" xr:uid="{00000000-0005-0000-0000-0000F8050000}"/>
    <cellStyle name="1_tree_총괄내역0518_일신건영설계예산서(0211)_진해자은수량산출서(단지내)" xfId="1530" xr:uid="{00000000-0005-0000-0000-0000F9050000}"/>
    <cellStyle name="1_tree_총괄내역0518_일신건영설계예산서(0211)_진해자은수량산출서(단지내)_진해자은수량산출서(도시기반)0621" xfId="1531" xr:uid="{00000000-0005-0000-0000-0000FA050000}"/>
    <cellStyle name="1_tree_총괄내역0518_일신건영설계예산서(0211)_철거 및 이설수량산출-학교숲" xfId="1532" xr:uid="{00000000-0005-0000-0000-0000FB050000}"/>
    <cellStyle name="1_tree_총괄내역0518_일위대가" xfId="1533" xr:uid="{00000000-0005-0000-0000-0000FC050000}"/>
    <cellStyle name="1_tree_총괄내역0518_일위대가_진해자은수량산출서(단지내)" xfId="1534" xr:uid="{00000000-0005-0000-0000-0000FD050000}"/>
    <cellStyle name="1_tree_총괄내역0518_일위대가_진해자은수량산출서(단지내)_진해자은수량산출서(도시기반)0621" xfId="1535" xr:uid="{00000000-0005-0000-0000-0000FE050000}"/>
    <cellStyle name="1_tree_총괄내역0518_일위대가_철거 및 이설수량산출-학교숲" xfId="1536" xr:uid="{00000000-0005-0000-0000-0000FF050000}"/>
    <cellStyle name="1_tree_총괄내역0518_자재단가표" xfId="1537" xr:uid="{00000000-0005-0000-0000-000000060000}"/>
    <cellStyle name="1_tree_총괄내역0518_자재단가표_진해자은수량산출서(단지내)" xfId="1538" xr:uid="{00000000-0005-0000-0000-000001060000}"/>
    <cellStyle name="1_tree_총괄내역0518_자재단가표_진해자은수량산출서(단지내)_진해자은수량산출서(도시기반)0621" xfId="1539" xr:uid="{00000000-0005-0000-0000-000002060000}"/>
    <cellStyle name="1_tree_총괄내역0518_자재단가표_철거 및 이설수량산출-학교숲" xfId="1540" xr:uid="{00000000-0005-0000-0000-000003060000}"/>
    <cellStyle name="1_tree_총괄내역0518_장안초등학교내역0814" xfId="1541" xr:uid="{00000000-0005-0000-0000-000004060000}"/>
    <cellStyle name="1_tree_총괄내역0518_장안초등학교내역0814_진해자은수량산출서(단지내)" xfId="1542" xr:uid="{00000000-0005-0000-0000-000005060000}"/>
    <cellStyle name="1_tree_총괄내역0518_장안초등학교내역0814_진해자은수량산출서(단지내)_진해자은수량산출서(도시기반)0621" xfId="1543" xr:uid="{00000000-0005-0000-0000-000006060000}"/>
    <cellStyle name="1_tree_총괄내역0518_장안초등학교내역0814_철거 및 이설수량산출-학교숲" xfId="1544" xr:uid="{00000000-0005-0000-0000-000007060000}"/>
    <cellStyle name="1_tree_총괄내역0518_진해자은수량산출서(단지내)" xfId="1545" xr:uid="{00000000-0005-0000-0000-000008060000}"/>
    <cellStyle name="1_tree_총괄내역0518_진해자은수량산출서(단지내)_진해자은수량산출서(도시기반)0621" xfId="1546" xr:uid="{00000000-0005-0000-0000-000009060000}"/>
    <cellStyle name="1_tree_총괄내역0518_철거 및 이설수량산출-학교숲" xfId="1547" xr:uid="{00000000-0005-0000-0000-00000A060000}"/>
    <cellStyle name="1_공양식(레인보우스케이프)" xfId="1548" xr:uid="{00000000-0005-0000-0000-00000B060000}"/>
    <cellStyle name="1_관공서용공양식(레인보우스케이프)ISO14001" xfId="1549" xr:uid="{00000000-0005-0000-0000-00000C060000}"/>
    <cellStyle name="1_권선(실적공사)" xfId="1550" xr:uid="{00000000-0005-0000-0000-00000D060000}"/>
    <cellStyle name="1_단가조사표" xfId="1551" xr:uid="{00000000-0005-0000-0000-00000E060000}"/>
    <cellStyle name="1_단가조사표_1011소각" xfId="1552" xr:uid="{00000000-0005-0000-0000-00000F060000}"/>
    <cellStyle name="1_단가조사표_1113교~1" xfId="1553" xr:uid="{00000000-0005-0000-0000-000010060000}"/>
    <cellStyle name="1_단가조사표_121내역" xfId="1554" xr:uid="{00000000-0005-0000-0000-000011060000}"/>
    <cellStyle name="1_단가조사표_객토량" xfId="1555" xr:uid="{00000000-0005-0000-0000-000012060000}"/>
    <cellStyle name="1_단가조사표_교통센~1" xfId="1556" xr:uid="{00000000-0005-0000-0000-000013060000}"/>
    <cellStyle name="1_단가조사표_교통센터412" xfId="1557" xr:uid="{00000000-0005-0000-0000-000014060000}"/>
    <cellStyle name="1_단가조사표_교통수" xfId="1558" xr:uid="{00000000-0005-0000-0000-000015060000}"/>
    <cellStyle name="1_단가조사표_교통수량산출서" xfId="1559" xr:uid="{00000000-0005-0000-0000-000016060000}"/>
    <cellStyle name="1_단가조사표_구조물대가 (2)" xfId="1560" xr:uid="{00000000-0005-0000-0000-000017060000}"/>
    <cellStyle name="1_단가조사표_내역서 (2)" xfId="1561" xr:uid="{00000000-0005-0000-0000-000018060000}"/>
    <cellStyle name="1_단가조사표_대전관저지구" xfId="1562" xr:uid="{00000000-0005-0000-0000-000019060000}"/>
    <cellStyle name="1_단가조사표_동측지~1" xfId="1563" xr:uid="{00000000-0005-0000-0000-00001A060000}"/>
    <cellStyle name="1_단가조사표_동측지원422" xfId="1564" xr:uid="{00000000-0005-0000-0000-00001B060000}"/>
    <cellStyle name="1_단가조사표_동측지원512" xfId="1565" xr:uid="{00000000-0005-0000-0000-00001C060000}"/>
    <cellStyle name="1_단가조사표_동측지원524" xfId="1566" xr:uid="{00000000-0005-0000-0000-00001D060000}"/>
    <cellStyle name="1_단가조사표_부대422" xfId="1567" xr:uid="{00000000-0005-0000-0000-00001E060000}"/>
    <cellStyle name="1_단가조사표_부대시설" xfId="1568" xr:uid="{00000000-0005-0000-0000-00001F060000}"/>
    <cellStyle name="1_단가조사표_소각수~1" xfId="1569" xr:uid="{00000000-0005-0000-0000-000020060000}"/>
    <cellStyle name="1_단가조사표_소각수내역서" xfId="1570" xr:uid="{00000000-0005-0000-0000-000021060000}"/>
    <cellStyle name="1_단가조사표_소각수목2" xfId="1571" xr:uid="{00000000-0005-0000-0000-000022060000}"/>
    <cellStyle name="1_단가조사표_수량산출서 (2)" xfId="1572" xr:uid="{00000000-0005-0000-0000-000023060000}"/>
    <cellStyle name="1_단가조사표_엑스포~1" xfId="1573" xr:uid="{00000000-0005-0000-0000-000024060000}"/>
    <cellStyle name="1_단가조사표_엑스포한빛1" xfId="1574" xr:uid="{00000000-0005-0000-0000-000025060000}"/>
    <cellStyle name="1_단가조사표_여객터미널331" xfId="1575" xr:uid="{00000000-0005-0000-0000-000026060000}"/>
    <cellStyle name="1_단가조사표_여객터미널513" xfId="1576" xr:uid="{00000000-0005-0000-0000-000027060000}"/>
    <cellStyle name="1_단가조사표_여객터미널629" xfId="1577" xr:uid="{00000000-0005-0000-0000-000028060000}"/>
    <cellStyle name="1_단가조사표_외곽도로616" xfId="1578" xr:uid="{00000000-0005-0000-0000-000029060000}"/>
    <cellStyle name="1_단가조사표_용인죽전수량" xfId="1579" xr:uid="{00000000-0005-0000-0000-00002A060000}"/>
    <cellStyle name="1_단가조사표_원가계~1" xfId="1580" xr:uid="{00000000-0005-0000-0000-00002B060000}"/>
    <cellStyle name="1_단가조사표_유기질" xfId="1581" xr:uid="{00000000-0005-0000-0000-00002C060000}"/>
    <cellStyle name="1_단가조사표_자재조서 (2)" xfId="1582" xr:uid="{00000000-0005-0000-0000-00002D060000}"/>
    <cellStyle name="1_단가조사표_총괄내역" xfId="1583" xr:uid="{00000000-0005-0000-0000-00002E060000}"/>
    <cellStyle name="1_단가조사표_총괄내역 (2)" xfId="1584" xr:uid="{00000000-0005-0000-0000-00002F060000}"/>
    <cellStyle name="1_단가조사표_터미널도로403" xfId="1585" xr:uid="{00000000-0005-0000-0000-000030060000}"/>
    <cellStyle name="1_단가조사표_터미널도로429" xfId="1586" xr:uid="{00000000-0005-0000-0000-000031060000}"/>
    <cellStyle name="1_단가조사표_포장일위" xfId="1587" xr:uid="{00000000-0005-0000-0000-000032060000}"/>
    <cellStyle name="1_선암댐합체수량산출(060605)" xfId="1588" xr:uid="{00000000-0005-0000-0000-000033060000}"/>
    <cellStyle name="1_수량표" xfId="1589" xr:uid="{00000000-0005-0000-0000-000034060000}"/>
    <cellStyle name="1_시민계략공사" xfId="1590" xr:uid="{00000000-0005-0000-0000-000035060000}"/>
    <cellStyle name="1_시민계략공사_2002년도각종계산서너릿제터널등7개소" xfId="1591" xr:uid="{00000000-0005-0000-0000-000036060000}"/>
    <cellStyle name="1_시민계략공사_2003년 각종계산서(읽기전용)" xfId="1592" xr:uid="{00000000-0005-0000-0000-000037060000}"/>
    <cellStyle name="1_시민계략공사_2003년 각종계산서(읽기전용)_Book1" xfId="1593" xr:uid="{00000000-0005-0000-0000-000038060000}"/>
    <cellStyle name="1_시민계략공사_2003년 각종계산서(읽기전용)_Book1_수량산출서양식" xfId="1594" xr:uid="{00000000-0005-0000-0000-000039060000}"/>
    <cellStyle name="1_시민계략공사_2003년 각종계산서(읽기전용)_Book1_주암수량산출(1차)" xfId="1595" xr:uid="{00000000-0005-0000-0000-00003A060000}"/>
    <cellStyle name="1_시민계략공사_2003년 각종계산서(읽기전용)_Book1_주암수량산출서" xfId="1596" xr:uid="{00000000-0005-0000-0000-00003B060000}"/>
    <cellStyle name="1_시민계략공사_2003년 각종계산서(읽기전용)_내역서(전기)" xfId="1597" xr:uid="{00000000-0005-0000-0000-00003C060000}"/>
    <cellStyle name="1_시민계략공사_2003년 각종계산서(읽기전용)_내역서(전기)_Book1" xfId="1598" xr:uid="{00000000-0005-0000-0000-00003D060000}"/>
    <cellStyle name="1_시민계략공사_2003년 각종계산서(읽기전용)_내역서(전기)_Book1_수량산출서양식" xfId="1599" xr:uid="{00000000-0005-0000-0000-00003E060000}"/>
    <cellStyle name="1_시민계략공사_2003년 각종계산서(읽기전용)_내역서(전기)_Book1_주암수량산출(1차)" xfId="1600" xr:uid="{00000000-0005-0000-0000-00003F060000}"/>
    <cellStyle name="1_시민계략공사_2003년 각종계산서(읽기전용)_내역서(전기)_Book1_주암수량산출서" xfId="1601" xr:uid="{00000000-0005-0000-0000-000040060000}"/>
    <cellStyle name="1_시민계략공사_Book2" xfId="1602" xr:uid="{00000000-0005-0000-0000-000041060000}"/>
    <cellStyle name="1_시민계략공사_각종계산서" xfId="1603" xr:uid="{00000000-0005-0000-0000-000042060000}"/>
    <cellStyle name="1_시민계략공사_각종계산서_Book1" xfId="1604" xr:uid="{00000000-0005-0000-0000-000043060000}"/>
    <cellStyle name="1_시민계략공사_각종계산서_Book1_수량산출서양식" xfId="1605" xr:uid="{00000000-0005-0000-0000-000044060000}"/>
    <cellStyle name="1_시민계략공사_각종계산서_Book1_주암수량산출(1차)" xfId="1606" xr:uid="{00000000-0005-0000-0000-000045060000}"/>
    <cellStyle name="1_시민계략공사_각종계산서_Book1_주암수량산출서" xfId="1607" xr:uid="{00000000-0005-0000-0000-000046060000}"/>
    <cellStyle name="1_시민계략공사_계산서및내역서5월9일변경" xfId="1608" xr:uid="{00000000-0005-0000-0000-000047060000}"/>
    <cellStyle name="1_시민계략공사_관급-(수배전반)" xfId="1609" xr:uid="{00000000-0005-0000-0000-000048060000}"/>
    <cellStyle name="1_시민계략공사_관급-등기구" xfId="1610" xr:uid="{00000000-0005-0000-0000-000049060000}"/>
    <cellStyle name="1_시민계략공사_관급-태양광등기구" xfId="1611" xr:uid="{00000000-0005-0000-0000-00004A060000}"/>
    <cellStyle name="1_시민계략공사_광양중동중학교실증축공사(전기)-4월10일한번더" xfId="1612" xr:uid="{00000000-0005-0000-0000-00004B060000}"/>
    <cellStyle name="1_시민계략공사_무안연꽃방죽(4월9일)한번더" xfId="1613" xr:uid="{00000000-0005-0000-0000-00004C060000}"/>
    <cellStyle name="1_시민계략공사_백운초 신축 전기공사-납품-" xfId="1614" xr:uid="{00000000-0005-0000-0000-00004D060000}"/>
    <cellStyle name="1_시민계략공사_보일약국~순국비간 도로개설 가로등설치공사" xfId="1615" xr:uid="{00000000-0005-0000-0000-00004E060000}"/>
    <cellStyle name="1_시민계략공사_복지관 부하계산서" xfId="1616" xr:uid="{00000000-0005-0000-0000-00004F060000}"/>
    <cellStyle name="1_시민계략공사_복지관 부하계산서_Book1" xfId="1617" xr:uid="{00000000-0005-0000-0000-000050060000}"/>
    <cellStyle name="1_시민계략공사_복지관 부하계산서_Book1_수량산출서양식" xfId="1618" xr:uid="{00000000-0005-0000-0000-000051060000}"/>
    <cellStyle name="1_시민계략공사_복지관 부하계산서_Book1_주암수량산출(1차)" xfId="1619" xr:uid="{00000000-0005-0000-0000-000052060000}"/>
    <cellStyle name="1_시민계략공사_복지관 부하계산서_Book1_주암수량산출서" xfId="1620" xr:uid="{00000000-0005-0000-0000-000053060000}"/>
    <cellStyle name="1_시민계략공사_복지관 부하계산서_내역서(전기)" xfId="1621" xr:uid="{00000000-0005-0000-0000-000054060000}"/>
    <cellStyle name="1_시민계략공사_복지관 부하계산서_내역서(전기)_Book1" xfId="1622" xr:uid="{00000000-0005-0000-0000-000055060000}"/>
    <cellStyle name="1_시민계략공사_복지관 부하계산서_내역서(전기)_Book1_수량산출서양식" xfId="1623" xr:uid="{00000000-0005-0000-0000-000056060000}"/>
    <cellStyle name="1_시민계략공사_복지관 부하계산서_내역서(전기)_Book1_주암수량산출(1차)" xfId="1624" xr:uid="{00000000-0005-0000-0000-000057060000}"/>
    <cellStyle name="1_시민계략공사_복지관 부하계산서_내역서(전기)_Book1_주암수량산출서" xfId="1625" xr:uid="{00000000-0005-0000-0000-000058060000}"/>
    <cellStyle name="1_시민계략공사_봉산면보건지소신축공사(전기)11월30일변경" xfId="1626" xr:uid="{00000000-0005-0000-0000-000059060000}"/>
    <cellStyle name="1_시민계략공사_북문로(팔마로)가로등설치공사(변경)3월11일" xfId="1627" xr:uid="{00000000-0005-0000-0000-00005A060000}"/>
    <cellStyle name="1_시민계략공사_북문로(팔마로)가로등설치공사NO34번까지시행분" xfId="1628" xr:uid="{00000000-0005-0000-0000-00005B060000}"/>
    <cellStyle name="1_시민계략공사_북문로(팔마로)교통신호등설치공사NO34번까지" xfId="1629" xr:uid="{00000000-0005-0000-0000-00005C060000}"/>
    <cellStyle name="1_시민계략공사_북문팔마로확포장공사가로등" xfId="1630" xr:uid="{00000000-0005-0000-0000-00005D060000}"/>
    <cellStyle name="1_시민계략공사_비상부하,발전기용량 계산서" xfId="1631" xr:uid="{00000000-0005-0000-0000-00005E060000}"/>
    <cellStyle name="1_시민계략공사_비상부하,발전기용량 계산서_Book1" xfId="1632" xr:uid="{00000000-0005-0000-0000-00005F060000}"/>
    <cellStyle name="1_시민계략공사_비상부하,발전기용량 계산서_Book1_수량산출서양식" xfId="1633" xr:uid="{00000000-0005-0000-0000-000060060000}"/>
    <cellStyle name="1_시민계략공사_비상부하,발전기용량 계산서_Book1_주암수량산출(1차)" xfId="1634" xr:uid="{00000000-0005-0000-0000-000061060000}"/>
    <cellStyle name="1_시민계략공사_비상부하,발전기용량 계산서_Book1_주암수량산출서" xfId="1635" xr:uid="{00000000-0005-0000-0000-000062060000}"/>
    <cellStyle name="1_시민계략공사_비상부하,발전기용량 계산서_내역서(전기)" xfId="1636" xr:uid="{00000000-0005-0000-0000-000063060000}"/>
    <cellStyle name="1_시민계략공사_비상부하,발전기용량 계산서_내역서(전기)_Book1" xfId="1637" xr:uid="{00000000-0005-0000-0000-000064060000}"/>
    <cellStyle name="1_시민계략공사_비상부하,발전기용량 계산서_내역서(전기)_Book1_수량산출서양식" xfId="1638" xr:uid="{00000000-0005-0000-0000-000065060000}"/>
    <cellStyle name="1_시민계략공사_비상부하,발전기용량 계산서_내역서(전기)_Book1_주암수량산출(1차)" xfId="1639" xr:uid="{00000000-0005-0000-0000-000066060000}"/>
    <cellStyle name="1_시민계략공사_비상부하,발전기용량 계산서_내역서(전기)_Book1_주암수량산출서" xfId="1640" xr:uid="{00000000-0005-0000-0000-000067060000}"/>
    <cellStyle name="1_시민계략공사_여수오동도분수(사급)R2" xfId="1641" xr:uid="{00000000-0005-0000-0000-000068060000}"/>
    <cellStyle name="1_시민계략공사_오동도음악분수수전설비공사(1차전기)" xfId="1642" xr:uid="{00000000-0005-0000-0000-000069060000}"/>
    <cellStyle name="1_시민계략공사_율촌중학교심야전기" xfId="1643" xr:uid="{00000000-0005-0000-0000-00006A060000}"/>
    <cellStyle name="1_시민계략공사_전기공내역서" xfId="1644" xr:uid="{00000000-0005-0000-0000-00006B060000}"/>
    <cellStyle name="1_시민계략공사_전기공내역서_단가산출서(검토)" xfId="1645" xr:uid="{00000000-0005-0000-0000-00006C060000}"/>
    <cellStyle name="1_시민계략공사_전기-한남" xfId="1646" xr:uid="{00000000-0005-0000-0000-00006D060000}"/>
    <cellStyle name="1_시민계략공사_조도계산서" xfId="1647" xr:uid="{00000000-0005-0000-0000-00006E060000}"/>
    <cellStyle name="1_시민계략공사_조도계산서_Book1" xfId="1648" xr:uid="{00000000-0005-0000-0000-00006F060000}"/>
    <cellStyle name="1_시민계략공사_조도계산서_Book1_수량산출서양식" xfId="1649" xr:uid="{00000000-0005-0000-0000-000070060000}"/>
    <cellStyle name="1_시민계략공사_조도계산서_Book1_주암수량산출(1차)" xfId="1650" xr:uid="{00000000-0005-0000-0000-000071060000}"/>
    <cellStyle name="1_시민계략공사_조도계산서_Book1_주암수량산출서" xfId="1651" xr:uid="{00000000-0005-0000-0000-000072060000}"/>
    <cellStyle name="1_시민계략공사_조도계산서_내역서(전기)" xfId="1652" xr:uid="{00000000-0005-0000-0000-000073060000}"/>
    <cellStyle name="1_시민계략공사_조도계산서_내역서(전기)_Book1" xfId="1653" xr:uid="{00000000-0005-0000-0000-000074060000}"/>
    <cellStyle name="1_시민계략공사_조도계산서_내역서(전기)_Book1_수량산출서양식" xfId="1654" xr:uid="{00000000-0005-0000-0000-000075060000}"/>
    <cellStyle name="1_시민계략공사_조도계산서_내역서(전기)_Book1_주암수량산출(1차)" xfId="1655" xr:uid="{00000000-0005-0000-0000-000076060000}"/>
    <cellStyle name="1_시민계략공사_조도계산서_내역서(전기)_Book1_주암수량산출서" xfId="1656" xr:uid="{00000000-0005-0000-0000-000077060000}"/>
    <cellStyle name="1_연안권역특화거리조성을위한음악분수대설치R6(제출EBS)-설비,전기,관리실" xfId="1657" xr:uid="{00000000-0005-0000-0000-000078060000}"/>
    <cellStyle name="1_영등포구청(간지)" xfId="1658" xr:uid="{00000000-0005-0000-0000-000079060000}"/>
    <cellStyle name="1_영등포구청분수 - 전기" xfId="1659" xr:uid="{00000000-0005-0000-0000-00007A060000}"/>
    <cellStyle name="1_영등포구청역앞친수공간조성공사" xfId="1660" xr:uid="{00000000-0005-0000-0000-00007B060000}"/>
    <cellStyle name="1_예산서-2" xfId="1661" xr:uid="{00000000-0005-0000-0000-00007C060000}"/>
    <cellStyle name="1_용문산관광지조경및편익시설설치공사(간지)" xfId="1662" xr:uid="{00000000-0005-0000-0000-00007D060000}"/>
    <cellStyle name="1_용문산관광지조경및편익시설설치공사R3" xfId="1663" xr:uid="{00000000-0005-0000-0000-00007E060000}"/>
    <cellStyle name="1_원동근린공원조경공사(간지)" xfId="1664" xr:uid="{00000000-0005-0000-0000-00007F060000}"/>
    <cellStyle name="1_인천북항관공선부두(수정내역)" xfId="1665" xr:uid="{00000000-0005-0000-0000-000080060000}"/>
    <cellStyle name="1_일위대가공식2004" xfId="1666" xr:uid="{00000000-0005-0000-0000-000081060000}"/>
    <cellStyle name="1_일위대가공식2005" xfId="1667" xr:uid="{00000000-0005-0000-0000-000082060000}"/>
    <cellStyle name="1_전주시관내(이서~용정)건설공사(신화)" xfId="1668" xr:uid="{00000000-0005-0000-0000-000083060000}"/>
    <cellStyle name="1_천천고고등학교교사신축공사(산출내역집계표)" xfId="1669" xr:uid="{00000000-0005-0000-0000-000084060000}"/>
    <cellStyle name="1_폐기물처리-학교숲" xfId="1670" xr:uid="{00000000-0005-0000-0000-000085060000}"/>
    <cellStyle name="1_학교숲유지관리내역서(수정)" xfId="1671" xr:uid="{00000000-0005-0000-0000-000086060000}"/>
    <cellStyle name="10" xfId="1672" xr:uid="{00000000-0005-0000-0000-000087060000}"/>
    <cellStyle name="10공/㎥" xfId="1673" xr:uid="{00000000-0005-0000-0000-000088060000}"/>
    <cellStyle name="11" xfId="1674" xr:uid="{00000000-0005-0000-0000-000089060000}"/>
    <cellStyle name="111" xfId="1675" xr:uid="{00000000-0005-0000-0000-00008A060000}"/>
    <cellStyle name="2" xfId="1676" xr:uid="{00000000-0005-0000-0000-00008B060000}"/>
    <cellStyle name="2)" xfId="1677" xr:uid="{00000000-0005-0000-0000-00008C060000}"/>
    <cellStyle name="2_laroux" xfId="1678" xr:uid="{00000000-0005-0000-0000-00008D060000}"/>
    <cellStyle name="2_laroux_ATC-YOON1" xfId="1679" xr:uid="{00000000-0005-0000-0000-00008E060000}"/>
    <cellStyle name="2_단가조사표" xfId="1680" xr:uid="{00000000-0005-0000-0000-00008F060000}"/>
    <cellStyle name="2_단가조사표_1011소각" xfId="1681" xr:uid="{00000000-0005-0000-0000-000090060000}"/>
    <cellStyle name="2_단가조사표_1113교~1" xfId="1682" xr:uid="{00000000-0005-0000-0000-000091060000}"/>
    <cellStyle name="2_단가조사표_121내역" xfId="1683" xr:uid="{00000000-0005-0000-0000-000092060000}"/>
    <cellStyle name="2_단가조사표_객토량" xfId="1684" xr:uid="{00000000-0005-0000-0000-000093060000}"/>
    <cellStyle name="2_단가조사표_교통센~1" xfId="1685" xr:uid="{00000000-0005-0000-0000-000094060000}"/>
    <cellStyle name="2_단가조사표_교통센터412" xfId="1686" xr:uid="{00000000-0005-0000-0000-000095060000}"/>
    <cellStyle name="2_단가조사표_교통수" xfId="1687" xr:uid="{00000000-0005-0000-0000-000096060000}"/>
    <cellStyle name="2_단가조사표_교통수량산출서" xfId="1688" xr:uid="{00000000-0005-0000-0000-000097060000}"/>
    <cellStyle name="2_단가조사표_구조물대가 (2)" xfId="1689" xr:uid="{00000000-0005-0000-0000-000098060000}"/>
    <cellStyle name="2_단가조사표_내역서 (2)" xfId="1690" xr:uid="{00000000-0005-0000-0000-000099060000}"/>
    <cellStyle name="2_단가조사표_대전관저지구" xfId="1691" xr:uid="{00000000-0005-0000-0000-00009A060000}"/>
    <cellStyle name="2_단가조사표_동측지~1" xfId="1692" xr:uid="{00000000-0005-0000-0000-00009B060000}"/>
    <cellStyle name="2_단가조사표_동측지원422" xfId="1693" xr:uid="{00000000-0005-0000-0000-00009C060000}"/>
    <cellStyle name="2_단가조사표_동측지원512" xfId="1694" xr:uid="{00000000-0005-0000-0000-00009D060000}"/>
    <cellStyle name="2_단가조사표_동측지원524" xfId="1695" xr:uid="{00000000-0005-0000-0000-00009E060000}"/>
    <cellStyle name="2_단가조사표_부대422" xfId="1696" xr:uid="{00000000-0005-0000-0000-00009F060000}"/>
    <cellStyle name="2_단가조사표_부대시설" xfId="1697" xr:uid="{00000000-0005-0000-0000-0000A0060000}"/>
    <cellStyle name="2_단가조사표_소각수~1" xfId="1698" xr:uid="{00000000-0005-0000-0000-0000A1060000}"/>
    <cellStyle name="2_단가조사표_소각수내역서" xfId="1699" xr:uid="{00000000-0005-0000-0000-0000A2060000}"/>
    <cellStyle name="2_단가조사표_소각수목2" xfId="1700" xr:uid="{00000000-0005-0000-0000-0000A3060000}"/>
    <cellStyle name="2_단가조사표_수량산출서 (2)" xfId="1701" xr:uid="{00000000-0005-0000-0000-0000A4060000}"/>
    <cellStyle name="2_단가조사표_엑스포~1" xfId="1702" xr:uid="{00000000-0005-0000-0000-0000A5060000}"/>
    <cellStyle name="2_단가조사표_엑스포한빛1" xfId="1703" xr:uid="{00000000-0005-0000-0000-0000A6060000}"/>
    <cellStyle name="2_단가조사표_여객터미널331" xfId="1704" xr:uid="{00000000-0005-0000-0000-0000A7060000}"/>
    <cellStyle name="2_단가조사표_여객터미널513" xfId="1705" xr:uid="{00000000-0005-0000-0000-0000A8060000}"/>
    <cellStyle name="2_단가조사표_여객터미널629" xfId="1706" xr:uid="{00000000-0005-0000-0000-0000A9060000}"/>
    <cellStyle name="2_단가조사표_외곽도로616" xfId="1707" xr:uid="{00000000-0005-0000-0000-0000AA060000}"/>
    <cellStyle name="2_단가조사표_용인죽전수량" xfId="1708" xr:uid="{00000000-0005-0000-0000-0000AB060000}"/>
    <cellStyle name="2_단가조사표_원가계~1" xfId="1709" xr:uid="{00000000-0005-0000-0000-0000AC060000}"/>
    <cellStyle name="2_단가조사표_유기질" xfId="1710" xr:uid="{00000000-0005-0000-0000-0000AD060000}"/>
    <cellStyle name="2_단가조사표_자재조서 (2)" xfId="1711" xr:uid="{00000000-0005-0000-0000-0000AE060000}"/>
    <cellStyle name="2_단가조사표_총괄내역" xfId="1712" xr:uid="{00000000-0005-0000-0000-0000AF060000}"/>
    <cellStyle name="2_단가조사표_총괄내역 (2)" xfId="1713" xr:uid="{00000000-0005-0000-0000-0000B0060000}"/>
    <cellStyle name="2_단가조사표_터미널도로403" xfId="1714" xr:uid="{00000000-0005-0000-0000-0000B1060000}"/>
    <cellStyle name="2_단가조사표_터미널도로429" xfId="1715" xr:uid="{00000000-0005-0000-0000-0000B2060000}"/>
    <cellStyle name="2_단가조사표_포장일위" xfId="1716" xr:uid="{00000000-0005-0000-0000-0000B3060000}"/>
    <cellStyle name="20% - 강조색1" xfId="1717" builtinId="30" customBuiltin="1"/>
    <cellStyle name="20% - 강조색1 10" xfId="1718" xr:uid="{00000000-0005-0000-0000-0000B5060000}"/>
    <cellStyle name="20% - 강조색1 11" xfId="1719" xr:uid="{00000000-0005-0000-0000-0000B6060000}"/>
    <cellStyle name="20% - 강조색1 12" xfId="1720" xr:uid="{00000000-0005-0000-0000-0000B7060000}"/>
    <cellStyle name="20% - 강조색1 2" xfId="1721" xr:uid="{00000000-0005-0000-0000-0000B8060000}"/>
    <cellStyle name="20% - 강조색1 3" xfId="1722" xr:uid="{00000000-0005-0000-0000-0000B9060000}"/>
    <cellStyle name="20% - 강조색1 4" xfId="1723" xr:uid="{00000000-0005-0000-0000-0000BA060000}"/>
    <cellStyle name="20% - 강조색1 5" xfId="1724" xr:uid="{00000000-0005-0000-0000-0000BB060000}"/>
    <cellStyle name="20% - 강조색1 6" xfId="1725" xr:uid="{00000000-0005-0000-0000-0000BC060000}"/>
    <cellStyle name="20% - 강조색1 7" xfId="1726" xr:uid="{00000000-0005-0000-0000-0000BD060000}"/>
    <cellStyle name="20% - 강조색1 8" xfId="1727" xr:uid="{00000000-0005-0000-0000-0000BE060000}"/>
    <cellStyle name="20% - 강조색1 9" xfId="1728" xr:uid="{00000000-0005-0000-0000-0000BF060000}"/>
    <cellStyle name="20% - 강조색2" xfId="1729" builtinId="34" customBuiltin="1"/>
    <cellStyle name="20% - 강조색2 10" xfId="1730" xr:uid="{00000000-0005-0000-0000-0000C1060000}"/>
    <cellStyle name="20% - 강조색2 11" xfId="1731" xr:uid="{00000000-0005-0000-0000-0000C2060000}"/>
    <cellStyle name="20% - 강조색2 12" xfId="1732" xr:uid="{00000000-0005-0000-0000-0000C3060000}"/>
    <cellStyle name="20% - 강조색2 2" xfId="1733" xr:uid="{00000000-0005-0000-0000-0000C4060000}"/>
    <cellStyle name="20% - 강조색2 3" xfId="1734" xr:uid="{00000000-0005-0000-0000-0000C5060000}"/>
    <cellStyle name="20% - 강조색2 4" xfId="1735" xr:uid="{00000000-0005-0000-0000-0000C6060000}"/>
    <cellStyle name="20% - 강조색2 5" xfId="1736" xr:uid="{00000000-0005-0000-0000-0000C7060000}"/>
    <cellStyle name="20% - 강조색2 6" xfId="1737" xr:uid="{00000000-0005-0000-0000-0000C8060000}"/>
    <cellStyle name="20% - 강조색2 7" xfId="1738" xr:uid="{00000000-0005-0000-0000-0000C9060000}"/>
    <cellStyle name="20% - 강조색2 8" xfId="1739" xr:uid="{00000000-0005-0000-0000-0000CA060000}"/>
    <cellStyle name="20% - 강조색2 9" xfId="1740" xr:uid="{00000000-0005-0000-0000-0000CB060000}"/>
    <cellStyle name="20% - 강조색3" xfId="1741" builtinId="38" customBuiltin="1"/>
    <cellStyle name="20% - 강조색3 10" xfId="1742" xr:uid="{00000000-0005-0000-0000-0000CD060000}"/>
    <cellStyle name="20% - 강조색3 11" xfId="1743" xr:uid="{00000000-0005-0000-0000-0000CE060000}"/>
    <cellStyle name="20% - 강조색3 12" xfId="1744" xr:uid="{00000000-0005-0000-0000-0000CF060000}"/>
    <cellStyle name="20% - 강조색3 2" xfId="1745" xr:uid="{00000000-0005-0000-0000-0000D0060000}"/>
    <cellStyle name="20% - 강조색3 3" xfId="1746" xr:uid="{00000000-0005-0000-0000-0000D1060000}"/>
    <cellStyle name="20% - 강조색3 4" xfId="1747" xr:uid="{00000000-0005-0000-0000-0000D2060000}"/>
    <cellStyle name="20% - 강조색3 5" xfId="1748" xr:uid="{00000000-0005-0000-0000-0000D3060000}"/>
    <cellStyle name="20% - 강조색3 6" xfId="1749" xr:uid="{00000000-0005-0000-0000-0000D4060000}"/>
    <cellStyle name="20% - 강조색3 7" xfId="1750" xr:uid="{00000000-0005-0000-0000-0000D5060000}"/>
    <cellStyle name="20% - 강조색3 8" xfId="1751" xr:uid="{00000000-0005-0000-0000-0000D6060000}"/>
    <cellStyle name="20% - 강조색3 9" xfId="1752" xr:uid="{00000000-0005-0000-0000-0000D7060000}"/>
    <cellStyle name="20% - 강조색4" xfId="1753" builtinId="42" customBuiltin="1"/>
    <cellStyle name="20% - 강조색4 10" xfId="1754" xr:uid="{00000000-0005-0000-0000-0000D9060000}"/>
    <cellStyle name="20% - 강조색4 11" xfId="1755" xr:uid="{00000000-0005-0000-0000-0000DA060000}"/>
    <cellStyle name="20% - 강조색4 12" xfId="1756" xr:uid="{00000000-0005-0000-0000-0000DB060000}"/>
    <cellStyle name="20% - 강조색4 2" xfId="1757" xr:uid="{00000000-0005-0000-0000-0000DC060000}"/>
    <cellStyle name="20% - 강조색4 3" xfId="1758" xr:uid="{00000000-0005-0000-0000-0000DD060000}"/>
    <cellStyle name="20% - 강조색4 4" xfId="1759" xr:uid="{00000000-0005-0000-0000-0000DE060000}"/>
    <cellStyle name="20% - 강조색4 5" xfId="1760" xr:uid="{00000000-0005-0000-0000-0000DF060000}"/>
    <cellStyle name="20% - 강조색4 6" xfId="1761" xr:uid="{00000000-0005-0000-0000-0000E0060000}"/>
    <cellStyle name="20% - 강조색4 7" xfId="1762" xr:uid="{00000000-0005-0000-0000-0000E1060000}"/>
    <cellStyle name="20% - 강조색4 8" xfId="1763" xr:uid="{00000000-0005-0000-0000-0000E2060000}"/>
    <cellStyle name="20% - 강조색4 9" xfId="1764" xr:uid="{00000000-0005-0000-0000-0000E3060000}"/>
    <cellStyle name="20% - 강조색5" xfId="1765" builtinId="46" customBuiltin="1"/>
    <cellStyle name="20% - 강조색5 10" xfId="1766" xr:uid="{00000000-0005-0000-0000-0000E5060000}"/>
    <cellStyle name="20% - 강조색5 11" xfId="1767" xr:uid="{00000000-0005-0000-0000-0000E6060000}"/>
    <cellStyle name="20% - 강조색5 12" xfId="1768" xr:uid="{00000000-0005-0000-0000-0000E7060000}"/>
    <cellStyle name="20% - 강조색5 2" xfId="1769" xr:uid="{00000000-0005-0000-0000-0000E8060000}"/>
    <cellStyle name="20% - 강조색5 3" xfId="1770" xr:uid="{00000000-0005-0000-0000-0000E9060000}"/>
    <cellStyle name="20% - 강조색5 4" xfId="1771" xr:uid="{00000000-0005-0000-0000-0000EA060000}"/>
    <cellStyle name="20% - 강조색5 5" xfId="1772" xr:uid="{00000000-0005-0000-0000-0000EB060000}"/>
    <cellStyle name="20% - 강조색5 6" xfId="1773" xr:uid="{00000000-0005-0000-0000-0000EC060000}"/>
    <cellStyle name="20% - 강조색5 7" xfId="1774" xr:uid="{00000000-0005-0000-0000-0000ED060000}"/>
    <cellStyle name="20% - 강조색5 8" xfId="1775" xr:uid="{00000000-0005-0000-0000-0000EE060000}"/>
    <cellStyle name="20% - 강조색5 9" xfId="1776" xr:uid="{00000000-0005-0000-0000-0000EF060000}"/>
    <cellStyle name="20% - 강조색6" xfId="1777" builtinId="50" customBuiltin="1"/>
    <cellStyle name="20% - 강조색6 10" xfId="1778" xr:uid="{00000000-0005-0000-0000-0000F1060000}"/>
    <cellStyle name="20% - 강조색6 11" xfId="1779" xr:uid="{00000000-0005-0000-0000-0000F2060000}"/>
    <cellStyle name="20% - 강조색6 12" xfId="1780" xr:uid="{00000000-0005-0000-0000-0000F3060000}"/>
    <cellStyle name="20% - 강조색6 2" xfId="1781" xr:uid="{00000000-0005-0000-0000-0000F4060000}"/>
    <cellStyle name="20% - 강조색6 3" xfId="1782" xr:uid="{00000000-0005-0000-0000-0000F5060000}"/>
    <cellStyle name="20% - 강조색6 4" xfId="1783" xr:uid="{00000000-0005-0000-0000-0000F6060000}"/>
    <cellStyle name="20% - 강조색6 5" xfId="1784" xr:uid="{00000000-0005-0000-0000-0000F7060000}"/>
    <cellStyle name="20% - 강조색6 6" xfId="1785" xr:uid="{00000000-0005-0000-0000-0000F8060000}"/>
    <cellStyle name="20% - 강조색6 7" xfId="1786" xr:uid="{00000000-0005-0000-0000-0000F9060000}"/>
    <cellStyle name="20% - 강조색6 8" xfId="1787" xr:uid="{00000000-0005-0000-0000-0000FA060000}"/>
    <cellStyle name="20% - 강조색6 9" xfId="1788" xr:uid="{00000000-0005-0000-0000-0000FB060000}"/>
    <cellStyle name="2자리" xfId="1789" xr:uid="{00000000-0005-0000-0000-0000FC060000}"/>
    <cellStyle name="40% - 강조색1" xfId="1790" builtinId="31" customBuiltin="1"/>
    <cellStyle name="40% - 강조색1 10" xfId="1791" xr:uid="{00000000-0005-0000-0000-0000FE060000}"/>
    <cellStyle name="40% - 강조색1 11" xfId="1792" xr:uid="{00000000-0005-0000-0000-0000FF060000}"/>
    <cellStyle name="40% - 강조색1 12" xfId="1793" xr:uid="{00000000-0005-0000-0000-000000070000}"/>
    <cellStyle name="40% - 강조색1 2" xfId="1794" xr:uid="{00000000-0005-0000-0000-000001070000}"/>
    <cellStyle name="40% - 강조색1 3" xfId="1795" xr:uid="{00000000-0005-0000-0000-000002070000}"/>
    <cellStyle name="40% - 강조색1 4" xfId="1796" xr:uid="{00000000-0005-0000-0000-000003070000}"/>
    <cellStyle name="40% - 강조색1 5" xfId="1797" xr:uid="{00000000-0005-0000-0000-000004070000}"/>
    <cellStyle name="40% - 강조색1 6" xfId="1798" xr:uid="{00000000-0005-0000-0000-000005070000}"/>
    <cellStyle name="40% - 강조색1 7" xfId="1799" xr:uid="{00000000-0005-0000-0000-000006070000}"/>
    <cellStyle name="40% - 강조색1 8" xfId="1800" xr:uid="{00000000-0005-0000-0000-000007070000}"/>
    <cellStyle name="40% - 강조색1 9" xfId="1801" xr:uid="{00000000-0005-0000-0000-000008070000}"/>
    <cellStyle name="40% - 강조색2" xfId="1802" builtinId="35" customBuiltin="1"/>
    <cellStyle name="40% - 강조색2 10" xfId="1803" xr:uid="{00000000-0005-0000-0000-00000A070000}"/>
    <cellStyle name="40% - 강조색2 11" xfId="1804" xr:uid="{00000000-0005-0000-0000-00000B070000}"/>
    <cellStyle name="40% - 강조색2 12" xfId="1805" xr:uid="{00000000-0005-0000-0000-00000C070000}"/>
    <cellStyle name="40% - 강조색2 2" xfId="1806" xr:uid="{00000000-0005-0000-0000-00000D070000}"/>
    <cellStyle name="40% - 강조색2 3" xfId="1807" xr:uid="{00000000-0005-0000-0000-00000E070000}"/>
    <cellStyle name="40% - 강조색2 4" xfId="1808" xr:uid="{00000000-0005-0000-0000-00000F070000}"/>
    <cellStyle name="40% - 강조색2 5" xfId="1809" xr:uid="{00000000-0005-0000-0000-000010070000}"/>
    <cellStyle name="40% - 강조색2 6" xfId="1810" xr:uid="{00000000-0005-0000-0000-000011070000}"/>
    <cellStyle name="40% - 강조색2 7" xfId="1811" xr:uid="{00000000-0005-0000-0000-000012070000}"/>
    <cellStyle name="40% - 강조색2 8" xfId="1812" xr:uid="{00000000-0005-0000-0000-000013070000}"/>
    <cellStyle name="40% - 강조색2 9" xfId="1813" xr:uid="{00000000-0005-0000-0000-000014070000}"/>
    <cellStyle name="40% - 강조색3" xfId="1814" builtinId="39" customBuiltin="1"/>
    <cellStyle name="40% - 강조색3 10" xfId="1815" xr:uid="{00000000-0005-0000-0000-000016070000}"/>
    <cellStyle name="40% - 강조색3 11" xfId="1816" xr:uid="{00000000-0005-0000-0000-000017070000}"/>
    <cellStyle name="40% - 강조색3 12" xfId="1817" xr:uid="{00000000-0005-0000-0000-000018070000}"/>
    <cellStyle name="40% - 강조색3 2" xfId="1818" xr:uid="{00000000-0005-0000-0000-000019070000}"/>
    <cellStyle name="40% - 강조색3 3" xfId="1819" xr:uid="{00000000-0005-0000-0000-00001A070000}"/>
    <cellStyle name="40% - 강조색3 4" xfId="1820" xr:uid="{00000000-0005-0000-0000-00001B070000}"/>
    <cellStyle name="40% - 강조색3 5" xfId="1821" xr:uid="{00000000-0005-0000-0000-00001C070000}"/>
    <cellStyle name="40% - 강조색3 6" xfId="1822" xr:uid="{00000000-0005-0000-0000-00001D070000}"/>
    <cellStyle name="40% - 강조색3 7" xfId="1823" xr:uid="{00000000-0005-0000-0000-00001E070000}"/>
    <cellStyle name="40% - 강조색3 8" xfId="1824" xr:uid="{00000000-0005-0000-0000-00001F070000}"/>
    <cellStyle name="40% - 강조색3 9" xfId="1825" xr:uid="{00000000-0005-0000-0000-000020070000}"/>
    <cellStyle name="40% - 강조색4" xfId="1826" builtinId="43" customBuiltin="1"/>
    <cellStyle name="40% - 강조색4 10" xfId="1827" xr:uid="{00000000-0005-0000-0000-000022070000}"/>
    <cellStyle name="40% - 강조색4 11" xfId="1828" xr:uid="{00000000-0005-0000-0000-000023070000}"/>
    <cellStyle name="40% - 강조색4 12" xfId="1829" xr:uid="{00000000-0005-0000-0000-000024070000}"/>
    <cellStyle name="40% - 강조색4 2" xfId="1830" xr:uid="{00000000-0005-0000-0000-000025070000}"/>
    <cellStyle name="40% - 강조색4 3" xfId="1831" xr:uid="{00000000-0005-0000-0000-000026070000}"/>
    <cellStyle name="40% - 강조색4 4" xfId="1832" xr:uid="{00000000-0005-0000-0000-000027070000}"/>
    <cellStyle name="40% - 강조색4 5" xfId="1833" xr:uid="{00000000-0005-0000-0000-000028070000}"/>
    <cellStyle name="40% - 강조색4 6" xfId="1834" xr:uid="{00000000-0005-0000-0000-000029070000}"/>
    <cellStyle name="40% - 강조색4 7" xfId="1835" xr:uid="{00000000-0005-0000-0000-00002A070000}"/>
    <cellStyle name="40% - 강조색4 8" xfId="1836" xr:uid="{00000000-0005-0000-0000-00002B070000}"/>
    <cellStyle name="40% - 강조색4 9" xfId="1837" xr:uid="{00000000-0005-0000-0000-00002C070000}"/>
    <cellStyle name="40% - 강조색5" xfId="1838" builtinId="47" customBuiltin="1"/>
    <cellStyle name="40% - 강조색5 10" xfId="1839" xr:uid="{00000000-0005-0000-0000-00002E070000}"/>
    <cellStyle name="40% - 강조색5 11" xfId="1840" xr:uid="{00000000-0005-0000-0000-00002F070000}"/>
    <cellStyle name="40% - 강조색5 12" xfId="1841" xr:uid="{00000000-0005-0000-0000-000030070000}"/>
    <cellStyle name="40% - 강조색5 2" xfId="1842" xr:uid="{00000000-0005-0000-0000-000031070000}"/>
    <cellStyle name="40% - 강조색5 3" xfId="1843" xr:uid="{00000000-0005-0000-0000-000032070000}"/>
    <cellStyle name="40% - 강조색5 4" xfId="1844" xr:uid="{00000000-0005-0000-0000-000033070000}"/>
    <cellStyle name="40% - 강조색5 5" xfId="1845" xr:uid="{00000000-0005-0000-0000-000034070000}"/>
    <cellStyle name="40% - 강조색5 6" xfId="1846" xr:uid="{00000000-0005-0000-0000-000035070000}"/>
    <cellStyle name="40% - 강조색5 7" xfId="1847" xr:uid="{00000000-0005-0000-0000-000036070000}"/>
    <cellStyle name="40% - 강조색5 8" xfId="1848" xr:uid="{00000000-0005-0000-0000-000037070000}"/>
    <cellStyle name="40% - 강조색5 9" xfId="1849" xr:uid="{00000000-0005-0000-0000-000038070000}"/>
    <cellStyle name="40% - 강조색6" xfId="1850" builtinId="51" customBuiltin="1"/>
    <cellStyle name="40% - 강조색6 10" xfId="1851" xr:uid="{00000000-0005-0000-0000-00003A070000}"/>
    <cellStyle name="40% - 강조색6 11" xfId="1852" xr:uid="{00000000-0005-0000-0000-00003B070000}"/>
    <cellStyle name="40% - 강조색6 12" xfId="1853" xr:uid="{00000000-0005-0000-0000-00003C070000}"/>
    <cellStyle name="40% - 강조색6 2" xfId="1854" xr:uid="{00000000-0005-0000-0000-00003D070000}"/>
    <cellStyle name="40% - 강조색6 3" xfId="1855" xr:uid="{00000000-0005-0000-0000-00003E070000}"/>
    <cellStyle name="40% - 강조색6 4" xfId="1856" xr:uid="{00000000-0005-0000-0000-00003F070000}"/>
    <cellStyle name="40% - 강조색6 5" xfId="1857" xr:uid="{00000000-0005-0000-0000-000040070000}"/>
    <cellStyle name="40% - 강조색6 6" xfId="1858" xr:uid="{00000000-0005-0000-0000-000041070000}"/>
    <cellStyle name="40% - 강조색6 7" xfId="1859" xr:uid="{00000000-0005-0000-0000-000042070000}"/>
    <cellStyle name="40% - 강조색6 8" xfId="1860" xr:uid="{00000000-0005-0000-0000-000043070000}"/>
    <cellStyle name="40% - 강조색6 9" xfId="1861" xr:uid="{00000000-0005-0000-0000-000044070000}"/>
    <cellStyle name="60" xfId="1862" xr:uid="{00000000-0005-0000-0000-000045070000}"/>
    <cellStyle name="60% - 강조색1" xfId="1863" builtinId="32" customBuiltin="1"/>
    <cellStyle name="60% - 강조색1 10" xfId="1864" xr:uid="{00000000-0005-0000-0000-000047070000}"/>
    <cellStyle name="60% - 강조색1 11" xfId="1865" xr:uid="{00000000-0005-0000-0000-000048070000}"/>
    <cellStyle name="60% - 강조색1 12" xfId="1866" xr:uid="{00000000-0005-0000-0000-000049070000}"/>
    <cellStyle name="60% - 강조색1 2" xfId="1867" xr:uid="{00000000-0005-0000-0000-00004A070000}"/>
    <cellStyle name="60% - 강조색1 3" xfId="1868" xr:uid="{00000000-0005-0000-0000-00004B070000}"/>
    <cellStyle name="60% - 강조색1 4" xfId="1869" xr:uid="{00000000-0005-0000-0000-00004C070000}"/>
    <cellStyle name="60% - 강조색1 5" xfId="1870" xr:uid="{00000000-0005-0000-0000-00004D070000}"/>
    <cellStyle name="60% - 강조색1 6" xfId="1871" xr:uid="{00000000-0005-0000-0000-00004E070000}"/>
    <cellStyle name="60% - 강조색1 7" xfId="1872" xr:uid="{00000000-0005-0000-0000-00004F070000}"/>
    <cellStyle name="60% - 강조색1 8" xfId="1873" xr:uid="{00000000-0005-0000-0000-000050070000}"/>
    <cellStyle name="60% - 강조색1 9" xfId="1874" xr:uid="{00000000-0005-0000-0000-000051070000}"/>
    <cellStyle name="60% - 강조색2" xfId="1875" builtinId="36" customBuiltin="1"/>
    <cellStyle name="60% - 강조색2 10" xfId="1876" xr:uid="{00000000-0005-0000-0000-000053070000}"/>
    <cellStyle name="60% - 강조색2 11" xfId="1877" xr:uid="{00000000-0005-0000-0000-000054070000}"/>
    <cellStyle name="60% - 강조색2 12" xfId="1878" xr:uid="{00000000-0005-0000-0000-000055070000}"/>
    <cellStyle name="60% - 강조색2 2" xfId="1879" xr:uid="{00000000-0005-0000-0000-000056070000}"/>
    <cellStyle name="60% - 강조색2 3" xfId="1880" xr:uid="{00000000-0005-0000-0000-000057070000}"/>
    <cellStyle name="60% - 강조색2 4" xfId="1881" xr:uid="{00000000-0005-0000-0000-000058070000}"/>
    <cellStyle name="60% - 강조색2 5" xfId="1882" xr:uid="{00000000-0005-0000-0000-000059070000}"/>
    <cellStyle name="60% - 강조색2 6" xfId="1883" xr:uid="{00000000-0005-0000-0000-00005A070000}"/>
    <cellStyle name="60% - 강조색2 7" xfId="1884" xr:uid="{00000000-0005-0000-0000-00005B070000}"/>
    <cellStyle name="60% - 강조색2 8" xfId="1885" xr:uid="{00000000-0005-0000-0000-00005C070000}"/>
    <cellStyle name="60% - 강조색2 9" xfId="1886" xr:uid="{00000000-0005-0000-0000-00005D070000}"/>
    <cellStyle name="60% - 강조색3" xfId="1887" builtinId="40" customBuiltin="1"/>
    <cellStyle name="60% - 강조색3 10" xfId="1888" xr:uid="{00000000-0005-0000-0000-00005F070000}"/>
    <cellStyle name="60% - 강조색3 11" xfId="1889" xr:uid="{00000000-0005-0000-0000-000060070000}"/>
    <cellStyle name="60% - 강조색3 12" xfId="1890" xr:uid="{00000000-0005-0000-0000-000061070000}"/>
    <cellStyle name="60% - 강조색3 2" xfId="1891" xr:uid="{00000000-0005-0000-0000-000062070000}"/>
    <cellStyle name="60% - 강조색3 3" xfId="1892" xr:uid="{00000000-0005-0000-0000-000063070000}"/>
    <cellStyle name="60% - 강조색3 4" xfId="1893" xr:uid="{00000000-0005-0000-0000-000064070000}"/>
    <cellStyle name="60% - 강조색3 5" xfId="1894" xr:uid="{00000000-0005-0000-0000-000065070000}"/>
    <cellStyle name="60% - 강조색3 6" xfId="1895" xr:uid="{00000000-0005-0000-0000-000066070000}"/>
    <cellStyle name="60% - 강조색3 7" xfId="1896" xr:uid="{00000000-0005-0000-0000-000067070000}"/>
    <cellStyle name="60% - 강조색3 8" xfId="1897" xr:uid="{00000000-0005-0000-0000-000068070000}"/>
    <cellStyle name="60% - 강조색3 9" xfId="1898" xr:uid="{00000000-0005-0000-0000-000069070000}"/>
    <cellStyle name="60% - 강조색4" xfId="1899" builtinId="44" customBuiltin="1"/>
    <cellStyle name="60% - 강조색4 10" xfId="1900" xr:uid="{00000000-0005-0000-0000-00006B070000}"/>
    <cellStyle name="60% - 강조색4 11" xfId="1901" xr:uid="{00000000-0005-0000-0000-00006C070000}"/>
    <cellStyle name="60% - 강조색4 12" xfId="1902" xr:uid="{00000000-0005-0000-0000-00006D070000}"/>
    <cellStyle name="60% - 강조색4 2" xfId="1903" xr:uid="{00000000-0005-0000-0000-00006E070000}"/>
    <cellStyle name="60% - 강조색4 3" xfId="1904" xr:uid="{00000000-0005-0000-0000-00006F070000}"/>
    <cellStyle name="60% - 강조색4 4" xfId="1905" xr:uid="{00000000-0005-0000-0000-000070070000}"/>
    <cellStyle name="60% - 강조색4 5" xfId="1906" xr:uid="{00000000-0005-0000-0000-000071070000}"/>
    <cellStyle name="60% - 강조색4 6" xfId="1907" xr:uid="{00000000-0005-0000-0000-000072070000}"/>
    <cellStyle name="60% - 강조색4 7" xfId="1908" xr:uid="{00000000-0005-0000-0000-000073070000}"/>
    <cellStyle name="60% - 강조색4 8" xfId="1909" xr:uid="{00000000-0005-0000-0000-000074070000}"/>
    <cellStyle name="60% - 강조색4 9" xfId="1910" xr:uid="{00000000-0005-0000-0000-000075070000}"/>
    <cellStyle name="60% - 강조색5" xfId="1911" builtinId="48" customBuiltin="1"/>
    <cellStyle name="60% - 강조색5 10" xfId="1912" xr:uid="{00000000-0005-0000-0000-000077070000}"/>
    <cellStyle name="60% - 강조색5 11" xfId="1913" xr:uid="{00000000-0005-0000-0000-000078070000}"/>
    <cellStyle name="60% - 강조색5 12" xfId="1914" xr:uid="{00000000-0005-0000-0000-000079070000}"/>
    <cellStyle name="60% - 강조색5 2" xfId="1915" xr:uid="{00000000-0005-0000-0000-00007A070000}"/>
    <cellStyle name="60% - 강조색5 3" xfId="1916" xr:uid="{00000000-0005-0000-0000-00007B070000}"/>
    <cellStyle name="60% - 강조색5 4" xfId="1917" xr:uid="{00000000-0005-0000-0000-00007C070000}"/>
    <cellStyle name="60% - 강조색5 5" xfId="1918" xr:uid="{00000000-0005-0000-0000-00007D070000}"/>
    <cellStyle name="60% - 강조색5 6" xfId="1919" xr:uid="{00000000-0005-0000-0000-00007E070000}"/>
    <cellStyle name="60% - 강조색5 7" xfId="1920" xr:uid="{00000000-0005-0000-0000-00007F070000}"/>
    <cellStyle name="60% - 강조색5 8" xfId="1921" xr:uid="{00000000-0005-0000-0000-000080070000}"/>
    <cellStyle name="60% - 강조색5 9" xfId="1922" xr:uid="{00000000-0005-0000-0000-000081070000}"/>
    <cellStyle name="60% - 강조색6" xfId="1923" builtinId="52" customBuiltin="1"/>
    <cellStyle name="60% - 강조색6 10" xfId="1924" xr:uid="{00000000-0005-0000-0000-000083070000}"/>
    <cellStyle name="60% - 강조색6 11" xfId="1925" xr:uid="{00000000-0005-0000-0000-000084070000}"/>
    <cellStyle name="60% - 강조색6 12" xfId="1926" xr:uid="{00000000-0005-0000-0000-000085070000}"/>
    <cellStyle name="60% - 강조색6 2" xfId="1927" xr:uid="{00000000-0005-0000-0000-000086070000}"/>
    <cellStyle name="60% - 강조색6 3" xfId="1928" xr:uid="{00000000-0005-0000-0000-000087070000}"/>
    <cellStyle name="60% - 강조색6 4" xfId="1929" xr:uid="{00000000-0005-0000-0000-000088070000}"/>
    <cellStyle name="60% - 강조색6 5" xfId="1930" xr:uid="{00000000-0005-0000-0000-000089070000}"/>
    <cellStyle name="60% - 강조색6 6" xfId="1931" xr:uid="{00000000-0005-0000-0000-00008A070000}"/>
    <cellStyle name="60% - 강조색6 7" xfId="1932" xr:uid="{00000000-0005-0000-0000-00008B070000}"/>
    <cellStyle name="60% - 강조색6 8" xfId="1933" xr:uid="{00000000-0005-0000-0000-00008C070000}"/>
    <cellStyle name="60% - 강조색6 9" xfId="1934" xr:uid="{00000000-0005-0000-0000-00008D070000}"/>
    <cellStyle name="82" xfId="1935" xr:uid="{00000000-0005-0000-0000-00008E070000}"/>
    <cellStyle name="a" xfId="1936" xr:uid="{00000000-0005-0000-0000-00008F070000}"/>
    <cellStyle name="A " xfId="1937" xr:uid="{00000000-0005-0000-0000-000090070000}"/>
    <cellStyle name="a [0]_mud plant bolted" xfId="1938" xr:uid="{00000000-0005-0000-0000-000091070000}"/>
    <cellStyle name="A _깨기" xfId="1939" xr:uid="{00000000-0005-0000-0000-000092070000}"/>
    <cellStyle name="Ā _x0010_က랐_xdc01_땯_x0001_" xfId="1940" xr:uid="{00000000-0005-0000-0000-000093070000}"/>
    <cellStyle name="A¡ " xfId="1941" xr:uid="{00000000-0005-0000-0000-000094070000}"/>
    <cellStyle name="A¡§¡©¡Ë¡þ¡ËO [0]_¨Ï©ª¢®i¡§¡þI¢®¨¡eE¨Ïo¡Ë¡Íe A¨Ï¡þA¡Ë¢¥A¢®AAI " xfId="1942" xr:uid="{00000000-0005-0000-0000-000095070000}"/>
    <cellStyle name="A¡§¡©¡Ë¡þ¡ËO_¨Ï©ª¢®i¡§¡þI¢®¨¡eE¨Ïo¡Ë¡Íe A¨Ï¡þA¡Ë¢¥A¢®AAI " xfId="1943" xr:uid="{00000000-0005-0000-0000-000096070000}"/>
    <cellStyle name="A¨­¢¬¢Ò [0]_¨öCAuA¡ÀAI " xfId="1944" xr:uid="{00000000-0005-0000-0000-000097070000}"/>
    <cellStyle name="A¨­￠￢￠O [0]_¨uoAa¨oCAu " xfId="1945" xr:uid="{00000000-0005-0000-0000-000098070000}"/>
    <cellStyle name="A¨­¢¬¢Ò [0]_©ø¡í¨¬I¡ÆeE©ö¢¥e A©¬A¢´A¡ÀAI " xfId="1946" xr:uid="{00000000-0005-0000-0000-000099070000}"/>
    <cellStyle name="A¨­￠￢￠O [0]_AO¨uRCN¡¾U " xfId="1947" xr:uid="{00000000-0005-0000-0000-00009A070000}"/>
    <cellStyle name="A¨­¢¬¢Ò [0]_INQUIRY ¢¯¥ì¨ú¡ÀA©¬A©ª " xfId="1948" xr:uid="{00000000-0005-0000-0000-00009B070000}"/>
    <cellStyle name="A¨­¢¬¢Ò_¨öCAuA¡ÀAI " xfId="1949" xr:uid="{00000000-0005-0000-0000-00009C070000}"/>
    <cellStyle name="A¨­￠￢￠O_¨uoAa¨oCAu " xfId="1950" xr:uid="{00000000-0005-0000-0000-00009D070000}"/>
    <cellStyle name="A¨­¢¬¢Ò_©ø¡í¨¬I¡ÆeE©ö¢¥e A©¬A¢´A¡ÀAI " xfId="1951" xr:uid="{00000000-0005-0000-0000-00009E070000}"/>
    <cellStyle name="A¨­￠￢￠O_AO¨uRCN¡¾U " xfId="1952" xr:uid="{00000000-0005-0000-0000-00009F070000}"/>
    <cellStyle name="A¨­¢¬¢Ò_INQUIRY ¢¯¥ì¨ú¡ÀA©¬A©ª " xfId="1953" xr:uid="{00000000-0005-0000-0000-0000A0070000}"/>
    <cellStyle name="A¨i " xfId="1954" xr:uid="{00000000-0005-0000-0000-0000A1070000}"/>
    <cellStyle name="A¨i¡ " xfId="1955" xr:uid="{00000000-0005-0000-0000-0000A2070000}"/>
    <cellStyle name="A¨i¡ⓒ " xfId="1956" xr:uid="{00000000-0005-0000-0000-0000A3070000}"/>
    <cellStyle name="A¨i¡ⓒ¡e¡ " xfId="1957" xr:uid="{00000000-0005-0000-0000-0000A4070000}"/>
    <cellStyle name="AA" xfId="1958" xr:uid="{00000000-0005-0000-0000-0000A5070000}"/>
    <cellStyle name="Aⓒ­ " xfId="1959" xr:uid="{00000000-0005-0000-0000-0000A6070000}"/>
    <cellStyle name="Aⓒ­￠￢ " xfId="1960" xr:uid="{00000000-0005-0000-0000-0000A7070000}"/>
    <cellStyle name="Aⓒ­￠￢￠o " xfId="1961" xr:uid="{00000000-0005-0000-0000-0000A8070000}"/>
    <cellStyle name="Aee " xfId="1962" xr:uid="{00000000-0005-0000-0000-0000A9070000}"/>
    <cellStyle name="Aee­ [0]_ " xfId="1963" xr:uid="{00000000-0005-0000-0000-0000AA070000}"/>
    <cellStyle name="ÅëÈ­ [0]_ ºñ¸ñº° ¿ùº°±â¼ú " xfId="1964" xr:uid="{00000000-0005-0000-0000-0000AB070000}"/>
    <cellStyle name="AeE­ [0]_¼oAa½CAu " xfId="1965" xr:uid="{00000000-0005-0000-0000-0000AC070000}"/>
    <cellStyle name="ÅëÈ­ [0]_¼öÃâ½ÇÀû " xfId="1966" xr:uid="{00000000-0005-0000-0000-0000AD070000}"/>
    <cellStyle name="AeE­ [0]_¼oAI¼º " xfId="1967" xr:uid="{00000000-0005-0000-0000-0000AE070000}"/>
    <cellStyle name="ÅëÈ­ [0]_³Ã¿¬ 4 " xfId="1968" xr:uid="{00000000-0005-0000-0000-0000AF070000}"/>
    <cellStyle name="AeE­ [0]_A¾CO½A¼³ " xfId="1969" xr:uid="{00000000-0005-0000-0000-0000B0070000}"/>
    <cellStyle name="ÅëÈ­ [0]_AMT " xfId="1970" xr:uid="{00000000-0005-0000-0000-0000B1070000}"/>
    <cellStyle name="AeE­ [0]_AN°y(1.25) " xfId="1971" xr:uid="{00000000-0005-0000-0000-0000B2070000}"/>
    <cellStyle name="ÅëÈ­ [0]_ÃÑ°ýº¸°í-Ãß°¡Àý°¨ " xfId="1972" xr:uid="{00000000-0005-0000-0000-0000B3070000}"/>
    <cellStyle name="AeE­ [0]_INQUIRY ¿μ¾÷AßAø " xfId="1973" xr:uid="{00000000-0005-0000-0000-0000B4070000}"/>
    <cellStyle name="ÅëÈ­ [0]_laroux" xfId="1974" xr:uid="{00000000-0005-0000-0000-0000B5070000}"/>
    <cellStyle name="AeE­ [0]_PERSONAL" xfId="1975" xr:uid="{00000000-0005-0000-0000-0000B6070000}"/>
    <cellStyle name="ÅëÈ­ [0]_Sheet1" xfId="1976" xr:uid="{00000000-0005-0000-0000-0000B7070000}"/>
    <cellStyle name="Aee _04.도로포장 공사비" xfId="1977" xr:uid="{00000000-0005-0000-0000-0000B8070000}"/>
    <cellStyle name="Aee­ _2005년학교숲" xfId="1978" xr:uid="{00000000-0005-0000-0000-0000B9070000}"/>
    <cellStyle name="Aee­_ " xfId="1979" xr:uid="{00000000-0005-0000-0000-0000BA070000}"/>
    <cellStyle name="ÅëÈ­_ ºñ¸ñº° ¿ùº°±â¼ú " xfId="1980" xr:uid="{00000000-0005-0000-0000-0000BB070000}"/>
    <cellStyle name="AeE­_¼oAa½CAu " xfId="1981" xr:uid="{00000000-0005-0000-0000-0000BC070000}"/>
    <cellStyle name="ÅëÈ­_¼öÃâ½ÇÀû " xfId="1982" xr:uid="{00000000-0005-0000-0000-0000BD070000}"/>
    <cellStyle name="AeE­_¼oAI¼º " xfId="1983" xr:uid="{00000000-0005-0000-0000-0000BE070000}"/>
    <cellStyle name="ÅëÈ­_³Ã¿¬ 4 " xfId="1984" xr:uid="{00000000-0005-0000-0000-0000BF070000}"/>
    <cellStyle name="AeE­_A¾CO½A¼³ " xfId="1985" xr:uid="{00000000-0005-0000-0000-0000C0070000}"/>
    <cellStyle name="ÅëÈ­_AMT " xfId="1986" xr:uid="{00000000-0005-0000-0000-0000C1070000}"/>
    <cellStyle name="AeE­_AN°y(1.25) " xfId="1987" xr:uid="{00000000-0005-0000-0000-0000C2070000}"/>
    <cellStyle name="ÅëÈ­_ÃÑ°ýº¸°í-Ãß°¡Àý°¨ " xfId="1988" xr:uid="{00000000-0005-0000-0000-0000C3070000}"/>
    <cellStyle name="AeE­_INQUIRY ¿μ¾÷AßAø " xfId="1989" xr:uid="{00000000-0005-0000-0000-0000C4070000}"/>
    <cellStyle name="ÅëÈ­_laroux" xfId="1990" xr:uid="{00000000-0005-0000-0000-0000C5070000}"/>
    <cellStyle name="AeE­_PERSONAL" xfId="1991" xr:uid="{00000000-0005-0000-0000-0000C6070000}"/>
    <cellStyle name="ÅëÈ­_Sheet1" xfId="1992" xr:uid="{00000000-0005-0000-0000-0000C7070000}"/>
    <cellStyle name="Aee¡ " xfId="1993" xr:uid="{00000000-0005-0000-0000-0000C8070000}"/>
    <cellStyle name="AeE¡© [0]_¨öCAuA¡ÀAI " xfId="1994" xr:uid="{00000000-0005-0000-0000-0000C9070000}"/>
    <cellStyle name="AeE¡©_¨öCAuA¡ÀAI " xfId="1995" xr:uid="{00000000-0005-0000-0000-0000CA070000}"/>
    <cellStyle name="AeE¡ⓒ [0]_¨uoAa¨oCAu " xfId="1996" xr:uid="{00000000-0005-0000-0000-0000CB070000}"/>
    <cellStyle name="AeE¡ⓒ_¨uoAa¨oCAu " xfId="1997" xr:uid="{00000000-0005-0000-0000-0000CC070000}"/>
    <cellStyle name="Aee¡er " xfId="1998" xr:uid="{00000000-0005-0000-0000-0000CD070000}"/>
    <cellStyle name="AeE¢®¨Ï [0]_¨Ï©ª¢®i¡§¡þI¢®¨¡eE¨Ïo¡Ë¡Íe A¨Ï¡þA¡Ë¢¥A¢®AAI " xfId="1999" xr:uid="{00000000-0005-0000-0000-0000CE070000}"/>
    <cellStyle name="AeE¢®¨Ï_¨Ï©ª¢®i¡§¡þI¢®¨¡eE¨Ïo¡Ë¡Íe A¨Ï¡þA¡Ë¢¥A¢®AAI " xfId="2000" xr:uid="{00000000-0005-0000-0000-0000CF070000}"/>
    <cellStyle name="Aee￠r " xfId="2001" xr:uid="{00000000-0005-0000-0000-0000D0070000}"/>
    <cellStyle name="Aee￠r¨i " xfId="2002" xr:uid="{00000000-0005-0000-0000-0000D1070000}"/>
    <cellStyle name="Aee￠r¨i_ " xfId="2003" xr:uid="{00000000-0005-0000-0000-0000D2070000}"/>
    <cellStyle name="ALIGNMENT" xfId="2004" xr:uid="{00000000-0005-0000-0000-0000D3070000}"/>
    <cellStyle name="Aþ¸ " xfId="2005" xr:uid="{00000000-0005-0000-0000-0000D4070000}"/>
    <cellStyle name="ÄÞ¸¶ [0]_ °ßÀû±âÁØ FLOW " xfId="2006" xr:uid="{00000000-0005-0000-0000-0000D5070000}"/>
    <cellStyle name="AÞ¸¶ [0]_ 2ÆAAþº° " xfId="2007" xr:uid="{00000000-0005-0000-0000-0000D6070000}"/>
    <cellStyle name="ÄÞ¸¶ [0]_¸ðÇü¸·" xfId="2008" xr:uid="{00000000-0005-0000-0000-0000D7070000}"/>
    <cellStyle name="AÞ¸¶ [0]_¼oAa½CAu " xfId="2009" xr:uid="{00000000-0005-0000-0000-0000D8070000}"/>
    <cellStyle name="ÄÞ¸¶ [0]_¼öÃâ½ÇÀû " xfId="2010" xr:uid="{00000000-0005-0000-0000-0000D9070000}"/>
    <cellStyle name="AÞ¸¶ [0]_¼oAI¼º " xfId="2011" xr:uid="{00000000-0005-0000-0000-0000DA070000}"/>
    <cellStyle name="ÄÞ¸¶ [0]_³Ã¿¬ 4 " xfId="2012" xr:uid="{00000000-0005-0000-0000-0000DB070000}"/>
    <cellStyle name="AÞ¸¶ [0]_A¾CO½A¼³ " xfId="2013" xr:uid="{00000000-0005-0000-0000-0000DC070000}"/>
    <cellStyle name="ÄÞ¸¶ [0]_ÃÑ°ýº¸°í-Ãß°¡Àý°¨ " xfId="2014" xr:uid="{00000000-0005-0000-0000-0000DD070000}"/>
    <cellStyle name="AÞ¸¶ [0]_INQUIRY ¿μ¾÷AßAø " xfId="2015" xr:uid="{00000000-0005-0000-0000-0000DE070000}"/>
    <cellStyle name="ÄÞ¸¶ [0]_laroux" xfId="2016" xr:uid="{00000000-0005-0000-0000-0000DF070000}"/>
    <cellStyle name="ÄÞ¸¶_ °ßÀû±âÁØ FLOW " xfId="2017" xr:uid="{00000000-0005-0000-0000-0000E0070000}"/>
    <cellStyle name="AÞ¸¶_ 2ÆAAþº° " xfId="2018" xr:uid="{00000000-0005-0000-0000-0000E1070000}"/>
    <cellStyle name="ÄÞ¸¶_¸ðÇü¸·" xfId="2019" xr:uid="{00000000-0005-0000-0000-0000E2070000}"/>
    <cellStyle name="AÞ¸¶_¼oAa½CAu " xfId="2020" xr:uid="{00000000-0005-0000-0000-0000E3070000}"/>
    <cellStyle name="ÄÞ¸¶_¼öÃâ½ÇÀû " xfId="2021" xr:uid="{00000000-0005-0000-0000-0000E4070000}"/>
    <cellStyle name="AÞ¸¶_¼oAI¼º " xfId="2022" xr:uid="{00000000-0005-0000-0000-0000E5070000}"/>
    <cellStyle name="ÄÞ¸¶_³Ã¿¬ 4 " xfId="2023" xr:uid="{00000000-0005-0000-0000-0000E6070000}"/>
    <cellStyle name="AÞ¸¶_A¾CO½A¼³ " xfId="2024" xr:uid="{00000000-0005-0000-0000-0000E7070000}"/>
    <cellStyle name="ÄÞ¸¶_ÃÑ°ýº¸°í-Ãß°¡Àý°¨ " xfId="2025" xr:uid="{00000000-0005-0000-0000-0000E8070000}"/>
    <cellStyle name="AÞ¸¶_INQUIRY ¿μ¾÷AßAø " xfId="2026" xr:uid="{00000000-0005-0000-0000-0000E9070000}"/>
    <cellStyle name="ÄÞ¸¶_laroux" xfId="2027" xr:uid="{00000000-0005-0000-0000-0000EA070000}"/>
    <cellStyle name="body" xfId="2028" xr:uid="{00000000-0005-0000-0000-0000EB070000}"/>
    <cellStyle name="C " xfId="2029" xr:uid="{00000000-0005-0000-0000-0000EC070000}"/>
    <cellStyle name="C¡ia " xfId="2030" xr:uid="{00000000-0005-0000-0000-0000ED070000}"/>
    <cellStyle name="C¡IA¨ª_¡ic¨u¡A¨￢I¨￢¡Æ AN¡Æe " xfId="2031" xr:uid="{00000000-0005-0000-0000-0000EE070000}"/>
    <cellStyle name="C¡ÍA¨ª_¡íc¨ú¡À¨¬I¨¬¡Æ AN¡Æe " xfId="2032" xr:uid="{00000000-0005-0000-0000-0000EF070000}"/>
    <cellStyle name="C¡IA¨ª_￠?￥i¨u¡ACoEⓒ÷ " xfId="2033" xr:uid="{00000000-0005-0000-0000-0000F0070000}"/>
    <cellStyle name="C¡ÍA¨ª_¢¯¥ì¨ú¡ÀCoE©÷ " xfId="2034" xr:uid="{00000000-0005-0000-0000-0000F1070000}"/>
    <cellStyle name="C¡IA¨ª_0N-HANDLING " xfId="2035" xr:uid="{00000000-0005-0000-0000-0000F2070000}"/>
    <cellStyle name="C¡ÍA¨ª_0N-HANDLING " xfId="2036" xr:uid="{00000000-0005-0000-0000-0000F3070000}"/>
    <cellStyle name="C¡IA¨ª_5-1¡¾￠´¡Æi " xfId="2037" xr:uid="{00000000-0005-0000-0000-0000F4070000}"/>
    <cellStyle name="C¡ÍA¨ª_5-1¡¾¢´¡Æi " xfId="2038" xr:uid="{00000000-0005-0000-0000-0000F5070000}"/>
    <cellStyle name="C¡IA¨ª_Ay¡ÆeC¡I(2￠?u) " xfId="2039" xr:uid="{00000000-0005-0000-0000-0000F6070000}"/>
    <cellStyle name="C¡ÍA¨ª_Ay¡ÆeC¡Í(2¢¯u) " xfId="2040" xr:uid="{00000000-0005-0000-0000-0000F7070000}"/>
    <cellStyle name="C¡IA¨ª_Sheet1_0N-HANDLING " xfId="2041" xr:uid="{00000000-0005-0000-0000-0000F8070000}"/>
    <cellStyle name="C¡ÍA¨ª_Sheet1_0N-HANDLING " xfId="2042" xr:uid="{00000000-0005-0000-0000-0000F9070000}"/>
    <cellStyle name="C¡iaⓒ " xfId="2043" xr:uid="{00000000-0005-0000-0000-0000FA070000}"/>
    <cellStyle name="C¡iaⓒª_ " xfId="2044" xr:uid="{00000000-0005-0000-0000-0000FB070000}"/>
    <cellStyle name="C¢®IA¡§¨£_¡§u¢®¨úAoAc¢®¨¡i_¨Ï©ª¢®i¡§¡þI¢®¨¡eE¨Ïo¡Ë¡Íe A¨Ï¡þA¡Ë¢¥A¢®AAI " xfId="2045" xr:uid="{00000000-0005-0000-0000-0000FC070000}"/>
    <cellStyle name="C￠ria " xfId="2046" xr:uid="{00000000-0005-0000-0000-0000FD070000}"/>
    <cellStyle name="C￠ria¨i " xfId="2047" xr:uid="{00000000-0005-0000-0000-0000FE070000}"/>
    <cellStyle name="C￠ria¨i¨ " xfId="2048" xr:uid="{00000000-0005-0000-0000-0000FF070000}"/>
    <cellStyle name="C￥a " xfId="2049" xr:uid="{00000000-0005-0000-0000-000000080000}"/>
    <cellStyle name="C￥aø_ " xfId="2050" xr:uid="{00000000-0005-0000-0000-000001080000}"/>
    <cellStyle name="Ç¥ÁØ_´ëÃÑ°ýÇ¥ " xfId="2051" xr:uid="{00000000-0005-0000-0000-000002080000}"/>
    <cellStyle name="C￥AØ_¿i≫eA¡ " xfId="2052" xr:uid="{00000000-0005-0000-0000-000003080000}"/>
    <cellStyle name="Ç¥ÁØ_»ç¾÷ºÎº° ÃÑ°è " xfId="2053" xr:uid="{00000000-0005-0000-0000-000004080000}"/>
    <cellStyle name="C￥AØ_≫c¾÷ºIº° AN°e " xfId="2054" xr:uid="{00000000-0005-0000-0000-000005080000}"/>
    <cellStyle name="Ç¥ÁØ_°­´ç (2)" xfId="2055" xr:uid="{00000000-0005-0000-0000-000006080000}"/>
    <cellStyle name="C￥AØ_0N-HANDLING " xfId="2056" xr:uid="{00000000-0005-0000-0000-000007080000}"/>
    <cellStyle name="Ç¥ÁØ_0N-HANDLING " xfId="2057" xr:uid="{00000000-0005-0000-0000-000008080000}"/>
    <cellStyle name="C￥AØ_¼±AoAc°i_1_³≫ºI°eE¹´e AßA¤A÷AI " xfId="2058" xr:uid="{00000000-0005-0000-0000-000009080000}"/>
    <cellStyle name="Ç¥ÁØ_¼±ÅõÀç°í_³»ºÎ°èÈ¹´ë ÃßÁ¤Â÷ÀÌ " xfId="2059" xr:uid="{00000000-0005-0000-0000-00000A080000}"/>
    <cellStyle name="C￥AØ_¼±AoAc°i_³≫ºI°eE¹´e AßA¤A÷AI " xfId="2060" xr:uid="{00000000-0005-0000-0000-00000B080000}"/>
    <cellStyle name="Ç¥ÁØ_¼ö¾ÐÁý°è_½ÃÇà´ëºñÇ¥ " xfId="2061" xr:uid="{00000000-0005-0000-0000-00000C080000}"/>
    <cellStyle name="C￥AØ_¼OAI¹I´o " xfId="2062" xr:uid="{00000000-0005-0000-0000-00000D080000}"/>
    <cellStyle name="Ç¥ÁØ_¼ÕÀÍÂ÷ (2)_³»ºÎ°èÈ¹´ë ÃßÁ¤Â÷ÀÌ " xfId="2063" xr:uid="{00000000-0005-0000-0000-00000E080000}"/>
    <cellStyle name="C￥AØ_¼OAIA÷ (2)_³≫ºI°eE¹´e AßA¤A÷AI " xfId="2064" xr:uid="{00000000-0005-0000-0000-00000F080000}"/>
    <cellStyle name="Ç¥ÁØ_¼ÕÀÍÂ÷ÀÌ ¿øÀÎ " xfId="2065" xr:uid="{00000000-0005-0000-0000-000010080000}"/>
    <cellStyle name="C￥AØ_¾c½A " xfId="2066" xr:uid="{00000000-0005-0000-0000-000011080000}"/>
    <cellStyle name="Ç¥ÁØ_¾ç½Ä " xfId="2067" xr:uid="{00000000-0005-0000-0000-000012080000}"/>
    <cellStyle name="C￥AØ_³≫ºI°eE¹´e AßA¤A÷AI " xfId="2068" xr:uid="{00000000-0005-0000-0000-000013080000}"/>
    <cellStyle name="Ç¥ÁØ_³Ã¿¬ 4 " xfId="2069" xr:uid="{00000000-0005-0000-0000-000014080000}"/>
    <cellStyle name="C￥AØ_5-1±¤°i " xfId="2070" xr:uid="{00000000-0005-0000-0000-000015080000}"/>
    <cellStyle name="Ç¥ÁØ_5-1±¤°í " xfId="2071" xr:uid="{00000000-0005-0000-0000-000016080000}"/>
    <cellStyle name="C￥AØ_5-1±¤°i _154KV부강-월산내역서" xfId="2072" xr:uid="{00000000-0005-0000-0000-000017080000}"/>
    <cellStyle name="Ç¥ÁØ_5-1±¤°í _154KV부강-월산내역서" xfId="2073" xr:uid="{00000000-0005-0000-0000-000018080000}"/>
    <cellStyle name="C￥AØ_5-1±¤°i _154KV부강-월산내역서_765 수원 진입로복구설계서4-4" xfId="2074" xr:uid="{00000000-0005-0000-0000-000019080000}"/>
    <cellStyle name="Ç¥ÁØ_5-1±¤°í _154KV부강-월산내역서_765 수원 진입로복구설계서4-4" xfId="2075" xr:uid="{00000000-0005-0000-0000-00001A080000}"/>
    <cellStyle name="C￥AØ_5-1±¤°i _154KV부강-월산내역서_765kV 신서산TL 철탑부지수해복구공사" xfId="2076" xr:uid="{00000000-0005-0000-0000-00001B080000}"/>
    <cellStyle name="Ç¥ÁØ_5-1±¤°í _154KV부강-월산내역서_765kV 신서산TL 철탑부지수해복구공사" xfId="2077" xr:uid="{00000000-0005-0000-0000-00001C080000}"/>
    <cellStyle name="C￥AØ_5-1±¤°i _154KV부강-월산내역서_개략공사내역서(수정)" xfId="2078" xr:uid="{00000000-0005-0000-0000-00001D080000}"/>
    <cellStyle name="Ç¥ÁØ_5-1±¤°í _154KV부강-월산내역서_개략공사내역서(수정)" xfId="2079" xr:uid="{00000000-0005-0000-0000-00001E080000}"/>
    <cellStyle name="C￥AØ_5-1±¤°i _154KV부강-월산내역서_깨기" xfId="2080" xr:uid="{00000000-0005-0000-0000-00001F080000}"/>
    <cellStyle name="Ç¥ÁØ_5-1±¤°í _154KV부강-월산내역서_깨기" xfId="2081" xr:uid="{00000000-0005-0000-0000-000020080000}"/>
    <cellStyle name="C￥AØ_5-1±¤°i _154KV부강-월산내역서_설계변경조서" xfId="2082" xr:uid="{00000000-0005-0000-0000-000021080000}"/>
    <cellStyle name="Ç¥ÁØ_5-1±¤°í _154KV부강-월산내역서_설계변경조서" xfId="2083" xr:uid="{00000000-0005-0000-0000-000022080000}"/>
    <cellStyle name="C￥AØ_5-1±¤°i _154KV부강-월산내역서_설계서 표지" xfId="2084" xr:uid="{00000000-0005-0000-0000-000023080000}"/>
    <cellStyle name="Ç¥ÁØ_5-1±¤°í _154KV부강-월산내역서_설계서 표지" xfId="2085" xr:uid="{00000000-0005-0000-0000-000024080000}"/>
    <cellStyle name="C￥AØ_5-1±¤°i _154KV부강-월산내역서_신규품셈" xfId="2086" xr:uid="{00000000-0005-0000-0000-000025080000}"/>
    <cellStyle name="Ç¥ÁØ_5-1±¤°í _154KV부강-월산내역서_신규품셈" xfId="2087" xr:uid="{00000000-0005-0000-0000-000026080000}"/>
    <cellStyle name="C￥AØ_5-1±¤°i _154KV부강-월산내역서_실시설계공사내역서" xfId="2088" xr:uid="{00000000-0005-0000-0000-000027080000}"/>
    <cellStyle name="Ç¥ÁØ_5-1±¤°í _154KV부강-월산내역서_실시설계공사내역서" xfId="2089" xr:uid="{00000000-0005-0000-0000-000028080000}"/>
    <cellStyle name="C￥AØ_5-1±¤°i _154KV부강-월산내역서_실시설계공사내역서(초안)" xfId="2090" xr:uid="{00000000-0005-0000-0000-000029080000}"/>
    <cellStyle name="Ç¥ÁØ_5-1±¤°í _154KV부강-월산내역서_실시설계공사내역서(초안)" xfId="2091" xr:uid="{00000000-0005-0000-0000-00002A080000}"/>
    <cellStyle name="C￥AØ_5-1±¤°i _154KV부강-월산내역서_실시설계공사내역서_깨기" xfId="2092" xr:uid="{00000000-0005-0000-0000-00002B080000}"/>
    <cellStyle name="Ç¥ÁØ_5-1±¤°í _Çö´ë¾÷¹«ÃßÁø " xfId="2093" xr:uid="{00000000-0005-0000-0000-00002C080000}"/>
    <cellStyle name="C￥AØ_5-1±¤°i _Co´e¾÷¹≪AßAø " xfId="2094" xr:uid="{00000000-0005-0000-0000-00002D080000}"/>
    <cellStyle name="Ç¥ÁØ_7°èÈ¹ " xfId="2095" xr:uid="{00000000-0005-0000-0000-00002E080000}"/>
    <cellStyle name="C￥AØ_A¸≫cºÐ_³≫ºI°eE¹´e AßA¤A÷AI " xfId="2096" xr:uid="{00000000-0005-0000-0000-00002F080000}"/>
    <cellStyle name="Ç¥ÁØ_ÃµÈ£3¿ù " xfId="2097" xr:uid="{00000000-0005-0000-0000-000030080000}"/>
    <cellStyle name="C￥AØ_AN°y(1.25) " xfId="2098" xr:uid="{00000000-0005-0000-0000-000031080000}"/>
    <cellStyle name="Ç¥ÁØ_ÃÑ°ýº¸°í-Ãß°¡Àý°¨ " xfId="2099" xr:uid="{00000000-0005-0000-0000-000032080000}"/>
    <cellStyle name="C￥AØ_AOAu¾c½A" xfId="2100" xr:uid="{00000000-0005-0000-0000-000033080000}"/>
    <cellStyle name="Ç¥ÁØ_Áý°èÇ¥(2¿ù) " xfId="2101" xr:uid="{00000000-0005-0000-0000-000034080000}"/>
    <cellStyle name="C￥AØ_Ay°eC￥(2¿u) _154KV부강-월산내역서" xfId="2102" xr:uid="{00000000-0005-0000-0000-000035080000}"/>
    <cellStyle name="Ç¥ÁØ_Áý°èÇ¥(2¿ù) _154KV부강-월산내역서" xfId="2103" xr:uid="{00000000-0005-0000-0000-000036080000}"/>
    <cellStyle name="C￥AØ_Ay°eC￥(2¿u) _154KV부강-월산내역서_765 수원 진입로복구설계서4-4" xfId="2104" xr:uid="{00000000-0005-0000-0000-000037080000}"/>
    <cellStyle name="Ç¥ÁØ_Áý°èÇ¥(2¿ù) _154KV부강-월산내역서_765 수원 진입로복구설계서4-4" xfId="2105" xr:uid="{00000000-0005-0000-0000-000038080000}"/>
    <cellStyle name="C￥AØ_Ay°eC￥(2¿u) _154KV부강-월산내역서_765kV 신서산TL 철탑부지수해복구공사" xfId="2106" xr:uid="{00000000-0005-0000-0000-000039080000}"/>
    <cellStyle name="Ç¥ÁØ_Áý°èÇ¥(2¿ù) _154KV부강-월산내역서_765kV 신서산TL 철탑부지수해복구공사" xfId="2107" xr:uid="{00000000-0005-0000-0000-00003A080000}"/>
    <cellStyle name="C￥AØ_Ay°eC￥(2¿u) _154KV부강-월산내역서_개략공사내역서(수정)" xfId="2108" xr:uid="{00000000-0005-0000-0000-00003B080000}"/>
    <cellStyle name="Ç¥ÁØ_Áý°èÇ¥(2¿ù) _154KV부강-월산내역서_개략공사내역서(수정)" xfId="2109" xr:uid="{00000000-0005-0000-0000-00003C080000}"/>
    <cellStyle name="C￥AØ_Ay°eC￥(2¿u) _154KV부강-월산내역서_깨기" xfId="2110" xr:uid="{00000000-0005-0000-0000-00003D080000}"/>
    <cellStyle name="Ç¥ÁØ_Áý°èÇ¥(2¿ù) _154KV부강-월산내역서_깨기" xfId="2111" xr:uid="{00000000-0005-0000-0000-00003E080000}"/>
    <cellStyle name="C￥AØ_Ay°eC￥(2¿u) _154KV부강-월산내역서_설계변경조서" xfId="2112" xr:uid="{00000000-0005-0000-0000-00003F080000}"/>
    <cellStyle name="Ç¥ÁØ_Áý°èÇ¥(2¿ù) _154KV부강-월산내역서_설계변경조서" xfId="2113" xr:uid="{00000000-0005-0000-0000-000040080000}"/>
    <cellStyle name="C￥AØ_Ay°eC￥(2¿u) _154KV부강-월산내역서_설계서 표지" xfId="2114" xr:uid="{00000000-0005-0000-0000-000041080000}"/>
    <cellStyle name="Ç¥ÁØ_Áý°èÇ¥(2¿ù) _154KV부강-월산내역서_설계서 표지" xfId="2115" xr:uid="{00000000-0005-0000-0000-000042080000}"/>
    <cellStyle name="C￥AØ_Ay°eC￥(2¿u) _154KV부강-월산내역서_신규품셈" xfId="2116" xr:uid="{00000000-0005-0000-0000-000043080000}"/>
    <cellStyle name="Ç¥ÁØ_Áý°èÇ¥(2¿ù) _154KV부강-월산내역서_신규품셈" xfId="2117" xr:uid="{00000000-0005-0000-0000-000044080000}"/>
    <cellStyle name="C￥AØ_Ay°eC￥(2¿u) _154KV부강-월산내역서_실시설계공사내역서" xfId="2118" xr:uid="{00000000-0005-0000-0000-000045080000}"/>
    <cellStyle name="Ç¥ÁØ_Áý°èÇ¥(2¿ù) _154KV부강-월산내역서_실시설계공사내역서" xfId="2119" xr:uid="{00000000-0005-0000-0000-000046080000}"/>
    <cellStyle name="C￥AØ_Ay°eC￥(2¿u) _154KV부강-월산내역서_실시설계공사내역서(초안)" xfId="2120" xr:uid="{00000000-0005-0000-0000-000047080000}"/>
    <cellStyle name="Ç¥ÁØ_Áý°èÇ¥(2¿ù) _154KV부강-월산내역서_실시설계공사내역서(초안)" xfId="2121" xr:uid="{00000000-0005-0000-0000-000048080000}"/>
    <cellStyle name="C￥AØ_Ay°eC￥(2¿u) _154KV부강-월산내역서_실시설계공사내역서_깨기" xfId="2122" xr:uid="{00000000-0005-0000-0000-000049080000}"/>
    <cellStyle name="Ç¥ÁØ_ÇöÈ²_¹®Á¦Á¡ " xfId="2123" xr:uid="{00000000-0005-0000-0000-00004A080000}"/>
    <cellStyle name="C￥AØ_PERSONAL" xfId="2124" xr:uid="{00000000-0005-0000-0000-00004B080000}"/>
    <cellStyle name="Ç¥ÁØ_Sheet1" xfId="2125" xr:uid="{00000000-0005-0000-0000-00004C080000}"/>
    <cellStyle name="C￥AØ_Sheet1_Ay°eC￥(2¿u) " xfId="2126" xr:uid="{00000000-0005-0000-0000-00004D080000}"/>
    <cellStyle name="Ç¥ÁØ_Sheet1_Áý°èÇ¥(2¿ù) " xfId="2127" xr:uid="{00000000-0005-0000-0000-00004E080000}"/>
    <cellStyle name="C￥AØ_SOON1 " xfId="2128" xr:uid="{00000000-0005-0000-0000-00004F080000}"/>
    <cellStyle name="Ç¥ÁØ_SOON1 " xfId="2129" xr:uid="{00000000-0005-0000-0000-000050080000}"/>
    <cellStyle name="Calc Currency (0)" xfId="2130" xr:uid="{00000000-0005-0000-0000-000051080000}"/>
    <cellStyle name="category" xfId="2131" xr:uid="{00000000-0005-0000-0000-000052080000}"/>
    <cellStyle name="CIAIÆU¸μAⓒ" xfId="2132" xr:uid="{00000000-0005-0000-0000-000053080000}"/>
    <cellStyle name="CODE" xfId="2133" xr:uid="{00000000-0005-0000-0000-000054080000}"/>
    <cellStyle name="Comma" xfId="2134" xr:uid="{00000000-0005-0000-0000-000055080000}"/>
    <cellStyle name="Comma [0]" xfId="2135" xr:uid="{00000000-0005-0000-0000-000056080000}"/>
    <cellStyle name="comma zerodec" xfId="2136" xr:uid="{00000000-0005-0000-0000-000057080000}"/>
    <cellStyle name="comma zerodec 2" xfId="2137" xr:uid="{00000000-0005-0000-0000-000058080000}"/>
    <cellStyle name="Comma_ SG&amp;A Bridge " xfId="2138" xr:uid="{00000000-0005-0000-0000-000059080000}"/>
    <cellStyle name="Comma0" xfId="2139" xr:uid="{00000000-0005-0000-0000-00005A080000}"/>
    <cellStyle name="Copied" xfId="2140" xr:uid="{00000000-0005-0000-0000-00005B080000}"/>
    <cellStyle name="Curren" xfId="2141" xr:uid="{00000000-0005-0000-0000-00005C080000}"/>
    <cellStyle name="Curren?_x0012_퐀_x0017_?" xfId="2142" xr:uid="{00000000-0005-0000-0000-00005D080000}"/>
    <cellStyle name="Currenby_Cash&amp;DSO Chart" xfId="2143" xr:uid="{00000000-0005-0000-0000-00005E080000}"/>
    <cellStyle name="Currency" xfId="2144" xr:uid="{00000000-0005-0000-0000-00005F080000}"/>
    <cellStyle name="Currency [0]" xfId="2145" xr:uid="{00000000-0005-0000-0000-000060080000}"/>
    <cellStyle name="currency-$_표지 " xfId="2146" xr:uid="{00000000-0005-0000-0000-000061080000}"/>
    <cellStyle name="Currency(￦)" xfId="2147" xr:uid="{00000000-0005-0000-0000-000062080000}"/>
    <cellStyle name="Currency_ SG&amp;A Bridge " xfId="2148" xr:uid="{00000000-0005-0000-0000-000063080000}"/>
    <cellStyle name="Currency0" xfId="2149" xr:uid="{00000000-0005-0000-0000-000064080000}"/>
    <cellStyle name="Currency1" xfId="2150" xr:uid="{00000000-0005-0000-0000-000065080000}"/>
    <cellStyle name="Date" xfId="2151" xr:uid="{00000000-0005-0000-0000-000066080000}"/>
    <cellStyle name="DD" xfId="2152" xr:uid="{00000000-0005-0000-0000-000067080000}"/>
    <cellStyle name="Dezimal [0]_Compiling Utility Macros" xfId="2153" xr:uid="{00000000-0005-0000-0000-000068080000}"/>
    <cellStyle name="Dezimal_Compiling Utility Macros" xfId="2154" xr:uid="{00000000-0005-0000-0000-000069080000}"/>
    <cellStyle name="Dollar (zero dec)" xfId="2155" xr:uid="{00000000-0005-0000-0000-00006A080000}"/>
    <cellStyle name="Dollar (zero dec) 2" xfId="2156" xr:uid="{00000000-0005-0000-0000-00006B080000}"/>
    <cellStyle name="EA" xfId="2157" xr:uid="{00000000-0005-0000-0000-00006C080000}"/>
    <cellStyle name="Entered" xfId="2158" xr:uid="{00000000-0005-0000-0000-00006D080000}"/>
    <cellStyle name="Euro" xfId="2159" xr:uid="{00000000-0005-0000-0000-00006E080000}"/>
    <cellStyle name="F2" xfId="2160" xr:uid="{00000000-0005-0000-0000-00006F080000}"/>
    <cellStyle name="F3" xfId="2161" xr:uid="{00000000-0005-0000-0000-000070080000}"/>
    <cellStyle name="F4" xfId="2162" xr:uid="{00000000-0005-0000-0000-000071080000}"/>
    <cellStyle name="F5" xfId="2163" xr:uid="{00000000-0005-0000-0000-000072080000}"/>
    <cellStyle name="F6" xfId="2164" xr:uid="{00000000-0005-0000-0000-000073080000}"/>
    <cellStyle name="F7" xfId="2165" xr:uid="{00000000-0005-0000-0000-000074080000}"/>
    <cellStyle name="F8" xfId="2166" xr:uid="{00000000-0005-0000-0000-000075080000}"/>
    <cellStyle name="Fixed" xfId="2167" xr:uid="{00000000-0005-0000-0000-000076080000}"/>
    <cellStyle name="Followed Hyperlink" xfId="2168" xr:uid="{00000000-0005-0000-0000-000077080000}"/>
    <cellStyle name="Grey" xfId="2169" xr:uid="{00000000-0005-0000-0000-000078080000}"/>
    <cellStyle name="H1" xfId="2170" xr:uid="{00000000-0005-0000-0000-000079080000}"/>
    <cellStyle name="H2" xfId="2171" xr:uid="{00000000-0005-0000-0000-00007A080000}"/>
    <cellStyle name="head" xfId="2172" xr:uid="{00000000-0005-0000-0000-00007B080000}"/>
    <cellStyle name="head 1" xfId="2173" xr:uid="{00000000-0005-0000-0000-00007C080000}"/>
    <cellStyle name="head 1-1" xfId="2174" xr:uid="{00000000-0005-0000-0000-00007D080000}"/>
    <cellStyle name="HEADER" xfId="2175" xr:uid="{00000000-0005-0000-0000-00007E080000}"/>
    <cellStyle name="Header1" xfId="2176" xr:uid="{00000000-0005-0000-0000-00007F080000}"/>
    <cellStyle name="Header2" xfId="2177" xr:uid="{00000000-0005-0000-0000-000080080000}"/>
    <cellStyle name="Heading 1" xfId="2178" xr:uid="{00000000-0005-0000-0000-000081080000}"/>
    <cellStyle name="Heading 2" xfId="2179" xr:uid="{00000000-0005-0000-0000-000082080000}"/>
    <cellStyle name="Heading1" xfId="2180" xr:uid="{00000000-0005-0000-0000-000083080000}"/>
    <cellStyle name="Heading2" xfId="2181" xr:uid="{00000000-0005-0000-0000-000084080000}"/>
    <cellStyle name="Helv8_PFD4.XLS" xfId="2182" xr:uid="{00000000-0005-0000-0000-000085080000}"/>
    <cellStyle name="Hyperlink" xfId="2183" xr:uid="{00000000-0005-0000-0000-000086080000}"/>
    <cellStyle name="Input [yellow]" xfId="2184" xr:uid="{00000000-0005-0000-0000-000087080000}"/>
    <cellStyle name="kg" xfId="2185" xr:uid="{00000000-0005-0000-0000-000088080000}"/>
    <cellStyle name="ℓ" xfId="2186" xr:uid="{00000000-0005-0000-0000-000089080000}"/>
    <cellStyle name="left" xfId="2187" xr:uid="{00000000-0005-0000-0000-00008A080000}"/>
    <cellStyle name="loo" xfId="2188" xr:uid="{00000000-0005-0000-0000-00008B080000}"/>
    <cellStyle name="M" xfId="2189" xr:uid="{00000000-0005-0000-0000-00008C080000}"/>
    <cellStyle name="M2" xfId="2190" xr:uid="{00000000-0005-0000-0000-00008D080000}"/>
    <cellStyle name="M3" xfId="2191" xr:uid="{00000000-0005-0000-0000-00008E080000}"/>
    <cellStyle name="Midtitle" xfId="2192" xr:uid="{00000000-0005-0000-0000-00008F080000}"/>
    <cellStyle name="Milliers [0]_399GC10" xfId="2193" xr:uid="{00000000-0005-0000-0000-000090080000}"/>
    <cellStyle name="Milliers_399GC10" xfId="2194" xr:uid="{00000000-0005-0000-0000-000091080000}"/>
    <cellStyle name="Model" xfId="2195" xr:uid="{00000000-0005-0000-0000-000092080000}"/>
    <cellStyle name="Mon?aire [0]_399GC10" xfId="2196" xr:uid="{00000000-0005-0000-0000-000093080000}"/>
    <cellStyle name="Mon?aire_399GC10" xfId="2197" xr:uid="{00000000-0005-0000-0000-000094080000}"/>
    <cellStyle name="Monétaire [0]_laroux" xfId="2198" xr:uid="{00000000-0005-0000-0000-000095080000}"/>
    <cellStyle name="Monétaire_laroux" xfId="2199" xr:uid="{00000000-0005-0000-0000-000096080000}"/>
    <cellStyle name="no dec" xfId="2200" xr:uid="{00000000-0005-0000-0000-000097080000}"/>
    <cellStyle name="normal" xfId="2201" xr:uid="{00000000-0005-0000-0000-000098080000}"/>
    <cellStyle name="Normal - Style1" xfId="2202" xr:uid="{00000000-0005-0000-0000-000099080000}"/>
    <cellStyle name="Normal - Style2" xfId="2203" xr:uid="{00000000-0005-0000-0000-00009A080000}"/>
    <cellStyle name="Normal - Style3" xfId="2204" xr:uid="{00000000-0005-0000-0000-00009B080000}"/>
    <cellStyle name="Normal - Style4" xfId="2205" xr:uid="{00000000-0005-0000-0000-00009C080000}"/>
    <cellStyle name="Normal - Style5" xfId="2206" xr:uid="{00000000-0005-0000-0000-00009D080000}"/>
    <cellStyle name="Normal - Style6" xfId="2207" xr:uid="{00000000-0005-0000-0000-00009E080000}"/>
    <cellStyle name="Normal - Style7" xfId="2208" xr:uid="{00000000-0005-0000-0000-00009F080000}"/>
    <cellStyle name="Normal - Style8" xfId="2209" xr:uid="{00000000-0005-0000-0000-0000A0080000}"/>
    <cellStyle name="Normal - 유형1" xfId="2210" xr:uid="{00000000-0005-0000-0000-0000A1080000}"/>
    <cellStyle name="Normal_ SG&amp;A Bridge " xfId="2211" xr:uid="{00000000-0005-0000-0000-0000A2080000}"/>
    <cellStyle name="Œ…?æ맖?e [0.00]_laroux" xfId="2212" xr:uid="{00000000-0005-0000-0000-0000A3080000}"/>
    <cellStyle name="Œ…?æ맖?e_laroux" xfId="2213" xr:uid="{00000000-0005-0000-0000-0000A4080000}"/>
    <cellStyle name="oft Excel]_x000d__x000a_Comment=The open=/f lines load custom functions into the Paste Function list._x000d__x000a_Maximized=1_x000d__x000a_AutoFormat=" xfId="2214" xr:uid="{00000000-0005-0000-0000-0000A5080000}"/>
    <cellStyle name="oft Excel]_x000d__x000a_Comment=The open=/f lines load custom functions into the Paste Function list._x000d__x000a_Maximized=3_x000d__x000a_AutoFormat=" xfId="2215" xr:uid="{00000000-0005-0000-0000-0000A6080000}"/>
    <cellStyle name="oh" xfId="2216" xr:uid="{00000000-0005-0000-0000-0000A7080000}"/>
    <cellStyle name="Percent" xfId="2217" xr:uid="{00000000-0005-0000-0000-0000A8080000}"/>
    <cellStyle name="Percent [2]" xfId="2218" xr:uid="{00000000-0005-0000-0000-0000A9080000}"/>
    <cellStyle name="Percent_01.수량집계" xfId="2219" xr:uid="{00000000-0005-0000-0000-0000AA080000}"/>
    <cellStyle name="RevList" xfId="2220" xr:uid="{00000000-0005-0000-0000-0000AB080000}"/>
    <cellStyle name="s]_x000d__x000a_run=c:\Hedgehog\app31.exe_x000d__x000a_spooler=yes_x000d__x000a_load=_x000d__x000a_run=_x000d__x000a_Beep=yes_x000d__x000a_NullPort=None_x000d__x000a_BorderWidth=3_x000d__x000a_CursorBlinkRate=530_x000d__x000a_D" xfId="2221" xr:uid="{00000000-0005-0000-0000-0000AC080000}"/>
    <cellStyle name="sh" xfId="2222" xr:uid="{00000000-0005-0000-0000-0000AD080000}"/>
    <cellStyle name="SHIM" xfId="2223" xr:uid="{00000000-0005-0000-0000-0000AE080000}"/>
    <cellStyle name="ssh" xfId="2224" xr:uid="{00000000-0005-0000-0000-0000AF080000}"/>
    <cellStyle name="STANDARD" xfId="2225" xr:uid="{00000000-0005-0000-0000-0000B0080000}"/>
    <cellStyle name="STD" xfId="2226" xr:uid="{00000000-0005-0000-0000-0000B1080000}"/>
    <cellStyle name="subhead" xfId="2227" xr:uid="{00000000-0005-0000-0000-0000B2080000}"/>
    <cellStyle name="Subtotal" xfId="2228" xr:uid="{00000000-0005-0000-0000-0000B3080000}"/>
    <cellStyle name="testtitle" xfId="2229" xr:uid="{00000000-0005-0000-0000-0000B4080000}"/>
    <cellStyle name="Title" xfId="2230" xr:uid="{00000000-0005-0000-0000-0000B5080000}"/>
    <cellStyle name="title [1]" xfId="2231" xr:uid="{00000000-0005-0000-0000-0000B6080000}"/>
    <cellStyle name="title [2]" xfId="2232" xr:uid="{00000000-0005-0000-0000-0000B7080000}"/>
    <cellStyle name="Title_기계경비" xfId="2233" xr:uid="{00000000-0005-0000-0000-0000B8080000}"/>
    <cellStyle name="TON" xfId="2234" xr:uid="{00000000-0005-0000-0000-0000B9080000}"/>
    <cellStyle name="Total" xfId="2235" xr:uid="{00000000-0005-0000-0000-0000BA080000}"/>
    <cellStyle name="UM" xfId="2236" xr:uid="{00000000-0005-0000-0000-0000BB080000}"/>
    <cellStyle name="W?rung [0]_Compiling Utility Macros" xfId="2237" xr:uid="{00000000-0005-0000-0000-0000BC080000}"/>
    <cellStyle name="W?rung_Compiling Utility Macros" xfId="2238" xr:uid="{00000000-0005-0000-0000-0000BD080000}"/>
    <cellStyle name="wrap" xfId="2239" xr:uid="{00000000-0005-0000-0000-0000BE080000}"/>
    <cellStyle name="μU¿¡ ¿A´A CIAIÆU¸μAⓒ" xfId="2240" xr:uid="{00000000-0005-0000-0000-0000BF080000}"/>
    <cellStyle name="|?ドE" xfId="2241" xr:uid="{00000000-0005-0000-0000-0000C0080000}"/>
    <cellStyle name="가운데" xfId="2242" xr:uid="{00000000-0005-0000-0000-0000C1080000}"/>
    <cellStyle name="강조색1" xfId="2243" builtinId="29" customBuiltin="1"/>
    <cellStyle name="강조색1 10" xfId="2244" xr:uid="{00000000-0005-0000-0000-0000C3080000}"/>
    <cellStyle name="강조색1 11" xfId="2245" xr:uid="{00000000-0005-0000-0000-0000C4080000}"/>
    <cellStyle name="강조색1 12" xfId="2246" xr:uid="{00000000-0005-0000-0000-0000C5080000}"/>
    <cellStyle name="강조색1 2" xfId="2247" xr:uid="{00000000-0005-0000-0000-0000C6080000}"/>
    <cellStyle name="강조색1 3" xfId="2248" xr:uid="{00000000-0005-0000-0000-0000C7080000}"/>
    <cellStyle name="강조색1 4" xfId="2249" xr:uid="{00000000-0005-0000-0000-0000C8080000}"/>
    <cellStyle name="강조색1 5" xfId="2250" xr:uid="{00000000-0005-0000-0000-0000C9080000}"/>
    <cellStyle name="강조색1 6" xfId="2251" xr:uid="{00000000-0005-0000-0000-0000CA080000}"/>
    <cellStyle name="강조색1 7" xfId="2252" xr:uid="{00000000-0005-0000-0000-0000CB080000}"/>
    <cellStyle name="강조색1 8" xfId="2253" xr:uid="{00000000-0005-0000-0000-0000CC080000}"/>
    <cellStyle name="강조색1 9" xfId="2254" xr:uid="{00000000-0005-0000-0000-0000CD080000}"/>
    <cellStyle name="강조색2" xfId="2255" builtinId="33" customBuiltin="1"/>
    <cellStyle name="강조색2 10" xfId="2256" xr:uid="{00000000-0005-0000-0000-0000CF080000}"/>
    <cellStyle name="강조색2 11" xfId="2257" xr:uid="{00000000-0005-0000-0000-0000D0080000}"/>
    <cellStyle name="강조색2 12" xfId="2258" xr:uid="{00000000-0005-0000-0000-0000D1080000}"/>
    <cellStyle name="강조색2 2" xfId="2259" xr:uid="{00000000-0005-0000-0000-0000D2080000}"/>
    <cellStyle name="강조색2 3" xfId="2260" xr:uid="{00000000-0005-0000-0000-0000D3080000}"/>
    <cellStyle name="강조색2 4" xfId="2261" xr:uid="{00000000-0005-0000-0000-0000D4080000}"/>
    <cellStyle name="강조색2 5" xfId="2262" xr:uid="{00000000-0005-0000-0000-0000D5080000}"/>
    <cellStyle name="강조색2 6" xfId="2263" xr:uid="{00000000-0005-0000-0000-0000D6080000}"/>
    <cellStyle name="강조색2 7" xfId="2264" xr:uid="{00000000-0005-0000-0000-0000D7080000}"/>
    <cellStyle name="강조색2 8" xfId="2265" xr:uid="{00000000-0005-0000-0000-0000D8080000}"/>
    <cellStyle name="강조색2 9" xfId="2266" xr:uid="{00000000-0005-0000-0000-0000D9080000}"/>
    <cellStyle name="강조색3" xfId="2267" builtinId="37" customBuiltin="1"/>
    <cellStyle name="강조색3 10" xfId="2268" xr:uid="{00000000-0005-0000-0000-0000DB080000}"/>
    <cellStyle name="강조색3 11" xfId="2269" xr:uid="{00000000-0005-0000-0000-0000DC080000}"/>
    <cellStyle name="강조색3 12" xfId="2270" xr:uid="{00000000-0005-0000-0000-0000DD080000}"/>
    <cellStyle name="강조색3 2" xfId="2271" xr:uid="{00000000-0005-0000-0000-0000DE080000}"/>
    <cellStyle name="강조색3 3" xfId="2272" xr:uid="{00000000-0005-0000-0000-0000DF080000}"/>
    <cellStyle name="강조색3 4" xfId="2273" xr:uid="{00000000-0005-0000-0000-0000E0080000}"/>
    <cellStyle name="강조색3 5" xfId="2274" xr:uid="{00000000-0005-0000-0000-0000E1080000}"/>
    <cellStyle name="강조색3 6" xfId="2275" xr:uid="{00000000-0005-0000-0000-0000E2080000}"/>
    <cellStyle name="강조색3 7" xfId="2276" xr:uid="{00000000-0005-0000-0000-0000E3080000}"/>
    <cellStyle name="강조색3 8" xfId="2277" xr:uid="{00000000-0005-0000-0000-0000E4080000}"/>
    <cellStyle name="강조색3 9" xfId="2278" xr:uid="{00000000-0005-0000-0000-0000E5080000}"/>
    <cellStyle name="강조색4" xfId="2279" builtinId="41" customBuiltin="1"/>
    <cellStyle name="강조색4 10" xfId="2280" xr:uid="{00000000-0005-0000-0000-0000E7080000}"/>
    <cellStyle name="강조색4 11" xfId="2281" xr:uid="{00000000-0005-0000-0000-0000E8080000}"/>
    <cellStyle name="강조색4 12" xfId="2282" xr:uid="{00000000-0005-0000-0000-0000E9080000}"/>
    <cellStyle name="강조색4 2" xfId="2283" xr:uid="{00000000-0005-0000-0000-0000EA080000}"/>
    <cellStyle name="강조색4 3" xfId="2284" xr:uid="{00000000-0005-0000-0000-0000EB080000}"/>
    <cellStyle name="강조색4 4" xfId="2285" xr:uid="{00000000-0005-0000-0000-0000EC080000}"/>
    <cellStyle name="강조색4 5" xfId="2286" xr:uid="{00000000-0005-0000-0000-0000ED080000}"/>
    <cellStyle name="강조색4 6" xfId="2287" xr:uid="{00000000-0005-0000-0000-0000EE080000}"/>
    <cellStyle name="강조색4 7" xfId="2288" xr:uid="{00000000-0005-0000-0000-0000EF080000}"/>
    <cellStyle name="강조색4 8" xfId="2289" xr:uid="{00000000-0005-0000-0000-0000F0080000}"/>
    <cellStyle name="강조색4 9" xfId="2290" xr:uid="{00000000-0005-0000-0000-0000F1080000}"/>
    <cellStyle name="강조색5" xfId="2291" builtinId="45" customBuiltin="1"/>
    <cellStyle name="강조색5 10" xfId="2292" xr:uid="{00000000-0005-0000-0000-0000F3080000}"/>
    <cellStyle name="강조색5 11" xfId="2293" xr:uid="{00000000-0005-0000-0000-0000F4080000}"/>
    <cellStyle name="강조색5 12" xfId="2294" xr:uid="{00000000-0005-0000-0000-0000F5080000}"/>
    <cellStyle name="강조색5 2" xfId="2295" xr:uid="{00000000-0005-0000-0000-0000F6080000}"/>
    <cellStyle name="강조색5 3" xfId="2296" xr:uid="{00000000-0005-0000-0000-0000F7080000}"/>
    <cellStyle name="강조색5 4" xfId="2297" xr:uid="{00000000-0005-0000-0000-0000F8080000}"/>
    <cellStyle name="강조색5 5" xfId="2298" xr:uid="{00000000-0005-0000-0000-0000F9080000}"/>
    <cellStyle name="강조색5 6" xfId="2299" xr:uid="{00000000-0005-0000-0000-0000FA080000}"/>
    <cellStyle name="강조색5 7" xfId="2300" xr:uid="{00000000-0005-0000-0000-0000FB080000}"/>
    <cellStyle name="강조색5 8" xfId="2301" xr:uid="{00000000-0005-0000-0000-0000FC080000}"/>
    <cellStyle name="강조색5 9" xfId="2302" xr:uid="{00000000-0005-0000-0000-0000FD080000}"/>
    <cellStyle name="강조색6" xfId="2303" builtinId="49" customBuiltin="1"/>
    <cellStyle name="강조색6 10" xfId="2304" xr:uid="{00000000-0005-0000-0000-0000FF080000}"/>
    <cellStyle name="강조색6 11" xfId="2305" xr:uid="{00000000-0005-0000-0000-000000090000}"/>
    <cellStyle name="강조색6 12" xfId="2306" xr:uid="{00000000-0005-0000-0000-000001090000}"/>
    <cellStyle name="강조색6 2" xfId="2307" xr:uid="{00000000-0005-0000-0000-000002090000}"/>
    <cellStyle name="강조색6 3" xfId="2308" xr:uid="{00000000-0005-0000-0000-000003090000}"/>
    <cellStyle name="강조색6 4" xfId="2309" xr:uid="{00000000-0005-0000-0000-000004090000}"/>
    <cellStyle name="강조색6 5" xfId="2310" xr:uid="{00000000-0005-0000-0000-000005090000}"/>
    <cellStyle name="강조색6 6" xfId="2311" xr:uid="{00000000-0005-0000-0000-000006090000}"/>
    <cellStyle name="강조색6 7" xfId="2312" xr:uid="{00000000-0005-0000-0000-000007090000}"/>
    <cellStyle name="강조색6 8" xfId="2313" xr:uid="{00000000-0005-0000-0000-000008090000}"/>
    <cellStyle name="강조색6 9" xfId="2314" xr:uid="{00000000-0005-0000-0000-000009090000}"/>
    <cellStyle name="개" xfId="2315" xr:uid="{00000000-0005-0000-0000-00000A090000}"/>
    <cellStyle name="개_02-포장-1" xfId="2316" xr:uid="{00000000-0005-0000-0000-00000B090000}"/>
    <cellStyle name="개소" xfId="2317" xr:uid="{00000000-0005-0000-0000-00000C090000}"/>
    <cellStyle name="경고문" xfId="2318" builtinId="11" customBuiltin="1"/>
    <cellStyle name="경고문 10" xfId="2319" xr:uid="{00000000-0005-0000-0000-00000E090000}"/>
    <cellStyle name="경고문 11" xfId="2320" xr:uid="{00000000-0005-0000-0000-00000F090000}"/>
    <cellStyle name="경고문 12" xfId="2321" xr:uid="{00000000-0005-0000-0000-000010090000}"/>
    <cellStyle name="경고문 2" xfId="2322" xr:uid="{00000000-0005-0000-0000-000011090000}"/>
    <cellStyle name="경고문 3" xfId="2323" xr:uid="{00000000-0005-0000-0000-000012090000}"/>
    <cellStyle name="경고문 4" xfId="2324" xr:uid="{00000000-0005-0000-0000-000013090000}"/>
    <cellStyle name="경고문 5" xfId="2325" xr:uid="{00000000-0005-0000-0000-000014090000}"/>
    <cellStyle name="경고문 6" xfId="2326" xr:uid="{00000000-0005-0000-0000-000015090000}"/>
    <cellStyle name="경고문 7" xfId="2327" xr:uid="{00000000-0005-0000-0000-000016090000}"/>
    <cellStyle name="경고문 8" xfId="2328" xr:uid="{00000000-0005-0000-0000-000017090000}"/>
    <cellStyle name="경고문 9" xfId="2329" xr:uid="{00000000-0005-0000-0000-000018090000}"/>
    <cellStyle name="계산" xfId="2330" builtinId="22" customBuiltin="1"/>
    <cellStyle name="계산 10" xfId="2331" xr:uid="{00000000-0005-0000-0000-00001A090000}"/>
    <cellStyle name="계산 11" xfId="2332" xr:uid="{00000000-0005-0000-0000-00001B090000}"/>
    <cellStyle name="계산 12" xfId="2333" xr:uid="{00000000-0005-0000-0000-00001C090000}"/>
    <cellStyle name="계산 2" xfId="2334" xr:uid="{00000000-0005-0000-0000-00001D090000}"/>
    <cellStyle name="계산 3" xfId="2335" xr:uid="{00000000-0005-0000-0000-00001E090000}"/>
    <cellStyle name="계산 4" xfId="2336" xr:uid="{00000000-0005-0000-0000-00001F090000}"/>
    <cellStyle name="계산 5" xfId="2337" xr:uid="{00000000-0005-0000-0000-000020090000}"/>
    <cellStyle name="계산 6" xfId="2338" xr:uid="{00000000-0005-0000-0000-000021090000}"/>
    <cellStyle name="계산 7" xfId="2339" xr:uid="{00000000-0005-0000-0000-000022090000}"/>
    <cellStyle name="계산 8" xfId="2340" xr:uid="{00000000-0005-0000-0000-000023090000}"/>
    <cellStyle name="계산 9" xfId="2341" xr:uid="{00000000-0005-0000-0000-000024090000}"/>
    <cellStyle name="고정소숫점" xfId="2342" xr:uid="{00000000-0005-0000-0000-000025090000}"/>
    <cellStyle name="고정출력1" xfId="2343" xr:uid="{00000000-0005-0000-0000-000026090000}"/>
    <cellStyle name="고정출력2" xfId="2344" xr:uid="{00000000-0005-0000-0000-000027090000}"/>
    <cellStyle name="공백" xfId="2345" xr:uid="{00000000-0005-0000-0000-000028090000}"/>
    <cellStyle name="공백1" xfId="2346" xr:uid="{00000000-0005-0000-0000-000029090000}"/>
    <cellStyle name="공백1수" xfId="2347" xr:uid="{00000000-0005-0000-0000-00002A090000}"/>
    <cellStyle name="공사원가계산서(조경)" xfId="2348" xr:uid="{00000000-0005-0000-0000-00002B090000}"/>
    <cellStyle name="공종" xfId="2349" xr:uid="{00000000-0005-0000-0000-00002C090000}"/>
    <cellStyle name="공종-규격" xfId="2350" xr:uid="{00000000-0005-0000-0000-00002D090000}"/>
    <cellStyle name="국종합건설" xfId="2351" xr:uid="{00000000-0005-0000-0000-00002E090000}"/>
    <cellStyle name="그림" xfId="2352" xr:uid="{00000000-0005-0000-0000-00002F090000}"/>
    <cellStyle name="금액" xfId="2353" xr:uid="{00000000-0005-0000-0000-000030090000}"/>
    <cellStyle name="기계" xfId="2354" xr:uid="{00000000-0005-0000-0000-000031090000}"/>
    <cellStyle name="나쁨" xfId="2355" builtinId="27" customBuiltin="1"/>
    <cellStyle name="나쁨 10" xfId="2356" xr:uid="{00000000-0005-0000-0000-000033090000}"/>
    <cellStyle name="나쁨 11" xfId="2357" xr:uid="{00000000-0005-0000-0000-000034090000}"/>
    <cellStyle name="나쁨 12" xfId="2358" xr:uid="{00000000-0005-0000-0000-000035090000}"/>
    <cellStyle name="나쁨 2" xfId="2359" xr:uid="{00000000-0005-0000-0000-000036090000}"/>
    <cellStyle name="나쁨 3" xfId="2360" xr:uid="{00000000-0005-0000-0000-000037090000}"/>
    <cellStyle name="나쁨 4" xfId="2361" xr:uid="{00000000-0005-0000-0000-000038090000}"/>
    <cellStyle name="나쁨 5" xfId="2362" xr:uid="{00000000-0005-0000-0000-000039090000}"/>
    <cellStyle name="나쁨 6" xfId="2363" xr:uid="{00000000-0005-0000-0000-00003A090000}"/>
    <cellStyle name="나쁨 7" xfId="2364" xr:uid="{00000000-0005-0000-0000-00003B090000}"/>
    <cellStyle name="나쁨 8" xfId="2365" xr:uid="{00000000-0005-0000-0000-00003C090000}"/>
    <cellStyle name="나쁨 9" xfId="2366" xr:uid="{00000000-0005-0000-0000-00003D090000}"/>
    <cellStyle name="날짜" xfId="2367" xr:uid="{00000000-0005-0000-0000-00003E090000}"/>
    <cellStyle name="내역" xfId="2368" xr:uid="{00000000-0005-0000-0000-00003F090000}"/>
    <cellStyle name="내역서" xfId="2369" xr:uid="{00000000-0005-0000-0000-000040090000}"/>
    <cellStyle name="네모제목" xfId="2370" xr:uid="{00000000-0005-0000-0000-000041090000}"/>
    <cellStyle name="단위" xfId="2371" xr:uid="{00000000-0005-0000-0000-000042090000}"/>
    <cellStyle name="단위-&quot;*&quot;" xfId="2372" xr:uid="{00000000-0005-0000-0000-000043090000}"/>
    <cellStyle name="단위-%" xfId="2373" xr:uid="{00000000-0005-0000-0000-000044090000}"/>
    <cellStyle name="단위-kg" xfId="2374" xr:uid="{00000000-0005-0000-0000-000045090000}"/>
    <cellStyle name="단위-m" xfId="2375" xr:uid="{00000000-0005-0000-0000-000046090000}"/>
    <cellStyle name="단위-㎡" xfId="2376" xr:uid="{00000000-0005-0000-0000-000047090000}"/>
    <cellStyle name="단위-㎡/개소" xfId="2377" xr:uid="{00000000-0005-0000-0000-000048090000}"/>
    <cellStyle name="단위-㎡_관보호공" xfId="2378" xr:uid="{00000000-0005-0000-0000-000049090000}"/>
    <cellStyle name="단위-㎥" xfId="2379" xr:uid="{00000000-0005-0000-0000-00004A090000}"/>
    <cellStyle name="단위-t=" xfId="2380" xr:uid="{00000000-0005-0000-0000-00004B090000}"/>
    <cellStyle name="달러" xfId="2381" xr:uid="{00000000-0005-0000-0000-00004C090000}"/>
    <cellStyle name="대공종" xfId="2382" xr:uid="{00000000-0005-0000-0000-00004D090000}"/>
    <cellStyle name="뒤에 오는 하이퍼링크" xfId="2383" xr:uid="{00000000-0005-0000-0000-00004E090000}"/>
    <cellStyle name="똿떓죶Ø괻 [0.00]_PRODUCT DETAIL Q1" xfId="2384" xr:uid="{00000000-0005-0000-0000-00004F090000}"/>
    <cellStyle name="똿떓죶Ø괻_PRODUCT DETAIL Q1" xfId="2385" xr:uid="{00000000-0005-0000-0000-000050090000}"/>
    <cellStyle name="똿뗦먛귟 [0.00]_laroux" xfId="2386" xr:uid="{00000000-0005-0000-0000-000051090000}"/>
    <cellStyle name="똿뗦먛귟_laroux" xfId="2387" xr:uid="{00000000-0005-0000-0000-000052090000}"/>
    <cellStyle name="마이너스키" xfId="2388" xr:uid="{00000000-0005-0000-0000-000053090000}"/>
    <cellStyle name="매" xfId="2389" xr:uid="{00000000-0005-0000-0000-000054090000}"/>
    <cellStyle name="매_02-포장-1" xfId="2390" xr:uid="{00000000-0005-0000-0000-000055090000}"/>
    <cellStyle name="메모" xfId="2391" builtinId="10" customBuiltin="1"/>
    <cellStyle name="메모 10" xfId="2392" xr:uid="{00000000-0005-0000-0000-000057090000}"/>
    <cellStyle name="메모 11" xfId="2393" xr:uid="{00000000-0005-0000-0000-000058090000}"/>
    <cellStyle name="메모 12" xfId="2394" xr:uid="{00000000-0005-0000-0000-000059090000}"/>
    <cellStyle name="메모 2" xfId="2395" xr:uid="{00000000-0005-0000-0000-00005A090000}"/>
    <cellStyle name="메모 3" xfId="2396" xr:uid="{00000000-0005-0000-0000-00005B090000}"/>
    <cellStyle name="메모 4" xfId="2397" xr:uid="{00000000-0005-0000-0000-00005C090000}"/>
    <cellStyle name="메모 5" xfId="2398" xr:uid="{00000000-0005-0000-0000-00005D090000}"/>
    <cellStyle name="메모 6" xfId="2399" xr:uid="{00000000-0005-0000-0000-00005E090000}"/>
    <cellStyle name="메모 7" xfId="2400" xr:uid="{00000000-0005-0000-0000-00005F090000}"/>
    <cellStyle name="메모 8" xfId="2401" xr:uid="{00000000-0005-0000-0000-000060090000}"/>
    <cellStyle name="메모 9" xfId="2402" xr:uid="{00000000-0005-0000-0000-000061090000}"/>
    <cellStyle name="묮뎋 [0.00]_PRODUCT DETAIL Q1" xfId="2403" xr:uid="{00000000-0005-0000-0000-000062090000}"/>
    <cellStyle name="묮뎋_PRODUCT DETAIL Q1" xfId="2404" xr:uid="{00000000-0005-0000-0000-000063090000}"/>
    <cellStyle name="믅됞 [0.00]_laroux" xfId="2405" xr:uid="{00000000-0005-0000-0000-000064090000}"/>
    <cellStyle name="믅됞_laroux" xfId="2406" xr:uid="{00000000-0005-0000-0000-000065090000}"/>
    <cellStyle name="배분" xfId="2407" xr:uid="{00000000-0005-0000-0000-000066090000}"/>
    <cellStyle name="배분후여백" xfId="2408" xr:uid="{00000000-0005-0000-0000-000067090000}"/>
    <cellStyle name="백" xfId="2409" xr:uid="{00000000-0005-0000-0000-000068090000}"/>
    <cellStyle name="백 " xfId="2410" xr:uid="{00000000-0005-0000-0000-000069090000}"/>
    <cellStyle name="백_22bl3lot수량산출" xfId="2411" xr:uid="{00000000-0005-0000-0000-00006A090000}"/>
    <cellStyle name="백_22수량산출서(총괄)" xfId="2412" xr:uid="{00000000-0005-0000-0000-00006B090000}"/>
    <cellStyle name="백_예산서-2" xfId="2413" xr:uid="{00000000-0005-0000-0000-00006C090000}"/>
    <cellStyle name="백분율 [△1]" xfId="2414" xr:uid="{00000000-0005-0000-0000-00006D090000}"/>
    <cellStyle name="백분율 [△2]" xfId="2415" xr:uid="{00000000-0005-0000-0000-00006E090000}"/>
    <cellStyle name="백분율 [0]" xfId="2416" xr:uid="{00000000-0005-0000-0000-00006F090000}"/>
    <cellStyle name="백분율 [2]" xfId="2417" xr:uid="{00000000-0005-0000-0000-000070090000}"/>
    <cellStyle name="백분율 2" xfId="2418" xr:uid="{00000000-0005-0000-0000-000071090000}"/>
    <cellStyle name="백분율 3" xfId="2419" xr:uid="{00000000-0005-0000-0000-000072090000}"/>
    <cellStyle name="백분율［△1］" xfId="2420" xr:uid="{00000000-0005-0000-0000-000073090000}"/>
    <cellStyle name="백분율［△2］" xfId="2421" xr:uid="{00000000-0005-0000-0000-000074090000}"/>
    <cellStyle name="벭?_Q1 PRODUCT ACTUAL_4월 (2)" xfId="2422" xr:uid="{00000000-0005-0000-0000-000075090000}"/>
    <cellStyle name="병합 후 가운데 맞춤" xfId="2423" xr:uid="{00000000-0005-0000-0000-000076090000}"/>
    <cellStyle name="병합 후 가운데 정열" xfId="2424" xr:uid="{00000000-0005-0000-0000-000077090000}"/>
    <cellStyle name="보통" xfId="2425" builtinId="28" customBuiltin="1"/>
    <cellStyle name="보통 10" xfId="2426" xr:uid="{00000000-0005-0000-0000-000079090000}"/>
    <cellStyle name="보통 11" xfId="2427" xr:uid="{00000000-0005-0000-0000-00007A090000}"/>
    <cellStyle name="보통 12" xfId="2428" xr:uid="{00000000-0005-0000-0000-00007B090000}"/>
    <cellStyle name="보통 2" xfId="2429" xr:uid="{00000000-0005-0000-0000-00007C090000}"/>
    <cellStyle name="보통 3" xfId="2430" xr:uid="{00000000-0005-0000-0000-00007D090000}"/>
    <cellStyle name="보통 4" xfId="2431" xr:uid="{00000000-0005-0000-0000-00007E090000}"/>
    <cellStyle name="보통 5" xfId="2432" xr:uid="{00000000-0005-0000-0000-00007F090000}"/>
    <cellStyle name="보통 6" xfId="2433" xr:uid="{00000000-0005-0000-0000-000080090000}"/>
    <cellStyle name="보통 7" xfId="2434" xr:uid="{00000000-0005-0000-0000-000081090000}"/>
    <cellStyle name="보통 8" xfId="2435" xr:uid="{00000000-0005-0000-0000-000082090000}"/>
    <cellStyle name="보통 9" xfId="2436" xr:uid="{00000000-0005-0000-0000-000083090000}"/>
    <cellStyle name="凤준" xfId="2437" xr:uid="{00000000-0005-0000-0000-000084090000}"/>
    <cellStyle name="분수" xfId="2438" xr:uid="{00000000-0005-0000-0000-000085090000}"/>
    <cellStyle name="뷭?" xfId="2439" xr:uid="{00000000-0005-0000-0000-000086090000}"/>
    <cellStyle name="빨간색" xfId="2440" xr:uid="{00000000-0005-0000-0000-000087090000}"/>
    <cellStyle name="빨강" xfId="2441" xr:uid="{00000000-0005-0000-0000-000088090000}"/>
    <cellStyle name="산출식" xfId="2442" xr:uid="{00000000-0005-0000-0000-000089090000}"/>
    <cellStyle name="선택영역" xfId="2443" xr:uid="{00000000-0005-0000-0000-00008A090000}"/>
    <cellStyle name="선택영역 가운데" xfId="2444" xr:uid="{00000000-0005-0000-0000-00008B090000}"/>
    <cellStyle name="선택영역의 가운데" xfId="2445" xr:uid="{00000000-0005-0000-0000-00008C090000}"/>
    <cellStyle name="선택영역의 가운데로" xfId="2446" xr:uid="{00000000-0005-0000-0000-00008D090000}"/>
    <cellStyle name="선택영영" xfId="2447" xr:uid="{00000000-0005-0000-0000-00008E090000}"/>
    <cellStyle name="설계변경_타공종이기(유동form)" xfId="2448" xr:uid="{00000000-0005-0000-0000-00008F090000}"/>
    <cellStyle name="설계서" xfId="2449" xr:uid="{00000000-0005-0000-0000-000090090000}"/>
    <cellStyle name="설명 텍스트" xfId="2450" builtinId="53" customBuiltin="1"/>
    <cellStyle name="설명 텍스트 10" xfId="2451" xr:uid="{00000000-0005-0000-0000-000092090000}"/>
    <cellStyle name="설명 텍스트 11" xfId="2452" xr:uid="{00000000-0005-0000-0000-000093090000}"/>
    <cellStyle name="설명 텍스트 12" xfId="2453" xr:uid="{00000000-0005-0000-0000-000094090000}"/>
    <cellStyle name="설명 텍스트 2" xfId="2454" xr:uid="{00000000-0005-0000-0000-000095090000}"/>
    <cellStyle name="설명 텍스트 3" xfId="2455" xr:uid="{00000000-0005-0000-0000-000096090000}"/>
    <cellStyle name="설명 텍스트 4" xfId="2456" xr:uid="{00000000-0005-0000-0000-000097090000}"/>
    <cellStyle name="설명 텍스트 5" xfId="2457" xr:uid="{00000000-0005-0000-0000-000098090000}"/>
    <cellStyle name="설명 텍스트 6" xfId="2458" xr:uid="{00000000-0005-0000-0000-000099090000}"/>
    <cellStyle name="설명 텍스트 7" xfId="2459" xr:uid="{00000000-0005-0000-0000-00009A090000}"/>
    <cellStyle name="설명 텍스트 8" xfId="2460" xr:uid="{00000000-0005-0000-0000-00009B090000}"/>
    <cellStyle name="설명 텍스트 9" xfId="2461" xr:uid="{00000000-0005-0000-0000-00009C090000}"/>
    <cellStyle name="셀 확인" xfId="2462" builtinId="23" customBuiltin="1"/>
    <cellStyle name="셀 확인 10" xfId="2463" xr:uid="{00000000-0005-0000-0000-00009E090000}"/>
    <cellStyle name="셀 확인 11" xfId="2464" xr:uid="{00000000-0005-0000-0000-00009F090000}"/>
    <cellStyle name="셀 확인 12" xfId="2465" xr:uid="{00000000-0005-0000-0000-0000A0090000}"/>
    <cellStyle name="셀 확인 2" xfId="2466" xr:uid="{00000000-0005-0000-0000-0000A1090000}"/>
    <cellStyle name="셀 확인 3" xfId="2467" xr:uid="{00000000-0005-0000-0000-0000A2090000}"/>
    <cellStyle name="셀 확인 4" xfId="2468" xr:uid="{00000000-0005-0000-0000-0000A3090000}"/>
    <cellStyle name="셀 확인 5" xfId="2469" xr:uid="{00000000-0005-0000-0000-0000A4090000}"/>
    <cellStyle name="셀 확인 6" xfId="2470" xr:uid="{00000000-0005-0000-0000-0000A5090000}"/>
    <cellStyle name="셀 확인 7" xfId="2471" xr:uid="{00000000-0005-0000-0000-0000A6090000}"/>
    <cellStyle name="셀 확인 8" xfId="2472" xr:uid="{00000000-0005-0000-0000-0000A7090000}"/>
    <cellStyle name="셀 확인 9" xfId="2473" xr:uid="{00000000-0005-0000-0000-0000A8090000}"/>
    <cellStyle name="소공종" xfId="2474" xr:uid="{00000000-0005-0000-0000-0000A9090000}"/>
    <cellStyle name="소수" xfId="2475" xr:uid="{00000000-0005-0000-0000-0000AA090000}"/>
    <cellStyle name="소수3" xfId="2476" xr:uid="{00000000-0005-0000-0000-0000AB090000}"/>
    <cellStyle name="소수4" xfId="2477" xr:uid="{00000000-0005-0000-0000-0000AC090000}"/>
    <cellStyle name="소수점" xfId="2478" xr:uid="{00000000-0005-0000-0000-0000AD090000}"/>
    <cellStyle name="수량" xfId="2479" xr:uid="{00000000-0005-0000-0000-0000AE090000}"/>
    <cellStyle name="수량1" xfId="2480" xr:uid="{00000000-0005-0000-0000-0000AF090000}"/>
    <cellStyle name="수량산출" xfId="2481" xr:uid="{00000000-0005-0000-0000-0000B0090000}"/>
    <cellStyle name="수목명" xfId="2482" xr:uid="{00000000-0005-0000-0000-0000B1090000}"/>
    <cellStyle name="숫자" xfId="2483" xr:uid="{00000000-0005-0000-0000-0000B2090000}"/>
    <cellStyle name="숫자(R)" xfId="2484" xr:uid="{00000000-0005-0000-0000-0000B3090000}"/>
    <cellStyle name="숫자1" xfId="2485" xr:uid="{00000000-0005-0000-0000-0000B4090000}"/>
    <cellStyle name="숫자3" xfId="2486" xr:uid="{00000000-0005-0000-0000-0000B5090000}"/>
    <cellStyle name="쉼표 [0]" xfId="2487" builtinId="6"/>
    <cellStyle name="쉼표 [0] 2" xfId="2488" xr:uid="{00000000-0005-0000-0000-0000B7090000}"/>
    <cellStyle name="쉼표 [0] 2 2" xfId="2489" xr:uid="{00000000-0005-0000-0000-0000B8090000}"/>
    <cellStyle name="쉼표 [0] 2 2 2" xfId="2490" xr:uid="{00000000-0005-0000-0000-0000B9090000}"/>
    <cellStyle name="쉼표 [0] 2 2 3" xfId="2760" xr:uid="{00000000-0005-0000-0000-0000BA090000}"/>
    <cellStyle name="쉼표 [0] 2 3" xfId="2491" xr:uid="{00000000-0005-0000-0000-0000BB090000}"/>
    <cellStyle name="쉼표 [0] 2 4" xfId="2492" xr:uid="{00000000-0005-0000-0000-0000BC090000}"/>
    <cellStyle name="쉼표 [0] 3" xfId="2493" xr:uid="{00000000-0005-0000-0000-0000BD090000}"/>
    <cellStyle name="쉼표 [0] 4" xfId="2494" xr:uid="{00000000-0005-0000-0000-0000BE090000}"/>
    <cellStyle name="쉼표 [0] 7" xfId="2495" xr:uid="{00000000-0005-0000-0000-0000BF090000}"/>
    <cellStyle name="쉼표 [0]_Q09-11-1" xfId="2496" xr:uid="{00000000-0005-0000-0000-0000C0090000}"/>
    <cellStyle name="쉼표 [0]_장위수량산출서" xfId="2497" xr:uid="{00000000-0005-0000-0000-0000C1090000}"/>
    <cellStyle name="스타일 1" xfId="2498" xr:uid="{00000000-0005-0000-0000-0000C2090000}"/>
    <cellStyle name="스타일 10" xfId="2499" xr:uid="{00000000-0005-0000-0000-0000C3090000}"/>
    <cellStyle name="스타일 2" xfId="2500" xr:uid="{00000000-0005-0000-0000-0000C4090000}"/>
    <cellStyle name="스타일 3" xfId="2501" xr:uid="{00000000-0005-0000-0000-0000C5090000}"/>
    <cellStyle name="스타일 4" xfId="2502" xr:uid="{00000000-0005-0000-0000-0000C6090000}"/>
    <cellStyle name="스타일 5" xfId="2503" xr:uid="{00000000-0005-0000-0000-0000C7090000}"/>
    <cellStyle name="스타일 6" xfId="2504" xr:uid="{00000000-0005-0000-0000-0000C8090000}"/>
    <cellStyle name="스타일 7" xfId="2505" xr:uid="{00000000-0005-0000-0000-0000C9090000}"/>
    <cellStyle name="스타일 8" xfId="2506" xr:uid="{00000000-0005-0000-0000-0000CA090000}"/>
    <cellStyle name="스타일 9" xfId="2507" xr:uid="{00000000-0005-0000-0000-0000CB090000}"/>
    <cellStyle name="안건회계법인" xfId="2508" xr:uid="{00000000-0005-0000-0000-0000CC090000}"/>
    <cellStyle name="양식-타이틀" xfId="2509" xr:uid="{00000000-0005-0000-0000-0000CD090000}"/>
    <cellStyle name="연결된 셀" xfId="2510" builtinId="24" customBuiltin="1"/>
    <cellStyle name="연결된 셀 10" xfId="2511" xr:uid="{00000000-0005-0000-0000-0000CF090000}"/>
    <cellStyle name="연결된 셀 11" xfId="2512" xr:uid="{00000000-0005-0000-0000-0000D0090000}"/>
    <cellStyle name="연결된 셀 12" xfId="2513" xr:uid="{00000000-0005-0000-0000-0000D1090000}"/>
    <cellStyle name="연결된 셀 2" xfId="2514" xr:uid="{00000000-0005-0000-0000-0000D2090000}"/>
    <cellStyle name="연결된 셀 3" xfId="2515" xr:uid="{00000000-0005-0000-0000-0000D3090000}"/>
    <cellStyle name="연결된 셀 4" xfId="2516" xr:uid="{00000000-0005-0000-0000-0000D4090000}"/>
    <cellStyle name="연결된 셀 5" xfId="2517" xr:uid="{00000000-0005-0000-0000-0000D5090000}"/>
    <cellStyle name="연결된 셀 6" xfId="2518" xr:uid="{00000000-0005-0000-0000-0000D6090000}"/>
    <cellStyle name="연결된 셀 7" xfId="2519" xr:uid="{00000000-0005-0000-0000-0000D7090000}"/>
    <cellStyle name="연결된 셀 8" xfId="2520" xr:uid="{00000000-0005-0000-0000-0000D8090000}"/>
    <cellStyle name="연결된 셀 9" xfId="2521" xr:uid="{00000000-0005-0000-0000-0000D9090000}"/>
    <cellStyle name="영호" xfId="2522" xr:uid="{00000000-0005-0000-0000-0000DA090000}"/>
    <cellStyle name="옛체" xfId="2523" xr:uid="{00000000-0005-0000-0000-0000DB090000}"/>
    <cellStyle name="왼" xfId="2524" xr:uid="{00000000-0005-0000-0000-0000DC090000}"/>
    <cellStyle name="왼쪽2" xfId="2525" xr:uid="{00000000-0005-0000-0000-0000DD090000}"/>
    <cellStyle name="왼쪽5" xfId="2526" xr:uid="{00000000-0005-0000-0000-0000DE090000}"/>
    <cellStyle name="요약" xfId="2527" builtinId="25" customBuiltin="1"/>
    <cellStyle name="요약 10" xfId="2528" xr:uid="{00000000-0005-0000-0000-0000E0090000}"/>
    <cellStyle name="요약 11" xfId="2529" xr:uid="{00000000-0005-0000-0000-0000E1090000}"/>
    <cellStyle name="요약 12" xfId="2530" xr:uid="{00000000-0005-0000-0000-0000E2090000}"/>
    <cellStyle name="요약 2" xfId="2531" xr:uid="{00000000-0005-0000-0000-0000E3090000}"/>
    <cellStyle name="요약 3" xfId="2532" xr:uid="{00000000-0005-0000-0000-0000E4090000}"/>
    <cellStyle name="요약 4" xfId="2533" xr:uid="{00000000-0005-0000-0000-0000E5090000}"/>
    <cellStyle name="요약 5" xfId="2534" xr:uid="{00000000-0005-0000-0000-0000E6090000}"/>
    <cellStyle name="요약 6" xfId="2535" xr:uid="{00000000-0005-0000-0000-0000E7090000}"/>
    <cellStyle name="요약 7" xfId="2536" xr:uid="{00000000-0005-0000-0000-0000E8090000}"/>
    <cellStyle name="요약 8" xfId="2537" xr:uid="{00000000-0005-0000-0000-0000E9090000}"/>
    <cellStyle name="요약 9" xfId="2538" xr:uid="{00000000-0005-0000-0000-0000EA090000}"/>
    <cellStyle name="우괄호_박심배수구조물공" xfId="2539" xr:uid="{00000000-0005-0000-0000-0000EB090000}"/>
    <cellStyle name="우측양괄호" xfId="2540" xr:uid="{00000000-0005-0000-0000-0000EC090000}"/>
    <cellStyle name="원" xfId="2541" xr:uid="{00000000-0005-0000-0000-0000ED090000}"/>
    <cellStyle name="유1" xfId="2542" xr:uid="{00000000-0005-0000-0000-0000EE090000}"/>
    <cellStyle name="유영" xfId="2543" xr:uid="{00000000-0005-0000-0000-0000EF090000}"/>
    <cellStyle name="일반" xfId="2544" xr:uid="{00000000-0005-0000-0000-0000F0090000}"/>
    <cellStyle name="一般_GARMENT STEP FORM HK" xfId="2545" xr:uid="{00000000-0005-0000-0000-0000F1090000}"/>
    <cellStyle name="일위대가" xfId="2546" xr:uid="{00000000-0005-0000-0000-0000F2090000}"/>
    <cellStyle name="입력" xfId="2547" builtinId="20" customBuiltin="1"/>
    <cellStyle name="입력 10" xfId="2548" xr:uid="{00000000-0005-0000-0000-0000F4090000}"/>
    <cellStyle name="입력 11" xfId="2549" xr:uid="{00000000-0005-0000-0000-0000F5090000}"/>
    <cellStyle name="입력 12" xfId="2550" xr:uid="{00000000-0005-0000-0000-0000F6090000}"/>
    <cellStyle name="입력 2" xfId="2551" xr:uid="{00000000-0005-0000-0000-0000F7090000}"/>
    <cellStyle name="입력 3" xfId="2552" xr:uid="{00000000-0005-0000-0000-0000F8090000}"/>
    <cellStyle name="입력 4" xfId="2553" xr:uid="{00000000-0005-0000-0000-0000F9090000}"/>
    <cellStyle name="입력 5" xfId="2554" xr:uid="{00000000-0005-0000-0000-0000FA090000}"/>
    <cellStyle name="입력 6" xfId="2555" xr:uid="{00000000-0005-0000-0000-0000FB090000}"/>
    <cellStyle name="입력 7" xfId="2556" xr:uid="{00000000-0005-0000-0000-0000FC090000}"/>
    <cellStyle name="입력 8" xfId="2557" xr:uid="{00000000-0005-0000-0000-0000FD090000}"/>
    <cellStyle name="입력 9" xfId="2558" xr:uid="{00000000-0005-0000-0000-0000FE090000}"/>
    <cellStyle name="자리수" xfId="2559" xr:uid="{00000000-0005-0000-0000-0000FF090000}"/>
    <cellStyle name="자리수 - 유형1" xfId="2560" xr:uid="{00000000-0005-0000-0000-0000000A0000}"/>
    <cellStyle name="자리수_0523설계내역서(최종)" xfId="2561" xr:uid="{00000000-0005-0000-0000-0000010A0000}"/>
    <cellStyle name="자리수0" xfId="2562" xr:uid="{00000000-0005-0000-0000-0000020A0000}"/>
    <cellStyle name="정기수 - 유형1" xfId="2563" xr:uid="{00000000-0005-0000-0000-0000030A0000}"/>
    <cellStyle name="제곱" xfId="2564" xr:uid="{00000000-0005-0000-0000-0000040A0000}"/>
    <cellStyle name="제목" xfId="2565" builtinId="15" customBuiltin="1"/>
    <cellStyle name="제목 1" xfId="2566" builtinId="16" customBuiltin="1"/>
    <cellStyle name="제목 1 10" xfId="2567" xr:uid="{00000000-0005-0000-0000-0000070A0000}"/>
    <cellStyle name="제목 1 11" xfId="2568" xr:uid="{00000000-0005-0000-0000-0000080A0000}"/>
    <cellStyle name="제목 1 12" xfId="2569" xr:uid="{00000000-0005-0000-0000-0000090A0000}"/>
    <cellStyle name="제목 1 2" xfId="2570" xr:uid="{00000000-0005-0000-0000-00000A0A0000}"/>
    <cellStyle name="제목 1 3" xfId="2571" xr:uid="{00000000-0005-0000-0000-00000B0A0000}"/>
    <cellStyle name="제목 1 4" xfId="2572" xr:uid="{00000000-0005-0000-0000-00000C0A0000}"/>
    <cellStyle name="제목 1 5" xfId="2573" xr:uid="{00000000-0005-0000-0000-00000D0A0000}"/>
    <cellStyle name="제목 1 6" xfId="2574" xr:uid="{00000000-0005-0000-0000-00000E0A0000}"/>
    <cellStyle name="제목 1 7" xfId="2575" xr:uid="{00000000-0005-0000-0000-00000F0A0000}"/>
    <cellStyle name="제목 1 8" xfId="2576" xr:uid="{00000000-0005-0000-0000-0000100A0000}"/>
    <cellStyle name="제목 1 9" xfId="2577" xr:uid="{00000000-0005-0000-0000-0000110A0000}"/>
    <cellStyle name="제목 1(左)" xfId="2578" xr:uid="{00000000-0005-0000-0000-0000120A0000}"/>
    <cellStyle name="제목 1(中)" xfId="2579" xr:uid="{00000000-0005-0000-0000-0000130A0000}"/>
    <cellStyle name="제목 10" xfId="2580" xr:uid="{00000000-0005-0000-0000-0000140A0000}"/>
    <cellStyle name="제목 11" xfId="2581" xr:uid="{00000000-0005-0000-0000-0000150A0000}"/>
    <cellStyle name="제목 12" xfId="2582" xr:uid="{00000000-0005-0000-0000-0000160A0000}"/>
    <cellStyle name="제목 13" xfId="2583" xr:uid="{00000000-0005-0000-0000-0000170A0000}"/>
    <cellStyle name="제목 14" xfId="2584" xr:uid="{00000000-0005-0000-0000-0000180A0000}"/>
    <cellStyle name="제목 15" xfId="2585" xr:uid="{00000000-0005-0000-0000-0000190A0000}"/>
    <cellStyle name="제목 16" xfId="2586" xr:uid="{00000000-0005-0000-0000-00001A0A0000}"/>
    <cellStyle name="제목 17" xfId="2587" xr:uid="{00000000-0005-0000-0000-00001B0A0000}"/>
    <cellStyle name="제목 18" xfId="2588" xr:uid="{00000000-0005-0000-0000-00001C0A0000}"/>
    <cellStyle name="제목 19" xfId="2589" xr:uid="{00000000-0005-0000-0000-00001D0A0000}"/>
    <cellStyle name="제목 2" xfId="2590" builtinId="17" customBuiltin="1"/>
    <cellStyle name="제목 2 10" xfId="2591" xr:uid="{00000000-0005-0000-0000-00001F0A0000}"/>
    <cellStyle name="제목 2 11" xfId="2592" xr:uid="{00000000-0005-0000-0000-0000200A0000}"/>
    <cellStyle name="제목 2 12" xfId="2593" xr:uid="{00000000-0005-0000-0000-0000210A0000}"/>
    <cellStyle name="제목 2 2" xfId="2594" xr:uid="{00000000-0005-0000-0000-0000220A0000}"/>
    <cellStyle name="제목 2 3" xfId="2595" xr:uid="{00000000-0005-0000-0000-0000230A0000}"/>
    <cellStyle name="제목 2 4" xfId="2596" xr:uid="{00000000-0005-0000-0000-0000240A0000}"/>
    <cellStyle name="제목 2 5" xfId="2597" xr:uid="{00000000-0005-0000-0000-0000250A0000}"/>
    <cellStyle name="제목 2 6" xfId="2598" xr:uid="{00000000-0005-0000-0000-0000260A0000}"/>
    <cellStyle name="제목 2 7" xfId="2599" xr:uid="{00000000-0005-0000-0000-0000270A0000}"/>
    <cellStyle name="제목 2 8" xfId="2600" xr:uid="{00000000-0005-0000-0000-0000280A0000}"/>
    <cellStyle name="제목 2 9" xfId="2601" xr:uid="{00000000-0005-0000-0000-0000290A0000}"/>
    <cellStyle name="제목 20" xfId="2602" xr:uid="{00000000-0005-0000-0000-00002A0A0000}"/>
    <cellStyle name="제목 21" xfId="2603" xr:uid="{00000000-0005-0000-0000-00002B0A0000}"/>
    <cellStyle name="제목 22" xfId="2604" xr:uid="{00000000-0005-0000-0000-00002C0A0000}"/>
    <cellStyle name="제목 23" xfId="2605" xr:uid="{00000000-0005-0000-0000-00002D0A0000}"/>
    <cellStyle name="제목 24" xfId="2606" xr:uid="{00000000-0005-0000-0000-00002E0A0000}"/>
    <cellStyle name="제목 25" xfId="2607" xr:uid="{00000000-0005-0000-0000-00002F0A0000}"/>
    <cellStyle name="제목 3" xfId="2608" builtinId="18" customBuiltin="1"/>
    <cellStyle name="제목 3 10" xfId="2609" xr:uid="{00000000-0005-0000-0000-0000310A0000}"/>
    <cellStyle name="제목 3 11" xfId="2610" xr:uid="{00000000-0005-0000-0000-0000320A0000}"/>
    <cellStyle name="제목 3 12" xfId="2611" xr:uid="{00000000-0005-0000-0000-0000330A0000}"/>
    <cellStyle name="제목 3 2" xfId="2612" xr:uid="{00000000-0005-0000-0000-0000340A0000}"/>
    <cellStyle name="제목 3 3" xfId="2613" xr:uid="{00000000-0005-0000-0000-0000350A0000}"/>
    <cellStyle name="제목 3 4" xfId="2614" xr:uid="{00000000-0005-0000-0000-0000360A0000}"/>
    <cellStyle name="제목 3 5" xfId="2615" xr:uid="{00000000-0005-0000-0000-0000370A0000}"/>
    <cellStyle name="제목 3 6" xfId="2616" xr:uid="{00000000-0005-0000-0000-0000380A0000}"/>
    <cellStyle name="제목 3 7" xfId="2617" xr:uid="{00000000-0005-0000-0000-0000390A0000}"/>
    <cellStyle name="제목 3 8" xfId="2618" xr:uid="{00000000-0005-0000-0000-00003A0A0000}"/>
    <cellStyle name="제목 3 9" xfId="2619" xr:uid="{00000000-0005-0000-0000-00003B0A0000}"/>
    <cellStyle name="제목 4" xfId="2620" builtinId="19" customBuiltin="1"/>
    <cellStyle name="제목 4 10" xfId="2621" xr:uid="{00000000-0005-0000-0000-00003D0A0000}"/>
    <cellStyle name="제목 4 11" xfId="2622" xr:uid="{00000000-0005-0000-0000-00003E0A0000}"/>
    <cellStyle name="제목 4 12" xfId="2623" xr:uid="{00000000-0005-0000-0000-00003F0A0000}"/>
    <cellStyle name="제목 4 2" xfId="2624" xr:uid="{00000000-0005-0000-0000-0000400A0000}"/>
    <cellStyle name="제목 4 3" xfId="2625" xr:uid="{00000000-0005-0000-0000-0000410A0000}"/>
    <cellStyle name="제목 4 4" xfId="2626" xr:uid="{00000000-0005-0000-0000-0000420A0000}"/>
    <cellStyle name="제목 4 5" xfId="2627" xr:uid="{00000000-0005-0000-0000-0000430A0000}"/>
    <cellStyle name="제목 4 6" xfId="2628" xr:uid="{00000000-0005-0000-0000-0000440A0000}"/>
    <cellStyle name="제목 4 7" xfId="2629" xr:uid="{00000000-0005-0000-0000-0000450A0000}"/>
    <cellStyle name="제목 4 8" xfId="2630" xr:uid="{00000000-0005-0000-0000-0000460A0000}"/>
    <cellStyle name="제목 4 9" xfId="2631" xr:uid="{00000000-0005-0000-0000-0000470A0000}"/>
    <cellStyle name="제목 5" xfId="2632" xr:uid="{00000000-0005-0000-0000-0000480A0000}"/>
    <cellStyle name="제목 6" xfId="2633" xr:uid="{00000000-0005-0000-0000-0000490A0000}"/>
    <cellStyle name="제목 7" xfId="2634" xr:uid="{00000000-0005-0000-0000-00004A0A0000}"/>
    <cellStyle name="제목 8" xfId="2635" xr:uid="{00000000-0005-0000-0000-00004B0A0000}"/>
    <cellStyle name="제목 9" xfId="2636" xr:uid="{00000000-0005-0000-0000-00004C0A0000}"/>
    <cellStyle name="제목[1 줄]" xfId="2637" xr:uid="{00000000-0005-0000-0000-00004D0A0000}"/>
    <cellStyle name="제목[2줄 아래]" xfId="2638" xr:uid="{00000000-0005-0000-0000-00004E0A0000}"/>
    <cellStyle name="제목[2줄 위]" xfId="2639" xr:uid="{00000000-0005-0000-0000-00004F0A0000}"/>
    <cellStyle name="제목1" xfId="2640" xr:uid="{00000000-0005-0000-0000-0000500A0000}"/>
    <cellStyle name="제목2" xfId="2641" xr:uid="{00000000-0005-0000-0000-0000510A0000}"/>
    <cellStyle name="좋음" xfId="2642" builtinId="26" customBuiltin="1"/>
    <cellStyle name="좋음 10" xfId="2643" xr:uid="{00000000-0005-0000-0000-0000530A0000}"/>
    <cellStyle name="좋음 11" xfId="2644" xr:uid="{00000000-0005-0000-0000-0000540A0000}"/>
    <cellStyle name="좋음 12" xfId="2645" xr:uid="{00000000-0005-0000-0000-0000550A0000}"/>
    <cellStyle name="좋음 2" xfId="2646" xr:uid="{00000000-0005-0000-0000-0000560A0000}"/>
    <cellStyle name="좋음 3" xfId="2647" xr:uid="{00000000-0005-0000-0000-0000570A0000}"/>
    <cellStyle name="좋음 4" xfId="2648" xr:uid="{00000000-0005-0000-0000-0000580A0000}"/>
    <cellStyle name="좋음 5" xfId="2649" xr:uid="{00000000-0005-0000-0000-0000590A0000}"/>
    <cellStyle name="좋음 6" xfId="2650" xr:uid="{00000000-0005-0000-0000-00005A0A0000}"/>
    <cellStyle name="좋음 7" xfId="2651" xr:uid="{00000000-0005-0000-0000-00005B0A0000}"/>
    <cellStyle name="좋음 8" xfId="2652" xr:uid="{00000000-0005-0000-0000-00005C0A0000}"/>
    <cellStyle name="좋음 9" xfId="2653" xr:uid="{00000000-0005-0000-0000-00005D0A0000}"/>
    <cellStyle name="좌괄호_박심배수구조물공" xfId="2654" xr:uid="{00000000-0005-0000-0000-00005E0A0000}"/>
    <cellStyle name="좌측양괄호" xfId="2655" xr:uid="{00000000-0005-0000-0000-00005F0A0000}"/>
    <cellStyle name="지정되지 않음" xfId="2656" xr:uid="{00000000-0005-0000-0000-0000600A0000}"/>
    <cellStyle name="千分位[0]_GARMENT STEP FORM HK" xfId="2657" xr:uid="{00000000-0005-0000-0000-0000610A0000}"/>
    <cellStyle name="千分位_GARMENT STEP FORM HK" xfId="2658" xr:uid="{00000000-0005-0000-0000-0000620A0000}"/>
    <cellStyle name="출력" xfId="2659" builtinId="21" customBuiltin="1"/>
    <cellStyle name="출력 10" xfId="2660" xr:uid="{00000000-0005-0000-0000-0000640A0000}"/>
    <cellStyle name="출력 11" xfId="2661" xr:uid="{00000000-0005-0000-0000-0000650A0000}"/>
    <cellStyle name="출력 12" xfId="2662" xr:uid="{00000000-0005-0000-0000-0000660A0000}"/>
    <cellStyle name="출력 2" xfId="2663" xr:uid="{00000000-0005-0000-0000-0000670A0000}"/>
    <cellStyle name="출력 3" xfId="2664" xr:uid="{00000000-0005-0000-0000-0000680A0000}"/>
    <cellStyle name="출력 4" xfId="2665" xr:uid="{00000000-0005-0000-0000-0000690A0000}"/>
    <cellStyle name="출력 5" xfId="2666" xr:uid="{00000000-0005-0000-0000-00006A0A0000}"/>
    <cellStyle name="출력 6" xfId="2667" xr:uid="{00000000-0005-0000-0000-00006B0A0000}"/>
    <cellStyle name="출력 7" xfId="2668" xr:uid="{00000000-0005-0000-0000-00006C0A0000}"/>
    <cellStyle name="출력 8" xfId="2669" xr:uid="{00000000-0005-0000-0000-00006D0A0000}"/>
    <cellStyle name="출력 9" xfId="2670" xr:uid="{00000000-0005-0000-0000-00006E0A0000}"/>
    <cellStyle name="코드" xfId="2671" xr:uid="{00000000-0005-0000-0000-00006F0A0000}"/>
    <cellStyle name="콤" xfId="2672" xr:uid="{00000000-0005-0000-0000-0000700A0000}"/>
    <cellStyle name="콤?_x0003_" xfId="2673" xr:uid="{00000000-0005-0000-0000-0000710A0000}"/>
    <cellStyle name="콤마 [" xfId="2674" xr:uid="{00000000-0005-0000-0000-0000720A0000}"/>
    <cellStyle name="콤마 [#]" xfId="2675" xr:uid="{00000000-0005-0000-0000-0000730A0000}"/>
    <cellStyle name="콤마 []" xfId="2676" xr:uid="{00000000-0005-0000-0000-0000740A0000}"/>
    <cellStyle name="콤마 [0]" xfId="2677" xr:uid="{00000000-0005-0000-0000-0000750A0000}"/>
    <cellStyle name="콤마 [0]기기자재비" xfId="2678" xr:uid="{00000000-0005-0000-0000-0000760A0000}"/>
    <cellStyle name="콤마 [1]" xfId="2679" xr:uid="{00000000-0005-0000-0000-0000770A0000}"/>
    <cellStyle name="콤마 [2]" xfId="2680" xr:uid="{00000000-0005-0000-0000-0000780A0000}"/>
    <cellStyle name="콤마 [20]" xfId="2681" xr:uid="{00000000-0005-0000-0000-0000790A0000}"/>
    <cellStyle name="콤마 [3]" xfId="2682" xr:uid="{00000000-0005-0000-0000-00007A0A0000}"/>
    <cellStyle name="콤마 [금액]" xfId="2683" xr:uid="{00000000-0005-0000-0000-00007B0A0000}"/>
    <cellStyle name="콤마 [소수]" xfId="2684" xr:uid="{00000000-0005-0000-0000-00007C0A0000}"/>
    <cellStyle name="콤마 [수량]" xfId="2685" xr:uid="{00000000-0005-0000-0000-00007D0A0000}"/>
    <cellStyle name="콤마 1" xfId="2686" xr:uid="{00000000-0005-0000-0000-00007E0A0000}"/>
    <cellStyle name="콤마[ ]" xfId="2687" xr:uid="{00000000-0005-0000-0000-00007F0A0000}"/>
    <cellStyle name="콤마[*]" xfId="2688" xr:uid="{00000000-0005-0000-0000-0000800A0000}"/>
    <cellStyle name="콤마[,]" xfId="2689" xr:uid="{00000000-0005-0000-0000-0000810A0000}"/>
    <cellStyle name="콤마[.]" xfId="2690" xr:uid="{00000000-0005-0000-0000-0000820A0000}"/>
    <cellStyle name="콤마[0]" xfId="2691" xr:uid="{00000000-0005-0000-0000-0000830A0000}"/>
    <cellStyle name="콤마_ " xfId="2692" xr:uid="{00000000-0005-0000-0000-0000840A0000}"/>
    <cellStyle name="타이틀" xfId="2693" xr:uid="{00000000-0005-0000-0000-0000850A0000}"/>
    <cellStyle name="토공" xfId="2694" xr:uid="{00000000-0005-0000-0000-0000860A0000}"/>
    <cellStyle name="통" xfId="2695" xr:uid="{00000000-0005-0000-0000-0000870A0000}"/>
    <cellStyle name="통화 [" xfId="2696" xr:uid="{00000000-0005-0000-0000-0000880A0000}"/>
    <cellStyle name="통화 [0]" xfId="2697" builtinId="7"/>
    <cellStyle name="통화 [0] 2" xfId="2698" xr:uid="{00000000-0005-0000-0000-00008A0A0000}"/>
    <cellStyle name="통화 [0] 2 2" xfId="2699" xr:uid="{00000000-0005-0000-0000-00008B0A0000}"/>
    <cellStyle name="통화 [0㉝〸" xfId="2700" xr:uid="{00000000-0005-0000-0000-00008C0A0000}"/>
    <cellStyle name="퍼센트" xfId="2701" xr:uid="{00000000-0005-0000-0000-00008D0A0000}"/>
    <cellStyle name="표" xfId="2702" xr:uid="{00000000-0005-0000-0000-00008E0A0000}"/>
    <cellStyle name="표(가는선,가운데,중앙)" xfId="2703" xr:uid="{00000000-0005-0000-0000-00008F0A0000}"/>
    <cellStyle name="표(가는선,왼쪽,중앙)" xfId="2704" xr:uid="{00000000-0005-0000-0000-0000900A0000}"/>
    <cellStyle name="표(세로쓰기)" xfId="2705" xr:uid="{00000000-0005-0000-0000-0000910A0000}"/>
    <cellStyle name="표머릿글(上)" xfId="2706" xr:uid="{00000000-0005-0000-0000-0000920A0000}"/>
    <cellStyle name="표머릿글(中)" xfId="2707" xr:uid="{00000000-0005-0000-0000-0000930A0000}"/>
    <cellStyle name="표머릿글(下)" xfId="2708" xr:uid="{00000000-0005-0000-0000-0000940A0000}"/>
    <cellStyle name="표준" xfId="0" builtinId="0"/>
    <cellStyle name="표준 10" xfId="2709" xr:uid="{00000000-0005-0000-0000-0000960A0000}"/>
    <cellStyle name="표준 11" xfId="2710" xr:uid="{00000000-0005-0000-0000-0000970A0000}"/>
    <cellStyle name="표준 11 2" xfId="2711" xr:uid="{00000000-0005-0000-0000-0000980A0000}"/>
    <cellStyle name="표준 11 2 2" xfId="2712" xr:uid="{00000000-0005-0000-0000-0000990A0000}"/>
    <cellStyle name="표준 12" xfId="2761" xr:uid="{00000000-0005-0000-0000-00009A0A0000}"/>
    <cellStyle name="표준 13" xfId="2762" xr:uid="{00000000-0005-0000-0000-00009B0A0000}"/>
    <cellStyle name="표준 14" xfId="2763" xr:uid="{00000000-0005-0000-0000-00009C0A0000}"/>
    <cellStyle name="표준 15" xfId="2764" xr:uid="{00000000-0005-0000-0000-00009D0A0000}"/>
    <cellStyle name="표준 16" xfId="2765" xr:uid="{00000000-0005-0000-0000-00009E0A0000}"/>
    <cellStyle name="표준 2" xfId="2713" xr:uid="{00000000-0005-0000-0000-00009F0A0000}"/>
    <cellStyle name="표준 2 2" xfId="2714" xr:uid="{00000000-0005-0000-0000-0000A00A0000}"/>
    <cellStyle name="표준 2 2 2" xfId="2715" xr:uid="{00000000-0005-0000-0000-0000A10A0000}"/>
    <cellStyle name="표준 2 2 3" xfId="2759" xr:uid="{00000000-0005-0000-0000-0000A20A0000}"/>
    <cellStyle name="표준 2_깬잡석 운반비 단가산정-09-09" xfId="2716" xr:uid="{00000000-0005-0000-0000-0000A30A0000}"/>
    <cellStyle name="표준 21" xfId="2717" xr:uid="{00000000-0005-0000-0000-0000A40A0000}"/>
    <cellStyle name="표준 3" xfId="2718" xr:uid="{00000000-0005-0000-0000-0000A50A0000}"/>
    <cellStyle name="표준 3 2" xfId="2719" xr:uid="{00000000-0005-0000-0000-0000A60A0000}"/>
    <cellStyle name="표준 3 3" xfId="2720" xr:uid="{00000000-0005-0000-0000-0000A70A0000}"/>
    <cellStyle name="표준 3_깬잡석 운반비 단가산정-09-09" xfId="2721" xr:uid="{00000000-0005-0000-0000-0000A80A0000}"/>
    <cellStyle name="표준 4" xfId="2722" xr:uid="{00000000-0005-0000-0000-0000A90A0000}"/>
    <cellStyle name="표준 4 2" xfId="2723" xr:uid="{00000000-0005-0000-0000-0000AA0A0000}"/>
    <cellStyle name="표준 5" xfId="2724" xr:uid="{00000000-0005-0000-0000-0000AB0A0000}"/>
    <cellStyle name="표준 6" xfId="2725" xr:uid="{00000000-0005-0000-0000-0000AC0A0000}"/>
    <cellStyle name="표준 7" xfId="2726" xr:uid="{00000000-0005-0000-0000-0000AD0A0000}"/>
    <cellStyle name="표준 8" xfId="2727" xr:uid="{00000000-0005-0000-0000-0000AE0A0000}"/>
    <cellStyle name="표준 8 2" xfId="2728" xr:uid="{00000000-0005-0000-0000-0000AF0A0000}"/>
    <cellStyle name="표준 8 2 2" xfId="2729" xr:uid="{00000000-0005-0000-0000-0000B00A0000}"/>
    <cellStyle name="표준 8 3" xfId="2730" xr:uid="{00000000-0005-0000-0000-0000B10A0000}"/>
    <cellStyle name="표준 8 4" xfId="2731" xr:uid="{00000000-0005-0000-0000-0000B20A0000}"/>
    <cellStyle name="표준 9" xfId="2732" xr:uid="{00000000-0005-0000-0000-0000B30A0000}"/>
    <cellStyle name="표준_0153" xfId="2733" xr:uid="{00000000-0005-0000-0000-0000B40A0000}"/>
    <cellStyle name="표준_2006 학교숲 설계내역서" xfId="2734" xr:uid="{00000000-0005-0000-0000-0000B50A0000}"/>
    <cellStyle name="標準_Akia(F）-8" xfId="2735" xr:uid="{00000000-0005-0000-0000-0000B60A0000}"/>
    <cellStyle name="표준_Q09-11-1" xfId="2736" xr:uid="{00000000-0005-0000-0000-0000B70A0000}"/>
    <cellStyle name="표준_냇가공원 설계내역서" xfId="2737" xr:uid="{00000000-0005-0000-0000-0000B80A0000}"/>
    <cellStyle name="표준_설계설명서" xfId="2738" xr:uid="{00000000-0005-0000-0000-0000B90A0000}"/>
    <cellStyle name="표준_수량산출서(등산문화증진 사업)" xfId="2739" xr:uid="{00000000-0005-0000-0000-0000BA0A0000}"/>
    <cellStyle name="표준_수량산출서(등산문화증진 사업) 2" xfId="2757" xr:uid="{00000000-0005-0000-0000-0000BB0A0000}"/>
    <cellStyle name="표준_수량산출서(문학산)" xfId="2740" xr:uid="{00000000-0005-0000-0000-0000BC0A0000}"/>
    <cellStyle name="표준_수량산출서(문학산) 2" xfId="2758" xr:uid="{00000000-0005-0000-0000-0000BD0A0000}"/>
    <cellStyle name="표준_신림본동 마을마당 정비사업" xfId="2741" xr:uid="{00000000-0005-0000-0000-0000BE0A0000}"/>
    <cellStyle name="표준_여건보고3(추가공사)" xfId="2742" xr:uid="{00000000-0005-0000-0000-0000BF0A0000}"/>
    <cellStyle name="표준_장위수량산출서" xfId="2743" xr:uid="{00000000-0005-0000-0000-0000C00A0000}"/>
    <cellStyle name="표준1" xfId="2744" xr:uid="{00000000-0005-0000-0000-0000C10A0000}"/>
    <cellStyle name="표준2" xfId="2745" xr:uid="{00000000-0005-0000-0000-0000C20A0000}"/>
    <cellStyle name="표준℘Sheet8 (3)" xfId="2746" xr:uid="{00000000-0005-0000-0000-0000C30A0000}"/>
    <cellStyle name="표준ۤ총공사원가(집행원가)" xfId="2747" xr:uid="{00000000-0005-0000-0000-0000C40A0000}"/>
    <cellStyle name="하이퍼링크 2" xfId="2748" xr:uid="{00000000-0005-0000-0000-0000C50A0000}"/>
    <cellStyle name="합계" xfId="2749" xr:uid="{00000000-0005-0000-0000-0000C60A0000}"/>
    <cellStyle name="합산" xfId="2750" xr:uid="{00000000-0005-0000-0000-0000C70A0000}"/>
    <cellStyle name="허윤정" xfId="2751" xr:uid="{00000000-0005-0000-0000-0000C80A0000}"/>
    <cellStyle name="貨幣 [0]_GARMENT STEP FORM HK" xfId="2752" xr:uid="{00000000-0005-0000-0000-0000C90A0000}"/>
    <cellStyle name="貨幣_GARMENT STEP FORM HK" xfId="2753" xr:uid="{00000000-0005-0000-0000-0000CA0A0000}"/>
    <cellStyle name="화폐기호" xfId="2754" xr:uid="{00000000-0005-0000-0000-0000CB0A0000}"/>
    <cellStyle name="화폐기호0" xfId="2755" xr:uid="{00000000-0005-0000-0000-0000CC0A0000}"/>
    <cellStyle name="ㅣ" xfId="2756" xr:uid="{00000000-0005-0000-0000-0000CD0A0000}"/>
  </cellStyles>
  <dxfs count="6">
    <dxf>
      <fill>
        <patternFill>
          <bgColor rgb="FF808000"/>
        </patternFill>
      </fill>
    </dxf>
    <dxf>
      <numFmt numFmtId="285" formatCode="#,###"/>
    </dxf>
    <dxf>
      <numFmt numFmtId="285" formatCode="#,###"/>
    </dxf>
    <dxf>
      <numFmt numFmtId="285" formatCode="#,###"/>
    </dxf>
    <dxf>
      <numFmt numFmtId="285" formatCode="#,###"/>
    </dxf>
    <dxf>
      <numFmt numFmtId="285" formatCode="#,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1639" name="Line 1">
          <a:extLst>
            <a:ext uri="{FF2B5EF4-FFF2-40B4-BE49-F238E27FC236}">
              <a16:creationId xmlns:a16="http://schemas.microsoft.com/office/drawing/2014/main" id="{00000000-0008-0000-0500-000047290200}"/>
            </a:ext>
          </a:extLst>
        </xdr:cNvPr>
        <xdr:cNvSpPr>
          <a:spLocks noChangeShapeType="1"/>
        </xdr:cNvSpPr>
      </xdr:nvSpPr>
      <xdr:spPr bwMode="auto">
        <a:xfrm>
          <a:off x="9525" y="914400"/>
          <a:ext cx="17335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1640" name="Line 1">
          <a:extLst>
            <a:ext uri="{FF2B5EF4-FFF2-40B4-BE49-F238E27FC236}">
              <a16:creationId xmlns:a16="http://schemas.microsoft.com/office/drawing/2014/main" id="{00000000-0008-0000-0500-000048290200}"/>
            </a:ext>
          </a:extLst>
        </xdr:cNvPr>
        <xdr:cNvSpPr>
          <a:spLocks noChangeShapeType="1"/>
        </xdr:cNvSpPr>
      </xdr:nvSpPr>
      <xdr:spPr bwMode="auto">
        <a:xfrm>
          <a:off x="9525" y="914400"/>
          <a:ext cx="17335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1641" name="Line 1">
          <a:extLst>
            <a:ext uri="{FF2B5EF4-FFF2-40B4-BE49-F238E27FC236}">
              <a16:creationId xmlns:a16="http://schemas.microsoft.com/office/drawing/2014/main" id="{00000000-0008-0000-0500-000049290200}"/>
            </a:ext>
          </a:extLst>
        </xdr:cNvPr>
        <xdr:cNvSpPr>
          <a:spLocks noChangeShapeType="1"/>
        </xdr:cNvSpPr>
      </xdr:nvSpPr>
      <xdr:spPr bwMode="auto">
        <a:xfrm>
          <a:off x="9525" y="914400"/>
          <a:ext cx="17335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0" y="647700"/>
          <a:ext cx="2514600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e\&#51204;&#52404;&#47928;&#49436;\&#50640;&#53076;&#53581;&#49828;(2025&#45380;&#46020;)\1.%20&#49444;&#44228;&#44048;&#47532;\&#46321;&#49328;&#47196;\6.%20&#49688;&#51648;&#44396;%20&#50672;&#44036;&#45800;&#44032;\&#49444;&#44228;&#46020;&#49436;_2024&#45380;%20&#44592;&#55141;&#44396;%20&#49714;&#44600;(&#46321;&#49328;&#47196;)%20&#51221;&#48708;%20&#48143;%20&#50976;&#51648;&#44288;&#47532;%20&#50672;&#44036;&#45800;&#44032;&#44277;&#49324;\1&#44428;&#50669;\&#49444;&#44228;&#49436;_2024&#45380;%20&#44592;&#55141;&#44396;%20&#49714;&#44600;(&#46321;&#49328;&#47196;)%20&#51221;&#48708;%20&#48143;%20&#50976;&#51648;&#44288;&#47532;%20&#50672;&#44036;&#45800;&#44032;&#44277;&#49324;(1&#44428;&#50669;)\2.%20&#45236;&#50669;&#49436;_2024&#45380;%20&#44592;&#55141;&#44396;%20&#49714;&#44600;(&#46321;&#49328;&#47196;)%20&#51221;&#48708;%20&#48143;%20&#50976;&#51648;&#44288;&#47532;%20&#50672;&#44036;&#45800;&#44032;&#44277;&#49324;(1&#44428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〓 목 차 〓"/>
      <sheetName val="※※안내※※"/>
      <sheetName val="공사원가계산서"/>
      <sheetName val="총괄내역서"/>
      <sheetName val="설계내역서"/>
      <sheetName val="일위대가목록표"/>
      <sheetName val="일위대가표"/>
      <sheetName val="단가산출근거목록표"/>
      <sheetName val="단가산출근거"/>
      <sheetName val="환율및기초자료"/>
      <sheetName val="중기목록표"/>
      <sheetName val="중기사용료"/>
      <sheetName val="재료비목록표"/>
      <sheetName val="노무비목록표"/>
      <sheetName val="경비목록표"/>
      <sheetName val="자재단가대비표"/>
      <sheetName val="〓 INITIAL 〓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b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5.xml"/><Relationship Id="rId4" Type="http://schemas.openxmlformats.org/officeDocument/2006/relationships/vmlDrawing" Target="../drawings/vmlDrawing15.v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6.xml"/><Relationship Id="rId4" Type="http://schemas.openxmlformats.org/officeDocument/2006/relationships/vmlDrawing" Target="../drawings/vmlDrawing16.v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showRowColHeaders="0" showZeros="0" showOutlineSymbols="0" defaultGridColor="0" colorId="0" zoomScaleSheetLayoutView="4" workbookViewId="0"/>
  </sheetViews>
  <sheetFormatPr defaultRowHeight="13.5"/>
  <sheetData/>
  <phoneticPr fontId="1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</sheetPr>
  <dimension ref="A2:W21"/>
  <sheetViews>
    <sheetView view="pageBreakPreview" zoomScaleNormal="100" zoomScaleSheetLayoutView="100" workbookViewId="0">
      <selection activeCell="A5" sqref="A5"/>
    </sheetView>
  </sheetViews>
  <sheetFormatPr defaultColWidth="7.109375" defaultRowHeight="14.25"/>
  <cols>
    <col min="1" max="12" width="7.77734375" style="24" customWidth="1"/>
    <col min="13" max="13" width="7.33203125" style="24" customWidth="1"/>
    <col min="14" max="15" width="7.77734375" style="24" customWidth="1"/>
    <col min="16" max="16384" width="7.109375" style="25"/>
  </cols>
  <sheetData>
    <row r="2" spans="1:23" ht="27" customHeight="1"/>
    <row r="3" spans="1:23" ht="27" customHeight="1"/>
    <row r="4" spans="1:23" ht="30">
      <c r="A4" s="532" t="s">
        <v>5651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</row>
    <row r="6" spans="1:23" ht="30">
      <c r="A6" s="532"/>
      <c r="B6" s="532"/>
      <c r="C6" s="532"/>
      <c r="D6" s="532"/>
      <c r="E6" s="532"/>
      <c r="F6" s="532"/>
      <c r="G6" s="532"/>
      <c r="H6" s="532"/>
      <c r="I6" s="532"/>
      <c r="J6" s="532"/>
      <c r="K6" s="532"/>
      <c r="L6" s="532"/>
      <c r="M6" s="532"/>
      <c r="N6" s="532"/>
      <c r="O6" s="532"/>
    </row>
    <row r="9" spans="1:23" ht="39" customHeight="1">
      <c r="A9" s="533"/>
      <c r="B9" s="533"/>
      <c r="C9" s="533"/>
      <c r="D9" s="533"/>
      <c r="E9" s="533"/>
      <c r="F9" s="533"/>
      <c r="G9" s="533"/>
      <c r="H9" s="533"/>
      <c r="I9" s="533"/>
      <c r="J9" s="533"/>
      <c r="K9" s="533"/>
      <c r="L9" s="533"/>
    </row>
    <row r="12" spans="1:23">
      <c r="W12"/>
    </row>
    <row r="13" spans="1:23" ht="27">
      <c r="A13" s="534" t="s">
        <v>5650</v>
      </c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</row>
    <row r="21" spans="1:15" ht="31.5">
      <c r="A21" s="536" t="s">
        <v>5648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</row>
  </sheetData>
  <mergeCells count="5">
    <mergeCell ref="A4:O4"/>
    <mergeCell ref="A6:O6"/>
    <mergeCell ref="A9:L9"/>
    <mergeCell ref="A13:O13"/>
    <mergeCell ref="A21:O21"/>
  </mergeCells>
  <phoneticPr fontId="13" type="noConversion"/>
  <printOptions horizontalCentered="1"/>
  <pageMargins left="0.39370078740157483" right="0.19685039370078741" top="0.78740157480314965" bottom="0.39370078740157483" header="0.11811023622047245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79998168889431442"/>
  </sheetPr>
  <dimension ref="B1:P23"/>
  <sheetViews>
    <sheetView view="pageBreakPreview" zoomScaleNormal="100" zoomScaleSheetLayoutView="100" workbookViewId="0">
      <selection activeCell="T3" sqref="T3"/>
    </sheetView>
  </sheetViews>
  <sheetFormatPr defaultRowHeight="13.5"/>
  <cols>
    <col min="1" max="1" width="3.109375" style="18" customWidth="1"/>
    <col min="2" max="2" width="6.77734375" style="18" customWidth="1"/>
    <col min="3" max="3" width="8.6640625" style="18" customWidth="1"/>
    <col min="4" max="4" width="6.77734375" style="18" customWidth="1"/>
    <col min="5" max="5" width="8.6640625" style="18" customWidth="1"/>
    <col min="6" max="6" width="6.77734375" style="18" customWidth="1"/>
    <col min="7" max="7" width="8.6640625" style="18" customWidth="1"/>
    <col min="8" max="8" width="6.77734375" style="18" customWidth="1"/>
    <col min="9" max="9" width="8.6640625" style="18" customWidth="1"/>
    <col min="10" max="10" width="6.77734375" style="18" customWidth="1"/>
    <col min="11" max="12" width="5" style="18" customWidth="1"/>
    <col min="13" max="13" width="6.77734375" style="18" customWidth="1"/>
    <col min="14" max="15" width="8.6640625" style="18" customWidth="1"/>
    <col min="16" max="16" width="7.33203125" style="18" customWidth="1"/>
    <col min="17" max="16384" width="8.88671875" style="18"/>
  </cols>
  <sheetData>
    <row r="1" spans="2:16" s="2" customFormat="1" ht="39.75" customHeight="1">
      <c r="B1" s="548" t="s">
        <v>28</v>
      </c>
      <c r="C1" s="548"/>
      <c r="D1" s="541" t="s">
        <v>29</v>
      </c>
      <c r="E1" s="551"/>
      <c r="F1" s="541" t="s">
        <v>30</v>
      </c>
      <c r="G1" s="551"/>
      <c r="H1" s="541" t="s">
        <v>31</v>
      </c>
      <c r="I1" s="551"/>
      <c r="J1" s="541" t="s">
        <v>32</v>
      </c>
      <c r="K1" s="543"/>
      <c r="L1" s="544"/>
      <c r="M1" s="1" t="s">
        <v>33</v>
      </c>
      <c r="N1" s="552" t="s">
        <v>5659</v>
      </c>
      <c r="O1" s="553"/>
      <c r="P1" s="554"/>
    </row>
    <row r="2" spans="2:16" s="2" customFormat="1" ht="39.75" customHeight="1">
      <c r="B2" s="548"/>
      <c r="C2" s="548"/>
      <c r="D2" s="542"/>
      <c r="E2" s="551"/>
      <c r="F2" s="542"/>
      <c r="G2" s="551"/>
      <c r="H2" s="542"/>
      <c r="I2" s="551"/>
      <c r="J2" s="542"/>
      <c r="K2" s="555"/>
      <c r="L2" s="556"/>
      <c r="M2" s="1" t="s">
        <v>34</v>
      </c>
      <c r="N2" s="552" t="s">
        <v>803</v>
      </c>
      <c r="O2" s="553"/>
      <c r="P2" s="554"/>
    </row>
    <row r="3" spans="2:16" s="2" customFormat="1" ht="24.75" customHeight="1">
      <c r="B3" s="3"/>
      <c r="C3" s="4"/>
      <c r="D3" s="4" t="s">
        <v>35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2:16" s="2" customFormat="1" ht="15.75" customHeight="1">
      <c r="B4" s="6"/>
      <c r="P4" s="7"/>
    </row>
    <row r="5" spans="2:16" s="2" customFormat="1" ht="44.25" customHeight="1">
      <c r="B5" s="557" t="s">
        <v>36</v>
      </c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8"/>
      <c r="N5" s="558"/>
      <c r="O5" s="558"/>
      <c r="P5" s="559"/>
    </row>
    <row r="6" spans="2:16" s="2" customFormat="1" ht="15.75" customHeight="1">
      <c r="B6" s="6"/>
      <c r="P6" s="7"/>
    </row>
    <row r="7" spans="2:16" s="2" customFormat="1" ht="24.75" customHeight="1">
      <c r="B7" s="6"/>
      <c r="P7" s="7"/>
    </row>
    <row r="8" spans="2:16" s="22" customFormat="1" ht="29.25" customHeight="1">
      <c r="B8" s="20"/>
      <c r="C8" s="21" t="s">
        <v>5652</v>
      </c>
      <c r="P8" s="23"/>
    </row>
    <row r="9" spans="2:16" s="9" customFormat="1" ht="21" customHeight="1">
      <c r="B9" s="8"/>
      <c r="P9" s="10"/>
    </row>
    <row r="10" spans="2:16" s="13" customFormat="1" ht="50.1" customHeight="1">
      <c r="B10" s="11"/>
      <c r="C10" s="547" t="s">
        <v>37</v>
      </c>
      <c r="D10" s="547"/>
      <c r="E10" s="548" t="s">
        <v>38</v>
      </c>
      <c r="F10" s="548"/>
      <c r="G10" s="548"/>
      <c r="H10" s="548"/>
      <c r="I10" s="548"/>
      <c r="J10" s="548"/>
      <c r="K10" s="548"/>
      <c r="L10" s="548"/>
      <c r="M10" s="548"/>
      <c r="N10" s="548" t="s">
        <v>39</v>
      </c>
      <c r="O10" s="548"/>
      <c r="P10" s="10"/>
    </row>
    <row r="11" spans="2:16" s="13" customFormat="1" ht="35.1" customHeight="1">
      <c r="B11" s="11"/>
      <c r="C11" s="545" t="s">
        <v>40</v>
      </c>
      <c r="D11" s="545"/>
      <c r="E11" s="546" t="str">
        <f>"일금  "&amp;NUMBERSTRING(TRUNC(K11,-3),1)&amp;"원정"</f>
        <v>일금  이천팔백삼만원정</v>
      </c>
      <c r="F11" s="546"/>
      <c r="G11" s="546"/>
      <c r="H11" s="546"/>
      <c r="I11" s="546"/>
      <c r="J11" s="546"/>
      <c r="K11" s="549">
        <f>K12+K15</f>
        <v>28030000</v>
      </c>
      <c r="L11" s="549"/>
      <c r="M11" s="549"/>
      <c r="N11" s="550" t="s">
        <v>41</v>
      </c>
      <c r="O11" s="550"/>
      <c r="P11" s="12"/>
    </row>
    <row r="12" spans="2:16" s="13" customFormat="1" ht="35.1" customHeight="1">
      <c r="B12" s="11"/>
      <c r="C12" s="545" t="s">
        <v>42</v>
      </c>
      <c r="D12" s="545"/>
      <c r="E12" s="546" t="str">
        <f t="shared" ref="E12:E17" si="0">"일금  "&amp;NUMBERSTRING(TRUNC(K12,0),1)&amp;"원정"</f>
        <v>일금  이천팔백삼만원정</v>
      </c>
      <c r="F12" s="546"/>
      <c r="G12" s="546"/>
      <c r="H12" s="546"/>
      <c r="I12" s="546"/>
      <c r="J12" s="546"/>
      <c r="K12" s="549">
        <f>K13+K14</f>
        <v>28030000</v>
      </c>
      <c r="L12" s="549"/>
      <c r="M12" s="549"/>
      <c r="N12" s="550" t="s">
        <v>182</v>
      </c>
      <c r="O12" s="550"/>
      <c r="P12" s="12"/>
    </row>
    <row r="13" spans="2:16" s="13" customFormat="1" ht="35.1" customHeight="1">
      <c r="B13" s="11"/>
      <c r="C13" s="539" t="s">
        <v>43</v>
      </c>
      <c r="D13" s="539"/>
      <c r="E13" s="540" t="str">
        <f t="shared" si="0"/>
        <v>일금  이천오백사십팔만일천팔백일십구원정</v>
      </c>
      <c r="F13" s="540"/>
      <c r="G13" s="540"/>
      <c r="H13" s="540"/>
      <c r="I13" s="540"/>
      <c r="J13" s="540"/>
      <c r="K13" s="537">
        <f>공사원가계산서!D28</f>
        <v>25481819</v>
      </c>
      <c r="L13" s="537"/>
      <c r="M13" s="537"/>
      <c r="N13" s="538"/>
      <c r="O13" s="538"/>
      <c r="P13" s="12"/>
    </row>
    <row r="14" spans="2:16" s="13" customFormat="1" ht="35.1" customHeight="1">
      <c r="B14" s="11"/>
      <c r="C14" s="539" t="s">
        <v>44</v>
      </c>
      <c r="D14" s="539"/>
      <c r="E14" s="540" t="str">
        <f t="shared" si="0"/>
        <v>일금  이백오십사만팔천일백팔십일원정</v>
      </c>
      <c r="F14" s="540"/>
      <c r="G14" s="540"/>
      <c r="H14" s="540"/>
      <c r="I14" s="540"/>
      <c r="J14" s="540"/>
      <c r="K14" s="537">
        <f>공사원가계산서!D29</f>
        <v>2548181</v>
      </c>
      <c r="L14" s="537"/>
      <c r="M14" s="537"/>
      <c r="N14" s="538"/>
      <c r="O14" s="538"/>
      <c r="P14" s="12"/>
    </row>
    <row r="15" spans="2:16" s="13" customFormat="1" ht="35.1" hidden="1" customHeight="1">
      <c r="B15" s="11"/>
      <c r="C15" s="545" t="s">
        <v>45</v>
      </c>
      <c r="D15" s="545"/>
      <c r="E15" s="546" t="str">
        <f t="shared" si="0"/>
        <v>일금  영원정</v>
      </c>
      <c r="F15" s="546"/>
      <c r="G15" s="546"/>
      <c r="H15" s="546"/>
      <c r="I15" s="546"/>
      <c r="J15" s="546"/>
      <c r="K15" s="549"/>
      <c r="L15" s="549"/>
      <c r="M15" s="549"/>
      <c r="N15" s="560" t="s">
        <v>258</v>
      </c>
      <c r="O15" s="550"/>
      <c r="P15" s="12"/>
    </row>
    <row r="16" spans="2:16" s="13" customFormat="1" ht="24.95" hidden="1" customHeight="1">
      <c r="B16" s="11"/>
      <c r="C16" s="539" t="s">
        <v>185</v>
      </c>
      <c r="D16" s="539"/>
      <c r="E16" s="540" t="str">
        <f t="shared" si="0"/>
        <v>일금  영원정</v>
      </c>
      <c r="F16" s="540"/>
      <c r="G16" s="540"/>
      <c r="H16" s="540"/>
      <c r="I16" s="540"/>
      <c r="J16" s="540"/>
      <c r="K16" s="537"/>
      <c r="L16" s="537"/>
      <c r="M16" s="537"/>
      <c r="N16" s="538"/>
      <c r="O16" s="538"/>
      <c r="P16" s="12"/>
    </row>
    <row r="17" spans="2:16" s="13" customFormat="1" ht="24.95" hidden="1" customHeight="1">
      <c r="B17" s="11"/>
      <c r="C17" s="539" t="s">
        <v>184</v>
      </c>
      <c r="D17" s="539"/>
      <c r="E17" s="540" t="str">
        <f t="shared" si="0"/>
        <v>일금  영원정</v>
      </c>
      <c r="F17" s="540"/>
      <c r="G17" s="540"/>
      <c r="H17" s="540"/>
      <c r="I17" s="540"/>
      <c r="J17" s="540"/>
      <c r="K17" s="537"/>
      <c r="L17" s="537"/>
      <c r="M17" s="537"/>
      <c r="N17" s="538"/>
      <c r="O17" s="538"/>
      <c r="P17" s="12"/>
    </row>
    <row r="18" spans="2:16" s="13" customFormat="1" ht="35.1" customHeight="1">
      <c r="B18" s="14"/>
      <c r="C18" s="15"/>
      <c r="D18" s="15"/>
      <c r="E18" s="16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7"/>
    </row>
    <row r="19" spans="2:16" ht="21" customHeight="1"/>
    <row r="21" spans="2:16" ht="18.75"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2:16" ht="18.75"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</row>
    <row r="23" spans="2:16" ht="18.7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</row>
  </sheetData>
  <mergeCells count="45">
    <mergeCell ref="N15:O15"/>
    <mergeCell ref="C14:D14"/>
    <mergeCell ref="E14:J14"/>
    <mergeCell ref="K14:M14"/>
    <mergeCell ref="N14:O14"/>
    <mergeCell ref="C15:D15"/>
    <mergeCell ref="E15:J15"/>
    <mergeCell ref="K15:M15"/>
    <mergeCell ref="N10:O10"/>
    <mergeCell ref="C11:D11"/>
    <mergeCell ref="E11:J11"/>
    <mergeCell ref="D1:D2"/>
    <mergeCell ref="E1:E2"/>
    <mergeCell ref="F1:F2"/>
    <mergeCell ref="G1:G2"/>
    <mergeCell ref="N11:O11"/>
    <mergeCell ref="N1:P1"/>
    <mergeCell ref="K2:L2"/>
    <mergeCell ref="N2:P2"/>
    <mergeCell ref="B5:P5"/>
    <mergeCell ref="B1:B2"/>
    <mergeCell ref="C1:C2"/>
    <mergeCell ref="H1:H2"/>
    <mergeCell ref="I1:I2"/>
    <mergeCell ref="C13:D13"/>
    <mergeCell ref="E13:J13"/>
    <mergeCell ref="K13:M13"/>
    <mergeCell ref="N13:O13"/>
    <mergeCell ref="K12:M12"/>
    <mergeCell ref="N12:O12"/>
    <mergeCell ref="J1:J2"/>
    <mergeCell ref="K1:L1"/>
    <mergeCell ref="C12:D12"/>
    <mergeCell ref="E12:J12"/>
    <mergeCell ref="C10:D10"/>
    <mergeCell ref="E10:M10"/>
    <mergeCell ref="K11:M11"/>
    <mergeCell ref="K16:M16"/>
    <mergeCell ref="N16:O16"/>
    <mergeCell ref="C17:D17"/>
    <mergeCell ref="E17:J17"/>
    <mergeCell ref="K17:M17"/>
    <mergeCell ref="N17:O17"/>
    <mergeCell ref="C16:D16"/>
    <mergeCell ref="E16:J16"/>
  </mergeCells>
  <phoneticPr fontId="13" type="noConversion"/>
  <pageMargins left="0.75" right="0.41" top="0.57999999999999996" bottom="0.49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79998168889431442"/>
  </sheetPr>
  <dimension ref="A1:L177"/>
  <sheetViews>
    <sheetView view="pageBreakPreview" zoomScale="85" zoomScaleNormal="55" zoomScaleSheetLayoutView="85" workbookViewId="0">
      <selection activeCell="P45" sqref="P45"/>
    </sheetView>
  </sheetViews>
  <sheetFormatPr defaultColWidth="7.109375" defaultRowHeight="25.5"/>
  <cols>
    <col min="1" max="2" width="8" style="26" customWidth="1"/>
    <col min="3" max="3" width="10.109375" style="26" customWidth="1"/>
    <col min="4" max="4" width="9.21875" style="26" customWidth="1"/>
    <col min="5" max="5" width="6.44140625" style="29" customWidth="1"/>
    <col min="6" max="6" width="8.21875" style="29" customWidth="1"/>
    <col min="7" max="7" width="16.21875" style="29" customWidth="1"/>
    <col min="8" max="8" width="8" style="29" customWidth="1"/>
    <col min="9" max="12" width="8" style="26" customWidth="1"/>
    <col min="13" max="16384" width="7.109375" style="36"/>
  </cols>
  <sheetData>
    <row r="1" spans="4:9" s="26" customFormat="1" ht="33" customHeight="1">
      <c r="E1" s="563" t="s">
        <v>10</v>
      </c>
      <c r="F1" s="563"/>
      <c r="G1" s="563"/>
      <c r="H1" s="563"/>
      <c r="I1" s="563"/>
    </row>
    <row r="2" spans="4:9" s="26" customFormat="1" ht="9" customHeight="1">
      <c r="E2" s="27"/>
      <c r="F2" s="28"/>
      <c r="G2" s="28"/>
      <c r="H2" s="29"/>
    </row>
    <row r="3" spans="4:9" s="26" customFormat="1" ht="24.95" customHeight="1">
      <c r="E3" s="27"/>
      <c r="F3" s="28"/>
      <c r="G3" s="28"/>
      <c r="H3" s="29"/>
    </row>
    <row r="4" spans="4:9" s="29" customFormat="1" ht="24.95" customHeight="1">
      <c r="D4" s="31"/>
      <c r="E4" s="561" t="s">
        <v>26</v>
      </c>
      <c r="F4" s="561"/>
      <c r="G4" s="561"/>
      <c r="H4" s="561"/>
      <c r="I4" s="561"/>
    </row>
    <row r="5" spans="4:9" s="29" customFormat="1" ht="24.95" customHeight="1">
      <c r="D5" s="31"/>
      <c r="E5" s="561" t="s">
        <v>12</v>
      </c>
      <c r="F5" s="561"/>
      <c r="G5" s="561"/>
      <c r="H5" s="561"/>
      <c r="I5" s="561"/>
    </row>
    <row r="6" spans="4:9" s="29" customFormat="1" ht="24.95" customHeight="1">
      <c r="D6" s="31"/>
      <c r="E6" s="561" t="s">
        <v>13</v>
      </c>
      <c r="F6" s="561"/>
      <c r="G6" s="561"/>
      <c r="H6" s="561"/>
      <c r="I6" s="561"/>
    </row>
    <row r="7" spans="4:9" s="29" customFormat="1" ht="24.95" customHeight="1">
      <c r="D7" s="31"/>
      <c r="E7" s="561" t="s">
        <v>14</v>
      </c>
      <c r="F7" s="561"/>
      <c r="G7" s="561"/>
      <c r="H7" s="561"/>
      <c r="I7" s="561"/>
    </row>
    <row r="8" spans="4:9" s="29" customFormat="1" ht="24.95" customHeight="1">
      <c r="D8" s="31"/>
      <c r="E8" s="561" t="s">
        <v>15</v>
      </c>
      <c r="F8" s="561"/>
      <c r="G8" s="561"/>
      <c r="H8" s="561"/>
      <c r="I8" s="561"/>
    </row>
    <row r="9" spans="4:9" s="29" customFormat="1" ht="24.95" customHeight="1">
      <c r="D9" s="31"/>
      <c r="E9" s="561" t="s">
        <v>16</v>
      </c>
      <c r="F9" s="561"/>
      <c r="G9" s="561"/>
      <c r="H9" s="561"/>
      <c r="I9" s="561"/>
    </row>
    <row r="10" spans="4:9" s="29" customFormat="1" ht="24.95" customHeight="1">
      <c r="D10" s="31"/>
      <c r="E10" s="561" t="s">
        <v>66</v>
      </c>
      <c r="F10" s="561"/>
      <c r="G10" s="561"/>
      <c r="H10" s="561"/>
      <c r="I10" s="561"/>
    </row>
    <row r="11" spans="4:9" s="29" customFormat="1" ht="24.95" customHeight="1">
      <c r="D11" s="31"/>
      <c r="E11" s="561" t="s">
        <v>17</v>
      </c>
      <c r="F11" s="561"/>
      <c r="G11" s="561"/>
      <c r="H11" s="561"/>
      <c r="I11" s="561"/>
    </row>
    <row r="12" spans="4:9" s="29" customFormat="1" ht="24.95" customHeight="1">
      <c r="D12" s="31"/>
      <c r="E12" s="561" t="s">
        <v>25</v>
      </c>
      <c r="F12" s="561"/>
      <c r="G12" s="561"/>
      <c r="H12" s="561"/>
      <c r="I12" s="561"/>
    </row>
    <row r="13" spans="4:9" s="29" customFormat="1" ht="24.95" customHeight="1">
      <c r="D13" s="31"/>
      <c r="E13" s="561" t="s">
        <v>18</v>
      </c>
      <c r="F13" s="561"/>
      <c r="G13" s="561"/>
      <c r="H13" s="561"/>
      <c r="I13" s="561"/>
    </row>
    <row r="14" spans="4:9" s="29" customFormat="1" ht="24.95" customHeight="1">
      <c r="D14" s="31"/>
      <c r="E14" s="561"/>
      <c r="F14" s="561"/>
      <c r="G14" s="561"/>
      <c r="H14" s="561"/>
      <c r="I14" s="561"/>
    </row>
    <row r="15" spans="4:9" s="29" customFormat="1" ht="24.95" customHeight="1">
      <c r="D15" s="31"/>
      <c r="E15" s="561"/>
      <c r="F15" s="561"/>
      <c r="G15" s="561"/>
      <c r="H15" s="561"/>
      <c r="I15" s="561"/>
    </row>
    <row r="16" spans="4:9" s="26" customFormat="1" ht="28.5" customHeight="1">
      <c r="D16" s="30"/>
      <c r="E16" s="31"/>
      <c r="F16" s="28"/>
      <c r="G16" s="29"/>
      <c r="H16" s="29"/>
    </row>
    <row r="17" spans="4:9" s="26" customFormat="1" ht="28.5" customHeight="1">
      <c r="D17" s="30"/>
      <c r="E17" s="31"/>
      <c r="F17" s="28"/>
      <c r="G17" s="29"/>
      <c r="H17" s="29"/>
    </row>
    <row r="18" spans="4:9" s="26" customFormat="1" ht="28.5" customHeight="1">
      <c r="D18" s="30"/>
      <c r="E18" s="31"/>
      <c r="F18" s="28"/>
      <c r="G18" s="29"/>
      <c r="H18" s="29"/>
    </row>
    <row r="19" spans="4:9" s="26" customFormat="1" ht="28.5" customHeight="1">
      <c r="D19" s="30"/>
      <c r="E19" s="31"/>
      <c r="F19" s="28"/>
      <c r="G19" s="29"/>
      <c r="H19" s="29"/>
    </row>
    <row r="20" spans="4:9" s="26" customFormat="1" ht="28.5" customHeight="1">
      <c r="D20" s="30"/>
      <c r="E20" s="31"/>
      <c r="F20" s="28"/>
      <c r="G20" s="29"/>
      <c r="H20" s="29"/>
    </row>
    <row r="21" spans="4:9" s="26" customFormat="1" ht="28.5" customHeight="1">
      <c r="D21" s="30"/>
      <c r="E21" s="32"/>
      <c r="F21" s="33"/>
      <c r="G21" s="34"/>
      <c r="H21" s="34"/>
      <c r="I21" s="34"/>
    </row>
    <row r="22" spans="4:9" s="26" customFormat="1" ht="28.5" customHeight="1">
      <c r="D22" s="30"/>
      <c r="E22" s="32"/>
      <c r="F22" s="33"/>
      <c r="G22" s="34"/>
      <c r="H22" s="34"/>
      <c r="I22" s="34"/>
    </row>
    <row r="23" spans="4:9" s="26" customFormat="1" ht="28.5" customHeight="1">
      <c r="D23" s="30"/>
      <c r="E23" s="562" t="s">
        <v>11</v>
      </c>
      <c r="F23" s="562"/>
      <c r="G23" s="562"/>
      <c r="H23" s="562"/>
      <c r="I23" s="562"/>
    </row>
    <row r="24" spans="4:9" s="26" customFormat="1" ht="28.5" customHeight="1">
      <c r="D24" s="30"/>
      <c r="E24" s="35"/>
      <c r="F24" s="35"/>
      <c r="G24" s="35"/>
      <c r="H24" s="35"/>
      <c r="I24" s="35"/>
    </row>
    <row r="25" spans="4:9" s="26" customFormat="1" ht="28.5" customHeight="1">
      <c r="D25" s="30"/>
      <c r="E25" s="35"/>
      <c r="F25" s="35"/>
      <c r="G25" s="35"/>
      <c r="H25" s="35"/>
      <c r="I25" s="35"/>
    </row>
    <row r="26" spans="4:9" s="26" customFormat="1" ht="28.5" customHeight="1">
      <c r="D26" s="30"/>
      <c r="E26" s="35"/>
      <c r="F26" s="35"/>
      <c r="G26" s="35"/>
      <c r="H26" s="35"/>
      <c r="I26" s="35"/>
    </row>
    <row r="27" spans="4:9" s="26" customFormat="1" ht="28.5" customHeight="1">
      <c r="D27" s="30"/>
      <c r="E27" s="35"/>
      <c r="F27" s="35"/>
      <c r="G27" s="35"/>
      <c r="H27" s="35"/>
      <c r="I27" s="35"/>
    </row>
    <row r="28" spans="4:9" s="26" customFormat="1" ht="28.5" customHeight="1">
      <c r="D28" s="30"/>
      <c r="E28" s="35"/>
      <c r="F28" s="35"/>
      <c r="G28" s="35"/>
      <c r="H28" s="35"/>
      <c r="I28" s="35"/>
    </row>
    <row r="29" spans="4:9" s="26" customFormat="1" ht="28.5" customHeight="1">
      <c r="D29" s="30"/>
      <c r="E29" s="35"/>
      <c r="F29" s="35"/>
      <c r="G29" s="35"/>
      <c r="H29" s="35"/>
      <c r="I29" s="35"/>
    </row>
    <row r="30" spans="4:9" s="26" customFormat="1" ht="28.5" customHeight="1">
      <c r="D30" s="30"/>
      <c r="E30" s="35"/>
      <c r="F30" s="35"/>
      <c r="G30" s="35"/>
      <c r="H30" s="35"/>
      <c r="I30" s="35"/>
    </row>
    <row r="31" spans="4:9" s="26" customFormat="1" ht="28.5" customHeight="1">
      <c r="D31" s="30"/>
      <c r="E31" s="35"/>
      <c r="F31" s="35"/>
      <c r="G31" s="35"/>
      <c r="H31" s="35"/>
      <c r="I31" s="35"/>
    </row>
    <row r="32" spans="4:9" s="26" customFormat="1" ht="28.5" customHeight="1">
      <c r="D32" s="30"/>
      <c r="E32" s="35"/>
      <c r="F32" s="35"/>
      <c r="G32" s="35"/>
      <c r="H32" s="35"/>
      <c r="I32" s="35"/>
    </row>
    <row r="33" spans="4:9" s="26" customFormat="1" ht="28.5" customHeight="1">
      <c r="D33" s="30"/>
      <c r="E33" s="35"/>
      <c r="F33" s="35"/>
      <c r="G33" s="35"/>
      <c r="H33" s="35"/>
      <c r="I33" s="35"/>
    </row>
    <row r="34" spans="4:9" s="26" customFormat="1" ht="28.5" customHeight="1">
      <c r="D34" s="30"/>
      <c r="E34" s="35"/>
      <c r="F34" s="35"/>
      <c r="G34" s="35"/>
      <c r="H34" s="35"/>
      <c r="I34" s="35"/>
    </row>
    <row r="35" spans="4:9" s="26" customFormat="1" ht="28.5" customHeight="1">
      <c r="D35" s="30"/>
      <c r="E35" s="32"/>
      <c r="F35" s="33"/>
      <c r="G35" s="34"/>
      <c r="H35" s="34"/>
      <c r="I35" s="34"/>
    </row>
    <row r="36" spans="4:9" s="26" customFormat="1" ht="28.5" customHeight="1">
      <c r="D36" s="30"/>
      <c r="E36" s="32"/>
      <c r="F36" s="33"/>
      <c r="G36" s="34"/>
      <c r="H36" s="34"/>
      <c r="I36" s="34"/>
    </row>
    <row r="37" spans="4:9" s="26" customFormat="1" ht="28.5" customHeight="1">
      <c r="D37" s="30"/>
      <c r="E37" s="562" t="s">
        <v>12</v>
      </c>
      <c r="F37" s="562"/>
      <c r="G37" s="562"/>
      <c r="H37" s="562"/>
      <c r="I37" s="562"/>
    </row>
    <row r="38" spans="4:9" s="26" customFormat="1" ht="28.5" customHeight="1">
      <c r="D38" s="30"/>
      <c r="E38" s="35"/>
      <c r="F38" s="35"/>
      <c r="G38" s="35"/>
      <c r="H38" s="35"/>
      <c r="I38" s="35"/>
    </row>
    <row r="39" spans="4:9" s="26" customFormat="1" ht="28.5" customHeight="1">
      <c r="D39" s="30"/>
      <c r="E39" s="35"/>
      <c r="F39" s="35"/>
      <c r="G39" s="35"/>
      <c r="H39" s="35"/>
      <c r="I39" s="35"/>
    </row>
    <row r="40" spans="4:9" s="26" customFormat="1" ht="28.5" customHeight="1">
      <c r="D40" s="30"/>
      <c r="E40" s="35"/>
      <c r="F40" s="35"/>
      <c r="G40" s="35"/>
      <c r="H40" s="35"/>
      <c r="I40" s="35"/>
    </row>
    <row r="41" spans="4:9" s="26" customFormat="1" ht="28.5" customHeight="1">
      <c r="D41" s="30"/>
      <c r="E41" s="35"/>
      <c r="F41" s="35"/>
      <c r="G41" s="35"/>
      <c r="H41" s="35"/>
      <c r="I41" s="35"/>
    </row>
    <row r="42" spans="4:9" s="26" customFormat="1" ht="28.5" customHeight="1">
      <c r="D42" s="30"/>
      <c r="E42" s="35"/>
      <c r="F42" s="35"/>
      <c r="G42" s="35"/>
      <c r="H42" s="35"/>
      <c r="I42" s="35"/>
    </row>
    <row r="43" spans="4:9" s="26" customFormat="1" ht="28.5" customHeight="1">
      <c r="D43" s="30"/>
      <c r="E43" s="35"/>
      <c r="F43" s="35"/>
      <c r="G43" s="35"/>
      <c r="H43" s="35"/>
      <c r="I43" s="35"/>
    </row>
    <row r="44" spans="4:9" s="26" customFormat="1" ht="28.5" customHeight="1">
      <c r="D44" s="30"/>
      <c r="E44" s="35"/>
      <c r="F44" s="35"/>
      <c r="G44" s="35"/>
      <c r="H44" s="35"/>
      <c r="I44" s="35"/>
    </row>
    <row r="45" spans="4:9" s="26" customFormat="1" ht="28.5" customHeight="1">
      <c r="D45" s="30"/>
      <c r="E45" s="35"/>
      <c r="F45" s="35"/>
      <c r="G45" s="35"/>
      <c r="H45" s="35"/>
      <c r="I45" s="35"/>
    </row>
    <row r="46" spans="4:9" s="26" customFormat="1" ht="28.5" customHeight="1">
      <c r="D46" s="30"/>
      <c r="E46" s="35"/>
      <c r="F46" s="35"/>
      <c r="G46" s="35"/>
      <c r="H46" s="35"/>
      <c r="I46" s="35"/>
    </row>
    <row r="47" spans="4:9" s="26" customFormat="1" ht="28.5" customHeight="1">
      <c r="D47" s="30"/>
      <c r="E47" s="35"/>
      <c r="F47" s="35"/>
      <c r="G47" s="35"/>
      <c r="H47" s="35"/>
      <c r="I47" s="35"/>
    </row>
    <row r="48" spans="4:9" s="26" customFormat="1" ht="28.5" customHeight="1">
      <c r="D48" s="30"/>
      <c r="E48" s="35"/>
      <c r="F48" s="35"/>
      <c r="G48" s="35"/>
      <c r="H48" s="35"/>
      <c r="I48" s="35"/>
    </row>
    <row r="49" spans="4:9" s="26" customFormat="1" ht="28.5" customHeight="1">
      <c r="D49" s="30"/>
      <c r="E49" s="32"/>
      <c r="F49" s="33"/>
      <c r="G49" s="34"/>
      <c r="H49" s="34"/>
      <c r="I49" s="34"/>
    </row>
    <row r="50" spans="4:9" s="26" customFormat="1" ht="28.5" customHeight="1">
      <c r="D50" s="30"/>
      <c r="E50" s="32"/>
      <c r="F50" s="33"/>
      <c r="G50" s="34"/>
      <c r="H50" s="34"/>
      <c r="I50" s="34"/>
    </row>
    <row r="51" spans="4:9" s="26" customFormat="1" ht="28.5" customHeight="1">
      <c r="D51" s="30"/>
      <c r="E51" s="562" t="s">
        <v>13</v>
      </c>
      <c r="F51" s="562"/>
      <c r="G51" s="562"/>
      <c r="H51" s="562"/>
      <c r="I51" s="562"/>
    </row>
    <row r="52" spans="4:9" s="26" customFormat="1" ht="28.5" customHeight="1">
      <c r="D52" s="30"/>
      <c r="E52" s="35"/>
      <c r="F52" s="35"/>
      <c r="G52" s="35"/>
      <c r="H52" s="35"/>
      <c r="I52" s="35"/>
    </row>
    <row r="53" spans="4:9" s="26" customFormat="1" ht="28.5" customHeight="1">
      <c r="D53" s="30"/>
      <c r="E53" s="35"/>
      <c r="F53" s="35"/>
      <c r="G53" s="35"/>
      <c r="H53" s="35"/>
      <c r="I53" s="35"/>
    </row>
    <row r="54" spans="4:9" s="26" customFormat="1" ht="28.5" customHeight="1">
      <c r="D54" s="30"/>
      <c r="E54" s="35"/>
      <c r="F54" s="35"/>
      <c r="G54" s="35"/>
      <c r="H54" s="35"/>
      <c r="I54" s="35"/>
    </row>
    <row r="55" spans="4:9" s="26" customFormat="1" ht="28.5" customHeight="1">
      <c r="D55" s="30"/>
      <c r="E55" s="35"/>
      <c r="F55" s="35"/>
      <c r="G55" s="35"/>
      <c r="H55" s="35"/>
      <c r="I55" s="35"/>
    </row>
    <row r="56" spans="4:9" s="26" customFormat="1" ht="28.5" customHeight="1">
      <c r="D56" s="30"/>
      <c r="E56" s="35"/>
      <c r="F56" s="35"/>
      <c r="G56" s="35"/>
      <c r="H56" s="35"/>
      <c r="I56" s="35"/>
    </row>
    <row r="57" spans="4:9" s="26" customFormat="1" ht="28.5" customHeight="1">
      <c r="D57" s="30"/>
      <c r="E57" s="35"/>
      <c r="F57" s="35"/>
      <c r="G57" s="35"/>
      <c r="H57" s="35"/>
      <c r="I57" s="35"/>
    </row>
    <row r="58" spans="4:9" s="26" customFormat="1" ht="28.5" customHeight="1">
      <c r="D58" s="30"/>
      <c r="E58" s="35"/>
      <c r="F58" s="35"/>
      <c r="G58" s="35"/>
      <c r="H58" s="35"/>
      <c r="I58" s="35"/>
    </row>
    <row r="59" spans="4:9" s="26" customFormat="1" ht="28.5" customHeight="1">
      <c r="D59" s="30"/>
      <c r="E59" s="35"/>
      <c r="F59" s="35"/>
      <c r="G59" s="35"/>
      <c r="H59" s="35"/>
      <c r="I59" s="35"/>
    </row>
    <row r="60" spans="4:9" s="26" customFormat="1" ht="28.5" customHeight="1">
      <c r="D60" s="30"/>
      <c r="E60" s="35"/>
      <c r="F60" s="35"/>
      <c r="G60" s="35"/>
      <c r="H60" s="35"/>
      <c r="I60" s="35"/>
    </row>
    <row r="61" spans="4:9" s="26" customFormat="1" ht="28.5" customHeight="1">
      <c r="D61" s="30"/>
      <c r="E61" s="35"/>
      <c r="F61" s="35"/>
      <c r="G61" s="35"/>
      <c r="H61" s="35"/>
      <c r="I61" s="35"/>
    </row>
    <row r="62" spans="4:9" s="26" customFormat="1" ht="28.5" customHeight="1">
      <c r="D62" s="30"/>
      <c r="E62" s="35"/>
      <c r="F62" s="35"/>
      <c r="G62" s="35"/>
      <c r="H62" s="35"/>
      <c r="I62" s="35"/>
    </row>
    <row r="63" spans="4:9" s="26" customFormat="1" ht="28.5" customHeight="1">
      <c r="D63" s="30"/>
      <c r="E63" s="35"/>
      <c r="F63" s="35"/>
      <c r="G63" s="35"/>
      <c r="H63" s="35"/>
      <c r="I63" s="35"/>
    </row>
    <row r="64" spans="4:9" s="26" customFormat="1" ht="28.5" customHeight="1">
      <c r="D64" s="30"/>
      <c r="E64" s="35"/>
      <c r="F64" s="35"/>
      <c r="G64" s="35"/>
      <c r="H64" s="35"/>
      <c r="I64" s="35"/>
    </row>
    <row r="65" spans="4:9" s="26" customFormat="1" ht="28.5" customHeight="1">
      <c r="D65" s="30"/>
      <c r="E65" s="562" t="s">
        <v>14</v>
      </c>
      <c r="F65" s="562"/>
      <c r="G65" s="562"/>
      <c r="H65" s="562"/>
      <c r="I65" s="562"/>
    </row>
    <row r="66" spans="4:9" s="26" customFormat="1" ht="28.5" customHeight="1">
      <c r="D66" s="30"/>
      <c r="E66" s="35"/>
      <c r="F66" s="35"/>
      <c r="G66" s="35"/>
      <c r="H66" s="35"/>
      <c r="I66" s="35"/>
    </row>
    <row r="67" spans="4:9" s="26" customFormat="1" ht="28.5" customHeight="1">
      <c r="D67" s="30"/>
      <c r="E67" s="35"/>
      <c r="F67" s="35"/>
      <c r="G67" s="35"/>
      <c r="H67" s="35"/>
      <c r="I67" s="35"/>
    </row>
    <row r="68" spans="4:9" s="26" customFormat="1" ht="28.5" customHeight="1">
      <c r="D68" s="30"/>
      <c r="E68" s="35"/>
      <c r="F68" s="35"/>
      <c r="G68" s="35"/>
      <c r="H68" s="35"/>
      <c r="I68" s="35"/>
    </row>
    <row r="69" spans="4:9" s="26" customFormat="1" ht="28.5" customHeight="1">
      <c r="D69" s="30"/>
      <c r="E69" s="35"/>
      <c r="F69" s="35"/>
      <c r="G69" s="35"/>
      <c r="H69" s="35"/>
      <c r="I69" s="35"/>
    </row>
    <row r="70" spans="4:9" s="26" customFormat="1" ht="28.5" customHeight="1">
      <c r="D70" s="30"/>
      <c r="E70" s="35"/>
      <c r="F70" s="35"/>
      <c r="G70" s="35"/>
      <c r="H70" s="35"/>
      <c r="I70" s="35"/>
    </row>
    <row r="71" spans="4:9" s="26" customFormat="1" ht="28.5" customHeight="1">
      <c r="D71" s="30"/>
      <c r="E71" s="35"/>
      <c r="F71" s="35"/>
      <c r="G71" s="35"/>
      <c r="H71" s="35"/>
      <c r="I71" s="35"/>
    </row>
    <row r="72" spans="4:9" s="26" customFormat="1" ht="28.5" customHeight="1">
      <c r="D72" s="30"/>
      <c r="E72" s="35"/>
      <c r="F72" s="35"/>
      <c r="G72" s="35"/>
      <c r="H72" s="35"/>
      <c r="I72" s="35"/>
    </row>
    <row r="73" spans="4:9" s="26" customFormat="1" ht="28.5" customHeight="1">
      <c r="D73" s="30"/>
      <c r="E73" s="35"/>
      <c r="F73" s="35"/>
      <c r="G73" s="35"/>
      <c r="H73" s="35"/>
      <c r="I73" s="35"/>
    </row>
    <row r="74" spans="4:9" s="26" customFormat="1" ht="28.5" customHeight="1">
      <c r="D74" s="30"/>
      <c r="E74" s="35"/>
      <c r="F74" s="35"/>
      <c r="G74" s="35"/>
      <c r="H74" s="35"/>
      <c r="I74" s="35"/>
    </row>
    <row r="75" spans="4:9" s="26" customFormat="1" ht="28.5" customHeight="1">
      <c r="D75" s="30"/>
      <c r="E75" s="35"/>
      <c r="F75" s="35"/>
      <c r="G75" s="35"/>
      <c r="H75" s="35"/>
      <c r="I75" s="35"/>
    </row>
    <row r="76" spans="4:9" s="26" customFormat="1" ht="28.5" customHeight="1">
      <c r="D76" s="30"/>
      <c r="E76" s="35"/>
      <c r="F76" s="35"/>
      <c r="G76" s="35"/>
      <c r="H76" s="35"/>
      <c r="I76" s="35"/>
    </row>
    <row r="77" spans="4:9" s="26" customFormat="1" ht="28.5" customHeight="1">
      <c r="D77" s="30"/>
      <c r="E77" s="35"/>
      <c r="F77" s="35"/>
      <c r="G77" s="35"/>
      <c r="H77" s="35"/>
      <c r="I77" s="35"/>
    </row>
    <row r="78" spans="4:9" s="26" customFormat="1" ht="28.5" customHeight="1">
      <c r="D78" s="30"/>
      <c r="E78" s="35"/>
      <c r="F78" s="35"/>
      <c r="G78" s="35"/>
      <c r="H78" s="35"/>
      <c r="I78" s="35"/>
    </row>
    <row r="79" spans="4:9" s="26" customFormat="1" ht="28.5" customHeight="1">
      <c r="D79" s="30"/>
      <c r="E79" s="562" t="s">
        <v>15</v>
      </c>
      <c r="F79" s="562"/>
      <c r="G79" s="562"/>
      <c r="H79" s="562"/>
      <c r="I79" s="562"/>
    </row>
    <row r="80" spans="4:9" s="26" customFormat="1" ht="28.5" customHeight="1">
      <c r="D80" s="30"/>
      <c r="E80" s="35"/>
      <c r="F80" s="35"/>
      <c r="G80" s="35"/>
      <c r="H80" s="35"/>
      <c r="I80" s="35"/>
    </row>
    <row r="81" spans="4:9" s="26" customFormat="1" ht="28.5" customHeight="1">
      <c r="D81" s="30"/>
      <c r="E81" s="35"/>
      <c r="F81" s="35"/>
      <c r="G81" s="35"/>
      <c r="H81" s="35"/>
      <c r="I81" s="35"/>
    </row>
    <row r="82" spans="4:9" s="26" customFormat="1" ht="28.5" customHeight="1">
      <c r="D82" s="30"/>
      <c r="E82" s="35"/>
      <c r="F82" s="35"/>
      <c r="G82" s="35"/>
      <c r="H82" s="35"/>
      <c r="I82" s="35"/>
    </row>
    <row r="83" spans="4:9" s="26" customFormat="1" ht="28.5" customHeight="1">
      <c r="D83" s="30"/>
      <c r="E83" s="35"/>
      <c r="F83" s="35"/>
      <c r="G83" s="35"/>
      <c r="H83" s="35"/>
      <c r="I83" s="35"/>
    </row>
    <row r="84" spans="4:9" s="26" customFormat="1" ht="28.5" customHeight="1">
      <c r="D84" s="30"/>
      <c r="E84" s="35"/>
      <c r="F84" s="35"/>
      <c r="G84" s="35"/>
      <c r="H84" s="35"/>
      <c r="I84" s="35"/>
    </row>
    <row r="85" spans="4:9" s="26" customFormat="1" ht="28.5" customHeight="1">
      <c r="D85" s="30"/>
      <c r="E85" s="35"/>
      <c r="F85" s="35"/>
      <c r="G85" s="35"/>
      <c r="H85" s="35"/>
      <c r="I85" s="35"/>
    </row>
    <row r="86" spans="4:9" s="26" customFormat="1" ht="28.5" customHeight="1">
      <c r="D86" s="30"/>
      <c r="E86" s="35"/>
      <c r="F86" s="35"/>
      <c r="G86" s="35"/>
      <c r="H86" s="35"/>
      <c r="I86" s="35"/>
    </row>
    <row r="87" spans="4:9" s="26" customFormat="1" ht="28.5" customHeight="1">
      <c r="D87" s="30"/>
      <c r="E87" s="35"/>
      <c r="F87" s="35"/>
      <c r="G87" s="35"/>
      <c r="H87" s="35"/>
      <c r="I87" s="35"/>
    </row>
    <row r="88" spans="4:9" s="26" customFormat="1" ht="28.5" customHeight="1">
      <c r="D88" s="30"/>
      <c r="E88" s="35"/>
      <c r="F88" s="35"/>
      <c r="G88" s="35"/>
      <c r="H88" s="35"/>
      <c r="I88" s="35"/>
    </row>
    <row r="89" spans="4:9" s="26" customFormat="1" ht="28.5" customHeight="1">
      <c r="D89" s="30"/>
      <c r="E89" s="35"/>
      <c r="F89" s="35"/>
      <c r="G89" s="35"/>
      <c r="H89" s="35"/>
      <c r="I89" s="35"/>
    </row>
    <row r="90" spans="4:9" s="26" customFormat="1" ht="28.5" customHeight="1">
      <c r="D90" s="30"/>
      <c r="E90" s="35"/>
      <c r="F90" s="35"/>
      <c r="G90" s="35"/>
      <c r="H90" s="35"/>
      <c r="I90" s="35"/>
    </row>
    <row r="91" spans="4:9" s="26" customFormat="1" ht="28.5" customHeight="1">
      <c r="D91" s="30"/>
      <c r="E91" s="35"/>
      <c r="F91" s="35"/>
      <c r="G91" s="35"/>
      <c r="H91" s="35"/>
      <c r="I91" s="35"/>
    </row>
    <row r="92" spans="4:9" s="26" customFormat="1" ht="28.5" customHeight="1">
      <c r="D92" s="30"/>
      <c r="E92" s="35"/>
      <c r="F92" s="35"/>
      <c r="G92" s="35"/>
      <c r="H92" s="35"/>
      <c r="I92" s="35"/>
    </row>
    <row r="93" spans="4:9" s="26" customFormat="1" ht="28.5" customHeight="1">
      <c r="D93" s="30"/>
      <c r="E93" s="562" t="s">
        <v>16</v>
      </c>
      <c r="F93" s="562"/>
      <c r="G93" s="562"/>
      <c r="H93" s="562"/>
      <c r="I93" s="562"/>
    </row>
    <row r="94" spans="4:9" s="26" customFormat="1" ht="28.5" customHeight="1">
      <c r="D94" s="30"/>
      <c r="E94" s="32"/>
      <c r="F94" s="33"/>
      <c r="G94" s="34"/>
      <c r="H94" s="34"/>
      <c r="I94" s="34"/>
    </row>
    <row r="95" spans="4:9" s="26" customFormat="1" ht="28.5" customHeight="1">
      <c r="D95" s="30"/>
      <c r="E95" s="32"/>
      <c r="F95" s="33"/>
      <c r="G95" s="34"/>
      <c r="H95" s="34"/>
      <c r="I95" s="34"/>
    </row>
    <row r="96" spans="4:9" s="26" customFormat="1" ht="28.5" customHeight="1">
      <c r="D96" s="30"/>
      <c r="E96" s="32"/>
      <c r="F96" s="33"/>
      <c r="G96" s="34"/>
      <c r="H96" s="34"/>
      <c r="I96" s="34"/>
    </row>
    <row r="97" spans="4:9" s="26" customFormat="1" ht="28.5" customHeight="1">
      <c r="D97" s="30"/>
      <c r="E97" s="32"/>
      <c r="F97" s="33"/>
      <c r="G97" s="34"/>
      <c r="H97" s="34"/>
      <c r="I97" s="34"/>
    </row>
    <row r="98" spans="4:9" s="26" customFormat="1" ht="28.5" customHeight="1">
      <c r="D98" s="30"/>
      <c r="E98" s="32"/>
      <c r="F98" s="33"/>
      <c r="G98" s="34"/>
      <c r="H98" s="34"/>
      <c r="I98" s="34"/>
    </row>
    <row r="99" spans="4:9" s="26" customFormat="1" ht="28.5" customHeight="1">
      <c r="D99" s="30"/>
      <c r="E99" s="32"/>
      <c r="F99" s="33"/>
      <c r="G99" s="34"/>
      <c r="H99" s="34"/>
      <c r="I99" s="34"/>
    </row>
    <row r="100" spans="4:9" s="26" customFormat="1" ht="28.5" customHeight="1">
      <c r="D100" s="30"/>
      <c r="E100" s="32"/>
      <c r="F100" s="33"/>
      <c r="G100" s="34"/>
      <c r="H100" s="34"/>
      <c r="I100" s="34"/>
    </row>
    <row r="101" spans="4:9" s="26" customFormat="1" ht="28.5" customHeight="1">
      <c r="D101" s="30"/>
      <c r="E101" s="32"/>
      <c r="F101" s="33"/>
      <c r="G101" s="34"/>
      <c r="H101" s="34"/>
      <c r="I101" s="34"/>
    </row>
    <row r="102" spans="4:9" s="26" customFormat="1" ht="28.5" customHeight="1">
      <c r="D102" s="30"/>
      <c r="E102" s="32"/>
      <c r="F102" s="33"/>
      <c r="G102" s="34"/>
      <c r="H102" s="34"/>
      <c r="I102" s="34"/>
    </row>
    <row r="103" spans="4:9" s="26" customFormat="1" ht="28.5" customHeight="1">
      <c r="D103" s="30"/>
      <c r="E103" s="32"/>
      <c r="F103" s="33"/>
      <c r="G103" s="34"/>
      <c r="H103" s="34"/>
      <c r="I103" s="34"/>
    </row>
    <row r="104" spans="4:9" s="26" customFormat="1" ht="28.5" customHeight="1">
      <c r="D104" s="30"/>
      <c r="E104" s="32"/>
      <c r="F104" s="33"/>
      <c r="G104" s="34"/>
      <c r="H104" s="34"/>
      <c r="I104" s="34"/>
    </row>
    <row r="105" spans="4:9" s="26" customFormat="1" ht="28.5" customHeight="1">
      <c r="D105" s="30"/>
      <c r="E105" s="35"/>
      <c r="F105" s="35"/>
      <c r="G105" s="35"/>
      <c r="H105" s="35"/>
      <c r="I105" s="35"/>
    </row>
    <row r="106" spans="4:9" s="26" customFormat="1" ht="28.5" customHeight="1">
      <c r="D106" s="30"/>
      <c r="E106" s="35"/>
      <c r="F106" s="35"/>
      <c r="G106" s="35"/>
      <c r="H106" s="35"/>
      <c r="I106" s="35"/>
    </row>
    <row r="107" spans="4:9" s="26" customFormat="1" ht="28.5" customHeight="1">
      <c r="D107" s="30"/>
      <c r="E107" s="562" t="s">
        <v>66</v>
      </c>
      <c r="F107" s="562"/>
      <c r="G107" s="562"/>
      <c r="H107" s="562"/>
      <c r="I107" s="562"/>
    </row>
    <row r="108" spans="4:9" s="26" customFormat="1" ht="28.5" customHeight="1">
      <c r="D108" s="30"/>
      <c r="E108" s="32"/>
      <c r="F108" s="33"/>
      <c r="G108" s="34"/>
      <c r="H108" s="34"/>
      <c r="I108" s="34"/>
    </row>
    <row r="109" spans="4:9" s="26" customFormat="1" ht="28.5" customHeight="1">
      <c r="D109" s="30"/>
      <c r="E109" s="32"/>
      <c r="F109" s="33"/>
      <c r="G109" s="34"/>
      <c r="H109" s="34"/>
      <c r="I109" s="34"/>
    </row>
    <row r="110" spans="4:9" s="26" customFormat="1" ht="28.5" customHeight="1">
      <c r="D110" s="30"/>
      <c r="E110" s="32"/>
      <c r="F110" s="33"/>
      <c r="G110" s="34"/>
      <c r="H110" s="34"/>
      <c r="I110" s="34"/>
    </row>
    <row r="111" spans="4:9" s="26" customFormat="1" ht="28.5" customHeight="1">
      <c r="D111" s="30"/>
      <c r="E111" s="32"/>
      <c r="F111" s="33"/>
      <c r="G111" s="34"/>
      <c r="H111" s="34"/>
      <c r="I111" s="34"/>
    </row>
    <row r="112" spans="4:9" s="26" customFormat="1" ht="28.5" customHeight="1">
      <c r="D112" s="30"/>
      <c r="E112" s="32"/>
      <c r="F112" s="33"/>
      <c r="G112" s="34"/>
      <c r="H112" s="34"/>
      <c r="I112" s="34"/>
    </row>
    <row r="113" spans="4:9" s="26" customFormat="1" ht="28.5" customHeight="1">
      <c r="D113" s="30"/>
      <c r="E113" s="32"/>
      <c r="F113" s="33"/>
      <c r="G113" s="34"/>
      <c r="H113" s="34"/>
      <c r="I113" s="34"/>
    </row>
    <row r="114" spans="4:9" s="26" customFormat="1" ht="28.5" customHeight="1">
      <c r="D114" s="30"/>
      <c r="E114" s="32"/>
      <c r="F114" s="33"/>
      <c r="G114" s="34"/>
      <c r="H114" s="34"/>
      <c r="I114" s="34"/>
    </row>
    <row r="115" spans="4:9" s="26" customFormat="1" ht="28.5" customHeight="1">
      <c r="D115" s="30"/>
      <c r="E115" s="32"/>
      <c r="F115" s="33"/>
      <c r="G115" s="34"/>
      <c r="H115" s="34"/>
      <c r="I115" s="34"/>
    </row>
    <row r="116" spans="4:9" s="26" customFormat="1" ht="28.5" customHeight="1">
      <c r="D116" s="30"/>
      <c r="E116" s="32"/>
      <c r="F116" s="33"/>
      <c r="G116" s="34"/>
      <c r="H116" s="34"/>
      <c r="I116" s="34"/>
    </row>
    <row r="117" spans="4:9" s="26" customFormat="1" ht="28.5" customHeight="1">
      <c r="D117" s="30"/>
      <c r="E117" s="32"/>
      <c r="F117" s="33"/>
      <c r="G117" s="34"/>
      <c r="H117" s="34"/>
      <c r="I117" s="34"/>
    </row>
    <row r="118" spans="4:9" s="26" customFormat="1" ht="28.5" customHeight="1">
      <c r="D118" s="30"/>
      <c r="E118" s="32"/>
      <c r="F118" s="33"/>
      <c r="G118" s="34"/>
      <c r="H118" s="34"/>
      <c r="I118" s="34"/>
    </row>
    <row r="119" spans="4:9" s="26" customFormat="1" ht="28.5" customHeight="1">
      <c r="D119" s="30"/>
      <c r="E119" s="35"/>
      <c r="F119" s="35"/>
      <c r="G119" s="35"/>
      <c r="H119" s="35"/>
      <c r="I119" s="35"/>
    </row>
    <row r="120" spans="4:9" s="26" customFormat="1" ht="28.5" customHeight="1">
      <c r="D120" s="30"/>
      <c r="E120" s="35"/>
      <c r="F120" s="35"/>
      <c r="G120" s="35"/>
      <c r="H120" s="35"/>
      <c r="I120" s="35"/>
    </row>
    <row r="121" spans="4:9" s="26" customFormat="1" ht="28.5" customHeight="1">
      <c r="D121" s="30"/>
      <c r="E121" s="562" t="s">
        <v>17</v>
      </c>
      <c r="F121" s="562"/>
      <c r="G121" s="562"/>
      <c r="H121" s="562"/>
      <c r="I121" s="562"/>
    </row>
    <row r="122" spans="4:9" s="26" customFormat="1" ht="28.5" customHeight="1">
      <c r="D122" s="30"/>
      <c r="E122" s="32"/>
      <c r="F122" s="33"/>
      <c r="G122" s="34"/>
      <c r="H122" s="34"/>
      <c r="I122" s="34"/>
    </row>
    <row r="123" spans="4:9" s="26" customFormat="1" ht="28.5" customHeight="1">
      <c r="D123" s="30"/>
      <c r="E123" s="32"/>
      <c r="F123" s="33"/>
      <c r="G123" s="34"/>
      <c r="H123" s="34"/>
      <c r="I123" s="34"/>
    </row>
    <row r="124" spans="4:9" s="26" customFormat="1" ht="28.5" customHeight="1">
      <c r="D124" s="30"/>
      <c r="E124" s="32"/>
      <c r="F124" s="33"/>
      <c r="G124" s="34"/>
      <c r="H124" s="34"/>
      <c r="I124" s="34"/>
    </row>
    <row r="125" spans="4:9" s="26" customFormat="1" ht="28.5" customHeight="1">
      <c r="D125" s="30"/>
      <c r="E125" s="32"/>
      <c r="F125" s="33"/>
      <c r="G125" s="34"/>
      <c r="H125" s="34"/>
      <c r="I125" s="34"/>
    </row>
    <row r="126" spans="4:9" s="26" customFormat="1" ht="28.5" customHeight="1">
      <c r="D126" s="30"/>
      <c r="E126" s="32"/>
      <c r="F126" s="33"/>
      <c r="G126" s="34"/>
      <c r="H126" s="34"/>
      <c r="I126" s="34"/>
    </row>
    <row r="127" spans="4:9" s="26" customFormat="1" ht="28.5" customHeight="1">
      <c r="D127" s="30"/>
      <c r="E127" s="32"/>
      <c r="F127" s="33"/>
      <c r="G127" s="34"/>
      <c r="H127" s="34"/>
      <c r="I127" s="34"/>
    </row>
    <row r="128" spans="4:9" s="26" customFormat="1" ht="28.5" customHeight="1">
      <c r="D128" s="30"/>
      <c r="E128" s="32"/>
      <c r="F128" s="33"/>
      <c r="G128" s="34"/>
      <c r="H128" s="34"/>
      <c r="I128" s="34"/>
    </row>
    <row r="129" spans="4:9" s="26" customFormat="1" ht="28.5" customHeight="1">
      <c r="D129" s="30"/>
      <c r="E129" s="32"/>
      <c r="F129" s="33"/>
      <c r="G129" s="34"/>
      <c r="H129" s="34"/>
      <c r="I129" s="34"/>
    </row>
    <row r="130" spans="4:9" s="26" customFormat="1" ht="28.5" customHeight="1">
      <c r="D130" s="30"/>
      <c r="E130" s="32"/>
      <c r="F130" s="33"/>
      <c r="G130" s="34"/>
      <c r="H130" s="34"/>
      <c r="I130" s="34"/>
    </row>
    <row r="131" spans="4:9" s="26" customFormat="1" ht="28.5" customHeight="1">
      <c r="D131" s="30"/>
      <c r="E131" s="32"/>
      <c r="F131" s="33"/>
      <c r="G131" s="34"/>
      <c r="H131" s="34"/>
      <c r="I131" s="34"/>
    </row>
    <row r="132" spans="4:9" s="26" customFormat="1" ht="28.5" customHeight="1">
      <c r="D132" s="30"/>
      <c r="E132" s="35"/>
      <c r="F132" s="35"/>
      <c r="G132" s="35"/>
      <c r="H132" s="35"/>
      <c r="I132" s="35"/>
    </row>
    <row r="133" spans="4:9" s="26" customFormat="1" ht="28.5" customHeight="1">
      <c r="D133" s="30"/>
      <c r="E133" s="35"/>
      <c r="F133" s="35"/>
      <c r="G133" s="35"/>
      <c r="H133" s="35"/>
      <c r="I133" s="35"/>
    </row>
    <row r="134" spans="4:9" s="26" customFormat="1" ht="28.5" customHeight="1">
      <c r="D134" s="30"/>
      <c r="E134" s="562"/>
      <c r="F134" s="562"/>
      <c r="G134" s="562"/>
      <c r="H134" s="562"/>
      <c r="I134" s="562"/>
    </row>
    <row r="135" spans="4:9" s="26" customFormat="1" ht="28.5" customHeight="1">
      <c r="D135" s="30"/>
      <c r="E135" s="562" t="s">
        <v>181</v>
      </c>
      <c r="F135" s="562"/>
      <c r="G135" s="562"/>
      <c r="H135" s="562"/>
      <c r="I135" s="562"/>
    </row>
    <row r="136" spans="4:9" s="26" customFormat="1" ht="28.5" customHeight="1">
      <c r="D136" s="30"/>
      <c r="E136" s="32"/>
      <c r="F136" s="33"/>
      <c r="G136" s="34"/>
      <c r="H136" s="34"/>
      <c r="I136" s="34"/>
    </row>
    <row r="137" spans="4:9" s="26" customFormat="1" ht="28.5" customHeight="1">
      <c r="D137" s="30"/>
      <c r="E137" s="32"/>
      <c r="F137" s="33"/>
      <c r="G137" s="34"/>
      <c r="H137" s="34"/>
      <c r="I137" s="34"/>
    </row>
    <row r="138" spans="4:9" s="26" customFormat="1" ht="28.5" customHeight="1">
      <c r="D138" s="30"/>
      <c r="E138" s="32"/>
      <c r="F138" s="33"/>
      <c r="G138" s="34"/>
      <c r="H138" s="34"/>
      <c r="I138" s="34"/>
    </row>
    <row r="139" spans="4:9" s="26" customFormat="1" ht="28.5" customHeight="1">
      <c r="D139" s="30"/>
      <c r="E139" s="32"/>
      <c r="F139" s="33"/>
      <c r="G139" s="34"/>
      <c r="H139" s="34"/>
      <c r="I139" s="34"/>
    </row>
    <row r="140" spans="4:9" s="26" customFormat="1" ht="28.5" customHeight="1">
      <c r="D140" s="30"/>
      <c r="E140" s="32"/>
      <c r="F140" s="33"/>
      <c r="G140" s="34"/>
      <c r="H140" s="34"/>
      <c r="I140" s="34"/>
    </row>
    <row r="141" spans="4:9" s="26" customFormat="1" ht="28.5" customHeight="1">
      <c r="D141" s="30"/>
      <c r="E141" s="32"/>
      <c r="F141" s="33"/>
      <c r="G141" s="34"/>
      <c r="H141" s="34"/>
      <c r="I141" s="34"/>
    </row>
    <row r="142" spans="4:9" s="26" customFormat="1" ht="28.5" customHeight="1">
      <c r="D142" s="30"/>
      <c r="E142" s="32"/>
      <c r="F142" s="33"/>
      <c r="G142" s="34"/>
      <c r="H142" s="34"/>
      <c r="I142" s="34"/>
    </row>
    <row r="143" spans="4:9" s="26" customFormat="1" ht="28.5" customHeight="1">
      <c r="D143" s="30"/>
      <c r="E143" s="32"/>
      <c r="F143" s="33"/>
      <c r="G143" s="34"/>
      <c r="H143" s="34"/>
      <c r="I143" s="34"/>
    </row>
    <row r="144" spans="4:9" s="26" customFormat="1" ht="28.5" customHeight="1">
      <c r="D144" s="30"/>
      <c r="E144" s="35"/>
      <c r="F144" s="35"/>
      <c r="G144" s="35"/>
      <c r="H144" s="35"/>
      <c r="I144" s="35"/>
    </row>
    <row r="145" spans="4:9" s="26" customFormat="1" ht="28.5" customHeight="1">
      <c r="D145" s="30"/>
      <c r="E145" s="35"/>
      <c r="F145" s="35"/>
      <c r="G145" s="35"/>
      <c r="H145" s="35"/>
      <c r="I145" s="35"/>
    </row>
    <row r="146" spans="4:9" s="26" customFormat="1" ht="28.5" customHeight="1">
      <c r="D146" s="30"/>
      <c r="E146" s="562"/>
      <c r="F146" s="562"/>
      <c r="G146" s="562"/>
      <c r="H146" s="562"/>
      <c r="I146" s="562"/>
    </row>
    <row r="147" spans="4:9" s="26" customFormat="1" ht="28.5" customHeight="1">
      <c r="D147" s="30"/>
      <c r="E147" s="32"/>
      <c r="F147" s="33"/>
      <c r="G147" s="34"/>
      <c r="H147" s="34"/>
      <c r="I147" s="34"/>
    </row>
    <row r="148" spans="4:9" s="26" customFormat="1" ht="28.5" customHeight="1">
      <c r="D148" s="30"/>
      <c r="E148" s="32"/>
      <c r="F148" s="33"/>
      <c r="G148" s="34"/>
      <c r="H148" s="34"/>
      <c r="I148" s="34"/>
    </row>
    <row r="149" spans="4:9" s="26" customFormat="1" ht="28.5" customHeight="1">
      <c r="D149" s="30"/>
      <c r="E149" s="562" t="s">
        <v>18</v>
      </c>
      <c r="F149" s="562"/>
      <c r="G149" s="562"/>
      <c r="H149" s="562"/>
      <c r="I149" s="562"/>
    </row>
    <row r="150" spans="4:9" s="26" customFormat="1" ht="28.5" customHeight="1">
      <c r="D150" s="30"/>
      <c r="E150" s="32"/>
      <c r="F150" s="33"/>
      <c r="G150" s="34"/>
      <c r="H150" s="34"/>
      <c r="I150" s="34"/>
    </row>
    <row r="151" spans="4:9" s="26" customFormat="1" ht="28.5" customHeight="1">
      <c r="D151" s="30"/>
      <c r="E151" s="32"/>
      <c r="F151" s="33"/>
      <c r="G151" s="34"/>
      <c r="H151" s="34"/>
      <c r="I151" s="34"/>
    </row>
    <row r="152" spans="4:9" s="26" customFormat="1" ht="28.5" customHeight="1">
      <c r="D152" s="30"/>
      <c r="E152" s="32"/>
      <c r="F152" s="33"/>
      <c r="G152" s="34"/>
      <c r="H152" s="34"/>
      <c r="I152" s="34"/>
    </row>
    <row r="153" spans="4:9" s="26" customFormat="1" ht="28.5" customHeight="1">
      <c r="D153" s="30"/>
      <c r="E153" s="32"/>
      <c r="F153" s="33"/>
      <c r="G153" s="34"/>
      <c r="H153" s="34"/>
      <c r="I153" s="34"/>
    </row>
    <row r="154" spans="4:9" s="26" customFormat="1" ht="28.5" customHeight="1">
      <c r="D154" s="30"/>
      <c r="E154" s="32"/>
      <c r="F154" s="33"/>
      <c r="G154" s="34"/>
      <c r="H154" s="34"/>
      <c r="I154" s="34"/>
    </row>
    <row r="155" spans="4:9" s="26" customFormat="1" ht="28.5" customHeight="1">
      <c r="D155" s="30"/>
      <c r="E155" s="31"/>
      <c r="F155" s="28"/>
      <c r="G155" s="29"/>
      <c r="H155" s="29"/>
    </row>
    <row r="156" spans="4:9" s="26" customFormat="1" ht="28.5" customHeight="1">
      <c r="D156" s="30"/>
      <c r="E156" s="31"/>
      <c r="F156" s="28"/>
      <c r="G156" s="29"/>
      <c r="H156" s="29"/>
    </row>
    <row r="157" spans="4:9" s="26" customFormat="1" ht="28.5" customHeight="1">
      <c r="D157" s="30"/>
      <c r="E157" s="32"/>
      <c r="F157" s="33"/>
      <c r="G157" s="34"/>
      <c r="H157" s="34"/>
      <c r="I157" s="34"/>
    </row>
    <row r="158" spans="4:9" s="26" customFormat="1" ht="28.5" customHeight="1">
      <c r="D158" s="30"/>
      <c r="E158" s="32"/>
      <c r="F158" s="33"/>
      <c r="G158" s="34"/>
      <c r="H158" s="34"/>
      <c r="I158" s="34"/>
    </row>
    <row r="159" spans="4:9" s="26" customFormat="1" ht="28.5" customHeight="1">
      <c r="D159" s="30"/>
      <c r="E159" s="32"/>
      <c r="F159" s="33"/>
      <c r="G159" s="34"/>
      <c r="H159" s="34"/>
      <c r="I159" s="34"/>
    </row>
    <row r="160" spans="4:9" s="26" customFormat="1" ht="28.5" customHeight="1">
      <c r="D160" s="30"/>
      <c r="E160" s="35"/>
      <c r="F160" s="35"/>
      <c r="G160" s="35"/>
      <c r="H160" s="35"/>
      <c r="I160" s="35"/>
    </row>
    <row r="161" spans="1:12" s="26" customFormat="1" ht="28.5" customHeight="1">
      <c r="D161" s="30"/>
      <c r="E161" s="35"/>
      <c r="F161" s="35"/>
      <c r="G161" s="35"/>
      <c r="H161" s="35"/>
      <c r="I161" s="35"/>
    </row>
    <row r="162" spans="1:12" s="26" customFormat="1" ht="28.5" customHeight="1">
      <c r="D162" s="30"/>
      <c r="E162" s="562" t="s">
        <v>65</v>
      </c>
      <c r="F162" s="562"/>
      <c r="G162" s="562"/>
      <c r="H162" s="562"/>
      <c r="I162" s="562"/>
    </row>
    <row r="163" spans="1:12" s="26" customFormat="1" ht="28.5" customHeight="1">
      <c r="D163" s="30"/>
      <c r="E163" s="32"/>
      <c r="F163" s="33"/>
      <c r="G163" s="34"/>
      <c r="H163" s="34"/>
      <c r="I163" s="34"/>
    </row>
    <row r="164" spans="1:12" s="26" customFormat="1" ht="28.5" customHeight="1">
      <c r="D164" s="30"/>
      <c r="E164" s="32"/>
      <c r="F164" s="33"/>
      <c r="G164" s="34"/>
      <c r="H164" s="34"/>
      <c r="I164" s="34"/>
    </row>
    <row r="165" spans="1:12" s="26" customFormat="1" ht="28.5" customHeight="1">
      <c r="D165" s="30"/>
      <c r="E165" s="32"/>
      <c r="F165" s="33"/>
      <c r="G165" s="34"/>
      <c r="H165" s="34"/>
      <c r="I165" s="34"/>
    </row>
    <row r="166" spans="1:12" s="26" customFormat="1" ht="28.5" customHeight="1">
      <c r="D166" s="30"/>
      <c r="E166" s="32"/>
      <c r="F166" s="33"/>
      <c r="G166" s="34"/>
      <c r="H166" s="34"/>
      <c r="I166" s="34"/>
    </row>
    <row r="167" spans="1:12" s="26" customFormat="1" ht="28.5" customHeight="1">
      <c r="D167" s="30"/>
      <c r="E167" s="32"/>
      <c r="F167" s="33"/>
      <c r="G167" s="34"/>
      <c r="H167" s="34"/>
      <c r="I167" s="34"/>
    </row>
    <row r="168" spans="1:12" s="26" customFormat="1" ht="28.5" customHeight="1">
      <c r="D168" s="30"/>
      <c r="E168" s="32"/>
      <c r="F168" s="33"/>
      <c r="G168" s="34"/>
      <c r="H168" s="34"/>
      <c r="I168" s="34"/>
    </row>
    <row r="169" spans="1:12" s="26" customFormat="1" ht="28.5" customHeight="1">
      <c r="D169" s="30"/>
      <c r="E169" s="32"/>
      <c r="F169" s="33"/>
      <c r="G169" s="34"/>
      <c r="H169" s="34"/>
      <c r="I169" s="34"/>
    </row>
    <row r="170" spans="1:12" s="26" customFormat="1" ht="28.5" customHeight="1">
      <c r="D170" s="30"/>
      <c r="E170" s="32"/>
      <c r="F170" s="33"/>
      <c r="G170" s="34"/>
      <c r="H170" s="34"/>
      <c r="I170" s="34"/>
    </row>
    <row r="171" spans="1:12" s="26" customFormat="1" ht="28.5" customHeight="1">
      <c r="D171" s="30"/>
      <c r="E171" s="31"/>
      <c r="F171" s="28"/>
      <c r="G171" s="29"/>
      <c r="H171" s="29"/>
    </row>
    <row r="172" spans="1:12" s="26" customFormat="1" ht="28.5" customHeight="1">
      <c r="D172" s="30"/>
      <c r="E172" s="31"/>
      <c r="F172" s="28"/>
      <c r="G172" s="29"/>
      <c r="H172" s="29"/>
    </row>
    <row r="173" spans="1:12" s="26" customFormat="1" ht="28.5" customHeight="1">
      <c r="D173" s="30"/>
      <c r="E173" s="31"/>
      <c r="F173" s="28"/>
      <c r="G173" s="29"/>
      <c r="H173" s="29"/>
    </row>
    <row r="174" spans="1:12" s="26" customFormat="1" ht="28.5" customHeight="1">
      <c r="D174" s="30"/>
      <c r="E174" s="31"/>
      <c r="F174" s="28"/>
      <c r="G174" s="29"/>
      <c r="H174" s="29"/>
    </row>
    <row r="175" spans="1:12" s="29" customFormat="1" ht="28.5" customHeight="1">
      <c r="A175" s="26"/>
      <c r="B175" s="26"/>
      <c r="C175" s="26"/>
      <c r="D175" s="30"/>
      <c r="E175" s="31"/>
      <c r="F175" s="28"/>
      <c r="I175" s="26"/>
      <c r="J175" s="26"/>
      <c r="K175" s="26"/>
      <c r="L175" s="26"/>
    </row>
    <row r="176" spans="1:12" s="29" customFormat="1" ht="28.5" customHeight="1">
      <c r="A176" s="26"/>
      <c r="B176" s="26"/>
      <c r="C176" s="26"/>
      <c r="D176" s="30"/>
      <c r="E176" s="31"/>
      <c r="F176" s="28"/>
      <c r="I176" s="26"/>
      <c r="J176" s="26"/>
      <c r="K176" s="26"/>
      <c r="L176" s="26"/>
    </row>
    <row r="177" spans="1:12" s="29" customFormat="1" ht="28.5" customHeight="1">
      <c r="A177" s="26"/>
      <c r="B177" s="26"/>
      <c r="C177" s="26"/>
      <c r="D177" s="30"/>
      <c r="E177" s="31"/>
      <c r="F177" s="28"/>
      <c r="I177" s="26"/>
      <c r="J177" s="26"/>
      <c r="K177" s="26"/>
      <c r="L177" s="26"/>
    </row>
  </sheetData>
  <mergeCells count="26">
    <mergeCell ref="E149:I149"/>
    <mergeCell ref="E146:I146"/>
    <mergeCell ref="E12:I12"/>
    <mergeCell ref="E14:I14"/>
    <mergeCell ref="E162:I162"/>
    <mergeCell ref="E134:I134"/>
    <mergeCell ref="E135:I135"/>
    <mergeCell ref="E37:I37"/>
    <mergeCell ref="E51:I51"/>
    <mergeCell ref="E107:I107"/>
    <mergeCell ref="E121:I121"/>
    <mergeCell ref="E8:I8"/>
    <mergeCell ref="E65:I65"/>
    <mergeCell ref="E79:I79"/>
    <mergeCell ref="E93:I93"/>
    <mergeCell ref="E1:I1"/>
    <mergeCell ref="E4:I4"/>
    <mergeCell ref="E5:I5"/>
    <mergeCell ref="E6:I6"/>
    <mergeCell ref="E7:I7"/>
    <mergeCell ref="E9:I9"/>
    <mergeCell ref="E13:I13"/>
    <mergeCell ref="E10:I10"/>
    <mergeCell ref="E15:I15"/>
    <mergeCell ref="E23:I23"/>
    <mergeCell ref="E11:I11"/>
  </mergeCells>
  <phoneticPr fontId="13" type="noConversion"/>
  <pageMargins left="0.59055118110236227" right="0.59055118110236227" top="1.5748031496062993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79998168889431442"/>
  </sheetPr>
  <dimension ref="A1:O34"/>
  <sheetViews>
    <sheetView view="pageBreakPreview" zoomScaleNormal="100" zoomScaleSheetLayoutView="100" workbookViewId="0">
      <selection activeCell="A3" sqref="A3"/>
    </sheetView>
  </sheetViews>
  <sheetFormatPr defaultRowHeight="13.5"/>
  <cols>
    <col min="1" max="1" width="10.77734375" style="45" customWidth="1"/>
    <col min="2" max="3" width="6.77734375" style="45" customWidth="1"/>
    <col min="4" max="4" width="4.5546875" style="45" customWidth="1"/>
    <col min="5" max="6" width="6.77734375" style="45" customWidth="1"/>
    <col min="7" max="7" width="10.77734375" style="45" customWidth="1"/>
    <col min="8" max="8" width="9.88671875" style="45" customWidth="1"/>
    <col min="9" max="9" width="6.77734375" style="45" customWidth="1"/>
    <col min="10" max="10" width="10.77734375" style="45" customWidth="1"/>
    <col min="11" max="12" width="6.77734375" style="45" customWidth="1"/>
    <col min="13" max="13" width="8" style="45" customWidth="1"/>
    <col min="14" max="14" width="6.5546875" style="45" customWidth="1"/>
    <col min="15" max="16384" width="8.88671875" style="45"/>
  </cols>
  <sheetData>
    <row r="1" spans="1:15" s="38" customFormat="1" ht="26.25" customHeight="1">
      <c r="A1" s="564" t="s">
        <v>19</v>
      </c>
      <c r="B1" s="564"/>
      <c r="C1" s="564"/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37"/>
    </row>
    <row r="2" spans="1:15" s="40" customFormat="1" ht="15" customHeight="1">
      <c r="A2" s="39" t="s">
        <v>5653</v>
      </c>
      <c r="O2" s="41"/>
    </row>
    <row r="3" spans="1:15" s="40" customFormat="1" ht="15" customHeight="1">
      <c r="A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s="40" customFormat="1" ht="15" customHeight="1">
      <c r="A4" s="39" t="s">
        <v>20</v>
      </c>
      <c r="C4" s="43"/>
      <c r="D4" s="44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s="175" customFormat="1" ht="15" customHeight="1">
      <c r="B5" s="175" t="s">
        <v>5649</v>
      </c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</row>
    <row r="6" spans="1:15" s="40" customFormat="1" ht="15" customHeight="1"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5" s="40" customFormat="1" ht="15" hidden="1" customHeight="1">
      <c r="A7" s="39" t="s">
        <v>227</v>
      </c>
      <c r="C7" s="43"/>
      <c r="D7" s="44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</row>
    <row r="8" spans="1:15" s="40" customFormat="1" ht="15" hidden="1" customHeight="1">
      <c r="B8" s="244" t="s">
        <v>228</v>
      </c>
      <c r="C8" s="175"/>
      <c r="D8" s="175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5" s="40" customFormat="1" ht="15" hidden="1" customHeight="1">
      <c r="B9" s="175"/>
      <c r="C9" s="175"/>
      <c r="D9" s="175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5" s="40" customFormat="1" ht="15" customHeight="1">
      <c r="A10" s="39" t="s">
        <v>253</v>
      </c>
      <c r="C10" s="41"/>
      <c r="D10" s="41"/>
      <c r="E10" s="41"/>
      <c r="F10" s="41"/>
      <c r="G10" s="41"/>
      <c r="H10" s="41"/>
      <c r="I10" s="41"/>
      <c r="J10" s="41"/>
      <c r="K10" s="41"/>
      <c r="O10" s="41"/>
    </row>
    <row r="11" spans="1:15" s="175" customFormat="1" ht="15" customHeight="1">
      <c r="A11" s="174"/>
      <c r="C11" s="176"/>
      <c r="D11" s="176"/>
      <c r="E11" s="176"/>
      <c r="F11" s="176"/>
      <c r="G11" s="176"/>
      <c r="H11" s="176"/>
      <c r="I11" s="176"/>
      <c r="J11" s="176"/>
      <c r="K11" s="176"/>
      <c r="O11" s="176"/>
    </row>
    <row r="12" spans="1:15" s="175" customFormat="1" ht="15" customHeight="1">
      <c r="A12" s="174"/>
      <c r="B12" s="174" t="s">
        <v>263</v>
      </c>
      <c r="C12" s="176"/>
      <c r="D12" s="176"/>
      <c r="E12" s="176"/>
      <c r="F12" s="176"/>
      <c r="G12" s="174" t="s">
        <v>340</v>
      </c>
      <c r="H12" s="176"/>
      <c r="I12" s="176"/>
      <c r="J12" s="176"/>
      <c r="K12" s="176"/>
      <c r="O12" s="176"/>
    </row>
    <row r="13" spans="1:15" s="175" customFormat="1" ht="15" customHeight="1">
      <c r="A13" s="174"/>
      <c r="C13" s="176"/>
      <c r="D13" s="176"/>
      <c r="E13" s="176"/>
      <c r="F13" s="176"/>
      <c r="G13" s="176"/>
      <c r="H13" s="176"/>
      <c r="I13" s="176"/>
      <c r="J13" s="176"/>
      <c r="K13" s="176"/>
      <c r="O13" s="176"/>
    </row>
    <row r="14" spans="1:15" s="175" customFormat="1" ht="15" customHeight="1">
      <c r="A14" s="174"/>
      <c r="B14" s="174" t="s">
        <v>689</v>
      </c>
      <c r="C14" s="176"/>
      <c r="D14" s="176"/>
      <c r="E14" s="176"/>
      <c r="F14" s="176"/>
      <c r="G14" s="174" t="s">
        <v>690</v>
      </c>
      <c r="H14" s="176"/>
      <c r="I14" s="176"/>
      <c r="J14" s="176"/>
      <c r="K14" s="176"/>
      <c r="O14" s="176"/>
    </row>
    <row r="15" spans="1:15" s="175" customFormat="1" ht="15" customHeight="1">
      <c r="A15" s="174"/>
      <c r="B15" s="174"/>
      <c r="C15" s="176"/>
      <c r="D15" s="176"/>
      <c r="E15" s="176"/>
      <c r="F15" s="176"/>
      <c r="G15" s="174"/>
      <c r="H15" s="176"/>
      <c r="I15" s="176"/>
      <c r="J15" s="176"/>
      <c r="K15" s="176"/>
      <c r="O15" s="176"/>
    </row>
    <row r="16" spans="1:15" s="175" customFormat="1" ht="15" customHeight="1">
      <c r="A16" s="174"/>
      <c r="B16" s="174" t="s">
        <v>691</v>
      </c>
      <c r="C16" s="176"/>
      <c r="D16" s="176"/>
      <c r="E16" s="176"/>
      <c r="F16" s="176"/>
      <c r="G16" s="174" t="s">
        <v>692</v>
      </c>
      <c r="H16" s="176"/>
      <c r="I16" s="176"/>
      <c r="J16" s="176"/>
      <c r="K16" s="176"/>
      <c r="O16" s="176"/>
    </row>
    <row r="17" spans="1:15" s="175" customFormat="1" ht="15" customHeight="1">
      <c r="A17" s="174"/>
      <c r="C17" s="176"/>
      <c r="D17" s="176"/>
      <c r="E17" s="176"/>
      <c r="F17" s="176"/>
      <c r="G17" s="176"/>
      <c r="H17" s="176"/>
      <c r="I17" s="176"/>
      <c r="J17" s="176"/>
      <c r="K17" s="176"/>
      <c r="O17" s="176"/>
    </row>
    <row r="18" spans="1:15" s="175" customFormat="1" ht="15" customHeight="1">
      <c r="A18" s="174"/>
      <c r="B18" s="174" t="s">
        <v>774</v>
      </c>
      <c r="C18" s="176"/>
      <c r="D18" s="176"/>
      <c r="E18" s="176"/>
      <c r="F18" s="176"/>
      <c r="G18" s="174" t="s">
        <v>775</v>
      </c>
      <c r="H18" s="176"/>
      <c r="I18" s="176"/>
      <c r="J18" s="176"/>
      <c r="K18" s="176"/>
      <c r="O18" s="176"/>
    </row>
    <row r="19" spans="1:15" s="175" customFormat="1" ht="15" customHeight="1">
      <c r="A19" s="174"/>
      <c r="C19" s="176"/>
      <c r="D19" s="176"/>
      <c r="E19" s="176"/>
      <c r="F19" s="176"/>
      <c r="G19" s="176"/>
      <c r="H19" s="176"/>
      <c r="I19" s="176"/>
      <c r="J19" s="176"/>
      <c r="K19" s="176"/>
      <c r="O19" s="176"/>
    </row>
    <row r="20" spans="1:15" s="175" customFormat="1" ht="15" customHeight="1">
      <c r="A20" s="174"/>
      <c r="B20" s="174" t="s">
        <v>776</v>
      </c>
      <c r="C20" s="176"/>
      <c r="D20" s="176"/>
      <c r="E20" s="176"/>
      <c r="F20" s="176"/>
      <c r="G20" s="174" t="s">
        <v>777</v>
      </c>
      <c r="H20" s="176"/>
      <c r="I20" s="176"/>
      <c r="J20" s="176"/>
      <c r="K20" s="176"/>
      <c r="O20" s="176"/>
    </row>
    <row r="21" spans="1:15" s="175" customFormat="1" ht="15" customHeight="1">
      <c r="A21" s="174"/>
      <c r="B21" s="174"/>
      <c r="C21" s="176"/>
      <c r="D21" s="176"/>
      <c r="E21" s="176"/>
      <c r="F21" s="176"/>
      <c r="G21" s="174"/>
      <c r="H21" s="176"/>
      <c r="I21" s="176"/>
      <c r="J21" s="176"/>
      <c r="K21" s="176"/>
      <c r="O21" s="176"/>
    </row>
    <row r="22" spans="1:15" s="175" customFormat="1" ht="15" customHeight="1">
      <c r="A22" s="174"/>
      <c r="B22" s="174" t="s">
        <v>778</v>
      </c>
      <c r="C22" s="176"/>
      <c r="D22" s="176"/>
      <c r="E22" s="176"/>
      <c r="F22" s="176"/>
      <c r="G22" s="174" t="s">
        <v>779</v>
      </c>
      <c r="H22" s="176"/>
      <c r="I22" s="176"/>
      <c r="J22" s="176"/>
      <c r="K22" s="176"/>
      <c r="O22" s="176"/>
    </row>
    <row r="23" spans="1:15" s="175" customFormat="1" ht="15" customHeight="1">
      <c r="A23" s="174"/>
      <c r="C23" s="176"/>
      <c r="D23" s="176"/>
      <c r="E23" s="176"/>
      <c r="F23" s="176"/>
      <c r="G23" s="174"/>
      <c r="H23" s="176"/>
      <c r="I23" s="176"/>
      <c r="J23" s="176"/>
      <c r="K23" s="176"/>
      <c r="O23" s="176"/>
    </row>
    <row r="24" spans="1:15" s="175" customFormat="1" ht="15" customHeight="1">
      <c r="A24" s="174" t="s">
        <v>254</v>
      </c>
      <c r="B24" s="212"/>
      <c r="C24" s="213"/>
      <c r="D24" s="213"/>
      <c r="E24" s="213"/>
      <c r="F24" s="213"/>
      <c r="G24" s="214"/>
      <c r="H24" s="214"/>
      <c r="I24" s="214"/>
      <c r="J24" s="214"/>
      <c r="K24" s="176"/>
      <c r="O24" s="176"/>
    </row>
    <row r="25" spans="1:15" s="217" customFormat="1" ht="15" customHeight="1">
      <c r="A25" s="215"/>
      <c r="B25" s="215" t="s">
        <v>800</v>
      </c>
      <c r="C25" s="215"/>
      <c r="D25" s="215"/>
      <c r="E25" s="215"/>
      <c r="F25" s="215"/>
      <c r="G25" s="216"/>
      <c r="H25" s="216"/>
      <c r="I25" s="216"/>
      <c r="J25" s="216"/>
      <c r="K25" s="176"/>
      <c r="L25" s="175"/>
      <c r="M25" s="175"/>
      <c r="N25" s="175"/>
    </row>
    <row r="26" spans="1:15" s="218" customFormat="1" ht="15" customHeight="1">
      <c r="A26" s="215"/>
      <c r="B26" s="215" t="s">
        <v>801</v>
      </c>
      <c r="C26" s="215"/>
      <c r="D26" s="215"/>
      <c r="E26" s="215"/>
      <c r="F26" s="215"/>
      <c r="G26" s="216"/>
      <c r="H26" s="216"/>
      <c r="I26" s="216"/>
      <c r="J26" s="216"/>
      <c r="K26" s="176"/>
      <c r="L26" s="175"/>
      <c r="M26" s="175"/>
      <c r="N26" s="175"/>
    </row>
    <row r="27" spans="1:15" s="218" customFormat="1" ht="15" customHeight="1">
      <c r="A27" s="215"/>
      <c r="B27" s="215" t="s">
        <v>27</v>
      </c>
      <c r="C27" s="215"/>
      <c r="D27" s="215"/>
      <c r="E27" s="215"/>
      <c r="F27" s="215"/>
      <c r="G27" s="216"/>
      <c r="H27" s="216"/>
      <c r="I27" s="216"/>
      <c r="J27" s="216"/>
      <c r="K27" s="176"/>
      <c r="L27" s="175"/>
      <c r="M27" s="175"/>
      <c r="N27" s="175"/>
    </row>
    <row r="28" spans="1:15" s="218" customFormat="1" ht="15" customHeight="1">
      <c r="A28" s="215"/>
      <c r="B28" s="215" t="s">
        <v>802</v>
      </c>
      <c r="C28" s="215"/>
      <c r="D28" s="215"/>
      <c r="E28" s="215"/>
      <c r="F28" s="215"/>
      <c r="G28" s="216"/>
      <c r="H28" s="216"/>
      <c r="I28" s="216"/>
      <c r="J28" s="216"/>
      <c r="K28" s="216"/>
      <c r="L28" s="216"/>
      <c r="M28" s="216"/>
    </row>
    <row r="29" spans="1:15" s="218" customFormat="1" ht="15" customHeight="1">
      <c r="A29" s="215"/>
      <c r="B29" s="215"/>
      <c r="C29" s="215"/>
      <c r="D29" s="215"/>
      <c r="E29" s="215"/>
      <c r="F29" s="215"/>
      <c r="G29" s="216"/>
      <c r="H29" s="216"/>
      <c r="I29" s="216"/>
      <c r="J29" s="216"/>
      <c r="K29" s="216"/>
      <c r="L29" s="216"/>
      <c r="M29" s="216"/>
    </row>
    <row r="30" spans="1:15" s="218" customFormat="1" ht="15" customHeight="1">
      <c r="A30" s="174" t="s">
        <v>255</v>
      </c>
      <c r="B30" s="175"/>
      <c r="C30" s="176"/>
      <c r="D30" s="176"/>
      <c r="E30" s="176"/>
      <c r="F30" s="176"/>
      <c r="G30" s="176"/>
      <c r="H30" s="176"/>
      <c r="I30" s="176"/>
      <c r="J30" s="176"/>
      <c r="K30" s="216"/>
      <c r="L30" s="216"/>
      <c r="M30" s="216"/>
    </row>
    <row r="31" spans="1:15" s="175" customFormat="1" ht="15" customHeight="1">
      <c r="A31" s="174"/>
      <c r="B31" s="175" t="s">
        <v>5647</v>
      </c>
      <c r="C31" s="176"/>
      <c r="D31" s="176"/>
      <c r="E31" s="176"/>
      <c r="F31" s="176"/>
      <c r="G31" s="176"/>
      <c r="H31" s="176"/>
      <c r="I31" s="176"/>
      <c r="J31" s="176"/>
      <c r="K31" s="216"/>
      <c r="L31" s="216"/>
      <c r="M31" s="216"/>
      <c r="N31" s="218"/>
      <c r="O31" s="176"/>
    </row>
    <row r="32" spans="1:15" s="175" customFormat="1" ht="20.25" customHeight="1">
      <c r="O32" s="176"/>
    </row>
    <row r="33" spans="2:8" s="219" customFormat="1">
      <c r="B33" s="220"/>
      <c r="C33" s="221"/>
      <c r="D33" s="220"/>
      <c r="E33" s="220"/>
      <c r="F33" s="221"/>
      <c r="G33" s="221"/>
      <c r="H33" s="221"/>
    </row>
    <row r="34" spans="2:8">
      <c r="B34" s="38"/>
      <c r="C34" s="37"/>
      <c r="D34" s="38"/>
      <c r="E34" s="38"/>
      <c r="F34" s="37"/>
      <c r="G34" s="37"/>
      <c r="H34" s="37"/>
    </row>
  </sheetData>
  <mergeCells count="1">
    <mergeCell ref="A1:N1"/>
  </mergeCells>
  <phoneticPr fontId="13" type="noConversion"/>
  <pageMargins left="0.98425196850393704" right="0.47244094488188981" top="0.82677165354330717" bottom="0.59055118110236227" header="0.70866141732283472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79998168889431442"/>
  </sheetPr>
  <dimension ref="A1:W35"/>
  <sheetViews>
    <sheetView view="pageBreakPreview" zoomScaleNormal="100" workbookViewId="0">
      <selection activeCell="C2" sqref="C2"/>
    </sheetView>
  </sheetViews>
  <sheetFormatPr defaultRowHeight="13.5"/>
  <cols>
    <col min="1" max="3" width="6.77734375" style="45" customWidth="1"/>
    <col min="4" max="10" width="7.5546875" style="219" hidden="1" customWidth="1"/>
    <col min="11" max="15" width="7.5546875" style="219" customWidth="1"/>
    <col min="16" max="16" width="4.77734375" style="219" customWidth="1"/>
    <col min="17" max="16384" width="8.88671875" style="45"/>
  </cols>
  <sheetData>
    <row r="1" spans="1:23" ht="36" customHeight="1">
      <c r="A1" s="564" t="s">
        <v>21</v>
      </c>
      <c r="B1" s="564"/>
      <c r="C1" s="564"/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564"/>
      <c r="P1" s="564"/>
    </row>
    <row r="2" spans="1:23" ht="10.5" customHeight="1">
      <c r="A2" s="125"/>
      <c r="B2" s="125"/>
      <c r="C2" s="125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</row>
    <row r="3" spans="1:23" s="46" customFormat="1" ht="25.5" customHeight="1" thickBot="1">
      <c r="A3" s="46" t="s">
        <v>5655</v>
      </c>
      <c r="D3" s="229"/>
      <c r="E3" s="229"/>
      <c r="F3" s="229"/>
      <c r="G3" s="229"/>
      <c r="H3" s="229"/>
      <c r="I3" s="229"/>
      <c r="J3" s="292"/>
      <c r="K3" s="292"/>
      <c r="L3" s="292"/>
      <c r="M3" s="292"/>
      <c r="N3" s="292"/>
      <c r="O3" s="292"/>
      <c r="P3" s="292"/>
    </row>
    <row r="4" spans="1:23" s="37" customFormat="1" ht="18.75" customHeight="1">
      <c r="A4" s="47"/>
      <c r="B4" s="48"/>
      <c r="C4" s="49" t="s">
        <v>22</v>
      </c>
      <c r="D4" s="582" t="s">
        <v>5660</v>
      </c>
      <c r="E4" s="584" t="s">
        <v>804</v>
      </c>
      <c r="F4" s="584" t="s">
        <v>693</v>
      </c>
      <c r="G4" s="584" t="s">
        <v>694</v>
      </c>
      <c r="H4" s="582" t="s">
        <v>695</v>
      </c>
      <c r="I4" s="584" t="s">
        <v>696</v>
      </c>
      <c r="J4" s="582" t="s">
        <v>697</v>
      </c>
      <c r="K4" s="584" t="s">
        <v>698</v>
      </c>
      <c r="L4" s="582" t="s">
        <v>699</v>
      </c>
      <c r="M4" s="584" t="s">
        <v>700</v>
      </c>
      <c r="N4" s="582" t="s">
        <v>264</v>
      </c>
      <c r="O4" s="584" t="s">
        <v>265</v>
      </c>
      <c r="P4" s="580" t="s">
        <v>23</v>
      </c>
      <c r="Q4" s="50"/>
    </row>
    <row r="5" spans="1:23" s="221" customFormat="1" ht="18.75" customHeight="1" thickBot="1">
      <c r="A5" s="235" t="s">
        <v>24</v>
      </c>
      <c r="B5" s="236"/>
      <c r="C5" s="234"/>
      <c r="D5" s="583"/>
      <c r="E5" s="585"/>
      <c r="F5" s="585"/>
      <c r="G5" s="585"/>
      <c r="H5" s="583"/>
      <c r="I5" s="585"/>
      <c r="J5" s="583"/>
      <c r="K5" s="585"/>
      <c r="L5" s="583"/>
      <c r="M5" s="585"/>
      <c r="N5" s="583"/>
      <c r="O5" s="585"/>
      <c r="P5" s="581"/>
      <c r="Q5" s="237"/>
    </row>
    <row r="6" spans="1:23" s="221" customFormat="1" ht="12" customHeight="1" thickTop="1" thickBot="1">
      <c r="A6" s="565" t="s">
        <v>266</v>
      </c>
      <c r="B6" s="566"/>
      <c r="C6" s="567"/>
      <c r="D6" s="413"/>
      <c r="E6" s="414"/>
      <c r="F6" s="414"/>
      <c r="G6" s="414"/>
      <c r="H6" s="415"/>
      <c r="I6" s="414"/>
      <c r="J6" s="415"/>
      <c r="K6" s="414"/>
      <c r="L6" s="415"/>
      <c r="M6" s="414"/>
      <c r="N6" s="415"/>
      <c r="O6" s="414"/>
      <c r="P6" s="238"/>
      <c r="Q6" s="239"/>
    </row>
    <row r="7" spans="1:23" s="221" customFormat="1" ht="12" customHeight="1" thickTop="1">
      <c r="A7" s="568"/>
      <c r="B7" s="569"/>
      <c r="C7" s="570"/>
      <c r="D7" s="416"/>
      <c r="E7" s="417"/>
      <c r="F7" s="417"/>
      <c r="G7" s="417"/>
      <c r="H7" s="416"/>
      <c r="I7" s="417"/>
      <c r="J7" s="416"/>
      <c r="K7" s="417"/>
      <c r="L7" s="416"/>
      <c r="M7" s="417"/>
      <c r="N7" s="416"/>
      <c r="O7" s="417"/>
      <c r="P7" s="240"/>
      <c r="Q7" s="239"/>
      <c r="R7" s="174"/>
      <c r="S7" s="176"/>
      <c r="T7" s="176"/>
      <c r="U7" s="176"/>
      <c r="V7" s="176"/>
      <c r="W7" s="174"/>
    </row>
    <row r="8" spans="1:23" s="221" customFormat="1" ht="12" customHeight="1" thickBot="1">
      <c r="A8" s="577" t="str">
        <f>설계설명서!B12</f>
        <v>1. 숲길정비공</v>
      </c>
      <c r="B8" s="578"/>
      <c r="C8" s="579"/>
      <c r="D8" s="418"/>
      <c r="E8" s="419"/>
      <c r="F8" s="419"/>
      <c r="G8" s="419"/>
      <c r="H8" s="420"/>
      <c r="I8" s="419"/>
      <c r="J8" s="420"/>
      <c r="K8" s="419"/>
      <c r="L8" s="420"/>
      <c r="M8" s="419"/>
      <c r="N8" s="420"/>
      <c r="O8" s="421"/>
      <c r="P8" s="280"/>
      <c r="Q8" s="239"/>
      <c r="R8" s="175"/>
      <c r="S8" s="176"/>
      <c r="T8" s="176"/>
      <c r="U8" s="176"/>
      <c r="V8" s="176"/>
      <c r="W8" s="176"/>
    </row>
    <row r="9" spans="1:23" s="221" customFormat="1" ht="12" customHeight="1" thickTop="1">
      <c r="A9" s="568"/>
      <c r="B9" s="569"/>
      <c r="C9" s="570"/>
      <c r="D9" s="416"/>
      <c r="E9" s="417"/>
      <c r="F9" s="417"/>
      <c r="G9" s="417"/>
      <c r="H9" s="416"/>
      <c r="I9" s="417"/>
      <c r="J9" s="416"/>
      <c r="K9" s="417"/>
      <c r="L9" s="416"/>
      <c r="M9" s="417"/>
      <c r="N9" s="416"/>
      <c r="O9" s="417"/>
      <c r="P9" s="240"/>
      <c r="Q9" s="239"/>
      <c r="R9" s="174"/>
      <c r="S9" s="176"/>
      <c r="T9" s="176"/>
      <c r="U9" s="176"/>
      <c r="V9" s="176"/>
      <c r="W9" s="174"/>
    </row>
    <row r="10" spans="1:23" s="221" customFormat="1" ht="12" customHeight="1" thickBot="1">
      <c r="A10" s="571" t="str">
        <f>설계설명서!G12</f>
        <v>2. 편의시설</v>
      </c>
      <c r="B10" s="572"/>
      <c r="C10" s="573"/>
      <c r="D10" s="418"/>
      <c r="E10" s="419"/>
      <c r="F10" s="419"/>
      <c r="G10" s="419"/>
      <c r="H10" s="420"/>
      <c r="I10" s="419"/>
      <c r="J10" s="420"/>
      <c r="K10" s="419"/>
      <c r="L10" s="420"/>
      <c r="M10" s="419"/>
      <c r="N10" s="420"/>
      <c r="O10" s="418"/>
      <c r="P10" s="241"/>
      <c r="Q10" s="239"/>
      <c r="R10" s="174"/>
      <c r="S10" s="176"/>
      <c r="T10" s="176"/>
      <c r="U10" s="176"/>
      <c r="V10" s="176"/>
      <c r="W10" s="174"/>
    </row>
    <row r="11" spans="1:23" s="221" customFormat="1" ht="12" customHeight="1" thickTop="1">
      <c r="A11" s="568"/>
      <c r="B11" s="569"/>
      <c r="C11" s="570"/>
      <c r="D11" s="416"/>
      <c r="E11" s="417"/>
      <c r="F11" s="417"/>
      <c r="G11" s="417"/>
      <c r="H11" s="416"/>
      <c r="I11" s="417"/>
      <c r="J11" s="416"/>
      <c r="K11" s="417"/>
      <c r="L11" s="416"/>
      <c r="M11" s="417"/>
      <c r="N11" s="416"/>
      <c r="O11" s="416"/>
      <c r="P11" s="240"/>
      <c r="Q11" s="239"/>
      <c r="R11" s="174"/>
      <c r="S11" s="176"/>
      <c r="T11" s="176"/>
      <c r="U11" s="176"/>
      <c r="V11" s="176"/>
      <c r="W11" s="174"/>
    </row>
    <row r="12" spans="1:23" s="221" customFormat="1" ht="12" customHeight="1" thickBot="1">
      <c r="A12" s="571" t="str">
        <f>설계설명서!B14</f>
        <v>3. 운동시설</v>
      </c>
      <c r="B12" s="572"/>
      <c r="C12" s="573"/>
      <c r="D12" s="418"/>
      <c r="E12" s="419"/>
      <c r="F12" s="419"/>
      <c r="G12" s="419"/>
      <c r="H12" s="420"/>
      <c r="I12" s="419"/>
      <c r="J12" s="420"/>
      <c r="K12" s="419"/>
      <c r="L12" s="420"/>
      <c r="M12" s="419"/>
      <c r="N12" s="420"/>
      <c r="O12" s="418"/>
      <c r="P12" s="241"/>
      <c r="Q12" s="239"/>
      <c r="R12" s="175"/>
      <c r="S12" s="176"/>
      <c r="T12" s="176"/>
      <c r="U12" s="176"/>
      <c r="V12" s="176"/>
      <c r="W12" s="176"/>
    </row>
    <row r="13" spans="1:23" s="221" customFormat="1" ht="12" customHeight="1" thickTop="1">
      <c r="A13" s="568"/>
      <c r="B13" s="569"/>
      <c r="C13" s="570"/>
      <c r="D13" s="416"/>
      <c r="E13" s="417"/>
      <c r="F13" s="417"/>
      <c r="G13" s="417"/>
      <c r="H13" s="416"/>
      <c r="I13" s="417"/>
      <c r="J13" s="416"/>
      <c r="K13" s="417"/>
      <c r="L13" s="416"/>
      <c r="M13" s="417"/>
      <c r="N13" s="416"/>
      <c r="O13" s="416"/>
      <c r="P13" s="240"/>
      <c r="Q13" s="239"/>
      <c r="R13" s="174"/>
      <c r="S13" s="176"/>
      <c r="T13" s="176"/>
      <c r="U13" s="176"/>
      <c r="V13" s="176"/>
      <c r="W13" s="174"/>
    </row>
    <row r="14" spans="1:23" s="221" customFormat="1" ht="12" customHeight="1" thickBot="1">
      <c r="A14" s="571" t="str">
        <f>설계설명서!G14</f>
        <v>4. 안내판 설치</v>
      </c>
      <c r="B14" s="572"/>
      <c r="C14" s="573"/>
      <c r="D14" s="418"/>
      <c r="E14" s="419"/>
      <c r="F14" s="419"/>
      <c r="G14" s="419"/>
      <c r="H14" s="420"/>
      <c r="I14" s="419"/>
      <c r="J14" s="420"/>
      <c r="K14" s="419"/>
      <c r="L14" s="420"/>
      <c r="M14" s="419"/>
      <c r="N14" s="420"/>
      <c r="O14" s="418"/>
      <c r="P14" s="241"/>
      <c r="Q14" s="239"/>
      <c r="R14" s="175"/>
      <c r="S14" s="176"/>
      <c r="T14" s="176"/>
      <c r="U14" s="176"/>
      <c r="V14" s="176"/>
      <c r="W14" s="176"/>
    </row>
    <row r="15" spans="1:23" s="221" customFormat="1" ht="12" customHeight="1" thickTop="1">
      <c r="A15" s="568"/>
      <c r="B15" s="569"/>
      <c r="C15" s="570"/>
      <c r="D15" s="416"/>
      <c r="E15" s="417"/>
      <c r="F15" s="417"/>
      <c r="G15" s="417"/>
      <c r="H15" s="416"/>
      <c r="I15" s="417"/>
      <c r="J15" s="416"/>
      <c r="K15" s="417"/>
      <c r="L15" s="416"/>
      <c r="M15" s="417"/>
      <c r="N15" s="416"/>
      <c r="O15" s="416"/>
      <c r="P15" s="240"/>
      <c r="Q15" s="239"/>
      <c r="R15" s="174"/>
      <c r="S15" s="176"/>
      <c r="T15" s="176"/>
      <c r="U15" s="176"/>
      <c r="V15" s="176"/>
      <c r="W15" s="174"/>
    </row>
    <row r="16" spans="1:23" s="221" customFormat="1" ht="12" customHeight="1" thickBot="1">
      <c r="A16" s="577" t="str">
        <f>설계설명서!B16</f>
        <v>5. 보수공</v>
      </c>
      <c r="B16" s="578"/>
      <c r="C16" s="579"/>
      <c r="D16" s="418"/>
      <c r="E16" s="419"/>
      <c r="F16" s="419"/>
      <c r="G16" s="419"/>
      <c r="H16" s="420"/>
      <c r="I16" s="419"/>
      <c r="J16" s="420"/>
      <c r="K16" s="419"/>
      <c r="L16" s="420"/>
      <c r="M16" s="419"/>
      <c r="N16" s="420"/>
      <c r="O16" s="421"/>
      <c r="P16" s="280"/>
      <c r="Q16" s="239"/>
      <c r="R16" s="175"/>
      <c r="S16" s="176"/>
      <c r="T16" s="176"/>
      <c r="U16" s="176"/>
      <c r="V16" s="176"/>
      <c r="W16" s="176"/>
    </row>
    <row r="17" spans="1:23" s="221" customFormat="1" ht="12" customHeight="1" thickTop="1">
      <c r="A17" s="568"/>
      <c r="B17" s="569"/>
      <c r="C17" s="570"/>
      <c r="D17" s="416"/>
      <c r="E17" s="417"/>
      <c r="F17" s="417"/>
      <c r="G17" s="417"/>
      <c r="H17" s="416"/>
      <c r="I17" s="417"/>
      <c r="J17" s="416"/>
      <c r="K17" s="417"/>
      <c r="L17" s="416"/>
      <c r="M17" s="417"/>
      <c r="N17" s="416"/>
      <c r="O17" s="417"/>
      <c r="P17" s="240"/>
      <c r="Q17" s="239"/>
      <c r="R17" s="174"/>
      <c r="S17" s="176"/>
      <c r="T17" s="176"/>
      <c r="U17" s="176"/>
      <c r="V17" s="176"/>
      <c r="W17" s="174"/>
    </row>
    <row r="18" spans="1:23" s="221" customFormat="1" ht="12" customHeight="1" thickBot="1">
      <c r="A18" s="571" t="str">
        <f>설계설명서!G16</f>
        <v>6. 철거공</v>
      </c>
      <c r="B18" s="572"/>
      <c r="C18" s="573"/>
      <c r="D18" s="418"/>
      <c r="E18" s="419"/>
      <c r="F18" s="419"/>
      <c r="G18" s="419"/>
      <c r="H18" s="420"/>
      <c r="I18" s="419"/>
      <c r="J18" s="420"/>
      <c r="K18" s="419"/>
      <c r="L18" s="420"/>
      <c r="M18" s="419"/>
      <c r="N18" s="420"/>
      <c r="O18" s="418"/>
      <c r="P18" s="241"/>
      <c r="Q18" s="239"/>
      <c r="R18" s="174"/>
      <c r="S18" s="176"/>
      <c r="T18" s="176"/>
      <c r="U18" s="176"/>
      <c r="V18" s="176"/>
      <c r="W18" s="174"/>
    </row>
    <row r="19" spans="1:23" s="221" customFormat="1" ht="12" customHeight="1" thickTop="1">
      <c r="A19" s="568"/>
      <c r="B19" s="569"/>
      <c r="C19" s="570"/>
      <c r="D19" s="416"/>
      <c r="E19" s="417"/>
      <c r="F19" s="417"/>
      <c r="G19" s="417"/>
      <c r="H19" s="416"/>
      <c r="I19" s="417"/>
      <c r="J19" s="416"/>
      <c r="K19" s="417"/>
      <c r="L19" s="416"/>
      <c r="M19" s="417"/>
      <c r="N19" s="416"/>
      <c r="O19" s="416"/>
      <c r="P19" s="240"/>
      <c r="Q19" s="239"/>
      <c r="R19" s="174"/>
      <c r="S19" s="176"/>
      <c r="T19" s="176"/>
      <c r="U19" s="176"/>
      <c r="V19" s="176"/>
      <c r="W19" s="174"/>
    </row>
    <row r="20" spans="1:23" s="221" customFormat="1" ht="12" customHeight="1" thickBot="1">
      <c r="A20" s="571" t="str">
        <f>설계설명서!B18</f>
        <v>7. 식재공</v>
      </c>
      <c r="B20" s="572"/>
      <c r="C20" s="573"/>
      <c r="D20" s="418"/>
      <c r="E20" s="419"/>
      <c r="F20" s="419"/>
      <c r="G20" s="419"/>
      <c r="H20" s="420"/>
      <c r="I20" s="419"/>
      <c r="J20" s="420"/>
      <c r="K20" s="419"/>
      <c r="L20" s="420"/>
      <c r="M20" s="419"/>
      <c r="N20" s="420"/>
      <c r="O20" s="418"/>
      <c r="P20" s="241"/>
      <c r="Q20" s="239"/>
      <c r="R20" s="175"/>
      <c r="S20" s="176"/>
      <c r="T20" s="176"/>
      <c r="U20" s="176"/>
      <c r="V20" s="176"/>
      <c r="W20" s="176"/>
    </row>
    <row r="21" spans="1:23" s="221" customFormat="1" ht="12" customHeight="1" thickTop="1">
      <c r="A21" s="568"/>
      <c r="B21" s="569"/>
      <c r="C21" s="570"/>
      <c r="D21" s="416"/>
      <c r="E21" s="417"/>
      <c r="F21" s="417"/>
      <c r="G21" s="417"/>
      <c r="H21" s="416"/>
      <c r="I21" s="417"/>
      <c r="J21" s="416"/>
      <c r="K21" s="417"/>
      <c r="L21" s="416"/>
      <c r="M21" s="417"/>
      <c r="N21" s="416"/>
      <c r="O21" s="416"/>
      <c r="P21" s="240"/>
      <c r="Q21" s="239"/>
      <c r="R21" s="174"/>
      <c r="S21" s="176"/>
      <c r="T21" s="176"/>
      <c r="U21" s="176"/>
      <c r="V21" s="176"/>
      <c r="W21" s="174"/>
    </row>
    <row r="22" spans="1:23" s="221" customFormat="1" ht="12" customHeight="1" thickBot="1">
      <c r="A22" s="571" t="str">
        <f>설계설명서!G18</f>
        <v>8. 유지관리공</v>
      </c>
      <c r="B22" s="572"/>
      <c r="C22" s="573"/>
      <c r="D22" s="418"/>
      <c r="E22" s="419"/>
      <c r="F22" s="419"/>
      <c r="G22" s="419"/>
      <c r="H22" s="420"/>
      <c r="I22" s="419"/>
      <c r="J22" s="420"/>
      <c r="K22" s="419"/>
      <c r="L22" s="420"/>
      <c r="M22" s="419"/>
      <c r="N22" s="420"/>
      <c r="O22" s="418"/>
      <c r="P22" s="241"/>
      <c r="Q22" s="239"/>
      <c r="R22" s="175"/>
      <c r="S22" s="176"/>
      <c r="T22" s="176"/>
      <c r="U22" s="176"/>
      <c r="V22" s="176"/>
      <c r="W22" s="176"/>
    </row>
    <row r="23" spans="1:23" s="221" customFormat="1" ht="12" customHeight="1" thickTop="1">
      <c r="A23" s="568"/>
      <c r="B23" s="569"/>
      <c r="C23" s="570"/>
      <c r="D23" s="416"/>
      <c r="E23" s="417"/>
      <c r="F23" s="417"/>
      <c r="G23" s="417"/>
      <c r="H23" s="416"/>
      <c r="I23" s="417"/>
      <c r="J23" s="416"/>
      <c r="K23" s="417"/>
      <c r="L23" s="416"/>
      <c r="M23" s="417"/>
      <c r="N23" s="416"/>
      <c r="O23" s="416"/>
      <c r="P23" s="240"/>
      <c r="Q23" s="239"/>
      <c r="R23" s="174"/>
      <c r="S23" s="176"/>
      <c r="T23" s="176"/>
      <c r="U23" s="176"/>
      <c r="V23" s="176"/>
      <c r="W23" s="174"/>
    </row>
    <row r="24" spans="1:23" s="221" customFormat="1" ht="12" customHeight="1" thickBot="1">
      <c r="A24" s="577" t="str">
        <f>설계설명서!B20</f>
        <v>9. 수목제거공</v>
      </c>
      <c r="B24" s="578"/>
      <c r="C24" s="579"/>
      <c r="D24" s="418"/>
      <c r="E24" s="419"/>
      <c r="F24" s="419"/>
      <c r="G24" s="419"/>
      <c r="H24" s="420"/>
      <c r="I24" s="419"/>
      <c r="J24" s="420"/>
      <c r="K24" s="419"/>
      <c r="L24" s="420"/>
      <c r="M24" s="419"/>
      <c r="N24" s="420"/>
      <c r="O24" s="421"/>
      <c r="P24" s="280"/>
      <c r="Q24" s="239"/>
      <c r="R24" s="175"/>
      <c r="S24" s="176"/>
      <c r="T24" s="176"/>
      <c r="U24" s="176"/>
      <c r="V24" s="176"/>
      <c r="W24" s="176"/>
    </row>
    <row r="25" spans="1:23" s="221" customFormat="1" ht="12" customHeight="1" thickTop="1">
      <c r="A25" s="568"/>
      <c r="B25" s="569"/>
      <c r="C25" s="570"/>
      <c r="D25" s="416"/>
      <c r="E25" s="417"/>
      <c r="F25" s="417"/>
      <c r="G25" s="417"/>
      <c r="H25" s="416"/>
      <c r="I25" s="417"/>
      <c r="J25" s="416"/>
      <c r="K25" s="417"/>
      <c r="L25" s="416"/>
      <c r="M25" s="417"/>
      <c r="N25" s="416"/>
      <c r="O25" s="417"/>
      <c r="P25" s="240"/>
      <c r="Q25" s="239"/>
      <c r="R25" s="174"/>
      <c r="S25" s="176"/>
      <c r="T25" s="176"/>
      <c r="U25" s="176"/>
      <c r="V25" s="176"/>
      <c r="W25" s="174"/>
    </row>
    <row r="26" spans="1:23" s="221" customFormat="1" ht="12" customHeight="1" thickBot="1">
      <c r="A26" s="571" t="str">
        <f>설계설명서!G20</f>
        <v>10. 기초공</v>
      </c>
      <c r="B26" s="572"/>
      <c r="C26" s="573"/>
      <c r="D26" s="418"/>
      <c r="E26" s="419"/>
      <c r="F26" s="419"/>
      <c r="G26" s="419"/>
      <c r="H26" s="420"/>
      <c r="I26" s="419"/>
      <c r="J26" s="420"/>
      <c r="K26" s="419"/>
      <c r="L26" s="420"/>
      <c r="M26" s="419"/>
      <c r="N26" s="420"/>
      <c r="O26" s="418"/>
      <c r="P26" s="241"/>
      <c r="Q26" s="239"/>
      <c r="R26" s="174"/>
      <c r="S26" s="176"/>
      <c r="T26" s="176"/>
      <c r="U26" s="176"/>
      <c r="V26" s="176"/>
      <c r="W26" s="174"/>
    </row>
    <row r="27" spans="1:23" s="221" customFormat="1" ht="12" customHeight="1" thickTop="1">
      <c r="A27" s="568"/>
      <c r="B27" s="569"/>
      <c r="C27" s="570"/>
      <c r="D27" s="416"/>
      <c r="E27" s="417"/>
      <c r="F27" s="417"/>
      <c r="G27" s="417"/>
      <c r="H27" s="416"/>
      <c r="I27" s="417"/>
      <c r="J27" s="416"/>
      <c r="K27" s="417"/>
      <c r="L27" s="416"/>
      <c r="M27" s="417"/>
      <c r="N27" s="416"/>
      <c r="O27" s="416"/>
      <c r="P27" s="240"/>
      <c r="Q27" s="239"/>
      <c r="R27" s="174"/>
      <c r="S27" s="176"/>
      <c r="T27" s="176"/>
      <c r="U27" s="176"/>
      <c r="V27" s="176"/>
      <c r="W27" s="174"/>
    </row>
    <row r="28" spans="1:23" s="221" customFormat="1" ht="12" customHeight="1" thickBot="1">
      <c r="A28" s="571" t="str">
        <f>설계설명서!B22</f>
        <v>11. 소운반공</v>
      </c>
      <c r="B28" s="572"/>
      <c r="C28" s="573"/>
      <c r="D28" s="418"/>
      <c r="E28" s="419"/>
      <c r="F28" s="419"/>
      <c r="G28" s="419"/>
      <c r="H28" s="420"/>
      <c r="I28" s="419"/>
      <c r="J28" s="420"/>
      <c r="K28" s="419"/>
      <c r="L28" s="420"/>
      <c r="M28" s="419"/>
      <c r="N28" s="420"/>
      <c r="O28" s="418"/>
      <c r="P28" s="241"/>
      <c r="Q28" s="239"/>
      <c r="R28" s="175"/>
      <c r="S28" s="176"/>
      <c r="T28" s="176"/>
      <c r="U28" s="176"/>
      <c r="V28" s="176"/>
      <c r="W28" s="176"/>
    </row>
    <row r="29" spans="1:23" s="221" customFormat="1" ht="12" customHeight="1" thickTop="1">
      <c r="A29" s="568"/>
      <c r="B29" s="569"/>
      <c r="C29" s="570"/>
      <c r="D29" s="416"/>
      <c r="E29" s="417"/>
      <c r="F29" s="417"/>
      <c r="G29" s="417"/>
      <c r="H29" s="416"/>
      <c r="I29" s="417"/>
      <c r="J29" s="416"/>
      <c r="K29" s="417"/>
      <c r="L29" s="416"/>
      <c r="M29" s="417"/>
      <c r="N29" s="416"/>
      <c r="O29" s="416"/>
      <c r="P29" s="240"/>
      <c r="Q29" s="239"/>
      <c r="R29" s="174"/>
      <c r="S29" s="176"/>
      <c r="T29" s="176"/>
      <c r="U29" s="176"/>
      <c r="V29" s="176"/>
      <c r="W29" s="174"/>
    </row>
    <row r="30" spans="1:23" s="221" customFormat="1" ht="12" customHeight="1" thickBot="1">
      <c r="A30" s="571" t="str">
        <f>설계설명서!G22</f>
        <v>12. 폐기물처리</v>
      </c>
      <c r="B30" s="572"/>
      <c r="C30" s="573"/>
      <c r="D30" s="418"/>
      <c r="E30" s="419"/>
      <c r="F30" s="419"/>
      <c r="G30" s="419"/>
      <c r="H30" s="420"/>
      <c r="I30" s="419"/>
      <c r="J30" s="420"/>
      <c r="K30" s="419"/>
      <c r="L30" s="420"/>
      <c r="M30" s="419"/>
      <c r="N30" s="420"/>
      <c r="O30" s="418"/>
      <c r="P30" s="241"/>
      <c r="Q30" s="239"/>
      <c r="R30" s="175"/>
      <c r="S30" s="176"/>
      <c r="T30" s="176"/>
      <c r="U30" s="176"/>
      <c r="V30" s="176"/>
      <c r="W30" s="176"/>
    </row>
    <row r="31" spans="1:23" s="221" customFormat="1" ht="12" customHeight="1" thickTop="1">
      <c r="A31" s="568"/>
      <c r="B31" s="569"/>
      <c r="C31" s="570"/>
      <c r="D31" s="416"/>
      <c r="E31" s="417"/>
      <c r="F31" s="417"/>
      <c r="G31" s="417"/>
      <c r="H31" s="416"/>
      <c r="I31" s="417"/>
      <c r="J31" s="416"/>
      <c r="K31" s="417"/>
      <c r="L31" s="416"/>
      <c r="M31" s="417"/>
      <c r="N31" s="416"/>
      <c r="O31" s="416"/>
      <c r="P31" s="240"/>
      <c r="Q31" s="239"/>
      <c r="R31" s="174"/>
      <c r="S31" s="176"/>
      <c r="T31" s="176"/>
      <c r="U31" s="176"/>
      <c r="V31" s="176"/>
      <c r="W31" s="174"/>
    </row>
    <row r="32" spans="1:23" s="221" customFormat="1" ht="12" customHeight="1" thickBot="1">
      <c r="A32" s="571" t="s">
        <v>780</v>
      </c>
      <c r="B32" s="572"/>
      <c r="C32" s="573"/>
      <c r="D32" s="418"/>
      <c r="E32" s="418"/>
      <c r="F32" s="418"/>
      <c r="G32" s="418"/>
      <c r="H32" s="418"/>
      <c r="I32" s="422"/>
      <c r="J32" s="422"/>
      <c r="K32" s="422"/>
      <c r="L32" s="422"/>
      <c r="M32" s="422"/>
      <c r="N32" s="418"/>
      <c r="O32" s="420"/>
      <c r="P32" s="241"/>
      <c r="Q32" s="239"/>
      <c r="R32" s="174"/>
      <c r="S32" s="176"/>
      <c r="T32" s="176"/>
      <c r="U32" s="176"/>
      <c r="V32" s="176"/>
      <c r="W32" s="174"/>
    </row>
    <row r="33" spans="1:23" s="219" customFormat="1" ht="12" customHeight="1" thickTop="1" thickBot="1">
      <c r="A33" s="574"/>
      <c r="B33" s="575"/>
      <c r="C33" s="576"/>
      <c r="D33" s="423"/>
      <c r="E33" s="424"/>
      <c r="F33" s="424"/>
      <c r="G33" s="424"/>
      <c r="H33" s="423"/>
      <c r="I33" s="424"/>
      <c r="J33" s="423"/>
      <c r="K33" s="424"/>
      <c r="L33" s="423"/>
      <c r="M33" s="424"/>
      <c r="N33" s="423"/>
      <c r="O33" s="425"/>
      <c r="P33" s="242"/>
      <c r="Q33" s="237"/>
      <c r="R33" s="174"/>
      <c r="S33" s="176"/>
      <c r="T33" s="176"/>
      <c r="U33" s="176"/>
      <c r="V33" s="176"/>
      <c r="W33" s="174"/>
    </row>
    <row r="34" spans="1:23" s="219" customFormat="1"/>
    <row r="35" spans="1:23" s="219" customFormat="1"/>
  </sheetData>
  <mergeCells count="28">
    <mergeCell ref="A1:P1"/>
    <mergeCell ref="P4:P5"/>
    <mergeCell ref="D4:D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F4:F5"/>
    <mergeCell ref="E4:E5"/>
    <mergeCell ref="A6:C7"/>
    <mergeCell ref="A10:C11"/>
    <mergeCell ref="A14:C15"/>
    <mergeCell ref="A32:C33"/>
    <mergeCell ref="A8:C9"/>
    <mergeCell ref="A12:C13"/>
    <mergeCell ref="A16:C17"/>
    <mergeCell ref="A18:C19"/>
    <mergeCell ref="A20:C21"/>
    <mergeCell ref="A22:C23"/>
    <mergeCell ref="A24:C25"/>
    <mergeCell ref="A26:C27"/>
    <mergeCell ref="A28:C29"/>
    <mergeCell ref="A30:C31"/>
  </mergeCells>
  <phoneticPr fontId="13" type="noConversion"/>
  <printOptions horizontalCentered="1"/>
  <pageMargins left="0.74803149606299213" right="0.47244094488188981" top="1.1023622047244095" bottom="0.86614173228346458" header="0.9055118110236221" footer="0.11811023622047245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</sheetPr>
  <dimension ref="B1:D18"/>
  <sheetViews>
    <sheetView workbookViewId="0">
      <selection activeCell="H18" sqref="H18"/>
    </sheetView>
  </sheetViews>
  <sheetFormatPr defaultRowHeight="13.5"/>
  <cols>
    <col min="1" max="1" width="8.88671875" style="399"/>
    <col min="2" max="2" width="21" style="399" customWidth="1"/>
    <col min="3" max="3" width="8.88671875" style="399"/>
    <col min="4" max="4" width="19.21875" style="399" customWidth="1"/>
    <col min="5" max="16384" width="8.88671875" style="399"/>
  </cols>
  <sheetData>
    <row r="1" spans="2:4" ht="24.95" customHeight="1">
      <c r="D1" s="400" t="str">
        <f>IF('[1]〓 INITIAL 〓'!C4,"※※ 기본정보의 일부가 삭제되어 Stmate로 변환할 수 없습니다 ※※","")</f>
        <v/>
      </c>
    </row>
    <row r="2" spans="2:4" ht="23.85" customHeight="1">
      <c r="B2" s="401" t="s">
        <v>701</v>
      </c>
      <c r="D2" s="402" t="s">
        <v>702</v>
      </c>
    </row>
    <row r="3" spans="2:4" ht="23.85" customHeight="1">
      <c r="D3" s="402" t="s">
        <v>703</v>
      </c>
    </row>
    <row r="4" spans="2:4" ht="23.85" customHeight="1">
      <c r="B4" s="403" t="s">
        <v>704</v>
      </c>
      <c r="D4" s="404" t="str">
        <f>HYPERLINK("#'※※안내※※'!A1","※※안내※※ →")</f>
        <v>※※안내※※ →</v>
      </c>
    </row>
    <row r="5" spans="2:4" ht="23.85" customHeight="1">
      <c r="B5" s="403" t="s">
        <v>705</v>
      </c>
      <c r="D5" s="404" t="e">
        <f>HYPERLINK("#"&amp;#REF!&amp;"!A1","공사원가계산서 →")</f>
        <v>#REF!</v>
      </c>
    </row>
    <row r="6" spans="2:4" ht="23.85" customHeight="1">
      <c r="B6" s="403" t="s">
        <v>706</v>
      </c>
      <c r="D6" s="404" t="e">
        <f>HYPERLINK("#"&amp;#REF!&amp;"!A1","총괄내역서 →")</f>
        <v>#REF!</v>
      </c>
    </row>
    <row r="7" spans="2:4" ht="23.85" customHeight="1">
      <c r="B7" s="403" t="s">
        <v>707</v>
      </c>
      <c r="D7" s="404" t="e">
        <f>HYPERLINK("#"&amp;#REF!&amp;"!A1","설계내역서 →")</f>
        <v>#REF!</v>
      </c>
    </row>
    <row r="8" spans="2:4" ht="23.85" customHeight="1">
      <c r="B8" s="403" t="s">
        <v>708</v>
      </c>
      <c r="D8" s="404" t="e">
        <f>HYPERLINK("#"&amp;#REF!&amp;"!A1","일위대가목록표 →")</f>
        <v>#REF!</v>
      </c>
    </row>
    <row r="9" spans="2:4" ht="23.85" customHeight="1">
      <c r="B9" s="403" t="s">
        <v>709</v>
      </c>
      <c r="D9" s="404" t="e">
        <f>HYPERLINK("#"&amp;#REF!&amp;"!A1","일위대가표 →")</f>
        <v>#REF!</v>
      </c>
    </row>
    <row r="10" spans="2:4" ht="23.85" customHeight="1">
      <c r="B10" s="403" t="s">
        <v>710</v>
      </c>
      <c r="D10" s="404" t="e">
        <f>HYPERLINK("#"&amp;#REF!&amp;"!A1","단가산출근거목록표 →")</f>
        <v>#REF!</v>
      </c>
    </row>
    <row r="11" spans="2:4" ht="23.85" customHeight="1">
      <c r="B11" s="403" t="s">
        <v>711</v>
      </c>
      <c r="D11" s="404" t="e">
        <f>HYPERLINK("#"&amp;#REF!&amp;"!A1","단가산출근거 →")</f>
        <v>#REF!</v>
      </c>
    </row>
    <row r="12" spans="2:4" ht="23.85" customHeight="1">
      <c r="B12" s="403" t="s">
        <v>712</v>
      </c>
      <c r="D12" s="404" t="e">
        <f>HYPERLINK("#"&amp;#REF!&amp;"!A1","환율및기초자료 →")</f>
        <v>#REF!</v>
      </c>
    </row>
    <row r="13" spans="2:4" ht="23.85" customHeight="1">
      <c r="B13" s="403" t="s">
        <v>713</v>
      </c>
      <c r="D13" s="404" t="e">
        <f>HYPERLINK("#"&amp;#REF!&amp;"!A1","중기목록표 →")</f>
        <v>#REF!</v>
      </c>
    </row>
    <row r="14" spans="2:4" ht="23.85" customHeight="1">
      <c r="B14" s="403" t="s">
        <v>714</v>
      </c>
      <c r="D14" s="404" t="e">
        <f>HYPERLINK("#"&amp;#REF!&amp;"!A1","중기사용료 →")</f>
        <v>#REF!</v>
      </c>
    </row>
    <row r="15" spans="2:4" ht="23.85" customHeight="1">
      <c r="B15" s="403" t="s">
        <v>715</v>
      </c>
      <c r="D15" s="404" t="e">
        <f>HYPERLINK("#"&amp;#REF!&amp;"!A1","재료비목록표 →")</f>
        <v>#REF!</v>
      </c>
    </row>
    <row r="16" spans="2:4" ht="23.85" customHeight="1">
      <c r="B16" s="403" t="s">
        <v>716</v>
      </c>
      <c r="D16" s="404" t="e">
        <f>HYPERLINK("#"&amp;#REF!&amp;"!A1","노무비목록표 →")</f>
        <v>#REF!</v>
      </c>
    </row>
    <row r="17" spans="2:4" ht="23.85" customHeight="1">
      <c r="B17" s="403" t="s">
        <v>717</v>
      </c>
      <c r="D17" s="404" t="e">
        <f>HYPERLINK("#"&amp;#REF!&amp;"!A1","경비목록표 →")</f>
        <v>#REF!</v>
      </c>
    </row>
    <row r="18" spans="2:4" ht="23.85" customHeight="1">
      <c r="B18" s="403" t="s">
        <v>718</v>
      </c>
      <c r="D18" s="404" t="e">
        <f>HYPERLINK("#"&amp;#REF!&amp;"!A1","자재단가대비표 →")</f>
        <v>#REF!</v>
      </c>
    </row>
  </sheetData>
  <phoneticPr fontId="13" type="noConversion"/>
  <printOptions horizontalCentered="1"/>
  <pageMargins left="0.59055118110236215" right="0.59055118110236215" top="0.78740157480314965" bottom="0.82677165354330706" header="0" footer="0.62992125984251968"/>
  <pageSetup paperSize="9" fitToWidth="0" fitToHeight="0" orientation="portrait" r:id="rId1"/>
  <headerFooter alignWithMargins="0">
    <oddFooter>&amp;C&amp;"돋움체,"&amp;9 - &amp;P -&amp;R&amp;"돋움체,"&amp;9 (주)기술사사무소 에코텍스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2:J48"/>
  <sheetViews>
    <sheetView workbookViewId="0">
      <selection sqref="A1:Q1"/>
    </sheetView>
  </sheetViews>
  <sheetFormatPr defaultRowHeight="13.5"/>
  <cols>
    <col min="1" max="1" width="8.109375" style="406" customWidth="1"/>
    <col min="2" max="2" width="4.21875" style="399" customWidth="1"/>
    <col min="3" max="16384" width="8.88671875" style="399"/>
  </cols>
  <sheetData>
    <row r="2" spans="1:10" ht="14.25">
      <c r="A2" s="404" t="str">
        <f>HYPERLINK("#'〓 목 차 〓'!B2","목차 →")</f>
        <v>목차 →</v>
      </c>
      <c r="B2" s="405" t="s">
        <v>719</v>
      </c>
    </row>
    <row r="4" spans="1:10" ht="18.75">
      <c r="B4" s="407" t="s">
        <v>720</v>
      </c>
    </row>
    <row r="6" spans="1:10">
      <c r="B6" s="408" t="s">
        <v>721</v>
      </c>
    </row>
    <row r="7" spans="1:10">
      <c r="B7" s="408" t="s">
        <v>722</v>
      </c>
    </row>
    <row r="8" spans="1:10">
      <c r="B8" s="409" t="s">
        <v>723</v>
      </c>
    </row>
    <row r="9" spans="1:10">
      <c r="B9" s="408" t="s">
        <v>724</v>
      </c>
    </row>
    <row r="10" spans="1:10">
      <c r="B10" s="408" t="s">
        <v>725</v>
      </c>
    </row>
    <row r="11" spans="1:10">
      <c r="B11" s="408" t="s">
        <v>726</v>
      </c>
    </row>
    <row r="12" spans="1:10">
      <c r="B12" s="586" t="e">
        <f>HYPERLINK("#"&amp;#REF!&amp;"!Y3","◈ 단가산출근거의 수량부분은 산출근거 우측 연두색 부분에서 수정합니다. →")</f>
        <v>#REF!</v>
      </c>
      <c r="C12" s="587"/>
      <c r="D12" s="587"/>
      <c r="E12" s="587"/>
      <c r="F12" s="587"/>
      <c r="G12" s="587"/>
      <c r="H12" s="587"/>
      <c r="I12" s="587"/>
      <c r="J12" s="587"/>
    </row>
    <row r="13" spans="1:10">
      <c r="B13" s="408" t="s">
        <v>727</v>
      </c>
    </row>
    <row r="15" spans="1:10">
      <c r="B15" s="410" t="s">
        <v>728</v>
      </c>
    </row>
    <row r="16" spans="1:10">
      <c r="B16" s="404" t="e">
        <f>HYPERLINK("#"&amp;#REF!&amp;"!I"&amp;ROW(#REF!)," → ")</f>
        <v>#REF!</v>
      </c>
      <c r="C16" s="411" t="s">
        <v>729</v>
      </c>
    </row>
    <row r="17" spans="2:3">
      <c r="B17" s="404" t="e">
        <f>HYPERLINK("#"&amp;#REF!&amp;"!B"&amp;ROW(#REF!)," → ")</f>
        <v>#REF!</v>
      </c>
      <c r="C17" s="412" t="s">
        <v>730</v>
      </c>
    </row>
    <row r="18" spans="2:3">
      <c r="B18" s="404" t="e">
        <f>HYPERLINK("#"&amp;#REF!&amp;"!B"&amp;ROW(#REF!)," → ")</f>
        <v>#REF!</v>
      </c>
      <c r="C18" s="412" t="s">
        <v>731</v>
      </c>
    </row>
    <row r="19" spans="2:3">
      <c r="B19" s="404" t="e">
        <f>HYPERLINK("#"&amp;#REF!&amp;"!B"&amp;ROW(#REF!)," → ")</f>
        <v>#REF!</v>
      </c>
      <c r="C19" s="412" t="s">
        <v>732</v>
      </c>
    </row>
    <row r="20" spans="2:3">
      <c r="B20" s="404" t="e">
        <f>HYPERLINK("#"&amp;#REF!&amp;"!B"&amp;ROW(#REF!)," → ")</f>
        <v>#REF!</v>
      </c>
      <c r="C20" s="412" t="s">
        <v>733</v>
      </c>
    </row>
    <row r="21" spans="2:3">
      <c r="B21" s="404" t="e">
        <f>HYPERLINK("#"&amp;#REF!&amp;"!B"&amp;ROW(#REF!)," → ")</f>
        <v>#REF!</v>
      </c>
      <c r="C21" s="412" t="s">
        <v>734</v>
      </c>
    </row>
    <row r="22" spans="2:3">
      <c r="B22" s="404" t="e">
        <f>HYPERLINK("#"&amp;#REF!&amp;"!B"&amp;ROW(#REF!)," → ")</f>
        <v>#REF!</v>
      </c>
      <c r="C22" s="412" t="s">
        <v>735</v>
      </c>
    </row>
    <row r="23" spans="2:3">
      <c r="B23" s="404" t="e">
        <f>HYPERLINK("#"&amp;#REF!&amp;"!B"&amp;ROW(#REF!)," → ")</f>
        <v>#REF!</v>
      </c>
      <c r="C23" s="412" t="s">
        <v>736</v>
      </c>
    </row>
    <row r="24" spans="2:3">
      <c r="B24" s="404" t="e">
        <f>HYPERLINK("#"&amp;#REF!&amp;"!B"&amp;ROW(#REF!)," → ")</f>
        <v>#REF!</v>
      </c>
      <c r="C24" s="412" t="s">
        <v>737</v>
      </c>
    </row>
    <row r="25" spans="2:3">
      <c r="B25" s="404" t="e">
        <f>HYPERLINK("#"&amp;#REF!&amp;"!B"&amp;ROW(#REF!)," → ")</f>
        <v>#REF!</v>
      </c>
      <c r="C25" s="412" t="s">
        <v>738</v>
      </c>
    </row>
    <row r="26" spans="2:3">
      <c r="B26" s="404" t="e">
        <f>HYPERLINK("#"&amp;#REF!&amp;"!B"&amp;ROW(#REF!)," → ")</f>
        <v>#REF!</v>
      </c>
      <c r="C26" s="412" t="s">
        <v>739</v>
      </c>
    </row>
    <row r="27" spans="2:3">
      <c r="B27" s="404" t="e">
        <f>HYPERLINK("#"&amp;#REF!&amp;"!B"&amp;ROW(#REF!)," → ")</f>
        <v>#REF!</v>
      </c>
      <c r="C27" s="412" t="s">
        <v>740</v>
      </c>
    </row>
    <row r="28" spans="2:3">
      <c r="B28" s="404" t="e">
        <f>HYPERLINK("#"&amp;#REF!&amp;"!B"&amp;ROW(#REF!)," → ")</f>
        <v>#REF!</v>
      </c>
      <c r="C28" s="412" t="s">
        <v>741</v>
      </c>
    </row>
    <row r="29" spans="2:3">
      <c r="B29" s="404" t="e">
        <f>HYPERLINK("#"&amp;#REF!&amp;"!B"&amp;ROW(#REF!)," → ")</f>
        <v>#REF!</v>
      </c>
      <c r="C29" s="412" t="s">
        <v>742</v>
      </c>
    </row>
    <row r="30" spans="2:3">
      <c r="B30" s="404" t="e">
        <f>HYPERLINK("#"&amp;#REF!&amp;"!B"&amp;ROW(#REF!)," → ")</f>
        <v>#REF!</v>
      </c>
      <c r="C30" s="412" t="s">
        <v>743</v>
      </c>
    </row>
    <row r="31" spans="2:3">
      <c r="B31" s="404" t="e">
        <f>HYPERLINK("#"&amp;#REF!&amp;"!B"&amp;ROW(#REF!)," → ")</f>
        <v>#REF!</v>
      </c>
      <c r="C31" s="412" t="s">
        <v>744</v>
      </c>
    </row>
    <row r="32" spans="2:3">
      <c r="B32" s="404" t="e">
        <f>HYPERLINK("#"&amp;#REF!&amp;"!B"&amp;ROW(#REF!)," → ")</f>
        <v>#REF!</v>
      </c>
      <c r="C32" s="412" t="s">
        <v>745</v>
      </c>
    </row>
    <row r="33" spans="2:3">
      <c r="B33" s="404" t="e">
        <f>HYPERLINK("#"&amp;#REF!&amp;"!B"&amp;ROW(#REF!)," → ")</f>
        <v>#REF!</v>
      </c>
      <c r="C33" s="412" t="s">
        <v>746</v>
      </c>
    </row>
    <row r="34" spans="2:3">
      <c r="B34" s="404" t="e">
        <f>HYPERLINK("#"&amp;#REF!&amp;"!B"&amp;ROW(#REF!)," → ")</f>
        <v>#REF!</v>
      </c>
      <c r="C34" s="412" t="s">
        <v>747</v>
      </c>
    </row>
    <row r="35" spans="2:3">
      <c r="B35" s="404" t="e">
        <f>HYPERLINK("#"&amp;#REF!&amp;"!B"&amp;ROW(#REF!)," → ")</f>
        <v>#REF!</v>
      </c>
      <c r="C35" s="412" t="s">
        <v>748</v>
      </c>
    </row>
    <row r="36" spans="2:3">
      <c r="B36" s="404" t="e">
        <f>HYPERLINK("#"&amp;#REF!&amp;"!B"&amp;ROW(#REF!)," → ")</f>
        <v>#REF!</v>
      </c>
      <c r="C36" s="412" t="s">
        <v>749</v>
      </c>
    </row>
    <row r="37" spans="2:3">
      <c r="B37" s="404" t="e">
        <f>HYPERLINK("#"&amp;#REF!&amp;"!B"&amp;ROW(#REF!)," → ")</f>
        <v>#REF!</v>
      </c>
      <c r="C37" s="412" t="s">
        <v>750</v>
      </c>
    </row>
    <row r="38" spans="2:3">
      <c r="B38" s="404" t="e">
        <f>HYPERLINK("#"&amp;#REF!&amp;"!B"&amp;ROW(#REF!)," → ")</f>
        <v>#REF!</v>
      </c>
      <c r="C38" s="412" t="s">
        <v>751</v>
      </c>
    </row>
    <row r="39" spans="2:3">
      <c r="B39" s="404" t="e">
        <f>HYPERLINK("#"&amp;#REF!&amp;"!B"&amp;ROW(#REF!)," → ")</f>
        <v>#REF!</v>
      </c>
      <c r="C39" s="412" t="s">
        <v>752</v>
      </c>
    </row>
    <row r="40" spans="2:3">
      <c r="B40" s="404" t="e">
        <f>HYPERLINK("#"&amp;#REF!&amp;"!B"&amp;ROW(#REF!)," → ")</f>
        <v>#REF!</v>
      </c>
      <c r="C40" s="412" t="s">
        <v>753</v>
      </c>
    </row>
    <row r="41" spans="2:3">
      <c r="B41" s="404" t="e">
        <f>HYPERLINK("#"&amp;#REF!&amp;"!B"&amp;ROW(#REF!)," → ")</f>
        <v>#REF!</v>
      </c>
      <c r="C41" s="412" t="s">
        <v>754</v>
      </c>
    </row>
    <row r="42" spans="2:3">
      <c r="B42" s="404" t="e">
        <f>HYPERLINK("#"&amp;#REF!&amp;"!B"&amp;ROW(#REF!)," → ")</f>
        <v>#REF!</v>
      </c>
      <c r="C42" s="412" t="s">
        <v>755</v>
      </c>
    </row>
    <row r="43" spans="2:3">
      <c r="B43" s="404" t="e">
        <f>HYPERLINK("#"&amp;#REF!&amp;"!B"&amp;ROW(#REF!)," → ")</f>
        <v>#REF!</v>
      </c>
      <c r="C43" s="412" t="s">
        <v>756</v>
      </c>
    </row>
    <row r="44" spans="2:3">
      <c r="B44" s="404" t="e">
        <f>HYPERLINK("#"&amp;#REF!&amp;"!B"&amp;ROW(#REF!)," → ")</f>
        <v>#REF!</v>
      </c>
      <c r="C44" s="412" t="s">
        <v>757</v>
      </c>
    </row>
    <row r="45" spans="2:3">
      <c r="B45" s="404" t="e">
        <f>HYPERLINK("#"&amp;#REF!&amp;"!B"&amp;ROW(#REF!)," → ")</f>
        <v>#REF!</v>
      </c>
      <c r="C45" s="412" t="s">
        <v>758</v>
      </c>
    </row>
    <row r="46" spans="2:3">
      <c r="B46" s="404" t="e">
        <f>HYPERLINK("#"&amp;#REF!&amp;"!B"&amp;ROW(#REF!)," → ")</f>
        <v>#REF!</v>
      </c>
      <c r="C46" s="412" t="s">
        <v>759</v>
      </c>
    </row>
    <row r="47" spans="2:3">
      <c r="B47" s="404" t="e">
        <f>HYPERLINK("#"&amp;#REF!&amp;"!B"&amp;ROW(#REF!)," → ")</f>
        <v>#REF!</v>
      </c>
      <c r="C47" s="412" t="s">
        <v>760</v>
      </c>
    </row>
    <row r="48" spans="2:3">
      <c r="B48" s="404" t="e">
        <f>HYPERLINK("#"&amp;#REF!&amp;"!B"&amp;ROW(#REF!)," → ")</f>
        <v>#REF!</v>
      </c>
      <c r="C48" s="412" t="s">
        <v>761</v>
      </c>
    </row>
  </sheetData>
  <mergeCells count="1">
    <mergeCell ref="B12:J12"/>
  </mergeCells>
  <phoneticPr fontId="13" type="noConversion"/>
  <printOptions horizontalCentered="1"/>
  <pageMargins left="0.59055118110236215" right="0.59055118110236215" top="0.78740157480314965" bottom="1" header="0" footer="0.5"/>
  <pageSetup paperSize="9" fitToWidth="0" fitToHeight="0" orientation="portrait"/>
  <headerFooter alignWithMargins="0">
    <oddFooter>&amp;C&amp;"돋움체,"&amp;9 - &amp;P -&amp;R&amp;"돋움체,"&amp;9 (주)기술사사무소 에코텍스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</sheetPr>
  <dimension ref="A1:H31"/>
  <sheetViews>
    <sheetView workbookViewId="0">
      <pane ySplit="4" topLeftCell="A5" activePane="bottomLeft" state="frozenSplit"/>
      <selection activeCell="D13" sqref="D13"/>
      <selection pane="bottomLeft" activeCell="D10" sqref="D10"/>
    </sheetView>
  </sheetViews>
  <sheetFormatPr defaultColWidth="8.109375" defaultRowHeight="13.5"/>
  <cols>
    <col min="1" max="2" width="4.21875" style="428" customWidth="1"/>
    <col min="3" max="3" width="20.88671875" style="428" customWidth="1"/>
    <col min="4" max="4" width="10.21875" style="428" customWidth="1"/>
    <col min="5" max="5" width="7.5546875" style="428" customWidth="1"/>
    <col min="6" max="6" width="44.21875" style="428" customWidth="1"/>
    <col min="7" max="7" width="8.109375" style="428" hidden="1" customWidth="1"/>
    <col min="8" max="8" width="8.109375" style="432" customWidth="1"/>
    <col min="9" max="16384" width="8.109375" style="428"/>
  </cols>
  <sheetData>
    <row r="1" spans="1:8" ht="24.95" customHeight="1">
      <c r="A1" s="597" t="s">
        <v>806</v>
      </c>
      <c r="B1" s="598"/>
      <c r="C1" s="598"/>
      <c r="D1" s="598"/>
      <c r="E1" s="598"/>
      <c r="F1" s="598"/>
      <c r="G1" s="426" t="s">
        <v>807</v>
      </c>
      <c r="H1" s="427" t="s">
        <v>807</v>
      </c>
    </row>
    <row r="2" spans="1:8" ht="26.45" customHeight="1">
      <c r="A2" s="429" t="s">
        <v>5655</v>
      </c>
      <c r="F2" s="430"/>
      <c r="G2" s="431" t="str">
        <f ca="1">MID(CELL("filename",$A$1),FIND("]",CELL("filename",$A$1))+1,LEN(CELL("filename",$A$1)))</f>
        <v>공사원가계산서</v>
      </c>
    </row>
    <row r="3" spans="1:8" ht="26.45" customHeight="1">
      <c r="A3" s="599" t="s">
        <v>808</v>
      </c>
      <c r="B3" s="600"/>
      <c r="C3" s="600"/>
      <c r="D3" s="601" t="s">
        <v>809</v>
      </c>
      <c r="E3" s="601" t="s">
        <v>810</v>
      </c>
      <c r="F3" s="601" t="s">
        <v>811</v>
      </c>
    </row>
    <row r="4" spans="1:8" ht="26.45" customHeight="1">
      <c r="A4" s="603" t="s">
        <v>812</v>
      </c>
      <c r="B4" s="593"/>
      <c r="C4" s="593"/>
      <c r="D4" s="602"/>
      <c r="E4" s="602"/>
      <c r="F4" s="602"/>
      <c r="H4" s="433" t="str">
        <f>HYPERLINK("#'〓 목 차 〓'!B2","목차 →")</f>
        <v>목차 →</v>
      </c>
    </row>
    <row r="5" spans="1:8" ht="26.45" customHeight="1">
      <c r="A5" s="591" t="s">
        <v>813</v>
      </c>
      <c r="B5" s="591" t="s">
        <v>814</v>
      </c>
      <c r="C5" s="434" t="s">
        <v>815</v>
      </c>
      <c r="D5" s="435">
        <f>총괄내역서!F17-D6+D7</f>
        <v>14806164</v>
      </c>
      <c r="E5" s="436">
        <f>D5/D31*100</f>
        <v>52.82256154120585</v>
      </c>
      <c r="F5" s="437"/>
      <c r="H5" s="433" t="str">
        <f ca="1">HYPERLINK("#"&amp;총괄내역서!H2&amp;"!F"&amp;ROW(총괄내역서!F17),"총괄표 →")</f>
        <v>총괄표 →</v>
      </c>
    </row>
    <row r="6" spans="1:8" ht="26.45" customHeight="1">
      <c r="A6" s="592"/>
      <c r="B6" s="592"/>
      <c r="C6" s="434" t="s">
        <v>816</v>
      </c>
      <c r="D6" s="438">
        <v>0</v>
      </c>
      <c r="E6" s="436">
        <f>D6/D31*100</f>
        <v>0</v>
      </c>
      <c r="F6" s="439"/>
    </row>
    <row r="7" spans="1:8" ht="26.45" customHeight="1">
      <c r="A7" s="592"/>
      <c r="B7" s="592"/>
      <c r="C7" s="434" t="s">
        <v>817</v>
      </c>
      <c r="D7" s="438">
        <v>0</v>
      </c>
      <c r="E7" s="436">
        <f>D7/D31*100</f>
        <v>0</v>
      </c>
      <c r="F7" s="439"/>
    </row>
    <row r="8" spans="1:8" ht="26.45" customHeight="1">
      <c r="A8" s="592"/>
      <c r="B8" s="593"/>
      <c r="C8" s="440" t="s">
        <v>818</v>
      </c>
      <c r="D8" s="441">
        <f>+D5+D6-D7</f>
        <v>14806164</v>
      </c>
      <c r="E8" s="442">
        <f>D8/D31*100</f>
        <v>52.82256154120585</v>
      </c>
      <c r="F8" s="443"/>
    </row>
    <row r="9" spans="1:8" ht="26.45" customHeight="1">
      <c r="A9" s="592"/>
      <c r="B9" s="591" t="s">
        <v>819</v>
      </c>
      <c r="C9" s="434" t="s">
        <v>820</v>
      </c>
      <c r="D9" s="435">
        <f>총괄내역서!E17</f>
        <v>4038536</v>
      </c>
      <c r="E9" s="436">
        <f>D9/D31*100</f>
        <v>14.407905815198003</v>
      </c>
      <c r="F9" s="437"/>
      <c r="H9" s="433" t="str">
        <f ca="1">HYPERLINK("#"&amp;총괄내역서!H2&amp;"!E"&amp;ROW(총괄내역서!E17),"총괄표 →")</f>
        <v>총괄표 →</v>
      </c>
    </row>
    <row r="10" spans="1:8" ht="26.45" customHeight="1">
      <c r="A10" s="592"/>
      <c r="B10" s="592"/>
      <c r="C10" s="434" t="s">
        <v>821</v>
      </c>
      <c r="D10" s="435">
        <f>총괄내역서!D18</f>
        <v>743090</v>
      </c>
      <c r="E10" s="436">
        <f>D10/D31*100</f>
        <v>2.6510524438102037</v>
      </c>
      <c r="F10" s="444" t="str">
        <f>총괄내역서!E18</f>
        <v>직접노무비 x 18.4%</v>
      </c>
      <c r="H10" s="433" t="str">
        <f ca="1">HYPERLINK("#"&amp;총괄내역서!H2&amp;"!D"&amp;ROW(총괄내역서!D18),"총괄표 →")</f>
        <v>총괄표 →</v>
      </c>
    </row>
    <row r="11" spans="1:8" ht="26.45" customHeight="1">
      <c r="A11" s="592"/>
      <c r="B11" s="593"/>
      <c r="C11" s="440" t="s">
        <v>818</v>
      </c>
      <c r="D11" s="441">
        <f>+D9+D10</f>
        <v>4781626</v>
      </c>
      <c r="E11" s="442">
        <f>D11/D31*100</f>
        <v>17.058958259008207</v>
      </c>
      <c r="F11" s="443"/>
    </row>
    <row r="12" spans="1:8" ht="26.45" customHeight="1">
      <c r="A12" s="592"/>
      <c r="B12" s="591" t="s">
        <v>822</v>
      </c>
      <c r="C12" s="434" t="s">
        <v>823</v>
      </c>
      <c r="D12" s="435">
        <f>총괄내역서!G17</f>
        <v>838050</v>
      </c>
      <c r="E12" s="436">
        <f>D12/D31*100</f>
        <v>2.9898323225115946</v>
      </c>
      <c r="F12" s="437"/>
      <c r="H12" s="433" t="str">
        <f ca="1">HYPERLINK("#"&amp;총괄내역서!H2&amp;"!G"&amp;ROW(총괄내역서!G17),"총괄표 →")</f>
        <v>총괄표 →</v>
      </c>
    </row>
    <row r="13" spans="1:8" ht="26.45" customHeight="1">
      <c r="A13" s="592"/>
      <c r="B13" s="592"/>
      <c r="C13" s="434" t="s">
        <v>824</v>
      </c>
      <c r="D13" s="435">
        <f>총괄내역서!D19</f>
        <v>170225</v>
      </c>
      <c r="E13" s="436">
        <f>D13/D31*100</f>
        <v>0.60729575454869777</v>
      </c>
      <c r="F13" s="444" t="str">
        <f>총괄내역서!E19</f>
        <v>(직접노무비+간접노무비) x 3.56%</v>
      </c>
      <c r="H13" s="433" t="str">
        <f ca="1">HYPERLINK("#"&amp;총괄내역서!H2&amp;"!D"&amp;ROW(총괄내역서!D19),"총괄표 →")</f>
        <v>총괄표 →</v>
      </c>
    </row>
    <row r="14" spans="1:8" ht="26.45" customHeight="1">
      <c r="A14" s="592"/>
      <c r="B14" s="592"/>
      <c r="C14" s="434" t="s">
        <v>825</v>
      </c>
      <c r="D14" s="435">
        <f>총괄내역서!D20</f>
        <v>48294</v>
      </c>
      <c r="E14" s="436">
        <f>D14/D31*100</f>
        <v>0.17229397074562969</v>
      </c>
      <c r="F14" s="444" t="str">
        <f>총괄내역서!E20</f>
        <v>(직접노무비+간접노무비) x 1.01%</v>
      </c>
      <c r="H14" s="433" t="str">
        <f ca="1">HYPERLINK("#"&amp;총괄내역서!H2&amp;"!D"&amp;ROW(총괄내역서!D20),"총괄표 →")</f>
        <v>총괄표 →</v>
      </c>
    </row>
    <row r="15" spans="1:8" ht="26.45" customHeight="1">
      <c r="A15" s="592"/>
      <c r="B15" s="592"/>
      <c r="C15" s="434" t="s">
        <v>826</v>
      </c>
      <c r="D15" s="435">
        <f>총괄내역서!D21</f>
        <v>145185</v>
      </c>
      <c r="E15" s="436">
        <f>D15/D31*100</f>
        <v>0.51796289689618269</v>
      </c>
      <c r="F15" s="444" t="str">
        <f>총괄내역서!E21</f>
        <v>직접노무비 x 3.595%</v>
      </c>
      <c r="H15" s="433" t="str">
        <f ca="1">HYPERLINK("#"&amp;총괄내역서!H2&amp;"!D"&amp;ROW(총괄내역서!D21),"총괄표 →")</f>
        <v>총괄표 →</v>
      </c>
    </row>
    <row r="16" spans="1:8" ht="26.45" customHeight="1">
      <c r="A16" s="592"/>
      <c r="B16" s="592"/>
      <c r="C16" s="434" t="s">
        <v>827</v>
      </c>
      <c r="D16" s="435">
        <f>총괄내역서!D22</f>
        <v>19077</v>
      </c>
      <c r="E16" s="436">
        <f>D16/D31*100</f>
        <v>6.8059222261862284E-2</v>
      </c>
      <c r="F16" s="444" t="str">
        <f>총괄내역서!E22</f>
        <v>건강보험료 x 13.14%</v>
      </c>
      <c r="H16" s="433" t="str">
        <f ca="1">HYPERLINK("#"&amp;총괄내역서!H2&amp;"!D"&amp;ROW(총괄내역서!D22),"총괄표 →")</f>
        <v>총괄표 →</v>
      </c>
    </row>
    <row r="17" spans="1:8" ht="26.45" customHeight="1">
      <c r="A17" s="592"/>
      <c r="B17" s="592"/>
      <c r="C17" s="434" t="s">
        <v>828</v>
      </c>
      <c r="D17" s="435">
        <f>총괄내역서!D23</f>
        <v>191830</v>
      </c>
      <c r="E17" s="436">
        <f>D17/D31*100</f>
        <v>0.68437388512308239</v>
      </c>
      <c r="F17" s="444" t="str">
        <f>총괄내역서!E23</f>
        <v>직접노무비 x 4.75%</v>
      </c>
      <c r="H17" s="433" t="str">
        <f ca="1">HYPERLINK("#"&amp;총괄내역서!H2&amp;"!D"&amp;ROW(총괄내역서!D23),"총괄표 →")</f>
        <v>총괄표 →</v>
      </c>
    </row>
    <row r="18" spans="1:8" ht="26.45" customHeight="1">
      <c r="A18" s="592"/>
      <c r="B18" s="592"/>
      <c r="C18" s="434" t="s">
        <v>5027</v>
      </c>
      <c r="D18" s="435">
        <f>총괄내역서!D24</f>
        <v>0</v>
      </c>
      <c r="E18" s="436">
        <f>D18/D31*100</f>
        <v>0</v>
      </c>
      <c r="F18" s="444" t="str">
        <f>총괄내역서!E24</f>
        <v>직접노무비 x 2.3%</v>
      </c>
      <c r="H18" s="433" t="str">
        <f ca="1">HYPERLINK("#"&amp;총괄내역서!H2&amp;"!D"&amp;ROW(총괄내역서!D24),"총괄표 →")</f>
        <v>총괄표 →</v>
      </c>
    </row>
    <row r="19" spans="1:8" ht="26.45" customHeight="1">
      <c r="A19" s="592"/>
      <c r="B19" s="592"/>
      <c r="C19" s="434" t="s">
        <v>829</v>
      </c>
      <c r="D19" s="435">
        <f>총괄내역서!D25</f>
        <v>390085</v>
      </c>
      <c r="E19" s="436">
        <f>D19/D31*100</f>
        <v>1.3916696396717803</v>
      </c>
      <c r="F19" s="444" t="str">
        <f>총괄내역서!E25</f>
        <v>(직노+직재+간재) x 2.07% = 390,085</v>
      </c>
      <c r="H19" s="433" t="str">
        <f ca="1">HYPERLINK("#"&amp;총괄내역서!H2&amp;"!D"&amp;ROW(총괄내역서!D25),"총괄표 →")</f>
        <v>총괄표 →</v>
      </c>
    </row>
    <row r="20" spans="1:8" ht="26.45" customHeight="1">
      <c r="A20" s="592"/>
      <c r="B20" s="592"/>
      <c r="C20" s="434" t="s">
        <v>830</v>
      </c>
      <c r="D20" s="435">
        <f>총괄내역서!D26</f>
        <v>920626</v>
      </c>
      <c r="E20" s="436">
        <f>D20/D31*100</f>
        <v>3.2844309668212626</v>
      </c>
      <c r="F20" s="444" t="str">
        <f>총괄내역서!E26</f>
        <v>(직접노무비+간접노무비+재료비) x 4.7%</v>
      </c>
      <c r="H20" s="433" t="str">
        <f ca="1">HYPERLINK("#"&amp;총괄내역서!H2&amp;"!D"&amp;ROW(총괄내역서!D26),"총괄표 →")</f>
        <v>총괄표 →</v>
      </c>
    </row>
    <row r="21" spans="1:8" ht="26.45" customHeight="1">
      <c r="A21" s="592"/>
      <c r="B21" s="592"/>
      <c r="C21" s="434" t="s">
        <v>5028</v>
      </c>
      <c r="D21" s="435">
        <f>총괄내역서!D27</f>
        <v>59048</v>
      </c>
      <c r="E21" s="436">
        <f>D21/D31*100</f>
        <v>0.21066000713521227</v>
      </c>
      <c r="F21" s="444" t="str">
        <f>총괄내역서!E27</f>
        <v>(재료비 + 직접노무비 + 산출경비) x 0.3%</v>
      </c>
      <c r="H21" s="433" t="str">
        <f ca="1">HYPERLINK("#"&amp;총괄내역서!H2&amp;"!D"&amp;ROW(총괄내역서!D27),"총괄표 →")</f>
        <v>총괄표 →</v>
      </c>
    </row>
    <row r="22" spans="1:8" ht="26.45" customHeight="1">
      <c r="A22" s="592"/>
      <c r="B22" s="592"/>
      <c r="C22" s="434" t="s">
        <v>831</v>
      </c>
      <c r="D22" s="435">
        <f>총괄내역서!D28</f>
        <v>31492</v>
      </c>
      <c r="E22" s="436">
        <f>D22/D31*100</f>
        <v>0.1123510524438102</v>
      </c>
      <c r="F22" s="444" t="str">
        <f>총괄내역서!E28</f>
        <v>(재료비 + 직접노무비 + 산출경비) x 0.16%</v>
      </c>
      <c r="H22" s="433" t="str">
        <f ca="1">HYPERLINK("#"&amp;총괄내역서!H2&amp;"!D"&amp;ROW(총괄내역서!D28),"총괄표 →")</f>
        <v>총괄표 →</v>
      </c>
    </row>
    <row r="23" spans="1:8" ht="26.45" customHeight="1">
      <c r="A23" s="592"/>
      <c r="B23" s="592"/>
      <c r="C23" s="434" t="s">
        <v>5661</v>
      </c>
      <c r="D23" s="531">
        <f>총괄내역서!D29</f>
        <v>286</v>
      </c>
      <c r="E23" s="436">
        <f>D23/D31*100</f>
        <v>1.0203353549768106E-3</v>
      </c>
      <c r="F23" s="444" t="str">
        <f>총괄내역서!E29</f>
        <v>(직접노무비+간접노무비) x 0.006%</v>
      </c>
      <c r="H23" s="433"/>
    </row>
    <row r="24" spans="1:8" ht="26.45" customHeight="1">
      <c r="A24" s="592"/>
      <c r="B24" s="592"/>
      <c r="C24" s="434" t="s">
        <v>5662</v>
      </c>
      <c r="D24" s="531">
        <f>총괄내역서!D30</f>
        <v>4303</v>
      </c>
      <c r="E24" s="436">
        <f>D24/D31*100</f>
        <v>1.5351409204423832E-2</v>
      </c>
      <c r="F24" s="444" t="str">
        <f>총괄내역서!E30</f>
        <v>(직접노무비+간접노무비) x 0.09%</v>
      </c>
      <c r="H24" s="433"/>
    </row>
    <row r="25" spans="1:8" ht="26.45" customHeight="1">
      <c r="A25" s="593"/>
      <c r="B25" s="593"/>
      <c r="C25" s="445" t="s">
        <v>818</v>
      </c>
      <c r="D25" s="441">
        <f>+D12+D13+D14+D15+D16+D17+D18+D19+D20+D21+D22+D23+D24</f>
        <v>2818501</v>
      </c>
      <c r="E25" s="442">
        <f>D25/D31*100</f>
        <v>10.055301462718516</v>
      </c>
      <c r="F25" s="443"/>
    </row>
    <row r="26" spans="1:8" ht="26.45" customHeight="1">
      <c r="A26" s="594" t="s">
        <v>832</v>
      </c>
      <c r="B26" s="595"/>
      <c r="C26" s="596"/>
      <c r="D26" s="446">
        <f>총괄내역서!D32</f>
        <v>1792503</v>
      </c>
      <c r="E26" s="447">
        <f>D26/D31*100</f>
        <v>6.3949447021048877</v>
      </c>
      <c r="F26" s="448" t="str">
        <f>"순공사원가 x "&amp;ROUND(총괄내역서!M32,5)&amp;"%"</f>
        <v>순공사원가 x 8%</v>
      </c>
      <c r="H26" s="433" t="str">
        <f ca="1">HYPERLINK("#"&amp;총괄내역서!H2&amp;"!D"&amp;ROW(총괄내역서!D32),"총괄표 →")</f>
        <v>총괄표 →</v>
      </c>
    </row>
    <row r="27" spans="1:8" ht="26.45" customHeight="1">
      <c r="A27" s="590" t="s">
        <v>833</v>
      </c>
      <c r="B27" s="589"/>
      <c r="C27" s="589"/>
      <c r="D27" s="446">
        <f>총괄내역서!D34</f>
        <v>1283025</v>
      </c>
      <c r="E27" s="447">
        <f>D27/D31*100</f>
        <v>4.5773278630039247</v>
      </c>
      <c r="F27" s="448" t="str">
        <f>"(노무비+경비+일반관리비) x "&amp;ROUND(총괄내역서!M34,5)&amp;"%"</f>
        <v>(노무비+경비+일반관리비) x 15%</v>
      </c>
      <c r="H27" s="433" t="str">
        <f ca="1">HYPERLINK("#"&amp;총괄내역서!H2&amp;"!D"&amp;ROW(총괄내역서!D34),"총괄표 →")</f>
        <v>총괄표 →</v>
      </c>
    </row>
    <row r="28" spans="1:8" ht="26.45" customHeight="1">
      <c r="A28" s="588" t="s">
        <v>834</v>
      </c>
      <c r="B28" s="589"/>
      <c r="C28" s="589"/>
      <c r="D28" s="446">
        <f>총괄내역서!D35</f>
        <v>25481819</v>
      </c>
      <c r="E28" s="447">
        <f>D28/D31*100</f>
        <v>90.909093828041392</v>
      </c>
      <c r="F28" s="449"/>
      <c r="H28" s="433" t="str">
        <f ca="1">HYPERLINK("#"&amp;총괄내역서!H2&amp;"!D"&amp;ROW(총괄내역서!D35),"총괄표 →")</f>
        <v>총괄표 →</v>
      </c>
    </row>
    <row r="29" spans="1:8" ht="26.45" customHeight="1">
      <c r="A29" s="590" t="s">
        <v>835</v>
      </c>
      <c r="B29" s="589"/>
      <c r="C29" s="589"/>
      <c r="D29" s="446">
        <f>총괄내역서!D36</f>
        <v>2548181</v>
      </c>
      <c r="E29" s="447">
        <f>D29/D31*100</f>
        <v>9.0909061719586148</v>
      </c>
      <c r="F29" s="448" t="str">
        <f>"총 원 가 x "&amp;ROUND(총괄내역서!M36,5)&amp;"%"</f>
        <v>총 원 가 x 10%</v>
      </c>
      <c r="H29" s="433" t="str">
        <f ca="1">HYPERLINK("#"&amp;총괄내역서!H2&amp;"!D"&amp;ROW(총괄내역서!D36),"총괄표 →")</f>
        <v>총괄표 →</v>
      </c>
    </row>
    <row r="30" spans="1:8" ht="26.45" customHeight="1">
      <c r="A30" s="588" t="s">
        <v>836</v>
      </c>
      <c r="B30" s="589"/>
      <c r="C30" s="589"/>
      <c r="D30" s="446">
        <f>총괄내역서!D37</f>
        <v>28030000</v>
      </c>
      <c r="E30" s="447">
        <f>D30/D31*100</f>
        <v>100</v>
      </c>
      <c r="F30" s="449"/>
      <c r="H30" s="433" t="str">
        <f ca="1">HYPERLINK("#"&amp;총괄내역서!H2&amp;"!D"&amp;ROW(총괄내역서!D37),"총괄표 →")</f>
        <v>총괄표 →</v>
      </c>
    </row>
    <row r="31" spans="1:8" ht="26.45" customHeight="1">
      <c r="A31" s="588" t="s">
        <v>837</v>
      </c>
      <c r="B31" s="589"/>
      <c r="C31" s="589"/>
      <c r="D31" s="446">
        <f>D30</f>
        <v>28030000</v>
      </c>
      <c r="E31" s="447">
        <v>100</v>
      </c>
      <c r="F31" s="449"/>
    </row>
  </sheetData>
  <mergeCells count="16">
    <mergeCell ref="A1:F1"/>
    <mergeCell ref="A3:C3"/>
    <mergeCell ref="D3:D4"/>
    <mergeCell ref="E3:E4"/>
    <mergeCell ref="F3:F4"/>
    <mergeCell ref="A4:C4"/>
    <mergeCell ref="A28:C28"/>
    <mergeCell ref="A29:C29"/>
    <mergeCell ref="A30:C30"/>
    <mergeCell ref="A31:C31"/>
    <mergeCell ref="A5:A25"/>
    <mergeCell ref="B5:B8"/>
    <mergeCell ref="B9:B11"/>
    <mergeCell ref="B12:B25"/>
    <mergeCell ref="A26:C26"/>
    <mergeCell ref="A27:C27"/>
  </mergeCells>
  <phoneticPr fontId="13" type="noConversion"/>
  <hyperlinks>
    <hyperlink ref="H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800-000000000000}"/>
    <hyperlink ref="G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800-000001000000}"/>
  </hyperlinks>
  <printOptions horizontalCentered="1"/>
  <pageMargins left="0.59055118110236215" right="0.59055118110236215" top="0.78740157480314965" bottom="0.74803149606299202" header="0" footer="0.55118110236220463"/>
  <pageSetup paperSize="9" scale="80" fitToWidth="0" fitToHeight="0" orientation="portrait" r:id="rId3"/>
  <headerFooter alignWithMargins="0"/>
  <drawing r:id="rId4"/>
  <legacy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</sheetPr>
  <dimension ref="A1:Q37"/>
  <sheetViews>
    <sheetView tabSelected="1" workbookViewId="0">
      <pane ySplit="3" topLeftCell="A25" activePane="bottomLeft" state="frozenSplit"/>
      <selection activeCell="D13" sqref="D13"/>
      <selection pane="bottomLeft" activeCell="D35" sqref="D35"/>
    </sheetView>
  </sheetViews>
  <sheetFormatPr defaultColWidth="8.109375" defaultRowHeight="13.5"/>
  <cols>
    <col min="1" max="1" width="8.88671875" style="428" customWidth="1"/>
    <col min="2" max="2" width="23.5546875" style="428" customWidth="1"/>
    <col min="3" max="3" width="20.21875" style="428" customWidth="1"/>
    <col min="4" max="7" width="15.5546875" style="428" customWidth="1"/>
    <col min="8" max="8" width="8.109375" style="455" hidden="1" customWidth="1"/>
    <col min="9" max="12" width="1.88671875" style="428" customWidth="1"/>
    <col min="13" max="16" width="3.5546875" style="428" customWidth="1"/>
    <col min="17" max="17" width="8.109375" style="432" customWidth="1"/>
    <col min="18" max="16384" width="8.109375" style="428"/>
  </cols>
  <sheetData>
    <row r="1" spans="1:17" ht="24.95" customHeight="1">
      <c r="A1" s="597" t="s">
        <v>838</v>
      </c>
      <c r="B1" s="598"/>
      <c r="C1" s="598"/>
      <c r="D1" s="598"/>
      <c r="E1" s="598"/>
      <c r="F1" s="598"/>
      <c r="G1" s="598"/>
      <c r="H1" s="427" t="s">
        <v>807</v>
      </c>
      <c r="Q1" s="427" t="s">
        <v>807</v>
      </c>
    </row>
    <row r="2" spans="1:17" ht="27.75" customHeight="1">
      <c r="A2" s="429" t="s">
        <v>5655</v>
      </c>
      <c r="H2" s="431" t="str">
        <f ca="1">MID(CELL("filename",$A$1),FIND("]",CELL("filename",$A$1))+1,LEN(CELL("filename",$A$1)))</f>
        <v>총괄내역서</v>
      </c>
    </row>
    <row r="3" spans="1:17" ht="27.75" customHeight="1">
      <c r="A3" s="450" t="s">
        <v>839</v>
      </c>
      <c r="B3" s="450" t="s">
        <v>840</v>
      </c>
      <c r="C3" s="450" t="s">
        <v>841</v>
      </c>
      <c r="D3" s="450" t="s">
        <v>842</v>
      </c>
      <c r="E3" s="450" t="s">
        <v>819</v>
      </c>
      <c r="F3" s="450" t="s">
        <v>814</v>
      </c>
      <c r="G3" s="440" t="s">
        <v>843</v>
      </c>
      <c r="H3" s="451" t="s">
        <v>844</v>
      </c>
      <c r="I3" s="608" t="s">
        <v>845</v>
      </c>
      <c r="J3" s="598"/>
      <c r="K3" s="598"/>
      <c r="L3" s="598"/>
      <c r="M3" s="598"/>
      <c r="N3" s="598"/>
      <c r="O3" s="598"/>
      <c r="P3" s="598"/>
      <c r="Q3" s="433" t="str">
        <f>HYPERLINK("#'〓 목 차 〓'!B2","목차 →")</f>
        <v>목차 →</v>
      </c>
    </row>
    <row r="4" spans="1:17" ht="27.75" customHeight="1">
      <c r="A4" s="452" t="s">
        <v>846</v>
      </c>
      <c r="B4" s="609" t="s">
        <v>5658</v>
      </c>
      <c r="C4" s="610"/>
      <c r="D4" s="446">
        <f>설계내역서!G5</f>
        <v>19682750</v>
      </c>
      <c r="E4" s="453">
        <f>설계내역서!I5</f>
        <v>4038536</v>
      </c>
      <c r="F4" s="454">
        <f>설계내역서!K5</f>
        <v>14806164</v>
      </c>
      <c r="G4" s="446">
        <f>설계내역서!M5</f>
        <v>838050</v>
      </c>
      <c r="Q4" s="433" t="str">
        <f ca="1">HYPERLINK("#"&amp;설계내역서!O2&amp;"!A"&amp;ROW(설계내역서!A5),"내역 →")</f>
        <v>내역 →</v>
      </c>
    </row>
    <row r="5" spans="1:17" ht="27.75" customHeight="1">
      <c r="A5" s="452" t="s">
        <v>848</v>
      </c>
      <c r="B5" s="452" t="s">
        <v>849</v>
      </c>
      <c r="C5" s="452"/>
      <c r="D5" s="446">
        <f>설계내역서!G6</f>
        <v>0</v>
      </c>
      <c r="E5" s="453">
        <f>설계내역서!I6</f>
        <v>0</v>
      </c>
      <c r="F5" s="454">
        <f>설계내역서!K6</f>
        <v>0</v>
      </c>
      <c r="G5" s="446">
        <f>설계내역서!M6</f>
        <v>0</v>
      </c>
      <c r="Q5" s="433" t="str">
        <f ca="1">HYPERLINK("#"&amp;설계내역서!O2&amp;"!A"&amp;ROW(설계내역서!A6),"내역 →")</f>
        <v>내역 →</v>
      </c>
    </row>
    <row r="6" spans="1:17" ht="27.75" customHeight="1">
      <c r="A6" s="452" t="s">
        <v>850</v>
      </c>
      <c r="B6" s="452" t="s">
        <v>851</v>
      </c>
      <c r="C6" s="452"/>
      <c r="D6" s="446">
        <f>설계내역서!G153</f>
        <v>6284196</v>
      </c>
      <c r="E6" s="453">
        <f>설계내역서!I153</f>
        <v>914568</v>
      </c>
      <c r="F6" s="454">
        <f>설계내역서!K153</f>
        <v>5366664</v>
      </c>
      <c r="G6" s="446">
        <f>설계내역서!M153</f>
        <v>2964</v>
      </c>
      <c r="Q6" s="433" t="str">
        <f ca="1">HYPERLINK("#"&amp;설계내역서!O2&amp;"!A"&amp;ROW(설계내역서!A153),"내역 →")</f>
        <v>내역 →</v>
      </c>
    </row>
    <row r="7" spans="1:17" ht="27.75" customHeight="1">
      <c r="A7" s="452" t="s">
        <v>852</v>
      </c>
      <c r="B7" s="452" t="s">
        <v>853</v>
      </c>
      <c r="C7" s="452"/>
      <c r="D7" s="446">
        <f>설계내역서!G161</f>
        <v>0</v>
      </c>
      <c r="E7" s="453">
        <f>설계내역서!I161</f>
        <v>0</v>
      </c>
      <c r="F7" s="454">
        <f>설계내역서!K161</f>
        <v>0</v>
      </c>
      <c r="G7" s="446">
        <f>설계내역서!M161</f>
        <v>0</v>
      </c>
      <c r="Q7" s="433" t="str">
        <f ca="1">HYPERLINK("#"&amp;설계내역서!O2&amp;"!A"&amp;ROW(설계내역서!A161),"내역 →")</f>
        <v>내역 →</v>
      </c>
    </row>
    <row r="8" spans="1:17" ht="27.75" customHeight="1">
      <c r="A8" s="452" t="s">
        <v>854</v>
      </c>
      <c r="B8" s="452" t="s">
        <v>855</v>
      </c>
      <c r="C8" s="452"/>
      <c r="D8" s="446">
        <f>설계내역서!G180</f>
        <v>9300000</v>
      </c>
      <c r="E8" s="453">
        <f>설계내역서!I180</f>
        <v>0</v>
      </c>
      <c r="F8" s="454">
        <f>설계내역서!K180</f>
        <v>9300000</v>
      </c>
      <c r="G8" s="446">
        <f>설계내역서!M180</f>
        <v>0</v>
      </c>
      <c r="Q8" s="433" t="str">
        <f ca="1">HYPERLINK("#"&amp;설계내역서!O2&amp;"!A"&amp;ROW(설계내역서!A180),"내역 →")</f>
        <v>내역 →</v>
      </c>
    </row>
    <row r="9" spans="1:17" ht="27.75" customHeight="1">
      <c r="A9" s="452" t="s">
        <v>856</v>
      </c>
      <c r="B9" s="452" t="s">
        <v>857</v>
      </c>
      <c r="C9" s="452"/>
      <c r="D9" s="446">
        <f>설계내역서!G191</f>
        <v>1264200</v>
      </c>
      <c r="E9" s="453">
        <f>설계내역서!I191</f>
        <v>1102700</v>
      </c>
      <c r="F9" s="454">
        <f>설계내역서!K191</f>
        <v>139500</v>
      </c>
      <c r="G9" s="446">
        <f>설계내역서!M191</f>
        <v>22000</v>
      </c>
      <c r="Q9" s="433" t="str">
        <f ca="1">HYPERLINK("#"&amp;설계내역서!O2&amp;"!A"&amp;ROW(설계내역서!A191),"내역 →")</f>
        <v>내역 →</v>
      </c>
    </row>
    <row r="10" spans="1:17" ht="27.75" customHeight="1">
      <c r="A10" s="452" t="s">
        <v>858</v>
      </c>
      <c r="B10" s="452" t="s">
        <v>859</v>
      </c>
      <c r="C10" s="452"/>
      <c r="D10" s="446">
        <f>설계내역서!G237</f>
        <v>0</v>
      </c>
      <c r="E10" s="453">
        <f>설계내역서!I237</f>
        <v>0</v>
      </c>
      <c r="F10" s="454">
        <f>설계내역서!K237</f>
        <v>0</v>
      </c>
      <c r="G10" s="446">
        <f>설계내역서!M237</f>
        <v>0</v>
      </c>
      <c r="Q10" s="433" t="str">
        <f ca="1">HYPERLINK("#"&amp;설계내역서!O2&amp;"!A"&amp;ROW(설계내역서!A237),"내역 →")</f>
        <v>내역 →</v>
      </c>
    </row>
    <row r="11" spans="1:17" ht="27.75" customHeight="1">
      <c r="A11" s="452" t="s">
        <v>860</v>
      </c>
      <c r="B11" s="452" t="s">
        <v>861</v>
      </c>
      <c r="C11" s="452"/>
      <c r="D11" s="446">
        <f>설계내역서!G301</f>
        <v>0</v>
      </c>
      <c r="E11" s="453">
        <f>설계내역서!I301</f>
        <v>0</v>
      </c>
      <c r="F11" s="454">
        <f>설계내역서!K301</f>
        <v>0</v>
      </c>
      <c r="G11" s="446">
        <f>설계내역서!M301</f>
        <v>0</v>
      </c>
      <c r="Q11" s="433" t="str">
        <f ca="1">HYPERLINK("#"&amp;설계내역서!O2&amp;"!A"&amp;ROW(설계내역서!A301),"내역 →")</f>
        <v>내역 →</v>
      </c>
    </row>
    <row r="12" spans="1:17" ht="27.75" customHeight="1">
      <c r="A12" s="452" t="s">
        <v>862</v>
      </c>
      <c r="B12" s="452" t="s">
        <v>863</v>
      </c>
      <c r="C12" s="452"/>
      <c r="D12" s="446">
        <f>설계내역서!G373</f>
        <v>2081873</v>
      </c>
      <c r="E12" s="453">
        <f>설계내역서!I373</f>
        <v>2021268</v>
      </c>
      <c r="F12" s="454">
        <f>설계내역서!K373</f>
        <v>0</v>
      </c>
      <c r="G12" s="446">
        <f>설계내역서!M373</f>
        <v>60605</v>
      </c>
      <c r="Q12" s="433" t="str">
        <f ca="1">HYPERLINK("#"&amp;설계내역서!O2&amp;"!A"&amp;ROW(설계내역서!A373),"내역 →")</f>
        <v>내역 →</v>
      </c>
    </row>
    <row r="13" spans="1:17" ht="27.75" customHeight="1">
      <c r="A13" s="452" t="s">
        <v>864</v>
      </c>
      <c r="B13" s="452" t="s">
        <v>865</v>
      </c>
      <c r="C13" s="452"/>
      <c r="D13" s="446">
        <f>설계내역서!G407</f>
        <v>0</v>
      </c>
      <c r="E13" s="453">
        <f>설계내역서!I407</f>
        <v>0</v>
      </c>
      <c r="F13" s="454">
        <f>설계내역서!K407</f>
        <v>0</v>
      </c>
      <c r="G13" s="446">
        <f>설계내역서!M407</f>
        <v>0</v>
      </c>
      <c r="Q13" s="433" t="str">
        <f ca="1">HYPERLINK("#"&amp;설계내역서!O2&amp;"!A"&amp;ROW(설계내역서!A407),"내역 →")</f>
        <v>내역 →</v>
      </c>
    </row>
    <row r="14" spans="1:17" ht="27.75" customHeight="1">
      <c r="A14" s="452" t="s">
        <v>866</v>
      </c>
      <c r="B14" s="452" t="s">
        <v>867</v>
      </c>
      <c r="C14" s="452"/>
      <c r="D14" s="446">
        <f>설계내역서!G435</f>
        <v>0</v>
      </c>
      <c r="E14" s="453">
        <f>설계내역서!I435</f>
        <v>0</v>
      </c>
      <c r="F14" s="454">
        <f>설계내역서!K435</f>
        <v>0</v>
      </c>
      <c r="G14" s="446">
        <f>설계내역서!M435</f>
        <v>0</v>
      </c>
      <c r="Q14" s="433" t="str">
        <f ca="1">HYPERLINK("#"&amp;설계내역서!O2&amp;"!A"&amp;ROW(설계내역서!A435),"내역 →")</f>
        <v>내역 →</v>
      </c>
    </row>
    <row r="15" spans="1:17" ht="27.75" customHeight="1">
      <c r="A15" s="452" t="s">
        <v>868</v>
      </c>
      <c r="B15" s="452" t="s">
        <v>869</v>
      </c>
      <c r="C15" s="452"/>
      <c r="D15" s="446">
        <f>설계내역서!G445</f>
        <v>752481</v>
      </c>
      <c r="E15" s="453">
        <f>설계내역서!I445</f>
        <v>0</v>
      </c>
      <c r="F15" s="454">
        <f>설계내역서!K445</f>
        <v>0</v>
      </c>
      <c r="G15" s="446">
        <f>설계내역서!M445</f>
        <v>752481</v>
      </c>
      <c r="Q15" s="433" t="str">
        <f ca="1">HYPERLINK("#"&amp;설계내역서!O2&amp;"!A"&amp;ROW(설계내역서!A445),"내역 →")</f>
        <v>내역 →</v>
      </c>
    </row>
    <row r="16" spans="1:17" ht="27.75" customHeight="1">
      <c r="A16" s="452" t="s">
        <v>868</v>
      </c>
      <c r="B16" s="452" t="s">
        <v>870</v>
      </c>
      <c r="C16" s="452"/>
      <c r="D16" s="446">
        <f>설계내역서!G474</f>
        <v>0</v>
      </c>
      <c r="E16" s="453">
        <f>설계내역서!I474</f>
        <v>0</v>
      </c>
      <c r="F16" s="454">
        <f>설계내역서!K474</f>
        <v>0</v>
      </c>
      <c r="G16" s="446">
        <f>설계내역서!M474</f>
        <v>0</v>
      </c>
      <c r="Q16" s="433" t="str">
        <f ca="1">HYPERLINK("#"&amp;설계내역서!O2&amp;"!A"&amp;ROW(설계내역서!A474),"내역 →")</f>
        <v>내역 →</v>
      </c>
    </row>
    <row r="17" spans="1:17" ht="27.75" customHeight="1">
      <c r="A17" s="452" t="s">
        <v>871</v>
      </c>
      <c r="B17" s="452" t="s">
        <v>872</v>
      </c>
      <c r="C17" s="452"/>
      <c r="D17" s="446">
        <f>설계내역서!G482</f>
        <v>19682750</v>
      </c>
      <c r="E17" s="453">
        <f>설계내역서!I482</f>
        <v>4038536</v>
      </c>
      <c r="F17" s="454">
        <f>설계내역서!K482</f>
        <v>14806164</v>
      </c>
      <c r="G17" s="446">
        <f>설계내역서!M482</f>
        <v>838050</v>
      </c>
      <c r="Q17" s="433" t="str">
        <f ca="1">HYPERLINK("#"&amp;설계내역서!O2&amp;"!A"&amp;ROW(설계내역서!A482),"내역 →")</f>
        <v>내역 →</v>
      </c>
    </row>
    <row r="18" spans="1:17" ht="27.75" customHeight="1">
      <c r="A18" s="452"/>
      <c r="B18" s="452" t="s">
        <v>873</v>
      </c>
      <c r="C18" s="452"/>
      <c r="D18" s="446">
        <f>ROUNDDOWN(E17*M18/100,0)</f>
        <v>743090</v>
      </c>
      <c r="E18" s="607" t="str">
        <f>"직접노무비 x "&amp;ROUND(M18,5)&amp;"%"</f>
        <v>직접노무비 x 18.4%</v>
      </c>
      <c r="F18" s="605"/>
      <c r="G18" s="606"/>
      <c r="H18" s="451" t="s">
        <v>874</v>
      </c>
      <c r="I18" s="456">
        <v>0</v>
      </c>
      <c r="M18" s="457">
        <v>18.399999999999999</v>
      </c>
      <c r="N18" s="456">
        <v>0</v>
      </c>
      <c r="O18" s="456">
        <v>0</v>
      </c>
      <c r="P18" s="456">
        <v>0</v>
      </c>
    </row>
    <row r="19" spans="1:17" ht="27.75" customHeight="1">
      <c r="A19" s="452"/>
      <c r="B19" s="452" t="s">
        <v>875</v>
      </c>
      <c r="C19" s="452"/>
      <c r="D19" s="446">
        <f>ROUNDDOWN(((E17+D18))*M19/100,0)</f>
        <v>170225</v>
      </c>
      <c r="E19" s="607" t="str">
        <f>"(직접노무비+간접노무비) x "&amp;ROUND(M19,5)&amp;"%"</f>
        <v>(직접노무비+간접노무비) x 3.56%</v>
      </c>
      <c r="F19" s="605"/>
      <c r="G19" s="606"/>
      <c r="H19" s="451" t="s">
        <v>876</v>
      </c>
      <c r="I19" s="456">
        <v>0</v>
      </c>
      <c r="M19" s="457">
        <v>3.56</v>
      </c>
      <c r="N19" s="456">
        <v>0</v>
      </c>
      <c r="O19" s="456">
        <v>0</v>
      </c>
      <c r="P19" s="456">
        <v>0</v>
      </c>
    </row>
    <row r="20" spans="1:17" ht="27.75" customHeight="1">
      <c r="A20" s="452"/>
      <c r="B20" s="452" t="s">
        <v>877</v>
      </c>
      <c r="C20" s="452"/>
      <c r="D20" s="446">
        <f>ROUNDDOWN(((E17+D18))*M20/100,0)</f>
        <v>48294</v>
      </c>
      <c r="E20" s="607" t="str">
        <f>"(직접노무비+간접노무비) x "&amp;ROUND(M20,5)&amp;"%"</f>
        <v>(직접노무비+간접노무비) x 1.01%</v>
      </c>
      <c r="F20" s="605"/>
      <c r="G20" s="606"/>
      <c r="H20" s="451" t="s">
        <v>878</v>
      </c>
      <c r="I20" s="456">
        <v>0</v>
      </c>
      <c r="M20" s="457">
        <v>1.01</v>
      </c>
      <c r="N20" s="456">
        <v>0</v>
      </c>
      <c r="O20" s="456">
        <v>0</v>
      </c>
      <c r="P20" s="456">
        <v>0</v>
      </c>
    </row>
    <row r="21" spans="1:17" ht="27.75" customHeight="1">
      <c r="A21" s="452"/>
      <c r="B21" s="452" t="s">
        <v>879</v>
      </c>
      <c r="C21" s="452"/>
      <c r="D21" s="446">
        <f>ROUNDDOWN((E17)*M21/100,0)</f>
        <v>145185</v>
      </c>
      <c r="E21" s="607" t="str">
        <f>"직접노무비 x "&amp;ROUND(M21,5)&amp;"%"</f>
        <v>직접노무비 x 3.595%</v>
      </c>
      <c r="F21" s="605"/>
      <c r="G21" s="606"/>
      <c r="H21" s="451" t="s">
        <v>880</v>
      </c>
      <c r="I21" s="456">
        <v>0</v>
      </c>
      <c r="J21" s="458">
        <f>E17</f>
        <v>4038536</v>
      </c>
      <c r="M21" s="457">
        <v>3.5950000000000002</v>
      </c>
      <c r="N21" s="456">
        <v>0</v>
      </c>
      <c r="O21" s="456">
        <v>0</v>
      </c>
      <c r="P21" s="456">
        <v>0</v>
      </c>
    </row>
    <row r="22" spans="1:17" ht="27.75" customHeight="1">
      <c r="A22" s="452"/>
      <c r="B22" s="452" t="s">
        <v>881</v>
      </c>
      <c r="C22" s="452"/>
      <c r="D22" s="446">
        <f>ROUNDDOWN(D21*M22/100,0)</f>
        <v>19077</v>
      </c>
      <c r="E22" s="607" t="str">
        <f>"건강보험료 x "&amp;ROUND(M22,5)&amp;"%"</f>
        <v>건강보험료 x 13.14%</v>
      </c>
      <c r="F22" s="605"/>
      <c r="G22" s="606"/>
      <c r="H22" s="451" t="s">
        <v>882</v>
      </c>
      <c r="I22" s="456">
        <v>0</v>
      </c>
      <c r="J22" s="458">
        <f>D21</f>
        <v>145185</v>
      </c>
      <c r="M22" s="457">
        <v>13.14</v>
      </c>
      <c r="N22" s="456">
        <v>0</v>
      </c>
      <c r="O22" s="456">
        <v>0</v>
      </c>
      <c r="P22" s="456">
        <v>0</v>
      </c>
    </row>
    <row r="23" spans="1:17" ht="27.75" customHeight="1">
      <c r="A23" s="452"/>
      <c r="B23" s="452" t="s">
        <v>883</v>
      </c>
      <c r="C23" s="452"/>
      <c r="D23" s="446">
        <f>ROUNDDOWN((E17)*M23/100,0)</f>
        <v>191830</v>
      </c>
      <c r="E23" s="607" t="str">
        <f>"직접노무비 x "&amp;ROUND(M23,5)&amp;"%"</f>
        <v>직접노무비 x 4.75%</v>
      </c>
      <c r="F23" s="605"/>
      <c r="G23" s="606"/>
      <c r="H23" s="451" t="s">
        <v>884</v>
      </c>
      <c r="I23" s="456">
        <v>0</v>
      </c>
      <c r="J23" s="458">
        <f>E17</f>
        <v>4038536</v>
      </c>
      <c r="M23" s="457">
        <v>4.75</v>
      </c>
      <c r="N23" s="456">
        <v>0</v>
      </c>
      <c r="O23" s="456">
        <v>0</v>
      </c>
      <c r="P23" s="456">
        <v>0</v>
      </c>
    </row>
    <row r="24" spans="1:17" ht="27.75" customHeight="1">
      <c r="A24" s="452"/>
      <c r="B24" s="452" t="s">
        <v>5029</v>
      </c>
      <c r="C24" s="452"/>
      <c r="D24" s="446"/>
      <c r="E24" s="607" t="str">
        <f>"직접노무비 x "&amp;ROUND(M24,5)&amp;"%"</f>
        <v>직접노무비 x 2.3%</v>
      </c>
      <c r="F24" s="605"/>
      <c r="G24" s="606"/>
      <c r="H24" s="451" t="s">
        <v>5030</v>
      </c>
      <c r="I24" s="456">
        <v>0</v>
      </c>
      <c r="J24" s="458">
        <f>E17</f>
        <v>4038536</v>
      </c>
      <c r="M24" s="457">
        <v>2.2999999999999998</v>
      </c>
      <c r="N24" s="456">
        <v>0</v>
      </c>
      <c r="O24" s="456">
        <v>0</v>
      </c>
      <c r="P24" s="456">
        <v>0</v>
      </c>
    </row>
    <row r="25" spans="1:17" ht="27.75" customHeight="1">
      <c r="A25" s="452"/>
      <c r="B25" s="452" t="s">
        <v>5031</v>
      </c>
      <c r="C25" s="452"/>
      <c r="D25" s="446">
        <f>ROUNDDOWN(((E17+(F17)))*M25/100,0)</f>
        <v>390085</v>
      </c>
      <c r="E25" s="607" t="str">
        <f>"(직노+직재+간재) x "&amp;ROUND(M25,5)&amp;"% = "&amp;TEXT(D25,"#,0")&amp;""</f>
        <v>(직노+직재+간재) x 2.07% = 390,085</v>
      </c>
      <c r="F25" s="605"/>
      <c r="G25" s="606"/>
      <c r="H25" s="451" t="s">
        <v>885</v>
      </c>
      <c r="I25" s="456">
        <v>0</v>
      </c>
      <c r="J25" s="458">
        <f>((E17+(F17)))</f>
        <v>18844700</v>
      </c>
      <c r="M25" s="457">
        <v>2.0699999999999998</v>
      </c>
      <c r="N25" s="456">
        <v>0</v>
      </c>
      <c r="O25" s="456">
        <v>0</v>
      </c>
      <c r="P25" s="456">
        <v>0</v>
      </c>
    </row>
    <row r="26" spans="1:17" ht="27.75" customHeight="1">
      <c r="A26" s="452"/>
      <c r="B26" s="452" t="s">
        <v>5032</v>
      </c>
      <c r="C26" s="452"/>
      <c r="D26" s="446">
        <f>ROUNDDOWN(((((E17+D18)+(F17))))*M26/100,0)</f>
        <v>920626</v>
      </c>
      <c r="E26" s="607" t="str">
        <f>"(직접노무비+간접노무비+재료비) x "&amp;ROUND(M26,5)&amp;"%"</f>
        <v>(직접노무비+간접노무비+재료비) x 4.7%</v>
      </c>
      <c r="F26" s="605"/>
      <c r="G26" s="606"/>
      <c r="H26" s="451" t="s">
        <v>886</v>
      </c>
      <c r="I26" s="456">
        <v>0</v>
      </c>
      <c r="M26" s="457">
        <v>4.7</v>
      </c>
      <c r="N26" s="456">
        <v>0</v>
      </c>
      <c r="O26" s="456">
        <v>0</v>
      </c>
      <c r="P26" s="456">
        <v>0</v>
      </c>
    </row>
    <row r="27" spans="1:17" ht="27.75" customHeight="1">
      <c r="A27" s="452"/>
      <c r="B27" s="452" t="s">
        <v>5033</v>
      </c>
      <c r="C27" s="452"/>
      <c r="D27" s="446">
        <f>ROUNDDOWN((D17)*M27/100,0)</f>
        <v>59048</v>
      </c>
      <c r="E27" s="607" t="str">
        <f>"(재료비 + 직접노무비 + 산출경비) x "&amp;ROUND(M27,5)&amp;"%"</f>
        <v>(재료비 + 직접노무비 + 산출경비) x 0.3%</v>
      </c>
      <c r="F27" s="605"/>
      <c r="G27" s="606"/>
      <c r="H27" s="451" t="s">
        <v>5034</v>
      </c>
      <c r="I27" s="456">
        <v>0</v>
      </c>
      <c r="M27" s="457">
        <v>0.3</v>
      </c>
      <c r="N27" s="456">
        <v>0</v>
      </c>
      <c r="O27" s="456">
        <v>0</v>
      </c>
      <c r="P27" s="456">
        <v>0</v>
      </c>
    </row>
    <row r="28" spans="1:17" ht="27.75" customHeight="1">
      <c r="A28" s="452"/>
      <c r="B28" s="452" t="s">
        <v>5035</v>
      </c>
      <c r="C28" s="452"/>
      <c r="D28" s="446">
        <f>ROUNDDOWN((D17)*M28/100,0)</f>
        <v>31492</v>
      </c>
      <c r="E28" s="607" t="str">
        <f>"(재료비 + 직접노무비 + 산출경비) x "&amp;ROUND(M28,5)&amp;"%"</f>
        <v>(재료비 + 직접노무비 + 산출경비) x 0.16%</v>
      </c>
      <c r="F28" s="605"/>
      <c r="G28" s="606"/>
      <c r="H28" s="451" t="s">
        <v>887</v>
      </c>
      <c r="I28" s="456">
        <v>0</v>
      </c>
      <c r="M28" s="457">
        <v>0.16</v>
      </c>
      <c r="N28" s="456">
        <v>0</v>
      </c>
      <c r="O28" s="456">
        <v>0</v>
      </c>
      <c r="P28" s="456">
        <v>0</v>
      </c>
    </row>
    <row r="29" spans="1:17" ht="27.75" customHeight="1">
      <c r="A29" s="530"/>
      <c r="B29" s="530" t="s">
        <v>5656</v>
      </c>
      <c r="C29" s="530"/>
      <c r="D29" s="446">
        <f>ROUNDDOWN(((((E17+D18))))*M29/100,0)</f>
        <v>286</v>
      </c>
      <c r="E29" s="607" t="str">
        <f>"(직접노무비+간접노무비) x "&amp;ROUND(M29,5)&amp;"%"</f>
        <v>(직접노무비+간접노무비) x 0.006%</v>
      </c>
      <c r="F29" s="605"/>
      <c r="G29" s="606"/>
      <c r="H29" s="451"/>
      <c r="I29" s="456"/>
      <c r="M29" s="457">
        <v>6.0000000000000001E-3</v>
      </c>
      <c r="N29" s="456"/>
      <c r="O29" s="456"/>
      <c r="P29" s="456"/>
    </row>
    <row r="30" spans="1:17" ht="27.75" customHeight="1">
      <c r="A30" s="530"/>
      <c r="B30" s="530" t="s">
        <v>5657</v>
      </c>
      <c r="C30" s="530"/>
      <c r="D30" s="446">
        <f>ROUNDDOWN(((((E17+D18))))*M30/100,0)</f>
        <v>4303</v>
      </c>
      <c r="E30" s="607" t="str">
        <f>"(직접노무비+간접노무비) x "&amp;ROUND(M30,5)&amp;"%"</f>
        <v>(직접노무비+간접노무비) x 0.09%</v>
      </c>
      <c r="F30" s="605"/>
      <c r="G30" s="606"/>
      <c r="H30" s="451"/>
      <c r="I30" s="456"/>
      <c r="M30" s="457">
        <v>0.09</v>
      </c>
      <c r="N30" s="456"/>
      <c r="O30" s="456"/>
      <c r="P30" s="456"/>
    </row>
    <row r="31" spans="1:17" ht="27.75" customHeight="1">
      <c r="A31" s="452" t="s">
        <v>888</v>
      </c>
      <c r="B31" s="452" t="s">
        <v>889</v>
      </c>
      <c r="C31" s="452"/>
      <c r="D31" s="446">
        <f>(D17+D18+D19+D20+D21+D22+D23+D24+D25+D26+D27+D28+D29+D30)</f>
        <v>22406291</v>
      </c>
      <c r="E31" s="604"/>
      <c r="F31" s="605"/>
      <c r="G31" s="606"/>
      <c r="H31" s="451" t="s">
        <v>890</v>
      </c>
      <c r="I31" s="456">
        <v>0</v>
      </c>
      <c r="M31" s="456">
        <v>0</v>
      </c>
      <c r="N31" s="456">
        <v>0</v>
      </c>
      <c r="O31" s="456">
        <v>0</v>
      </c>
      <c r="P31" s="456">
        <v>0</v>
      </c>
    </row>
    <row r="32" spans="1:17" ht="27.75" customHeight="1">
      <c r="A32" s="452"/>
      <c r="B32" s="452" t="s">
        <v>5036</v>
      </c>
      <c r="C32" s="452"/>
      <c r="D32" s="446">
        <f>ROUNDDOWN(((D31)+0)*M32/100,0)</f>
        <v>1792503</v>
      </c>
      <c r="E32" s="607" t="str">
        <f>"(나.소  계) x "&amp;ROUND(M32,5)&amp;"%"</f>
        <v>(나.소  계) x 8%</v>
      </c>
      <c r="F32" s="605"/>
      <c r="G32" s="606"/>
      <c r="H32" s="451" t="s">
        <v>891</v>
      </c>
      <c r="I32" s="456">
        <v>0</v>
      </c>
      <c r="M32" s="459">
        <v>8</v>
      </c>
      <c r="N32" s="456">
        <v>0</v>
      </c>
      <c r="O32" s="456">
        <v>0</v>
      </c>
      <c r="P32" s="456">
        <v>0</v>
      </c>
    </row>
    <row r="33" spans="1:16" ht="27.75" customHeight="1">
      <c r="A33" s="452" t="s">
        <v>892</v>
      </c>
      <c r="B33" s="452" t="s">
        <v>889</v>
      </c>
      <c r="C33" s="452"/>
      <c r="D33" s="446">
        <f>(D31+D32)</f>
        <v>24198794</v>
      </c>
      <c r="E33" s="604"/>
      <c r="F33" s="605"/>
      <c r="G33" s="606"/>
      <c r="H33" s="451" t="s">
        <v>893</v>
      </c>
      <c r="I33" s="456">
        <v>0</v>
      </c>
      <c r="J33" s="458">
        <f>D33</f>
        <v>24198794</v>
      </c>
      <c r="L33" s="458">
        <f>D33</f>
        <v>24198794</v>
      </c>
      <c r="M33" s="456">
        <v>0</v>
      </c>
      <c r="N33" s="456">
        <v>0</v>
      </c>
      <c r="O33" s="456">
        <v>0</v>
      </c>
      <c r="P33" s="456">
        <v>0</v>
      </c>
    </row>
    <row r="34" spans="1:16" ht="27.75" customHeight="1">
      <c r="A34" s="452"/>
      <c r="B34" s="452" t="s">
        <v>5037</v>
      </c>
      <c r="C34" s="452"/>
      <c r="D34" s="446">
        <f>ROUNDDOWN(((D33)-(F17))*M34/100,0)-5000-200-17-120000-650-2</f>
        <v>1283025</v>
      </c>
      <c r="E34" s="607" t="str">
        <f>"(다.소계 - 재료비) x "&amp;ROUND(M34,5)&amp;"% = "&amp;TEXT(J34,"#,##0")</f>
        <v>(다.소계 - 재료비) x 15% = 1,408,894</v>
      </c>
      <c r="F34" s="605"/>
      <c r="G34" s="606"/>
      <c r="H34" s="451" t="s">
        <v>894</v>
      </c>
      <c r="I34" s="459"/>
      <c r="J34" s="458">
        <f>ROUNDDOWN(((J33)-(F17))*M34/100,0)</f>
        <v>1408894</v>
      </c>
      <c r="L34" s="458">
        <f>ROUNDDOWN(((L33)-(F17))*M34/100,0)-I34</f>
        <v>1408894</v>
      </c>
      <c r="M34" s="459">
        <v>15</v>
      </c>
      <c r="N34" s="456">
        <v>0</v>
      </c>
      <c r="O34" s="456">
        <v>0</v>
      </c>
      <c r="P34" s="456">
        <v>0</v>
      </c>
    </row>
    <row r="35" spans="1:16" ht="27.75" customHeight="1">
      <c r="A35" s="452" t="s">
        <v>895</v>
      </c>
      <c r="B35" s="452" t="s">
        <v>896</v>
      </c>
      <c r="C35" s="452"/>
      <c r="D35" s="446">
        <f>(D33+D34)</f>
        <v>25481819</v>
      </c>
      <c r="E35" s="604"/>
      <c r="F35" s="605"/>
      <c r="G35" s="606"/>
      <c r="H35" s="451" t="s">
        <v>897</v>
      </c>
      <c r="I35" s="456">
        <v>0</v>
      </c>
      <c r="J35" s="458">
        <f>(J33+J34)</f>
        <v>25607688</v>
      </c>
      <c r="L35" s="458">
        <f>(L33+L34)</f>
        <v>25607688</v>
      </c>
      <c r="M35" s="456">
        <v>0</v>
      </c>
      <c r="N35" s="456">
        <v>0</v>
      </c>
      <c r="O35" s="456">
        <v>0</v>
      </c>
      <c r="P35" s="456">
        <v>0</v>
      </c>
    </row>
    <row r="36" spans="1:16" ht="27.75" customHeight="1">
      <c r="A36" s="452"/>
      <c r="B36" s="452" t="s">
        <v>5038</v>
      </c>
      <c r="C36" s="452"/>
      <c r="D36" s="446">
        <f>ROUNDDOWN((D35)*M36/100,0)+I36</f>
        <v>2548181</v>
      </c>
      <c r="E36" s="607" t="str">
        <f>"공급가액 x "&amp;ROUND(M36,5)&amp;"%"</f>
        <v>공급가액 x 10%</v>
      </c>
      <c r="F36" s="605"/>
      <c r="G36" s="606"/>
      <c r="H36" s="451" t="s">
        <v>898</v>
      </c>
      <c r="I36" s="459">
        <v>0</v>
      </c>
      <c r="J36" s="458">
        <f>ROUNDDOWN((J35)*M36/100,0)+I36</f>
        <v>2560768</v>
      </c>
      <c r="L36" s="458">
        <f>ROUNDDOWN((L35)*M36/100,0)+I36</f>
        <v>2560768</v>
      </c>
      <c r="M36" s="459">
        <v>10</v>
      </c>
      <c r="N36" s="456">
        <v>0</v>
      </c>
      <c r="O36" s="456">
        <v>0</v>
      </c>
      <c r="P36" s="456">
        <v>0</v>
      </c>
    </row>
    <row r="37" spans="1:16" ht="27.75" customHeight="1">
      <c r="A37" s="452" t="s">
        <v>899</v>
      </c>
      <c r="B37" s="452" t="s">
        <v>900</v>
      </c>
      <c r="C37" s="452"/>
      <c r="D37" s="446">
        <f>(D35+D36)</f>
        <v>28030000</v>
      </c>
      <c r="E37" s="604"/>
      <c r="F37" s="605"/>
      <c r="G37" s="606"/>
      <c r="H37" s="451" t="s">
        <v>901</v>
      </c>
      <c r="I37" s="456">
        <v>0</v>
      </c>
      <c r="J37" s="458">
        <f>(J35+J36)</f>
        <v>28168456</v>
      </c>
      <c r="L37" s="458">
        <f>(L35+L36)</f>
        <v>28168456</v>
      </c>
      <c r="M37" s="456">
        <v>0</v>
      </c>
      <c r="N37" s="456">
        <v>0</v>
      </c>
      <c r="O37" s="456">
        <v>0</v>
      </c>
      <c r="P37" s="456">
        <v>0</v>
      </c>
    </row>
  </sheetData>
  <mergeCells count="23">
    <mergeCell ref="E26:G26"/>
    <mergeCell ref="A1:G1"/>
    <mergeCell ref="I3:P3"/>
    <mergeCell ref="B4:C4"/>
    <mergeCell ref="E18:G18"/>
    <mergeCell ref="E19:G19"/>
    <mergeCell ref="E20:G20"/>
    <mergeCell ref="E21:G21"/>
    <mergeCell ref="E22:G22"/>
    <mergeCell ref="E23:G23"/>
    <mergeCell ref="E24:G24"/>
    <mergeCell ref="E25:G25"/>
    <mergeCell ref="E35:G35"/>
    <mergeCell ref="E36:G36"/>
    <mergeCell ref="E37:G37"/>
    <mergeCell ref="E27:G27"/>
    <mergeCell ref="E28:G28"/>
    <mergeCell ref="E31:G31"/>
    <mergeCell ref="E32:G32"/>
    <mergeCell ref="E33:G33"/>
    <mergeCell ref="E34:G34"/>
    <mergeCell ref="E29:G29"/>
    <mergeCell ref="E30:G30"/>
  </mergeCells>
  <phoneticPr fontId="13" type="noConversion"/>
  <hyperlinks>
    <hyperlink ref="H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900-000000000000}"/>
    <hyperlink ref="Q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900-000001000000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/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AC498"/>
  <sheetViews>
    <sheetView workbookViewId="0">
      <pane ySplit="4" topLeftCell="A5" activePane="bottomLeft" state="frozenSplit"/>
      <selection activeCell="D13" sqref="D13"/>
      <selection pane="bottomLeft" activeCell="D210" sqref="D210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8.88671875" style="428" customWidth="1"/>
    <col min="5" max="5" width="4.88671875" style="428" customWidth="1"/>
    <col min="6" max="6" width="8.88671875" style="428" customWidth="1"/>
    <col min="7" max="7" width="10.21875" style="428" customWidth="1"/>
    <col min="8" max="8" width="8.88671875" style="428" customWidth="1"/>
    <col min="9" max="9" width="10.21875" style="428" customWidth="1"/>
    <col min="10" max="10" width="8.88671875" style="428" customWidth="1"/>
    <col min="11" max="11" width="10.21875" style="428" customWidth="1"/>
    <col min="12" max="12" width="8.88671875" style="428" customWidth="1"/>
    <col min="13" max="13" width="10.21875" style="428" customWidth="1"/>
    <col min="14" max="14" width="8.88671875" style="428" customWidth="1"/>
    <col min="15" max="15" width="8.109375" style="455" hidden="1" customWidth="1"/>
    <col min="16" max="28" width="1.88671875" style="428" customWidth="1"/>
    <col min="29" max="29" width="8.109375" style="432" customWidth="1"/>
    <col min="30" max="16384" width="8.109375" style="428"/>
  </cols>
  <sheetData>
    <row r="1" spans="1:29" ht="24.95" customHeight="1">
      <c r="A1" s="597" t="s">
        <v>902</v>
      </c>
      <c r="B1" s="598"/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426" t="s">
        <v>807</v>
      </c>
      <c r="AC1" s="427" t="s">
        <v>807</v>
      </c>
    </row>
    <row r="2" spans="1:29" ht="35.25" customHeight="1">
      <c r="A2" s="429" t="s">
        <v>5655</v>
      </c>
      <c r="O2" s="431" t="str">
        <f ca="1">MID(CELL("filename",$A$1),FIND("]",CELL("filename",$A$1))+1,LEN(CELL("filename",$A$1)))</f>
        <v>설계내역서</v>
      </c>
    </row>
    <row r="3" spans="1:29" ht="35.25" customHeight="1">
      <c r="A3" s="613" t="s">
        <v>839</v>
      </c>
      <c r="B3" s="613" t="s">
        <v>840</v>
      </c>
      <c r="C3" s="613" t="s">
        <v>841</v>
      </c>
      <c r="D3" s="613" t="s">
        <v>903</v>
      </c>
      <c r="E3" s="613" t="s">
        <v>904</v>
      </c>
      <c r="F3" s="601" t="s">
        <v>842</v>
      </c>
      <c r="G3" s="614"/>
      <c r="H3" s="601" t="s">
        <v>819</v>
      </c>
      <c r="I3" s="614"/>
      <c r="J3" s="601" t="s">
        <v>814</v>
      </c>
      <c r="K3" s="614"/>
      <c r="L3" s="601" t="s">
        <v>843</v>
      </c>
      <c r="M3" s="614"/>
      <c r="N3" s="601" t="s">
        <v>905</v>
      </c>
    </row>
    <row r="4" spans="1:29" ht="35.25" customHeight="1">
      <c r="A4" s="614"/>
      <c r="B4" s="614"/>
      <c r="C4" s="614"/>
      <c r="D4" s="614"/>
      <c r="E4" s="614"/>
      <c r="F4" s="460" t="s">
        <v>906</v>
      </c>
      <c r="G4" s="460" t="s">
        <v>809</v>
      </c>
      <c r="H4" s="460" t="s">
        <v>906</v>
      </c>
      <c r="I4" s="460" t="s">
        <v>809</v>
      </c>
      <c r="J4" s="460" t="s">
        <v>906</v>
      </c>
      <c r="K4" s="460" t="s">
        <v>809</v>
      </c>
      <c r="L4" s="460" t="s">
        <v>906</v>
      </c>
      <c r="M4" s="460" t="s">
        <v>809</v>
      </c>
      <c r="N4" s="602"/>
      <c r="AC4" s="433" t="str">
        <f>HYPERLINK("#'〓 목 차 〓'!B2","목차 →")</f>
        <v>목차 →</v>
      </c>
    </row>
    <row r="5" spans="1:29" ht="35.25" customHeight="1">
      <c r="A5" s="461" t="s">
        <v>846</v>
      </c>
      <c r="B5" s="611" t="s">
        <v>847</v>
      </c>
      <c r="C5" s="612"/>
      <c r="D5" s="462"/>
      <c r="E5" s="463"/>
      <c r="F5" s="464">
        <v>0</v>
      </c>
      <c r="G5" s="453">
        <f>SUMIF(Q6:Q481,P5,G6:G481)</f>
        <v>19682750</v>
      </c>
      <c r="H5" s="465">
        <v>0</v>
      </c>
      <c r="I5" s="446">
        <f>SUMIF(Q6:Q481,P5,I6:I481)</f>
        <v>4038536</v>
      </c>
      <c r="J5" s="465">
        <v>0</v>
      </c>
      <c r="K5" s="466">
        <f>SUMIF(Q6:Q481,P5,K6:K481)</f>
        <v>14806164</v>
      </c>
      <c r="L5" s="467">
        <v>0</v>
      </c>
      <c r="M5" s="466">
        <f>SUMIF(Q6:Q481,P5,M6:M481)</f>
        <v>838050</v>
      </c>
      <c r="N5" s="463"/>
      <c r="O5" s="451" t="str">
        <f>"_x0007_`COD|E5_x0005_`QTY1|1_x0005_`EXI|1_x0005_`ITT|0_x0005_`END|"&amp;ROW(M482)&amp;"_x0005_`"</f>
        <v>_x0007_`COD|E5_x0005_`QTY1|1_x0005_`EXI|1_x0005_`ITT|0_x0005_`END|482_x0005_`</v>
      </c>
      <c r="P5" s="468" t="s">
        <v>907</v>
      </c>
      <c r="Q5" s="468" t="s">
        <v>908</v>
      </c>
    </row>
    <row r="6" spans="1:29" ht="35.25" customHeight="1">
      <c r="A6" s="461" t="s">
        <v>848</v>
      </c>
      <c r="B6" s="461" t="s">
        <v>849</v>
      </c>
      <c r="C6" s="469"/>
      <c r="D6" s="462"/>
      <c r="E6" s="463"/>
      <c r="F6" s="464">
        <v>0</v>
      </c>
      <c r="G6" s="453">
        <f>SUMIF(Q7:Q152,P6,G7:G152)</f>
        <v>0</v>
      </c>
      <c r="H6" s="465">
        <v>0</v>
      </c>
      <c r="I6" s="446">
        <f>SUMIF(Q7:Q152,P6,I7:I152)</f>
        <v>0</v>
      </c>
      <c r="J6" s="465">
        <v>0</v>
      </c>
      <c r="K6" s="466">
        <f>SUMIF(Q7:Q152,P6,K7:K152)</f>
        <v>0</v>
      </c>
      <c r="L6" s="467">
        <v>0</v>
      </c>
      <c r="M6" s="466">
        <f>SUMIF(Q7:Q152,P6,M7:M152)</f>
        <v>0</v>
      </c>
      <c r="N6" s="463"/>
      <c r="O6" s="451" t="str">
        <f>"_x0007_`COD|E4_x0005_`QTY1|1_x0005_`EXI|0_x0005_`ITT|0_x0005_`END|"&amp;ROW(M153)&amp;"_x0005_`"</f>
        <v>_x0007_`COD|E4_x0005_`QTY1|1_x0005_`EXI|0_x0005_`ITT|0_x0005_`END|153_x0005_`</v>
      </c>
      <c r="P6" s="468" t="s">
        <v>909</v>
      </c>
      <c r="Q6" s="468" t="s">
        <v>907</v>
      </c>
    </row>
    <row r="7" spans="1:29" ht="35.25" customHeight="1">
      <c r="A7" s="452"/>
      <c r="B7" s="452" t="s">
        <v>5039</v>
      </c>
      <c r="C7" s="449" t="s">
        <v>910</v>
      </c>
      <c r="D7" s="470">
        <v>0</v>
      </c>
      <c r="E7" s="463" t="s">
        <v>911</v>
      </c>
      <c r="F7" s="471">
        <f t="shared" ref="F7:G38" si="0">J7+H7+L7</f>
        <v>28619</v>
      </c>
      <c r="G7" s="446">
        <f t="shared" si="0"/>
        <v>0</v>
      </c>
      <c r="H7" s="472">
        <f>일위대가목록표!F54</f>
        <v>28487</v>
      </c>
      <c r="I7" s="465">
        <f t="shared" ref="I7:I70" si="1">ROUNDDOWN(H7*D7,0)</f>
        <v>0</v>
      </c>
      <c r="J7" s="473">
        <f>일위대가목록표!G54</f>
        <v>22</v>
      </c>
      <c r="K7" s="465">
        <f t="shared" ref="K7:K70" si="2">ROUNDDOWN(J7*D7,0)</f>
        <v>0</v>
      </c>
      <c r="L7" s="474">
        <f>일위대가목록표!H54</f>
        <v>110</v>
      </c>
      <c r="M7" s="467">
        <f t="shared" ref="M7:M70" si="3">ROUNDDOWN(L7*D7,0)</f>
        <v>0</v>
      </c>
      <c r="N7" s="463" t="s">
        <v>5040</v>
      </c>
      <c r="O7" s="451" t="s">
        <v>5041</v>
      </c>
      <c r="P7" s="468" t="s">
        <v>5042</v>
      </c>
      <c r="Q7" s="468" t="s">
        <v>909</v>
      </c>
      <c r="AC7" s="433" t="str">
        <f ca="1">HYPERLINK("#"&amp;일위대가목록표!J2&amp;"!A"&amp;ROW(일위대가목록표!A54),"B02823 →")</f>
        <v>B02823 →</v>
      </c>
    </row>
    <row r="8" spans="1:29" ht="35.25" customHeight="1">
      <c r="A8" s="452"/>
      <c r="B8" s="452" t="s">
        <v>5039</v>
      </c>
      <c r="C8" s="449" t="s">
        <v>915</v>
      </c>
      <c r="D8" s="470">
        <v>0</v>
      </c>
      <c r="E8" s="463" t="s">
        <v>911</v>
      </c>
      <c r="F8" s="471">
        <f t="shared" si="0"/>
        <v>34343</v>
      </c>
      <c r="G8" s="446">
        <f t="shared" si="0"/>
        <v>0</v>
      </c>
      <c r="H8" s="472">
        <f>일위대가목록표!F55</f>
        <v>34185</v>
      </c>
      <c r="I8" s="465">
        <f t="shared" si="1"/>
        <v>0</v>
      </c>
      <c r="J8" s="473">
        <f>일위대가목록표!G55</f>
        <v>26</v>
      </c>
      <c r="K8" s="465">
        <f t="shared" si="2"/>
        <v>0</v>
      </c>
      <c r="L8" s="474">
        <f>일위대가목록표!H55</f>
        <v>132</v>
      </c>
      <c r="M8" s="467">
        <f t="shared" si="3"/>
        <v>0</v>
      </c>
      <c r="N8" s="463" t="s">
        <v>5043</v>
      </c>
      <c r="O8" s="451" t="s">
        <v>5044</v>
      </c>
      <c r="P8" s="468" t="s">
        <v>5045</v>
      </c>
      <c r="Q8" s="468" t="s">
        <v>909</v>
      </c>
      <c r="AC8" s="433" t="str">
        <f ca="1">HYPERLINK("#"&amp;일위대가목록표!J2&amp;"!A"&amp;ROW(일위대가목록표!A55),"B02824 →")</f>
        <v>B02824 →</v>
      </c>
    </row>
    <row r="9" spans="1:29" ht="35.25" customHeight="1">
      <c r="A9" s="452"/>
      <c r="B9" s="452" t="s">
        <v>5039</v>
      </c>
      <c r="C9" s="449" t="s">
        <v>919</v>
      </c>
      <c r="D9" s="470">
        <v>0</v>
      </c>
      <c r="E9" s="463" t="s">
        <v>911</v>
      </c>
      <c r="F9" s="471">
        <f t="shared" si="0"/>
        <v>42929</v>
      </c>
      <c r="G9" s="446">
        <f t="shared" si="0"/>
        <v>0</v>
      </c>
      <c r="H9" s="472">
        <f>일위대가목록표!F56</f>
        <v>42731</v>
      </c>
      <c r="I9" s="465">
        <f t="shared" si="1"/>
        <v>0</v>
      </c>
      <c r="J9" s="473">
        <f>일위대가목록표!G56</f>
        <v>33</v>
      </c>
      <c r="K9" s="465">
        <f t="shared" si="2"/>
        <v>0</v>
      </c>
      <c r="L9" s="474">
        <f>일위대가목록표!H56</f>
        <v>165</v>
      </c>
      <c r="M9" s="467">
        <f t="shared" si="3"/>
        <v>0</v>
      </c>
      <c r="N9" s="463" t="s">
        <v>5046</v>
      </c>
      <c r="O9" s="451" t="s">
        <v>5047</v>
      </c>
      <c r="P9" s="468" t="s">
        <v>5048</v>
      </c>
      <c r="Q9" s="468" t="s">
        <v>909</v>
      </c>
      <c r="AC9" s="433" t="str">
        <f ca="1">HYPERLINK("#"&amp;일위대가목록표!J2&amp;"!A"&amp;ROW(일위대가목록표!A56),"B02825 →")</f>
        <v>B02825 →</v>
      </c>
    </row>
    <row r="10" spans="1:29" ht="35.25" customHeight="1">
      <c r="A10" s="452"/>
      <c r="B10" s="452" t="s">
        <v>5039</v>
      </c>
      <c r="C10" s="449" t="s">
        <v>923</v>
      </c>
      <c r="D10" s="470">
        <v>0</v>
      </c>
      <c r="E10" s="463" t="s">
        <v>911</v>
      </c>
      <c r="F10" s="471">
        <f t="shared" si="0"/>
        <v>57240</v>
      </c>
      <c r="G10" s="446">
        <f t="shared" si="0"/>
        <v>0</v>
      </c>
      <c r="H10" s="472">
        <f>일위대가목록표!F57</f>
        <v>56976</v>
      </c>
      <c r="I10" s="465">
        <f t="shared" si="1"/>
        <v>0</v>
      </c>
      <c r="J10" s="473">
        <f>일위대가목록표!G57</f>
        <v>44</v>
      </c>
      <c r="K10" s="465">
        <f t="shared" si="2"/>
        <v>0</v>
      </c>
      <c r="L10" s="474">
        <f>일위대가목록표!H57</f>
        <v>220</v>
      </c>
      <c r="M10" s="467">
        <f t="shared" si="3"/>
        <v>0</v>
      </c>
      <c r="N10" s="463" t="s">
        <v>5049</v>
      </c>
      <c r="O10" s="451" t="s">
        <v>5050</v>
      </c>
      <c r="P10" s="468" t="s">
        <v>5051</v>
      </c>
      <c r="Q10" s="468" t="s">
        <v>909</v>
      </c>
      <c r="AC10" s="433" t="str">
        <f ca="1">HYPERLINK("#"&amp;일위대가목록표!J2&amp;"!A"&amp;ROW(일위대가목록표!A57),"B02826 →")</f>
        <v>B02826 →</v>
      </c>
    </row>
    <row r="11" spans="1:29" ht="35.25" customHeight="1">
      <c r="A11" s="452"/>
      <c r="B11" s="452" t="s">
        <v>5052</v>
      </c>
      <c r="C11" s="449" t="s">
        <v>910</v>
      </c>
      <c r="D11" s="470">
        <v>0</v>
      </c>
      <c r="E11" s="463" t="s">
        <v>911</v>
      </c>
      <c r="F11" s="471">
        <f t="shared" si="0"/>
        <v>31097</v>
      </c>
      <c r="G11" s="446">
        <f t="shared" si="0"/>
        <v>0</v>
      </c>
      <c r="H11" s="472">
        <f>일위대가목록표!F58</f>
        <v>30965</v>
      </c>
      <c r="I11" s="465">
        <f t="shared" si="1"/>
        <v>0</v>
      </c>
      <c r="J11" s="473">
        <f>일위대가목록표!G58</f>
        <v>22</v>
      </c>
      <c r="K11" s="465">
        <f t="shared" si="2"/>
        <v>0</v>
      </c>
      <c r="L11" s="474">
        <f>일위대가목록표!H58</f>
        <v>110</v>
      </c>
      <c r="M11" s="467">
        <f t="shared" si="3"/>
        <v>0</v>
      </c>
      <c r="N11" s="463" t="s">
        <v>912</v>
      </c>
      <c r="O11" s="451" t="s">
        <v>913</v>
      </c>
      <c r="P11" s="468" t="s">
        <v>914</v>
      </c>
      <c r="Q11" s="468" t="s">
        <v>909</v>
      </c>
      <c r="AC11" s="433" t="str">
        <f ca="1">HYPERLINK("#"&amp;일위대가목록표!J2&amp;"!A"&amp;ROW(일위대가목록표!A58),"B02668 →")</f>
        <v>B02668 →</v>
      </c>
    </row>
    <row r="12" spans="1:29" ht="35.25" customHeight="1">
      <c r="A12" s="452"/>
      <c r="B12" s="452" t="s">
        <v>5052</v>
      </c>
      <c r="C12" s="449" t="s">
        <v>915</v>
      </c>
      <c r="D12" s="470">
        <v>0</v>
      </c>
      <c r="E12" s="463" t="s">
        <v>911</v>
      </c>
      <c r="F12" s="471">
        <f t="shared" si="0"/>
        <v>37316</v>
      </c>
      <c r="G12" s="446">
        <f t="shared" si="0"/>
        <v>0</v>
      </c>
      <c r="H12" s="472">
        <f>일위대가목록표!F59</f>
        <v>37158</v>
      </c>
      <c r="I12" s="465">
        <f t="shared" si="1"/>
        <v>0</v>
      </c>
      <c r="J12" s="473">
        <f>일위대가목록표!G59</f>
        <v>26</v>
      </c>
      <c r="K12" s="465">
        <f t="shared" si="2"/>
        <v>0</v>
      </c>
      <c r="L12" s="474">
        <f>일위대가목록표!H59</f>
        <v>132</v>
      </c>
      <c r="M12" s="467">
        <f t="shared" si="3"/>
        <v>0</v>
      </c>
      <c r="N12" s="463" t="s">
        <v>916</v>
      </c>
      <c r="O12" s="451" t="s">
        <v>917</v>
      </c>
      <c r="P12" s="468" t="s">
        <v>918</v>
      </c>
      <c r="Q12" s="468" t="s">
        <v>909</v>
      </c>
      <c r="AC12" s="433" t="str">
        <f ca="1">HYPERLINK("#"&amp;일위대가목록표!J2&amp;"!A"&amp;ROW(일위대가목록표!A59),"B02669 →")</f>
        <v>B02669 →</v>
      </c>
    </row>
    <row r="13" spans="1:29" ht="35.25" customHeight="1">
      <c r="A13" s="452"/>
      <c r="B13" s="452" t="s">
        <v>5052</v>
      </c>
      <c r="C13" s="449" t="s">
        <v>919</v>
      </c>
      <c r="D13" s="470">
        <v>0</v>
      </c>
      <c r="E13" s="463" t="s">
        <v>911</v>
      </c>
      <c r="F13" s="471">
        <f t="shared" si="0"/>
        <v>46645</v>
      </c>
      <c r="G13" s="446">
        <f t="shared" si="0"/>
        <v>0</v>
      </c>
      <c r="H13" s="472">
        <f>일위대가목록표!F60</f>
        <v>46447</v>
      </c>
      <c r="I13" s="465">
        <f t="shared" si="1"/>
        <v>0</v>
      </c>
      <c r="J13" s="473">
        <f>일위대가목록표!G60</f>
        <v>33</v>
      </c>
      <c r="K13" s="465">
        <f t="shared" si="2"/>
        <v>0</v>
      </c>
      <c r="L13" s="474">
        <f>일위대가목록표!H60</f>
        <v>165</v>
      </c>
      <c r="M13" s="467">
        <f t="shared" si="3"/>
        <v>0</v>
      </c>
      <c r="N13" s="463" t="s">
        <v>920</v>
      </c>
      <c r="O13" s="451" t="s">
        <v>921</v>
      </c>
      <c r="P13" s="468" t="s">
        <v>922</v>
      </c>
      <c r="Q13" s="468" t="s">
        <v>909</v>
      </c>
      <c r="AC13" s="433" t="str">
        <f ca="1">HYPERLINK("#"&amp;일위대가목록표!J2&amp;"!A"&amp;ROW(일위대가목록표!A60),"B02670 →")</f>
        <v>B02670 →</v>
      </c>
    </row>
    <row r="14" spans="1:29" ht="35.25" customHeight="1">
      <c r="A14" s="452"/>
      <c r="B14" s="452" t="s">
        <v>5052</v>
      </c>
      <c r="C14" s="449" t="s">
        <v>923</v>
      </c>
      <c r="D14" s="470">
        <v>0</v>
      </c>
      <c r="E14" s="463" t="s">
        <v>911</v>
      </c>
      <c r="F14" s="471">
        <f t="shared" si="0"/>
        <v>62194</v>
      </c>
      <c r="G14" s="446">
        <f t="shared" si="0"/>
        <v>0</v>
      </c>
      <c r="H14" s="472">
        <f>일위대가목록표!F61</f>
        <v>61930</v>
      </c>
      <c r="I14" s="465">
        <f t="shared" si="1"/>
        <v>0</v>
      </c>
      <c r="J14" s="473">
        <f>일위대가목록표!G61</f>
        <v>44</v>
      </c>
      <c r="K14" s="465">
        <f t="shared" si="2"/>
        <v>0</v>
      </c>
      <c r="L14" s="474">
        <f>일위대가목록표!H61</f>
        <v>220</v>
      </c>
      <c r="M14" s="467">
        <f t="shared" si="3"/>
        <v>0</v>
      </c>
      <c r="N14" s="463" t="s">
        <v>924</v>
      </c>
      <c r="O14" s="451" t="s">
        <v>925</v>
      </c>
      <c r="P14" s="468" t="s">
        <v>926</v>
      </c>
      <c r="Q14" s="468" t="s">
        <v>909</v>
      </c>
      <c r="AC14" s="433" t="str">
        <f ca="1">HYPERLINK("#"&amp;일위대가목록표!J2&amp;"!A"&amp;ROW(일위대가목록표!A61),"B02671 →")</f>
        <v>B02671 →</v>
      </c>
    </row>
    <row r="15" spans="1:29" ht="35.25" customHeight="1">
      <c r="A15" s="452"/>
      <c r="B15" s="452" t="s">
        <v>927</v>
      </c>
      <c r="C15" s="449" t="s">
        <v>910</v>
      </c>
      <c r="D15" s="470">
        <v>0</v>
      </c>
      <c r="E15" s="463" t="s">
        <v>911</v>
      </c>
      <c r="F15" s="471">
        <f t="shared" si="0"/>
        <v>24904</v>
      </c>
      <c r="G15" s="446">
        <f t="shared" si="0"/>
        <v>0</v>
      </c>
      <c r="H15" s="472">
        <f>일위대가목록표!F50</f>
        <v>24772</v>
      </c>
      <c r="I15" s="465">
        <f t="shared" si="1"/>
        <v>0</v>
      </c>
      <c r="J15" s="473">
        <f>일위대가목록표!G50</f>
        <v>22</v>
      </c>
      <c r="K15" s="465">
        <f t="shared" si="2"/>
        <v>0</v>
      </c>
      <c r="L15" s="474">
        <f>일위대가목록표!H50</f>
        <v>110</v>
      </c>
      <c r="M15" s="467">
        <f t="shared" si="3"/>
        <v>0</v>
      </c>
      <c r="N15" s="463" t="s">
        <v>928</v>
      </c>
      <c r="O15" s="451" t="s">
        <v>929</v>
      </c>
      <c r="P15" s="468" t="s">
        <v>930</v>
      </c>
      <c r="Q15" s="468" t="s">
        <v>909</v>
      </c>
      <c r="AC15" s="433" t="str">
        <f ca="1">HYPERLINK("#"&amp;일위대가목록표!J2&amp;"!A"&amp;ROW(일위대가목록표!A50),"B02627 →")</f>
        <v>B02627 →</v>
      </c>
    </row>
    <row r="16" spans="1:29" ht="35.25" customHeight="1">
      <c r="A16" s="452"/>
      <c r="B16" s="452" t="s">
        <v>927</v>
      </c>
      <c r="C16" s="449" t="s">
        <v>915</v>
      </c>
      <c r="D16" s="470">
        <v>0</v>
      </c>
      <c r="E16" s="463" t="s">
        <v>911</v>
      </c>
      <c r="F16" s="471">
        <f t="shared" si="0"/>
        <v>29884</v>
      </c>
      <c r="G16" s="446">
        <f t="shared" si="0"/>
        <v>0</v>
      </c>
      <c r="H16" s="472">
        <f>일위대가목록표!F51</f>
        <v>29726</v>
      </c>
      <c r="I16" s="465">
        <f t="shared" si="1"/>
        <v>0</v>
      </c>
      <c r="J16" s="473">
        <f>일위대가목록표!G51</f>
        <v>26</v>
      </c>
      <c r="K16" s="465">
        <f t="shared" si="2"/>
        <v>0</v>
      </c>
      <c r="L16" s="474">
        <f>일위대가목록표!H51</f>
        <v>132</v>
      </c>
      <c r="M16" s="467">
        <f t="shared" si="3"/>
        <v>0</v>
      </c>
      <c r="N16" s="463" t="s">
        <v>931</v>
      </c>
      <c r="O16" s="451" t="s">
        <v>932</v>
      </c>
      <c r="P16" s="468" t="s">
        <v>933</v>
      </c>
      <c r="Q16" s="468" t="s">
        <v>909</v>
      </c>
      <c r="AC16" s="433" t="str">
        <f ca="1">HYPERLINK("#"&amp;일위대가목록표!J2&amp;"!A"&amp;ROW(일위대가목록표!A51),"B02626 →")</f>
        <v>B02626 →</v>
      </c>
    </row>
    <row r="17" spans="1:29" ht="35.25" customHeight="1">
      <c r="A17" s="452"/>
      <c r="B17" s="452" t="s">
        <v>927</v>
      </c>
      <c r="C17" s="449" t="s">
        <v>919</v>
      </c>
      <c r="D17" s="470">
        <v>0</v>
      </c>
      <c r="E17" s="463" t="s">
        <v>911</v>
      </c>
      <c r="F17" s="471">
        <f t="shared" si="0"/>
        <v>37356</v>
      </c>
      <c r="G17" s="446">
        <f t="shared" si="0"/>
        <v>0</v>
      </c>
      <c r="H17" s="472">
        <f>일위대가목록표!F52</f>
        <v>37158</v>
      </c>
      <c r="I17" s="465">
        <f t="shared" si="1"/>
        <v>0</v>
      </c>
      <c r="J17" s="473">
        <f>일위대가목록표!G52</f>
        <v>33</v>
      </c>
      <c r="K17" s="465">
        <f t="shared" si="2"/>
        <v>0</v>
      </c>
      <c r="L17" s="474">
        <f>일위대가목록표!H52</f>
        <v>165</v>
      </c>
      <c r="M17" s="467">
        <f t="shared" si="3"/>
        <v>0</v>
      </c>
      <c r="N17" s="463" t="s">
        <v>934</v>
      </c>
      <c r="O17" s="451" t="s">
        <v>935</v>
      </c>
      <c r="P17" s="468" t="s">
        <v>936</v>
      </c>
      <c r="Q17" s="468" t="s">
        <v>909</v>
      </c>
      <c r="AC17" s="433" t="str">
        <f ca="1">HYPERLINK("#"&amp;일위대가목록표!J2&amp;"!A"&amp;ROW(일위대가목록표!A52),"B02020 →")</f>
        <v>B02020 →</v>
      </c>
    </row>
    <row r="18" spans="1:29" ht="35.25" customHeight="1">
      <c r="A18" s="452"/>
      <c r="B18" s="452" t="s">
        <v>927</v>
      </c>
      <c r="C18" s="449" t="s">
        <v>923</v>
      </c>
      <c r="D18" s="470">
        <v>0</v>
      </c>
      <c r="E18" s="463" t="s">
        <v>911</v>
      </c>
      <c r="F18" s="471">
        <f t="shared" si="0"/>
        <v>49808</v>
      </c>
      <c r="G18" s="446">
        <f t="shared" si="0"/>
        <v>0</v>
      </c>
      <c r="H18" s="472">
        <f>일위대가목록표!F53</f>
        <v>49544</v>
      </c>
      <c r="I18" s="465">
        <f t="shared" si="1"/>
        <v>0</v>
      </c>
      <c r="J18" s="473">
        <f>일위대가목록표!G53</f>
        <v>44</v>
      </c>
      <c r="K18" s="465">
        <f t="shared" si="2"/>
        <v>0</v>
      </c>
      <c r="L18" s="474">
        <f>일위대가목록표!H53</f>
        <v>220</v>
      </c>
      <c r="M18" s="467">
        <f t="shared" si="3"/>
        <v>0</v>
      </c>
      <c r="N18" s="463" t="s">
        <v>937</v>
      </c>
      <c r="O18" s="451" t="s">
        <v>938</v>
      </c>
      <c r="P18" s="468" t="s">
        <v>939</v>
      </c>
      <c r="Q18" s="468" t="s">
        <v>909</v>
      </c>
      <c r="AC18" s="433" t="str">
        <f ca="1">HYPERLINK("#"&amp;일위대가목록표!J2&amp;"!A"&amp;ROW(일위대가목록표!A53),"B02628 →")</f>
        <v>B02628 →</v>
      </c>
    </row>
    <row r="19" spans="1:29" ht="35.25" customHeight="1">
      <c r="A19" s="452"/>
      <c r="B19" s="452" t="s">
        <v>5053</v>
      </c>
      <c r="C19" s="449" t="s">
        <v>910</v>
      </c>
      <c r="D19" s="470">
        <v>0</v>
      </c>
      <c r="E19" s="463" t="s">
        <v>911</v>
      </c>
      <c r="F19" s="471">
        <f t="shared" si="0"/>
        <v>14309</v>
      </c>
      <c r="G19" s="446">
        <f t="shared" si="0"/>
        <v>0</v>
      </c>
      <c r="H19" s="472">
        <f>일위대가목록표!F42</f>
        <v>14243</v>
      </c>
      <c r="I19" s="465">
        <f t="shared" si="1"/>
        <v>0</v>
      </c>
      <c r="J19" s="473">
        <f>일위대가목록표!G42</f>
        <v>11</v>
      </c>
      <c r="K19" s="465">
        <f t="shared" si="2"/>
        <v>0</v>
      </c>
      <c r="L19" s="474">
        <f>일위대가목록표!H42</f>
        <v>55</v>
      </c>
      <c r="M19" s="467">
        <f t="shared" si="3"/>
        <v>0</v>
      </c>
      <c r="N19" s="463" t="s">
        <v>5054</v>
      </c>
      <c r="O19" s="451" t="s">
        <v>5055</v>
      </c>
      <c r="P19" s="468" t="s">
        <v>5056</v>
      </c>
      <c r="Q19" s="468" t="s">
        <v>909</v>
      </c>
      <c r="AC19" s="433" t="str">
        <f ca="1">HYPERLINK("#"&amp;일위대가목록표!J2&amp;"!A"&amp;ROW(일위대가목록표!A42),"B02827 →")</f>
        <v>B02827 →</v>
      </c>
    </row>
    <row r="20" spans="1:29" ht="35.25" customHeight="1">
      <c r="A20" s="452"/>
      <c r="B20" s="452" t="s">
        <v>5053</v>
      </c>
      <c r="C20" s="449" t="s">
        <v>915</v>
      </c>
      <c r="D20" s="470">
        <v>0</v>
      </c>
      <c r="E20" s="463" t="s">
        <v>911</v>
      </c>
      <c r="F20" s="471">
        <f t="shared" si="0"/>
        <v>17171</v>
      </c>
      <c r="G20" s="446">
        <f t="shared" si="0"/>
        <v>0</v>
      </c>
      <c r="H20" s="472">
        <f>일위대가목록표!F43</f>
        <v>17092</v>
      </c>
      <c r="I20" s="465">
        <f t="shared" si="1"/>
        <v>0</v>
      </c>
      <c r="J20" s="473">
        <f>일위대가목록표!G43</f>
        <v>13</v>
      </c>
      <c r="K20" s="465">
        <f t="shared" si="2"/>
        <v>0</v>
      </c>
      <c r="L20" s="474">
        <f>일위대가목록표!H43</f>
        <v>66</v>
      </c>
      <c r="M20" s="467">
        <f t="shared" si="3"/>
        <v>0</v>
      </c>
      <c r="N20" s="463" t="s">
        <v>5057</v>
      </c>
      <c r="O20" s="451" t="s">
        <v>5058</v>
      </c>
      <c r="P20" s="468" t="s">
        <v>5059</v>
      </c>
      <c r="Q20" s="468" t="s">
        <v>909</v>
      </c>
      <c r="AC20" s="433" t="str">
        <f ca="1">HYPERLINK("#"&amp;일위대가목록표!J2&amp;"!A"&amp;ROW(일위대가목록표!A43),"B02828 →")</f>
        <v>B02828 →</v>
      </c>
    </row>
    <row r="21" spans="1:29" ht="35.25" customHeight="1">
      <c r="A21" s="452"/>
      <c r="B21" s="452" t="s">
        <v>5053</v>
      </c>
      <c r="C21" s="449" t="s">
        <v>919</v>
      </c>
      <c r="D21" s="470">
        <v>0</v>
      </c>
      <c r="E21" s="463" t="s">
        <v>911</v>
      </c>
      <c r="F21" s="471">
        <f t="shared" si="0"/>
        <v>21463</v>
      </c>
      <c r="G21" s="446">
        <f t="shared" si="0"/>
        <v>0</v>
      </c>
      <c r="H21" s="472">
        <f>일위대가목록표!F44</f>
        <v>21365</v>
      </c>
      <c r="I21" s="465">
        <f t="shared" si="1"/>
        <v>0</v>
      </c>
      <c r="J21" s="473">
        <f>일위대가목록표!G44</f>
        <v>16</v>
      </c>
      <c r="K21" s="465">
        <f t="shared" si="2"/>
        <v>0</v>
      </c>
      <c r="L21" s="474">
        <f>일위대가목록표!H44</f>
        <v>82</v>
      </c>
      <c r="M21" s="467">
        <f t="shared" si="3"/>
        <v>0</v>
      </c>
      <c r="N21" s="463" t="s">
        <v>5060</v>
      </c>
      <c r="O21" s="451" t="s">
        <v>5061</v>
      </c>
      <c r="P21" s="468" t="s">
        <v>5062</v>
      </c>
      <c r="Q21" s="468" t="s">
        <v>909</v>
      </c>
      <c r="AC21" s="433" t="str">
        <f ca="1">HYPERLINK("#"&amp;일위대가목록표!J2&amp;"!A"&amp;ROW(일위대가목록표!A44),"B02829 →")</f>
        <v>B02829 →</v>
      </c>
    </row>
    <row r="22" spans="1:29" ht="35.25" customHeight="1">
      <c r="A22" s="452"/>
      <c r="B22" s="452" t="s">
        <v>5053</v>
      </c>
      <c r="C22" s="449" t="s">
        <v>923</v>
      </c>
      <c r="D22" s="470">
        <v>0</v>
      </c>
      <c r="E22" s="463" t="s">
        <v>911</v>
      </c>
      <c r="F22" s="471">
        <f t="shared" si="0"/>
        <v>28619</v>
      </c>
      <c r="G22" s="446">
        <f t="shared" si="0"/>
        <v>0</v>
      </c>
      <c r="H22" s="472">
        <f>일위대가목록표!F45</f>
        <v>28487</v>
      </c>
      <c r="I22" s="465">
        <f t="shared" si="1"/>
        <v>0</v>
      </c>
      <c r="J22" s="473">
        <f>일위대가목록표!G45</f>
        <v>22</v>
      </c>
      <c r="K22" s="465">
        <f t="shared" si="2"/>
        <v>0</v>
      </c>
      <c r="L22" s="474">
        <f>일위대가목록표!H45</f>
        <v>110</v>
      </c>
      <c r="M22" s="467">
        <f t="shared" si="3"/>
        <v>0</v>
      </c>
      <c r="N22" s="463" t="s">
        <v>5063</v>
      </c>
      <c r="O22" s="451" t="s">
        <v>5064</v>
      </c>
      <c r="P22" s="468" t="s">
        <v>5065</v>
      </c>
      <c r="Q22" s="468" t="s">
        <v>909</v>
      </c>
      <c r="AC22" s="433" t="str">
        <f ca="1">HYPERLINK("#"&amp;일위대가목록표!J2&amp;"!A"&amp;ROW(일위대가목록표!A45),"B02830 →")</f>
        <v>B02830 →</v>
      </c>
    </row>
    <row r="23" spans="1:29" ht="35.25" customHeight="1">
      <c r="A23" s="452"/>
      <c r="B23" s="452" t="s">
        <v>5066</v>
      </c>
      <c r="C23" s="449" t="s">
        <v>910</v>
      </c>
      <c r="D23" s="470">
        <v>0</v>
      </c>
      <c r="E23" s="463" t="s">
        <v>911</v>
      </c>
      <c r="F23" s="471">
        <f t="shared" si="0"/>
        <v>15548</v>
      </c>
      <c r="G23" s="446">
        <f t="shared" si="0"/>
        <v>0</v>
      </c>
      <c r="H23" s="472">
        <f>일위대가목록표!F46</f>
        <v>15482</v>
      </c>
      <c r="I23" s="465">
        <f t="shared" si="1"/>
        <v>0</v>
      </c>
      <c r="J23" s="473">
        <f>일위대가목록표!G46</f>
        <v>11</v>
      </c>
      <c r="K23" s="465">
        <f t="shared" si="2"/>
        <v>0</v>
      </c>
      <c r="L23" s="474">
        <f>일위대가목록표!H46</f>
        <v>55</v>
      </c>
      <c r="M23" s="467">
        <f t="shared" si="3"/>
        <v>0</v>
      </c>
      <c r="N23" s="463" t="s">
        <v>940</v>
      </c>
      <c r="O23" s="451" t="s">
        <v>941</v>
      </c>
      <c r="P23" s="468" t="s">
        <v>942</v>
      </c>
      <c r="Q23" s="468" t="s">
        <v>909</v>
      </c>
      <c r="AC23" s="433" t="str">
        <f ca="1">HYPERLINK("#"&amp;일위대가목록표!J2&amp;"!A"&amp;ROW(일위대가목록표!A46),"B02664 →")</f>
        <v>B02664 →</v>
      </c>
    </row>
    <row r="24" spans="1:29" ht="35.25" customHeight="1">
      <c r="A24" s="452"/>
      <c r="B24" s="452" t="s">
        <v>5066</v>
      </c>
      <c r="C24" s="449" t="s">
        <v>915</v>
      </c>
      <c r="D24" s="470">
        <v>0</v>
      </c>
      <c r="E24" s="463" t="s">
        <v>911</v>
      </c>
      <c r="F24" s="471">
        <f t="shared" si="0"/>
        <v>18658</v>
      </c>
      <c r="G24" s="446">
        <f t="shared" si="0"/>
        <v>0</v>
      </c>
      <c r="H24" s="472">
        <f>일위대가목록표!F47</f>
        <v>18579</v>
      </c>
      <c r="I24" s="465">
        <f t="shared" si="1"/>
        <v>0</v>
      </c>
      <c r="J24" s="473">
        <f>일위대가목록표!G47</f>
        <v>13</v>
      </c>
      <c r="K24" s="465">
        <f t="shared" si="2"/>
        <v>0</v>
      </c>
      <c r="L24" s="474">
        <f>일위대가목록표!H47</f>
        <v>66</v>
      </c>
      <c r="M24" s="467">
        <f t="shared" si="3"/>
        <v>0</v>
      </c>
      <c r="N24" s="463" t="s">
        <v>943</v>
      </c>
      <c r="O24" s="451" t="s">
        <v>944</v>
      </c>
      <c r="P24" s="468" t="s">
        <v>945</v>
      </c>
      <c r="Q24" s="468" t="s">
        <v>909</v>
      </c>
      <c r="AC24" s="433" t="str">
        <f ca="1">HYPERLINK("#"&amp;일위대가목록표!J2&amp;"!A"&amp;ROW(일위대가목록표!A47),"B02665 →")</f>
        <v>B02665 →</v>
      </c>
    </row>
    <row r="25" spans="1:29" ht="35.25" customHeight="1">
      <c r="A25" s="452"/>
      <c r="B25" s="452" t="s">
        <v>5066</v>
      </c>
      <c r="C25" s="449" t="s">
        <v>919</v>
      </c>
      <c r="D25" s="470">
        <v>0</v>
      </c>
      <c r="E25" s="463" t="s">
        <v>911</v>
      </c>
      <c r="F25" s="471">
        <f t="shared" si="0"/>
        <v>23321</v>
      </c>
      <c r="G25" s="446">
        <f t="shared" si="0"/>
        <v>0</v>
      </c>
      <c r="H25" s="472">
        <f>일위대가목록표!F48</f>
        <v>23223</v>
      </c>
      <c r="I25" s="465">
        <f t="shared" si="1"/>
        <v>0</v>
      </c>
      <c r="J25" s="473">
        <f>일위대가목록표!G48</f>
        <v>16</v>
      </c>
      <c r="K25" s="465">
        <f t="shared" si="2"/>
        <v>0</v>
      </c>
      <c r="L25" s="474">
        <f>일위대가목록표!H48</f>
        <v>82</v>
      </c>
      <c r="M25" s="467">
        <f t="shared" si="3"/>
        <v>0</v>
      </c>
      <c r="N25" s="463" t="s">
        <v>946</v>
      </c>
      <c r="O25" s="451" t="s">
        <v>947</v>
      </c>
      <c r="P25" s="468" t="s">
        <v>948</v>
      </c>
      <c r="Q25" s="468" t="s">
        <v>909</v>
      </c>
      <c r="AC25" s="433" t="str">
        <f ca="1">HYPERLINK("#"&amp;일위대가목록표!J2&amp;"!A"&amp;ROW(일위대가목록표!A48),"B02666 →")</f>
        <v>B02666 →</v>
      </c>
    </row>
    <row r="26" spans="1:29" ht="35.25" customHeight="1">
      <c r="A26" s="452"/>
      <c r="B26" s="452" t="s">
        <v>5066</v>
      </c>
      <c r="C26" s="449" t="s">
        <v>923</v>
      </c>
      <c r="D26" s="470">
        <v>0</v>
      </c>
      <c r="E26" s="463" t="s">
        <v>911</v>
      </c>
      <c r="F26" s="471">
        <f t="shared" si="0"/>
        <v>31097</v>
      </c>
      <c r="G26" s="446">
        <f t="shared" si="0"/>
        <v>0</v>
      </c>
      <c r="H26" s="472">
        <f>일위대가목록표!F49</f>
        <v>30965</v>
      </c>
      <c r="I26" s="465">
        <f t="shared" si="1"/>
        <v>0</v>
      </c>
      <c r="J26" s="473">
        <f>일위대가목록표!G49</f>
        <v>22</v>
      </c>
      <c r="K26" s="465">
        <f t="shared" si="2"/>
        <v>0</v>
      </c>
      <c r="L26" s="474">
        <f>일위대가목록표!H49</f>
        <v>110</v>
      </c>
      <c r="M26" s="467">
        <f t="shared" si="3"/>
        <v>0</v>
      </c>
      <c r="N26" s="463" t="s">
        <v>949</v>
      </c>
      <c r="O26" s="451" t="s">
        <v>950</v>
      </c>
      <c r="P26" s="468" t="s">
        <v>951</v>
      </c>
      <c r="Q26" s="468" t="s">
        <v>909</v>
      </c>
      <c r="AC26" s="433" t="str">
        <f ca="1">HYPERLINK("#"&amp;일위대가목록표!J2&amp;"!A"&amp;ROW(일위대가목록표!A49),"B02667 →")</f>
        <v>B02667 →</v>
      </c>
    </row>
    <row r="27" spans="1:29" ht="35.25" customHeight="1">
      <c r="A27" s="452"/>
      <c r="B27" s="452" t="s">
        <v>952</v>
      </c>
      <c r="C27" s="449" t="s">
        <v>910</v>
      </c>
      <c r="D27" s="470">
        <v>0</v>
      </c>
      <c r="E27" s="463" t="s">
        <v>911</v>
      </c>
      <c r="F27" s="471">
        <f t="shared" si="0"/>
        <v>12452</v>
      </c>
      <c r="G27" s="446">
        <f t="shared" si="0"/>
        <v>0</v>
      </c>
      <c r="H27" s="472">
        <f>일위대가목록표!F38</f>
        <v>12386</v>
      </c>
      <c r="I27" s="465">
        <f t="shared" si="1"/>
        <v>0</v>
      </c>
      <c r="J27" s="473">
        <f>일위대가목록표!G38</f>
        <v>11</v>
      </c>
      <c r="K27" s="465">
        <f t="shared" si="2"/>
        <v>0</v>
      </c>
      <c r="L27" s="474">
        <f>일위대가목록표!H38</f>
        <v>55</v>
      </c>
      <c r="M27" s="467">
        <f t="shared" si="3"/>
        <v>0</v>
      </c>
      <c r="N27" s="463" t="s">
        <v>953</v>
      </c>
      <c r="O27" s="451" t="s">
        <v>954</v>
      </c>
      <c r="P27" s="468" t="s">
        <v>955</v>
      </c>
      <c r="Q27" s="468" t="s">
        <v>909</v>
      </c>
      <c r="AC27" s="433" t="str">
        <f ca="1">HYPERLINK("#"&amp;일위대가목록표!J2&amp;"!A"&amp;ROW(일위대가목록표!A38),"B02660 →")</f>
        <v>B02660 →</v>
      </c>
    </row>
    <row r="28" spans="1:29" ht="35.25" customHeight="1">
      <c r="A28" s="452"/>
      <c r="B28" s="452" t="s">
        <v>952</v>
      </c>
      <c r="C28" s="449" t="s">
        <v>915</v>
      </c>
      <c r="D28" s="470">
        <v>0</v>
      </c>
      <c r="E28" s="463" t="s">
        <v>911</v>
      </c>
      <c r="F28" s="471">
        <f t="shared" si="0"/>
        <v>14942</v>
      </c>
      <c r="G28" s="446">
        <f t="shared" si="0"/>
        <v>0</v>
      </c>
      <c r="H28" s="472">
        <f>일위대가목록표!F39</f>
        <v>14863</v>
      </c>
      <c r="I28" s="465">
        <f t="shared" si="1"/>
        <v>0</v>
      </c>
      <c r="J28" s="473">
        <f>일위대가목록표!G39</f>
        <v>13</v>
      </c>
      <c r="K28" s="465">
        <f t="shared" si="2"/>
        <v>0</v>
      </c>
      <c r="L28" s="474">
        <f>일위대가목록표!H39</f>
        <v>66</v>
      </c>
      <c r="M28" s="467">
        <f t="shared" si="3"/>
        <v>0</v>
      </c>
      <c r="N28" s="463" t="s">
        <v>956</v>
      </c>
      <c r="O28" s="451" t="s">
        <v>957</v>
      </c>
      <c r="P28" s="468" t="s">
        <v>958</v>
      </c>
      <c r="Q28" s="468" t="s">
        <v>909</v>
      </c>
      <c r="AC28" s="433" t="str">
        <f ca="1">HYPERLINK("#"&amp;일위대가목록표!J2&amp;"!A"&amp;ROW(일위대가목록표!A39),"B02661 →")</f>
        <v>B02661 →</v>
      </c>
    </row>
    <row r="29" spans="1:29" ht="35.25" customHeight="1">
      <c r="A29" s="452"/>
      <c r="B29" s="452" t="s">
        <v>952</v>
      </c>
      <c r="C29" s="449" t="s">
        <v>919</v>
      </c>
      <c r="D29" s="470">
        <v>0</v>
      </c>
      <c r="E29" s="463" t="s">
        <v>911</v>
      </c>
      <c r="F29" s="471">
        <f t="shared" si="0"/>
        <v>18677</v>
      </c>
      <c r="G29" s="446">
        <f t="shared" si="0"/>
        <v>0</v>
      </c>
      <c r="H29" s="472">
        <f>일위대가목록표!F40</f>
        <v>18579</v>
      </c>
      <c r="I29" s="465">
        <f t="shared" si="1"/>
        <v>0</v>
      </c>
      <c r="J29" s="473">
        <f>일위대가목록표!G40</f>
        <v>16</v>
      </c>
      <c r="K29" s="465">
        <f t="shared" si="2"/>
        <v>0</v>
      </c>
      <c r="L29" s="474">
        <f>일위대가목록표!H40</f>
        <v>82</v>
      </c>
      <c r="M29" s="467">
        <f t="shared" si="3"/>
        <v>0</v>
      </c>
      <c r="N29" s="463" t="s">
        <v>959</v>
      </c>
      <c r="O29" s="451" t="s">
        <v>960</v>
      </c>
      <c r="P29" s="468" t="s">
        <v>961</v>
      </c>
      <c r="Q29" s="468" t="s">
        <v>909</v>
      </c>
      <c r="AC29" s="433" t="str">
        <f ca="1">HYPERLINK("#"&amp;일위대가목록표!J2&amp;"!A"&amp;ROW(일위대가목록표!A40),"B02662 →")</f>
        <v>B02662 →</v>
      </c>
    </row>
    <row r="30" spans="1:29" ht="35.25" customHeight="1">
      <c r="A30" s="452"/>
      <c r="B30" s="452" t="s">
        <v>952</v>
      </c>
      <c r="C30" s="449" t="s">
        <v>923</v>
      </c>
      <c r="D30" s="470">
        <v>0</v>
      </c>
      <c r="E30" s="463" t="s">
        <v>911</v>
      </c>
      <c r="F30" s="471">
        <f t="shared" si="0"/>
        <v>24904</v>
      </c>
      <c r="G30" s="446">
        <f t="shared" si="0"/>
        <v>0</v>
      </c>
      <c r="H30" s="472">
        <f>일위대가목록표!F41</f>
        <v>24772</v>
      </c>
      <c r="I30" s="465">
        <f t="shared" si="1"/>
        <v>0</v>
      </c>
      <c r="J30" s="473">
        <f>일위대가목록표!G41</f>
        <v>22</v>
      </c>
      <c r="K30" s="465">
        <f t="shared" si="2"/>
        <v>0</v>
      </c>
      <c r="L30" s="474">
        <f>일위대가목록표!H41</f>
        <v>110</v>
      </c>
      <c r="M30" s="467">
        <f t="shared" si="3"/>
        <v>0</v>
      </c>
      <c r="N30" s="463" t="s">
        <v>962</v>
      </c>
      <c r="O30" s="451" t="s">
        <v>963</v>
      </c>
      <c r="P30" s="468" t="s">
        <v>964</v>
      </c>
      <c r="Q30" s="468" t="s">
        <v>909</v>
      </c>
      <c r="AC30" s="433" t="str">
        <f ca="1">HYPERLINK("#"&amp;일위대가목록표!J2&amp;"!A"&amp;ROW(일위대가목록표!A41),"B02663 →")</f>
        <v>B02663 →</v>
      </c>
    </row>
    <row r="31" spans="1:29" ht="35.25" customHeight="1">
      <c r="A31" s="452"/>
      <c r="B31" s="452" t="s">
        <v>5067</v>
      </c>
      <c r="C31" s="449" t="s">
        <v>965</v>
      </c>
      <c r="D31" s="470">
        <v>0</v>
      </c>
      <c r="E31" s="463" t="s">
        <v>966</v>
      </c>
      <c r="F31" s="471">
        <f t="shared" si="0"/>
        <v>119492</v>
      </c>
      <c r="G31" s="446">
        <f t="shared" si="0"/>
        <v>0</v>
      </c>
      <c r="H31" s="472">
        <f>일위대가목록표!F211</f>
        <v>59204</v>
      </c>
      <c r="I31" s="465">
        <f t="shared" si="1"/>
        <v>0</v>
      </c>
      <c r="J31" s="473">
        <f>일위대가목록표!G211</f>
        <v>60106</v>
      </c>
      <c r="K31" s="465">
        <f t="shared" si="2"/>
        <v>0</v>
      </c>
      <c r="L31" s="474">
        <f>일위대가목록표!H211</f>
        <v>182</v>
      </c>
      <c r="M31" s="467">
        <f t="shared" si="3"/>
        <v>0</v>
      </c>
      <c r="N31" s="463" t="s">
        <v>5068</v>
      </c>
      <c r="O31" s="451" t="s">
        <v>5069</v>
      </c>
      <c r="P31" s="468" t="s">
        <v>5070</v>
      </c>
      <c r="Q31" s="468" t="s">
        <v>909</v>
      </c>
      <c r="AC31" s="433" t="str">
        <f ca="1">HYPERLINK("#"&amp;일위대가목록표!J2&amp;"!A"&amp;ROW(일위대가목록표!A211),"B02831 →")</f>
        <v>B02831 →</v>
      </c>
    </row>
    <row r="32" spans="1:29" ht="35.25" customHeight="1">
      <c r="A32" s="452"/>
      <c r="B32" s="452" t="s">
        <v>5071</v>
      </c>
      <c r="C32" s="449" t="s">
        <v>965</v>
      </c>
      <c r="D32" s="470">
        <v>0</v>
      </c>
      <c r="E32" s="463" t="s">
        <v>966</v>
      </c>
      <c r="F32" s="471">
        <f t="shared" si="0"/>
        <v>124640</v>
      </c>
      <c r="G32" s="446">
        <f t="shared" si="0"/>
        <v>0</v>
      </c>
      <c r="H32" s="472">
        <f>일위대가목록표!F212</f>
        <v>64352</v>
      </c>
      <c r="I32" s="465">
        <f t="shared" si="1"/>
        <v>0</v>
      </c>
      <c r="J32" s="473">
        <f>일위대가목록표!G212</f>
        <v>60106</v>
      </c>
      <c r="K32" s="465">
        <f t="shared" si="2"/>
        <v>0</v>
      </c>
      <c r="L32" s="474">
        <f>일위대가목록표!H212</f>
        <v>182</v>
      </c>
      <c r="M32" s="467">
        <f t="shared" si="3"/>
        <v>0</v>
      </c>
      <c r="N32" s="463" t="s">
        <v>967</v>
      </c>
      <c r="O32" s="451" t="s">
        <v>968</v>
      </c>
      <c r="P32" s="468" t="s">
        <v>969</v>
      </c>
      <c r="Q32" s="468" t="s">
        <v>909</v>
      </c>
      <c r="AC32" s="433" t="str">
        <f ca="1">HYPERLINK("#"&amp;일위대가목록표!J2&amp;"!A"&amp;ROW(일위대가목록표!A212),"B02087 →")</f>
        <v>B02087 →</v>
      </c>
    </row>
    <row r="33" spans="1:29" ht="35.25" customHeight="1">
      <c r="A33" s="452"/>
      <c r="B33" s="452" t="s">
        <v>970</v>
      </c>
      <c r="C33" s="449" t="s">
        <v>965</v>
      </c>
      <c r="D33" s="470">
        <v>0</v>
      </c>
      <c r="E33" s="463" t="s">
        <v>966</v>
      </c>
      <c r="F33" s="471">
        <f t="shared" si="0"/>
        <v>112115</v>
      </c>
      <c r="G33" s="446">
        <f t="shared" si="0"/>
        <v>0</v>
      </c>
      <c r="H33" s="472">
        <f>일위대가목록표!F194</f>
        <v>51482</v>
      </c>
      <c r="I33" s="465">
        <f t="shared" si="1"/>
        <v>0</v>
      </c>
      <c r="J33" s="473">
        <f>일위대가목록표!G194</f>
        <v>60451</v>
      </c>
      <c r="K33" s="465">
        <f t="shared" si="2"/>
        <v>0</v>
      </c>
      <c r="L33" s="474">
        <f>일위대가목록표!H194</f>
        <v>182</v>
      </c>
      <c r="M33" s="467">
        <f t="shared" si="3"/>
        <v>0</v>
      </c>
      <c r="N33" s="463" t="s">
        <v>971</v>
      </c>
      <c r="O33" s="451" t="s">
        <v>972</v>
      </c>
      <c r="P33" s="468" t="s">
        <v>973</v>
      </c>
      <c r="Q33" s="468" t="s">
        <v>909</v>
      </c>
      <c r="AC33" s="433" t="str">
        <f ca="1">HYPERLINK("#"&amp;일위대가목록표!J2&amp;"!A"&amp;ROW(일위대가목록표!A194),"B02474 →")</f>
        <v>B02474 →</v>
      </c>
    </row>
    <row r="34" spans="1:29" ht="35.25" customHeight="1">
      <c r="A34" s="452"/>
      <c r="B34" s="452" t="s">
        <v>5072</v>
      </c>
      <c r="C34" s="449" t="s">
        <v>974</v>
      </c>
      <c r="D34" s="470">
        <v>0</v>
      </c>
      <c r="E34" s="463" t="s">
        <v>975</v>
      </c>
      <c r="F34" s="471">
        <f t="shared" si="0"/>
        <v>191989</v>
      </c>
      <c r="G34" s="446">
        <f t="shared" si="0"/>
        <v>0</v>
      </c>
      <c r="H34" s="472">
        <f>일위대가목록표!F203</f>
        <v>53486</v>
      </c>
      <c r="I34" s="465">
        <f t="shared" si="1"/>
        <v>0</v>
      </c>
      <c r="J34" s="473">
        <f>일위대가목록표!G203</f>
        <v>138335</v>
      </c>
      <c r="K34" s="465">
        <f t="shared" si="2"/>
        <v>0</v>
      </c>
      <c r="L34" s="474">
        <f>일위대가목록표!H203</f>
        <v>168</v>
      </c>
      <c r="M34" s="467">
        <f t="shared" si="3"/>
        <v>0</v>
      </c>
      <c r="N34" s="463" t="s">
        <v>5073</v>
      </c>
      <c r="O34" s="451" t="s">
        <v>5074</v>
      </c>
      <c r="P34" s="468" t="s">
        <v>5075</v>
      </c>
      <c r="Q34" s="468" t="s">
        <v>909</v>
      </c>
      <c r="AC34" s="433" t="str">
        <f ca="1">HYPERLINK("#"&amp;일위대가목록표!J2&amp;"!A"&amp;ROW(일위대가목록표!A203),"B02832 →")</f>
        <v>B02832 →</v>
      </c>
    </row>
    <row r="35" spans="1:29" ht="35.25" customHeight="1">
      <c r="A35" s="452"/>
      <c r="B35" s="452" t="s">
        <v>5076</v>
      </c>
      <c r="C35" s="449" t="s">
        <v>974</v>
      </c>
      <c r="D35" s="470">
        <v>0</v>
      </c>
      <c r="E35" s="463" t="s">
        <v>975</v>
      </c>
      <c r="F35" s="471">
        <f t="shared" si="0"/>
        <v>195815</v>
      </c>
      <c r="G35" s="446">
        <f t="shared" si="0"/>
        <v>0</v>
      </c>
      <c r="H35" s="472">
        <f>일위대가목록표!F204</f>
        <v>57312</v>
      </c>
      <c r="I35" s="465">
        <f t="shared" si="1"/>
        <v>0</v>
      </c>
      <c r="J35" s="473">
        <f>일위대가목록표!G204</f>
        <v>138335</v>
      </c>
      <c r="K35" s="465">
        <f t="shared" si="2"/>
        <v>0</v>
      </c>
      <c r="L35" s="474">
        <f>일위대가목록표!H204</f>
        <v>168</v>
      </c>
      <c r="M35" s="467">
        <f t="shared" si="3"/>
        <v>0</v>
      </c>
      <c r="N35" s="463" t="s">
        <v>976</v>
      </c>
      <c r="O35" s="451" t="s">
        <v>977</v>
      </c>
      <c r="P35" s="468" t="s">
        <v>978</v>
      </c>
      <c r="Q35" s="468" t="s">
        <v>909</v>
      </c>
      <c r="AC35" s="433" t="str">
        <f ca="1">HYPERLINK("#"&amp;일위대가목록표!J2&amp;"!A"&amp;ROW(일위대가목록표!A204),"B02086 →")</f>
        <v>B02086 →</v>
      </c>
    </row>
    <row r="36" spans="1:29" ht="35.25" customHeight="1">
      <c r="A36" s="452"/>
      <c r="B36" s="452" t="s">
        <v>979</v>
      </c>
      <c r="C36" s="449" t="s">
        <v>974</v>
      </c>
      <c r="D36" s="470">
        <v>0</v>
      </c>
      <c r="E36" s="463" t="s">
        <v>975</v>
      </c>
      <c r="F36" s="471">
        <f t="shared" si="0"/>
        <v>186250</v>
      </c>
      <c r="G36" s="446">
        <f t="shared" si="0"/>
        <v>0</v>
      </c>
      <c r="H36" s="472">
        <f>일위대가목록표!F202</f>
        <v>47747</v>
      </c>
      <c r="I36" s="465">
        <f t="shared" si="1"/>
        <v>0</v>
      </c>
      <c r="J36" s="473">
        <f>일위대가목록표!G202</f>
        <v>138335</v>
      </c>
      <c r="K36" s="465">
        <f t="shared" si="2"/>
        <v>0</v>
      </c>
      <c r="L36" s="474">
        <f>일위대가목록표!H202</f>
        <v>168</v>
      </c>
      <c r="M36" s="467">
        <f t="shared" si="3"/>
        <v>0</v>
      </c>
      <c r="N36" s="463" t="s">
        <v>980</v>
      </c>
      <c r="O36" s="451" t="s">
        <v>981</v>
      </c>
      <c r="P36" s="468" t="s">
        <v>982</v>
      </c>
      <c r="Q36" s="468" t="s">
        <v>909</v>
      </c>
      <c r="AC36" s="433" t="str">
        <f ca="1">HYPERLINK("#"&amp;일위대가목록표!J2&amp;"!A"&amp;ROW(일위대가목록표!A202),"B02473 →")</f>
        <v>B02473 →</v>
      </c>
    </row>
    <row r="37" spans="1:29" ht="35.25" customHeight="1">
      <c r="A37" s="452"/>
      <c r="B37" s="452" t="s">
        <v>5077</v>
      </c>
      <c r="C37" s="449" t="s">
        <v>983</v>
      </c>
      <c r="D37" s="470">
        <v>0</v>
      </c>
      <c r="E37" s="463" t="s">
        <v>984</v>
      </c>
      <c r="F37" s="471">
        <f t="shared" si="0"/>
        <v>120585</v>
      </c>
      <c r="G37" s="446">
        <f t="shared" si="0"/>
        <v>0</v>
      </c>
      <c r="H37" s="472">
        <f>일위대가목록표!F107</f>
        <v>44012</v>
      </c>
      <c r="I37" s="465">
        <f t="shared" si="1"/>
        <v>0</v>
      </c>
      <c r="J37" s="473">
        <f>일위대가목록표!G107</f>
        <v>76573</v>
      </c>
      <c r="K37" s="465">
        <f t="shared" si="2"/>
        <v>0</v>
      </c>
      <c r="L37" s="474">
        <f>일위대가목록표!H107</f>
        <v>0</v>
      </c>
      <c r="M37" s="467">
        <f t="shared" si="3"/>
        <v>0</v>
      </c>
      <c r="N37" s="463" t="s">
        <v>5078</v>
      </c>
      <c r="O37" s="451" t="s">
        <v>5079</v>
      </c>
      <c r="P37" s="468" t="s">
        <v>5080</v>
      </c>
      <c r="Q37" s="468" t="s">
        <v>909</v>
      </c>
      <c r="AC37" s="433" t="str">
        <f ca="1">HYPERLINK("#"&amp;일위대가목록표!J2&amp;"!A"&amp;ROW(일위대가목록표!A107),"B02833 →")</f>
        <v>B02833 →</v>
      </c>
    </row>
    <row r="38" spans="1:29" ht="35.25" customHeight="1">
      <c r="A38" s="452"/>
      <c r="B38" s="452" t="s">
        <v>5077</v>
      </c>
      <c r="C38" s="449" t="s">
        <v>988</v>
      </c>
      <c r="D38" s="470">
        <v>0</v>
      </c>
      <c r="E38" s="463" t="s">
        <v>984</v>
      </c>
      <c r="F38" s="471">
        <f t="shared" si="0"/>
        <v>150826</v>
      </c>
      <c r="G38" s="446">
        <f t="shared" si="0"/>
        <v>0</v>
      </c>
      <c r="H38" s="472">
        <f>일위대가목록표!F103</f>
        <v>55541</v>
      </c>
      <c r="I38" s="465">
        <f t="shared" si="1"/>
        <v>0</v>
      </c>
      <c r="J38" s="473">
        <f>일위대가목록표!G103</f>
        <v>95285</v>
      </c>
      <c r="K38" s="465">
        <f t="shared" si="2"/>
        <v>0</v>
      </c>
      <c r="L38" s="474">
        <f>일위대가목록표!H103</f>
        <v>0</v>
      </c>
      <c r="M38" s="467">
        <f t="shared" si="3"/>
        <v>0</v>
      </c>
      <c r="N38" s="463" t="s">
        <v>5081</v>
      </c>
      <c r="O38" s="451" t="s">
        <v>5082</v>
      </c>
      <c r="P38" s="468" t="s">
        <v>5083</v>
      </c>
      <c r="Q38" s="468" t="s">
        <v>909</v>
      </c>
      <c r="AC38" s="433" t="str">
        <f ca="1">HYPERLINK("#"&amp;일위대가목록표!J2&amp;"!A"&amp;ROW(일위대가목록표!A103),"B02834 →")</f>
        <v>B02834 →</v>
      </c>
    </row>
    <row r="39" spans="1:29" ht="35.25" customHeight="1">
      <c r="A39" s="452"/>
      <c r="B39" s="452" t="s">
        <v>5077</v>
      </c>
      <c r="C39" s="449" t="s">
        <v>992</v>
      </c>
      <c r="D39" s="470">
        <v>0</v>
      </c>
      <c r="E39" s="463" t="s">
        <v>984</v>
      </c>
      <c r="F39" s="471">
        <f t="shared" ref="F39:G70" si="4">J39+H39+L39</f>
        <v>180510</v>
      </c>
      <c r="G39" s="446">
        <f t="shared" si="4"/>
        <v>0</v>
      </c>
      <c r="H39" s="472">
        <f>일위대가목록표!F104</f>
        <v>67071</v>
      </c>
      <c r="I39" s="465">
        <f t="shared" si="1"/>
        <v>0</v>
      </c>
      <c r="J39" s="473">
        <f>일위대가목록표!G104</f>
        <v>113439</v>
      </c>
      <c r="K39" s="465">
        <f t="shared" si="2"/>
        <v>0</v>
      </c>
      <c r="L39" s="474">
        <f>일위대가목록표!H104</f>
        <v>0</v>
      </c>
      <c r="M39" s="467">
        <f t="shared" si="3"/>
        <v>0</v>
      </c>
      <c r="N39" s="463" t="s">
        <v>5084</v>
      </c>
      <c r="O39" s="451" t="s">
        <v>5085</v>
      </c>
      <c r="P39" s="468" t="s">
        <v>5086</v>
      </c>
      <c r="Q39" s="468" t="s">
        <v>909</v>
      </c>
      <c r="AC39" s="433" t="str">
        <f ca="1">HYPERLINK("#"&amp;일위대가목록표!J2&amp;"!A"&amp;ROW(일위대가목록표!A104),"B02835 →")</f>
        <v>B02835 →</v>
      </c>
    </row>
    <row r="40" spans="1:29" ht="35.25" customHeight="1">
      <c r="A40" s="452"/>
      <c r="B40" s="452" t="s">
        <v>5077</v>
      </c>
      <c r="C40" s="449" t="s">
        <v>996</v>
      </c>
      <c r="D40" s="470">
        <v>0</v>
      </c>
      <c r="E40" s="463" t="s">
        <v>984</v>
      </c>
      <c r="F40" s="471">
        <f t="shared" si="4"/>
        <v>225427</v>
      </c>
      <c r="G40" s="446">
        <f t="shared" si="4"/>
        <v>0</v>
      </c>
      <c r="H40" s="472">
        <f>일위대가목록표!F105</f>
        <v>83369</v>
      </c>
      <c r="I40" s="465">
        <f t="shared" si="1"/>
        <v>0</v>
      </c>
      <c r="J40" s="473">
        <f>일위대가목록표!G105</f>
        <v>142058</v>
      </c>
      <c r="K40" s="465">
        <f t="shared" si="2"/>
        <v>0</v>
      </c>
      <c r="L40" s="474">
        <f>일위대가목록표!H105</f>
        <v>0</v>
      </c>
      <c r="M40" s="467">
        <f t="shared" si="3"/>
        <v>0</v>
      </c>
      <c r="N40" s="463" t="s">
        <v>5087</v>
      </c>
      <c r="O40" s="451" t="s">
        <v>5088</v>
      </c>
      <c r="P40" s="468" t="s">
        <v>5089</v>
      </c>
      <c r="Q40" s="468" t="s">
        <v>909</v>
      </c>
      <c r="AC40" s="433" t="str">
        <f ca="1">HYPERLINK("#"&amp;일위대가목록표!J2&amp;"!A"&amp;ROW(일위대가목록표!A105),"B02836 →")</f>
        <v>B02836 →</v>
      </c>
    </row>
    <row r="41" spans="1:29" ht="35.25" customHeight="1">
      <c r="A41" s="452"/>
      <c r="B41" s="452" t="s">
        <v>5077</v>
      </c>
      <c r="C41" s="449" t="s">
        <v>1000</v>
      </c>
      <c r="D41" s="470">
        <v>0</v>
      </c>
      <c r="E41" s="463" t="s">
        <v>984</v>
      </c>
      <c r="F41" s="471">
        <f t="shared" si="4"/>
        <v>299927</v>
      </c>
      <c r="G41" s="446">
        <f t="shared" si="4"/>
        <v>0</v>
      </c>
      <c r="H41" s="472">
        <f>일위대가목록표!F106</f>
        <v>111084</v>
      </c>
      <c r="I41" s="465">
        <f t="shared" si="1"/>
        <v>0</v>
      </c>
      <c r="J41" s="473">
        <f>일위대가목록표!G106</f>
        <v>188843</v>
      </c>
      <c r="K41" s="465">
        <f t="shared" si="2"/>
        <v>0</v>
      </c>
      <c r="L41" s="474">
        <f>일위대가목록표!H106</f>
        <v>0</v>
      </c>
      <c r="M41" s="467">
        <f t="shared" si="3"/>
        <v>0</v>
      </c>
      <c r="N41" s="463" t="s">
        <v>5090</v>
      </c>
      <c r="O41" s="451" t="s">
        <v>5091</v>
      </c>
      <c r="P41" s="468" t="s">
        <v>5092</v>
      </c>
      <c r="Q41" s="468" t="s">
        <v>909</v>
      </c>
      <c r="AC41" s="433" t="str">
        <f ca="1">HYPERLINK("#"&amp;일위대가목록표!J2&amp;"!A"&amp;ROW(일위대가목록표!A106),"B02837 →")</f>
        <v>B02837 →</v>
      </c>
    </row>
    <row r="42" spans="1:29" ht="35.25" customHeight="1">
      <c r="A42" s="452"/>
      <c r="B42" s="452" t="s">
        <v>5093</v>
      </c>
      <c r="C42" s="449" t="s">
        <v>983</v>
      </c>
      <c r="D42" s="470">
        <v>0</v>
      </c>
      <c r="E42" s="463" t="s">
        <v>984</v>
      </c>
      <c r="F42" s="471">
        <f t="shared" si="4"/>
        <v>124412</v>
      </c>
      <c r="G42" s="446">
        <f t="shared" si="4"/>
        <v>0</v>
      </c>
      <c r="H42" s="472">
        <f>일위대가목록표!F112</f>
        <v>47839</v>
      </c>
      <c r="I42" s="465">
        <f t="shared" si="1"/>
        <v>0</v>
      </c>
      <c r="J42" s="473">
        <f>일위대가목록표!G112</f>
        <v>76573</v>
      </c>
      <c r="K42" s="465">
        <f t="shared" si="2"/>
        <v>0</v>
      </c>
      <c r="L42" s="474">
        <f>일위대가목록표!H112</f>
        <v>0</v>
      </c>
      <c r="M42" s="467">
        <f t="shared" si="3"/>
        <v>0</v>
      </c>
      <c r="N42" s="463" t="s">
        <v>985</v>
      </c>
      <c r="O42" s="451" t="s">
        <v>986</v>
      </c>
      <c r="P42" s="468" t="s">
        <v>987</v>
      </c>
      <c r="Q42" s="468" t="s">
        <v>909</v>
      </c>
      <c r="AC42" s="433" t="str">
        <f ca="1">HYPERLINK("#"&amp;일위대가목록표!J2&amp;"!A"&amp;ROW(일위대가목록표!A112),"B02387 →")</f>
        <v>B02387 →</v>
      </c>
    </row>
    <row r="43" spans="1:29" ht="35.25" customHeight="1">
      <c r="A43" s="452"/>
      <c r="B43" s="452" t="s">
        <v>5093</v>
      </c>
      <c r="C43" s="449" t="s">
        <v>988</v>
      </c>
      <c r="D43" s="470">
        <v>0</v>
      </c>
      <c r="E43" s="463" t="s">
        <v>984</v>
      </c>
      <c r="F43" s="471">
        <f t="shared" si="4"/>
        <v>155656</v>
      </c>
      <c r="G43" s="446">
        <f t="shared" si="4"/>
        <v>0</v>
      </c>
      <c r="H43" s="472">
        <f>일위대가목록표!F108</f>
        <v>60371</v>
      </c>
      <c r="I43" s="465">
        <f t="shared" si="1"/>
        <v>0</v>
      </c>
      <c r="J43" s="473">
        <f>일위대가목록표!G108</f>
        <v>95285</v>
      </c>
      <c r="K43" s="465">
        <f t="shared" si="2"/>
        <v>0</v>
      </c>
      <c r="L43" s="474">
        <f>일위대가목록표!H108</f>
        <v>0</v>
      </c>
      <c r="M43" s="467">
        <f t="shared" si="3"/>
        <v>0</v>
      </c>
      <c r="N43" s="463" t="s">
        <v>989</v>
      </c>
      <c r="O43" s="451" t="s">
        <v>990</v>
      </c>
      <c r="P43" s="468" t="s">
        <v>991</v>
      </c>
      <c r="Q43" s="468" t="s">
        <v>909</v>
      </c>
      <c r="AC43" s="433" t="str">
        <f ca="1">HYPERLINK("#"&amp;일위대가목록표!J2&amp;"!A"&amp;ROW(일위대가목록표!A108),"B02386 →")</f>
        <v>B02386 →</v>
      </c>
    </row>
    <row r="44" spans="1:29" ht="35.25" customHeight="1">
      <c r="A44" s="452"/>
      <c r="B44" s="452" t="s">
        <v>5093</v>
      </c>
      <c r="C44" s="449" t="s">
        <v>992</v>
      </c>
      <c r="D44" s="470">
        <v>0</v>
      </c>
      <c r="E44" s="463" t="s">
        <v>984</v>
      </c>
      <c r="F44" s="471">
        <f t="shared" si="4"/>
        <v>186342</v>
      </c>
      <c r="G44" s="446">
        <f t="shared" si="4"/>
        <v>0</v>
      </c>
      <c r="H44" s="472">
        <f>일위대가목록표!F109</f>
        <v>72903</v>
      </c>
      <c r="I44" s="465">
        <f t="shared" si="1"/>
        <v>0</v>
      </c>
      <c r="J44" s="473">
        <f>일위대가목록표!G109</f>
        <v>113439</v>
      </c>
      <c r="K44" s="465">
        <f t="shared" si="2"/>
        <v>0</v>
      </c>
      <c r="L44" s="474">
        <f>일위대가목록표!H109</f>
        <v>0</v>
      </c>
      <c r="M44" s="467">
        <f t="shared" si="3"/>
        <v>0</v>
      </c>
      <c r="N44" s="463" t="s">
        <v>993</v>
      </c>
      <c r="O44" s="451" t="s">
        <v>994</v>
      </c>
      <c r="P44" s="468" t="s">
        <v>995</v>
      </c>
      <c r="Q44" s="468" t="s">
        <v>909</v>
      </c>
      <c r="AC44" s="433" t="str">
        <f ca="1">HYPERLINK("#"&amp;일위대가목록표!J2&amp;"!A"&amp;ROW(일위대가목록표!A109),"B02260 →")</f>
        <v>B02260 →</v>
      </c>
    </row>
    <row r="45" spans="1:29" ht="35.25" customHeight="1">
      <c r="A45" s="452"/>
      <c r="B45" s="452" t="s">
        <v>5093</v>
      </c>
      <c r="C45" s="449" t="s">
        <v>996</v>
      </c>
      <c r="D45" s="470"/>
      <c r="E45" s="463" t="s">
        <v>984</v>
      </c>
      <c r="F45" s="471">
        <f t="shared" si="4"/>
        <v>232676</v>
      </c>
      <c r="G45" s="446">
        <f t="shared" si="4"/>
        <v>0</v>
      </c>
      <c r="H45" s="472">
        <f>일위대가목록표!F110</f>
        <v>90618</v>
      </c>
      <c r="I45" s="465">
        <f t="shared" si="1"/>
        <v>0</v>
      </c>
      <c r="J45" s="473">
        <f>일위대가목록표!G110</f>
        <v>142058</v>
      </c>
      <c r="K45" s="465">
        <f t="shared" si="2"/>
        <v>0</v>
      </c>
      <c r="L45" s="474">
        <f>일위대가목록표!H110</f>
        <v>0</v>
      </c>
      <c r="M45" s="467">
        <f t="shared" si="3"/>
        <v>0</v>
      </c>
      <c r="N45" s="463" t="s">
        <v>997</v>
      </c>
      <c r="O45" s="451" t="s">
        <v>998</v>
      </c>
      <c r="P45" s="468" t="s">
        <v>999</v>
      </c>
      <c r="Q45" s="468" t="s">
        <v>909</v>
      </c>
      <c r="AC45" s="433" t="str">
        <f ca="1">HYPERLINK("#"&amp;일위대가목록표!J2&amp;"!A"&amp;ROW(일위대가목록표!A110),"B02249 →")</f>
        <v>B02249 →</v>
      </c>
    </row>
    <row r="46" spans="1:29" ht="35.25" customHeight="1">
      <c r="A46" s="452"/>
      <c r="B46" s="452" t="s">
        <v>5093</v>
      </c>
      <c r="C46" s="449" t="s">
        <v>1000</v>
      </c>
      <c r="D46" s="470"/>
      <c r="E46" s="463" t="s">
        <v>984</v>
      </c>
      <c r="F46" s="471">
        <f t="shared" si="4"/>
        <v>309586</v>
      </c>
      <c r="G46" s="446">
        <f t="shared" si="4"/>
        <v>0</v>
      </c>
      <c r="H46" s="472">
        <f>일위대가목록표!F111</f>
        <v>120743</v>
      </c>
      <c r="I46" s="465">
        <f t="shared" si="1"/>
        <v>0</v>
      </c>
      <c r="J46" s="473">
        <f>일위대가목록표!G111</f>
        <v>188843</v>
      </c>
      <c r="K46" s="465">
        <f t="shared" si="2"/>
        <v>0</v>
      </c>
      <c r="L46" s="474">
        <f>일위대가목록표!H111</f>
        <v>0</v>
      </c>
      <c r="M46" s="467">
        <f t="shared" si="3"/>
        <v>0</v>
      </c>
      <c r="N46" s="463" t="s">
        <v>1001</v>
      </c>
      <c r="O46" s="451" t="s">
        <v>1002</v>
      </c>
      <c r="P46" s="468" t="s">
        <v>1003</v>
      </c>
      <c r="Q46" s="468" t="s">
        <v>909</v>
      </c>
      <c r="AC46" s="433" t="str">
        <f ca="1">HYPERLINK("#"&amp;일위대가목록표!J2&amp;"!A"&amp;ROW(일위대가목록표!A111),"B02416 →")</f>
        <v>B02416 →</v>
      </c>
    </row>
    <row r="47" spans="1:29" ht="35.25" customHeight="1">
      <c r="A47" s="452"/>
      <c r="B47" s="452" t="s">
        <v>1004</v>
      </c>
      <c r="C47" s="449" t="s">
        <v>983</v>
      </c>
      <c r="D47" s="470"/>
      <c r="E47" s="463" t="s">
        <v>984</v>
      </c>
      <c r="F47" s="471">
        <f t="shared" si="4"/>
        <v>114844</v>
      </c>
      <c r="G47" s="446">
        <f t="shared" si="4"/>
        <v>0</v>
      </c>
      <c r="H47" s="472">
        <f>일위대가목록표!F78</f>
        <v>38271</v>
      </c>
      <c r="I47" s="465">
        <f t="shared" si="1"/>
        <v>0</v>
      </c>
      <c r="J47" s="473">
        <f>일위대가목록표!G78</f>
        <v>76573</v>
      </c>
      <c r="K47" s="465">
        <f t="shared" si="2"/>
        <v>0</v>
      </c>
      <c r="L47" s="474">
        <f>일위대가목록표!H78</f>
        <v>0</v>
      </c>
      <c r="M47" s="467">
        <f t="shared" si="3"/>
        <v>0</v>
      </c>
      <c r="N47" s="463" t="s">
        <v>1005</v>
      </c>
      <c r="O47" s="451" t="s">
        <v>1006</v>
      </c>
      <c r="P47" s="468" t="s">
        <v>1007</v>
      </c>
      <c r="Q47" s="468" t="s">
        <v>909</v>
      </c>
      <c r="AC47" s="433" t="str">
        <f ca="1">HYPERLINK("#"&amp;일위대가목록표!J2&amp;"!A"&amp;ROW(일위대가목록표!A78),"B02476 →")</f>
        <v>B02476 →</v>
      </c>
    </row>
    <row r="48" spans="1:29" ht="35.25" customHeight="1">
      <c r="A48" s="452"/>
      <c r="B48" s="452" t="s">
        <v>1004</v>
      </c>
      <c r="C48" s="449" t="s">
        <v>988</v>
      </c>
      <c r="D48" s="470"/>
      <c r="E48" s="463" t="s">
        <v>984</v>
      </c>
      <c r="F48" s="471">
        <f t="shared" si="4"/>
        <v>143582</v>
      </c>
      <c r="G48" s="446">
        <f t="shared" si="4"/>
        <v>0</v>
      </c>
      <c r="H48" s="472">
        <f>일위대가목록표!F74</f>
        <v>48297</v>
      </c>
      <c r="I48" s="465">
        <f t="shared" si="1"/>
        <v>0</v>
      </c>
      <c r="J48" s="473">
        <f>일위대가목록표!G74</f>
        <v>95285</v>
      </c>
      <c r="K48" s="465">
        <f t="shared" si="2"/>
        <v>0</v>
      </c>
      <c r="L48" s="474">
        <f>일위대가목록표!H74</f>
        <v>0</v>
      </c>
      <c r="M48" s="467">
        <f t="shared" si="3"/>
        <v>0</v>
      </c>
      <c r="N48" s="463" t="s">
        <v>1008</v>
      </c>
      <c r="O48" s="451" t="s">
        <v>1009</v>
      </c>
      <c r="P48" s="468" t="s">
        <v>1010</v>
      </c>
      <c r="Q48" s="468" t="s">
        <v>909</v>
      </c>
      <c r="AC48" s="433" t="str">
        <f ca="1">HYPERLINK("#"&amp;일위대가목록표!J2&amp;"!A"&amp;ROW(일위대가목록표!A74),"B02477 →")</f>
        <v>B02477 →</v>
      </c>
    </row>
    <row r="49" spans="1:29" ht="35.25" customHeight="1">
      <c r="A49" s="452"/>
      <c r="B49" s="452" t="s">
        <v>1004</v>
      </c>
      <c r="C49" s="449" t="s">
        <v>992</v>
      </c>
      <c r="D49" s="470"/>
      <c r="E49" s="463" t="s">
        <v>984</v>
      </c>
      <c r="F49" s="471">
        <f t="shared" si="4"/>
        <v>171762</v>
      </c>
      <c r="G49" s="446">
        <f t="shared" si="4"/>
        <v>0</v>
      </c>
      <c r="H49" s="472">
        <f>일위대가목록표!F75</f>
        <v>58323</v>
      </c>
      <c r="I49" s="465">
        <f t="shared" si="1"/>
        <v>0</v>
      </c>
      <c r="J49" s="473">
        <f>일위대가목록표!G75</f>
        <v>113439</v>
      </c>
      <c r="K49" s="465">
        <f t="shared" si="2"/>
        <v>0</v>
      </c>
      <c r="L49" s="474">
        <f>일위대가목록표!H75</f>
        <v>0</v>
      </c>
      <c r="M49" s="467">
        <f t="shared" si="3"/>
        <v>0</v>
      </c>
      <c r="N49" s="463" t="s">
        <v>1011</v>
      </c>
      <c r="O49" s="451" t="s">
        <v>1012</v>
      </c>
      <c r="P49" s="468" t="s">
        <v>1013</v>
      </c>
      <c r="Q49" s="468" t="s">
        <v>909</v>
      </c>
      <c r="AC49" s="433" t="str">
        <f ca="1">HYPERLINK("#"&amp;일위대가목록표!J2&amp;"!A"&amp;ROW(일위대가목록표!A75),"B02478 →")</f>
        <v>B02478 →</v>
      </c>
    </row>
    <row r="50" spans="1:29" ht="35.25" customHeight="1">
      <c r="A50" s="452"/>
      <c r="B50" s="452" t="s">
        <v>1004</v>
      </c>
      <c r="C50" s="449" t="s">
        <v>996</v>
      </c>
      <c r="D50" s="470"/>
      <c r="E50" s="463" t="s">
        <v>984</v>
      </c>
      <c r="F50" s="471">
        <f t="shared" si="4"/>
        <v>214552</v>
      </c>
      <c r="G50" s="446">
        <f t="shared" si="4"/>
        <v>0</v>
      </c>
      <c r="H50" s="472">
        <f>일위대가목록표!F76</f>
        <v>72494</v>
      </c>
      <c r="I50" s="465">
        <f t="shared" si="1"/>
        <v>0</v>
      </c>
      <c r="J50" s="473">
        <f>일위대가목록표!G76</f>
        <v>142058</v>
      </c>
      <c r="K50" s="465">
        <f t="shared" si="2"/>
        <v>0</v>
      </c>
      <c r="L50" s="474">
        <f>일위대가목록표!H76</f>
        <v>0</v>
      </c>
      <c r="M50" s="467">
        <f t="shared" si="3"/>
        <v>0</v>
      </c>
      <c r="N50" s="463" t="s">
        <v>1014</v>
      </c>
      <c r="O50" s="451" t="s">
        <v>1015</v>
      </c>
      <c r="P50" s="468" t="s">
        <v>1016</v>
      </c>
      <c r="Q50" s="468" t="s">
        <v>909</v>
      </c>
      <c r="AC50" s="433" t="str">
        <f ca="1">HYPERLINK("#"&amp;일위대가목록표!J2&amp;"!A"&amp;ROW(일위대가목록표!A76),"B02479 →")</f>
        <v>B02479 →</v>
      </c>
    </row>
    <row r="51" spans="1:29" ht="35.25" customHeight="1">
      <c r="A51" s="452"/>
      <c r="B51" s="452" t="s">
        <v>1004</v>
      </c>
      <c r="C51" s="449" t="s">
        <v>1000</v>
      </c>
      <c r="D51" s="470"/>
      <c r="E51" s="463" t="s">
        <v>984</v>
      </c>
      <c r="F51" s="471">
        <f t="shared" si="4"/>
        <v>285437</v>
      </c>
      <c r="G51" s="446">
        <f t="shared" si="4"/>
        <v>0</v>
      </c>
      <c r="H51" s="472">
        <f>일위대가목록표!F77</f>
        <v>96594</v>
      </c>
      <c r="I51" s="465">
        <f t="shared" si="1"/>
        <v>0</v>
      </c>
      <c r="J51" s="473">
        <f>일위대가목록표!G77</f>
        <v>188843</v>
      </c>
      <c r="K51" s="465">
        <f t="shared" si="2"/>
        <v>0</v>
      </c>
      <c r="L51" s="474">
        <f>일위대가목록표!H77</f>
        <v>0</v>
      </c>
      <c r="M51" s="467">
        <f t="shared" si="3"/>
        <v>0</v>
      </c>
      <c r="N51" s="463" t="s">
        <v>1017</v>
      </c>
      <c r="O51" s="451" t="s">
        <v>1018</v>
      </c>
      <c r="P51" s="468" t="s">
        <v>1019</v>
      </c>
      <c r="Q51" s="468" t="s">
        <v>909</v>
      </c>
      <c r="AC51" s="433" t="str">
        <f ca="1">HYPERLINK("#"&amp;일위대가목록표!J2&amp;"!A"&amp;ROW(일위대가목록표!A77),"B02481 →")</f>
        <v>B02481 →</v>
      </c>
    </row>
    <row r="52" spans="1:29" ht="35.25" customHeight="1">
      <c r="A52" s="452"/>
      <c r="B52" s="452" t="s">
        <v>5094</v>
      </c>
      <c r="C52" s="449" t="s">
        <v>988</v>
      </c>
      <c r="D52" s="470"/>
      <c r="E52" s="463" t="s">
        <v>984</v>
      </c>
      <c r="F52" s="471">
        <f t="shared" si="4"/>
        <v>57274</v>
      </c>
      <c r="G52" s="446">
        <f t="shared" si="4"/>
        <v>0</v>
      </c>
      <c r="H52" s="472">
        <f>일위대가목록표!F82</f>
        <v>55541</v>
      </c>
      <c r="I52" s="465">
        <f t="shared" si="1"/>
        <v>0</v>
      </c>
      <c r="J52" s="473">
        <f>일위대가목록표!G82</f>
        <v>1733</v>
      </c>
      <c r="K52" s="465">
        <f t="shared" si="2"/>
        <v>0</v>
      </c>
      <c r="L52" s="474">
        <f>일위대가목록표!H82</f>
        <v>0</v>
      </c>
      <c r="M52" s="467">
        <f t="shared" si="3"/>
        <v>0</v>
      </c>
      <c r="N52" s="463" t="s">
        <v>5095</v>
      </c>
      <c r="O52" s="451" t="s">
        <v>5096</v>
      </c>
      <c r="P52" s="468" t="s">
        <v>5097</v>
      </c>
      <c r="Q52" s="468" t="s">
        <v>909</v>
      </c>
      <c r="AC52" s="433" t="str">
        <f ca="1">HYPERLINK("#"&amp;일위대가목록표!J2&amp;"!A"&amp;ROW(일위대가목록표!A82),"B02838 →")</f>
        <v>B02838 →</v>
      </c>
    </row>
    <row r="53" spans="1:29" ht="35.25" customHeight="1">
      <c r="A53" s="452"/>
      <c r="B53" s="452" t="s">
        <v>5094</v>
      </c>
      <c r="C53" s="449" t="s">
        <v>992</v>
      </c>
      <c r="D53" s="470">
        <v>0</v>
      </c>
      <c r="E53" s="463" t="s">
        <v>984</v>
      </c>
      <c r="F53" s="471">
        <f t="shared" si="4"/>
        <v>68804</v>
      </c>
      <c r="G53" s="446">
        <f t="shared" si="4"/>
        <v>0</v>
      </c>
      <c r="H53" s="472">
        <f>일위대가목록표!F83</f>
        <v>67071</v>
      </c>
      <c r="I53" s="465">
        <f t="shared" si="1"/>
        <v>0</v>
      </c>
      <c r="J53" s="473">
        <f>일위대가목록표!G83</f>
        <v>1733</v>
      </c>
      <c r="K53" s="465">
        <f t="shared" si="2"/>
        <v>0</v>
      </c>
      <c r="L53" s="474">
        <f>일위대가목록표!H83</f>
        <v>0</v>
      </c>
      <c r="M53" s="467">
        <f t="shared" si="3"/>
        <v>0</v>
      </c>
      <c r="N53" s="463" t="s">
        <v>5098</v>
      </c>
      <c r="O53" s="451" t="s">
        <v>5099</v>
      </c>
      <c r="P53" s="468" t="s">
        <v>5100</v>
      </c>
      <c r="Q53" s="468" t="s">
        <v>909</v>
      </c>
      <c r="AC53" s="433" t="str">
        <f ca="1">HYPERLINK("#"&amp;일위대가목록표!J2&amp;"!A"&amp;ROW(일위대가목록표!A83),"B02839 →")</f>
        <v>B02839 →</v>
      </c>
    </row>
    <row r="54" spans="1:29" ht="35.25" customHeight="1">
      <c r="A54" s="452"/>
      <c r="B54" s="452" t="s">
        <v>5094</v>
      </c>
      <c r="C54" s="449" t="s">
        <v>996</v>
      </c>
      <c r="D54" s="470">
        <v>0</v>
      </c>
      <c r="E54" s="463" t="s">
        <v>984</v>
      </c>
      <c r="F54" s="471">
        <f t="shared" si="4"/>
        <v>85102</v>
      </c>
      <c r="G54" s="446">
        <f t="shared" si="4"/>
        <v>0</v>
      </c>
      <c r="H54" s="472">
        <f>일위대가목록표!F84</f>
        <v>83369</v>
      </c>
      <c r="I54" s="465">
        <f t="shared" si="1"/>
        <v>0</v>
      </c>
      <c r="J54" s="473">
        <f>일위대가목록표!G84</f>
        <v>1733</v>
      </c>
      <c r="K54" s="465">
        <f t="shared" si="2"/>
        <v>0</v>
      </c>
      <c r="L54" s="474">
        <f>일위대가목록표!H84</f>
        <v>0</v>
      </c>
      <c r="M54" s="467">
        <f t="shared" si="3"/>
        <v>0</v>
      </c>
      <c r="N54" s="463" t="s">
        <v>5101</v>
      </c>
      <c r="O54" s="451" t="s">
        <v>5102</v>
      </c>
      <c r="P54" s="468" t="s">
        <v>5103</v>
      </c>
      <c r="Q54" s="468" t="s">
        <v>909</v>
      </c>
      <c r="AC54" s="433" t="str">
        <f ca="1">HYPERLINK("#"&amp;일위대가목록표!J2&amp;"!A"&amp;ROW(일위대가목록표!A84),"B02840 →")</f>
        <v>B02840 →</v>
      </c>
    </row>
    <row r="55" spans="1:29" ht="35.25" customHeight="1">
      <c r="A55" s="452"/>
      <c r="B55" s="452" t="s">
        <v>5104</v>
      </c>
      <c r="C55" s="449" t="s">
        <v>988</v>
      </c>
      <c r="D55" s="470">
        <v>0</v>
      </c>
      <c r="E55" s="463" t="s">
        <v>984</v>
      </c>
      <c r="F55" s="471">
        <f t="shared" si="4"/>
        <v>62104</v>
      </c>
      <c r="G55" s="446">
        <f t="shared" si="4"/>
        <v>0</v>
      </c>
      <c r="H55" s="472">
        <f>일위대가목록표!F85</f>
        <v>60371</v>
      </c>
      <c r="I55" s="465">
        <f t="shared" si="1"/>
        <v>0</v>
      </c>
      <c r="J55" s="473">
        <f>일위대가목록표!G85</f>
        <v>1733</v>
      </c>
      <c r="K55" s="465">
        <f t="shared" si="2"/>
        <v>0</v>
      </c>
      <c r="L55" s="474">
        <f>일위대가목록표!H85</f>
        <v>0</v>
      </c>
      <c r="M55" s="467">
        <f t="shared" si="3"/>
        <v>0</v>
      </c>
      <c r="N55" s="463" t="s">
        <v>1020</v>
      </c>
      <c r="O55" s="451" t="s">
        <v>1021</v>
      </c>
      <c r="P55" s="468" t="s">
        <v>1022</v>
      </c>
      <c r="Q55" s="468" t="s">
        <v>909</v>
      </c>
      <c r="AC55" s="433" t="str">
        <f ca="1">HYPERLINK("#"&amp;일위대가목록표!J2&amp;"!A"&amp;ROW(일위대가목록표!A85),"B02488 →")</f>
        <v>B02488 →</v>
      </c>
    </row>
    <row r="56" spans="1:29" ht="35.25" customHeight="1">
      <c r="A56" s="452"/>
      <c r="B56" s="452" t="s">
        <v>5104</v>
      </c>
      <c r="C56" s="449" t="s">
        <v>992</v>
      </c>
      <c r="D56" s="470">
        <v>0</v>
      </c>
      <c r="E56" s="463" t="s">
        <v>984</v>
      </c>
      <c r="F56" s="471">
        <f t="shared" si="4"/>
        <v>74636</v>
      </c>
      <c r="G56" s="446">
        <f t="shared" si="4"/>
        <v>0</v>
      </c>
      <c r="H56" s="472">
        <f>일위대가목록표!F86</f>
        <v>72903</v>
      </c>
      <c r="I56" s="465">
        <f t="shared" si="1"/>
        <v>0</v>
      </c>
      <c r="J56" s="473">
        <f>일위대가목록표!G86</f>
        <v>1733</v>
      </c>
      <c r="K56" s="465">
        <f t="shared" si="2"/>
        <v>0</v>
      </c>
      <c r="L56" s="474">
        <f>일위대가목록표!H86</f>
        <v>0</v>
      </c>
      <c r="M56" s="467">
        <f t="shared" si="3"/>
        <v>0</v>
      </c>
      <c r="N56" s="463" t="s">
        <v>1023</v>
      </c>
      <c r="O56" s="451" t="s">
        <v>1024</v>
      </c>
      <c r="P56" s="468" t="s">
        <v>1025</v>
      </c>
      <c r="Q56" s="468" t="s">
        <v>909</v>
      </c>
      <c r="AC56" s="433" t="str">
        <f ca="1">HYPERLINK("#"&amp;일위대가목록표!J2&amp;"!A"&amp;ROW(일위대가목록표!A86),"B02489 →")</f>
        <v>B02489 →</v>
      </c>
    </row>
    <row r="57" spans="1:29" ht="35.25" customHeight="1">
      <c r="A57" s="452"/>
      <c r="B57" s="452" t="s">
        <v>5104</v>
      </c>
      <c r="C57" s="449" t="s">
        <v>996</v>
      </c>
      <c r="D57" s="470">
        <v>0</v>
      </c>
      <c r="E57" s="463" t="s">
        <v>984</v>
      </c>
      <c r="F57" s="471">
        <f t="shared" si="4"/>
        <v>92351</v>
      </c>
      <c r="G57" s="446">
        <f t="shared" si="4"/>
        <v>0</v>
      </c>
      <c r="H57" s="472">
        <f>일위대가목록표!F87</f>
        <v>90618</v>
      </c>
      <c r="I57" s="465">
        <f t="shared" si="1"/>
        <v>0</v>
      </c>
      <c r="J57" s="473">
        <f>일위대가목록표!G87</f>
        <v>1733</v>
      </c>
      <c r="K57" s="465">
        <f t="shared" si="2"/>
        <v>0</v>
      </c>
      <c r="L57" s="474">
        <f>일위대가목록표!H87</f>
        <v>0</v>
      </c>
      <c r="M57" s="467">
        <f t="shared" si="3"/>
        <v>0</v>
      </c>
      <c r="N57" s="463" t="s">
        <v>1026</v>
      </c>
      <c r="O57" s="451" t="s">
        <v>1027</v>
      </c>
      <c r="P57" s="468" t="s">
        <v>1028</v>
      </c>
      <c r="Q57" s="468" t="s">
        <v>909</v>
      </c>
      <c r="AC57" s="433" t="str">
        <f ca="1">HYPERLINK("#"&amp;일위대가목록표!J2&amp;"!A"&amp;ROW(일위대가목록표!A87),"B02490 →")</f>
        <v>B02490 →</v>
      </c>
    </row>
    <row r="58" spans="1:29" ht="35.25" customHeight="1">
      <c r="A58" s="452"/>
      <c r="B58" s="452" t="s">
        <v>1029</v>
      </c>
      <c r="C58" s="449" t="s">
        <v>988</v>
      </c>
      <c r="D58" s="470">
        <v>0</v>
      </c>
      <c r="E58" s="463" t="s">
        <v>984</v>
      </c>
      <c r="F58" s="471">
        <f t="shared" si="4"/>
        <v>50030</v>
      </c>
      <c r="G58" s="446">
        <f t="shared" si="4"/>
        <v>0</v>
      </c>
      <c r="H58" s="472">
        <f>일위대가목록표!F79</f>
        <v>48297</v>
      </c>
      <c r="I58" s="465">
        <f t="shared" si="1"/>
        <v>0</v>
      </c>
      <c r="J58" s="473">
        <f>일위대가목록표!G79</f>
        <v>1733</v>
      </c>
      <c r="K58" s="465">
        <f t="shared" si="2"/>
        <v>0</v>
      </c>
      <c r="L58" s="474">
        <f>일위대가목록표!H79</f>
        <v>0</v>
      </c>
      <c r="M58" s="467">
        <f t="shared" si="3"/>
        <v>0</v>
      </c>
      <c r="N58" s="463" t="s">
        <v>1030</v>
      </c>
      <c r="O58" s="451" t="s">
        <v>1031</v>
      </c>
      <c r="P58" s="468" t="s">
        <v>1032</v>
      </c>
      <c r="Q58" s="468" t="s">
        <v>909</v>
      </c>
      <c r="AC58" s="433" t="str">
        <f ca="1">HYPERLINK("#"&amp;일위대가목록표!J2&amp;"!A"&amp;ROW(일위대가목록표!A79),"B02491 →")</f>
        <v>B02491 →</v>
      </c>
    </row>
    <row r="59" spans="1:29" ht="35.25" customHeight="1">
      <c r="A59" s="452"/>
      <c r="B59" s="452" t="s">
        <v>1029</v>
      </c>
      <c r="C59" s="449" t="s">
        <v>992</v>
      </c>
      <c r="D59" s="470">
        <v>0</v>
      </c>
      <c r="E59" s="463" t="s">
        <v>984</v>
      </c>
      <c r="F59" s="471">
        <f t="shared" si="4"/>
        <v>60056</v>
      </c>
      <c r="G59" s="446">
        <f t="shared" si="4"/>
        <v>0</v>
      </c>
      <c r="H59" s="472">
        <f>일위대가목록표!F80</f>
        <v>58323</v>
      </c>
      <c r="I59" s="465">
        <f t="shared" si="1"/>
        <v>0</v>
      </c>
      <c r="J59" s="473">
        <f>일위대가목록표!G80</f>
        <v>1733</v>
      </c>
      <c r="K59" s="465">
        <f t="shared" si="2"/>
        <v>0</v>
      </c>
      <c r="L59" s="474">
        <f>일위대가목록표!H80</f>
        <v>0</v>
      </c>
      <c r="M59" s="467">
        <f t="shared" si="3"/>
        <v>0</v>
      </c>
      <c r="N59" s="463" t="s">
        <v>1033</v>
      </c>
      <c r="O59" s="451" t="s">
        <v>1034</v>
      </c>
      <c r="P59" s="468" t="s">
        <v>1035</v>
      </c>
      <c r="Q59" s="468" t="s">
        <v>909</v>
      </c>
      <c r="AC59" s="433" t="str">
        <f ca="1">HYPERLINK("#"&amp;일위대가목록표!J2&amp;"!A"&amp;ROW(일위대가목록표!A80),"B02492 →")</f>
        <v>B02492 →</v>
      </c>
    </row>
    <row r="60" spans="1:29" ht="35.25" customHeight="1">
      <c r="A60" s="452"/>
      <c r="B60" s="452" t="s">
        <v>1029</v>
      </c>
      <c r="C60" s="449" t="s">
        <v>996</v>
      </c>
      <c r="D60" s="470"/>
      <c r="E60" s="463" t="s">
        <v>984</v>
      </c>
      <c r="F60" s="471">
        <f t="shared" si="4"/>
        <v>74227</v>
      </c>
      <c r="G60" s="446">
        <f t="shared" si="4"/>
        <v>0</v>
      </c>
      <c r="H60" s="472">
        <f>일위대가목록표!F81</f>
        <v>72494</v>
      </c>
      <c r="I60" s="465">
        <f t="shared" si="1"/>
        <v>0</v>
      </c>
      <c r="J60" s="473">
        <f>일위대가목록표!G81</f>
        <v>1733</v>
      </c>
      <c r="K60" s="465">
        <f t="shared" si="2"/>
        <v>0</v>
      </c>
      <c r="L60" s="474">
        <f>일위대가목록표!H81</f>
        <v>0</v>
      </c>
      <c r="M60" s="467">
        <f t="shared" si="3"/>
        <v>0</v>
      </c>
      <c r="N60" s="463" t="s">
        <v>1036</v>
      </c>
      <c r="O60" s="451" t="s">
        <v>1037</v>
      </c>
      <c r="P60" s="468" t="s">
        <v>1038</v>
      </c>
      <c r="Q60" s="468" t="s">
        <v>909</v>
      </c>
      <c r="AC60" s="433" t="str">
        <f ca="1">HYPERLINK("#"&amp;일위대가목록표!J2&amp;"!A"&amp;ROW(일위대가목록표!A81),"B02493 →")</f>
        <v>B02493 →</v>
      </c>
    </row>
    <row r="61" spans="1:29" ht="35.25" customHeight="1">
      <c r="A61" s="452"/>
      <c r="B61" s="452" t="s">
        <v>5105</v>
      </c>
      <c r="C61" s="449" t="s">
        <v>1039</v>
      </c>
      <c r="D61" s="470"/>
      <c r="E61" s="463" t="s">
        <v>984</v>
      </c>
      <c r="F61" s="471">
        <f t="shared" si="4"/>
        <v>115844</v>
      </c>
      <c r="G61" s="446">
        <f t="shared" si="4"/>
        <v>0</v>
      </c>
      <c r="H61" s="472">
        <f>일위대가목록표!F247</f>
        <v>43267</v>
      </c>
      <c r="I61" s="465">
        <f t="shared" si="1"/>
        <v>0</v>
      </c>
      <c r="J61" s="473">
        <f>일위대가목록표!G247</f>
        <v>72577</v>
      </c>
      <c r="K61" s="465">
        <f t="shared" si="2"/>
        <v>0</v>
      </c>
      <c r="L61" s="474">
        <f>일위대가목록표!H247</f>
        <v>0</v>
      </c>
      <c r="M61" s="467">
        <f t="shared" si="3"/>
        <v>0</v>
      </c>
      <c r="N61" s="463" t="s">
        <v>5106</v>
      </c>
      <c r="O61" s="451" t="s">
        <v>5107</v>
      </c>
      <c r="P61" s="468" t="s">
        <v>5108</v>
      </c>
      <c r="Q61" s="468" t="s">
        <v>909</v>
      </c>
      <c r="AC61" s="433" t="str">
        <f ca="1">HYPERLINK("#"&amp;일위대가목록표!J2&amp;"!A"&amp;ROW(일위대가목록표!A247),"B02841 →")</f>
        <v>B02841 →</v>
      </c>
    </row>
    <row r="62" spans="1:29" ht="35.25" customHeight="1">
      <c r="A62" s="452"/>
      <c r="B62" s="452" t="s">
        <v>5105</v>
      </c>
      <c r="C62" s="449" t="s">
        <v>1043</v>
      </c>
      <c r="D62" s="470"/>
      <c r="E62" s="463" t="s">
        <v>984</v>
      </c>
      <c r="F62" s="471">
        <f t="shared" si="4"/>
        <v>128746</v>
      </c>
      <c r="G62" s="446">
        <f t="shared" si="4"/>
        <v>0</v>
      </c>
      <c r="H62" s="472">
        <f>일위대가목록표!F248</f>
        <v>48858</v>
      </c>
      <c r="I62" s="465">
        <f t="shared" si="1"/>
        <v>0</v>
      </c>
      <c r="J62" s="473">
        <f>일위대가목록표!G248</f>
        <v>79888</v>
      </c>
      <c r="K62" s="465">
        <f t="shared" si="2"/>
        <v>0</v>
      </c>
      <c r="L62" s="474">
        <f>일위대가목록표!H248</f>
        <v>0</v>
      </c>
      <c r="M62" s="467">
        <f t="shared" si="3"/>
        <v>0</v>
      </c>
      <c r="N62" s="463" t="s">
        <v>5109</v>
      </c>
      <c r="O62" s="451" t="s">
        <v>5110</v>
      </c>
      <c r="P62" s="468" t="s">
        <v>5111</v>
      </c>
      <c r="Q62" s="468" t="s">
        <v>909</v>
      </c>
      <c r="AC62" s="433" t="str">
        <f ca="1">HYPERLINK("#"&amp;일위대가목록표!J2&amp;"!A"&amp;ROW(일위대가목록표!A248),"B02842 →")</f>
        <v>B02842 →</v>
      </c>
    </row>
    <row r="63" spans="1:29" ht="35.25" customHeight="1">
      <c r="A63" s="452"/>
      <c r="B63" s="452" t="s">
        <v>5112</v>
      </c>
      <c r="C63" s="449" t="s">
        <v>1039</v>
      </c>
      <c r="D63" s="470"/>
      <c r="E63" s="463" t="s">
        <v>984</v>
      </c>
      <c r="F63" s="471">
        <f t="shared" si="4"/>
        <v>119607</v>
      </c>
      <c r="G63" s="446">
        <f t="shared" si="4"/>
        <v>0</v>
      </c>
      <c r="H63" s="472">
        <f>일위대가목록표!F249</f>
        <v>47030</v>
      </c>
      <c r="I63" s="465">
        <f t="shared" si="1"/>
        <v>0</v>
      </c>
      <c r="J63" s="473">
        <f>일위대가목록표!G249</f>
        <v>72577</v>
      </c>
      <c r="K63" s="465">
        <f t="shared" si="2"/>
        <v>0</v>
      </c>
      <c r="L63" s="474">
        <f>일위대가목록표!H249</f>
        <v>0</v>
      </c>
      <c r="M63" s="467">
        <f t="shared" si="3"/>
        <v>0</v>
      </c>
      <c r="N63" s="463" t="s">
        <v>1040</v>
      </c>
      <c r="O63" s="451" t="s">
        <v>1041</v>
      </c>
      <c r="P63" s="468" t="s">
        <v>1042</v>
      </c>
      <c r="Q63" s="468" t="s">
        <v>909</v>
      </c>
      <c r="AC63" s="433" t="str">
        <f ca="1">HYPERLINK("#"&amp;일위대가목록표!J2&amp;"!A"&amp;ROW(일위대가목록표!A249),"B02805 →")</f>
        <v>B02805 →</v>
      </c>
    </row>
    <row r="64" spans="1:29" ht="35.25" customHeight="1">
      <c r="A64" s="452"/>
      <c r="B64" s="452" t="s">
        <v>5112</v>
      </c>
      <c r="C64" s="449" t="s">
        <v>1043</v>
      </c>
      <c r="D64" s="470"/>
      <c r="E64" s="463" t="s">
        <v>984</v>
      </c>
      <c r="F64" s="471">
        <f t="shared" si="4"/>
        <v>132995</v>
      </c>
      <c r="G64" s="446">
        <f t="shared" si="4"/>
        <v>0</v>
      </c>
      <c r="H64" s="472">
        <f>일위대가목록표!F250</f>
        <v>53107</v>
      </c>
      <c r="I64" s="465">
        <f t="shared" si="1"/>
        <v>0</v>
      </c>
      <c r="J64" s="473">
        <f>일위대가목록표!G250</f>
        <v>79888</v>
      </c>
      <c r="K64" s="465">
        <f t="shared" si="2"/>
        <v>0</v>
      </c>
      <c r="L64" s="474">
        <f>일위대가목록표!H250</f>
        <v>0</v>
      </c>
      <c r="M64" s="467">
        <f t="shared" si="3"/>
        <v>0</v>
      </c>
      <c r="N64" s="463" t="s">
        <v>1044</v>
      </c>
      <c r="O64" s="451" t="s">
        <v>1045</v>
      </c>
      <c r="P64" s="468" t="s">
        <v>1046</v>
      </c>
      <c r="Q64" s="468" t="s">
        <v>909</v>
      </c>
      <c r="AC64" s="433" t="str">
        <f ca="1">HYPERLINK("#"&amp;일위대가목록표!J2&amp;"!A"&amp;ROW(일위대가목록표!A250),"B02806 →")</f>
        <v>B02806 →</v>
      </c>
    </row>
    <row r="65" spans="1:29" ht="35.25" customHeight="1">
      <c r="A65" s="452"/>
      <c r="B65" s="452" t="s">
        <v>1047</v>
      </c>
      <c r="C65" s="449" t="s">
        <v>1039</v>
      </c>
      <c r="D65" s="470"/>
      <c r="E65" s="463" t="s">
        <v>984</v>
      </c>
      <c r="F65" s="471">
        <f t="shared" si="4"/>
        <v>110201</v>
      </c>
      <c r="G65" s="446">
        <f t="shared" si="4"/>
        <v>0</v>
      </c>
      <c r="H65" s="472">
        <f>일위대가목록표!F230</f>
        <v>37624</v>
      </c>
      <c r="I65" s="465">
        <f t="shared" si="1"/>
        <v>0</v>
      </c>
      <c r="J65" s="473">
        <f>일위대가목록표!G230</f>
        <v>72577</v>
      </c>
      <c r="K65" s="465">
        <f t="shared" si="2"/>
        <v>0</v>
      </c>
      <c r="L65" s="474">
        <f>일위대가목록표!H230</f>
        <v>0</v>
      </c>
      <c r="M65" s="467">
        <f t="shared" si="3"/>
        <v>0</v>
      </c>
      <c r="N65" s="463" t="s">
        <v>1048</v>
      </c>
      <c r="O65" s="451" t="s">
        <v>1049</v>
      </c>
      <c r="P65" s="468" t="s">
        <v>1050</v>
      </c>
      <c r="Q65" s="468" t="s">
        <v>909</v>
      </c>
      <c r="AC65" s="433" t="str">
        <f ca="1">HYPERLINK("#"&amp;일위대가목록표!J2&amp;"!A"&amp;ROW(일위대가목록표!A230),"B02801 →")</f>
        <v>B02801 →</v>
      </c>
    </row>
    <row r="66" spans="1:29" ht="35.25" customHeight="1">
      <c r="A66" s="452"/>
      <c r="B66" s="452" t="s">
        <v>1047</v>
      </c>
      <c r="C66" s="449" t="s">
        <v>1043</v>
      </c>
      <c r="D66" s="470"/>
      <c r="E66" s="463" t="s">
        <v>984</v>
      </c>
      <c r="F66" s="471">
        <f t="shared" si="4"/>
        <v>122373</v>
      </c>
      <c r="G66" s="446">
        <f t="shared" si="4"/>
        <v>0</v>
      </c>
      <c r="H66" s="472">
        <f>일위대가목록표!F231</f>
        <v>42485</v>
      </c>
      <c r="I66" s="465">
        <f t="shared" si="1"/>
        <v>0</v>
      </c>
      <c r="J66" s="473">
        <f>일위대가목록표!G231</f>
        <v>79888</v>
      </c>
      <c r="K66" s="465">
        <f t="shared" si="2"/>
        <v>0</v>
      </c>
      <c r="L66" s="474">
        <f>일위대가목록표!H231</f>
        <v>0</v>
      </c>
      <c r="M66" s="467">
        <f t="shared" si="3"/>
        <v>0</v>
      </c>
      <c r="N66" s="463" t="s">
        <v>1051</v>
      </c>
      <c r="O66" s="451" t="s">
        <v>1052</v>
      </c>
      <c r="P66" s="468" t="s">
        <v>1053</v>
      </c>
      <c r="Q66" s="468" t="s">
        <v>909</v>
      </c>
      <c r="AC66" s="433" t="str">
        <f ca="1">HYPERLINK("#"&amp;일위대가목록표!J2&amp;"!A"&amp;ROW(일위대가목록표!A231),"B02802 →")</f>
        <v>B02802 →</v>
      </c>
    </row>
    <row r="67" spans="1:29" ht="35.25" customHeight="1">
      <c r="A67" s="452"/>
      <c r="B67" s="452" t="s">
        <v>5113</v>
      </c>
      <c r="C67" s="449" t="s">
        <v>1039</v>
      </c>
      <c r="D67" s="470"/>
      <c r="E67" s="463" t="s">
        <v>984</v>
      </c>
      <c r="F67" s="471">
        <f t="shared" si="4"/>
        <v>58146</v>
      </c>
      <c r="G67" s="446">
        <f t="shared" si="4"/>
        <v>0</v>
      </c>
      <c r="H67" s="472">
        <f>일위대가목록표!F234</f>
        <v>43267</v>
      </c>
      <c r="I67" s="465">
        <f t="shared" si="1"/>
        <v>0</v>
      </c>
      <c r="J67" s="473">
        <f>일위대가목록표!G234</f>
        <v>14879</v>
      </c>
      <c r="K67" s="465">
        <f t="shared" si="2"/>
        <v>0</v>
      </c>
      <c r="L67" s="474">
        <f>일위대가목록표!H234</f>
        <v>0</v>
      </c>
      <c r="M67" s="467">
        <f t="shared" si="3"/>
        <v>0</v>
      </c>
      <c r="N67" s="463" t="s">
        <v>5114</v>
      </c>
      <c r="O67" s="451" t="s">
        <v>5115</v>
      </c>
      <c r="P67" s="468" t="s">
        <v>5116</v>
      </c>
      <c r="Q67" s="468" t="s">
        <v>909</v>
      </c>
      <c r="AC67" s="433" t="str">
        <f ca="1">HYPERLINK("#"&amp;일위대가목록표!J2&amp;"!A"&amp;ROW(일위대가목록표!A234),"B02843 →")</f>
        <v>B02843 →</v>
      </c>
    </row>
    <row r="68" spans="1:29" ht="35.25" customHeight="1">
      <c r="A68" s="452"/>
      <c r="B68" s="452" t="s">
        <v>5113</v>
      </c>
      <c r="C68" s="449" t="s">
        <v>1043</v>
      </c>
      <c r="D68" s="470">
        <v>0</v>
      </c>
      <c r="E68" s="463" t="s">
        <v>984</v>
      </c>
      <c r="F68" s="471">
        <f t="shared" si="4"/>
        <v>63737</v>
      </c>
      <c r="G68" s="446">
        <f t="shared" si="4"/>
        <v>0</v>
      </c>
      <c r="H68" s="472">
        <f>일위대가목록표!F235</f>
        <v>48858</v>
      </c>
      <c r="I68" s="465">
        <f t="shared" si="1"/>
        <v>0</v>
      </c>
      <c r="J68" s="473">
        <f>일위대가목록표!G235</f>
        <v>14879</v>
      </c>
      <c r="K68" s="465">
        <f t="shared" si="2"/>
        <v>0</v>
      </c>
      <c r="L68" s="474">
        <f>일위대가목록표!H235</f>
        <v>0</v>
      </c>
      <c r="M68" s="467">
        <f t="shared" si="3"/>
        <v>0</v>
      </c>
      <c r="N68" s="463" t="s">
        <v>5117</v>
      </c>
      <c r="O68" s="451" t="s">
        <v>5118</v>
      </c>
      <c r="P68" s="468" t="s">
        <v>5119</v>
      </c>
      <c r="Q68" s="468" t="s">
        <v>909</v>
      </c>
      <c r="AC68" s="433" t="str">
        <f ca="1">HYPERLINK("#"&amp;일위대가목록표!J2&amp;"!A"&amp;ROW(일위대가목록표!A235),"B02844 →")</f>
        <v>B02844 →</v>
      </c>
    </row>
    <row r="69" spans="1:29" ht="35.25" customHeight="1">
      <c r="A69" s="452"/>
      <c r="B69" s="452" t="s">
        <v>5120</v>
      </c>
      <c r="C69" s="449" t="s">
        <v>1039</v>
      </c>
      <c r="D69" s="470">
        <v>0</v>
      </c>
      <c r="E69" s="463" t="s">
        <v>984</v>
      </c>
      <c r="F69" s="471">
        <f t="shared" si="4"/>
        <v>61909</v>
      </c>
      <c r="G69" s="446">
        <f t="shared" si="4"/>
        <v>0</v>
      </c>
      <c r="H69" s="472">
        <f>일위대가목록표!F236</f>
        <v>47030</v>
      </c>
      <c r="I69" s="465">
        <f t="shared" si="1"/>
        <v>0</v>
      </c>
      <c r="J69" s="473">
        <f>일위대가목록표!G236</f>
        <v>14879</v>
      </c>
      <c r="K69" s="465">
        <f t="shared" si="2"/>
        <v>0</v>
      </c>
      <c r="L69" s="474">
        <f>일위대가목록표!H236</f>
        <v>0</v>
      </c>
      <c r="M69" s="467">
        <f t="shared" si="3"/>
        <v>0</v>
      </c>
      <c r="N69" s="463" t="s">
        <v>1054</v>
      </c>
      <c r="O69" s="451" t="s">
        <v>1055</v>
      </c>
      <c r="P69" s="468" t="s">
        <v>1056</v>
      </c>
      <c r="Q69" s="468" t="s">
        <v>909</v>
      </c>
      <c r="AC69" s="433" t="str">
        <f ca="1">HYPERLINK("#"&amp;일위대가목록표!J2&amp;"!A"&amp;ROW(일위대가목록표!A236),"B02807 →")</f>
        <v>B02807 →</v>
      </c>
    </row>
    <row r="70" spans="1:29" ht="35.25" customHeight="1">
      <c r="A70" s="452"/>
      <c r="B70" s="452" t="s">
        <v>5120</v>
      </c>
      <c r="C70" s="449" t="s">
        <v>1043</v>
      </c>
      <c r="D70" s="470">
        <v>0</v>
      </c>
      <c r="E70" s="463" t="s">
        <v>984</v>
      </c>
      <c r="F70" s="471">
        <f t="shared" si="4"/>
        <v>67986</v>
      </c>
      <c r="G70" s="446">
        <f t="shared" si="4"/>
        <v>0</v>
      </c>
      <c r="H70" s="472">
        <f>일위대가목록표!F237</f>
        <v>53107</v>
      </c>
      <c r="I70" s="465">
        <f t="shared" si="1"/>
        <v>0</v>
      </c>
      <c r="J70" s="473">
        <f>일위대가목록표!G237</f>
        <v>14879</v>
      </c>
      <c r="K70" s="465">
        <f t="shared" si="2"/>
        <v>0</v>
      </c>
      <c r="L70" s="474">
        <f>일위대가목록표!H237</f>
        <v>0</v>
      </c>
      <c r="M70" s="467">
        <f t="shared" si="3"/>
        <v>0</v>
      </c>
      <c r="N70" s="463" t="s">
        <v>1057</v>
      </c>
      <c r="O70" s="451" t="s">
        <v>1058</v>
      </c>
      <c r="P70" s="468" t="s">
        <v>1059</v>
      </c>
      <c r="Q70" s="468" t="s">
        <v>909</v>
      </c>
      <c r="AC70" s="433" t="str">
        <f ca="1">HYPERLINK("#"&amp;일위대가목록표!J2&amp;"!A"&amp;ROW(일위대가목록표!A237),"B02808 →")</f>
        <v>B02808 →</v>
      </c>
    </row>
    <row r="71" spans="1:29" ht="35.25" customHeight="1">
      <c r="A71" s="452"/>
      <c r="B71" s="452" t="s">
        <v>1060</v>
      </c>
      <c r="C71" s="449" t="s">
        <v>1039</v>
      </c>
      <c r="D71" s="470">
        <v>0</v>
      </c>
      <c r="E71" s="463" t="s">
        <v>984</v>
      </c>
      <c r="F71" s="471">
        <f t="shared" ref="F71:G102" si="5">J71+H71+L71</f>
        <v>52503</v>
      </c>
      <c r="G71" s="446">
        <f t="shared" si="5"/>
        <v>0</v>
      </c>
      <c r="H71" s="472">
        <f>일위대가목록표!F232</f>
        <v>37624</v>
      </c>
      <c r="I71" s="465">
        <f t="shared" ref="I71:I134" si="6">ROUNDDOWN(H71*D71,0)</f>
        <v>0</v>
      </c>
      <c r="J71" s="473">
        <f>일위대가목록표!G232</f>
        <v>14879</v>
      </c>
      <c r="K71" s="465">
        <f t="shared" ref="K71:K134" si="7">ROUNDDOWN(J71*D71,0)</f>
        <v>0</v>
      </c>
      <c r="L71" s="474">
        <f>일위대가목록표!H232</f>
        <v>0</v>
      </c>
      <c r="M71" s="467">
        <f t="shared" ref="M71:M134" si="8">ROUNDDOWN(L71*D71,0)</f>
        <v>0</v>
      </c>
      <c r="N71" s="463" t="s">
        <v>1061</v>
      </c>
      <c r="O71" s="451" t="s">
        <v>1062</v>
      </c>
      <c r="P71" s="468" t="s">
        <v>1063</v>
      </c>
      <c r="Q71" s="468" t="s">
        <v>909</v>
      </c>
      <c r="AC71" s="433" t="str">
        <f ca="1">HYPERLINK("#"&amp;일위대가목록표!J2&amp;"!A"&amp;ROW(일위대가목록표!A232),"B02803 →")</f>
        <v>B02803 →</v>
      </c>
    </row>
    <row r="72" spans="1:29" ht="35.25" customHeight="1">
      <c r="A72" s="452"/>
      <c r="B72" s="452" t="s">
        <v>1060</v>
      </c>
      <c r="C72" s="449" t="s">
        <v>1043</v>
      </c>
      <c r="D72" s="470">
        <v>0</v>
      </c>
      <c r="E72" s="463" t="s">
        <v>984</v>
      </c>
      <c r="F72" s="471">
        <f t="shared" si="5"/>
        <v>57364</v>
      </c>
      <c r="G72" s="446">
        <f t="shared" si="5"/>
        <v>0</v>
      </c>
      <c r="H72" s="472">
        <f>일위대가목록표!F233</f>
        <v>42485</v>
      </c>
      <c r="I72" s="465">
        <f t="shared" si="6"/>
        <v>0</v>
      </c>
      <c r="J72" s="473">
        <f>일위대가목록표!G233</f>
        <v>14879</v>
      </c>
      <c r="K72" s="465">
        <f t="shared" si="7"/>
        <v>0</v>
      </c>
      <c r="L72" s="474">
        <f>일위대가목록표!H233</f>
        <v>0</v>
      </c>
      <c r="M72" s="467">
        <f t="shared" si="8"/>
        <v>0</v>
      </c>
      <c r="N72" s="463" t="s">
        <v>1064</v>
      </c>
      <c r="O72" s="451" t="s">
        <v>1065</v>
      </c>
      <c r="P72" s="468" t="s">
        <v>1066</v>
      </c>
      <c r="Q72" s="468" t="s">
        <v>909</v>
      </c>
      <c r="AC72" s="433" t="str">
        <f ca="1">HYPERLINK("#"&amp;일위대가목록표!J2&amp;"!A"&amp;ROW(일위대가목록표!A233),"B02804 →")</f>
        <v>B02804 →</v>
      </c>
    </row>
    <row r="73" spans="1:29" ht="35.25" customHeight="1">
      <c r="A73" s="452"/>
      <c r="B73" s="452" t="s">
        <v>5121</v>
      </c>
      <c r="C73" s="449" t="s">
        <v>1067</v>
      </c>
      <c r="D73" s="470">
        <v>0</v>
      </c>
      <c r="E73" s="463" t="s">
        <v>975</v>
      </c>
      <c r="F73" s="471">
        <f t="shared" si="5"/>
        <v>93484</v>
      </c>
      <c r="G73" s="446">
        <f t="shared" si="5"/>
        <v>0</v>
      </c>
      <c r="H73" s="472">
        <f>일위대가목록표!F307</f>
        <v>31976</v>
      </c>
      <c r="I73" s="465">
        <f t="shared" si="6"/>
        <v>0</v>
      </c>
      <c r="J73" s="473">
        <f>일위대가목록표!G307</f>
        <v>61508</v>
      </c>
      <c r="K73" s="465">
        <f t="shared" si="7"/>
        <v>0</v>
      </c>
      <c r="L73" s="474">
        <f>일위대가목록표!H307</f>
        <v>0</v>
      </c>
      <c r="M73" s="467">
        <f t="shared" si="8"/>
        <v>0</v>
      </c>
      <c r="N73" s="463" t="s">
        <v>5122</v>
      </c>
      <c r="O73" s="451" t="s">
        <v>5123</v>
      </c>
      <c r="P73" s="468" t="s">
        <v>5124</v>
      </c>
      <c r="Q73" s="468" t="s">
        <v>909</v>
      </c>
      <c r="AC73" s="433" t="str">
        <f ca="1">HYPERLINK("#"&amp;일위대가목록표!J2&amp;"!A"&amp;ROW(일위대가목록표!A307),"B02845 →")</f>
        <v>B02845 →</v>
      </c>
    </row>
    <row r="74" spans="1:29" ht="35.25" customHeight="1">
      <c r="A74" s="452"/>
      <c r="B74" s="452" t="s">
        <v>5121</v>
      </c>
      <c r="C74" s="449" t="s">
        <v>1071</v>
      </c>
      <c r="D74" s="470">
        <v>0</v>
      </c>
      <c r="E74" s="463" t="s">
        <v>975</v>
      </c>
      <c r="F74" s="471">
        <f t="shared" si="5"/>
        <v>110886</v>
      </c>
      <c r="G74" s="446">
        <f t="shared" si="5"/>
        <v>0</v>
      </c>
      <c r="H74" s="472">
        <f>일위대가목록표!F308</f>
        <v>37673</v>
      </c>
      <c r="I74" s="465">
        <f t="shared" si="6"/>
        <v>0</v>
      </c>
      <c r="J74" s="473">
        <f>일위대가목록표!G308</f>
        <v>73213</v>
      </c>
      <c r="K74" s="465">
        <f t="shared" si="7"/>
        <v>0</v>
      </c>
      <c r="L74" s="474">
        <f>일위대가목록표!H308</f>
        <v>0</v>
      </c>
      <c r="M74" s="467">
        <f t="shared" si="8"/>
        <v>0</v>
      </c>
      <c r="N74" s="463" t="s">
        <v>5125</v>
      </c>
      <c r="O74" s="451" t="s">
        <v>5126</v>
      </c>
      <c r="P74" s="468" t="s">
        <v>5127</v>
      </c>
      <c r="Q74" s="468" t="s">
        <v>909</v>
      </c>
      <c r="AC74" s="433" t="str">
        <f ca="1">HYPERLINK("#"&amp;일위대가목록표!J2&amp;"!A"&amp;ROW(일위대가목록표!A308),"B02847 →")</f>
        <v>B02847 →</v>
      </c>
    </row>
    <row r="75" spans="1:29" ht="35.25" customHeight="1">
      <c r="A75" s="452"/>
      <c r="B75" s="452" t="s">
        <v>5121</v>
      </c>
      <c r="C75" s="449" t="s">
        <v>1075</v>
      </c>
      <c r="D75" s="470">
        <v>0</v>
      </c>
      <c r="E75" s="463" t="s">
        <v>975</v>
      </c>
      <c r="F75" s="471">
        <f t="shared" si="5"/>
        <v>149383</v>
      </c>
      <c r="G75" s="446">
        <f t="shared" si="5"/>
        <v>0</v>
      </c>
      <c r="H75" s="472">
        <f>일위대가목록표!F309</f>
        <v>51283</v>
      </c>
      <c r="I75" s="465">
        <f t="shared" si="6"/>
        <v>0</v>
      </c>
      <c r="J75" s="473">
        <f>일위대가목록표!G309</f>
        <v>98100</v>
      </c>
      <c r="K75" s="465">
        <f t="shared" si="7"/>
        <v>0</v>
      </c>
      <c r="L75" s="474">
        <f>일위대가목록표!H309</f>
        <v>0</v>
      </c>
      <c r="M75" s="467">
        <f t="shared" si="8"/>
        <v>0</v>
      </c>
      <c r="N75" s="463" t="s">
        <v>5128</v>
      </c>
      <c r="O75" s="451" t="s">
        <v>5129</v>
      </c>
      <c r="P75" s="468" t="s">
        <v>5130</v>
      </c>
      <c r="Q75" s="468" t="s">
        <v>909</v>
      </c>
      <c r="AC75" s="433" t="str">
        <f ca="1">HYPERLINK("#"&amp;일위대가목록표!J2&amp;"!A"&amp;ROW(일위대가목록표!A309),"B02846 →")</f>
        <v>B02846 →</v>
      </c>
    </row>
    <row r="76" spans="1:29" ht="35.25" customHeight="1">
      <c r="A76" s="452"/>
      <c r="B76" s="452" t="s">
        <v>5121</v>
      </c>
      <c r="C76" s="449" t="s">
        <v>1079</v>
      </c>
      <c r="D76" s="470">
        <v>0</v>
      </c>
      <c r="E76" s="463" t="s">
        <v>975</v>
      </c>
      <c r="F76" s="471">
        <f t="shared" si="5"/>
        <v>185422</v>
      </c>
      <c r="G76" s="446">
        <f t="shared" si="5"/>
        <v>0</v>
      </c>
      <c r="H76" s="472">
        <f>일위대가목록표!F310</f>
        <v>63841</v>
      </c>
      <c r="I76" s="465">
        <f t="shared" si="6"/>
        <v>0</v>
      </c>
      <c r="J76" s="473">
        <f>일위대가목록표!G310</f>
        <v>121581</v>
      </c>
      <c r="K76" s="465">
        <f t="shared" si="7"/>
        <v>0</v>
      </c>
      <c r="L76" s="474">
        <f>일위대가목록표!H310</f>
        <v>0</v>
      </c>
      <c r="M76" s="467">
        <f t="shared" si="8"/>
        <v>0</v>
      </c>
      <c r="N76" s="463" t="s">
        <v>5131</v>
      </c>
      <c r="O76" s="451" t="s">
        <v>5132</v>
      </c>
      <c r="P76" s="468" t="s">
        <v>5133</v>
      </c>
      <c r="Q76" s="468" t="s">
        <v>909</v>
      </c>
      <c r="AC76" s="433" t="str">
        <f ca="1">HYPERLINK("#"&amp;일위대가목록표!J2&amp;"!A"&amp;ROW(일위대가목록표!A310),"B02848 →")</f>
        <v>B02848 →</v>
      </c>
    </row>
    <row r="77" spans="1:29" ht="35.25" customHeight="1">
      <c r="A77" s="452"/>
      <c r="B77" s="452" t="s">
        <v>5121</v>
      </c>
      <c r="C77" s="449" t="s">
        <v>1083</v>
      </c>
      <c r="D77" s="470">
        <v>0</v>
      </c>
      <c r="E77" s="463" t="s">
        <v>975</v>
      </c>
      <c r="F77" s="471">
        <f t="shared" si="5"/>
        <v>221452</v>
      </c>
      <c r="G77" s="446">
        <f t="shared" si="5"/>
        <v>0</v>
      </c>
      <c r="H77" s="472">
        <f>일위대가목록표!F311</f>
        <v>76399</v>
      </c>
      <c r="I77" s="465">
        <f t="shared" si="6"/>
        <v>0</v>
      </c>
      <c r="J77" s="473">
        <f>일위대가목록표!G311</f>
        <v>145053</v>
      </c>
      <c r="K77" s="465">
        <f t="shared" si="7"/>
        <v>0</v>
      </c>
      <c r="L77" s="474">
        <f>일위대가목록표!H311</f>
        <v>0</v>
      </c>
      <c r="M77" s="467">
        <f t="shared" si="8"/>
        <v>0</v>
      </c>
      <c r="N77" s="463" t="s">
        <v>5134</v>
      </c>
      <c r="O77" s="451" t="s">
        <v>5135</v>
      </c>
      <c r="P77" s="468" t="s">
        <v>5136</v>
      </c>
      <c r="Q77" s="468" t="s">
        <v>909</v>
      </c>
      <c r="AC77" s="433" t="str">
        <f ca="1">HYPERLINK("#"&amp;일위대가목록표!J2&amp;"!A"&amp;ROW(일위대가목록표!A311),"B02849 →")</f>
        <v>B02849 →</v>
      </c>
    </row>
    <row r="78" spans="1:29" ht="35.25" customHeight="1">
      <c r="A78" s="452"/>
      <c r="B78" s="452" t="s">
        <v>5137</v>
      </c>
      <c r="C78" s="449" t="s">
        <v>1067</v>
      </c>
      <c r="D78" s="470">
        <v>0</v>
      </c>
      <c r="E78" s="463" t="s">
        <v>975</v>
      </c>
      <c r="F78" s="471">
        <f t="shared" si="5"/>
        <v>96265</v>
      </c>
      <c r="G78" s="446">
        <f t="shared" si="5"/>
        <v>0</v>
      </c>
      <c r="H78" s="472">
        <f>일위대가목록표!F312</f>
        <v>34757</v>
      </c>
      <c r="I78" s="465">
        <f t="shared" si="6"/>
        <v>0</v>
      </c>
      <c r="J78" s="473">
        <f>일위대가목록표!G312</f>
        <v>61508</v>
      </c>
      <c r="K78" s="465">
        <f t="shared" si="7"/>
        <v>0</v>
      </c>
      <c r="L78" s="474">
        <f>일위대가목록표!H312</f>
        <v>0</v>
      </c>
      <c r="M78" s="467">
        <f t="shared" si="8"/>
        <v>0</v>
      </c>
      <c r="N78" s="463" t="s">
        <v>1068</v>
      </c>
      <c r="O78" s="451" t="s">
        <v>1069</v>
      </c>
      <c r="P78" s="468" t="s">
        <v>1070</v>
      </c>
      <c r="Q78" s="468" t="s">
        <v>909</v>
      </c>
      <c r="AC78" s="433" t="str">
        <f ca="1">HYPERLINK("#"&amp;일위대가목록표!J2&amp;"!A"&amp;ROW(일위대가목록표!A312),"B01839 →")</f>
        <v>B01839 →</v>
      </c>
    </row>
    <row r="79" spans="1:29" ht="35.25" customHeight="1">
      <c r="A79" s="452"/>
      <c r="B79" s="452" t="s">
        <v>5137</v>
      </c>
      <c r="C79" s="449" t="s">
        <v>1071</v>
      </c>
      <c r="D79" s="470">
        <v>0</v>
      </c>
      <c r="E79" s="463" t="s">
        <v>975</v>
      </c>
      <c r="F79" s="471">
        <f t="shared" si="5"/>
        <v>114162</v>
      </c>
      <c r="G79" s="446">
        <f t="shared" si="5"/>
        <v>0</v>
      </c>
      <c r="H79" s="472">
        <f>일위대가목록표!F313</f>
        <v>40949</v>
      </c>
      <c r="I79" s="465">
        <f t="shared" si="6"/>
        <v>0</v>
      </c>
      <c r="J79" s="473">
        <f>일위대가목록표!G313</f>
        <v>73213</v>
      </c>
      <c r="K79" s="465">
        <f t="shared" si="7"/>
        <v>0</v>
      </c>
      <c r="L79" s="474">
        <f>일위대가목록표!H313</f>
        <v>0</v>
      </c>
      <c r="M79" s="467">
        <f t="shared" si="8"/>
        <v>0</v>
      </c>
      <c r="N79" s="463" t="s">
        <v>1072</v>
      </c>
      <c r="O79" s="451" t="s">
        <v>1073</v>
      </c>
      <c r="P79" s="468" t="s">
        <v>1074</v>
      </c>
      <c r="Q79" s="468" t="s">
        <v>909</v>
      </c>
      <c r="AC79" s="433" t="str">
        <f ca="1">HYPERLINK("#"&amp;일위대가목록표!J2&amp;"!A"&amp;ROW(일위대가목록표!A313),"B01840 →")</f>
        <v>B01840 →</v>
      </c>
    </row>
    <row r="80" spans="1:29" ht="35.25" customHeight="1">
      <c r="A80" s="452"/>
      <c r="B80" s="452" t="s">
        <v>5137</v>
      </c>
      <c r="C80" s="449" t="s">
        <v>1075</v>
      </c>
      <c r="D80" s="470">
        <v>0</v>
      </c>
      <c r="E80" s="463" t="s">
        <v>975</v>
      </c>
      <c r="F80" s="471">
        <f t="shared" si="5"/>
        <v>153843</v>
      </c>
      <c r="G80" s="446">
        <f t="shared" si="5"/>
        <v>0</v>
      </c>
      <c r="H80" s="472">
        <f>일위대가목록표!F314</f>
        <v>55743</v>
      </c>
      <c r="I80" s="465">
        <f t="shared" si="6"/>
        <v>0</v>
      </c>
      <c r="J80" s="473">
        <f>일위대가목록표!G314</f>
        <v>98100</v>
      </c>
      <c r="K80" s="465">
        <f t="shared" si="7"/>
        <v>0</v>
      </c>
      <c r="L80" s="474">
        <f>일위대가목록표!H314</f>
        <v>0</v>
      </c>
      <c r="M80" s="467">
        <f t="shared" si="8"/>
        <v>0</v>
      </c>
      <c r="N80" s="463" t="s">
        <v>1076</v>
      </c>
      <c r="O80" s="451" t="s">
        <v>1077</v>
      </c>
      <c r="P80" s="468" t="s">
        <v>1078</v>
      </c>
      <c r="Q80" s="468" t="s">
        <v>909</v>
      </c>
      <c r="AC80" s="433" t="str">
        <f ca="1">HYPERLINK("#"&amp;일위대가목록표!J2&amp;"!A"&amp;ROW(일위대가목록표!A314),"B02243 →")</f>
        <v>B02243 →</v>
      </c>
    </row>
    <row r="81" spans="1:29" ht="35.25" customHeight="1">
      <c r="A81" s="452"/>
      <c r="B81" s="452" t="s">
        <v>5137</v>
      </c>
      <c r="C81" s="449" t="s">
        <v>1079</v>
      </c>
      <c r="D81" s="470">
        <v>0</v>
      </c>
      <c r="E81" s="463" t="s">
        <v>975</v>
      </c>
      <c r="F81" s="471">
        <f t="shared" si="5"/>
        <v>190974</v>
      </c>
      <c r="G81" s="446">
        <f t="shared" si="5"/>
        <v>0</v>
      </c>
      <c r="H81" s="472">
        <f>일위대가목록표!F315</f>
        <v>69393</v>
      </c>
      <c r="I81" s="465">
        <f t="shared" si="6"/>
        <v>0</v>
      </c>
      <c r="J81" s="473">
        <f>일위대가목록표!G315</f>
        <v>121581</v>
      </c>
      <c r="K81" s="465">
        <f t="shared" si="7"/>
        <v>0</v>
      </c>
      <c r="L81" s="474">
        <f>일위대가목록표!H315</f>
        <v>0</v>
      </c>
      <c r="M81" s="467">
        <f t="shared" si="8"/>
        <v>0</v>
      </c>
      <c r="N81" s="463" t="s">
        <v>1080</v>
      </c>
      <c r="O81" s="451" t="s">
        <v>1081</v>
      </c>
      <c r="P81" s="468" t="s">
        <v>1082</v>
      </c>
      <c r="Q81" s="468" t="s">
        <v>909</v>
      </c>
      <c r="AC81" s="433" t="str">
        <f ca="1">HYPERLINK("#"&amp;일위대가목록표!J2&amp;"!A"&amp;ROW(일위대가목록표!A315),"B02244 →")</f>
        <v>B02244 →</v>
      </c>
    </row>
    <row r="82" spans="1:29" ht="35.25" customHeight="1">
      <c r="A82" s="452"/>
      <c r="B82" s="452" t="s">
        <v>5137</v>
      </c>
      <c r="C82" s="449" t="s">
        <v>1083</v>
      </c>
      <c r="D82" s="470">
        <v>0</v>
      </c>
      <c r="E82" s="463" t="s">
        <v>975</v>
      </c>
      <c r="F82" s="471">
        <f t="shared" si="5"/>
        <v>228096</v>
      </c>
      <c r="G82" s="446">
        <f t="shared" si="5"/>
        <v>0</v>
      </c>
      <c r="H82" s="472">
        <f>일위대가목록표!F316</f>
        <v>83043</v>
      </c>
      <c r="I82" s="465">
        <f t="shared" si="6"/>
        <v>0</v>
      </c>
      <c r="J82" s="473">
        <f>일위대가목록표!G316</f>
        <v>145053</v>
      </c>
      <c r="K82" s="465">
        <f t="shared" si="7"/>
        <v>0</v>
      </c>
      <c r="L82" s="474">
        <f>일위대가목록표!H316</f>
        <v>0</v>
      </c>
      <c r="M82" s="467">
        <f t="shared" si="8"/>
        <v>0</v>
      </c>
      <c r="N82" s="463" t="s">
        <v>1084</v>
      </c>
      <c r="O82" s="451" t="s">
        <v>1085</v>
      </c>
      <c r="P82" s="468" t="s">
        <v>1086</v>
      </c>
      <c r="Q82" s="468" t="s">
        <v>909</v>
      </c>
      <c r="AC82" s="433" t="str">
        <f ca="1">HYPERLINK("#"&amp;일위대가목록표!J2&amp;"!A"&amp;ROW(일위대가목록표!A316),"B02245 →")</f>
        <v>B02245 →</v>
      </c>
    </row>
    <row r="83" spans="1:29" ht="35.25" customHeight="1">
      <c r="A83" s="452"/>
      <c r="B83" s="452" t="s">
        <v>1087</v>
      </c>
      <c r="C83" s="449" t="s">
        <v>1067</v>
      </c>
      <c r="D83" s="470">
        <v>0</v>
      </c>
      <c r="E83" s="463" t="s">
        <v>975</v>
      </c>
      <c r="F83" s="471">
        <f t="shared" si="5"/>
        <v>89313</v>
      </c>
      <c r="G83" s="446">
        <f t="shared" si="5"/>
        <v>0</v>
      </c>
      <c r="H83" s="472">
        <f>일위대가목록표!F302</f>
        <v>27805</v>
      </c>
      <c r="I83" s="465">
        <f t="shared" si="6"/>
        <v>0</v>
      </c>
      <c r="J83" s="473">
        <f>일위대가목록표!G302</f>
        <v>61508</v>
      </c>
      <c r="K83" s="465">
        <f t="shared" si="7"/>
        <v>0</v>
      </c>
      <c r="L83" s="474">
        <f>일위대가목록표!H302</f>
        <v>0</v>
      </c>
      <c r="M83" s="467">
        <f t="shared" si="8"/>
        <v>0</v>
      </c>
      <c r="N83" s="463" t="s">
        <v>1088</v>
      </c>
      <c r="O83" s="451" t="s">
        <v>1089</v>
      </c>
      <c r="P83" s="468" t="s">
        <v>1090</v>
      </c>
      <c r="Q83" s="468" t="s">
        <v>909</v>
      </c>
      <c r="AC83" s="433" t="str">
        <f ca="1">HYPERLINK("#"&amp;일위대가목록표!J2&amp;"!A"&amp;ROW(일위대가목록표!A302),"B02496 →")</f>
        <v>B02496 →</v>
      </c>
    </row>
    <row r="84" spans="1:29" ht="35.25" customHeight="1">
      <c r="A84" s="452"/>
      <c r="B84" s="452" t="s">
        <v>1087</v>
      </c>
      <c r="C84" s="449" t="s">
        <v>1071</v>
      </c>
      <c r="D84" s="470">
        <v>0</v>
      </c>
      <c r="E84" s="463" t="s">
        <v>975</v>
      </c>
      <c r="F84" s="471">
        <f t="shared" si="5"/>
        <v>106054</v>
      </c>
      <c r="G84" s="446">
        <f t="shared" si="5"/>
        <v>0</v>
      </c>
      <c r="H84" s="472">
        <f>일위대가목록표!F303</f>
        <v>32759</v>
      </c>
      <c r="I84" s="465">
        <f t="shared" si="6"/>
        <v>0</v>
      </c>
      <c r="J84" s="473">
        <f>일위대가목록표!G303</f>
        <v>73295</v>
      </c>
      <c r="K84" s="465">
        <f t="shared" si="7"/>
        <v>0</v>
      </c>
      <c r="L84" s="474">
        <f>일위대가목록표!H303</f>
        <v>0</v>
      </c>
      <c r="M84" s="467">
        <f t="shared" si="8"/>
        <v>0</v>
      </c>
      <c r="N84" s="463" t="s">
        <v>1091</v>
      </c>
      <c r="O84" s="451" t="s">
        <v>1092</v>
      </c>
      <c r="P84" s="468" t="s">
        <v>1093</v>
      </c>
      <c r="Q84" s="468" t="s">
        <v>909</v>
      </c>
      <c r="AC84" s="433" t="str">
        <f ca="1">HYPERLINK("#"&amp;일위대가목록표!J2&amp;"!A"&amp;ROW(일위대가목록표!A303),"B02497 →")</f>
        <v>B02497 →</v>
      </c>
    </row>
    <row r="85" spans="1:29" ht="35.25" customHeight="1">
      <c r="A85" s="452"/>
      <c r="B85" s="452" t="s">
        <v>1087</v>
      </c>
      <c r="C85" s="449" t="s">
        <v>1075</v>
      </c>
      <c r="D85" s="470">
        <v>0</v>
      </c>
      <c r="E85" s="463" t="s">
        <v>975</v>
      </c>
      <c r="F85" s="471">
        <f t="shared" si="5"/>
        <v>142694</v>
      </c>
      <c r="G85" s="446">
        <f t="shared" si="5"/>
        <v>0</v>
      </c>
      <c r="H85" s="472">
        <f>일위대가목록표!F304</f>
        <v>44594</v>
      </c>
      <c r="I85" s="465">
        <f t="shared" si="6"/>
        <v>0</v>
      </c>
      <c r="J85" s="473">
        <f>일위대가목록표!G304</f>
        <v>98100</v>
      </c>
      <c r="K85" s="465">
        <f t="shared" si="7"/>
        <v>0</v>
      </c>
      <c r="L85" s="474">
        <f>일위대가목록표!H304</f>
        <v>0</v>
      </c>
      <c r="M85" s="467">
        <f t="shared" si="8"/>
        <v>0</v>
      </c>
      <c r="N85" s="463" t="s">
        <v>1094</v>
      </c>
      <c r="O85" s="451" t="s">
        <v>1095</v>
      </c>
      <c r="P85" s="468" t="s">
        <v>1096</v>
      </c>
      <c r="Q85" s="468" t="s">
        <v>909</v>
      </c>
      <c r="AC85" s="433" t="str">
        <f ca="1">HYPERLINK("#"&amp;일위대가목록표!J2&amp;"!A"&amp;ROW(일위대가목록표!A304),"B02498 →")</f>
        <v>B02498 →</v>
      </c>
    </row>
    <row r="86" spans="1:29" ht="35.25" customHeight="1">
      <c r="A86" s="452"/>
      <c r="B86" s="452" t="s">
        <v>1087</v>
      </c>
      <c r="C86" s="449" t="s">
        <v>1079</v>
      </c>
      <c r="D86" s="470">
        <v>0</v>
      </c>
      <c r="E86" s="463" t="s">
        <v>975</v>
      </c>
      <c r="F86" s="471">
        <f t="shared" si="5"/>
        <v>177095</v>
      </c>
      <c r="G86" s="446">
        <f t="shared" si="5"/>
        <v>0</v>
      </c>
      <c r="H86" s="472">
        <f>일위대가목록표!F305</f>
        <v>55514</v>
      </c>
      <c r="I86" s="465">
        <f t="shared" si="6"/>
        <v>0</v>
      </c>
      <c r="J86" s="473">
        <f>일위대가목록표!G305</f>
        <v>121581</v>
      </c>
      <c r="K86" s="465">
        <f t="shared" si="7"/>
        <v>0</v>
      </c>
      <c r="L86" s="474">
        <f>일위대가목록표!H305</f>
        <v>0</v>
      </c>
      <c r="M86" s="467">
        <f t="shared" si="8"/>
        <v>0</v>
      </c>
      <c r="N86" s="463" t="s">
        <v>1097</v>
      </c>
      <c r="O86" s="451" t="s">
        <v>1098</v>
      </c>
      <c r="P86" s="468" t="s">
        <v>1099</v>
      </c>
      <c r="Q86" s="468" t="s">
        <v>909</v>
      </c>
      <c r="AC86" s="433" t="str">
        <f ca="1">HYPERLINK("#"&amp;일위대가목록표!J2&amp;"!A"&amp;ROW(일위대가목록표!A305),"B02499 →")</f>
        <v>B02499 →</v>
      </c>
    </row>
    <row r="87" spans="1:29" ht="35.25" customHeight="1">
      <c r="A87" s="452"/>
      <c r="B87" s="452" t="s">
        <v>1087</v>
      </c>
      <c r="C87" s="449" t="s">
        <v>1083</v>
      </c>
      <c r="D87" s="470">
        <v>0</v>
      </c>
      <c r="E87" s="463" t="s">
        <v>975</v>
      </c>
      <c r="F87" s="471">
        <f t="shared" si="5"/>
        <v>211487</v>
      </c>
      <c r="G87" s="446">
        <f t="shared" si="5"/>
        <v>0</v>
      </c>
      <c r="H87" s="472">
        <f>일위대가목록표!F306</f>
        <v>66434</v>
      </c>
      <c r="I87" s="465">
        <f t="shared" si="6"/>
        <v>0</v>
      </c>
      <c r="J87" s="473">
        <f>일위대가목록표!G306</f>
        <v>145053</v>
      </c>
      <c r="K87" s="465">
        <f t="shared" si="7"/>
        <v>0</v>
      </c>
      <c r="L87" s="474">
        <f>일위대가목록표!H306</f>
        <v>0</v>
      </c>
      <c r="M87" s="467">
        <f t="shared" si="8"/>
        <v>0</v>
      </c>
      <c r="N87" s="463" t="s">
        <v>1100</v>
      </c>
      <c r="O87" s="451" t="s">
        <v>1101</v>
      </c>
      <c r="P87" s="468" t="s">
        <v>1102</v>
      </c>
      <c r="Q87" s="468" t="s">
        <v>909</v>
      </c>
      <c r="AC87" s="433" t="str">
        <f ca="1">HYPERLINK("#"&amp;일위대가목록표!J2&amp;"!A"&amp;ROW(일위대가목록표!A306),"B02500 →")</f>
        <v>B02500 →</v>
      </c>
    </row>
    <row r="88" spans="1:29" ht="35.25" customHeight="1">
      <c r="A88" s="452"/>
      <c r="B88" s="452" t="s">
        <v>5138</v>
      </c>
      <c r="C88" s="449" t="s">
        <v>1103</v>
      </c>
      <c r="D88" s="470">
        <v>0</v>
      </c>
      <c r="E88" s="463" t="s">
        <v>975</v>
      </c>
      <c r="F88" s="471">
        <f t="shared" si="5"/>
        <v>569910</v>
      </c>
      <c r="G88" s="446">
        <f t="shared" si="5"/>
        <v>0</v>
      </c>
      <c r="H88" s="472">
        <f>일위대가목록표!F336</f>
        <v>216249</v>
      </c>
      <c r="I88" s="465">
        <f t="shared" si="6"/>
        <v>0</v>
      </c>
      <c r="J88" s="473">
        <f>일위대가목록표!G336</f>
        <v>353661</v>
      </c>
      <c r="K88" s="465">
        <f t="shared" si="7"/>
        <v>0</v>
      </c>
      <c r="L88" s="474">
        <f>일위대가목록표!H336</f>
        <v>0</v>
      </c>
      <c r="M88" s="467">
        <f t="shared" si="8"/>
        <v>0</v>
      </c>
      <c r="N88" s="463" t="s">
        <v>5139</v>
      </c>
      <c r="O88" s="451" t="s">
        <v>5140</v>
      </c>
      <c r="P88" s="468" t="s">
        <v>5141</v>
      </c>
      <c r="Q88" s="468" t="s">
        <v>909</v>
      </c>
      <c r="AC88" s="433" t="str">
        <f ca="1">HYPERLINK("#"&amp;일위대가목록표!J2&amp;"!A"&amp;ROW(일위대가목록표!A336),"B02850 →")</f>
        <v>B02850 →</v>
      </c>
    </row>
    <row r="89" spans="1:29" ht="35.25" customHeight="1">
      <c r="A89" s="452"/>
      <c r="B89" s="452" t="s">
        <v>5138</v>
      </c>
      <c r="C89" s="449" t="s">
        <v>1107</v>
      </c>
      <c r="D89" s="470">
        <v>0</v>
      </c>
      <c r="E89" s="463" t="s">
        <v>975</v>
      </c>
      <c r="F89" s="471">
        <f t="shared" si="5"/>
        <v>758937</v>
      </c>
      <c r="G89" s="446">
        <f t="shared" si="5"/>
        <v>0</v>
      </c>
      <c r="H89" s="472">
        <f>일위대가목록표!F337</f>
        <v>288332</v>
      </c>
      <c r="I89" s="465">
        <f t="shared" si="6"/>
        <v>0</v>
      </c>
      <c r="J89" s="473">
        <f>일위대가목록표!G337</f>
        <v>470605</v>
      </c>
      <c r="K89" s="465">
        <f t="shared" si="7"/>
        <v>0</v>
      </c>
      <c r="L89" s="474">
        <f>일위대가목록표!H337</f>
        <v>0</v>
      </c>
      <c r="M89" s="467">
        <f t="shared" si="8"/>
        <v>0</v>
      </c>
      <c r="N89" s="463" t="s">
        <v>5142</v>
      </c>
      <c r="O89" s="451" t="s">
        <v>5143</v>
      </c>
      <c r="P89" s="468" t="s">
        <v>5144</v>
      </c>
      <c r="Q89" s="468" t="s">
        <v>909</v>
      </c>
      <c r="AC89" s="433" t="str">
        <f ca="1">HYPERLINK("#"&amp;일위대가목록표!J2&amp;"!A"&amp;ROW(일위대가목록표!A337),"B02851 →")</f>
        <v>B02851 →</v>
      </c>
    </row>
    <row r="90" spans="1:29" ht="35.25" customHeight="1">
      <c r="A90" s="452"/>
      <c r="B90" s="452" t="s">
        <v>5138</v>
      </c>
      <c r="C90" s="449" t="s">
        <v>1111</v>
      </c>
      <c r="D90" s="470">
        <v>0</v>
      </c>
      <c r="E90" s="463" t="s">
        <v>975</v>
      </c>
      <c r="F90" s="471">
        <f t="shared" si="5"/>
        <v>947959</v>
      </c>
      <c r="G90" s="446">
        <f t="shared" si="5"/>
        <v>0</v>
      </c>
      <c r="H90" s="472">
        <f>일위대가목록표!F338</f>
        <v>360415</v>
      </c>
      <c r="I90" s="465">
        <f t="shared" si="6"/>
        <v>0</v>
      </c>
      <c r="J90" s="473">
        <f>일위대가목록표!G338</f>
        <v>587544</v>
      </c>
      <c r="K90" s="465">
        <f t="shared" si="7"/>
        <v>0</v>
      </c>
      <c r="L90" s="474">
        <f>일위대가목록표!H338</f>
        <v>0</v>
      </c>
      <c r="M90" s="467">
        <f t="shared" si="8"/>
        <v>0</v>
      </c>
      <c r="N90" s="463" t="s">
        <v>5145</v>
      </c>
      <c r="O90" s="451" t="s">
        <v>5146</v>
      </c>
      <c r="P90" s="468" t="s">
        <v>5147</v>
      </c>
      <c r="Q90" s="468" t="s">
        <v>909</v>
      </c>
      <c r="AC90" s="433" t="str">
        <f ca="1">HYPERLINK("#"&amp;일위대가목록표!J2&amp;"!A"&amp;ROW(일위대가목록표!A338),"B02852 →")</f>
        <v>B02852 →</v>
      </c>
    </row>
    <row r="91" spans="1:29" ht="35.25" customHeight="1">
      <c r="A91" s="452"/>
      <c r="B91" s="452" t="s">
        <v>5138</v>
      </c>
      <c r="C91" s="449" t="s">
        <v>1115</v>
      </c>
      <c r="D91" s="470">
        <v>0</v>
      </c>
      <c r="E91" s="463" t="s">
        <v>975</v>
      </c>
      <c r="F91" s="471">
        <f t="shared" si="5"/>
        <v>1150392</v>
      </c>
      <c r="G91" s="446">
        <f t="shared" si="5"/>
        <v>0</v>
      </c>
      <c r="H91" s="472">
        <f>일위대가목록표!F339</f>
        <v>445916</v>
      </c>
      <c r="I91" s="465">
        <f t="shared" si="6"/>
        <v>0</v>
      </c>
      <c r="J91" s="473">
        <f>일위대가목록표!G339</f>
        <v>704476</v>
      </c>
      <c r="K91" s="465">
        <f t="shared" si="7"/>
        <v>0</v>
      </c>
      <c r="L91" s="474">
        <f>일위대가목록표!H339</f>
        <v>0</v>
      </c>
      <c r="M91" s="467">
        <f t="shared" si="8"/>
        <v>0</v>
      </c>
      <c r="N91" s="463" t="s">
        <v>5148</v>
      </c>
      <c r="O91" s="451" t="s">
        <v>5149</v>
      </c>
      <c r="P91" s="468" t="s">
        <v>5150</v>
      </c>
      <c r="Q91" s="468" t="s">
        <v>909</v>
      </c>
      <c r="AC91" s="433" t="str">
        <f ca="1">HYPERLINK("#"&amp;일위대가목록표!J2&amp;"!A"&amp;ROW(일위대가목록표!A339),"B02853 →")</f>
        <v>B02853 →</v>
      </c>
    </row>
    <row r="92" spans="1:29" ht="35.25" customHeight="1">
      <c r="A92" s="452"/>
      <c r="B92" s="452" t="s">
        <v>5151</v>
      </c>
      <c r="C92" s="449" t="s">
        <v>1103</v>
      </c>
      <c r="D92" s="470">
        <v>0</v>
      </c>
      <c r="E92" s="463" t="s">
        <v>975</v>
      </c>
      <c r="F92" s="471">
        <f t="shared" si="5"/>
        <v>588714</v>
      </c>
      <c r="G92" s="446">
        <f t="shared" si="5"/>
        <v>0</v>
      </c>
      <c r="H92" s="472">
        <f>일위대가목록표!F340</f>
        <v>235053</v>
      </c>
      <c r="I92" s="465">
        <f t="shared" si="6"/>
        <v>0</v>
      </c>
      <c r="J92" s="473">
        <f>일위대가목록표!G340</f>
        <v>353661</v>
      </c>
      <c r="K92" s="465">
        <f t="shared" si="7"/>
        <v>0</v>
      </c>
      <c r="L92" s="474">
        <f>일위대가목록표!H340</f>
        <v>0</v>
      </c>
      <c r="M92" s="467">
        <f t="shared" si="8"/>
        <v>0</v>
      </c>
      <c r="N92" s="463" t="s">
        <v>1104</v>
      </c>
      <c r="O92" s="451" t="s">
        <v>1105</v>
      </c>
      <c r="P92" s="468" t="s">
        <v>1106</v>
      </c>
      <c r="Q92" s="468" t="s">
        <v>909</v>
      </c>
      <c r="AC92" s="433" t="str">
        <f ca="1">HYPERLINK("#"&amp;일위대가목록표!J2&amp;"!A"&amp;ROW(일위대가목록표!A340),"B02507 →")</f>
        <v>B02507 →</v>
      </c>
    </row>
    <row r="93" spans="1:29" ht="35.25" customHeight="1">
      <c r="A93" s="452"/>
      <c r="B93" s="452" t="s">
        <v>5151</v>
      </c>
      <c r="C93" s="449" t="s">
        <v>1107</v>
      </c>
      <c r="D93" s="470">
        <v>0</v>
      </c>
      <c r="E93" s="463" t="s">
        <v>975</v>
      </c>
      <c r="F93" s="471">
        <f t="shared" si="5"/>
        <v>784010</v>
      </c>
      <c r="G93" s="446">
        <f t="shared" si="5"/>
        <v>0</v>
      </c>
      <c r="H93" s="472">
        <f>일위대가목록표!F341</f>
        <v>313405</v>
      </c>
      <c r="I93" s="465">
        <f t="shared" si="6"/>
        <v>0</v>
      </c>
      <c r="J93" s="473">
        <f>일위대가목록표!G341</f>
        <v>470605</v>
      </c>
      <c r="K93" s="465">
        <f t="shared" si="7"/>
        <v>0</v>
      </c>
      <c r="L93" s="474">
        <f>일위대가목록표!H341</f>
        <v>0</v>
      </c>
      <c r="M93" s="467">
        <f t="shared" si="8"/>
        <v>0</v>
      </c>
      <c r="N93" s="463" t="s">
        <v>1108</v>
      </c>
      <c r="O93" s="451" t="s">
        <v>1109</v>
      </c>
      <c r="P93" s="468" t="s">
        <v>1110</v>
      </c>
      <c r="Q93" s="468" t="s">
        <v>909</v>
      </c>
      <c r="AC93" s="433" t="str">
        <f ca="1">HYPERLINK("#"&amp;일위대가목록표!J2&amp;"!A"&amp;ROW(일위대가목록표!A341),"B02448 →")</f>
        <v>B02448 →</v>
      </c>
    </row>
    <row r="94" spans="1:29" ht="35.25" customHeight="1">
      <c r="A94" s="452"/>
      <c r="B94" s="452" t="s">
        <v>5151</v>
      </c>
      <c r="C94" s="449" t="s">
        <v>1111</v>
      </c>
      <c r="D94" s="470"/>
      <c r="E94" s="463" t="s">
        <v>975</v>
      </c>
      <c r="F94" s="471">
        <f t="shared" si="5"/>
        <v>979300</v>
      </c>
      <c r="G94" s="446">
        <f t="shared" si="5"/>
        <v>0</v>
      </c>
      <c r="H94" s="472">
        <f>일위대가목록표!F342</f>
        <v>391756</v>
      </c>
      <c r="I94" s="465">
        <f t="shared" si="6"/>
        <v>0</v>
      </c>
      <c r="J94" s="473">
        <f>일위대가목록표!G342</f>
        <v>587544</v>
      </c>
      <c r="K94" s="465">
        <f t="shared" si="7"/>
        <v>0</v>
      </c>
      <c r="L94" s="474">
        <f>일위대가목록표!H342</f>
        <v>0</v>
      </c>
      <c r="M94" s="467">
        <f t="shared" si="8"/>
        <v>0</v>
      </c>
      <c r="N94" s="463" t="s">
        <v>1112</v>
      </c>
      <c r="O94" s="451" t="s">
        <v>1113</v>
      </c>
      <c r="P94" s="468" t="s">
        <v>1114</v>
      </c>
      <c r="Q94" s="468" t="s">
        <v>909</v>
      </c>
      <c r="AC94" s="433" t="str">
        <f ca="1">HYPERLINK("#"&amp;일위대가목록표!J2&amp;"!A"&amp;ROW(일위대가목록표!A342),"B02373 →")</f>
        <v>B02373 →</v>
      </c>
    </row>
    <row r="95" spans="1:29" ht="35.25" customHeight="1">
      <c r="A95" s="452"/>
      <c r="B95" s="452" t="s">
        <v>5151</v>
      </c>
      <c r="C95" s="449" t="s">
        <v>1115</v>
      </c>
      <c r="D95" s="470"/>
      <c r="E95" s="463" t="s">
        <v>975</v>
      </c>
      <c r="F95" s="471">
        <f t="shared" si="5"/>
        <v>1189167</v>
      </c>
      <c r="G95" s="446">
        <f t="shared" si="5"/>
        <v>0</v>
      </c>
      <c r="H95" s="472">
        <f>일위대가목록표!F343</f>
        <v>484691</v>
      </c>
      <c r="I95" s="465">
        <f t="shared" si="6"/>
        <v>0</v>
      </c>
      <c r="J95" s="473">
        <f>일위대가목록표!G343</f>
        <v>704476</v>
      </c>
      <c r="K95" s="465">
        <f t="shared" si="7"/>
        <v>0</v>
      </c>
      <c r="L95" s="474">
        <f>일위대가목록표!H343</f>
        <v>0</v>
      </c>
      <c r="M95" s="467">
        <f t="shared" si="8"/>
        <v>0</v>
      </c>
      <c r="N95" s="463" t="s">
        <v>1116</v>
      </c>
      <c r="O95" s="451" t="s">
        <v>1117</v>
      </c>
      <c r="P95" s="468" t="s">
        <v>1118</v>
      </c>
      <c r="Q95" s="468" t="s">
        <v>909</v>
      </c>
      <c r="AC95" s="433" t="str">
        <f ca="1">HYPERLINK("#"&amp;일위대가목록표!J2&amp;"!A"&amp;ROW(일위대가목록표!A343),"B02405 →")</f>
        <v>B02405 →</v>
      </c>
    </row>
    <row r="96" spans="1:29" ht="35.25" customHeight="1">
      <c r="A96" s="452"/>
      <c r="B96" s="452" t="s">
        <v>1119</v>
      </c>
      <c r="C96" s="449" t="s">
        <v>1103</v>
      </c>
      <c r="D96" s="470"/>
      <c r="E96" s="463" t="s">
        <v>975</v>
      </c>
      <c r="F96" s="471">
        <f t="shared" si="5"/>
        <v>541704</v>
      </c>
      <c r="G96" s="446">
        <f t="shared" si="5"/>
        <v>0</v>
      </c>
      <c r="H96" s="472">
        <f>일위대가목록표!F332</f>
        <v>188043</v>
      </c>
      <c r="I96" s="465">
        <f t="shared" si="6"/>
        <v>0</v>
      </c>
      <c r="J96" s="473">
        <f>일위대가목록표!G332</f>
        <v>353661</v>
      </c>
      <c r="K96" s="465">
        <f t="shared" si="7"/>
        <v>0</v>
      </c>
      <c r="L96" s="474">
        <f>일위대가목록표!H332</f>
        <v>0</v>
      </c>
      <c r="M96" s="467">
        <f t="shared" si="8"/>
        <v>0</v>
      </c>
      <c r="N96" s="463" t="s">
        <v>1120</v>
      </c>
      <c r="O96" s="451" t="s">
        <v>1121</v>
      </c>
      <c r="P96" s="468" t="s">
        <v>1122</v>
      </c>
      <c r="Q96" s="468" t="s">
        <v>909</v>
      </c>
      <c r="AC96" s="433" t="str">
        <f ca="1">HYPERLINK("#"&amp;일위대가목록표!J2&amp;"!A"&amp;ROW(일위대가목록표!A332),"B02508 →")</f>
        <v>B02508 →</v>
      </c>
    </row>
    <row r="97" spans="1:29" ht="35.25" customHeight="1">
      <c r="A97" s="452"/>
      <c r="B97" s="452" t="s">
        <v>1119</v>
      </c>
      <c r="C97" s="449" t="s">
        <v>1107</v>
      </c>
      <c r="D97" s="470"/>
      <c r="E97" s="463" t="s">
        <v>975</v>
      </c>
      <c r="F97" s="471">
        <f t="shared" si="5"/>
        <v>721329</v>
      </c>
      <c r="G97" s="446">
        <f t="shared" si="5"/>
        <v>0</v>
      </c>
      <c r="H97" s="472">
        <f>일위대가목록표!F333</f>
        <v>250724</v>
      </c>
      <c r="I97" s="465">
        <f t="shared" si="6"/>
        <v>0</v>
      </c>
      <c r="J97" s="473">
        <f>일위대가목록표!G333</f>
        <v>470605</v>
      </c>
      <c r="K97" s="465">
        <f t="shared" si="7"/>
        <v>0</v>
      </c>
      <c r="L97" s="474">
        <f>일위대가목록표!H333</f>
        <v>0</v>
      </c>
      <c r="M97" s="467">
        <f t="shared" si="8"/>
        <v>0</v>
      </c>
      <c r="N97" s="463" t="s">
        <v>1123</v>
      </c>
      <c r="O97" s="451" t="s">
        <v>1124</v>
      </c>
      <c r="P97" s="468" t="s">
        <v>1125</v>
      </c>
      <c r="Q97" s="468" t="s">
        <v>909</v>
      </c>
      <c r="AC97" s="433" t="str">
        <f ca="1">HYPERLINK("#"&amp;일위대가목록표!J2&amp;"!A"&amp;ROW(일위대가목록표!A333),"B02509 →")</f>
        <v>B02509 →</v>
      </c>
    </row>
    <row r="98" spans="1:29" ht="35.25" customHeight="1">
      <c r="A98" s="452"/>
      <c r="B98" s="452" t="s">
        <v>1119</v>
      </c>
      <c r="C98" s="449" t="s">
        <v>1111</v>
      </c>
      <c r="D98" s="470"/>
      <c r="E98" s="463" t="s">
        <v>975</v>
      </c>
      <c r="F98" s="471">
        <f t="shared" si="5"/>
        <v>900949</v>
      </c>
      <c r="G98" s="446">
        <f t="shared" si="5"/>
        <v>0</v>
      </c>
      <c r="H98" s="472">
        <f>일위대가목록표!F334</f>
        <v>313405</v>
      </c>
      <c r="I98" s="465">
        <f t="shared" si="6"/>
        <v>0</v>
      </c>
      <c r="J98" s="473">
        <f>일위대가목록표!G334</f>
        <v>587544</v>
      </c>
      <c r="K98" s="465">
        <f t="shared" si="7"/>
        <v>0</v>
      </c>
      <c r="L98" s="474">
        <f>일위대가목록표!H334</f>
        <v>0</v>
      </c>
      <c r="M98" s="467">
        <f t="shared" si="8"/>
        <v>0</v>
      </c>
      <c r="N98" s="463" t="s">
        <v>1126</v>
      </c>
      <c r="O98" s="451" t="s">
        <v>1127</v>
      </c>
      <c r="P98" s="468" t="s">
        <v>1128</v>
      </c>
      <c r="Q98" s="468" t="s">
        <v>909</v>
      </c>
      <c r="AC98" s="433" t="str">
        <f ca="1">HYPERLINK("#"&amp;일위대가목록표!J2&amp;"!A"&amp;ROW(일위대가목록표!A334),"B02510 →")</f>
        <v>B02510 →</v>
      </c>
    </row>
    <row r="99" spans="1:29" ht="35.25" customHeight="1">
      <c r="A99" s="452"/>
      <c r="B99" s="452" t="s">
        <v>1119</v>
      </c>
      <c r="C99" s="449" t="s">
        <v>1115</v>
      </c>
      <c r="D99" s="470"/>
      <c r="E99" s="463" t="s">
        <v>975</v>
      </c>
      <c r="F99" s="471">
        <f t="shared" si="5"/>
        <v>1092229</v>
      </c>
      <c r="G99" s="446">
        <f t="shared" si="5"/>
        <v>0</v>
      </c>
      <c r="H99" s="472">
        <f>일위대가목록표!F335</f>
        <v>387753</v>
      </c>
      <c r="I99" s="465">
        <f t="shared" si="6"/>
        <v>0</v>
      </c>
      <c r="J99" s="473">
        <f>일위대가목록표!G335</f>
        <v>704476</v>
      </c>
      <c r="K99" s="465">
        <f t="shared" si="7"/>
        <v>0</v>
      </c>
      <c r="L99" s="474">
        <f>일위대가목록표!H335</f>
        <v>0</v>
      </c>
      <c r="M99" s="467">
        <f t="shared" si="8"/>
        <v>0</v>
      </c>
      <c r="N99" s="463" t="s">
        <v>1129</v>
      </c>
      <c r="O99" s="451" t="s">
        <v>1130</v>
      </c>
      <c r="P99" s="468" t="s">
        <v>1131</v>
      </c>
      <c r="Q99" s="468" t="s">
        <v>909</v>
      </c>
      <c r="AC99" s="433" t="str">
        <f ca="1">HYPERLINK("#"&amp;일위대가목록표!J2&amp;"!A"&amp;ROW(일위대가목록표!A335),"B02511 →")</f>
        <v>B02511 →</v>
      </c>
    </row>
    <row r="100" spans="1:29" ht="35.25" customHeight="1">
      <c r="A100" s="452"/>
      <c r="B100" s="452" t="s">
        <v>5152</v>
      </c>
      <c r="C100" s="449" t="s">
        <v>1132</v>
      </c>
      <c r="D100" s="470"/>
      <c r="E100" s="463" t="s">
        <v>911</v>
      </c>
      <c r="F100" s="471">
        <f t="shared" si="5"/>
        <v>35773</v>
      </c>
      <c r="G100" s="446">
        <f t="shared" si="5"/>
        <v>0</v>
      </c>
      <c r="H100" s="472">
        <f>일위대가목록표!F175</f>
        <v>23398</v>
      </c>
      <c r="I100" s="465">
        <f t="shared" si="6"/>
        <v>0</v>
      </c>
      <c r="J100" s="473">
        <f>일위대가목록표!G175</f>
        <v>12375</v>
      </c>
      <c r="K100" s="465">
        <f t="shared" si="7"/>
        <v>0</v>
      </c>
      <c r="L100" s="474">
        <f>일위대가목록표!H175</f>
        <v>0</v>
      </c>
      <c r="M100" s="467">
        <f t="shared" si="8"/>
        <v>0</v>
      </c>
      <c r="N100" s="463" t="s">
        <v>5153</v>
      </c>
      <c r="O100" s="451" t="s">
        <v>5154</v>
      </c>
      <c r="P100" s="468" t="s">
        <v>5155</v>
      </c>
      <c r="Q100" s="468" t="s">
        <v>909</v>
      </c>
      <c r="AC100" s="433" t="str">
        <f ca="1">HYPERLINK("#"&amp;일위대가목록표!J2&amp;"!A"&amp;ROW(일위대가목록표!A175),"B02854 →")</f>
        <v>B02854 →</v>
      </c>
    </row>
    <row r="101" spans="1:29" ht="35.25" customHeight="1">
      <c r="A101" s="452"/>
      <c r="B101" s="452" t="s">
        <v>5152</v>
      </c>
      <c r="C101" s="449" t="s">
        <v>1136</v>
      </c>
      <c r="D101" s="470"/>
      <c r="E101" s="463" t="s">
        <v>911</v>
      </c>
      <c r="F101" s="471">
        <f t="shared" si="5"/>
        <v>71546</v>
      </c>
      <c r="G101" s="446">
        <f t="shared" si="5"/>
        <v>0</v>
      </c>
      <c r="H101" s="472">
        <f>일위대가목록표!F176</f>
        <v>46796</v>
      </c>
      <c r="I101" s="465">
        <f t="shared" si="6"/>
        <v>0</v>
      </c>
      <c r="J101" s="473">
        <f>일위대가목록표!G176</f>
        <v>24750</v>
      </c>
      <c r="K101" s="465">
        <f t="shared" si="7"/>
        <v>0</v>
      </c>
      <c r="L101" s="474">
        <f>일위대가목록표!H176</f>
        <v>0</v>
      </c>
      <c r="M101" s="467">
        <f t="shared" si="8"/>
        <v>0</v>
      </c>
      <c r="N101" s="463" t="s">
        <v>5156</v>
      </c>
      <c r="O101" s="451" t="s">
        <v>5157</v>
      </c>
      <c r="P101" s="468" t="s">
        <v>5158</v>
      </c>
      <c r="Q101" s="468" t="s">
        <v>909</v>
      </c>
      <c r="AC101" s="433" t="str">
        <f ca="1">HYPERLINK("#"&amp;일위대가목록표!J2&amp;"!A"&amp;ROW(일위대가목록표!A176),"B02855 →")</f>
        <v>B02855 →</v>
      </c>
    </row>
    <row r="102" spans="1:29" ht="35.25" customHeight="1">
      <c r="A102" s="452"/>
      <c r="B102" s="452" t="s">
        <v>5152</v>
      </c>
      <c r="C102" s="449" t="s">
        <v>1140</v>
      </c>
      <c r="D102" s="470">
        <v>0</v>
      </c>
      <c r="E102" s="463" t="s">
        <v>911</v>
      </c>
      <c r="F102" s="471">
        <f t="shared" si="5"/>
        <v>107319</v>
      </c>
      <c r="G102" s="446">
        <f t="shared" si="5"/>
        <v>0</v>
      </c>
      <c r="H102" s="472">
        <f>일위대가목록표!F177</f>
        <v>70194</v>
      </c>
      <c r="I102" s="465">
        <f t="shared" si="6"/>
        <v>0</v>
      </c>
      <c r="J102" s="473">
        <f>일위대가목록표!G177</f>
        <v>37125</v>
      </c>
      <c r="K102" s="465">
        <f t="shared" si="7"/>
        <v>0</v>
      </c>
      <c r="L102" s="474">
        <f>일위대가목록표!H177</f>
        <v>0</v>
      </c>
      <c r="M102" s="467">
        <f t="shared" si="8"/>
        <v>0</v>
      </c>
      <c r="N102" s="463" t="s">
        <v>5159</v>
      </c>
      <c r="O102" s="451" t="s">
        <v>5160</v>
      </c>
      <c r="P102" s="468" t="s">
        <v>5161</v>
      </c>
      <c r="Q102" s="468" t="s">
        <v>909</v>
      </c>
      <c r="AC102" s="433" t="str">
        <f ca="1">HYPERLINK("#"&amp;일위대가목록표!J2&amp;"!A"&amp;ROW(일위대가목록표!A177),"B02856 →")</f>
        <v>B02856 →</v>
      </c>
    </row>
    <row r="103" spans="1:29" ht="35.25" customHeight="1">
      <c r="A103" s="452"/>
      <c r="B103" s="452" t="s">
        <v>5162</v>
      </c>
      <c r="C103" s="449" t="s">
        <v>1132</v>
      </c>
      <c r="D103" s="470">
        <v>0</v>
      </c>
      <c r="E103" s="463" t="s">
        <v>911</v>
      </c>
      <c r="F103" s="471">
        <f t="shared" ref="F103:G134" si="9">J103+H103+L103</f>
        <v>37807</v>
      </c>
      <c r="G103" s="446">
        <f t="shared" si="9"/>
        <v>0</v>
      </c>
      <c r="H103" s="472">
        <f>일위대가목록표!F178</f>
        <v>25432</v>
      </c>
      <c r="I103" s="465">
        <f t="shared" si="6"/>
        <v>0</v>
      </c>
      <c r="J103" s="473">
        <f>일위대가목록표!G178</f>
        <v>12375</v>
      </c>
      <c r="K103" s="465">
        <f t="shared" si="7"/>
        <v>0</v>
      </c>
      <c r="L103" s="474">
        <f>일위대가목록표!H178</f>
        <v>0</v>
      </c>
      <c r="M103" s="467">
        <f t="shared" si="8"/>
        <v>0</v>
      </c>
      <c r="N103" s="463" t="s">
        <v>1133</v>
      </c>
      <c r="O103" s="451" t="s">
        <v>1134</v>
      </c>
      <c r="P103" s="468" t="s">
        <v>1135</v>
      </c>
      <c r="Q103" s="468" t="s">
        <v>909</v>
      </c>
      <c r="AC103" s="433" t="str">
        <f ca="1">HYPERLINK("#"&amp;일위대가목록표!J2&amp;"!A"&amp;ROW(일위대가목록표!A178),"B02672 →")</f>
        <v>B02672 →</v>
      </c>
    </row>
    <row r="104" spans="1:29" ht="35.25" customHeight="1">
      <c r="A104" s="452"/>
      <c r="B104" s="452" t="s">
        <v>5162</v>
      </c>
      <c r="C104" s="449" t="s">
        <v>1136</v>
      </c>
      <c r="D104" s="470">
        <v>0</v>
      </c>
      <c r="E104" s="463" t="s">
        <v>911</v>
      </c>
      <c r="F104" s="471">
        <f t="shared" si="9"/>
        <v>75615</v>
      </c>
      <c r="G104" s="446">
        <f t="shared" si="9"/>
        <v>0</v>
      </c>
      <c r="H104" s="472">
        <f>일위대가목록표!F179</f>
        <v>50865</v>
      </c>
      <c r="I104" s="465">
        <f t="shared" si="6"/>
        <v>0</v>
      </c>
      <c r="J104" s="473">
        <f>일위대가목록표!G179</f>
        <v>24750</v>
      </c>
      <c r="K104" s="465">
        <f t="shared" si="7"/>
        <v>0</v>
      </c>
      <c r="L104" s="474">
        <f>일위대가목록표!H179</f>
        <v>0</v>
      </c>
      <c r="M104" s="467">
        <f t="shared" si="8"/>
        <v>0</v>
      </c>
      <c r="N104" s="463" t="s">
        <v>1137</v>
      </c>
      <c r="O104" s="451" t="s">
        <v>1138</v>
      </c>
      <c r="P104" s="468" t="s">
        <v>1139</v>
      </c>
      <c r="Q104" s="468" t="s">
        <v>909</v>
      </c>
      <c r="AC104" s="433" t="str">
        <f ca="1">HYPERLINK("#"&amp;일위대가목록표!J2&amp;"!A"&amp;ROW(일위대가목록표!A179),"B02673 →")</f>
        <v>B02673 →</v>
      </c>
    </row>
    <row r="105" spans="1:29" ht="35.25" customHeight="1">
      <c r="A105" s="452"/>
      <c r="B105" s="452" t="s">
        <v>5162</v>
      </c>
      <c r="C105" s="449" t="s">
        <v>1140</v>
      </c>
      <c r="D105" s="470">
        <v>0</v>
      </c>
      <c r="E105" s="463" t="s">
        <v>911</v>
      </c>
      <c r="F105" s="471">
        <f t="shared" si="9"/>
        <v>113423</v>
      </c>
      <c r="G105" s="446">
        <f t="shared" si="9"/>
        <v>0</v>
      </c>
      <c r="H105" s="472">
        <f>일위대가목록표!F180</f>
        <v>76298</v>
      </c>
      <c r="I105" s="465">
        <f t="shared" si="6"/>
        <v>0</v>
      </c>
      <c r="J105" s="473">
        <f>일위대가목록표!G180</f>
        <v>37125</v>
      </c>
      <c r="K105" s="465">
        <f t="shared" si="7"/>
        <v>0</v>
      </c>
      <c r="L105" s="474">
        <f>일위대가목록표!H180</f>
        <v>0</v>
      </c>
      <c r="M105" s="467">
        <f t="shared" si="8"/>
        <v>0</v>
      </c>
      <c r="N105" s="463" t="s">
        <v>1141</v>
      </c>
      <c r="O105" s="451" t="s">
        <v>1142</v>
      </c>
      <c r="P105" s="468" t="s">
        <v>1143</v>
      </c>
      <c r="Q105" s="468" t="s">
        <v>909</v>
      </c>
      <c r="AC105" s="433" t="str">
        <f ca="1">HYPERLINK("#"&amp;일위대가목록표!J2&amp;"!A"&amp;ROW(일위대가목록표!A180),"B02674 →")</f>
        <v>B02674 →</v>
      </c>
    </row>
    <row r="106" spans="1:29" ht="35.25" customHeight="1">
      <c r="A106" s="452"/>
      <c r="B106" s="452" t="s">
        <v>1144</v>
      </c>
      <c r="C106" s="449" t="s">
        <v>1132</v>
      </c>
      <c r="D106" s="470">
        <v>0</v>
      </c>
      <c r="E106" s="463" t="s">
        <v>911</v>
      </c>
      <c r="F106" s="471">
        <f t="shared" si="9"/>
        <v>32721</v>
      </c>
      <c r="G106" s="446">
        <f t="shared" si="9"/>
        <v>0</v>
      </c>
      <c r="H106" s="472">
        <f>일위대가목록표!F172</f>
        <v>20346</v>
      </c>
      <c r="I106" s="465">
        <f t="shared" si="6"/>
        <v>0</v>
      </c>
      <c r="J106" s="473">
        <f>일위대가목록표!G172</f>
        <v>12375</v>
      </c>
      <c r="K106" s="465">
        <f t="shared" si="7"/>
        <v>0</v>
      </c>
      <c r="L106" s="474">
        <f>일위대가목록표!H172</f>
        <v>0</v>
      </c>
      <c r="M106" s="467">
        <f t="shared" si="8"/>
        <v>0</v>
      </c>
      <c r="N106" s="463" t="s">
        <v>1145</v>
      </c>
      <c r="O106" s="451" t="s">
        <v>1146</v>
      </c>
      <c r="P106" s="468" t="s">
        <v>1147</v>
      </c>
      <c r="Q106" s="468" t="s">
        <v>909</v>
      </c>
      <c r="AC106" s="433" t="str">
        <f ca="1">HYPERLINK("#"&amp;일위대가목록표!J2&amp;"!A"&amp;ROW(일위대가목록표!A172),"B02328 →")</f>
        <v>B02328 →</v>
      </c>
    </row>
    <row r="107" spans="1:29" ht="35.25" customHeight="1">
      <c r="A107" s="452"/>
      <c r="B107" s="452" t="s">
        <v>1144</v>
      </c>
      <c r="C107" s="449" t="s">
        <v>1136</v>
      </c>
      <c r="D107" s="470">
        <v>0</v>
      </c>
      <c r="E107" s="463" t="s">
        <v>911</v>
      </c>
      <c r="F107" s="471">
        <f t="shared" si="9"/>
        <v>65442</v>
      </c>
      <c r="G107" s="446">
        <f t="shared" si="9"/>
        <v>0</v>
      </c>
      <c r="H107" s="472">
        <f>일위대가목록표!F173</f>
        <v>40692</v>
      </c>
      <c r="I107" s="465">
        <f t="shared" si="6"/>
        <v>0</v>
      </c>
      <c r="J107" s="473">
        <f>일위대가목록표!G173</f>
        <v>24750</v>
      </c>
      <c r="K107" s="465">
        <f t="shared" si="7"/>
        <v>0</v>
      </c>
      <c r="L107" s="474">
        <f>일위대가목록표!H173</f>
        <v>0</v>
      </c>
      <c r="M107" s="467">
        <f t="shared" si="8"/>
        <v>0</v>
      </c>
      <c r="N107" s="463" t="s">
        <v>1148</v>
      </c>
      <c r="O107" s="451" t="s">
        <v>1149</v>
      </c>
      <c r="P107" s="468" t="s">
        <v>1150</v>
      </c>
      <c r="Q107" s="468" t="s">
        <v>909</v>
      </c>
      <c r="AC107" s="433" t="str">
        <f ca="1">HYPERLINK("#"&amp;일위대가목록표!J2&amp;"!A"&amp;ROW(일위대가목록표!A173),"B02263 →")</f>
        <v>B02263 →</v>
      </c>
    </row>
    <row r="108" spans="1:29" ht="35.25" customHeight="1">
      <c r="A108" s="452"/>
      <c r="B108" s="452" t="s">
        <v>1144</v>
      </c>
      <c r="C108" s="449" t="s">
        <v>1140</v>
      </c>
      <c r="D108" s="470">
        <v>0</v>
      </c>
      <c r="E108" s="463" t="s">
        <v>911</v>
      </c>
      <c r="F108" s="471">
        <f t="shared" si="9"/>
        <v>98163</v>
      </c>
      <c r="G108" s="446">
        <f t="shared" si="9"/>
        <v>0</v>
      </c>
      <c r="H108" s="472">
        <f>일위대가목록표!F174</f>
        <v>61038</v>
      </c>
      <c r="I108" s="465">
        <f t="shared" si="6"/>
        <v>0</v>
      </c>
      <c r="J108" s="473">
        <f>일위대가목록표!G174</f>
        <v>37125</v>
      </c>
      <c r="K108" s="465">
        <f t="shared" si="7"/>
        <v>0</v>
      </c>
      <c r="L108" s="474">
        <f>일위대가목록표!H174</f>
        <v>0</v>
      </c>
      <c r="M108" s="467">
        <f t="shared" si="8"/>
        <v>0</v>
      </c>
      <c r="N108" s="463" t="s">
        <v>1151</v>
      </c>
      <c r="O108" s="451" t="s">
        <v>1152</v>
      </c>
      <c r="P108" s="468" t="s">
        <v>1153</v>
      </c>
      <c r="Q108" s="468" t="s">
        <v>909</v>
      </c>
      <c r="AC108" s="433" t="str">
        <f ca="1">HYPERLINK("#"&amp;일위대가목록표!J2&amp;"!A"&amp;ROW(일위대가목록표!A174),"B02273 →")</f>
        <v>B02273 →</v>
      </c>
    </row>
    <row r="109" spans="1:29" ht="35.25" customHeight="1">
      <c r="A109" s="452"/>
      <c r="B109" s="452" t="s">
        <v>1154</v>
      </c>
      <c r="C109" s="449" t="s">
        <v>1155</v>
      </c>
      <c r="D109" s="470">
        <v>0</v>
      </c>
      <c r="E109" s="463" t="s">
        <v>911</v>
      </c>
      <c r="F109" s="471">
        <f t="shared" si="9"/>
        <v>163606</v>
      </c>
      <c r="G109" s="446">
        <f t="shared" si="9"/>
        <v>0</v>
      </c>
      <c r="H109" s="472">
        <f>일위대가목록표!F181</f>
        <v>101731</v>
      </c>
      <c r="I109" s="465">
        <f t="shared" si="6"/>
        <v>0</v>
      </c>
      <c r="J109" s="473">
        <f>일위대가목록표!G181</f>
        <v>61875</v>
      </c>
      <c r="K109" s="465">
        <f t="shared" si="7"/>
        <v>0</v>
      </c>
      <c r="L109" s="474">
        <f>일위대가목록표!H181</f>
        <v>0</v>
      </c>
      <c r="M109" s="467">
        <f t="shared" si="8"/>
        <v>0</v>
      </c>
      <c r="N109" s="463" t="s">
        <v>1156</v>
      </c>
      <c r="O109" s="451" t="s">
        <v>1157</v>
      </c>
      <c r="P109" s="468" t="s">
        <v>1158</v>
      </c>
      <c r="Q109" s="468" t="s">
        <v>909</v>
      </c>
      <c r="AC109" s="433" t="str">
        <f ca="1">HYPERLINK("#"&amp;일위대가목록표!J2&amp;"!A"&amp;ROW(일위대가목록표!A181),"B02439 →")</f>
        <v>B02439 →</v>
      </c>
    </row>
    <row r="110" spans="1:29" ht="35.25" customHeight="1">
      <c r="A110" s="452"/>
      <c r="B110" s="452" t="s">
        <v>5163</v>
      </c>
      <c r="C110" s="449" t="s">
        <v>1159</v>
      </c>
      <c r="D110" s="470">
        <v>0</v>
      </c>
      <c r="E110" s="463" t="s">
        <v>966</v>
      </c>
      <c r="F110" s="471">
        <f t="shared" si="9"/>
        <v>1003251</v>
      </c>
      <c r="G110" s="446">
        <f t="shared" si="9"/>
        <v>0</v>
      </c>
      <c r="H110" s="472">
        <f>일위대가목록표!F296</f>
        <v>464234</v>
      </c>
      <c r="I110" s="465">
        <f t="shared" si="6"/>
        <v>0</v>
      </c>
      <c r="J110" s="473">
        <f>일위대가목록표!G296</f>
        <v>535880</v>
      </c>
      <c r="K110" s="465">
        <f t="shared" si="7"/>
        <v>0</v>
      </c>
      <c r="L110" s="474">
        <f>일위대가목록표!H296</f>
        <v>3137</v>
      </c>
      <c r="M110" s="467">
        <f t="shared" si="8"/>
        <v>0</v>
      </c>
      <c r="N110" s="463" t="s">
        <v>5164</v>
      </c>
      <c r="O110" s="451" t="s">
        <v>5165</v>
      </c>
      <c r="P110" s="468" t="s">
        <v>5166</v>
      </c>
      <c r="Q110" s="468" t="s">
        <v>909</v>
      </c>
      <c r="AC110" s="433" t="str">
        <f ca="1">HYPERLINK("#"&amp;일위대가목록표!J2&amp;"!A"&amp;ROW(일위대가목록표!A296),"B02857 →")</f>
        <v>B02857 →</v>
      </c>
    </row>
    <row r="111" spans="1:29" ht="35.25" customHeight="1">
      <c r="A111" s="452"/>
      <c r="B111" s="452" t="s">
        <v>5163</v>
      </c>
      <c r="C111" s="449" t="s">
        <v>1163</v>
      </c>
      <c r="D111" s="470">
        <v>0</v>
      </c>
      <c r="E111" s="463" t="s">
        <v>966</v>
      </c>
      <c r="F111" s="471">
        <f t="shared" si="9"/>
        <v>1014964</v>
      </c>
      <c r="G111" s="446">
        <f t="shared" si="9"/>
        <v>0</v>
      </c>
      <c r="H111" s="472">
        <f>일위대가목록표!F297</f>
        <v>472064</v>
      </c>
      <c r="I111" s="465">
        <f t="shared" si="6"/>
        <v>0</v>
      </c>
      <c r="J111" s="473">
        <f>일위대가목록표!G297</f>
        <v>539718</v>
      </c>
      <c r="K111" s="465">
        <f t="shared" si="7"/>
        <v>0</v>
      </c>
      <c r="L111" s="474">
        <f>일위대가목록표!H297</f>
        <v>3182</v>
      </c>
      <c r="M111" s="467">
        <f t="shared" si="8"/>
        <v>0</v>
      </c>
      <c r="N111" s="463" t="s">
        <v>5167</v>
      </c>
      <c r="O111" s="451" t="s">
        <v>5168</v>
      </c>
      <c r="P111" s="468" t="s">
        <v>5169</v>
      </c>
      <c r="Q111" s="468" t="s">
        <v>909</v>
      </c>
      <c r="AC111" s="433" t="str">
        <f ca="1">HYPERLINK("#"&amp;일위대가목록표!J2&amp;"!A"&amp;ROW(일위대가목록표!A297),"B02858 →")</f>
        <v>B02858 →</v>
      </c>
    </row>
    <row r="112" spans="1:29" ht="35.25" customHeight="1">
      <c r="A112" s="452"/>
      <c r="B112" s="452" t="s">
        <v>5163</v>
      </c>
      <c r="C112" s="449" t="s">
        <v>1167</v>
      </c>
      <c r="D112" s="470">
        <v>0</v>
      </c>
      <c r="E112" s="463" t="s">
        <v>966</v>
      </c>
      <c r="F112" s="471">
        <f t="shared" si="9"/>
        <v>1307548</v>
      </c>
      <c r="G112" s="446">
        <f t="shared" si="9"/>
        <v>0</v>
      </c>
      <c r="H112" s="472">
        <f>일위대가목록표!F298</f>
        <v>580826</v>
      </c>
      <c r="I112" s="465">
        <f t="shared" si="6"/>
        <v>0</v>
      </c>
      <c r="J112" s="473">
        <f>일위대가목록표!G298</f>
        <v>723005</v>
      </c>
      <c r="K112" s="465">
        <f t="shared" si="7"/>
        <v>0</v>
      </c>
      <c r="L112" s="474">
        <f>일위대가목록표!H298</f>
        <v>3717</v>
      </c>
      <c r="M112" s="467">
        <f t="shared" si="8"/>
        <v>0</v>
      </c>
      <c r="N112" s="463" t="s">
        <v>5170</v>
      </c>
      <c r="O112" s="451" t="s">
        <v>5171</v>
      </c>
      <c r="P112" s="468" t="s">
        <v>5172</v>
      </c>
      <c r="Q112" s="468" t="s">
        <v>909</v>
      </c>
      <c r="AC112" s="433" t="str">
        <f ca="1">HYPERLINK("#"&amp;일위대가목록표!J2&amp;"!A"&amp;ROW(일위대가목록표!A298),"B02859 →")</f>
        <v>B02859 →</v>
      </c>
    </row>
    <row r="113" spans="1:29" ht="35.25" customHeight="1">
      <c r="A113" s="452"/>
      <c r="B113" s="452" t="s">
        <v>5173</v>
      </c>
      <c r="C113" s="449" t="s">
        <v>1159</v>
      </c>
      <c r="D113" s="470">
        <v>0</v>
      </c>
      <c r="E113" s="463" t="s">
        <v>966</v>
      </c>
      <c r="F113" s="471">
        <f t="shared" si="9"/>
        <v>1043619</v>
      </c>
      <c r="G113" s="446">
        <f t="shared" si="9"/>
        <v>0</v>
      </c>
      <c r="H113" s="472">
        <f>일위대가목록표!F299</f>
        <v>504602</v>
      </c>
      <c r="I113" s="465">
        <f t="shared" si="6"/>
        <v>0</v>
      </c>
      <c r="J113" s="473">
        <f>일위대가목록표!G299</f>
        <v>535880</v>
      </c>
      <c r="K113" s="465">
        <f t="shared" si="7"/>
        <v>0</v>
      </c>
      <c r="L113" s="474">
        <f>일위대가목록표!H299</f>
        <v>3137</v>
      </c>
      <c r="M113" s="467">
        <f t="shared" si="8"/>
        <v>0</v>
      </c>
      <c r="N113" s="463" t="s">
        <v>1160</v>
      </c>
      <c r="O113" s="451" t="s">
        <v>1161</v>
      </c>
      <c r="P113" s="468" t="s">
        <v>1162</v>
      </c>
      <c r="Q113" s="468" t="s">
        <v>909</v>
      </c>
      <c r="AC113" s="433" t="str">
        <f ca="1">HYPERLINK("#"&amp;일위대가목록표!J2&amp;"!A"&amp;ROW(일위대가목록표!A299),"B02650 →")</f>
        <v>B02650 →</v>
      </c>
    </row>
    <row r="114" spans="1:29" ht="35.25" customHeight="1">
      <c r="A114" s="452"/>
      <c r="B114" s="452" t="s">
        <v>5173</v>
      </c>
      <c r="C114" s="449" t="s">
        <v>1163</v>
      </c>
      <c r="D114" s="470">
        <v>0</v>
      </c>
      <c r="E114" s="463" t="s">
        <v>966</v>
      </c>
      <c r="F114" s="471">
        <f t="shared" si="9"/>
        <v>1056014</v>
      </c>
      <c r="G114" s="446">
        <f t="shared" si="9"/>
        <v>0</v>
      </c>
      <c r="H114" s="472">
        <f>일위대가목록표!F300</f>
        <v>513114</v>
      </c>
      <c r="I114" s="465">
        <f t="shared" si="6"/>
        <v>0</v>
      </c>
      <c r="J114" s="473">
        <f>일위대가목록표!G300</f>
        <v>539718</v>
      </c>
      <c r="K114" s="465">
        <f t="shared" si="7"/>
        <v>0</v>
      </c>
      <c r="L114" s="474">
        <f>일위대가목록표!H300</f>
        <v>3182</v>
      </c>
      <c r="M114" s="467">
        <f t="shared" si="8"/>
        <v>0</v>
      </c>
      <c r="N114" s="463" t="s">
        <v>1164</v>
      </c>
      <c r="O114" s="451" t="s">
        <v>1165</v>
      </c>
      <c r="P114" s="468" t="s">
        <v>1166</v>
      </c>
      <c r="Q114" s="468" t="s">
        <v>909</v>
      </c>
      <c r="AC114" s="433" t="str">
        <f ca="1">HYPERLINK("#"&amp;일위대가목록표!J2&amp;"!A"&amp;ROW(일위대가목록표!A300),"B02729 →")</f>
        <v>B02729 →</v>
      </c>
    </row>
    <row r="115" spans="1:29" ht="35.25" customHeight="1">
      <c r="A115" s="452"/>
      <c r="B115" s="452" t="s">
        <v>5173</v>
      </c>
      <c r="C115" s="449" t="s">
        <v>1167</v>
      </c>
      <c r="D115" s="470">
        <v>0</v>
      </c>
      <c r="E115" s="463" t="s">
        <v>966</v>
      </c>
      <c r="F115" s="471">
        <f t="shared" si="9"/>
        <v>1358055</v>
      </c>
      <c r="G115" s="446">
        <f t="shared" si="9"/>
        <v>0</v>
      </c>
      <c r="H115" s="472">
        <f>일위대가목록표!F301</f>
        <v>631333</v>
      </c>
      <c r="I115" s="465">
        <f t="shared" si="6"/>
        <v>0</v>
      </c>
      <c r="J115" s="473">
        <f>일위대가목록표!G301</f>
        <v>723005</v>
      </c>
      <c r="K115" s="465">
        <f t="shared" si="7"/>
        <v>0</v>
      </c>
      <c r="L115" s="474">
        <f>일위대가목록표!H301</f>
        <v>3717</v>
      </c>
      <c r="M115" s="467">
        <f t="shared" si="8"/>
        <v>0</v>
      </c>
      <c r="N115" s="463" t="s">
        <v>1168</v>
      </c>
      <c r="O115" s="451" t="s">
        <v>1169</v>
      </c>
      <c r="P115" s="468" t="s">
        <v>1170</v>
      </c>
      <c r="Q115" s="468" t="s">
        <v>909</v>
      </c>
      <c r="AC115" s="433" t="str">
        <f ca="1">HYPERLINK("#"&amp;일위대가목록표!J2&amp;"!A"&amp;ROW(일위대가목록표!A301),"B02730 →")</f>
        <v>B02730 →</v>
      </c>
    </row>
    <row r="116" spans="1:29" ht="35.25" customHeight="1">
      <c r="A116" s="452"/>
      <c r="B116" s="452" t="s">
        <v>1171</v>
      </c>
      <c r="C116" s="449" t="s">
        <v>1159</v>
      </c>
      <c r="D116" s="470"/>
      <c r="E116" s="463" t="s">
        <v>966</v>
      </c>
      <c r="F116" s="471">
        <f t="shared" si="9"/>
        <v>942698</v>
      </c>
      <c r="G116" s="446">
        <f t="shared" si="9"/>
        <v>0</v>
      </c>
      <c r="H116" s="472">
        <f>일위대가목록표!F293</f>
        <v>403681</v>
      </c>
      <c r="I116" s="465">
        <f t="shared" si="6"/>
        <v>0</v>
      </c>
      <c r="J116" s="473">
        <f>일위대가목록표!G293</f>
        <v>535880</v>
      </c>
      <c r="K116" s="465">
        <f t="shared" si="7"/>
        <v>0</v>
      </c>
      <c r="L116" s="474">
        <f>일위대가목록표!H293</f>
        <v>3137</v>
      </c>
      <c r="M116" s="467">
        <f t="shared" si="8"/>
        <v>0</v>
      </c>
      <c r="N116" s="463" t="s">
        <v>1172</v>
      </c>
      <c r="O116" s="451" t="s">
        <v>1173</v>
      </c>
      <c r="P116" s="468" t="s">
        <v>1174</v>
      </c>
      <c r="Q116" s="468" t="s">
        <v>909</v>
      </c>
      <c r="AC116" s="433" t="str">
        <f ca="1">HYPERLINK("#"&amp;일위대가목록표!J2&amp;"!A"&amp;ROW(일위대가목록표!A293),"B02651 →")</f>
        <v>B02651 →</v>
      </c>
    </row>
    <row r="117" spans="1:29" ht="35.25" customHeight="1">
      <c r="A117" s="452"/>
      <c r="B117" s="452" t="s">
        <v>1171</v>
      </c>
      <c r="C117" s="449" t="s">
        <v>1163</v>
      </c>
      <c r="D117" s="470">
        <v>0</v>
      </c>
      <c r="E117" s="463" t="s">
        <v>966</v>
      </c>
      <c r="F117" s="471">
        <f t="shared" si="9"/>
        <v>953391</v>
      </c>
      <c r="G117" s="446">
        <f t="shared" si="9"/>
        <v>0</v>
      </c>
      <c r="H117" s="472">
        <f>일위대가목록표!F294</f>
        <v>410491</v>
      </c>
      <c r="I117" s="465">
        <f t="shared" si="6"/>
        <v>0</v>
      </c>
      <c r="J117" s="473">
        <f>일위대가목록표!G294</f>
        <v>539718</v>
      </c>
      <c r="K117" s="465">
        <f t="shared" si="7"/>
        <v>0</v>
      </c>
      <c r="L117" s="474">
        <f>일위대가목록표!H294</f>
        <v>3182</v>
      </c>
      <c r="M117" s="467">
        <f t="shared" si="8"/>
        <v>0</v>
      </c>
      <c r="N117" s="463" t="s">
        <v>1175</v>
      </c>
      <c r="O117" s="451" t="s">
        <v>1176</v>
      </c>
      <c r="P117" s="468" t="s">
        <v>1177</v>
      </c>
      <c r="Q117" s="468" t="s">
        <v>909</v>
      </c>
      <c r="AC117" s="433" t="str">
        <f ca="1">HYPERLINK("#"&amp;일위대가목록표!J2&amp;"!A"&amp;ROW(일위대가목록표!A294),"B02728 →")</f>
        <v>B02728 →</v>
      </c>
    </row>
    <row r="118" spans="1:29" ht="35.25" customHeight="1">
      <c r="A118" s="452"/>
      <c r="B118" s="452" t="s">
        <v>1171</v>
      </c>
      <c r="C118" s="449" t="s">
        <v>1167</v>
      </c>
      <c r="D118" s="470">
        <v>0</v>
      </c>
      <c r="E118" s="463" t="s">
        <v>966</v>
      </c>
      <c r="F118" s="471">
        <f t="shared" si="9"/>
        <v>1231788</v>
      </c>
      <c r="G118" s="446">
        <f t="shared" si="9"/>
        <v>0</v>
      </c>
      <c r="H118" s="472">
        <f>일위대가목록표!F295</f>
        <v>505066</v>
      </c>
      <c r="I118" s="465">
        <f t="shared" si="6"/>
        <v>0</v>
      </c>
      <c r="J118" s="473">
        <f>일위대가목록표!G295</f>
        <v>723005</v>
      </c>
      <c r="K118" s="465">
        <f t="shared" si="7"/>
        <v>0</v>
      </c>
      <c r="L118" s="474">
        <f>일위대가목록표!H295</f>
        <v>3717</v>
      </c>
      <c r="M118" s="467">
        <f t="shared" si="8"/>
        <v>0</v>
      </c>
      <c r="N118" s="463" t="s">
        <v>1178</v>
      </c>
      <c r="O118" s="451" t="s">
        <v>1179</v>
      </c>
      <c r="P118" s="468" t="s">
        <v>1180</v>
      </c>
      <c r="Q118" s="468" t="s">
        <v>909</v>
      </c>
      <c r="AC118" s="433" t="str">
        <f ca="1">HYPERLINK("#"&amp;일위대가목록표!J2&amp;"!A"&amp;ROW(일위대가목록표!A295),"B02727 →")</f>
        <v>B02727 →</v>
      </c>
    </row>
    <row r="119" spans="1:29" ht="35.25" customHeight="1">
      <c r="A119" s="452"/>
      <c r="B119" s="452" t="s">
        <v>1181</v>
      </c>
      <c r="C119" s="449" t="s">
        <v>1182</v>
      </c>
      <c r="D119" s="470">
        <v>0</v>
      </c>
      <c r="E119" s="463" t="s">
        <v>911</v>
      </c>
      <c r="F119" s="471">
        <f t="shared" si="9"/>
        <v>44786</v>
      </c>
      <c r="G119" s="446">
        <f t="shared" si="9"/>
        <v>0</v>
      </c>
      <c r="H119" s="472">
        <f>일위대가목록표!F135</f>
        <v>21348</v>
      </c>
      <c r="I119" s="465">
        <f t="shared" si="6"/>
        <v>0</v>
      </c>
      <c r="J119" s="473">
        <f>일위대가목록표!G135</f>
        <v>23258</v>
      </c>
      <c r="K119" s="465">
        <f t="shared" si="7"/>
        <v>0</v>
      </c>
      <c r="L119" s="474">
        <f>일위대가목록표!H135</f>
        <v>180</v>
      </c>
      <c r="M119" s="467">
        <f t="shared" si="8"/>
        <v>0</v>
      </c>
      <c r="N119" s="463" t="s">
        <v>1183</v>
      </c>
      <c r="O119" s="451" t="s">
        <v>1184</v>
      </c>
      <c r="P119" s="468" t="s">
        <v>1185</v>
      </c>
      <c r="Q119" s="468" t="s">
        <v>909</v>
      </c>
      <c r="AC119" s="433" t="str">
        <f ca="1">HYPERLINK("#"&amp;일위대가목록표!J2&amp;"!A"&amp;ROW(일위대가목록표!A135),"B02366 →")</f>
        <v>B02366 →</v>
      </c>
    </row>
    <row r="120" spans="1:29" ht="35.25" customHeight="1">
      <c r="A120" s="452"/>
      <c r="B120" s="452" t="s">
        <v>1181</v>
      </c>
      <c r="C120" s="449" t="s">
        <v>1186</v>
      </c>
      <c r="D120" s="470">
        <v>0</v>
      </c>
      <c r="E120" s="463" t="s">
        <v>911</v>
      </c>
      <c r="F120" s="471">
        <f t="shared" si="9"/>
        <v>54091</v>
      </c>
      <c r="G120" s="446">
        <f t="shared" si="9"/>
        <v>0</v>
      </c>
      <c r="H120" s="472">
        <f>일위대가목록표!F136</f>
        <v>28464</v>
      </c>
      <c r="I120" s="465">
        <f t="shared" si="6"/>
        <v>0</v>
      </c>
      <c r="J120" s="473">
        <f>일위대가목록표!G136</f>
        <v>25387</v>
      </c>
      <c r="K120" s="465">
        <f t="shared" si="7"/>
        <v>0</v>
      </c>
      <c r="L120" s="474">
        <f>일위대가목록표!H136</f>
        <v>240</v>
      </c>
      <c r="M120" s="467">
        <f t="shared" si="8"/>
        <v>0</v>
      </c>
      <c r="N120" s="463" t="s">
        <v>1187</v>
      </c>
      <c r="O120" s="451" t="s">
        <v>1188</v>
      </c>
      <c r="P120" s="468" t="s">
        <v>1189</v>
      </c>
      <c r="Q120" s="468" t="s">
        <v>909</v>
      </c>
      <c r="AC120" s="433" t="str">
        <f ca="1">HYPERLINK("#"&amp;일위대가목록표!J2&amp;"!A"&amp;ROW(일위대가목록표!A136),"B02402 →")</f>
        <v>B02402 →</v>
      </c>
    </row>
    <row r="121" spans="1:29" ht="35.25" customHeight="1">
      <c r="A121" s="452"/>
      <c r="B121" s="452" t="s">
        <v>1181</v>
      </c>
      <c r="C121" s="449" t="s">
        <v>1190</v>
      </c>
      <c r="D121" s="470">
        <v>0</v>
      </c>
      <c r="E121" s="463" t="s">
        <v>911</v>
      </c>
      <c r="F121" s="471">
        <f t="shared" si="9"/>
        <v>66397</v>
      </c>
      <c r="G121" s="446">
        <f t="shared" si="9"/>
        <v>0</v>
      </c>
      <c r="H121" s="472">
        <f>일위대가목록표!F127</f>
        <v>35580</v>
      </c>
      <c r="I121" s="465">
        <f t="shared" si="6"/>
        <v>0</v>
      </c>
      <c r="J121" s="473">
        <f>일위대가목록표!G127</f>
        <v>30517</v>
      </c>
      <c r="K121" s="465">
        <f t="shared" si="7"/>
        <v>0</v>
      </c>
      <c r="L121" s="474">
        <f>일위대가목록표!H127</f>
        <v>300</v>
      </c>
      <c r="M121" s="467">
        <f t="shared" si="8"/>
        <v>0</v>
      </c>
      <c r="N121" s="463" t="s">
        <v>1191</v>
      </c>
      <c r="O121" s="451" t="s">
        <v>1192</v>
      </c>
      <c r="P121" s="468" t="s">
        <v>1193</v>
      </c>
      <c r="Q121" s="468" t="s">
        <v>909</v>
      </c>
      <c r="AC121" s="433" t="str">
        <f ca="1">HYPERLINK("#"&amp;일위대가목록표!J2&amp;"!A"&amp;ROW(일위대가목록표!A127),"B02381 →")</f>
        <v>B02381 →</v>
      </c>
    </row>
    <row r="122" spans="1:29" ht="35.25" customHeight="1">
      <c r="A122" s="452"/>
      <c r="B122" s="452" t="s">
        <v>1181</v>
      </c>
      <c r="C122" s="449" t="s">
        <v>1194</v>
      </c>
      <c r="D122" s="470">
        <v>0</v>
      </c>
      <c r="E122" s="463" t="s">
        <v>911</v>
      </c>
      <c r="F122" s="471">
        <f t="shared" si="9"/>
        <v>79202</v>
      </c>
      <c r="G122" s="446">
        <f t="shared" si="9"/>
        <v>0</v>
      </c>
      <c r="H122" s="472">
        <f>일위대가목록표!F129</f>
        <v>42696</v>
      </c>
      <c r="I122" s="465">
        <f t="shared" si="6"/>
        <v>0</v>
      </c>
      <c r="J122" s="473">
        <f>일위대가목록표!G129</f>
        <v>36146</v>
      </c>
      <c r="K122" s="465">
        <f t="shared" si="7"/>
        <v>0</v>
      </c>
      <c r="L122" s="474">
        <f>일위대가목록표!H129</f>
        <v>360</v>
      </c>
      <c r="M122" s="467">
        <f t="shared" si="8"/>
        <v>0</v>
      </c>
      <c r="N122" s="463" t="s">
        <v>1195</v>
      </c>
      <c r="O122" s="451" t="s">
        <v>1196</v>
      </c>
      <c r="P122" s="468" t="s">
        <v>1197</v>
      </c>
      <c r="Q122" s="468" t="s">
        <v>909</v>
      </c>
      <c r="AC122" s="433" t="str">
        <f ca="1">HYPERLINK("#"&amp;일위대가목록표!J2&amp;"!A"&amp;ROW(일위대가목록표!A129),"B02365 →")</f>
        <v>B02365 →</v>
      </c>
    </row>
    <row r="123" spans="1:29" ht="35.25" customHeight="1">
      <c r="A123" s="452"/>
      <c r="B123" s="452" t="s">
        <v>1181</v>
      </c>
      <c r="C123" s="449" t="s">
        <v>1198</v>
      </c>
      <c r="D123" s="470"/>
      <c r="E123" s="463" t="s">
        <v>911</v>
      </c>
      <c r="F123" s="471">
        <f t="shared" si="9"/>
        <v>97660</v>
      </c>
      <c r="G123" s="446">
        <f t="shared" si="9"/>
        <v>0</v>
      </c>
      <c r="H123" s="472">
        <f>일위대가목록표!F131</f>
        <v>53370</v>
      </c>
      <c r="I123" s="465">
        <f t="shared" si="6"/>
        <v>0</v>
      </c>
      <c r="J123" s="473">
        <f>일위대가목록표!G131</f>
        <v>43840</v>
      </c>
      <c r="K123" s="465">
        <f t="shared" si="7"/>
        <v>0</v>
      </c>
      <c r="L123" s="474">
        <f>일위대가목록표!H131</f>
        <v>450</v>
      </c>
      <c r="M123" s="467">
        <f t="shared" si="8"/>
        <v>0</v>
      </c>
      <c r="N123" s="463" t="s">
        <v>1199</v>
      </c>
      <c r="O123" s="451" t="s">
        <v>1200</v>
      </c>
      <c r="P123" s="468" t="s">
        <v>1201</v>
      </c>
      <c r="Q123" s="468" t="s">
        <v>909</v>
      </c>
      <c r="AC123" s="433" t="str">
        <f ca="1">HYPERLINK("#"&amp;일위대가목록표!J2&amp;"!A"&amp;ROW(일위대가목록표!A131),"B02182 →")</f>
        <v>B02182 →</v>
      </c>
    </row>
    <row r="124" spans="1:29" ht="35.25" customHeight="1">
      <c r="A124" s="452"/>
      <c r="B124" s="452" t="s">
        <v>1181</v>
      </c>
      <c r="C124" s="449" t="s">
        <v>1202</v>
      </c>
      <c r="D124" s="470">
        <v>0</v>
      </c>
      <c r="E124" s="463" t="s">
        <v>911</v>
      </c>
      <c r="F124" s="471">
        <f t="shared" si="9"/>
        <v>125532</v>
      </c>
      <c r="G124" s="446">
        <f t="shared" si="9"/>
        <v>0</v>
      </c>
      <c r="H124" s="472">
        <f>일위대가목록표!F133</f>
        <v>66768</v>
      </c>
      <c r="I124" s="465">
        <f t="shared" si="6"/>
        <v>0</v>
      </c>
      <c r="J124" s="473">
        <f>일위대가목록표!G133</f>
        <v>58164</v>
      </c>
      <c r="K124" s="465">
        <f t="shared" si="7"/>
        <v>0</v>
      </c>
      <c r="L124" s="474">
        <f>일위대가목록표!H133</f>
        <v>600</v>
      </c>
      <c r="M124" s="467">
        <f t="shared" si="8"/>
        <v>0</v>
      </c>
      <c r="N124" s="463" t="s">
        <v>1203</v>
      </c>
      <c r="O124" s="451" t="s">
        <v>1204</v>
      </c>
      <c r="P124" s="468" t="s">
        <v>1205</v>
      </c>
      <c r="Q124" s="468" t="s">
        <v>909</v>
      </c>
      <c r="AC124" s="433" t="str">
        <f ca="1">HYPERLINK("#"&amp;일위대가목록표!J2&amp;"!A"&amp;ROW(일위대가목록표!A133),"B02675 →")</f>
        <v>B02675 →</v>
      </c>
    </row>
    <row r="125" spans="1:29" ht="35.25" customHeight="1">
      <c r="A125" s="452"/>
      <c r="B125" s="452" t="s">
        <v>5174</v>
      </c>
      <c r="C125" s="449" t="s">
        <v>1206</v>
      </c>
      <c r="D125" s="470">
        <v>0</v>
      </c>
      <c r="E125" s="463" t="s">
        <v>911</v>
      </c>
      <c r="F125" s="471">
        <f t="shared" si="9"/>
        <v>96234</v>
      </c>
      <c r="G125" s="446">
        <f t="shared" si="9"/>
        <v>0</v>
      </c>
      <c r="H125" s="472">
        <f>일위대가목록표!F137</f>
        <v>40917</v>
      </c>
      <c r="I125" s="465">
        <f t="shared" si="6"/>
        <v>0</v>
      </c>
      <c r="J125" s="473">
        <f>일위대가목록표!G137</f>
        <v>55017</v>
      </c>
      <c r="K125" s="465">
        <f t="shared" si="7"/>
        <v>0</v>
      </c>
      <c r="L125" s="474">
        <f>일위대가목록표!H137</f>
        <v>300</v>
      </c>
      <c r="M125" s="467">
        <f t="shared" si="8"/>
        <v>0</v>
      </c>
      <c r="N125" s="463" t="s">
        <v>5175</v>
      </c>
      <c r="O125" s="451" t="s">
        <v>5176</v>
      </c>
      <c r="P125" s="468" t="s">
        <v>5177</v>
      </c>
      <c r="Q125" s="468" t="s">
        <v>909</v>
      </c>
      <c r="AC125" s="433" t="str">
        <f ca="1">HYPERLINK("#"&amp;일위대가목록표!J2&amp;"!A"&amp;ROW(일위대가목록표!A137),"B02860 →")</f>
        <v>B02860 →</v>
      </c>
    </row>
    <row r="126" spans="1:29" ht="35.25" customHeight="1">
      <c r="A126" s="452"/>
      <c r="B126" s="452" t="s">
        <v>5174</v>
      </c>
      <c r="C126" s="449" t="s">
        <v>1210</v>
      </c>
      <c r="D126" s="470">
        <v>0</v>
      </c>
      <c r="E126" s="463" t="s">
        <v>911</v>
      </c>
      <c r="F126" s="471">
        <f t="shared" si="9"/>
        <v>113606</v>
      </c>
      <c r="G126" s="446">
        <f t="shared" si="9"/>
        <v>0</v>
      </c>
      <c r="H126" s="472">
        <f>일위대가목록표!F138</f>
        <v>49100</v>
      </c>
      <c r="I126" s="465">
        <f t="shared" si="6"/>
        <v>0</v>
      </c>
      <c r="J126" s="473">
        <f>일위대가목록표!G138</f>
        <v>64146</v>
      </c>
      <c r="K126" s="465">
        <f t="shared" si="7"/>
        <v>0</v>
      </c>
      <c r="L126" s="474">
        <f>일위대가목록표!H138</f>
        <v>360</v>
      </c>
      <c r="M126" s="467">
        <f t="shared" si="8"/>
        <v>0</v>
      </c>
      <c r="N126" s="463" t="s">
        <v>5178</v>
      </c>
      <c r="O126" s="451" t="s">
        <v>5179</v>
      </c>
      <c r="P126" s="468" t="s">
        <v>5180</v>
      </c>
      <c r="Q126" s="468" t="s">
        <v>909</v>
      </c>
      <c r="AC126" s="433" t="str">
        <f ca="1">HYPERLINK("#"&amp;일위대가목록표!J2&amp;"!A"&amp;ROW(일위대가목록표!A138),"B02861 →")</f>
        <v>B02861 →</v>
      </c>
    </row>
    <row r="127" spans="1:29" ht="35.25" customHeight="1">
      <c r="A127" s="452"/>
      <c r="B127" s="452" t="s">
        <v>5174</v>
      </c>
      <c r="C127" s="449" t="s">
        <v>1214</v>
      </c>
      <c r="D127" s="470">
        <v>0</v>
      </c>
      <c r="E127" s="463" t="s">
        <v>911</v>
      </c>
      <c r="F127" s="471">
        <f t="shared" si="9"/>
        <v>136665</v>
      </c>
      <c r="G127" s="446">
        <f t="shared" si="9"/>
        <v>0</v>
      </c>
      <c r="H127" s="472">
        <f>일위대가목록표!F139</f>
        <v>61375</v>
      </c>
      <c r="I127" s="465">
        <f t="shared" si="6"/>
        <v>0</v>
      </c>
      <c r="J127" s="473">
        <f>일위대가목록표!G139</f>
        <v>74840</v>
      </c>
      <c r="K127" s="465">
        <f t="shared" si="7"/>
        <v>0</v>
      </c>
      <c r="L127" s="474">
        <f>일위대가목록표!H139</f>
        <v>450</v>
      </c>
      <c r="M127" s="467">
        <f t="shared" si="8"/>
        <v>0</v>
      </c>
      <c r="N127" s="463" t="s">
        <v>5181</v>
      </c>
      <c r="O127" s="451" t="s">
        <v>5182</v>
      </c>
      <c r="P127" s="468" t="s">
        <v>5183</v>
      </c>
      <c r="Q127" s="468" t="s">
        <v>909</v>
      </c>
      <c r="AC127" s="433" t="str">
        <f ca="1">HYPERLINK("#"&amp;일위대가목록표!J2&amp;"!A"&amp;ROW(일위대가목록표!A139),"B02862 →")</f>
        <v>B02862 →</v>
      </c>
    </row>
    <row r="128" spans="1:29" ht="35.25" customHeight="1">
      <c r="A128" s="452"/>
      <c r="B128" s="452" t="s">
        <v>5174</v>
      </c>
      <c r="C128" s="449" t="s">
        <v>1218</v>
      </c>
      <c r="D128" s="470">
        <v>0</v>
      </c>
      <c r="E128" s="463" t="s">
        <v>911</v>
      </c>
      <c r="F128" s="471">
        <f t="shared" si="9"/>
        <v>178047</v>
      </c>
      <c r="G128" s="446">
        <f t="shared" si="9"/>
        <v>0</v>
      </c>
      <c r="H128" s="472">
        <f>일위대가목록표!F140</f>
        <v>76783</v>
      </c>
      <c r="I128" s="465">
        <f t="shared" si="6"/>
        <v>0</v>
      </c>
      <c r="J128" s="473">
        <f>일위대가목록표!G140</f>
        <v>100664</v>
      </c>
      <c r="K128" s="465">
        <f t="shared" si="7"/>
        <v>0</v>
      </c>
      <c r="L128" s="474">
        <f>일위대가목록표!H140</f>
        <v>600</v>
      </c>
      <c r="M128" s="467">
        <f t="shared" si="8"/>
        <v>0</v>
      </c>
      <c r="N128" s="463" t="s">
        <v>5184</v>
      </c>
      <c r="O128" s="451" t="s">
        <v>5185</v>
      </c>
      <c r="P128" s="468" t="s">
        <v>5186</v>
      </c>
      <c r="Q128" s="468" t="s">
        <v>909</v>
      </c>
      <c r="AC128" s="433" t="str">
        <f ca="1">HYPERLINK("#"&amp;일위대가목록표!J2&amp;"!A"&amp;ROW(일위대가목록표!A140),"B02863 →")</f>
        <v>B02863 →</v>
      </c>
    </row>
    <row r="129" spans="1:29" ht="35.25" customHeight="1">
      <c r="A129" s="452"/>
      <c r="B129" s="452" t="s">
        <v>5187</v>
      </c>
      <c r="C129" s="449" t="s">
        <v>1206</v>
      </c>
      <c r="D129" s="470">
        <v>0</v>
      </c>
      <c r="E129" s="463" t="s">
        <v>911</v>
      </c>
      <c r="F129" s="471">
        <f t="shared" si="9"/>
        <v>99792</v>
      </c>
      <c r="G129" s="446">
        <f t="shared" si="9"/>
        <v>0</v>
      </c>
      <c r="H129" s="472">
        <f>일위대가목록표!F141</f>
        <v>44475</v>
      </c>
      <c r="I129" s="465">
        <f t="shared" si="6"/>
        <v>0</v>
      </c>
      <c r="J129" s="473">
        <f>일위대가목록표!G141</f>
        <v>55017</v>
      </c>
      <c r="K129" s="465">
        <f t="shared" si="7"/>
        <v>0</v>
      </c>
      <c r="L129" s="474">
        <f>일위대가목록표!H141</f>
        <v>300</v>
      </c>
      <c r="M129" s="467">
        <f t="shared" si="8"/>
        <v>0</v>
      </c>
      <c r="N129" s="463" t="s">
        <v>1207</v>
      </c>
      <c r="O129" s="451" t="s">
        <v>1208</v>
      </c>
      <c r="P129" s="468" t="s">
        <v>1209</v>
      </c>
      <c r="Q129" s="468" t="s">
        <v>909</v>
      </c>
      <c r="AC129" s="433" t="str">
        <f ca="1">HYPERLINK("#"&amp;일위대가목록표!J2&amp;"!A"&amp;ROW(일위대가목록표!A141),"B02677 →")</f>
        <v>B02677 →</v>
      </c>
    </row>
    <row r="130" spans="1:29" ht="35.25" customHeight="1">
      <c r="A130" s="452"/>
      <c r="B130" s="452" t="s">
        <v>5187</v>
      </c>
      <c r="C130" s="449" t="s">
        <v>1210</v>
      </c>
      <c r="D130" s="470">
        <v>0</v>
      </c>
      <c r="E130" s="463" t="s">
        <v>911</v>
      </c>
      <c r="F130" s="471">
        <f t="shared" si="9"/>
        <v>117876</v>
      </c>
      <c r="G130" s="446">
        <f t="shared" si="9"/>
        <v>0</v>
      </c>
      <c r="H130" s="472">
        <f>일위대가목록표!F142</f>
        <v>53370</v>
      </c>
      <c r="I130" s="465">
        <f t="shared" si="6"/>
        <v>0</v>
      </c>
      <c r="J130" s="473">
        <f>일위대가목록표!G142</f>
        <v>64146</v>
      </c>
      <c r="K130" s="465">
        <f t="shared" si="7"/>
        <v>0</v>
      </c>
      <c r="L130" s="474">
        <f>일위대가목록표!H142</f>
        <v>360</v>
      </c>
      <c r="M130" s="467">
        <f t="shared" si="8"/>
        <v>0</v>
      </c>
      <c r="N130" s="463" t="s">
        <v>1211</v>
      </c>
      <c r="O130" s="451" t="s">
        <v>1212</v>
      </c>
      <c r="P130" s="468" t="s">
        <v>1213</v>
      </c>
      <c r="Q130" s="468" t="s">
        <v>909</v>
      </c>
      <c r="AC130" s="433" t="str">
        <f ca="1">HYPERLINK("#"&amp;일위대가목록표!J2&amp;"!A"&amp;ROW(일위대가목록표!A142),"B02678 →")</f>
        <v>B02678 →</v>
      </c>
    </row>
    <row r="131" spans="1:29" ht="35.25" customHeight="1">
      <c r="A131" s="452"/>
      <c r="B131" s="452" t="s">
        <v>5187</v>
      </c>
      <c r="C131" s="449" t="s">
        <v>1214</v>
      </c>
      <c r="D131" s="470">
        <v>0</v>
      </c>
      <c r="E131" s="463" t="s">
        <v>911</v>
      </c>
      <c r="F131" s="471">
        <f t="shared" si="9"/>
        <v>142002</v>
      </c>
      <c r="G131" s="446">
        <f t="shared" si="9"/>
        <v>0</v>
      </c>
      <c r="H131" s="472">
        <f>일위대가목록표!F143</f>
        <v>66712</v>
      </c>
      <c r="I131" s="465">
        <f t="shared" si="6"/>
        <v>0</v>
      </c>
      <c r="J131" s="473">
        <f>일위대가목록표!G143</f>
        <v>74840</v>
      </c>
      <c r="K131" s="465">
        <f t="shared" si="7"/>
        <v>0</v>
      </c>
      <c r="L131" s="474">
        <f>일위대가목록표!H143</f>
        <v>450</v>
      </c>
      <c r="M131" s="467">
        <f t="shared" si="8"/>
        <v>0</v>
      </c>
      <c r="N131" s="463" t="s">
        <v>1215</v>
      </c>
      <c r="O131" s="451" t="s">
        <v>1216</v>
      </c>
      <c r="P131" s="468" t="s">
        <v>1217</v>
      </c>
      <c r="Q131" s="468" t="s">
        <v>909</v>
      </c>
      <c r="AC131" s="433" t="str">
        <f ca="1">HYPERLINK("#"&amp;일위대가목록표!J2&amp;"!A"&amp;ROW(일위대가목록표!A143),"B02679 →")</f>
        <v>B02679 →</v>
      </c>
    </row>
    <row r="132" spans="1:29" ht="35.25" customHeight="1">
      <c r="A132" s="452"/>
      <c r="B132" s="452" t="s">
        <v>5187</v>
      </c>
      <c r="C132" s="449" t="s">
        <v>1218</v>
      </c>
      <c r="D132" s="470">
        <v>0</v>
      </c>
      <c r="E132" s="463" t="s">
        <v>911</v>
      </c>
      <c r="F132" s="471">
        <f t="shared" si="9"/>
        <v>184724</v>
      </c>
      <c r="G132" s="446">
        <f t="shared" si="9"/>
        <v>0</v>
      </c>
      <c r="H132" s="472">
        <f>일위대가목록표!F144</f>
        <v>83460</v>
      </c>
      <c r="I132" s="465">
        <f t="shared" si="6"/>
        <v>0</v>
      </c>
      <c r="J132" s="473">
        <f>일위대가목록표!G144</f>
        <v>100664</v>
      </c>
      <c r="K132" s="465">
        <f t="shared" si="7"/>
        <v>0</v>
      </c>
      <c r="L132" s="474">
        <f>일위대가목록표!H144</f>
        <v>600</v>
      </c>
      <c r="M132" s="467">
        <f t="shared" si="8"/>
        <v>0</v>
      </c>
      <c r="N132" s="463" t="s">
        <v>1219</v>
      </c>
      <c r="O132" s="451" t="s">
        <v>1220</v>
      </c>
      <c r="P132" s="468" t="s">
        <v>1221</v>
      </c>
      <c r="Q132" s="468" t="s">
        <v>909</v>
      </c>
      <c r="AC132" s="433" t="str">
        <f ca="1">HYPERLINK("#"&amp;일위대가목록표!J2&amp;"!A"&amp;ROW(일위대가목록표!A144),"B02680 →")</f>
        <v>B02680 →</v>
      </c>
    </row>
    <row r="133" spans="1:29" ht="35.25" customHeight="1">
      <c r="A133" s="452"/>
      <c r="B133" s="452" t="s">
        <v>1181</v>
      </c>
      <c r="C133" s="449" t="s">
        <v>1206</v>
      </c>
      <c r="D133" s="470">
        <v>0</v>
      </c>
      <c r="E133" s="463" t="s">
        <v>911</v>
      </c>
      <c r="F133" s="471">
        <f t="shared" si="9"/>
        <v>90897</v>
      </c>
      <c r="G133" s="446">
        <f t="shared" si="9"/>
        <v>0</v>
      </c>
      <c r="H133" s="472">
        <f>일위대가목록표!F128</f>
        <v>35580</v>
      </c>
      <c r="I133" s="465">
        <f t="shared" si="6"/>
        <v>0</v>
      </c>
      <c r="J133" s="473">
        <f>일위대가목록표!G128</f>
        <v>55017</v>
      </c>
      <c r="K133" s="465">
        <f t="shared" si="7"/>
        <v>0</v>
      </c>
      <c r="L133" s="474">
        <f>일위대가목록표!H128</f>
        <v>300</v>
      </c>
      <c r="M133" s="467">
        <f t="shared" si="8"/>
        <v>0</v>
      </c>
      <c r="N133" s="463" t="s">
        <v>1222</v>
      </c>
      <c r="O133" s="451" t="s">
        <v>1223</v>
      </c>
      <c r="P133" s="468" t="s">
        <v>1224</v>
      </c>
      <c r="Q133" s="468" t="s">
        <v>909</v>
      </c>
      <c r="AC133" s="433" t="str">
        <f ca="1">HYPERLINK("#"&amp;일위대가목록표!J2&amp;"!A"&amp;ROW(일위대가목록표!A128),"B02583 →")</f>
        <v>B02583 →</v>
      </c>
    </row>
    <row r="134" spans="1:29" ht="35.25" customHeight="1">
      <c r="A134" s="452"/>
      <c r="B134" s="452" t="s">
        <v>1181</v>
      </c>
      <c r="C134" s="449" t="s">
        <v>1210</v>
      </c>
      <c r="D134" s="470">
        <v>0</v>
      </c>
      <c r="E134" s="463" t="s">
        <v>911</v>
      </c>
      <c r="F134" s="471">
        <f t="shared" si="9"/>
        <v>107202</v>
      </c>
      <c r="G134" s="446">
        <f t="shared" si="9"/>
        <v>0</v>
      </c>
      <c r="H134" s="472">
        <f>일위대가목록표!F130</f>
        <v>42696</v>
      </c>
      <c r="I134" s="465">
        <f t="shared" si="6"/>
        <v>0</v>
      </c>
      <c r="J134" s="473">
        <f>일위대가목록표!G130</f>
        <v>64146</v>
      </c>
      <c r="K134" s="465">
        <f t="shared" si="7"/>
        <v>0</v>
      </c>
      <c r="L134" s="474">
        <f>일위대가목록표!H130</f>
        <v>360</v>
      </c>
      <c r="M134" s="467">
        <f t="shared" si="8"/>
        <v>0</v>
      </c>
      <c r="N134" s="463" t="s">
        <v>1225</v>
      </c>
      <c r="O134" s="451" t="s">
        <v>1226</v>
      </c>
      <c r="P134" s="468" t="s">
        <v>1227</v>
      </c>
      <c r="Q134" s="468" t="s">
        <v>909</v>
      </c>
      <c r="AC134" s="433" t="str">
        <f ca="1">HYPERLINK("#"&amp;일위대가목록표!J2&amp;"!A"&amp;ROW(일위대가목록표!A130),"B02584 →")</f>
        <v>B02584 →</v>
      </c>
    </row>
    <row r="135" spans="1:29" ht="35.25" customHeight="1">
      <c r="A135" s="452"/>
      <c r="B135" s="452" t="s">
        <v>1181</v>
      </c>
      <c r="C135" s="449" t="s">
        <v>1214</v>
      </c>
      <c r="D135" s="470">
        <v>0</v>
      </c>
      <c r="E135" s="463" t="s">
        <v>911</v>
      </c>
      <c r="F135" s="471">
        <f t="shared" ref="F135:G152" si="10">J135+H135+L135</f>
        <v>128660</v>
      </c>
      <c r="G135" s="446">
        <f t="shared" si="10"/>
        <v>0</v>
      </c>
      <c r="H135" s="472">
        <f>일위대가목록표!F132</f>
        <v>53370</v>
      </c>
      <c r="I135" s="465">
        <f t="shared" ref="I135:I152" si="11">ROUNDDOWN(H135*D135,0)</f>
        <v>0</v>
      </c>
      <c r="J135" s="473">
        <f>일위대가목록표!G132</f>
        <v>74840</v>
      </c>
      <c r="K135" s="465">
        <f t="shared" ref="K135:K152" si="12">ROUNDDOWN(J135*D135,0)</f>
        <v>0</v>
      </c>
      <c r="L135" s="474">
        <f>일위대가목록표!H132</f>
        <v>450</v>
      </c>
      <c r="M135" s="467">
        <f t="shared" ref="M135:M152" si="13">ROUNDDOWN(L135*D135,0)</f>
        <v>0</v>
      </c>
      <c r="N135" s="463" t="s">
        <v>1228</v>
      </c>
      <c r="O135" s="451" t="s">
        <v>1229</v>
      </c>
      <c r="P135" s="468" t="s">
        <v>1230</v>
      </c>
      <c r="Q135" s="468" t="s">
        <v>909</v>
      </c>
      <c r="AC135" s="433" t="str">
        <f ca="1">HYPERLINK("#"&amp;일위대가목록표!J2&amp;"!A"&amp;ROW(일위대가목록표!A132),"B02585 →")</f>
        <v>B02585 →</v>
      </c>
    </row>
    <row r="136" spans="1:29" ht="35.25" customHeight="1">
      <c r="A136" s="452"/>
      <c r="B136" s="452" t="s">
        <v>1181</v>
      </c>
      <c r="C136" s="449" t="s">
        <v>1218</v>
      </c>
      <c r="D136" s="470">
        <v>0</v>
      </c>
      <c r="E136" s="463" t="s">
        <v>911</v>
      </c>
      <c r="F136" s="471">
        <f t="shared" si="10"/>
        <v>168032</v>
      </c>
      <c r="G136" s="446">
        <f t="shared" si="10"/>
        <v>0</v>
      </c>
      <c r="H136" s="472">
        <f>일위대가목록표!F134</f>
        <v>66768</v>
      </c>
      <c r="I136" s="465">
        <f t="shared" si="11"/>
        <v>0</v>
      </c>
      <c r="J136" s="473">
        <f>일위대가목록표!G134</f>
        <v>100664</v>
      </c>
      <c r="K136" s="465">
        <f t="shared" si="12"/>
        <v>0</v>
      </c>
      <c r="L136" s="474">
        <f>일위대가목록표!H134</f>
        <v>600</v>
      </c>
      <c r="M136" s="467">
        <f t="shared" si="13"/>
        <v>0</v>
      </c>
      <c r="N136" s="463" t="s">
        <v>1231</v>
      </c>
      <c r="O136" s="451" t="s">
        <v>1232</v>
      </c>
      <c r="P136" s="468" t="s">
        <v>1233</v>
      </c>
      <c r="Q136" s="468" t="s">
        <v>909</v>
      </c>
      <c r="AC136" s="433" t="str">
        <f ca="1">HYPERLINK("#"&amp;일위대가목록표!J2&amp;"!A"&amp;ROW(일위대가목록표!A134),"B02676 →")</f>
        <v>B02676 →</v>
      </c>
    </row>
    <row r="137" spans="1:29" ht="35.25" customHeight="1">
      <c r="A137" s="452"/>
      <c r="B137" s="452" t="s">
        <v>1234</v>
      </c>
      <c r="C137" s="449" t="s">
        <v>1235</v>
      </c>
      <c r="D137" s="470">
        <v>0</v>
      </c>
      <c r="E137" s="463" t="s">
        <v>595</v>
      </c>
      <c r="F137" s="471">
        <f t="shared" si="10"/>
        <v>362030</v>
      </c>
      <c r="G137" s="446">
        <f t="shared" si="10"/>
        <v>0</v>
      </c>
      <c r="H137" s="472">
        <f>일위대가목록표!F281</f>
        <v>223095</v>
      </c>
      <c r="I137" s="465">
        <f t="shared" si="11"/>
        <v>0</v>
      </c>
      <c r="J137" s="473">
        <f>일위대가목록표!G281</f>
        <v>105217</v>
      </c>
      <c r="K137" s="465">
        <f t="shared" si="12"/>
        <v>0</v>
      </c>
      <c r="L137" s="474">
        <f>일위대가목록표!H281</f>
        <v>33718</v>
      </c>
      <c r="M137" s="467">
        <f t="shared" si="13"/>
        <v>0</v>
      </c>
      <c r="N137" s="463" t="s">
        <v>1236</v>
      </c>
      <c r="O137" s="451" t="s">
        <v>1237</v>
      </c>
      <c r="P137" s="468" t="s">
        <v>1238</v>
      </c>
      <c r="Q137" s="468" t="s">
        <v>909</v>
      </c>
      <c r="AC137" s="433" t="str">
        <f ca="1">HYPERLINK("#"&amp;일위대가목록표!J2&amp;"!A"&amp;ROW(일위대가목록표!A281),"B02798 →")</f>
        <v>B02798 →</v>
      </c>
    </row>
    <row r="138" spans="1:29" ht="35.25" customHeight="1">
      <c r="A138" s="452"/>
      <c r="B138" s="452" t="s">
        <v>1239</v>
      </c>
      <c r="C138" s="449" t="s">
        <v>1235</v>
      </c>
      <c r="D138" s="470">
        <v>0</v>
      </c>
      <c r="E138" s="463" t="s">
        <v>595</v>
      </c>
      <c r="F138" s="471">
        <f t="shared" si="10"/>
        <v>184512</v>
      </c>
      <c r="G138" s="446">
        <f t="shared" si="10"/>
        <v>0</v>
      </c>
      <c r="H138" s="472">
        <f>일위대가목록표!F290</f>
        <v>92138</v>
      </c>
      <c r="I138" s="465">
        <f t="shared" si="11"/>
        <v>0</v>
      </c>
      <c r="J138" s="473">
        <f>일위대가목록표!G290</f>
        <v>79919</v>
      </c>
      <c r="K138" s="465">
        <f t="shared" si="12"/>
        <v>0</v>
      </c>
      <c r="L138" s="474">
        <f>일위대가목록표!H290</f>
        <v>12455</v>
      </c>
      <c r="M138" s="467">
        <f t="shared" si="13"/>
        <v>0</v>
      </c>
      <c r="N138" s="463" t="s">
        <v>1240</v>
      </c>
      <c r="O138" s="451" t="s">
        <v>1241</v>
      </c>
      <c r="P138" s="468" t="s">
        <v>1242</v>
      </c>
      <c r="Q138" s="468" t="s">
        <v>909</v>
      </c>
      <c r="AC138" s="433" t="str">
        <f ca="1">HYPERLINK("#"&amp;일위대가목록표!J2&amp;"!A"&amp;ROW(일위대가목록표!A290),"B02148 →")</f>
        <v>B02148 →</v>
      </c>
    </row>
    <row r="139" spans="1:29" ht="35.25" customHeight="1">
      <c r="A139" s="452"/>
      <c r="B139" s="452" t="s">
        <v>1243</v>
      </c>
      <c r="C139" s="449" t="s">
        <v>1235</v>
      </c>
      <c r="D139" s="470">
        <v>0</v>
      </c>
      <c r="E139" s="463" t="s">
        <v>595</v>
      </c>
      <c r="F139" s="471">
        <f t="shared" si="10"/>
        <v>308114</v>
      </c>
      <c r="G139" s="446">
        <f t="shared" si="10"/>
        <v>0</v>
      </c>
      <c r="H139" s="472">
        <f>일위대가목록표!F292</f>
        <v>183617</v>
      </c>
      <c r="I139" s="465">
        <f t="shared" si="11"/>
        <v>0</v>
      </c>
      <c r="J139" s="473">
        <f>일위대가목록표!G292</f>
        <v>101447</v>
      </c>
      <c r="K139" s="465">
        <f t="shared" si="12"/>
        <v>0</v>
      </c>
      <c r="L139" s="474">
        <f>일위대가목록표!H292</f>
        <v>23050</v>
      </c>
      <c r="M139" s="467">
        <f t="shared" si="13"/>
        <v>0</v>
      </c>
      <c r="N139" s="463" t="s">
        <v>1244</v>
      </c>
      <c r="O139" s="451" t="s">
        <v>1245</v>
      </c>
      <c r="P139" s="468" t="s">
        <v>1246</v>
      </c>
      <c r="Q139" s="468" t="s">
        <v>909</v>
      </c>
      <c r="AC139" s="433" t="str">
        <f ca="1">HYPERLINK("#"&amp;일위대가목록표!J2&amp;"!A"&amp;ROW(일위대가목록표!A292),"B02682 →")</f>
        <v>B02682 →</v>
      </c>
    </row>
    <row r="140" spans="1:29" ht="35.25" customHeight="1">
      <c r="A140" s="452"/>
      <c r="B140" s="452" t="s">
        <v>1247</v>
      </c>
      <c r="C140" s="449" t="s">
        <v>1235</v>
      </c>
      <c r="D140" s="470">
        <v>0</v>
      </c>
      <c r="E140" s="463" t="s">
        <v>595</v>
      </c>
      <c r="F140" s="471">
        <f t="shared" si="10"/>
        <v>118117</v>
      </c>
      <c r="G140" s="446">
        <f t="shared" si="10"/>
        <v>0</v>
      </c>
      <c r="H140" s="472">
        <f>일위대가목록표!F289</f>
        <v>59568</v>
      </c>
      <c r="I140" s="465">
        <f t="shared" si="11"/>
        <v>0</v>
      </c>
      <c r="J140" s="473">
        <f>일위대가목록표!G289</f>
        <v>50756</v>
      </c>
      <c r="K140" s="465">
        <f t="shared" si="12"/>
        <v>0</v>
      </c>
      <c r="L140" s="474">
        <f>일위대가목록표!H289</f>
        <v>7793</v>
      </c>
      <c r="M140" s="467">
        <f t="shared" si="13"/>
        <v>0</v>
      </c>
      <c r="N140" s="463" t="s">
        <v>1248</v>
      </c>
      <c r="O140" s="451" t="s">
        <v>1249</v>
      </c>
      <c r="P140" s="468" t="s">
        <v>1250</v>
      </c>
      <c r="Q140" s="468" t="s">
        <v>909</v>
      </c>
      <c r="AC140" s="433" t="str">
        <f ca="1">HYPERLINK("#"&amp;일위대가목록표!J2&amp;"!A"&amp;ROW(일위대가목록표!A289),"B02684 →")</f>
        <v>B02684 →</v>
      </c>
    </row>
    <row r="141" spans="1:29" ht="35.25" customHeight="1">
      <c r="A141" s="452"/>
      <c r="B141" s="452" t="s">
        <v>1251</v>
      </c>
      <c r="C141" s="449" t="s">
        <v>1235</v>
      </c>
      <c r="D141" s="470">
        <v>0</v>
      </c>
      <c r="E141" s="463" t="s">
        <v>595</v>
      </c>
      <c r="F141" s="471">
        <f t="shared" si="10"/>
        <v>240742</v>
      </c>
      <c r="G141" s="446">
        <f t="shared" si="10"/>
        <v>0</v>
      </c>
      <c r="H141" s="472">
        <f>일위대가목록표!F291</f>
        <v>153441</v>
      </c>
      <c r="I141" s="465">
        <f t="shared" si="11"/>
        <v>0</v>
      </c>
      <c r="J141" s="473">
        <f>일위대가목록표!G291</f>
        <v>75278</v>
      </c>
      <c r="K141" s="465">
        <f t="shared" si="12"/>
        <v>0</v>
      </c>
      <c r="L141" s="474">
        <f>일위대가목록표!H291</f>
        <v>12023</v>
      </c>
      <c r="M141" s="467">
        <f t="shared" si="13"/>
        <v>0</v>
      </c>
      <c r="N141" s="463" t="s">
        <v>1252</v>
      </c>
      <c r="O141" s="451" t="s">
        <v>1253</v>
      </c>
      <c r="P141" s="468" t="s">
        <v>1254</v>
      </c>
      <c r="Q141" s="468" t="s">
        <v>909</v>
      </c>
      <c r="AC141" s="433" t="str">
        <f ca="1">HYPERLINK("#"&amp;일위대가목록표!J2&amp;"!A"&amp;ROW(일위대가목록표!A291),"B02683 →")</f>
        <v>B02683 →</v>
      </c>
    </row>
    <row r="142" spans="1:29" ht="35.25" customHeight="1">
      <c r="A142" s="452"/>
      <c r="B142" s="452" t="s">
        <v>1255</v>
      </c>
      <c r="C142" s="449" t="s">
        <v>1256</v>
      </c>
      <c r="D142" s="470">
        <v>0</v>
      </c>
      <c r="E142" s="463" t="s">
        <v>595</v>
      </c>
      <c r="F142" s="471">
        <f t="shared" si="10"/>
        <v>4110</v>
      </c>
      <c r="G142" s="446">
        <f t="shared" si="10"/>
        <v>0</v>
      </c>
      <c r="H142" s="472">
        <f>일위대가목록표!F278</f>
        <v>3137</v>
      </c>
      <c r="I142" s="465">
        <f t="shared" si="11"/>
        <v>0</v>
      </c>
      <c r="J142" s="473">
        <f>일위대가목록표!G278</f>
        <v>411</v>
      </c>
      <c r="K142" s="465">
        <f t="shared" si="12"/>
        <v>0</v>
      </c>
      <c r="L142" s="474">
        <f>일위대가목록표!H278</f>
        <v>562</v>
      </c>
      <c r="M142" s="467">
        <f t="shared" si="13"/>
        <v>0</v>
      </c>
      <c r="N142" s="463" t="s">
        <v>1257</v>
      </c>
      <c r="O142" s="451" t="s">
        <v>1258</v>
      </c>
      <c r="P142" s="468" t="s">
        <v>1259</v>
      </c>
      <c r="Q142" s="468" t="s">
        <v>909</v>
      </c>
      <c r="AC142" s="433" t="str">
        <f ca="1">HYPERLINK("#"&amp;일위대가목록표!J2&amp;"!A"&amp;ROW(일위대가목록표!A278),"B01959 →")</f>
        <v>B01959 →</v>
      </c>
    </row>
    <row r="143" spans="1:29" ht="35.25" customHeight="1">
      <c r="A143" s="452"/>
      <c r="B143" s="452" t="s">
        <v>1255</v>
      </c>
      <c r="C143" s="449" t="s">
        <v>1260</v>
      </c>
      <c r="D143" s="470">
        <v>0</v>
      </c>
      <c r="E143" s="463" t="s">
        <v>595</v>
      </c>
      <c r="F143" s="471">
        <f t="shared" si="10"/>
        <v>3712</v>
      </c>
      <c r="G143" s="446">
        <f t="shared" si="10"/>
        <v>0</v>
      </c>
      <c r="H143" s="472">
        <f>일위대가목록표!F279</f>
        <v>2788</v>
      </c>
      <c r="I143" s="465">
        <f t="shared" si="11"/>
        <v>0</v>
      </c>
      <c r="J143" s="473">
        <f>일위대가목록표!G279</f>
        <v>409</v>
      </c>
      <c r="K143" s="465">
        <f t="shared" si="12"/>
        <v>0</v>
      </c>
      <c r="L143" s="474">
        <f>일위대가목록표!H279</f>
        <v>515</v>
      </c>
      <c r="M143" s="467">
        <f t="shared" si="13"/>
        <v>0</v>
      </c>
      <c r="N143" s="463" t="s">
        <v>1261</v>
      </c>
      <c r="O143" s="451" t="s">
        <v>1262</v>
      </c>
      <c r="P143" s="468" t="s">
        <v>1263</v>
      </c>
      <c r="Q143" s="468" t="s">
        <v>909</v>
      </c>
      <c r="AC143" s="433" t="str">
        <f ca="1">HYPERLINK("#"&amp;일위대가목록표!J2&amp;"!A"&amp;ROW(일위대가목록표!A279),"B02213 →")</f>
        <v>B02213 →</v>
      </c>
    </row>
    <row r="144" spans="1:29" ht="35.25" customHeight="1">
      <c r="A144" s="452"/>
      <c r="B144" s="452" t="s">
        <v>1255</v>
      </c>
      <c r="C144" s="449" t="s">
        <v>1264</v>
      </c>
      <c r="D144" s="470">
        <v>0</v>
      </c>
      <c r="E144" s="463" t="s">
        <v>595</v>
      </c>
      <c r="F144" s="471">
        <f t="shared" si="10"/>
        <v>7907</v>
      </c>
      <c r="G144" s="446">
        <f t="shared" si="10"/>
        <v>0</v>
      </c>
      <c r="H144" s="472">
        <f>일위대가목록표!F280</f>
        <v>5925</v>
      </c>
      <c r="I144" s="465">
        <f t="shared" si="11"/>
        <v>0</v>
      </c>
      <c r="J144" s="473">
        <f>일위대가목록표!G280</f>
        <v>878</v>
      </c>
      <c r="K144" s="465">
        <f t="shared" si="12"/>
        <v>0</v>
      </c>
      <c r="L144" s="474">
        <f>일위대가목록표!H280</f>
        <v>1104</v>
      </c>
      <c r="M144" s="467">
        <f t="shared" si="13"/>
        <v>0</v>
      </c>
      <c r="N144" s="463" t="s">
        <v>1265</v>
      </c>
      <c r="O144" s="451" t="s">
        <v>1266</v>
      </c>
      <c r="P144" s="468" t="s">
        <v>1267</v>
      </c>
      <c r="Q144" s="468" t="s">
        <v>909</v>
      </c>
      <c r="AC144" s="433" t="str">
        <f ca="1">HYPERLINK("#"&amp;일위대가목록표!J2&amp;"!A"&amp;ROW(일위대가목록표!A280),"B02295 →")</f>
        <v>B02295 →</v>
      </c>
    </row>
    <row r="145" spans="1:29" ht="35.25" customHeight="1">
      <c r="A145" s="452"/>
      <c r="B145" s="452" t="s">
        <v>1268</v>
      </c>
      <c r="C145" s="449" t="s">
        <v>1269</v>
      </c>
      <c r="D145" s="470">
        <v>0</v>
      </c>
      <c r="E145" s="463" t="s">
        <v>595</v>
      </c>
      <c r="F145" s="471">
        <f t="shared" si="10"/>
        <v>3269</v>
      </c>
      <c r="G145" s="446">
        <f t="shared" si="10"/>
        <v>0</v>
      </c>
      <c r="H145" s="472">
        <f>일위대가목록표!F150</f>
        <v>3269</v>
      </c>
      <c r="I145" s="465">
        <f t="shared" si="11"/>
        <v>0</v>
      </c>
      <c r="J145" s="473">
        <f>일위대가목록표!G150</f>
        <v>0</v>
      </c>
      <c r="K145" s="465">
        <f t="shared" si="12"/>
        <v>0</v>
      </c>
      <c r="L145" s="474">
        <f>일위대가목록표!H150</f>
        <v>0</v>
      </c>
      <c r="M145" s="467">
        <f t="shared" si="13"/>
        <v>0</v>
      </c>
      <c r="N145" s="463" t="s">
        <v>1270</v>
      </c>
      <c r="O145" s="451" t="s">
        <v>1271</v>
      </c>
      <c r="P145" s="468" t="s">
        <v>1272</v>
      </c>
      <c r="Q145" s="468" t="s">
        <v>909</v>
      </c>
      <c r="AC145" s="433" t="str">
        <f ca="1">HYPERLINK("#"&amp;일위대가목록표!J2&amp;"!A"&amp;ROW(일위대가목록표!A150),"B02124 →")</f>
        <v>B02124 →</v>
      </c>
    </row>
    <row r="146" spans="1:29" ht="35.25" customHeight="1">
      <c r="A146" s="452"/>
      <c r="B146" s="452" t="s">
        <v>1268</v>
      </c>
      <c r="C146" s="449" t="s">
        <v>1273</v>
      </c>
      <c r="D146" s="470">
        <v>0</v>
      </c>
      <c r="E146" s="463" t="s">
        <v>595</v>
      </c>
      <c r="F146" s="471">
        <f t="shared" si="10"/>
        <v>2925</v>
      </c>
      <c r="G146" s="446">
        <f t="shared" si="10"/>
        <v>0</v>
      </c>
      <c r="H146" s="472">
        <f>일위대가목록표!F149</f>
        <v>2925</v>
      </c>
      <c r="I146" s="465">
        <f t="shared" si="11"/>
        <v>0</v>
      </c>
      <c r="J146" s="473">
        <f>일위대가목록표!G149</f>
        <v>0</v>
      </c>
      <c r="K146" s="465">
        <f t="shared" si="12"/>
        <v>0</v>
      </c>
      <c r="L146" s="474">
        <f>일위대가목록표!H149</f>
        <v>0</v>
      </c>
      <c r="M146" s="467">
        <f t="shared" si="13"/>
        <v>0</v>
      </c>
      <c r="N146" s="463" t="s">
        <v>1274</v>
      </c>
      <c r="O146" s="451" t="s">
        <v>1275</v>
      </c>
      <c r="P146" s="468" t="s">
        <v>1276</v>
      </c>
      <c r="Q146" s="468" t="s">
        <v>909</v>
      </c>
      <c r="AC146" s="433" t="str">
        <f ca="1">HYPERLINK("#"&amp;일위대가목록표!J2&amp;"!A"&amp;ROW(일위대가목록표!A149),"B02186 →")</f>
        <v>B02186 →</v>
      </c>
    </row>
    <row r="147" spans="1:29" ht="35.25" customHeight="1">
      <c r="A147" s="452"/>
      <c r="B147" s="452" t="s">
        <v>1277</v>
      </c>
      <c r="C147" s="449" t="s">
        <v>1278</v>
      </c>
      <c r="D147" s="470">
        <v>0</v>
      </c>
      <c r="E147" s="463" t="s">
        <v>595</v>
      </c>
      <c r="F147" s="471">
        <f t="shared" si="10"/>
        <v>915</v>
      </c>
      <c r="G147" s="446">
        <f t="shared" si="10"/>
        <v>0</v>
      </c>
      <c r="H147" s="472">
        <f>단가산출근거목록표!F65</f>
        <v>445</v>
      </c>
      <c r="I147" s="465">
        <f t="shared" si="11"/>
        <v>0</v>
      </c>
      <c r="J147" s="473">
        <f>단가산출근거목록표!G65</f>
        <v>247</v>
      </c>
      <c r="K147" s="465">
        <f t="shared" si="12"/>
        <v>0</v>
      </c>
      <c r="L147" s="474">
        <f>단가산출근거목록표!H65</f>
        <v>223</v>
      </c>
      <c r="M147" s="467">
        <f t="shared" si="13"/>
        <v>0</v>
      </c>
      <c r="N147" s="463" t="s">
        <v>1279</v>
      </c>
      <c r="O147" s="451" t="s">
        <v>1280</v>
      </c>
      <c r="P147" s="468" t="s">
        <v>1281</v>
      </c>
      <c r="Q147" s="468" t="s">
        <v>909</v>
      </c>
      <c r="AC147" s="433" t="str">
        <f ca="1">HYPERLINK("#"&amp;단가산출근거목록표!J2&amp;"!A"&amp;ROW(단가산출근거목록표!A65),"D01274 →")</f>
        <v>D01274 →</v>
      </c>
    </row>
    <row r="148" spans="1:29" ht="35.25" customHeight="1">
      <c r="A148" s="452"/>
      <c r="B148" s="452" t="s">
        <v>1282</v>
      </c>
      <c r="C148" s="449" t="s">
        <v>1283</v>
      </c>
      <c r="D148" s="470">
        <v>0</v>
      </c>
      <c r="E148" s="463" t="s">
        <v>595</v>
      </c>
      <c r="F148" s="471">
        <f t="shared" si="10"/>
        <v>19215</v>
      </c>
      <c r="G148" s="446">
        <f t="shared" si="10"/>
        <v>0</v>
      </c>
      <c r="H148" s="472">
        <f>일위대가목록표!F171</f>
        <v>6371</v>
      </c>
      <c r="I148" s="465">
        <f t="shared" si="11"/>
        <v>0</v>
      </c>
      <c r="J148" s="473">
        <f>일위대가목록표!G171</f>
        <v>12118</v>
      </c>
      <c r="K148" s="465">
        <f t="shared" si="12"/>
        <v>0</v>
      </c>
      <c r="L148" s="474">
        <f>일위대가목록표!H171</f>
        <v>726</v>
      </c>
      <c r="M148" s="467">
        <f t="shared" si="13"/>
        <v>0</v>
      </c>
      <c r="N148" s="463" t="s">
        <v>1284</v>
      </c>
      <c r="O148" s="451" t="s">
        <v>1285</v>
      </c>
      <c r="P148" s="468" t="s">
        <v>1286</v>
      </c>
      <c r="Q148" s="468" t="s">
        <v>909</v>
      </c>
      <c r="AC148" s="433" t="str">
        <f ca="1">HYPERLINK("#"&amp;일위대가목록표!J2&amp;"!A"&amp;ROW(일위대가목록표!A171),"B02796 →")</f>
        <v>B02796 →</v>
      </c>
    </row>
    <row r="149" spans="1:29" ht="35.25" customHeight="1">
      <c r="A149" s="452"/>
      <c r="B149" s="452" t="s">
        <v>1287</v>
      </c>
      <c r="C149" s="449" t="s">
        <v>1283</v>
      </c>
      <c r="D149" s="470">
        <v>0</v>
      </c>
      <c r="E149" s="463" t="s">
        <v>595</v>
      </c>
      <c r="F149" s="471">
        <f t="shared" si="10"/>
        <v>4359</v>
      </c>
      <c r="G149" s="446">
        <f t="shared" si="10"/>
        <v>0</v>
      </c>
      <c r="H149" s="472">
        <f>일위대가목록표!F4</f>
        <v>590</v>
      </c>
      <c r="I149" s="465">
        <f t="shared" si="11"/>
        <v>0</v>
      </c>
      <c r="J149" s="473">
        <f>일위대가목록표!G4</f>
        <v>3769</v>
      </c>
      <c r="K149" s="465">
        <f t="shared" si="12"/>
        <v>0</v>
      </c>
      <c r="L149" s="474">
        <f>일위대가목록표!H4</f>
        <v>0</v>
      </c>
      <c r="M149" s="467">
        <f t="shared" si="13"/>
        <v>0</v>
      </c>
      <c r="N149" s="463" t="s">
        <v>1288</v>
      </c>
      <c r="O149" s="451" t="s">
        <v>1289</v>
      </c>
      <c r="P149" s="468" t="s">
        <v>1290</v>
      </c>
      <c r="Q149" s="468" t="s">
        <v>909</v>
      </c>
      <c r="AC149" s="433" t="str">
        <f ca="1">HYPERLINK("#"&amp;일위대가목록표!J2&amp;"!A"&amp;ROW(일위대가목록표!A4),"B02797 →")</f>
        <v>B02797 →</v>
      </c>
    </row>
    <row r="150" spans="1:29" ht="35.25" customHeight="1">
      <c r="A150" s="452"/>
      <c r="B150" s="452" t="s">
        <v>1291</v>
      </c>
      <c r="C150" s="449" t="s">
        <v>1292</v>
      </c>
      <c r="D150" s="470">
        <v>0</v>
      </c>
      <c r="E150" s="463" t="s">
        <v>911</v>
      </c>
      <c r="F150" s="471">
        <f t="shared" si="10"/>
        <v>88095</v>
      </c>
      <c r="G150" s="446">
        <f t="shared" si="10"/>
        <v>0</v>
      </c>
      <c r="H150" s="472">
        <f>일위대가목록표!F125</f>
        <v>48761</v>
      </c>
      <c r="I150" s="465">
        <f t="shared" si="11"/>
        <v>0</v>
      </c>
      <c r="J150" s="473">
        <f>일위대가목록표!G125</f>
        <v>36669</v>
      </c>
      <c r="K150" s="465">
        <f t="shared" si="12"/>
        <v>0</v>
      </c>
      <c r="L150" s="474">
        <f>일위대가목록표!H125</f>
        <v>2665</v>
      </c>
      <c r="M150" s="467">
        <f t="shared" si="13"/>
        <v>0</v>
      </c>
      <c r="N150" s="463" t="s">
        <v>1293</v>
      </c>
      <c r="O150" s="451" t="s">
        <v>1294</v>
      </c>
      <c r="P150" s="468" t="s">
        <v>1295</v>
      </c>
      <c r="Q150" s="468" t="s">
        <v>909</v>
      </c>
      <c r="AC150" s="433" t="str">
        <f ca="1">HYPERLINK("#"&amp;일위대가목록표!J2&amp;"!A"&amp;ROW(일위대가목록표!A125),"B01925 →")</f>
        <v>B01925 →</v>
      </c>
    </row>
    <row r="151" spans="1:29" ht="35.25" customHeight="1">
      <c r="A151" s="452"/>
      <c r="B151" s="452" t="s">
        <v>1291</v>
      </c>
      <c r="C151" s="449" t="s">
        <v>1296</v>
      </c>
      <c r="D151" s="470">
        <v>0</v>
      </c>
      <c r="E151" s="463" t="s">
        <v>911</v>
      </c>
      <c r="F151" s="471">
        <f t="shared" si="10"/>
        <v>163162</v>
      </c>
      <c r="G151" s="446">
        <f t="shared" si="10"/>
        <v>0</v>
      </c>
      <c r="H151" s="472">
        <f>일위대가목록표!F126</f>
        <v>77334</v>
      </c>
      <c r="I151" s="465">
        <f t="shared" si="11"/>
        <v>0</v>
      </c>
      <c r="J151" s="473">
        <f>일위대가목록표!G126</f>
        <v>81676</v>
      </c>
      <c r="K151" s="465">
        <f t="shared" si="12"/>
        <v>0</v>
      </c>
      <c r="L151" s="474">
        <f>일위대가목록표!H126</f>
        <v>4152</v>
      </c>
      <c r="M151" s="467">
        <f t="shared" si="13"/>
        <v>0</v>
      </c>
      <c r="N151" s="463" t="s">
        <v>1297</v>
      </c>
      <c r="O151" s="451" t="s">
        <v>1298</v>
      </c>
      <c r="P151" s="468" t="s">
        <v>1299</v>
      </c>
      <c r="Q151" s="468" t="s">
        <v>909</v>
      </c>
      <c r="AC151" s="433" t="str">
        <f ca="1">HYPERLINK("#"&amp;일위대가목록표!J2&amp;"!A"&amp;ROW(일위대가목록표!A126),"B01926 →")</f>
        <v>B01926 →</v>
      </c>
    </row>
    <row r="152" spans="1:29" ht="35.25" customHeight="1">
      <c r="A152" s="452"/>
      <c r="B152" s="452" t="s">
        <v>1300</v>
      </c>
      <c r="C152" s="449" t="s">
        <v>1301</v>
      </c>
      <c r="D152" s="470">
        <v>0</v>
      </c>
      <c r="E152" s="463" t="s">
        <v>595</v>
      </c>
      <c r="F152" s="471">
        <f t="shared" si="10"/>
        <v>722</v>
      </c>
      <c r="G152" s="446">
        <f t="shared" si="10"/>
        <v>0</v>
      </c>
      <c r="H152" s="472">
        <f>단가산출근거목록표!F62</f>
        <v>722</v>
      </c>
      <c r="I152" s="465">
        <f t="shared" si="11"/>
        <v>0</v>
      </c>
      <c r="J152" s="473">
        <f>단가산출근거목록표!G62</f>
        <v>0</v>
      </c>
      <c r="K152" s="465">
        <f t="shared" si="12"/>
        <v>0</v>
      </c>
      <c r="L152" s="474">
        <f>단가산출근거목록표!H62</f>
        <v>0</v>
      </c>
      <c r="M152" s="467">
        <f t="shared" si="13"/>
        <v>0</v>
      </c>
      <c r="N152" s="463" t="s">
        <v>1302</v>
      </c>
      <c r="O152" s="451" t="s">
        <v>1303</v>
      </c>
      <c r="P152" s="468" t="s">
        <v>1304</v>
      </c>
      <c r="Q152" s="468" t="s">
        <v>909</v>
      </c>
      <c r="AC152" s="433" t="str">
        <f ca="1">HYPERLINK("#"&amp;단가산출근거목록표!J2&amp;"!A"&amp;ROW(단가산출근거목록표!A62),"D01212 →")</f>
        <v>D01212 →</v>
      </c>
    </row>
    <row r="153" spans="1:29" ht="35.25" customHeight="1">
      <c r="A153" s="461" t="s">
        <v>850</v>
      </c>
      <c r="B153" s="461" t="s">
        <v>851</v>
      </c>
      <c r="C153" s="469"/>
      <c r="D153" s="462"/>
      <c r="E153" s="463"/>
      <c r="F153" s="464">
        <v>0</v>
      </c>
      <c r="G153" s="453">
        <f>SUMIF(Q154:Q160,P153,G154:G160)</f>
        <v>6284196</v>
      </c>
      <c r="H153" s="465">
        <v>0</v>
      </c>
      <c r="I153" s="446">
        <f>SUMIF(Q154:Q160,P153,I154:I160)</f>
        <v>914568</v>
      </c>
      <c r="J153" s="465">
        <v>0</v>
      </c>
      <c r="K153" s="466">
        <f>SUMIF(Q154:Q160,P153,K154:K160)</f>
        <v>5366664</v>
      </c>
      <c r="L153" s="467">
        <v>0</v>
      </c>
      <c r="M153" s="466">
        <f>SUMIF(Q154:Q160,P153,M154:M160)</f>
        <v>2964</v>
      </c>
      <c r="N153" s="463"/>
      <c r="O153" s="451" t="str">
        <f>"_x0007_`COD|E4_x0005_`QTY1|1_x0005_`EXI|0_x0005_`ITT|0_x0005_`END|"&amp;ROW(M161)&amp;"_x0005_`"</f>
        <v>_x0007_`COD|E4_x0005_`QTY1|1_x0005_`EXI|0_x0005_`ITT|0_x0005_`END|161_x0005_`</v>
      </c>
      <c r="P153" s="468" t="s">
        <v>909</v>
      </c>
      <c r="Q153" s="468" t="s">
        <v>907</v>
      </c>
    </row>
    <row r="154" spans="1:29" ht="35.25" customHeight="1">
      <c r="A154" s="452"/>
      <c r="B154" s="452" t="s">
        <v>5188</v>
      </c>
      <c r="C154" s="449" t="s">
        <v>1305</v>
      </c>
      <c r="D154" s="470">
        <v>0</v>
      </c>
      <c r="E154" s="463" t="s">
        <v>975</v>
      </c>
      <c r="F154" s="471">
        <f t="shared" ref="F154:G160" si="14">J154+H154+L154</f>
        <v>446926</v>
      </c>
      <c r="G154" s="446">
        <f t="shared" si="14"/>
        <v>0</v>
      </c>
      <c r="H154" s="472">
        <f>일위대가목록표!F321</f>
        <v>93722</v>
      </c>
      <c r="I154" s="465">
        <f t="shared" ref="I154:I160" si="15">ROUNDDOWN(H154*D154,0)</f>
        <v>0</v>
      </c>
      <c r="J154" s="473">
        <f>일위대가목록표!G321</f>
        <v>352957</v>
      </c>
      <c r="K154" s="465">
        <f t="shared" ref="K154:K160" si="16">ROUNDDOWN(J154*D154,0)</f>
        <v>0</v>
      </c>
      <c r="L154" s="474">
        <f>일위대가목록표!H321</f>
        <v>247</v>
      </c>
      <c r="M154" s="467">
        <f t="shared" ref="M154:M160" si="17">ROUNDDOWN(L154*D154,0)</f>
        <v>0</v>
      </c>
      <c r="N154" s="463" t="s">
        <v>5189</v>
      </c>
      <c r="O154" s="451" t="s">
        <v>5190</v>
      </c>
      <c r="P154" s="468" t="s">
        <v>5191</v>
      </c>
      <c r="Q154" s="468" t="s">
        <v>909</v>
      </c>
      <c r="AC154" s="433" t="str">
        <f ca="1">HYPERLINK("#"&amp;일위대가목록표!J2&amp;"!A"&amp;ROW(일위대가목록표!A321),"B02864 →")</f>
        <v>B02864 →</v>
      </c>
    </row>
    <row r="155" spans="1:29" ht="35.25" customHeight="1">
      <c r="A155" s="452"/>
      <c r="B155" s="452" t="s">
        <v>5192</v>
      </c>
      <c r="C155" s="449" t="s">
        <v>1305</v>
      </c>
      <c r="D155" s="470"/>
      <c r="E155" s="463" t="s">
        <v>975</v>
      </c>
      <c r="F155" s="471">
        <f t="shared" si="14"/>
        <v>455076</v>
      </c>
      <c r="G155" s="446">
        <f t="shared" si="14"/>
        <v>0</v>
      </c>
      <c r="H155" s="472">
        <f>일위대가목록표!F322</f>
        <v>101872</v>
      </c>
      <c r="I155" s="465">
        <f t="shared" si="15"/>
        <v>0</v>
      </c>
      <c r="J155" s="473">
        <f>일위대가목록표!G322</f>
        <v>352957</v>
      </c>
      <c r="K155" s="465">
        <f t="shared" si="16"/>
        <v>0</v>
      </c>
      <c r="L155" s="474">
        <f>일위대가목록표!H322</f>
        <v>247</v>
      </c>
      <c r="M155" s="467">
        <f t="shared" si="17"/>
        <v>0</v>
      </c>
      <c r="N155" s="463" t="s">
        <v>1306</v>
      </c>
      <c r="O155" s="451" t="s">
        <v>1307</v>
      </c>
      <c r="P155" s="468" t="s">
        <v>1308</v>
      </c>
      <c r="Q155" s="468" t="s">
        <v>909</v>
      </c>
      <c r="AC155" s="433" t="str">
        <f ca="1">HYPERLINK("#"&amp;일위대가목록표!J2&amp;"!A"&amp;ROW(일위대가목록표!A322),"B02623 →")</f>
        <v>B02623 →</v>
      </c>
    </row>
    <row r="156" spans="1:29" ht="35.25" customHeight="1">
      <c r="A156" s="452"/>
      <c r="B156" s="452" t="s">
        <v>1309</v>
      </c>
      <c r="C156" s="449" t="s">
        <v>1305</v>
      </c>
      <c r="D156" s="470"/>
      <c r="E156" s="463" t="s">
        <v>975</v>
      </c>
      <c r="F156" s="471">
        <f t="shared" si="14"/>
        <v>434701</v>
      </c>
      <c r="G156" s="446">
        <f t="shared" si="14"/>
        <v>0</v>
      </c>
      <c r="H156" s="472">
        <f>일위대가목록표!F320</f>
        <v>81497</v>
      </c>
      <c r="I156" s="465">
        <f t="shared" si="15"/>
        <v>0</v>
      </c>
      <c r="J156" s="473">
        <f>일위대가목록표!G320</f>
        <v>352957</v>
      </c>
      <c r="K156" s="465">
        <f t="shared" si="16"/>
        <v>0</v>
      </c>
      <c r="L156" s="474">
        <f>일위대가목록표!H320</f>
        <v>247</v>
      </c>
      <c r="M156" s="467">
        <f t="shared" si="17"/>
        <v>0</v>
      </c>
      <c r="N156" s="463" t="s">
        <v>1310</v>
      </c>
      <c r="O156" s="451" t="s">
        <v>1311</v>
      </c>
      <c r="P156" s="468" t="s">
        <v>1312</v>
      </c>
      <c r="Q156" s="468" t="s">
        <v>909</v>
      </c>
      <c r="AC156" s="433" t="str">
        <f ca="1">HYPERLINK("#"&amp;일위대가목록표!J2&amp;"!A"&amp;ROW(일위대가목록표!A320),"B01853 →")</f>
        <v>B01853 →</v>
      </c>
    </row>
    <row r="157" spans="1:29" ht="35.25" customHeight="1">
      <c r="A157" s="452"/>
      <c r="B157" s="452" t="s">
        <v>5193</v>
      </c>
      <c r="C157" s="449" t="s">
        <v>1313</v>
      </c>
      <c r="D157" s="470"/>
      <c r="E157" s="463" t="s">
        <v>975</v>
      </c>
      <c r="F157" s="471">
        <f t="shared" si="14"/>
        <v>535115</v>
      </c>
      <c r="G157" s="446">
        <f t="shared" si="14"/>
        <v>0</v>
      </c>
      <c r="H157" s="472">
        <f>일위대가목록표!F63</f>
        <v>87646</v>
      </c>
      <c r="I157" s="465">
        <f t="shared" si="15"/>
        <v>0</v>
      </c>
      <c r="J157" s="473">
        <f>일위대가목록표!G63</f>
        <v>447222</v>
      </c>
      <c r="K157" s="465">
        <f t="shared" si="16"/>
        <v>0</v>
      </c>
      <c r="L157" s="474">
        <f>일위대가목록표!H63</f>
        <v>247</v>
      </c>
      <c r="M157" s="467">
        <f t="shared" si="17"/>
        <v>0</v>
      </c>
      <c r="N157" s="463" t="s">
        <v>5194</v>
      </c>
      <c r="O157" s="451" t="s">
        <v>5195</v>
      </c>
      <c r="P157" s="468" t="s">
        <v>5196</v>
      </c>
      <c r="Q157" s="468" t="s">
        <v>909</v>
      </c>
      <c r="AC157" s="433" t="str">
        <f ca="1">HYPERLINK("#"&amp;일위대가목록표!J2&amp;"!A"&amp;ROW(일위대가목록표!A63),"B02865 →")</f>
        <v>B02865 →</v>
      </c>
    </row>
    <row r="158" spans="1:29" ht="35.25" customHeight="1">
      <c r="A158" s="452"/>
      <c r="B158" s="452" t="s">
        <v>5197</v>
      </c>
      <c r="C158" s="449" t="s">
        <v>1313</v>
      </c>
      <c r="D158" s="470">
        <v>0</v>
      </c>
      <c r="E158" s="463" t="s">
        <v>975</v>
      </c>
      <c r="F158" s="471">
        <f t="shared" si="14"/>
        <v>542736</v>
      </c>
      <c r="G158" s="446">
        <f t="shared" si="14"/>
        <v>0</v>
      </c>
      <c r="H158" s="472">
        <f>일위대가목록표!F64</f>
        <v>95267</v>
      </c>
      <c r="I158" s="465">
        <f t="shared" si="15"/>
        <v>0</v>
      </c>
      <c r="J158" s="473">
        <f>일위대가목록표!G64</f>
        <v>447222</v>
      </c>
      <c r="K158" s="465">
        <f t="shared" si="16"/>
        <v>0</v>
      </c>
      <c r="L158" s="474">
        <f>일위대가목록표!H64</f>
        <v>247</v>
      </c>
      <c r="M158" s="467">
        <f t="shared" si="17"/>
        <v>0</v>
      </c>
      <c r="N158" s="463" t="s">
        <v>1314</v>
      </c>
      <c r="O158" s="451" t="s">
        <v>1315</v>
      </c>
      <c r="P158" s="468" t="s">
        <v>1316</v>
      </c>
      <c r="Q158" s="468" t="s">
        <v>909</v>
      </c>
      <c r="AC158" s="433" t="str">
        <f ca="1">HYPERLINK("#"&amp;일위대가목록표!J2&amp;"!A"&amp;ROW(일위대가목록표!A64),"B02624 →")</f>
        <v>B02624 →</v>
      </c>
    </row>
    <row r="159" spans="1:29" ht="35.25" customHeight="1">
      <c r="A159" s="452"/>
      <c r="B159" s="452" t="s">
        <v>1317</v>
      </c>
      <c r="C159" s="449" t="s">
        <v>1313</v>
      </c>
      <c r="D159" s="470">
        <v>12</v>
      </c>
      <c r="E159" s="463" t="s">
        <v>975</v>
      </c>
      <c r="F159" s="471">
        <f t="shared" si="14"/>
        <v>523683</v>
      </c>
      <c r="G159" s="446">
        <f t="shared" si="14"/>
        <v>6284196</v>
      </c>
      <c r="H159" s="472">
        <f>일위대가목록표!F62</f>
        <v>76214</v>
      </c>
      <c r="I159" s="465">
        <f t="shared" si="15"/>
        <v>914568</v>
      </c>
      <c r="J159" s="473">
        <f>일위대가목록표!G62</f>
        <v>447222</v>
      </c>
      <c r="K159" s="465">
        <f t="shared" si="16"/>
        <v>5366664</v>
      </c>
      <c r="L159" s="474">
        <f>일위대가목록표!H62</f>
        <v>247</v>
      </c>
      <c r="M159" s="467">
        <f t="shared" si="17"/>
        <v>2964</v>
      </c>
      <c r="N159" s="463" t="s">
        <v>1318</v>
      </c>
      <c r="O159" s="451" t="s">
        <v>1319</v>
      </c>
      <c r="P159" s="468" t="s">
        <v>1320</v>
      </c>
      <c r="Q159" s="468" t="s">
        <v>909</v>
      </c>
      <c r="AC159" s="433" t="str">
        <f ca="1">HYPERLINK("#"&amp;일위대가목록표!J2&amp;"!A"&amp;ROW(일위대가목록표!A62),"B02625 →")</f>
        <v>B02625 →</v>
      </c>
    </row>
    <row r="160" spans="1:29" ht="35.25" customHeight="1">
      <c r="A160" s="452"/>
      <c r="B160" s="452" t="s">
        <v>1321</v>
      </c>
      <c r="C160" s="449" t="s">
        <v>1322</v>
      </c>
      <c r="D160" s="470">
        <v>0</v>
      </c>
      <c r="E160" s="463" t="s">
        <v>975</v>
      </c>
      <c r="F160" s="471">
        <f t="shared" si="14"/>
        <v>34540000</v>
      </c>
      <c r="G160" s="446">
        <f t="shared" si="14"/>
        <v>0</v>
      </c>
      <c r="H160" s="472">
        <f>일위대가목록표!F344</f>
        <v>0</v>
      </c>
      <c r="I160" s="465">
        <f t="shared" si="15"/>
        <v>0</v>
      </c>
      <c r="J160" s="473">
        <f>일위대가목록표!G344</f>
        <v>34540000</v>
      </c>
      <c r="K160" s="465">
        <f t="shared" si="16"/>
        <v>0</v>
      </c>
      <c r="L160" s="474">
        <f>일위대가목록표!H344</f>
        <v>0</v>
      </c>
      <c r="M160" s="467">
        <f t="shared" si="17"/>
        <v>0</v>
      </c>
      <c r="N160" s="463" t="s">
        <v>1323</v>
      </c>
      <c r="O160" s="451" t="s">
        <v>1324</v>
      </c>
      <c r="P160" s="468" t="s">
        <v>1325</v>
      </c>
      <c r="Q160" s="468" t="s">
        <v>909</v>
      </c>
      <c r="AC160" s="433" t="str">
        <f ca="1">HYPERLINK("#"&amp;일위대가목록표!J2&amp;"!A"&amp;ROW(일위대가목록표!A344),"B02528 →")</f>
        <v>B02528 →</v>
      </c>
    </row>
    <row r="161" spans="1:29" ht="35.25" customHeight="1">
      <c r="A161" s="461" t="s">
        <v>852</v>
      </c>
      <c r="B161" s="461" t="s">
        <v>853</v>
      </c>
      <c r="C161" s="469"/>
      <c r="D161" s="462"/>
      <c r="E161" s="463"/>
      <c r="F161" s="464">
        <v>0</v>
      </c>
      <c r="G161" s="453">
        <f>SUMIF(Q162:Q179,P161,G162:G179)</f>
        <v>0</v>
      </c>
      <c r="H161" s="465">
        <v>0</v>
      </c>
      <c r="I161" s="446">
        <f>SUMIF(Q162:Q179,P161,I162:I179)</f>
        <v>0</v>
      </c>
      <c r="J161" s="465">
        <v>0</v>
      </c>
      <c r="K161" s="466">
        <f>SUMIF(Q162:Q179,P161,K162:K179)</f>
        <v>0</v>
      </c>
      <c r="L161" s="467">
        <v>0</v>
      </c>
      <c r="M161" s="466">
        <f>SUMIF(Q162:Q179,P161,M162:M179)</f>
        <v>0</v>
      </c>
      <c r="N161" s="463"/>
      <c r="O161" s="451" t="str">
        <f>"_x0007_`COD|E4_x0005_`QTY1|1_x0005_`EXI|0_x0005_`ITT|0_x0005_`END|"&amp;ROW(M180)&amp;"_x0005_`"</f>
        <v>_x0007_`COD|E4_x0005_`QTY1|1_x0005_`EXI|0_x0005_`ITT|0_x0005_`END|180_x0005_`</v>
      </c>
      <c r="P161" s="468" t="s">
        <v>909</v>
      </c>
      <c r="Q161" s="468" t="s">
        <v>907</v>
      </c>
    </row>
    <row r="162" spans="1:29" ht="35.25" customHeight="1">
      <c r="A162" s="452"/>
      <c r="B162" s="452" t="s">
        <v>1326</v>
      </c>
      <c r="C162" s="449" t="s">
        <v>1327</v>
      </c>
      <c r="D162" s="470"/>
      <c r="E162" s="463" t="s">
        <v>975</v>
      </c>
      <c r="F162" s="471">
        <f t="shared" ref="F162:G179" si="18">J162+H162+L162</f>
        <v>3950000</v>
      </c>
      <c r="G162" s="446">
        <f t="shared" si="18"/>
        <v>0</v>
      </c>
      <c r="H162" s="472">
        <f>일위대가목록표!F13</f>
        <v>0</v>
      </c>
      <c r="I162" s="465">
        <f t="shared" ref="I162:I179" si="19">ROUNDDOWN(H162*D162,0)</f>
        <v>0</v>
      </c>
      <c r="J162" s="473">
        <f>일위대가목록표!G13</f>
        <v>3950000</v>
      </c>
      <c r="K162" s="465">
        <f t="shared" ref="K162:K179" si="20">ROUNDDOWN(J162*D162,0)</f>
        <v>0</v>
      </c>
      <c r="L162" s="474">
        <f>일위대가목록표!H13</f>
        <v>0</v>
      </c>
      <c r="M162" s="467">
        <f t="shared" ref="M162:M179" si="21">ROUNDDOWN(L162*D162,0)</f>
        <v>0</v>
      </c>
      <c r="N162" s="463" t="s">
        <v>1328</v>
      </c>
      <c r="O162" s="451" t="s">
        <v>1329</v>
      </c>
      <c r="P162" s="468" t="s">
        <v>1330</v>
      </c>
      <c r="Q162" s="468" t="s">
        <v>909</v>
      </c>
      <c r="AC162" s="433" t="str">
        <f ca="1">HYPERLINK("#"&amp;일위대가목록표!J2&amp;"!A"&amp;ROW(일위대가목록표!A13),"B02645 →")</f>
        <v>B02645 →</v>
      </c>
    </row>
    <row r="163" spans="1:29" ht="35.25" customHeight="1">
      <c r="A163" s="452"/>
      <c r="B163" s="452" t="s">
        <v>1331</v>
      </c>
      <c r="C163" s="449" t="s">
        <v>1332</v>
      </c>
      <c r="D163" s="470"/>
      <c r="E163" s="463" t="s">
        <v>975</v>
      </c>
      <c r="F163" s="471">
        <f t="shared" si="18"/>
        <v>5450000</v>
      </c>
      <c r="G163" s="446">
        <f t="shared" si="18"/>
        <v>0</v>
      </c>
      <c r="H163" s="472">
        <f>일위대가목록표!F18</f>
        <v>0</v>
      </c>
      <c r="I163" s="465">
        <f t="shared" si="19"/>
        <v>0</v>
      </c>
      <c r="J163" s="473">
        <f>일위대가목록표!G18</f>
        <v>5450000</v>
      </c>
      <c r="K163" s="465">
        <f t="shared" si="20"/>
        <v>0</v>
      </c>
      <c r="L163" s="474">
        <f>일위대가목록표!H18</f>
        <v>0</v>
      </c>
      <c r="M163" s="467">
        <f t="shared" si="21"/>
        <v>0</v>
      </c>
      <c r="N163" s="463" t="s">
        <v>1333</v>
      </c>
      <c r="O163" s="451" t="s">
        <v>1334</v>
      </c>
      <c r="P163" s="468" t="s">
        <v>1335</v>
      </c>
      <c r="Q163" s="468" t="s">
        <v>909</v>
      </c>
      <c r="AC163" s="433" t="str">
        <f ca="1">HYPERLINK("#"&amp;일위대가목록표!J2&amp;"!A"&amp;ROW(일위대가목록표!A18),"B02531 →")</f>
        <v>B02531 →</v>
      </c>
    </row>
    <row r="164" spans="1:29" ht="35.25" customHeight="1">
      <c r="A164" s="452"/>
      <c r="B164" s="452" t="s">
        <v>1336</v>
      </c>
      <c r="C164" s="449" t="s">
        <v>1337</v>
      </c>
      <c r="D164" s="470"/>
      <c r="E164" s="463" t="s">
        <v>975</v>
      </c>
      <c r="F164" s="471">
        <f t="shared" si="18"/>
        <v>6110000</v>
      </c>
      <c r="G164" s="446">
        <f t="shared" si="18"/>
        <v>0</v>
      </c>
      <c r="H164" s="472">
        <f>일위대가목록표!F19</f>
        <v>0</v>
      </c>
      <c r="I164" s="465">
        <f t="shared" si="19"/>
        <v>0</v>
      </c>
      <c r="J164" s="473">
        <f>일위대가목록표!G19</f>
        <v>6110000</v>
      </c>
      <c r="K164" s="465">
        <f t="shared" si="20"/>
        <v>0</v>
      </c>
      <c r="L164" s="474">
        <f>일위대가목록표!H19</f>
        <v>0</v>
      </c>
      <c r="M164" s="467">
        <f t="shared" si="21"/>
        <v>0</v>
      </c>
      <c r="N164" s="463" t="s">
        <v>1338</v>
      </c>
      <c r="O164" s="451" t="s">
        <v>1339</v>
      </c>
      <c r="P164" s="468" t="s">
        <v>1340</v>
      </c>
      <c r="Q164" s="468" t="s">
        <v>909</v>
      </c>
      <c r="AC164" s="433" t="str">
        <f ca="1">HYPERLINK("#"&amp;일위대가목록표!J2&amp;"!A"&amp;ROW(일위대가목록표!A19),"B02537 →")</f>
        <v>B02537 →</v>
      </c>
    </row>
    <row r="165" spans="1:29" ht="35.25" customHeight="1">
      <c r="A165" s="452"/>
      <c r="B165" s="452" t="s">
        <v>1341</v>
      </c>
      <c r="C165" s="449" t="s">
        <v>1342</v>
      </c>
      <c r="D165" s="470"/>
      <c r="E165" s="463" t="s">
        <v>975</v>
      </c>
      <c r="F165" s="471">
        <f t="shared" si="18"/>
        <v>4335000</v>
      </c>
      <c r="G165" s="446">
        <f t="shared" si="18"/>
        <v>0</v>
      </c>
      <c r="H165" s="472">
        <f>일위대가목록표!F20</f>
        <v>0</v>
      </c>
      <c r="I165" s="465">
        <f t="shared" si="19"/>
        <v>0</v>
      </c>
      <c r="J165" s="473">
        <f>일위대가목록표!G20</f>
        <v>4335000</v>
      </c>
      <c r="K165" s="465">
        <f t="shared" si="20"/>
        <v>0</v>
      </c>
      <c r="L165" s="474">
        <f>일위대가목록표!H20</f>
        <v>0</v>
      </c>
      <c r="M165" s="467">
        <f t="shared" si="21"/>
        <v>0</v>
      </c>
      <c r="N165" s="463" t="s">
        <v>1343</v>
      </c>
      <c r="O165" s="451" t="s">
        <v>1344</v>
      </c>
      <c r="P165" s="468" t="s">
        <v>1345</v>
      </c>
      <c r="Q165" s="468" t="s">
        <v>909</v>
      </c>
      <c r="AC165" s="433" t="str">
        <f ca="1">HYPERLINK("#"&amp;일위대가목록표!J2&amp;"!A"&amp;ROW(일위대가목록표!A20),"B02533 →")</f>
        <v>B02533 →</v>
      </c>
    </row>
    <row r="166" spans="1:29" ht="35.25" customHeight="1">
      <c r="A166" s="452"/>
      <c r="B166" s="452" t="s">
        <v>1346</v>
      </c>
      <c r="C166" s="449" t="s">
        <v>1347</v>
      </c>
      <c r="D166" s="470"/>
      <c r="E166" s="463" t="s">
        <v>975</v>
      </c>
      <c r="F166" s="471">
        <f t="shared" si="18"/>
        <v>3415000</v>
      </c>
      <c r="G166" s="446">
        <f t="shared" si="18"/>
        <v>0</v>
      </c>
      <c r="H166" s="472">
        <f>일위대가목록표!F70</f>
        <v>0</v>
      </c>
      <c r="I166" s="465">
        <f t="shared" si="19"/>
        <v>0</v>
      </c>
      <c r="J166" s="473">
        <f>일위대가목록표!G70</f>
        <v>3415000</v>
      </c>
      <c r="K166" s="465">
        <f t="shared" si="20"/>
        <v>0</v>
      </c>
      <c r="L166" s="474">
        <f>일위대가목록표!H70</f>
        <v>0</v>
      </c>
      <c r="M166" s="467">
        <f t="shared" si="21"/>
        <v>0</v>
      </c>
      <c r="N166" s="463" t="s">
        <v>1348</v>
      </c>
      <c r="O166" s="451" t="s">
        <v>1349</v>
      </c>
      <c r="P166" s="468" t="s">
        <v>1350</v>
      </c>
      <c r="Q166" s="468" t="s">
        <v>909</v>
      </c>
      <c r="AC166" s="433" t="str">
        <f ca="1">HYPERLINK("#"&amp;일위대가목록표!J2&amp;"!A"&amp;ROW(일위대가목록표!A70),"B02532 →")</f>
        <v>B02532 →</v>
      </c>
    </row>
    <row r="167" spans="1:29" ht="35.25" customHeight="1">
      <c r="A167" s="452"/>
      <c r="B167" s="452" t="s">
        <v>1351</v>
      </c>
      <c r="C167" s="449" t="s">
        <v>2316</v>
      </c>
      <c r="D167" s="470"/>
      <c r="E167" s="463" t="s">
        <v>975</v>
      </c>
      <c r="F167" s="471">
        <f t="shared" si="18"/>
        <v>4470000</v>
      </c>
      <c r="G167" s="446">
        <f t="shared" si="18"/>
        <v>0</v>
      </c>
      <c r="H167" s="472">
        <f>일위대가목록표!F213</f>
        <v>0</v>
      </c>
      <c r="I167" s="465">
        <f t="shared" si="19"/>
        <v>0</v>
      </c>
      <c r="J167" s="473">
        <f>일위대가목록표!G213</f>
        <v>4470000</v>
      </c>
      <c r="K167" s="465">
        <f t="shared" si="20"/>
        <v>0</v>
      </c>
      <c r="L167" s="474">
        <f>일위대가목록표!H213</f>
        <v>0</v>
      </c>
      <c r="M167" s="467">
        <f t="shared" si="21"/>
        <v>0</v>
      </c>
      <c r="N167" s="463" t="s">
        <v>1352</v>
      </c>
      <c r="O167" s="451" t="s">
        <v>5198</v>
      </c>
      <c r="P167" s="468" t="s">
        <v>1353</v>
      </c>
      <c r="Q167" s="468" t="s">
        <v>909</v>
      </c>
      <c r="AC167" s="433" t="str">
        <f ca="1">HYPERLINK("#"&amp;일위대가목록표!J2&amp;"!A"&amp;ROW(일위대가목록표!A213),"B02536 →")</f>
        <v>B02536 →</v>
      </c>
    </row>
    <row r="168" spans="1:29" ht="35.25" customHeight="1">
      <c r="A168" s="452"/>
      <c r="B168" s="452" t="s">
        <v>1354</v>
      </c>
      <c r="C168" s="449" t="s">
        <v>1355</v>
      </c>
      <c r="D168" s="470"/>
      <c r="E168" s="463" t="s">
        <v>975</v>
      </c>
      <c r="F168" s="471">
        <f t="shared" si="18"/>
        <v>4335000</v>
      </c>
      <c r="G168" s="446">
        <f t="shared" si="18"/>
        <v>0</v>
      </c>
      <c r="H168" s="472">
        <f>일위대가목록표!F215</f>
        <v>0</v>
      </c>
      <c r="I168" s="465">
        <f t="shared" si="19"/>
        <v>0</v>
      </c>
      <c r="J168" s="473">
        <f>일위대가목록표!G215</f>
        <v>4335000</v>
      </c>
      <c r="K168" s="465">
        <f t="shared" si="20"/>
        <v>0</v>
      </c>
      <c r="L168" s="474">
        <f>일위대가목록표!H215</f>
        <v>0</v>
      </c>
      <c r="M168" s="467">
        <f t="shared" si="21"/>
        <v>0</v>
      </c>
      <c r="N168" s="463" t="s">
        <v>1356</v>
      </c>
      <c r="O168" s="451" t="s">
        <v>1357</v>
      </c>
      <c r="P168" s="468" t="s">
        <v>1358</v>
      </c>
      <c r="Q168" s="468" t="s">
        <v>909</v>
      </c>
      <c r="AC168" s="433" t="str">
        <f ca="1">HYPERLINK("#"&amp;일위대가목록표!J2&amp;"!A"&amp;ROW(일위대가목록표!A215),"B02529 →")</f>
        <v>B02529 →</v>
      </c>
    </row>
    <row r="169" spans="1:29" ht="35.25" customHeight="1">
      <c r="A169" s="452"/>
      <c r="B169" s="452" t="s">
        <v>1359</v>
      </c>
      <c r="C169" s="449" t="s">
        <v>1360</v>
      </c>
      <c r="D169" s="470"/>
      <c r="E169" s="463" t="s">
        <v>975</v>
      </c>
      <c r="F169" s="471">
        <f t="shared" si="18"/>
        <v>4335000</v>
      </c>
      <c r="G169" s="446">
        <f t="shared" si="18"/>
        <v>0</v>
      </c>
      <c r="H169" s="472">
        <f>일위대가목록표!F214</f>
        <v>0</v>
      </c>
      <c r="I169" s="465">
        <f t="shared" si="19"/>
        <v>0</v>
      </c>
      <c r="J169" s="473">
        <f>일위대가목록표!G214</f>
        <v>4335000</v>
      </c>
      <c r="K169" s="465">
        <f t="shared" si="20"/>
        <v>0</v>
      </c>
      <c r="L169" s="474">
        <f>일위대가목록표!H214</f>
        <v>0</v>
      </c>
      <c r="M169" s="467">
        <f t="shared" si="21"/>
        <v>0</v>
      </c>
      <c r="N169" s="463" t="s">
        <v>1361</v>
      </c>
      <c r="O169" s="451" t="s">
        <v>1362</v>
      </c>
      <c r="P169" s="468" t="s">
        <v>1363</v>
      </c>
      <c r="Q169" s="468" t="s">
        <v>909</v>
      </c>
      <c r="AC169" s="433" t="str">
        <f ca="1">HYPERLINK("#"&amp;일위대가목록표!J2&amp;"!A"&amp;ROW(일위대가목록표!A214),"B02538 →")</f>
        <v>B02538 →</v>
      </c>
    </row>
    <row r="170" spans="1:29" ht="35.25" customHeight="1">
      <c r="A170" s="452"/>
      <c r="B170" s="452" t="s">
        <v>1364</v>
      </c>
      <c r="C170" s="449" t="s">
        <v>1365</v>
      </c>
      <c r="D170" s="470"/>
      <c r="E170" s="463" t="s">
        <v>975</v>
      </c>
      <c r="F170" s="471">
        <f t="shared" si="18"/>
        <v>5540000</v>
      </c>
      <c r="G170" s="446">
        <f t="shared" si="18"/>
        <v>0</v>
      </c>
      <c r="H170" s="472">
        <f>일위대가목록표!F216</f>
        <v>0</v>
      </c>
      <c r="I170" s="465">
        <f t="shared" si="19"/>
        <v>0</v>
      </c>
      <c r="J170" s="473">
        <f>일위대가목록표!G216</f>
        <v>5540000</v>
      </c>
      <c r="K170" s="465">
        <f t="shared" si="20"/>
        <v>0</v>
      </c>
      <c r="L170" s="474">
        <f>일위대가목록표!H216</f>
        <v>0</v>
      </c>
      <c r="M170" s="467">
        <f t="shared" si="21"/>
        <v>0</v>
      </c>
      <c r="N170" s="463" t="s">
        <v>1366</v>
      </c>
      <c r="O170" s="451" t="s">
        <v>1367</v>
      </c>
      <c r="P170" s="468" t="s">
        <v>1368</v>
      </c>
      <c r="Q170" s="468" t="s">
        <v>909</v>
      </c>
      <c r="AC170" s="433" t="str">
        <f ca="1">HYPERLINK("#"&amp;일위대가목록표!J2&amp;"!A"&amp;ROW(일위대가목록표!A216),"B02523 →")</f>
        <v>B02523 →</v>
      </c>
    </row>
    <row r="171" spans="1:29" ht="35.25" customHeight="1">
      <c r="A171" s="452"/>
      <c r="B171" s="452" t="s">
        <v>1369</v>
      </c>
      <c r="C171" s="449" t="s">
        <v>1370</v>
      </c>
      <c r="D171" s="470"/>
      <c r="E171" s="463" t="s">
        <v>975</v>
      </c>
      <c r="F171" s="471">
        <f t="shared" si="18"/>
        <v>5850000</v>
      </c>
      <c r="G171" s="446">
        <f t="shared" si="18"/>
        <v>0</v>
      </c>
      <c r="H171" s="472">
        <f>일위대가목록표!F217</f>
        <v>0</v>
      </c>
      <c r="I171" s="465">
        <f t="shared" si="19"/>
        <v>0</v>
      </c>
      <c r="J171" s="473">
        <f>일위대가목록표!G217</f>
        <v>5850000</v>
      </c>
      <c r="K171" s="465">
        <f t="shared" si="20"/>
        <v>0</v>
      </c>
      <c r="L171" s="474">
        <f>일위대가목록표!H217</f>
        <v>0</v>
      </c>
      <c r="M171" s="467">
        <f t="shared" si="21"/>
        <v>0</v>
      </c>
      <c r="N171" s="463" t="s">
        <v>1371</v>
      </c>
      <c r="O171" s="451" t="s">
        <v>1372</v>
      </c>
      <c r="P171" s="468" t="s">
        <v>1373</v>
      </c>
      <c r="Q171" s="468" t="s">
        <v>909</v>
      </c>
      <c r="AC171" s="433" t="str">
        <f ca="1">HYPERLINK("#"&amp;일위대가목록표!J2&amp;"!A"&amp;ROW(일위대가목록표!A217),"B02524 →")</f>
        <v>B02524 →</v>
      </c>
    </row>
    <row r="172" spans="1:29" ht="35.25" customHeight="1">
      <c r="A172" s="452"/>
      <c r="B172" s="452" t="s">
        <v>1374</v>
      </c>
      <c r="C172" s="449" t="s">
        <v>1375</v>
      </c>
      <c r="D172" s="470"/>
      <c r="E172" s="463" t="s">
        <v>975</v>
      </c>
      <c r="F172" s="471">
        <f t="shared" si="18"/>
        <v>6040000</v>
      </c>
      <c r="G172" s="446">
        <f t="shared" si="18"/>
        <v>0</v>
      </c>
      <c r="H172" s="472">
        <f>일위대가목록표!F226</f>
        <v>0</v>
      </c>
      <c r="I172" s="465">
        <f t="shared" si="19"/>
        <v>0</v>
      </c>
      <c r="J172" s="473">
        <f>일위대가목록표!G226</f>
        <v>6040000</v>
      </c>
      <c r="K172" s="465">
        <f t="shared" si="20"/>
        <v>0</v>
      </c>
      <c r="L172" s="474">
        <f>일위대가목록표!H226</f>
        <v>0</v>
      </c>
      <c r="M172" s="467">
        <f t="shared" si="21"/>
        <v>0</v>
      </c>
      <c r="N172" s="463" t="s">
        <v>1376</v>
      </c>
      <c r="O172" s="451" t="s">
        <v>1377</v>
      </c>
      <c r="P172" s="468" t="s">
        <v>1378</v>
      </c>
      <c r="Q172" s="468" t="s">
        <v>909</v>
      </c>
      <c r="AC172" s="433" t="str">
        <f ca="1">HYPERLINK("#"&amp;일위대가목록표!J2&amp;"!A"&amp;ROW(일위대가목록표!A226),"B02518 →")</f>
        <v>B02518 →</v>
      </c>
    </row>
    <row r="173" spans="1:29" ht="35.25" customHeight="1">
      <c r="A173" s="452"/>
      <c r="B173" s="452" t="s">
        <v>1379</v>
      </c>
      <c r="C173" s="449" t="s">
        <v>1380</v>
      </c>
      <c r="D173" s="470"/>
      <c r="E173" s="463" t="s">
        <v>975</v>
      </c>
      <c r="F173" s="471">
        <f t="shared" si="18"/>
        <v>4880000</v>
      </c>
      <c r="G173" s="446">
        <f t="shared" si="18"/>
        <v>0</v>
      </c>
      <c r="H173" s="472">
        <f>일위대가목록표!F221</f>
        <v>0</v>
      </c>
      <c r="I173" s="465">
        <f t="shared" si="19"/>
        <v>0</v>
      </c>
      <c r="J173" s="473">
        <f>일위대가목록표!G221</f>
        <v>4880000</v>
      </c>
      <c r="K173" s="465">
        <f t="shared" si="20"/>
        <v>0</v>
      </c>
      <c r="L173" s="474">
        <f>일위대가목록표!H221</f>
        <v>0</v>
      </c>
      <c r="M173" s="467">
        <f t="shared" si="21"/>
        <v>0</v>
      </c>
      <c r="N173" s="463" t="s">
        <v>1381</v>
      </c>
      <c r="O173" s="451" t="s">
        <v>1382</v>
      </c>
      <c r="P173" s="468" t="s">
        <v>1383</v>
      </c>
      <c r="Q173" s="468" t="s">
        <v>909</v>
      </c>
      <c r="AC173" s="433" t="str">
        <f ca="1">HYPERLINK("#"&amp;일위대가목록표!J2&amp;"!A"&amp;ROW(일위대가목록표!A221),"B02520 →")</f>
        <v>B02520 →</v>
      </c>
    </row>
    <row r="174" spans="1:29" ht="35.25" customHeight="1">
      <c r="A174" s="452"/>
      <c r="B174" s="452" t="s">
        <v>1384</v>
      </c>
      <c r="C174" s="449" t="s">
        <v>1385</v>
      </c>
      <c r="D174" s="470"/>
      <c r="E174" s="463" t="s">
        <v>975</v>
      </c>
      <c r="F174" s="471">
        <f t="shared" si="18"/>
        <v>4810000</v>
      </c>
      <c r="G174" s="446">
        <f t="shared" si="18"/>
        <v>0</v>
      </c>
      <c r="H174" s="472">
        <f>일위대가목록표!F222</f>
        <v>0</v>
      </c>
      <c r="I174" s="465">
        <f t="shared" si="19"/>
        <v>0</v>
      </c>
      <c r="J174" s="473">
        <f>일위대가목록표!G222</f>
        <v>4810000</v>
      </c>
      <c r="K174" s="465">
        <f t="shared" si="20"/>
        <v>0</v>
      </c>
      <c r="L174" s="474">
        <f>일위대가목록표!H222</f>
        <v>0</v>
      </c>
      <c r="M174" s="467">
        <f t="shared" si="21"/>
        <v>0</v>
      </c>
      <c r="N174" s="463" t="s">
        <v>1386</v>
      </c>
      <c r="O174" s="451" t="s">
        <v>1387</v>
      </c>
      <c r="P174" s="468" t="s">
        <v>1388</v>
      </c>
      <c r="Q174" s="468" t="s">
        <v>909</v>
      </c>
      <c r="AC174" s="433" t="str">
        <f ca="1">HYPERLINK("#"&amp;일위대가목록표!J2&amp;"!A"&amp;ROW(일위대가목록표!A222),"B02527 →")</f>
        <v>B02527 →</v>
      </c>
    </row>
    <row r="175" spans="1:29" ht="35.25" customHeight="1">
      <c r="A175" s="452"/>
      <c r="B175" s="452" t="s">
        <v>1389</v>
      </c>
      <c r="C175" s="449" t="s">
        <v>1390</v>
      </c>
      <c r="D175" s="470"/>
      <c r="E175" s="463" t="s">
        <v>975</v>
      </c>
      <c r="F175" s="471">
        <f t="shared" si="18"/>
        <v>3290000</v>
      </c>
      <c r="G175" s="446">
        <f t="shared" si="18"/>
        <v>0</v>
      </c>
      <c r="H175" s="472">
        <f>일위대가목록표!F225</f>
        <v>0</v>
      </c>
      <c r="I175" s="465">
        <f t="shared" si="19"/>
        <v>0</v>
      </c>
      <c r="J175" s="473">
        <f>일위대가목록표!G225</f>
        <v>3290000</v>
      </c>
      <c r="K175" s="465">
        <f t="shared" si="20"/>
        <v>0</v>
      </c>
      <c r="L175" s="474">
        <f>일위대가목록표!H225</f>
        <v>0</v>
      </c>
      <c r="M175" s="467">
        <f t="shared" si="21"/>
        <v>0</v>
      </c>
      <c r="N175" s="463" t="s">
        <v>1391</v>
      </c>
      <c r="O175" s="451" t="s">
        <v>1392</v>
      </c>
      <c r="P175" s="468" t="s">
        <v>1393</v>
      </c>
      <c r="Q175" s="468" t="s">
        <v>909</v>
      </c>
      <c r="AC175" s="433" t="str">
        <f ca="1">HYPERLINK("#"&amp;일위대가목록표!J2&amp;"!A"&amp;ROW(일위대가목록표!A225),"B02521 →")</f>
        <v>B02521 →</v>
      </c>
    </row>
    <row r="176" spans="1:29" ht="35.25" customHeight="1">
      <c r="A176" s="452"/>
      <c r="B176" s="452" t="s">
        <v>1394</v>
      </c>
      <c r="C176" s="449" t="s">
        <v>1395</v>
      </c>
      <c r="D176" s="470"/>
      <c r="E176" s="463" t="s">
        <v>975</v>
      </c>
      <c r="F176" s="471">
        <f t="shared" si="18"/>
        <v>3290000</v>
      </c>
      <c r="G176" s="446">
        <f t="shared" si="18"/>
        <v>0</v>
      </c>
      <c r="H176" s="472">
        <f>일위대가목록표!F251</f>
        <v>0</v>
      </c>
      <c r="I176" s="465">
        <f t="shared" si="19"/>
        <v>0</v>
      </c>
      <c r="J176" s="473">
        <f>일위대가목록표!G251</f>
        <v>3290000</v>
      </c>
      <c r="K176" s="465">
        <f t="shared" si="20"/>
        <v>0</v>
      </c>
      <c r="L176" s="474">
        <f>일위대가목록표!H251</f>
        <v>0</v>
      </c>
      <c r="M176" s="467">
        <f t="shared" si="21"/>
        <v>0</v>
      </c>
      <c r="N176" s="463" t="s">
        <v>1396</v>
      </c>
      <c r="O176" s="451" t="s">
        <v>1397</v>
      </c>
      <c r="P176" s="468" t="s">
        <v>1398</v>
      </c>
      <c r="Q176" s="468" t="s">
        <v>909</v>
      </c>
      <c r="AC176" s="433" t="str">
        <f ca="1">HYPERLINK("#"&amp;일위대가목록표!J2&amp;"!A"&amp;ROW(일위대가목록표!A251),"B02534 →")</f>
        <v>B02534 →</v>
      </c>
    </row>
    <row r="177" spans="1:29" ht="35.25" customHeight="1">
      <c r="A177" s="452"/>
      <c r="B177" s="452" t="s">
        <v>1399</v>
      </c>
      <c r="C177" s="449" t="s">
        <v>1400</v>
      </c>
      <c r="D177" s="470"/>
      <c r="E177" s="463" t="s">
        <v>975</v>
      </c>
      <c r="F177" s="471">
        <f t="shared" si="18"/>
        <v>4600000</v>
      </c>
      <c r="G177" s="446">
        <f t="shared" si="18"/>
        <v>0</v>
      </c>
      <c r="H177" s="472">
        <f>일위대가목록표!F267</f>
        <v>0</v>
      </c>
      <c r="I177" s="465">
        <f t="shared" si="19"/>
        <v>0</v>
      </c>
      <c r="J177" s="473">
        <f>일위대가목록표!G267</f>
        <v>4600000</v>
      </c>
      <c r="K177" s="465">
        <f t="shared" si="20"/>
        <v>0</v>
      </c>
      <c r="L177" s="474">
        <f>일위대가목록표!H267</f>
        <v>0</v>
      </c>
      <c r="M177" s="467">
        <f t="shared" si="21"/>
        <v>0</v>
      </c>
      <c r="N177" s="463" t="s">
        <v>1401</v>
      </c>
      <c r="O177" s="451" t="s">
        <v>1402</v>
      </c>
      <c r="P177" s="468" t="s">
        <v>1403</v>
      </c>
      <c r="Q177" s="468" t="s">
        <v>909</v>
      </c>
      <c r="AC177" s="433" t="str">
        <f ca="1">HYPERLINK("#"&amp;일위대가목록표!J2&amp;"!A"&amp;ROW(일위대가목록표!A267),"B02658 →")</f>
        <v>B02658 →</v>
      </c>
    </row>
    <row r="178" spans="1:29" ht="35.25" customHeight="1">
      <c r="A178" s="452"/>
      <c r="B178" s="452" t="s">
        <v>1404</v>
      </c>
      <c r="C178" s="449" t="s">
        <v>1405</v>
      </c>
      <c r="D178" s="470"/>
      <c r="E178" s="463" t="s">
        <v>975</v>
      </c>
      <c r="F178" s="471">
        <f t="shared" si="18"/>
        <v>5180000</v>
      </c>
      <c r="G178" s="446">
        <f t="shared" si="18"/>
        <v>0</v>
      </c>
      <c r="H178" s="472">
        <f>일위대가목록표!F268</f>
        <v>0</v>
      </c>
      <c r="I178" s="465">
        <f t="shared" si="19"/>
        <v>0</v>
      </c>
      <c r="J178" s="473">
        <f>일위대가목록표!G268</f>
        <v>5180000</v>
      </c>
      <c r="K178" s="465">
        <f t="shared" si="20"/>
        <v>0</v>
      </c>
      <c r="L178" s="474">
        <f>일위대가목록표!H268</f>
        <v>0</v>
      </c>
      <c r="M178" s="467">
        <f t="shared" si="21"/>
        <v>0</v>
      </c>
      <c r="N178" s="463" t="s">
        <v>1406</v>
      </c>
      <c r="O178" s="451" t="s">
        <v>1407</v>
      </c>
      <c r="P178" s="468" t="s">
        <v>1408</v>
      </c>
      <c r="Q178" s="468" t="s">
        <v>909</v>
      </c>
      <c r="AC178" s="433" t="str">
        <f ca="1">HYPERLINK("#"&amp;일위대가목록표!J2&amp;"!A"&amp;ROW(일위대가목록표!A268),"B02539 →")</f>
        <v>B02539 →</v>
      </c>
    </row>
    <row r="179" spans="1:29" ht="35.25" customHeight="1">
      <c r="A179" s="452"/>
      <c r="B179" s="452" t="s">
        <v>1409</v>
      </c>
      <c r="C179" s="449" t="s">
        <v>1410</v>
      </c>
      <c r="D179" s="470"/>
      <c r="E179" s="463" t="s">
        <v>975</v>
      </c>
      <c r="F179" s="471">
        <f t="shared" si="18"/>
        <v>3415000</v>
      </c>
      <c r="G179" s="446">
        <f t="shared" si="18"/>
        <v>0</v>
      </c>
      <c r="H179" s="472">
        <f>일위대가목록표!F329</f>
        <v>0</v>
      </c>
      <c r="I179" s="465">
        <f t="shared" si="19"/>
        <v>0</v>
      </c>
      <c r="J179" s="473">
        <f>일위대가목록표!G329</f>
        <v>3415000</v>
      </c>
      <c r="K179" s="465">
        <f t="shared" si="20"/>
        <v>0</v>
      </c>
      <c r="L179" s="474">
        <f>일위대가목록표!H329</f>
        <v>0</v>
      </c>
      <c r="M179" s="467">
        <f t="shared" si="21"/>
        <v>0</v>
      </c>
      <c r="N179" s="463" t="s">
        <v>1411</v>
      </c>
      <c r="O179" s="451" t="s">
        <v>1412</v>
      </c>
      <c r="P179" s="468" t="s">
        <v>1413</v>
      </c>
      <c r="Q179" s="468" t="s">
        <v>909</v>
      </c>
      <c r="AC179" s="433" t="str">
        <f ca="1">HYPERLINK("#"&amp;일위대가목록표!J2&amp;"!A"&amp;ROW(일위대가목록표!A329),"B02525 →")</f>
        <v>B02525 →</v>
      </c>
    </row>
    <row r="180" spans="1:29" ht="35.25" customHeight="1">
      <c r="A180" s="461" t="s">
        <v>854</v>
      </c>
      <c r="B180" s="461" t="s">
        <v>855</v>
      </c>
      <c r="C180" s="469"/>
      <c r="D180" s="462"/>
      <c r="E180" s="463"/>
      <c r="F180" s="464">
        <v>0</v>
      </c>
      <c r="G180" s="453">
        <f>SUMIF(Q181:Q190,P180,G181:G190)</f>
        <v>9300000</v>
      </c>
      <c r="H180" s="465">
        <v>0</v>
      </c>
      <c r="I180" s="446">
        <f>SUMIF(Q181:Q190,P180,I181:I190)</f>
        <v>0</v>
      </c>
      <c r="J180" s="465">
        <v>0</v>
      </c>
      <c r="K180" s="466">
        <f>SUMIF(Q181:Q190,P180,K181:K190)</f>
        <v>9300000</v>
      </c>
      <c r="L180" s="467">
        <v>0</v>
      </c>
      <c r="M180" s="466">
        <f>SUMIF(Q181:Q190,P180,M181:M190)</f>
        <v>0</v>
      </c>
      <c r="N180" s="463"/>
      <c r="O180" s="451" t="str">
        <f>"_x0007_`COD|E4_x0005_`QTY1|1_x0005_`EXI|0_x0005_`ITT|0_x0005_`END|"&amp;ROW(M191)&amp;"_x0005_`"</f>
        <v>_x0007_`COD|E4_x0005_`QTY1|1_x0005_`EXI|0_x0005_`ITT|0_x0005_`END|191_x0005_`</v>
      </c>
      <c r="P180" s="468" t="s">
        <v>909</v>
      </c>
      <c r="Q180" s="468" t="s">
        <v>907</v>
      </c>
    </row>
    <row r="181" spans="1:29" ht="35.25" customHeight="1">
      <c r="A181" s="452"/>
      <c r="B181" s="452" t="s">
        <v>1414</v>
      </c>
      <c r="C181" s="449" t="s">
        <v>1415</v>
      </c>
      <c r="D181" s="470">
        <v>2</v>
      </c>
      <c r="E181" s="463" t="s">
        <v>975</v>
      </c>
      <c r="F181" s="471">
        <f t="shared" ref="F181:G190" si="22">J181+H181+L181</f>
        <v>1584000</v>
      </c>
      <c r="G181" s="446">
        <f t="shared" si="22"/>
        <v>3168000</v>
      </c>
      <c r="H181" s="472">
        <f>일위대가목록표!F117</f>
        <v>0</v>
      </c>
      <c r="I181" s="465">
        <f t="shared" ref="I181:I190" si="23">ROUNDDOWN(H181*D181,0)</f>
        <v>0</v>
      </c>
      <c r="J181" s="473">
        <f>일위대가목록표!G117</f>
        <v>1584000</v>
      </c>
      <c r="K181" s="465">
        <f t="shared" ref="K181:K190" si="24">ROUNDDOWN(J181*D181,0)</f>
        <v>3168000</v>
      </c>
      <c r="L181" s="474">
        <f>일위대가목록표!H117</f>
        <v>0</v>
      </c>
      <c r="M181" s="467">
        <f t="shared" ref="M181:M190" si="25">ROUNDDOWN(L181*D181,0)</f>
        <v>0</v>
      </c>
      <c r="N181" s="463" t="s">
        <v>1416</v>
      </c>
      <c r="O181" s="451" t="s">
        <v>1417</v>
      </c>
      <c r="P181" s="468" t="s">
        <v>1418</v>
      </c>
      <c r="Q181" s="468" t="s">
        <v>909</v>
      </c>
      <c r="AC181" s="433" t="str">
        <f ca="1">HYPERLINK("#"&amp;일위대가목록표!J2&amp;"!A"&amp;ROW(일위대가목록표!A117),"B02515 →")</f>
        <v>B02515 →</v>
      </c>
    </row>
    <row r="182" spans="1:29" ht="35.25" customHeight="1">
      <c r="A182" s="452"/>
      <c r="B182" s="452" t="s">
        <v>1414</v>
      </c>
      <c r="C182" s="449" t="s">
        <v>1419</v>
      </c>
      <c r="D182" s="470">
        <v>2</v>
      </c>
      <c r="E182" s="463" t="s">
        <v>975</v>
      </c>
      <c r="F182" s="471">
        <f t="shared" si="22"/>
        <v>1932000</v>
      </c>
      <c r="G182" s="446">
        <f t="shared" si="22"/>
        <v>3864000</v>
      </c>
      <c r="H182" s="472">
        <f>일위대가목록표!F118</f>
        <v>0</v>
      </c>
      <c r="I182" s="465">
        <f t="shared" si="23"/>
        <v>0</v>
      </c>
      <c r="J182" s="473">
        <f>일위대가목록표!G118</f>
        <v>1932000</v>
      </c>
      <c r="K182" s="465">
        <f t="shared" si="24"/>
        <v>3864000</v>
      </c>
      <c r="L182" s="474">
        <f>일위대가목록표!H118</f>
        <v>0</v>
      </c>
      <c r="M182" s="467">
        <f t="shared" si="25"/>
        <v>0</v>
      </c>
      <c r="N182" s="463" t="s">
        <v>1420</v>
      </c>
      <c r="O182" s="451" t="s">
        <v>1421</v>
      </c>
      <c r="P182" s="468" t="s">
        <v>1422</v>
      </c>
      <c r="Q182" s="468" t="s">
        <v>909</v>
      </c>
      <c r="AC182" s="433" t="str">
        <f ca="1">HYPERLINK("#"&amp;일위대가목록표!J2&amp;"!A"&amp;ROW(일위대가목록표!A118),"B02517 →")</f>
        <v>B02517 →</v>
      </c>
    </row>
    <row r="183" spans="1:29" ht="35.25" customHeight="1">
      <c r="A183" s="452"/>
      <c r="B183" s="452" t="s">
        <v>1414</v>
      </c>
      <c r="C183" s="449" t="s">
        <v>1423</v>
      </c>
      <c r="D183" s="470">
        <v>0</v>
      </c>
      <c r="E183" s="463" t="s">
        <v>975</v>
      </c>
      <c r="F183" s="471">
        <f t="shared" si="22"/>
        <v>2136000</v>
      </c>
      <c r="G183" s="446">
        <f t="shared" si="22"/>
        <v>0</v>
      </c>
      <c r="H183" s="472">
        <f>일위대가목록표!F119</f>
        <v>0</v>
      </c>
      <c r="I183" s="465">
        <f t="shared" si="23"/>
        <v>0</v>
      </c>
      <c r="J183" s="473">
        <f>일위대가목록표!G119</f>
        <v>2136000</v>
      </c>
      <c r="K183" s="465">
        <f t="shared" si="24"/>
        <v>0</v>
      </c>
      <c r="L183" s="474">
        <f>일위대가목록표!H119</f>
        <v>0</v>
      </c>
      <c r="M183" s="467">
        <f t="shared" si="25"/>
        <v>0</v>
      </c>
      <c r="N183" s="463" t="s">
        <v>1424</v>
      </c>
      <c r="O183" s="451" t="s">
        <v>1425</v>
      </c>
      <c r="P183" s="468" t="s">
        <v>1426</v>
      </c>
      <c r="Q183" s="468" t="s">
        <v>909</v>
      </c>
      <c r="AC183" s="433" t="str">
        <f ca="1">HYPERLINK("#"&amp;일위대가목록표!J2&amp;"!A"&amp;ROW(일위대가목록표!A119),"B02516 →")</f>
        <v>B02516 →</v>
      </c>
    </row>
    <row r="184" spans="1:29" ht="35.25" customHeight="1">
      <c r="A184" s="452"/>
      <c r="B184" s="452" t="s">
        <v>1427</v>
      </c>
      <c r="C184" s="449" t="s">
        <v>1428</v>
      </c>
      <c r="D184" s="470">
        <v>1</v>
      </c>
      <c r="E184" s="463" t="s">
        <v>975</v>
      </c>
      <c r="F184" s="471">
        <f t="shared" si="22"/>
        <v>264000</v>
      </c>
      <c r="G184" s="446">
        <f t="shared" si="22"/>
        <v>264000</v>
      </c>
      <c r="H184" s="472">
        <f>일위대가목록표!F124</f>
        <v>0</v>
      </c>
      <c r="I184" s="465">
        <f t="shared" si="23"/>
        <v>0</v>
      </c>
      <c r="J184" s="473">
        <f>일위대가목록표!G124</f>
        <v>264000</v>
      </c>
      <c r="K184" s="465">
        <f t="shared" si="24"/>
        <v>264000</v>
      </c>
      <c r="L184" s="474">
        <f>일위대가목록표!H124</f>
        <v>0</v>
      </c>
      <c r="M184" s="467">
        <f t="shared" si="25"/>
        <v>0</v>
      </c>
      <c r="N184" s="463" t="s">
        <v>1429</v>
      </c>
      <c r="O184" s="451" t="s">
        <v>1430</v>
      </c>
      <c r="P184" s="468" t="s">
        <v>1431</v>
      </c>
      <c r="Q184" s="468" t="s">
        <v>909</v>
      </c>
      <c r="AC184" s="433" t="str">
        <f ca="1">HYPERLINK("#"&amp;일위대가목록표!J2&amp;"!A"&amp;ROW(일위대가목록표!A124),"B02586 →")</f>
        <v>B02586 →</v>
      </c>
    </row>
    <row r="185" spans="1:29" ht="35.25" customHeight="1">
      <c r="A185" s="452"/>
      <c r="B185" s="452" t="s">
        <v>1432</v>
      </c>
      <c r="C185" s="449" t="s">
        <v>1433</v>
      </c>
      <c r="D185" s="470">
        <v>1</v>
      </c>
      <c r="E185" s="463" t="s">
        <v>975</v>
      </c>
      <c r="F185" s="471">
        <f t="shared" si="22"/>
        <v>2004000</v>
      </c>
      <c r="G185" s="446">
        <f t="shared" si="22"/>
        <v>2004000</v>
      </c>
      <c r="H185" s="472">
        <f>일위대가목록표!F14</f>
        <v>0</v>
      </c>
      <c r="I185" s="465">
        <f t="shared" si="23"/>
        <v>0</v>
      </c>
      <c r="J185" s="473">
        <f>일위대가목록표!G14</f>
        <v>2004000</v>
      </c>
      <c r="K185" s="465">
        <f t="shared" si="24"/>
        <v>2004000</v>
      </c>
      <c r="L185" s="474">
        <f>일위대가목록표!H14</f>
        <v>0</v>
      </c>
      <c r="M185" s="467">
        <f t="shared" si="25"/>
        <v>0</v>
      </c>
      <c r="N185" s="463" t="s">
        <v>1434</v>
      </c>
      <c r="O185" s="451" t="s">
        <v>1435</v>
      </c>
      <c r="P185" s="468" t="s">
        <v>1436</v>
      </c>
      <c r="Q185" s="468" t="s">
        <v>909</v>
      </c>
      <c r="AC185" s="433" t="str">
        <f ca="1">HYPERLINK("#"&amp;일위대가목록표!J2&amp;"!A"&amp;ROW(일위대가목록표!A14),"B02587 →")</f>
        <v>B02587 →</v>
      </c>
    </row>
    <row r="186" spans="1:29" ht="35.25" customHeight="1">
      <c r="A186" s="452"/>
      <c r="B186" s="452" t="s">
        <v>1437</v>
      </c>
      <c r="C186" s="449" t="s">
        <v>1438</v>
      </c>
      <c r="D186" s="470">
        <v>0</v>
      </c>
      <c r="E186" s="463" t="s">
        <v>975</v>
      </c>
      <c r="F186" s="471">
        <f t="shared" si="22"/>
        <v>2436000</v>
      </c>
      <c r="G186" s="446">
        <f t="shared" si="22"/>
        <v>0</v>
      </c>
      <c r="H186" s="472">
        <f>일위대가목록표!F170</f>
        <v>0</v>
      </c>
      <c r="I186" s="465">
        <f t="shared" si="23"/>
        <v>0</v>
      </c>
      <c r="J186" s="473">
        <f>일위대가목록표!G170</f>
        <v>2436000</v>
      </c>
      <c r="K186" s="465">
        <f t="shared" si="24"/>
        <v>0</v>
      </c>
      <c r="L186" s="474">
        <f>일위대가목록표!H170</f>
        <v>0</v>
      </c>
      <c r="M186" s="467">
        <f t="shared" si="25"/>
        <v>0</v>
      </c>
      <c r="N186" s="463" t="s">
        <v>1439</v>
      </c>
      <c r="O186" s="451" t="s">
        <v>1440</v>
      </c>
      <c r="P186" s="468" t="s">
        <v>1441</v>
      </c>
      <c r="Q186" s="468" t="s">
        <v>909</v>
      </c>
      <c r="AC186" s="433" t="str">
        <f ca="1">HYPERLINK("#"&amp;일위대가목록표!J2&amp;"!A"&amp;ROW(일위대가목록표!A170),"B02588 →")</f>
        <v>B02588 →</v>
      </c>
    </row>
    <row r="187" spans="1:29" ht="35.25" customHeight="1">
      <c r="A187" s="452"/>
      <c r="B187" s="452" t="s">
        <v>1442</v>
      </c>
      <c r="C187" s="449" t="s">
        <v>1443</v>
      </c>
      <c r="D187" s="470">
        <v>0</v>
      </c>
      <c r="E187" s="463" t="s">
        <v>975</v>
      </c>
      <c r="F187" s="471">
        <f t="shared" si="22"/>
        <v>2376000</v>
      </c>
      <c r="G187" s="446">
        <f t="shared" si="22"/>
        <v>0</v>
      </c>
      <c r="H187" s="472">
        <f>일위대가목록표!F5</f>
        <v>0</v>
      </c>
      <c r="I187" s="465">
        <f t="shared" si="23"/>
        <v>0</v>
      </c>
      <c r="J187" s="473">
        <f>일위대가목록표!G5</f>
        <v>2376000</v>
      </c>
      <c r="K187" s="465">
        <f t="shared" si="24"/>
        <v>0</v>
      </c>
      <c r="L187" s="474">
        <f>일위대가목록표!H5</f>
        <v>0</v>
      </c>
      <c r="M187" s="467">
        <f t="shared" si="25"/>
        <v>0</v>
      </c>
      <c r="N187" s="463" t="s">
        <v>1444</v>
      </c>
      <c r="O187" s="451" t="s">
        <v>1445</v>
      </c>
      <c r="P187" s="468" t="s">
        <v>1446</v>
      </c>
      <c r="Q187" s="468" t="s">
        <v>909</v>
      </c>
      <c r="AC187" s="433" t="str">
        <f ca="1">HYPERLINK("#"&amp;일위대가목록표!J2&amp;"!A"&amp;ROW(일위대가목록표!A5),"B02589 →")</f>
        <v>B02589 →</v>
      </c>
    </row>
    <row r="188" spans="1:29" ht="35.25" customHeight="1">
      <c r="A188" s="452"/>
      <c r="B188" s="452" t="s">
        <v>1447</v>
      </c>
      <c r="C188" s="449" t="s">
        <v>1448</v>
      </c>
      <c r="D188" s="470"/>
      <c r="E188" s="463" t="s">
        <v>975</v>
      </c>
      <c r="F188" s="471">
        <f t="shared" si="22"/>
        <v>2508000</v>
      </c>
      <c r="G188" s="446">
        <f t="shared" si="22"/>
        <v>0</v>
      </c>
      <c r="H188" s="472">
        <f>일위대가목록표!F282</f>
        <v>0</v>
      </c>
      <c r="I188" s="465">
        <f t="shared" si="23"/>
        <v>0</v>
      </c>
      <c r="J188" s="473">
        <f>일위대가목록표!G282</f>
        <v>2508000</v>
      </c>
      <c r="K188" s="465">
        <f t="shared" si="24"/>
        <v>0</v>
      </c>
      <c r="L188" s="474">
        <f>일위대가목록표!H282</f>
        <v>0</v>
      </c>
      <c r="M188" s="467">
        <f t="shared" si="25"/>
        <v>0</v>
      </c>
      <c r="N188" s="463" t="s">
        <v>1449</v>
      </c>
      <c r="O188" s="451" t="s">
        <v>1450</v>
      </c>
      <c r="P188" s="468" t="s">
        <v>1451</v>
      </c>
      <c r="Q188" s="468" t="s">
        <v>909</v>
      </c>
      <c r="AC188" s="433" t="str">
        <f ca="1">HYPERLINK("#"&amp;일위대가목록표!J2&amp;"!A"&amp;ROW(일위대가목록표!A282),"B02462 →")</f>
        <v>B02462 →</v>
      </c>
    </row>
    <row r="189" spans="1:29" ht="35.25" customHeight="1">
      <c r="A189" s="452"/>
      <c r="B189" s="452" t="s">
        <v>1452</v>
      </c>
      <c r="C189" s="449" t="s">
        <v>1453</v>
      </c>
      <c r="D189" s="470"/>
      <c r="E189" s="463" t="s">
        <v>975</v>
      </c>
      <c r="F189" s="471">
        <f t="shared" si="22"/>
        <v>6648000</v>
      </c>
      <c r="G189" s="446">
        <f t="shared" si="22"/>
        <v>0</v>
      </c>
      <c r="H189" s="472">
        <f>일위대가목록표!F6</f>
        <v>0</v>
      </c>
      <c r="I189" s="465">
        <f t="shared" si="23"/>
        <v>0</v>
      </c>
      <c r="J189" s="473">
        <f>일위대가목록표!G6</f>
        <v>6648000</v>
      </c>
      <c r="K189" s="465">
        <f t="shared" si="24"/>
        <v>0</v>
      </c>
      <c r="L189" s="474">
        <f>일위대가목록표!H6</f>
        <v>0</v>
      </c>
      <c r="M189" s="467">
        <f t="shared" si="25"/>
        <v>0</v>
      </c>
      <c r="N189" s="463" t="s">
        <v>1454</v>
      </c>
      <c r="O189" s="451" t="s">
        <v>1455</v>
      </c>
      <c r="P189" s="468" t="s">
        <v>1456</v>
      </c>
      <c r="Q189" s="468" t="s">
        <v>909</v>
      </c>
      <c r="AC189" s="433" t="str">
        <f ca="1">HYPERLINK("#"&amp;일위대가목록표!J2&amp;"!A"&amp;ROW(일위대가목록표!A6),"B02590 →")</f>
        <v>B02590 →</v>
      </c>
    </row>
    <row r="190" spans="1:29" ht="35.25" customHeight="1">
      <c r="A190" s="452"/>
      <c r="B190" s="452" t="s">
        <v>1457</v>
      </c>
      <c r="C190" s="449"/>
      <c r="D190" s="470">
        <v>0</v>
      </c>
      <c r="E190" s="463" t="s">
        <v>975</v>
      </c>
      <c r="F190" s="471">
        <f t="shared" si="22"/>
        <v>35666</v>
      </c>
      <c r="G190" s="446">
        <f t="shared" si="22"/>
        <v>0</v>
      </c>
      <c r="H190" s="472">
        <f>일위대가목록표!F120</f>
        <v>35666</v>
      </c>
      <c r="I190" s="465">
        <f t="shared" si="23"/>
        <v>0</v>
      </c>
      <c r="J190" s="473">
        <f>일위대가목록표!G120</f>
        <v>0</v>
      </c>
      <c r="K190" s="465">
        <f t="shared" si="24"/>
        <v>0</v>
      </c>
      <c r="L190" s="474">
        <f>일위대가목록표!H120</f>
        <v>0</v>
      </c>
      <c r="M190" s="467">
        <f t="shared" si="25"/>
        <v>0</v>
      </c>
      <c r="N190" s="463" t="s">
        <v>1458</v>
      </c>
      <c r="O190" s="451" t="s">
        <v>1459</v>
      </c>
      <c r="P190" s="468" t="s">
        <v>1460</v>
      </c>
      <c r="Q190" s="468" t="s">
        <v>909</v>
      </c>
      <c r="AC190" s="433" t="str">
        <f ca="1">HYPERLINK("#"&amp;일위대가목록표!J2&amp;"!A"&amp;ROW(일위대가목록표!A120),"B02403 →")</f>
        <v>B02403 →</v>
      </c>
    </row>
    <row r="191" spans="1:29" ht="35.25" customHeight="1">
      <c r="A191" s="461" t="s">
        <v>856</v>
      </c>
      <c r="B191" s="461" t="s">
        <v>857</v>
      </c>
      <c r="C191" s="469"/>
      <c r="D191" s="462"/>
      <c r="E191" s="463"/>
      <c r="F191" s="464">
        <v>0</v>
      </c>
      <c r="G191" s="453">
        <f>SUMIF(Q192:Q236,P191,G192:G236)</f>
        <v>1264200</v>
      </c>
      <c r="H191" s="465">
        <v>0</v>
      </c>
      <c r="I191" s="446">
        <f>SUMIF(Q192:Q236,P191,I192:I236)</f>
        <v>1102700</v>
      </c>
      <c r="J191" s="465">
        <v>0</v>
      </c>
      <c r="K191" s="466">
        <f>SUMIF(Q192:Q236,P191,K192:K236)</f>
        <v>139500</v>
      </c>
      <c r="L191" s="467">
        <v>0</v>
      </c>
      <c r="M191" s="466">
        <f>SUMIF(Q192:Q236,P191,M192:M236)</f>
        <v>22000</v>
      </c>
      <c r="N191" s="463"/>
      <c r="O191" s="451" t="str">
        <f>"_x0007_`COD|E4_x0005_`QTY1|1_x0005_`EXI|0_x0005_`ITT|0_x0005_`END|"&amp;ROW(M237)&amp;"_x0005_`"</f>
        <v>_x0007_`COD|E4_x0005_`QTY1|1_x0005_`EXI|0_x0005_`ITT|0_x0005_`END|237_x0005_`</v>
      </c>
      <c r="P191" s="468" t="s">
        <v>909</v>
      </c>
      <c r="Q191" s="468" t="s">
        <v>907</v>
      </c>
    </row>
    <row r="192" spans="1:29" ht="35.25" customHeight="1">
      <c r="A192" s="452"/>
      <c r="B192" s="452" t="s">
        <v>1461</v>
      </c>
      <c r="C192" s="449" t="s">
        <v>1462</v>
      </c>
      <c r="D192" s="470">
        <v>0</v>
      </c>
      <c r="E192" s="463" t="s">
        <v>8</v>
      </c>
      <c r="F192" s="471">
        <f t="shared" ref="F192:G236" si="26">J192+H192+L192</f>
        <v>915052</v>
      </c>
      <c r="G192" s="446">
        <f t="shared" si="26"/>
        <v>0</v>
      </c>
      <c r="H192" s="472">
        <f>일위대가목록표!F72</f>
        <v>915052</v>
      </c>
      <c r="I192" s="465">
        <f t="shared" ref="I192:I236" si="27">ROUNDDOWN(H192*D192,0)</f>
        <v>0</v>
      </c>
      <c r="J192" s="473">
        <f>일위대가목록표!G72</f>
        <v>0</v>
      </c>
      <c r="K192" s="465">
        <f t="shared" ref="K192:K236" si="28">ROUNDDOWN(J192*D192,0)</f>
        <v>0</v>
      </c>
      <c r="L192" s="474">
        <f>일위대가목록표!H72</f>
        <v>0</v>
      </c>
      <c r="M192" s="467">
        <f t="shared" ref="M192:M236" si="29">ROUNDDOWN(L192*D192,0)</f>
        <v>0</v>
      </c>
      <c r="N192" s="463" t="s">
        <v>1463</v>
      </c>
      <c r="O192" s="451" t="s">
        <v>1464</v>
      </c>
      <c r="P192" s="468" t="s">
        <v>1465</v>
      </c>
      <c r="Q192" s="468" t="s">
        <v>909</v>
      </c>
      <c r="AC192" s="433" t="str">
        <f ca="1">HYPERLINK("#"&amp;일위대가목록표!J2&amp;"!A"&amp;ROW(일위대가목록표!A72),"B01822 →")</f>
        <v>B01822 →</v>
      </c>
    </row>
    <row r="193" spans="1:29" ht="35.25" customHeight="1">
      <c r="A193" s="452"/>
      <c r="B193" s="452" t="s">
        <v>1466</v>
      </c>
      <c r="C193" s="449" t="s">
        <v>1467</v>
      </c>
      <c r="D193" s="470">
        <v>0</v>
      </c>
      <c r="E193" s="463" t="s">
        <v>8</v>
      </c>
      <c r="F193" s="471">
        <f t="shared" si="26"/>
        <v>274515</v>
      </c>
      <c r="G193" s="446">
        <f t="shared" si="26"/>
        <v>0</v>
      </c>
      <c r="H193" s="472">
        <f>일위대가목록표!F73</f>
        <v>274515</v>
      </c>
      <c r="I193" s="465">
        <f t="shared" si="27"/>
        <v>0</v>
      </c>
      <c r="J193" s="473">
        <f>일위대가목록표!G73</f>
        <v>0</v>
      </c>
      <c r="K193" s="465">
        <f t="shared" si="28"/>
        <v>0</v>
      </c>
      <c r="L193" s="474">
        <f>일위대가목록표!H73</f>
        <v>0</v>
      </c>
      <c r="M193" s="467">
        <f t="shared" si="29"/>
        <v>0</v>
      </c>
      <c r="N193" s="463" t="s">
        <v>1468</v>
      </c>
      <c r="O193" s="451" t="s">
        <v>1469</v>
      </c>
      <c r="P193" s="468" t="s">
        <v>1470</v>
      </c>
      <c r="Q193" s="468" t="s">
        <v>909</v>
      </c>
      <c r="AC193" s="433" t="str">
        <f ca="1">HYPERLINK("#"&amp;일위대가목록표!J2&amp;"!A"&amp;ROW(일위대가목록표!A73),"B02396 →")</f>
        <v>B02396 →</v>
      </c>
    </row>
    <row r="194" spans="1:29" ht="35.25" customHeight="1">
      <c r="A194" s="452"/>
      <c r="B194" s="452" t="s">
        <v>1471</v>
      </c>
      <c r="C194" s="449" t="s">
        <v>1472</v>
      </c>
      <c r="D194" s="470">
        <v>0</v>
      </c>
      <c r="E194" s="463" t="s">
        <v>595</v>
      </c>
      <c r="F194" s="471">
        <f t="shared" si="26"/>
        <v>65145</v>
      </c>
      <c r="G194" s="446">
        <f t="shared" si="26"/>
        <v>0</v>
      </c>
      <c r="H194" s="472">
        <f>단가산출근거목록표!F60</f>
        <v>55832</v>
      </c>
      <c r="I194" s="465">
        <f t="shared" si="27"/>
        <v>0</v>
      </c>
      <c r="J194" s="473">
        <f>단가산출근거목록표!G60</f>
        <v>8197</v>
      </c>
      <c r="K194" s="465">
        <f t="shared" si="28"/>
        <v>0</v>
      </c>
      <c r="L194" s="474">
        <f>단가산출근거목록표!H60</f>
        <v>1116</v>
      </c>
      <c r="M194" s="467">
        <f t="shared" si="29"/>
        <v>0</v>
      </c>
      <c r="N194" s="463" t="s">
        <v>1473</v>
      </c>
      <c r="O194" s="451" t="s">
        <v>1474</v>
      </c>
      <c r="P194" s="468" t="s">
        <v>1475</v>
      </c>
      <c r="Q194" s="468" t="s">
        <v>909</v>
      </c>
      <c r="AC194" s="433" t="str">
        <f ca="1">HYPERLINK("#"&amp;단가산출근거목록표!J2&amp;"!A"&amp;ROW(단가산출근거목록표!A60),"D01264 →")</f>
        <v>D01264 →</v>
      </c>
    </row>
    <row r="195" spans="1:29" ht="35.25" customHeight="1">
      <c r="A195" s="452"/>
      <c r="B195" s="452" t="s">
        <v>1476</v>
      </c>
      <c r="C195" s="449" t="s">
        <v>1477</v>
      </c>
      <c r="D195" s="470">
        <v>0</v>
      </c>
      <c r="E195" s="463" t="s">
        <v>975</v>
      </c>
      <c r="F195" s="471">
        <f t="shared" si="26"/>
        <v>138982</v>
      </c>
      <c r="G195" s="446">
        <f t="shared" si="26"/>
        <v>0</v>
      </c>
      <c r="H195" s="472">
        <f>일위대가목록표!F22</f>
        <v>34973</v>
      </c>
      <c r="I195" s="465">
        <f t="shared" si="27"/>
        <v>0</v>
      </c>
      <c r="J195" s="473">
        <f>일위대가목록표!G22</f>
        <v>103677</v>
      </c>
      <c r="K195" s="465">
        <f t="shared" si="28"/>
        <v>0</v>
      </c>
      <c r="L195" s="474">
        <f>일위대가목록표!H22</f>
        <v>332</v>
      </c>
      <c r="M195" s="467">
        <f t="shared" si="29"/>
        <v>0</v>
      </c>
      <c r="N195" s="463" t="s">
        <v>1478</v>
      </c>
      <c r="O195" s="451" t="s">
        <v>1479</v>
      </c>
      <c r="P195" s="468" t="s">
        <v>1480</v>
      </c>
      <c r="Q195" s="468" t="s">
        <v>909</v>
      </c>
      <c r="AC195" s="433" t="str">
        <f ca="1">HYPERLINK("#"&amp;일위대가목록표!J2&amp;"!A"&amp;ROW(일위대가목록표!A22),"B02732 →")</f>
        <v>B02732 →</v>
      </c>
    </row>
    <row r="196" spans="1:29" ht="35.25" customHeight="1">
      <c r="A196" s="452"/>
      <c r="B196" s="452" t="s">
        <v>1481</v>
      </c>
      <c r="C196" s="449" t="s">
        <v>1482</v>
      </c>
      <c r="D196" s="470">
        <v>0</v>
      </c>
      <c r="E196" s="463" t="s">
        <v>911</v>
      </c>
      <c r="F196" s="471">
        <f t="shared" si="26"/>
        <v>23923</v>
      </c>
      <c r="G196" s="446">
        <f t="shared" si="26"/>
        <v>0</v>
      </c>
      <c r="H196" s="472">
        <f>일위대가목록표!F21</f>
        <v>21519</v>
      </c>
      <c r="I196" s="465">
        <f t="shared" si="27"/>
        <v>0</v>
      </c>
      <c r="J196" s="473">
        <f>일위대가목록표!G21</f>
        <v>1886</v>
      </c>
      <c r="K196" s="465">
        <f t="shared" si="28"/>
        <v>0</v>
      </c>
      <c r="L196" s="474">
        <f>일위대가목록표!H21</f>
        <v>518</v>
      </c>
      <c r="M196" s="467">
        <f t="shared" si="29"/>
        <v>0</v>
      </c>
      <c r="N196" s="463" t="s">
        <v>1483</v>
      </c>
      <c r="O196" s="451" t="s">
        <v>1484</v>
      </c>
      <c r="P196" s="468" t="s">
        <v>1485</v>
      </c>
      <c r="Q196" s="468" t="s">
        <v>909</v>
      </c>
      <c r="AC196" s="433" t="str">
        <f ca="1">HYPERLINK("#"&amp;일위대가목록표!J2&amp;"!A"&amp;ROW(일위대가목록표!A21),"B02655 →")</f>
        <v>B02655 →</v>
      </c>
    </row>
    <row r="197" spans="1:29" ht="35.25" customHeight="1">
      <c r="A197" s="452"/>
      <c r="B197" s="452" t="s">
        <v>1486</v>
      </c>
      <c r="C197" s="449" t="s">
        <v>1487</v>
      </c>
      <c r="D197" s="470">
        <v>0</v>
      </c>
      <c r="E197" s="463" t="s">
        <v>975</v>
      </c>
      <c r="F197" s="471">
        <f t="shared" si="26"/>
        <v>9791</v>
      </c>
      <c r="G197" s="446">
        <f t="shared" si="26"/>
        <v>0</v>
      </c>
      <c r="H197" s="472">
        <f>일위대가목록표!F326</f>
        <v>8682</v>
      </c>
      <c r="I197" s="465">
        <f t="shared" si="27"/>
        <v>0</v>
      </c>
      <c r="J197" s="473">
        <f>일위대가목록표!G326</f>
        <v>920</v>
      </c>
      <c r="K197" s="465">
        <f t="shared" si="28"/>
        <v>0</v>
      </c>
      <c r="L197" s="474">
        <f>일위대가목록표!H326</f>
        <v>189</v>
      </c>
      <c r="M197" s="467">
        <f t="shared" si="29"/>
        <v>0</v>
      </c>
      <c r="N197" s="463" t="s">
        <v>1488</v>
      </c>
      <c r="O197" s="451" t="s">
        <v>1489</v>
      </c>
      <c r="P197" s="468" t="s">
        <v>1490</v>
      </c>
      <c r="Q197" s="468" t="s">
        <v>909</v>
      </c>
      <c r="AC197" s="433" t="str">
        <f ca="1">HYPERLINK("#"&amp;일위대가목록표!J2&amp;"!A"&amp;ROW(일위대가목록표!A326),"B02552 →")</f>
        <v>B02552 →</v>
      </c>
    </row>
    <row r="198" spans="1:29" ht="35.25" customHeight="1">
      <c r="A198" s="452"/>
      <c r="B198" s="452" t="s">
        <v>1486</v>
      </c>
      <c r="C198" s="449" t="s">
        <v>1491</v>
      </c>
      <c r="D198" s="470">
        <v>0</v>
      </c>
      <c r="E198" s="463" t="s">
        <v>975</v>
      </c>
      <c r="F198" s="471">
        <f t="shared" si="26"/>
        <v>11015</v>
      </c>
      <c r="G198" s="446">
        <f t="shared" si="26"/>
        <v>0</v>
      </c>
      <c r="H198" s="472">
        <f>일위대가목록표!F327</f>
        <v>9767</v>
      </c>
      <c r="I198" s="465">
        <f t="shared" si="27"/>
        <v>0</v>
      </c>
      <c r="J198" s="473">
        <f>일위대가목록표!G327</f>
        <v>1035</v>
      </c>
      <c r="K198" s="465">
        <f t="shared" si="28"/>
        <v>0</v>
      </c>
      <c r="L198" s="474">
        <f>일위대가목록표!H327</f>
        <v>213</v>
      </c>
      <c r="M198" s="467">
        <f t="shared" si="29"/>
        <v>0</v>
      </c>
      <c r="N198" s="463" t="s">
        <v>1492</v>
      </c>
      <c r="O198" s="451" t="s">
        <v>1493</v>
      </c>
      <c r="P198" s="468" t="s">
        <v>1494</v>
      </c>
      <c r="Q198" s="468" t="s">
        <v>909</v>
      </c>
      <c r="AC198" s="433" t="str">
        <f ca="1">HYPERLINK("#"&amp;일위대가목록표!J2&amp;"!A"&amp;ROW(일위대가목록표!A327),"B02553 →")</f>
        <v>B02553 →</v>
      </c>
    </row>
    <row r="199" spans="1:29" ht="35.25" customHeight="1">
      <c r="A199" s="452"/>
      <c r="B199" s="452" t="s">
        <v>1495</v>
      </c>
      <c r="C199" s="449" t="s">
        <v>1487</v>
      </c>
      <c r="D199" s="470">
        <v>0</v>
      </c>
      <c r="E199" s="463" t="s">
        <v>975</v>
      </c>
      <c r="F199" s="471">
        <f t="shared" si="26"/>
        <v>26436</v>
      </c>
      <c r="G199" s="446">
        <f t="shared" si="26"/>
        <v>0</v>
      </c>
      <c r="H199" s="472">
        <f>일위대가목록표!F68</f>
        <v>23441</v>
      </c>
      <c r="I199" s="465">
        <f t="shared" si="27"/>
        <v>0</v>
      </c>
      <c r="J199" s="473">
        <f>일위대가목록표!G68</f>
        <v>2484</v>
      </c>
      <c r="K199" s="465">
        <f t="shared" si="28"/>
        <v>0</v>
      </c>
      <c r="L199" s="474">
        <f>일위대가목록표!H68</f>
        <v>511</v>
      </c>
      <c r="M199" s="467">
        <f t="shared" si="29"/>
        <v>0</v>
      </c>
      <c r="N199" s="463" t="s">
        <v>1496</v>
      </c>
      <c r="O199" s="451" t="s">
        <v>1497</v>
      </c>
      <c r="P199" s="468" t="s">
        <v>1498</v>
      </c>
      <c r="Q199" s="468" t="s">
        <v>909</v>
      </c>
      <c r="AC199" s="433" t="str">
        <f ca="1">HYPERLINK("#"&amp;일위대가목록표!J2&amp;"!A"&amp;ROW(일위대가목록표!A68),"B02554 →")</f>
        <v>B02554 →</v>
      </c>
    </row>
    <row r="200" spans="1:29" ht="35.25" customHeight="1">
      <c r="A200" s="452"/>
      <c r="B200" s="452" t="s">
        <v>1495</v>
      </c>
      <c r="C200" s="449" t="s">
        <v>1491</v>
      </c>
      <c r="D200" s="470">
        <v>0</v>
      </c>
      <c r="E200" s="463" t="s">
        <v>975</v>
      </c>
      <c r="F200" s="471">
        <f t="shared" si="26"/>
        <v>29742</v>
      </c>
      <c r="G200" s="446">
        <f t="shared" si="26"/>
        <v>0</v>
      </c>
      <c r="H200" s="472">
        <f>일위대가목록표!F69</f>
        <v>26372</v>
      </c>
      <c r="I200" s="465">
        <f t="shared" si="27"/>
        <v>0</v>
      </c>
      <c r="J200" s="473">
        <f>일위대가목록표!G69</f>
        <v>2795</v>
      </c>
      <c r="K200" s="465">
        <f t="shared" si="28"/>
        <v>0</v>
      </c>
      <c r="L200" s="474">
        <f>일위대가목록표!H69</f>
        <v>575</v>
      </c>
      <c r="M200" s="467">
        <f t="shared" si="29"/>
        <v>0</v>
      </c>
      <c r="N200" s="463" t="s">
        <v>1499</v>
      </c>
      <c r="O200" s="451" t="s">
        <v>1500</v>
      </c>
      <c r="P200" s="468" t="s">
        <v>1501</v>
      </c>
      <c r="Q200" s="468" t="s">
        <v>909</v>
      </c>
      <c r="AC200" s="433" t="str">
        <f ca="1">HYPERLINK("#"&amp;일위대가목록표!J2&amp;"!A"&amp;ROW(일위대가목록표!A69),"B02555 →")</f>
        <v>B02555 →</v>
      </c>
    </row>
    <row r="201" spans="1:29" ht="35.25" customHeight="1">
      <c r="A201" s="452"/>
      <c r="B201" s="452" t="s">
        <v>1502</v>
      </c>
      <c r="C201" s="449" t="s">
        <v>1503</v>
      </c>
      <c r="D201" s="470">
        <v>0</v>
      </c>
      <c r="E201" s="463" t="s">
        <v>595</v>
      </c>
      <c r="F201" s="471">
        <f t="shared" si="26"/>
        <v>13471</v>
      </c>
      <c r="G201" s="446">
        <f t="shared" si="26"/>
        <v>0</v>
      </c>
      <c r="H201" s="472">
        <f>일위대가목록표!F287</f>
        <v>12159</v>
      </c>
      <c r="I201" s="465">
        <f t="shared" si="27"/>
        <v>0</v>
      </c>
      <c r="J201" s="473">
        <f>일위대가목록표!G287</f>
        <v>1053</v>
      </c>
      <c r="K201" s="465">
        <f t="shared" si="28"/>
        <v>0</v>
      </c>
      <c r="L201" s="474">
        <f>일위대가목록표!H287</f>
        <v>259</v>
      </c>
      <c r="M201" s="467">
        <f t="shared" si="29"/>
        <v>0</v>
      </c>
      <c r="N201" s="463" t="s">
        <v>1504</v>
      </c>
      <c r="O201" s="451" t="s">
        <v>1505</v>
      </c>
      <c r="P201" s="468" t="s">
        <v>1506</v>
      </c>
      <c r="Q201" s="468" t="s">
        <v>909</v>
      </c>
      <c r="AC201" s="433" t="str">
        <f ca="1">HYPERLINK("#"&amp;일위대가목록표!J2&amp;"!A"&amp;ROW(일위대가목록표!A287),"B02106 →")</f>
        <v>B02106 →</v>
      </c>
    </row>
    <row r="202" spans="1:29" ht="35.25" customHeight="1">
      <c r="A202" s="452"/>
      <c r="B202" s="452" t="s">
        <v>1507</v>
      </c>
      <c r="C202" s="449" t="s">
        <v>1508</v>
      </c>
      <c r="D202" s="470">
        <v>0</v>
      </c>
      <c r="E202" s="463" t="s">
        <v>595</v>
      </c>
      <c r="F202" s="471">
        <f t="shared" si="26"/>
        <v>1802</v>
      </c>
      <c r="G202" s="446">
        <f t="shared" si="26"/>
        <v>0</v>
      </c>
      <c r="H202" s="472">
        <f>일위대가목록표!F114</f>
        <v>1750</v>
      </c>
      <c r="I202" s="465">
        <f t="shared" si="27"/>
        <v>0</v>
      </c>
      <c r="J202" s="473">
        <f>일위대가목록표!G114</f>
        <v>0</v>
      </c>
      <c r="K202" s="465">
        <f t="shared" si="28"/>
        <v>0</v>
      </c>
      <c r="L202" s="474">
        <f>일위대가목록표!H114</f>
        <v>52</v>
      </c>
      <c r="M202" s="467">
        <f t="shared" si="29"/>
        <v>0</v>
      </c>
      <c r="N202" s="463" t="s">
        <v>1509</v>
      </c>
      <c r="O202" s="451" t="s">
        <v>1510</v>
      </c>
      <c r="P202" s="468" t="s">
        <v>1511</v>
      </c>
      <c r="Q202" s="468" t="s">
        <v>909</v>
      </c>
      <c r="AC202" s="433" t="str">
        <f ca="1">HYPERLINK("#"&amp;일위대가목록표!J2&amp;"!A"&amp;ROW(일위대가목록표!A114),"B02649 →")</f>
        <v>B02649 →</v>
      </c>
    </row>
    <row r="203" spans="1:29" ht="35.25" customHeight="1">
      <c r="A203" s="452"/>
      <c r="B203" s="452" t="s">
        <v>1507</v>
      </c>
      <c r="C203" s="449" t="s">
        <v>1512</v>
      </c>
      <c r="D203" s="470">
        <v>0</v>
      </c>
      <c r="E203" s="463" t="s">
        <v>595</v>
      </c>
      <c r="F203" s="471">
        <f t="shared" si="26"/>
        <v>2658</v>
      </c>
      <c r="G203" s="446">
        <f t="shared" si="26"/>
        <v>0</v>
      </c>
      <c r="H203" s="472">
        <f>일위대가목록표!F115</f>
        <v>2539</v>
      </c>
      <c r="I203" s="465">
        <f t="shared" si="27"/>
        <v>0</v>
      </c>
      <c r="J203" s="473">
        <f>일위대가목록표!G115</f>
        <v>43</v>
      </c>
      <c r="K203" s="465">
        <f t="shared" si="28"/>
        <v>0</v>
      </c>
      <c r="L203" s="474">
        <f>일위대가목록표!H115</f>
        <v>76</v>
      </c>
      <c r="M203" s="467">
        <f t="shared" si="29"/>
        <v>0</v>
      </c>
      <c r="N203" s="463" t="s">
        <v>1513</v>
      </c>
      <c r="O203" s="451" t="s">
        <v>1514</v>
      </c>
      <c r="P203" s="468" t="s">
        <v>1515</v>
      </c>
      <c r="Q203" s="468" t="s">
        <v>909</v>
      </c>
      <c r="AC203" s="433" t="str">
        <f ca="1">HYPERLINK("#"&amp;일위대가목록표!J2&amp;"!A"&amp;ROW(일위대가목록표!A115),"B02110 →")</f>
        <v>B02110 →</v>
      </c>
    </row>
    <row r="204" spans="1:29" ht="35.25" customHeight="1">
      <c r="A204" s="452"/>
      <c r="B204" s="452" t="s">
        <v>1516</v>
      </c>
      <c r="C204" s="449" t="s">
        <v>1517</v>
      </c>
      <c r="D204" s="470">
        <v>0</v>
      </c>
      <c r="E204" s="463" t="s">
        <v>595</v>
      </c>
      <c r="F204" s="471">
        <f t="shared" si="26"/>
        <v>6547</v>
      </c>
      <c r="G204" s="446">
        <f t="shared" si="26"/>
        <v>0</v>
      </c>
      <c r="H204" s="472">
        <f>일위대가목록표!F256</f>
        <v>5948</v>
      </c>
      <c r="I204" s="465">
        <f t="shared" si="27"/>
        <v>0</v>
      </c>
      <c r="J204" s="473">
        <f>일위대가목록표!G256</f>
        <v>481</v>
      </c>
      <c r="K204" s="465">
        <f t="shared" si="28"/>
        <v>0</v>
      </c>
      <c r="L204" s="474">
        <f>일위대가목록표!H256</f>
        <v>118</v>
      </c>
      <c r="M204" s="467">
        <f t="shared" si="29"/>
        <v>0</v>
      </c>
      <c r="N204" s="463" t="s">
        <v>1518</v>
      </c>
      <c r="O204" s="451" t="s">
        <v>1519</v>
      </c>
      <c r="P204" s="468" t="s">
        <v>1520</v>
      </c>
      <c r="Q204" s="468" t="s">
        <v>909</v>
      </c>
      <c r="AC204" s="433" t="str">
        <f ca="1">HYPERLINK("#"&amp;일위대가목록표!J2&amp;"!A"&amp;ROW(일위대가목록표!A256),"B02563 →")</f>
        <v>B02563 →</v>
      </c>
    </row>
    <row r="205" spans="1:29" ht="35.25" customHeight="1">
      <c r="A205" s="452"/>
      <c r="B205" s="452" t="s">
        <v>1516</v>
      </c>
      <c r="C205" s="449" t="s">
        <v>1521</v>
      </c>
      <c r="D205" s="470">
        <v>0</v>
      </c>
      <c r="E205" s="463" t="s">
        <v>595</v>
      </c>
      <c r="F205" s="471">
        <f t="shared" si="26"/>
        <v>13131</v>
      </c>
      <c r="G205" s="446">
        <f t="shared" si="26"/>
        <v>0</v>
      </c>
      <c r="H205" s="472">
        <f>일위대가목록표!F257</f>
        <v>11897</v>
      </c>
      <c r="I205" s="465">
        <f t="shared" si="27"/>
        <v>0</v>
      </c>
      <c r="J205" s="473">
        <f>일위대가목록표!G257</f>
        <v>997</v>
      </c>
      <c r="K205" s="465">
        <f t="shared" si="28"/>
        <v>0</v>
      </c>
      <c r="L205" s="474">
        <f>일위대가목록표!H257</f>
        <v>237</v>
      </c>
      <c r="M205" s="467">
        <f t="shared" si="29"/>
        <v>0</v>
      </c>
      <c r="N205" s="463" t="s">
        <v>1522</v>
      </c>
      <c r="O205" s="451" t="s">
        <v>1523</v>
      </c>
      <c r="P205" s="468" t="s">
        <v>1524</v>
      </c>
      <c r="Q205" s="468" t="s">
        <v>909</v>
      </c>
      <c r="AC205" s="433" t="str">
        <f ca="1">HYPERLINK("#"&amp;일위대가목록표!J2&amp;"!A"&amp;ROW(일위대가목록표!A257),"B02550 →")</f>
        <v>B02550 →</v>
      </c>
    </row>
    <row r="206" spans="1:29" ht="35.25" customHeight="1">
      <c r="A206" s="452"/>
      <c r="B206" s="452" t="s">
        <v>1525</v>
      </c>
      <c r="C206" s="449" t="s">
        <v>1517</v>
      </c>
      <c r="D206" s="470">
        <v>0</v>
      </c>
      <c r="E206" s="463" t="s">
        <v>595</v>
      </c>
      <c r="F206" s="471">
        <f t="shared" si="26"/>
        <v>5122</v>
      </c>
      <c r="G206" s="446">
        <f t="shared" si="26"/>
        <v>0</v>
      </c>
      <c r="H206" s="472">
        <f>일위대가목록표!F16</f>
        <v>4461</v>
      </c>
      <c r="I206" s="465">
        <f t="shared" si="27"/>
        <v>0</v>
      </c>
      <c r="J206" s="473">
        <f>일위대가목록표!G16</f>
        <v>572</v>
      </c>
      <c r="K206" s="465">
        <f t="shared" si="28"/>
        <v>0</v>
      </c>
      <c r="L206" s="474">
        <f>일위대가목록표!H16</f>
        <v>89</v>
      </c>
      <c r="M206" s="467">
        <f t="shared" si="29"/>
        <v>0</v>
      </c>
      <c r="N206" s="463" t="s">
        <v>1526</v>
      </c>
      <c r="O206" s="451" t="s">
        <v>1527</v>
      </c>
      <c r="P206" s="468" t="s">
        <v>1528</v>
      </c>
      <c r="Q206" s="468" t="s">
        <v>909</v>
      </c>
      <c r="AC206" s="433" t="str">
        <f ca="1">HYPERLINK("#"&amp;일위대가목록표!J2&amp;"!A"&amp;ROW(일위대가목록표!A16),"B02562 →")</f>
        <v>B02562 →</v>
      </c>
    </row>
    <row r="207" spans="1:29" ht="35.25" customHeight="1">
      <c r="A207" s="452"/>
      <c r="B207" s="452" t="s">
        <v>1525</v>
      </c>
      <c r="C207" s="449" t="s">
        <v>1521</v>
      </c>
      <c r="D207" s="470">
        <v>0</v>
      </c>
      <c r="E207" s="463" t="s">
        <v>595</v>
      </c>
      <c r="F207" s="471">
        <f t="shared" si="26"/>
        <v>10251</v>
      </c>
      <c r="G207" s="446">
        <f t="shared" si="26"/>
        <v>0</v>
      </c>
      <c r="H207" s="472">
        <f>일위대가목록표!F17</f>
        <v>8922</v>
      </c>
      <c r="I207" s="465">
        <f t="shared" si="27"/>
        <v>0</v>
      </c>
      <c r="J207" s="473">
        <f>일위대가목록표!G17</f>
        <v>1151</v>
      </c>
      <c r="K207" s="465">
        <f t="shared" si="28"/>
        <v>0</v>
      </c>
      <c r="L207" s="474">
        <f>일위대가목록표!H17</f>
        <v>178</v>
      </c>
      <c r="M207" s="467">
        <f t="shared" si="29"/>
        <v>0</v>
      </c>
      <c r="N207" s="463" t="s">
        <v>1529</v>
      </c>
      <c r="O207" s="451" t="s">
        <v>1530</v>
      </c>
      <c r="P207" s="468" t="s">
        <v>1531</v>
      </c>
      <c r="Q207" s="468" t="s">
        <v>909</v>
      </c>
      <c r="AC207" s="433" t="str">
        <f ca="1">HYPERLINK("#"&amp;일위대가목록표!J2&amp;"!A"&amp;ROW(일위대가목록표!A17),"B02107 →")</f>
        <v>B02107 →</v>
      </c>
    </row>
    <row r="208" spans="1:29" ht="35.25" customHeight="1">
      <c r="A208" s="452"/>
      <c r="B208" s="452" t="s">
        <v>1532</v>
      </c>
      <c r="C208" s="449" t="s">
        <v>1533</v>
      </c>
      <c r="D208" s="470">
        <v>0</v>
      </c>
      <c r="E208" s="463" t="s">
        <v>595</v>
      </c>
      <c r="F208" s="471">
        <f t="shared" si="26"/>
        <v>6465</v>
      </c>
      <c r="G208" s="446">
        <f t="shared" si="26"/>
        <v>0</v>
      </c>
      <c r="H208" s="472">
        <f>일위대가목록표!F223</f>
        <v>5513</v>
      </c>
      <c r="I208" s="465">
        <f t="shared" si="27"/>
        <v>0</v>
      </c>
      <c r="J208" s="473">
        <f>일위대가목록표!G223</f>
        <v>842</v>
      </c>
      <c r="K208" s="465">
        <f t="shared" si="28"/>
        <v>0</v>
      </c>
      <c r="L208" s="474">
        <f>일위대가목록표!H223</f>
        <v>110</v>
      </c>
      <c r="M208" s="467">
        <f t="shared" si="29"/>
        <v>0</v>
      </c>
      <c r="N208" s="463" t="s">
        <v>1534</v>
      </c>
      <c r="O208" s="451" t="s">
        <v>1535</v>
      </c>
      <c r="P208" s="468" t="s">
        <v>1536</v>
      </c>
      <c r="Q208" s="468" t="s">
        <v>909</v>
      </c>
      <c r="AC208" s="433" t="str">
        <f ca="1">HYPERLINK("#"&amp;일위대가목록표!J2&amp;"!A"&amp;ROW(일위대가목록표!A223),"B02657 →")</f>
        <v>B02657 →</v>
      </c>
    </row>
    <row r="209" spans="1:29" ht="35.25" customHeight="1">
      <c r="A209" s="452"/>
      <c r="B209" s="452" t="s">
        <v>1532</v>
      </c>
      <c r="C209" s="449" t="s">
        <v>1537</v>
      </c>
      <c r="D209" s="470">
        <v>100</v>
      </c>
      <c r="E209" s="463" t="s">
        <v>595</v>
      </c>
      <c r="F209" s="471">
        <f t="shared" si="26"/>
        <v>12642</v>
      </c>
      <c r="G209" s="446">
        <f t="shared" si="26"/>
        <v>1264200</v>
      </c>
      <c r="H209" s="472">
        <f>일위대가목록표!F224</f>
        <v>11027</v>
      </c>
      <c r="I209" s="465">
        <f t="shared" si="27"/>
        <v>1102700</v>
      </c>
      <c r="J209" s="473">
        <f>일위대가목록표!G224</f>
        <v>1395</v>
      </c>
      <c r="K209" s="465">
        <f t="shared" si="28"/>
        <v>139500</v>
      </c>
      <c r="L209" s="474">
        <f>일위대가목록표!H224</f>
        <v>220</v>
      </c>
      <c r="M209" s="467">
        <f t="shared" si="29"/>
        <v>22000</v>
      </c>
      <c r="N209" s="463" t="s">
        <v>1538</v>
      </c>
      <c r="O209" s="451" t="s">
        <v>1539</v>
      </c>
      <c r="P209" s="468" t="s">
        <v>1540</v>
      </c>
      <c r="Q209" s="468" t="s">
        <v>909</v>
      </c>
      <c r="AC209" s="433" t="str">
        <f ca="1">HYPERLINK("#"&amp;일위대가목록표!J2&amp;"!A"&amp;ROW(일위대가목록표!A224),"B01814 →")</f>
        <v>B01814 →</v>
      </c>
    </row>
    <row r="210" spans="1:29" ht="35.25" customHeight="1">
      <c r="A210" s="452"/>
      <c r="B210" s="452" t="s">
        <v>1541</v>
      </c>
      <c r="C210" s="449" t="s">
        <v>1542</v>
      </c>
      <c r="D210" s="470">
        <v>0</v>
      </c>
      <c r="E210" s="463" t="s">
        <v>595</v>
      </c>
      <c r="F210" s="471">
        <f t="shared" si="26"/>
        <v>11984</v>
      </c>
      <c r="G210" s="446">
        <f t="shared" si="26"/>
        <v>0</v>
      </c>
      <c r="H210" s="472">
        <f>단가산출근거목록표!F133</f>
        <v>11635</v>
      </c>
      <c r="I210" s="465">
        <f t="shared" si="27"/>
        <v>0</v>
      </c>
      <c r="J210" s="473">
        <f>단가산출근거목록표!G133</f>
        <v>0</v>
      </c>
      <c r="K210" s="465">
        <f t="shared" si="28"/>
        <v>0</v>
      </c>
      <c r="L210" s="474">
        <f>단가산출근거목록표!H133</f>
        <v>349</v>
      </c>
      <c r="M210" s="467">
        <f t="shared" si="29"/>
        <v>0</v>
      </c>
      <c r="N210" s="463" t="s">
        <v>1543</v>
      </c>
      <c r="O210" s="451" t="s">
        <v>1544</v>
      </c>
      <c r="P210" s="468" t="s">
        <v>1545</v>
      </c>
      <c r="Q210" s="468" t="s">
        <v>909</v>
      </c>
      <c r="AC210" s="433" t="str">
        <f ca="1">HYPERLINK("#"&amp;단가산출근거목록표!J2&amp;"!A"&amp;ROW(단가산출근거목록표!A133),"D01275 →")</f>
        <v>D01275 →</v>
      </c>
    </row>
    <row r="211" spans="1:29" ht="35.25" customHeight="1">
      <c r="A211" s="452"/>
      <c r="B211" s="452" t="s">
        <v>1541</v>
      </c>
      <c r="C211" s="449" t="s">
        <v>1546</v>
      </c>
      <c r="D211" s="470">
        <v>0</v>
      </c>
      <c r="E211" s="463" t="s">
        <v>595</v>
      </c>
      <c r="F211" s="471">
        <f t="shared" si="26"/>
        <v>2662</v>
      </c>
      <c r="G211" s="446">
        <f t="shared" si="26"/>
        <v>0</v>
      </c>
      <c r="H211" s="472">
        <f>단가산출근거목록표!F132</f>
        <v>2585</v>
      </c>
      <c r="I211" s="465">
        <f t="shared" si="27"/>
        <v>0</v>
      </c>
      <c r="J211" s="473">
        <f>단가산출근거목록표!G132</f>
        <v>0</v>
      </c>
      <c r="K211" s="465">
        <f t="shared" si="28"/>
        <v>0</v>
      </c>
      <c r="L211" s="474">
        <f>단가산출근거목록표!H132</f>
        <v>77</v>
      </c>
      <c r="M211" s="467">
        <f t="shared" si="29"/>
        <v>0</v>
      </c>
      <c r="N211" s="463" t="s">
        <v>1547</v>
      </c>
      <c r="O211" s="451" t="s">
        <v>1548</v>
      </c>
      <c r="P211" s="468" t="s">
        <v>1549</v>
      </c>
      <c r="Q211" s="468" t="s">
        <v>909</v>
      </c>
      <c r="AC211" s="433" t="str">
        <f ca="1">HYPERLINK("#"&amp;단가산출근거목록표!J2&amp;"!A"&amp;ROW(단가산출근거목록표!A132),"D01276 →")</f>
        <v>D01276 →</v>
      </c>
    </row>
    <row r="212" spans="1:29" ht="35.25" customHeight="1">
      <c r="A212" s="452"/>
      <c r="B212" s="452" t="s">
        <v>1550</v>
      </c>
      <c r="C212" s="449" t="s">
        <v>1551</v>
      </c>
      <c r="D212" s="470">
        <v>0</v>
      </c>
      <c r="E212" s="463" t="s">
        <v>975</v>
      </c>
      <c r="F212" s="471">
        <f t="shared" si="26"/>
        <v>180586</v>
      </c>
      <c r="G212" s="446">
        <f t="shared" si="26"/>
        <v>0</v>
      </c>
      <c r="H212" s="472">
        <f>일위대가목록표!F23</f>
        <v>160621</v>
      </c>
      <c r="I212" s="465">
        <f t="shared" si="27"/>
        <v>0</v>
      </c>
      <c r="J212" s="473">
        <f>일위대가목록표!G23</f>
        <v>16461</v>
      </c>
      <c r="K212" s="465">
        <f t="shared" si="28"/>
        <v>0</v>
      </c>
      <c r="L212" s="474">
        <f>일위대가목록표!H23</f>
        <v>3504</v>
      </c>
      <c r="M212" s="467">
        <f t="shared" si="29"/>
        <v>0</v>
      </c>
      <c r="N212" s="463" t="s">
        <v>1552</v>
      </c>
      <c r="O212" s="451" t="s">
        <v>1553</v>
      </c>
      <c r="P212" s="468" t="s">
        <v>1554</v>
      </c>
      <c r="Q212" s="468" t="s">
        <v>909</v>
      </c>
      <c r="AC212" s="433" t="str">
        <f ca="1">HYPERLINK("#"&amp;일위대가목록표!J2&amp;"!A"&amp;ROW(일위대가목록표!A23),"B02723 →")</f>
        <v>B02723 →</v>
      </c>
    </row>
    <row r="213" spans="1:29" ht="35.25" customHeight="1">
      <c r="A213" s="452"/>
      <c r="B213" s="452" t="s">
        <v>1555</v>
      </c>
      <c r="C213" s="449" t="s">
        <v>1556</v>
      </c>
      <c r="D213" s="470">
        <v>0</v>
      </c>
      <c r="E213" s="463" t="s">
        <v>966</v>
      </c>
      <c r="F213" s="471">
        <f t="shared" si="26"/>
        <v>9334</v>
      </c>
      <c r="G213" s="446">
        <f t="shared" si="26"/>
        <v>0</v>
      </c>
      <c r="H213" s="472">
        <f>일위대가목록표!F195</f>
        <v>8303</v>
      </c>
      <c r="I213" s="465">
        <f t="shared" si="27"/>
        <v>0</v>
      </c>
      <c r="J213" s="473">
        <f>일위대가목록표!G195</f>
        <v>850</v>
      </c>
      <c r="K213" s="465">
        <f t="shared" si="28"/>
        <v>0</v>
      </c>
      <c r="L213" s="474">
        <f>일위대가목록표!H195</f>
        <v>181</v>
      </c>
      <c r="M213" s="467">
        <f t="shared" si="29"/>
        <v>0</v>
      </c>
      <c r="N213" s="463" t="s">
        <v>1557</v>
      </c>
      <c r="O213" s="451" t="s">
        <v>1558</v>
      </c>
      <c r="P213" s="468" t="s">
        <v>1559</v>
      </c>
      <c r="Q213" s="468" t="s">
        <v>909</v>
      </c>
      <c r="AC213" s="433" t="str">
        <f ca="1">HYPERLINK("#"&amp;일위대가목록표!J2&amp;"!A"&amp;ROW(일위대가목록표!A195),"B02722 →")</f>
        <v>B02722 →</v>
      </c>
    </row>
    <row r="214" spans="1:29" ht="35.25" customHeight="1">
      <c r="A214" s="452"/>
      <c r="B214" s="452" t="s">
        <v>5199</v>
      </c>
      <c r="C214" s="449" t="s">
        <v>965</v>
      </c>
      <c r="D214" s="470">
        <v>0</v>
      </c>
      <c r="E214" s="463" t="s">
        <v>975</v>
      </c>
      <c r="F214" s="471">
        <f t="shared" si="26"/>
        <v>25047</v>
      </c>
      <c r="G214" s="446">
        <f t="shared" si="26"/>
        <v>0</v>
      </c>
      <c r="H214" s="472">
        <f>일위대가목록표!F206</f>
        <v>25047</v>
      </c>
      <c r="I214" s="465">
        <f t="shared" si="27"/>
        <v>0</v>
      </c>
      <c r="J214" s="473">
        <f>일위대가목록표!G206</f>
        <v>0</v>
      </c>
      <c r="K214" s="465">
        <f t="shared" si="28"/>
        <v>0</v>
      </c>
      <c r="L214" s="474">
        <f>일위대가목록표!H206</f>
        <v>0</v>
      </c>
      <c r="M214" s="467">
        <f t="shared" si="29"/>
        <v>0</v>
      </c>
      <c r="N214" s="463" t="s">
        <v>5200</v>
      </c>
      <c r="O214" s="451" t="s">
        <v>5201</v>
      </c>
      <c r="P214" s="468" t="s">
        <v>5202</v>
      </c>
      <c r="Q214" s="468" t="s">
        <v>909</v>
      </c>
      <c r="AC214" s="433" t="str">
        <f ca="1">HYPERLINK("#"&amp;일위대가목록표!J2&amp;"!A"&amp;ROW(일위대가목록표!A206),"B02866 →")</f>
        <v>B02866 →</v>
      </c>
    </row>
    <row r="215" spans="1:29" ht="35.25" customHeight="1">
      <c r="A215" s="452"/>
      <c r="B215" s="452" t="s">
        <v>5203</v>
      </c>
      <c r="C215" s="449" t="s">
        <v>965</v>
      </c>
      <c r="D215" s="470">
        <v>0</v>
      </c>
      <c r="E215" s="463" t="s">
        <v>975</v>
      </c>
      <c r="F215" s="471">
        <f t="shared" si="26"/>
        <v>27225</v>
      </c>
      <c r="G215" s="446">
        <f t="shared" si="26"/>
        <v>0</v>
      </c>
      <c r="H215" s="472">
        <f>일위대가목록표!F207</f>
        <v>27225</v>
      </c>
      <c r="I215" s="465">
        <f t="shared" si="27"/>
        <v>0</v>
      </c>
      <c r="J215" s="473">
        <f>일위대가목록표!G207</f>
        <v>0</v>
      </c>
      <c r="K215" s="465">
        <f t="shared" si="28"/>
        <v>0</v>
      </c>
      <c r="L215" s="474">
        <f>일위대가목록표!H207</f>
        <v>0</v>
      </c>
      <c r="M215" s="467">
        <f t="shared" si="29"/>
        <v>0</v>
      </c>
      <c r="N215" s="463" t="s">
        <v>1560</v>
      </c>
      <c r="O215" s="451" t="s">
        <v>1561</v>
      </c>
      <c r="P215" s="468" t="s">
        <v>1562</v>
      </c>
      <c r="Q215" s="468" t="s">
        <v>909</v>
      </c>
      <c r="AC215" s="433" t="str">
        <f ca="1">HYPERLINK("#"&amp;일위대가목록표!J2&amp;"!A"&amp;ROW(일위대가목록표!A207),"B02629 →")</f>
        <v>B02629 →</v>
      </c>
    </row>
    <row r="216" spans="1:29" ht="35.25" customHeight="1">
      <c r="A216" s="452"/>
      <c r="B216" s="452" t="s">
        <v>1563</v>
      </c>
      <c r="C216" s="449" t="s">
        <v>965</v>
      </c>
      <c r="D216" s="470">
        <v>0</v>
      </c>
      <c r="E216" s="463" t="s">
        <v>975</v>
      </c>
      <c r="F216" s="471">
        <f t="shared" si="26"/>
        <v>67004</v>
      </c>
      <c r="G216" s="446">
        <f t="shared" si="26"/>
        <v>0</v>
      </c>
      <c r="H216" s="472">
        <f>일위대가목록표!F205</f>
        <v>67004</v>
      </c>
      <c r="I216" s="465">
        <f t="shared" si="27"/>
        <v>0</v>
      </c>
      <c r="J216" s="473">
        <f>일위대가목록표!G205</f>
        <v>0</v>
      </c>
      <c r="K216" s="465">
        <f t="shared" si="28"/>
        <v>0</v>
      </c>
      <c r="L216" s="474">
        <f>일위대가목록표!H205</f>
        <v>0</v>
      </c>
      <c r="M216" s="467">
        <f t="shared" si="29"/>
        <v>0</v>
      </c>
      <c r="N216" s="463" t="s">
        <v>1564</v>
      </c>
      <c r="O216" s="451" t="s">
        <v>1565</v>
      </c>
      <c r="P216" s="468" t="s">
        <v>1566</v>
      </c>
      <c r="Q216" s="468" t="s">
        <v>909</v>
      </c>
      <c r="AC216" s="433" t="str">
        <f ca="1">HYPERLINK("#"&amp;일위대가목록표!J2&amp;"!A"&amp;ROW(일위대가목록표!A205),"B02247 →")</f>
        <v>B02247 →</v>
      </c>
    </row>
    <row r="217" spans="1:29" ht="35.25" customHeight="1">
      <c r="A217" s="452"/>
      <c r="B217" s="452" t="s">
        <v>5204</v>
      </c>
      <c r="C217" s="449" t="s">
        <v>1567</v>
      </c>
      <c r="D217" s="470">
        <v>0</v>
      </c>
      <c r="E217" s="463" t="s">
        <v>975</v>
      </c>
      <c r="F217" s="471">
        <f t="shared" si="26"/>
        <v>28415</v>
      </c>
      <c r="G217" s="446">
        <f t="shared" si="26"/>
        <v>0</v>
      </c>
      <c r="H217" s="472">
        <f>일위대가목록표!F197</f>
        <v>28415</v>
      </c>
      <c r="I217" s="465">
        <f t="shared" si="27"/>
        <v>0</v>
      </c>
      <c r="J217" s="473">
        <f>일위대가목록표!G197</f>
        <v>0</v>
      </c>
      <c r="K217" s="465">
        <f t="shared" si="28"/>
        <v>0</v>
      </c>
      <c r="L217" s="474">
        <f>일위대가목록표!H197</f>
        <v>0</v>
      </c>
      <c r="M217" s="467">
        <f t="shared" si="29"/>
        <v>0</v>
      </c>
      <c r="N217" s="463" t="s">
        <v>5205</v>
      </c>
      <c r="O217" s="451" t="s">
        <v>5206</v>
      </c>
      <c r="P217" s="468" t="s">
        <v>5207</v>
      </c>
      <c r="Q217" s="468" t="s">
        <v>909</v>
      </c>
      <c r="AC217" s="433" t="str">
        <f ca="1">HYPERLINK("#"&amp;일위대가목록표!J2&amp;"!A"&amp;ROW(일위대가목록표!A197),"B02867 →")</f>
        <v>B02867 →</v>
      </c>
    </row>
    <row r="218" spans="1:29" ht="35.25" customHeight="1">
      <c r="A218" s="452"/>
      <c r="B218" s="452" t="s">
        <v>5208</v>
      </c>
      <c r="C218" s="449" t="s">
        <v>1567</v>
      </c>
      <c r="D218" s="470">
        <v>0</v>
      </c>
      <c r="E218" s="463" t="s">
        <v>975</v>
      </c>
      <c r="F218" s="471">
        <f t="shared" si="26"/>
        <v>30886</v>
      </c>
      <c r="G218" s="446">
        <f t="shared" si="26"/>
        <v>0</v>
      </c>
      <c r="H218" s="472">
        <f>일위대가목록표!F198</f>
        <v>30886</v>
      </c>
      <c r="I218" s="465">
        <f t="shared" si="27"/>
        <v>0</v>
      </c>
      <c r="J218" s="473">
        <f>일위대가목록표!G198</f>
        <v>0</v>
      </c>
      <c r="K218" s="465">
        <f t="shared" si="28"/>
        <v>0</v>
      </c>
      <c r="L218" s="474">
        <f>일위대가목록표!H198</f>
        <v>0</v>
      </c>
      <c r="M218" s="467">
        <f t="shared" si="29"/>
        <v>0</v>
      </c>
      <c r="N218" s="463" t="s">
        <v>1568</v>
      </c>
      <c r="O218" s="451" t="s">
        <v>1569</v>
      </c>
      <c r="P218" s="468" t="s">
        <v>1570</v>
      </c>
      <c r="Q218" s="468" t="s">
        <v>909</v>
      </c>
      <c r="AC218" s="433" t="str">
        <f ca="1">HYPERLINK("#"&amp;일위대가목록표!J2&amp;"!A"&amp;ROW(일위대가목록표!A198),"B02725 →")</f>
        <v>B02725 →</v>
      </c>
    </row>
    <row r="219" spans="1:29" ht="35.25" customHeight="1">
      <c r="A219" s="452"/>
      <c r="B219" s="452" t="s">
        <v>1571</v>
      </c>
      <c r="C219" s="449" t="s">
        <v>1567</v>
      </c>
      <c r="D219" s="470">
        <v>0</v>
      </c>
      <c r="E219" s="463" t="s">
        <v>975</v>
      </c>
      <c r="F219" s="471">
        <f t="shared" si="26"/>
        <v>24709</v>
      </c>
      <c r="G219" s="446">
        <f t="shared" si="26"/>
        <v>0</v>
      </c>
      <c r="H219" s="472">
        <f>일위대가목록표!F196</f>
        <v>24709</v>
      </c>
      <c r="I219" s="465">
        <f t="shared" si="27"/>
        <v>0</v>
      </c>
      <c r="J219" s="473">
        <f>일위대가목록표!G196</f>
        <v>0</v>
      </c>
      <c r="K219" s="465">
        <f t="shared" si="28"/>
        <v>0</v>
      </c>
      <c r="L219" s="474">
        <f>일위대가목록표!H196</f>
        <v>0</v>
      </c>
      <c r="M219" s="467">
        <f t="shared" si="29"/>
        <v>0</v>
      </c>
      <c r="N219" s="463" t="s">
        <v>1572</v>
      </c>
      <c r="O219" s="451" t="s">
        <v>1573</v>
      </c>
      <c r="P219" s="468" t="s">
        <v>1574</v>
      </c>
      <c r="Q219" s="468" t="s">
        <v>909</v>
      </c>
      <c r="AC219" s="433" t="str">
        <f ca="1">HYPERLINK("#"&amp;일위대가목록표!J2&amp;"!A"&amp;ROW(일위대가목록표!A196),"B02721 →")</f>
        <v>B02721 →</v>
      </c>
    </row>
    <row r="220" spans="1:29" ht="35.25" customHeight="1">
      <c r="A220" s="452"/>
      <c r="B220" s="452" t="s">
        <v>5209</v>
      </c>
      <c r="C220" s="449" t="s">
        <v>5210</v>
      </c>
      <c r="D220" s="470">
        <v>0</v>
      </c>
      <c r="E220" s="463" t="s">
        <v>911</v>
      </c>
      <c r="F220" s="471">
        <f t="shared" si="26"/>
        <v>9145</v>
      </c>
      <c r="G220" s="446">
        <f t="shared" si="26"/>
        <v>0</v>
      </c>
      <c r="H220" s="472">
        <f>일위대가목록표!F200</f>
        <v>8112</v>
      </c>
      <c r="I220" s="465">
        <f t="shared" si="27"/>
        <v>0</v>
      </c>
      <c r="J220" s="473">
        <f>일위대가목록표!G200</f>
        <v>1033</v>
      </c>
      <c r="K220" s="465">
        <f t="shared" si="28"/>
        <v>0</v>
      </c>
      <c r="L220" s="474">
        <f>일위대가목록표!H200</f>
        <v>0</v>
      </c>
      <c r="M220" s="467">
        <f t="shared" si="29"/>
        <v>0</v>
      </c>
      <c r="N220" s="463" t="s">
        <v>5211</v>
      </c>
      <c r="O220" s="451" t="s">
        <v>5212</v>
      </c>
      <c r="P220" s="468" t="s">
        <v>5213</v>
      </c>
      <c r="Q220" s="468" t="s">
        <v>909</v>
      </c>
      <c r="AC220" s="433" t="str">
        <f ca="1">HYPERLINK("#"&amp;일위대가목록표!J2&amp;"!A"&amp;ROW(일위대가목록표!A200),"B02868 →")</f>
        <v>B02868 →</v>
      </c>
    </row>
    <row r="221" spans="1:29" ht="35.25" customHeight="1">
      <c r="A221" s="452"/>
      <c r="B221" s="452" t="s">
        <v>5214</v>
      </c>
      <c r="C221" s="449" t="s">
        <v>5210</v>
      </c>
      <c r="D221" s="470">
        <v>0</v>
      </c>
      <c r="E221" s="463" t="s">
        <v>911</v>
      </c>
      <c r="F221" s="471">
        <f t="shared" si="26"/>
        <v>9850</v>
      </c>
      <c r="G221" s="446">
        <f t="shared" si="26"/>
        <v>0</v>
      </c>
      <c r="H221" s="472">
        <f>일위대가목록표!F201</f>
        <v>8817</v>
      </c>
      <c r="I221" s="465">
        <f t="shared" si="27"/>
        <v>0</v>
      </c>
      <c r="J221" s="473">
        <f>일위대가목록표!G201</f>
        <v>1033</v>
      </c>
      <c r="K221" s="465">
        <f t="shared" si="28"/>
        <v>0</v>
      </c>
      <c r="L221" s="474">
        <f>일위대가목록표!H201</f>
        <v>0</v>
      </c>
      <c r="M221" s="467">
        <f t="shared" si="29"/>
        <v>0</v>
      </c>
      <c r="N221" s="463" t="s">
        <v>1575</v>
      </c>
      <c r="O221" s="451" t="s">
        <v>1576</v>
      </c>
      <c r="P221" s="468" t="s">
        <v>1577</v>
      </c>
      <c r="Q221" s="468" t="s">
        <v>909</v>
      </c>
      <c r="AC221" s="433" t="str">
        <f ca="1">HYPERLINK("#"&amp;일위대가목록표!J2&amp;"!A"&amp;ROW(일위대가목록표!A201),"B02720 →")</f>
        <v>B02720 →</v>
      </c>
    </row>
    <row r="222" spans="1:29" ht="35.25" customHeight="1">
      <c r="A222" s="452"/>
      <c r="B222" s="452" t="s">
        <v>1578</v>
      </c>
      <c r="C222" s="449" t="s">
        <v>5210</v>
      </c>
      <c r="D222" s="470">
        <v>0</v>
      </c>
      <c r="E222" s="463" t="s">
        <v>911</v>
      </c>
      <c r="F222" s="471">
        <f t="shared" si="26"/>
        <v>8124</v>
      </c>
      <c r="G222" s="446">
        <f t="shared" si="26"/>
        <v>0</v>
      </c>
      <c r="H222" s="472">
        <f>일위대가목록표!F199</f>
        <v>7054</v>
      </c>
      <c r="I222" s="465">
        <f t="shared" si="27"/>
        <v>0</v>
      </c>
      <c r="J222" s="473">
        <f>일위대가목록표!G199</f>
        <v>1070</v>
      </c>
      <c r="K222" s="465">
        <f t="shared" si="28"/>
        <v>0</v>
      </c>
      <c r="L222" s="474">
        <f>일위대가목록표!H199</f>
        <v>0</v>
      </c>
      <c r="M222" s="467">
        <f t="shared" si="29"/>
        <v>0</v>
      </c>
      <c r="N222" s="463" t="s">
        <v>1579</v>
      </c>
      <c r="O222" s="451" t="s">
        <v>1580</v>
      </c>
      <c r="P222" s="468" t="s">
        <v>1581</v>
      </c>
      <c r="Q222" s="468" t="s">
        <v>909</v>
      </c>
      <c r="AC222" s="433" t="str">
        <f ca="1">HYPERLINK("#"&amp;일위대가목록표!J2&amp;"!A"&amp;ROW(일위대가목록표!A199),"B02513 →")</f>
        <v>B02513 →</v>
      </c>
    </row>
    <row r="223" spans="1:29" ht="35.25" customHeight="1">
      <c r="A223" s="452"/>
      <c r="B223" s="452" t="s">
        <v>1582</v>
      </c>
      <c r="C223" s="449" t="s">
        <v>1583</v>
      </c>
      <c r="D223" s="470">
        <v>0</v>
      </c>
      <c r="E223" s="463" t="s">
        <v>975</v>
      </c>
      <c r="F223" s="471">
        <f t="shared" si="26"/>
        <v>30664</v>
      </c>
      <c r="G223" s="446">
        <f t="shared" si="26"/>
        <v>0</v>
      </c>
      <c r="H223" s="472">
        <f>일위대가목록표!F263</f>
        <v>25809</v>
      </c>
      <c r="I223" s="465">
        <f t="shared" si="27"/>
        <v>0</v>
      </c>
      <c r="J223" s="473">
        <f>일위대가목록표!G263</f>
        <v>4680</v>
      </c>
      <c r="K223" s="465">
        <f t="shared" si="28"/>
        <v>0</v>
      </c>
      <c r="L223" s="474">
        <f>일위대가목록표!H263</f>
        <v>175</v>
      </c>
      <c r="M223" s="467">
        <f t="shared" si="29"/>
        <v>0</v>
      </c>
      <c r="N223" s="463" t="s">
        <v>1584</v>
      </c>
      <c r="O223" s="451" t="s">
        <v>1585</v>
      </c>
      <c r="P223" s="468" t="s">
        <v>1586</v>
      </c>
      <c r="Q223" s="468" t="s">
        <v>909</v>
      </c>
      <c r="AC223" s="433" t="str">
        <f ca="1">HYPERLINK("#"&amp;일위대가목록표!J2&amp;"!A"&amp;ROW(일위대가목록표!A263),"B02556 →")</f>
        <v>B02556 →</v>
      </c>
    </row>
    <row r="224" spans="1:29" ht="35.25" customHeight="1">
      <c r="A224" s="452"/>
      <c r="B224" s="452" t="s">
        <v>1587</v>
      </c>
      <c r="C224" s="449" t="s">
        <v>1588</v>
      </c>
      <c r="D224" s="470">
        <v>0</v>
      </c>
      <c r="E224" s="463" t="s">
        <v>1589</v>
      </c>
      <c r="F224" s="471">
        <f t="shared" si="26"/>
        <v>14417</v>
      </c>
      <c r="G224" s="446">
        <f t="shared" si="26"/>
        <v>0</v>
      </c>
      <c r="H224" s="472">
        <f>일위대가목록표!F261</f>
        <v>7262</v>
      </c>
      <c r="I224" s="465">
        <f t="shared" si="27"/>
        <v>0</v>
      </c>
      <c r="J224" s="473">
        <f>일위대가목록표!G261</f>
        <v>7082</v>
      </c>
      <c r="K224" s="465">
        <f t="shared" si="28"/>
        <v>0</v>
      </c>
      <c r="L224" s="474">
        <f>일위대가목록표!H261</f>
        <v>73</v>
      </c>
      <c r="M224" s="467">
        <f t="shared" si="29"/>
        <v>0</v>
      </c>
      <c r="N224" s="463" t="s">
        <v>1590</v>
      </c>
      <c r="O224" s="451" t="s">
        <v>1591</v>
      </c>
      <c r="P224" s="468" t="s">
        <v>1592</v>
      </c>
      <c r="Q224" s="468" t="s">
        <v>909</v>
      </c>
      <c r="AC224" s="433" t="str">
        <f ca="1">HYPERLINK("#"&amp;일위대가목록표!J2&amp;"!A"&amp;ROW(일위대가목록표!A261),"B02559 →")</f>
        <v>B02559 →</v>
      </c>
    </row>
    <row r="225" spans="1:29" ht="35.25" customHeight="1">
      <c r="A225" s="452"/>
      <c r="B225" s="452" t="s">
        <v>1587</v>
      </c>
      <c r="C225" s="449" t="s">
        <v>1593</v>
      </c>
      <c r="D225" s="470">
        <v>0</v>
      </c>
      <c r="E225" s="463" t="s">
        <v>1589</v>
      </c>
      <c r="F225" s="471">
        <f t="shared" si="26"/>
        <v>25915</v>
      </c>
      <c r="G225" s="446">
        <f t="shared" si="26"/>
        <v>0</v>
      </c>
      <c r="H225" s="472">
        <f>일위대가목록표!F262</f>
        <v>12485</v>
      </c>
      <c r="I225" s="465">
        <f t="shared" si="27"/>
        <v>0</v>
      </c>
      <c r="J225" s="473">
        <f>일위대가목록표!G262</f>
        <v>13324</v>
      </c>
      <c r="K225" s="465">
        <f t="shared" si="28"/>
        <v>0</v>
      </c>
      <c r="L225" s="474">
        <f>일위대가목록표!H262</f>
        <v>106</v>
      </c>
      <c r="M225" s="467">
        <f t="shared" si="29"/>
        <v>0</v>
      </c>
      <c r="N225" s="463" t="s">
        <v>1594</v>
      </c>
      <c r="O225" s="451" t="s">
        <v>1595</v>
      </c>
      <c r="P225" s="468" t="s">
        <v>1596</v>
      </c>
      <c r="Q225" s="468" t="s">
        <v>909</v>
      </c>
      <c r="AC225" s="433" t="str">
        <f ca="1">HYPERLINK("#"&amp;일위대가목록표!J2&amp;"!A"&amp;ROW(일위대가목록표!A262),"B02558 →")</f>
        <v>B02558 →</v>
      </c>
    </row>
    <row r="226" spans="1:29" ht="35.25" customHeight="1">
      <c r="A226" s="452"/>
      <c r="B226" s="452" t="s">
        <v>1587</v>
      </c>
      <c r="C226" s="449" t="s">
        <v>1597</v>
      </c>
      <c r="D226" s="470">
        <v>0</v>
      </c>
      <c r="E226" s="463" t="s">
        <v>1589</v>
      </c>
      <c r="F226" s="471">
        <f t="shared" si="26"/>
        <v>50116</v>
      </c>
      <c r="G226" s="446">
        <f t="shared" si="26"/>
        <v>0</v>
      </c>
      <c r="H226" s="472">
        <f>일위대가목록표!F259</f>
        <v>22609</v>
      </c>
      <c r="I226" s="465">
        <f t="shared" si="27"/>
        <v>0</v>
      </c>
      <c r="J226" s="473">
        <f>일위대가목록표!G259</f>
        <v>27365</v>
      </c>
      <c r="K226" s="465">
        <f t="shared" si="28"/>
        <v>0</v>
      </c>
      <c r="L226" s="474">
        <f>일위대가목록표!H259</f>
        <v>142</v>
      </c>
      <c r="M226" s="467">
        <f t="shared" si="29"/>
        <v>0</v>
      </c>
      <c r="N226" s="463" t="s">
        <v>1598</v>
      </c>
      <c r="O226" s="451" t="s">
        <v>1599</v>
      </c>
      <c r="P226" s="468" t="s">
        <v>1600</v>
      </c>
      <c r="Q226" s="468" t="s">
        <v>909</v>
      </c>
      <c r="AC226" s="433" t="str">
        <f ca="1">HYPERLINK("#"&amp;일위대가목록표!J2&amp;"!A"&amp;ROW(일위대가목록표!A259),"B02560 →")</f>
        <v>B02560 →</v>
      </c>
    </row>
    <row r="227" spans="1:29" ht="35.25" customHeight="1">
      <c r="A227" s="452"/>
      <c r="B227" s="452" t="s">
        <v>1587</v>
      </c>
      <c r="C227" s="449" t="s">
        <v>1601</v>
      </c>
      <c r="D227" s="470">
        <v>0</v>
      </c>
      <c r="E227" s="463" t="s">
        <v>1589</v>
      </c>
      <c r="F227" s="471">
        <f t="shared" si="26"/>
        <v>104824</v>
      </c>
      <c r="G227" s="446">
        <f t="shared" si="26"/>
        <v>0</v>
      </c>
      <c r="H227" s="472">
        <f>일위대가목록표!F260</f>
        <v>45194</v>
      </c>
      <c r="I227" s="465">
        <f t="shared" si="27"/>
        <v>0</v>
      </c>
      <c r="J227" s="473">
        <f>일위대가목록표!G260</f>
        <v>59393</v>
      </c>
      <c r="K227" s="465">
        <f t="shared" si="28"/>
        <v>0</v>
      </c>
      <c r="L227" s="474">
        <f>일위대가목록표!H260</f>
        <v>237</v>
      </c>
      <c r="M227" s="467">
        <f t="shared" si="29"/>
        <v>0</v>
      </c>
      <c r="N227" s="463" t="s">
        <v>1602</v>
      </c>
      <c r="O227" s="451" t="s">
        <v>1603</v>
      </c>
      <c r="P227" s="468" t="s">
        <v>1604</v>
      </c>
      <c r="Q227" s="468" t="s">
        <v>909</v>
      </c>
      <c r="AC227" s="433" t="str">
        <f ca="1">HYPERLINK("#"&amp;일위대가목록표!J2&amp;"!A"&amp;ROW(일위대가목록표!A260),"B02561 →")</f>
        <v>B02561 →</v>
      </c>
    </row>
    <row r="228" spans="1:29" ht="35.25" customHeight="1">
      <c r="A228" s="452"/>
      <c r="B228" s="452" t="s">
        <v>1605</v>
      </c>
      <c r="C228" s="449" t="s">
        <v>1606</v>
      </c>
      <c r="D228" s="470">
        <v>0</v>
      </c>
      <c r="E228" s="463" t="s">
        <v>911</v>
      </c>
      <c r="F228" s="471">
        <f t="shared" si="26"/>
        <v>14262</v>
      </c>
      <c r="G228" s="446">
        <f t="shared" si="26"/>
        <v>0</v>
      </c>
      <c r="H228" s="472">
        <f>일위대가목록표!F283</f>
        <v>6184</v>
      </c>
      <c r="I228" s="465">
        <f t="shared" si="27"/>
        <v>0</v>
      </c>
      <c r="J228" s="473">
        <f>일위대가목록표!G283</f>
        <v>7707</v>
      </c>
      <c r="K228" s="465">
        <f t="shared" si="28"/>
        <v>0</v>
      </c>
      <c r="L228" s="474">
        <f>일위대가목록표!H283</f>
        <v>371</v>
      </c>
      <c r="M228" s="467">
        <f t="shared" si="29"/>
        <v>0</v>
      </c>
      <c r="N228" s="463" t="s">
        <v>1607</v>
      </c>
      <c r="O228" s="451" t="s">
        <v>1608</v>
      </c>
      <c r="P228" s="468" t="s">
        <v>1609</v>
      </c>
      <c r="Q228" s="468" t="s">
        <v>909</v>
      </c>
      <c r="AC228" s="433" t="str">
        <f ca="1">HYPERLINK("#"&amp;일위대가목록표!J2&amp;"!A"&amp;ROW(일위대가목록표!A283),"B02565 →")</f>
        <v>B02565 →</v>
      </c>
    </row>
    <row r="229" spans="1:29" ht="35.25" customHeight="1">
      <c r="A229" s="452"/>
      <c r="B229" s="452" t="s">
        <v>1605</v>
      </c>
      <c r="C229" s="449" t="s">
        <v>1610</v>
      </c>
      <c r="D229" s="470">
        <v>0</v>
      </c>
      <c r="E229" s="463" t="s">
        <v>911</v>
      </c>
      <c r="F229" s="471">
        <f t="shared" si="26"/>
        <v>20055</v>
      </c>
      <c r="G229" s="446">
        <f t="shared" si="26"/>
        <v>0</v>
      </c>
      <c r="H229" s="472">
        <f>일위대가목록표!F284</f>
        <v>7826</v>
      </c>
      <c r="I229" s="465">
        <f t="shared" si="27"/>
        <v>0</v>
      </c>
      <c r="J229" s="473">
        <f>일위대가목록표!G284</f>
        <v>11760</v>
      </c>
      <c r="K229" s="465">
        <f t="shared" si="28"/>
        <v>0</v>
      </c>
      <c r="L229" s="474">
        <f>일위대가목록표!H284</f>
        <v>469</v>
      </c>
      <c r="M229" s="467">
        <f t="shared" si="29"/>
        <v>0</v>
      </c>
      <c r="N229" s="463" t="s">
        <v>1611</v>
      </c>
      <c r="O229" s="451" t="s">
        <v>1612</v>
      </c>
      <c r="P229" s="468" t="s">
        <v>1613</v>
      </c>
      <c r="Q229" s="468" t="s">
        <v>909</v>
      </c>
      <c r="AC229" s="433" t="str">
        <f ca="1">HYPERLINK("#"&amp;일위대가목록표!J2&amp;"!A"&amp;ROW(일위대가목록표!A284),"B02566 →")</f>
        <v>B02566 →</v>
      </c>
    </row>
    <row r="230" spans="1:29" ht="35.25" customHeight="1">
      <c r="A230" s="452"/>
      <c r="B230" s="452" t="s">
        <v>1605</v>
      </c>
      <c r="C230" s="449" t="s">
        <v>1614</v>
      </c>
      <c r="D230" s="470">
        <v>0</v>
      </c>
      <c r="E230" s="463" t="s">
        <v>911</v>
      </c>
      <c r="F230" s="471">
        <f t="shared" si="26"/>
        <v>29215</v>
      </c>
      <c r="G230" s="446">
        <f t="shared" si="26"/>
        <v>0</v>
      </c>
      <c r="H230" s="472">
        <f>일위대가목록표!F285</f>
        <v>12743</v>
      </c>
      <c r="I230" s="465">
        <f t="shared" si="27"/>
        <v>0</v>
      </c>
      <c r="J230" s="473">
        <f>일위대가목록표!G285</f>
        <v>15708</v>
      </c>
      <c r="K230" s="465">
        <f t="shared" si="28"/>
        <v>0</v>
      </c>
      <c r="L230" s="474">
        <f>일위대가목록표!H285</f>
        <v>764</v>
      </c>
      <c r="M230" s="467">
        <f t="shared" si="29"/>
        <v>0</v>
      </c>
      <c r="N230" s="463" t="s">
        <v>1615</v>
      </c>
      <c r="O230" s="451" t="s">
        <v>1616</v>
      </c>
      <c r="P230" s="468" t="s">
        <v>1617</v>
      </c>
      <c r="Q230" s="468" t="s">
        <v>909</v>
      </c>
      <c r="AC230" s="433" t="str">
        <f ca="1">HYPERLINK("#"&amp;일위대가목록표!J2&amp;"!A"&amp;ROW(일위대가목록표!A285),"B02567 →")</f>
        <v>B02567 →</v>
      </c>
    </row>
    <row r="231" spans="1:29" ht="35.25" customHeight="1">
      <c r="A231" s="452"/>
      <c r="B231" s="452" t="s">
        <v>1605</v>
      </c>
      <c r="C231" s="449" t="s">
        <v>1618</v>
      </c>
      <c r="D231" s="470">
        <v>0</v>
      </c>
      <c r="E231" s="463" t="s">
        <v>911</v>
      </c>
      <c r="F231" s="471">
        <f t="shared" si="26"/>
        <v>41773</v>
      </c>
      <c r="G231" s="446">
        <f t="shared" si="26"/>
        <v>0</v>
      </c>
      <c r="H231" s="472">
        <f>일위대가목록표!F286</f>
        <v>12743</v>
      </c>
      <c r="I231" s="465">
        <f t="shared" si="27"/>
        <v>0</v>
      </c>
      <c r="J231" s="473">
        <f>일위대가목록표!G286</f>
        <v>28266</v>
      </c>
      <c r="K231" s="465">
        <f t="shared" si="28"/>
        <v>0</v>
      </c>
      <c r="L231" s="474">
        <f>일위대가목록표!H286</f>
        <v>764</v>
      </c>
      <c r="M231" s="467">
        <f t="shared" si="29"/>
        <v>0</v>
      </c>
      <c r="N231" s="463" t="s">
        <v>1619</v>
      </c>
      <c r="O231" s="451" t="s">
        <v>1620</v>
      </c>
      <c r="P231" s="468" t="s">
        <v>1621</v>
      </c>
      <c r="Q231" s="468" t="s">
        <v>909</v>
      </c>
      <c r="AC231" s="433" t="str">
        <f ca="1">HYPERLINK("#"&amp;일위대가목록표!J2&amp;"!A"&amp;ROW(일위대가목록표!A286),"B02568 →")</f>
        <v>B02568 →</v>
      </c>
    </row>
    <row r="232" spans="1:29" ht="35.25" customHeight="1">
      <c r="A232" s="452"/>
      <c r="B232" s="452" t="s">
        <v>5215</v>
      </c>
      <c r="C232" s="449" t="s">
        <v>1622</v>
      </c>
      <c r="D232" s="470">
        <v>0</v>
      </c>
      <c r="E232" s="463" t="s">
        <v>975</v>
      </c>
      <c r="F232" s="471">
        <f t="shared" si="26"/>
        <v>130257</v>
      </c>
      <c r="G232" s="446">
        <f t="shared" si="26"/>
        <v>0</v>
      </c>
      <c r="H232" s="472">
        <f>일위대가목록표!F228</f>
        <v>114147</v>
      </c>
      <c r="I232" s="465">
        <f t="shared" si="27"/>
        <v>0</v>
      </c>
      <c r="J232" s="473">
        <f>일위대가목록표!G228</f>
        <v>9700</v>
      </c>
      <c r="K232" s="465">
        <f t="shared" si="28"/>
        <v>0</v>
      </c>
      <c r="L232" s="474">
        <f>일위대가목록표!H228</f>
        <v>6410</v>
      </c>
      <c r="M232" s="467">
        <f t="shared" si="29"/>
        <v>0</v>
      </c>
      <c r="N232" s="463" t="s">
        <v>5216</v>
      </c>
      <c r="O232" s="451" t="s">
        <v>5217</v>
      </c>
      <c r="P232" s="468" t="s">
        <v>5218</v>
      </c>
      <c r="Q232" s="468" t="s">
        <v>909</v>
      </c>
      <c r="AC232" s="433" t="str">
        <f ca="1">HYPERLINK("#"&amp;일위대가목록표!J2&amp;"!A"&amp;ROW(일위대가목록표!A228),"B02869 →")</f>
        <v>B02869 →</v>
      </c>
    </row>
    <row r="233" spans="1:29" ht="35.25" customHeight="1">
      <c r="A233" s="452"/>
      <c r="B233" s="452" t="s">
        <v>5219</v>
      </c>
      <c r="C233" s="449" t="s">
        <v>1622</v>
      </c>
      <c r="D233" s="470">
        <v>0</v>
      </c>
      <c r="E233" s="463" t="s">
        <v>975</v>
      </c>
      <c r="F233" s="471">
        <f t="shared" si="26"/>
        <v>131149</v>
      </c>
      <c r="G233" s="446">
        <f t="shared" si="26"/>
        <v>0</v>
      </c>
      <c r="H233" s="472">
        <f>일위대가목록표!F229</f>
        <v>115039</v>
      </c>
      <c r="I233" s="465">
        <f t="shared" si="27"/>
        <v>0</v>
      </c>
      <c r="J233" s="473">
        <f>일위대가목록표!G229</f>
        <v>9700</v>
      </c>
      <c r="K233" s="465">
        <f t="shared" si="28"/>
        <v>0</v>
      </c>
      <c r="L233" s="474">
        <f>일위대가목록표!H229</f>
        <v>6410</v>
      </c>
      <c r="M233" s="467">
        <f t="shared" si="29"/>
        <v>0</v>
      </c>
      <c r="N233" s="463" t="s">
        <v>1623</v>
      </c>
      <c r="O233" s="451" t="s">
        <v>1624</v>
      </c>
      <c r="P233" s="468" t="s">
        <v>1625</v>
      </c>
      <c r="Q233" s="468" t="s">
        <v>909</v>
      </c>
      <c r="AC233" s="433" t="str">
        <f ca="1">HYPERLINK("#"&amp;일위대가목록표!J2&amp;"!A"&amp;ROW(일위대가목록표!A229),"B02647 →")</f>
        <v>B02647 →</v>
      </c>
    </row>
    <row r="234" spans="1:29" ht="35.25" customHeight="1">
      <c r="A234" s="452"/>
      <c r="B234" s="452" t="s">
        <v>1626</v>
      </c>
      <c r="C234" s="449" t="s">
        <v>1622</v>
      </c>
      <c r="D234" s="470">
        <v>0</v>
      </c>
      <c r="E234" s="463" t="s">
        <v>975</v>
      </c>
      <c r="F234" s="471">
        <f t="shared" si="26"/>
        <v>128919</v>
      </c>
      <c r="G234" s="446">
        <f t="shared" si="26"/>
        <v>0</v>
      </c>
      <c r="H234" s="472">
        <f>일위대가목록표!F227</f>
        <v>112809</v>
      </c>
      <c r="I234" s="465">
        <f t="shared" si="27"/>
        <v>0</v>
      </c>
      <c r="J234" s="473">
        <f>일위대가목록표!G227</f>
        <v>9700</v>
      </c>
      <c r="K234" s="465">
        <f t="shared" si="28"/>
        <v>0</v>
      </c>
      <c r="L234" s="474">
        <f>일위대가목록표!H227</f>
        <v>6410</v>
      </c>
      <c r="M234" s="467">
        <f t="shared" si="29"/>
        <v>0</v>
      </c>
      <c r="N234" s="463" t="s">
        <v>1627</v>
      </c>
      <c r="O234" s="451" t="s">
        <v>1628</v>
      </c>
      <c r="P234" s="468" t="s">
        <v>1629</v>
      </c>
      <c r="Q234" s="468" t="s">
        <v>909</v>
      </c>
      <c r="AC234" s="433" t="str">
        <f ca="1">HYPERLINK("#"&amp;일위대가목록표!J2&amp;"!A"&amp;ROW(일위대가목록표!A227),"B02646 →")</f>
        <v>B02646 →</v>
      </c>
    </row>
    <row r="235" spans="1:29" ht="35.25" customHeight="1">
      <c r="A235" s="452"/>
      <c r="B235" s="452" t="s">
        <v>1630</v>
      </c>
      <c r="C235" s="449" t="s">
        <v>1631</v>
      </c>
      <c r="D235" s="470">
        <v>0</v>
      </c>
      <c r="E235" s="463" t="s">
        <v>975</v>
      </c>
      <c r="F235" s="471">
        <f t="shared" si="26"/>
        <v>42179</v>
      </c>
      <c r="G235" s="446">
        <f t="shared" si="26"/>
        <v>0</v>
      </c>
      <c r="H235" s="472">
        <f>일위대가목록표!F252</f>
        <v>20442</v>
      </c>
      <c r="I235" s="465">
        <f t="shared" si="27"/>
        <v>0</v>
      </c>
      <c r="J235" s="473">
        <f>일위대가목록표!G252</f>
        <v>21551</v>
      </c>
      <c r="K235" s="465">
        <f t="shared" si="28"/>
        <v>0</v>
      </c>
      <c r="L235" s="474">
        <f>일위대가목록표!H252</f>
        <v>186</v>
      </c>
      <c r="M235" s="467">
        <f t="shared" si="29"/>
        <v>0</v>
      </c>
      <c r="N235" s="463" t="s">
        <v>1632</v>
      </c>
      <c r="O235" s="451" t="s">
        <v>1633</v>
      </c>
      <c r="P235" s="468" t="s">
        <v>1634</v>
      </c>
      <c r="Q235" s="468" t="s">
        <v>909</v>
      </c>
      <c r="AC235" s="433" t="str">
        <f ca="1">HYPERLINK("#"&amp;일위대가목록표!J2&amp;"!A"&amp;ROW(일위대가목록표!A252),"B02581 →")</f>
        <v>B02581 →</v>
      </c>
    </row>
    <row r="236" spans="1:29" ht="35.25" customHeight="1">
      <c r="A236" s="452"/>
      <c r="B236" s="452" t="s">
        <v>1635</v>
      </c>
      <c r="C236" s="449" t="s">
        <v>1636</v>
      </c>
      <c r="D236" s="470">
        <v>0</v>
      </c>
      <c r="E236" s="463" t="s">
        <v>975</v>
      </c>
      <c r="F236" s="471">
        <f t="shared" si="26"/>
        <v>87335</v>
      </c>
      <c r="G236" s="446">
        <f t="shared" si="26"/>
        <v>0</v>
      </c>
      <c r="H236" s="472">
        <f>일위대가목록표!F116</f>
        <v>40518</v>
      </c>
      <c r="I236" s="465">
        <f t="shared" si="27"/>
        <v>0</v>
      </c>
      <c r="J236" s="473">
        <f>일위대가목록표!G116</f>
        <v>46530</v>
      </c>
      <c r="K236" s="465">
        <f t="shared" si="28"/>
        <v>0</v>
      </c>
      <c r="L236" s="474">
        <f>일위대가목록표!H116</f>
        <v>287</v>
      </c>
      <c r="M236" s="467">
        <f t="shared" si="29"/>
        <v>0</v>
      </c>
      <c r="N236" s="463" t="s">
        <v>1637</v>
      </c>
      <c r="O236" s="451" t="s">
        <v>1638</v>
      </c>
      <c r="P236" s="468" t="s">
        <v>1639</v>
      </c>
      <c r="Q236" s="468" t="s">
        <v>909</v>
      </c>
      <c r="AC236" s="433" t="str">
        <f ca="1">HYPERLINK("#"&amp;일위대가목록표!J2&amp;"!A"&amp;ROW(일위대가목록표!A116),"B02582 →")</f>
        <v>B02582 →</v>
      </c>
    </row>
    <row r="237" spans="1:29" ht="35.25" customHeight="1">
      <c r="A237" s="461" t="s">
        <v>858</v>
      </c>
      <c r="B237" s="461" t="s">
        <v>859</v>
      </c>
      <c r="C237" s="469"/>
      <c r="D237" s="462"/>
      <c r="E237" s="463"/>
      <c r="F237" s="464">
        <v>0</v>
      </c>
      <c r="G237" s="453">
        <f>SUMIF(Q238:Q300,P237,G238:G300)</f>
        <v>0</v>
      </c>
      <c r="H237" s="465">
        <v>0</v>
      </c>
      <c r="I237" s="446">
        <f>SUMIF(Q238:Q300,P237,I238:I300)</f>
        <v>0</v>
      </c>
      <c r="J237" s="465">
        <v>0</v>
      </c>
      <c r="K237" s="466">
        <f>SUMIF(Q238:Q300,P237,K238:K300)</f>
        <v>0</v>
      </c>
      <c r="L237" s="467">
        <v>0</v>
      </c>
      <c r="M237" s="466">
        <f>SUMIF(Q238:Q300,P237,M238:M300)</f>
        <v>0</v>
      </c>
      <c r="N237" s="463"/>
      <c r="O237" s="451" t="str">
        <f>"_x0007_`COD|E4_x0005_`QTY1|1_x0005_`EXI|0_x0005_`ITT|0_x0005_`END|"&amp;ROW(M301)&amp;"_x0005_`"</f>
        <v>_x0007_`COD|E4_x0005_`QTY1|1_x0005_`EXI|0_x0005_`ITT|0_x0005_`END|301_x0005_`</v>
      </c>
      <c r="P237" s="468" t="s">
        <v>909</v>
      </c>
      <c r="Q237" s="468" t="s">
        <v>907</v>
      </c>
    </row>
    <row r="238" spans="1:29" ht="35.25" customHeight="1">
      <c r="A238" s="452"/>
      <c r="B238" s="452" t="s">
        <v>1640</v>
      </c>
      <c r="C238" s="449" t="s">
        <v>1641</v>
      </c>
      <c r="D238" s="470">
        <v>0</v>
      </c>
      <c r="E238" s="463" t="s">
        <v>1642</v>
      </c>
      <c r="F238" s="471">
        <f t="shared" ref="F238:G269" si="30">J238+H238+L238</f>
        <v>29163</v>
      </c>
      <c r="G238" s="446">
        <f t="shared" si="30"/>
        <v>0</v>
      </c>
      <c r="H238" s="472">
        <f>단가산출근거목록표!F136</f>
        <v>24391</v>
      </c>
      <c r="I238" s="465">
        <f t="shared" ref="I238:I300" si="31">ROUNDDOWN(H238*D238,0)</f>
        <v>0</v>
      </c>
      <c r="J238" s="473">
        <f>단가산출근거목록표!G136</f>
        <v>2018</v>
      </c>
      <c r="K238" s="465">
        <f t="shared" ref="K238:K300" si="32">ROUNDDOWN(J238*D238,0)</f>
        <v>0</v>
      </c>
      <c r="L238" s="474">
        <f>단가산출근거목록표!H136</f>
        <v>2754</v>
      </c>
      <c r="M238" s="467">
        <f t="shared" ref="M238:M300" si="33">ROUNDDOWN(L238*D238,0)</f>
        <v>0</v>
      </c>
      <c r="N238" s="463" t="s">
        <v>1643</v>
      </c>
      <c r="O238" s="451" t="s">
        <v>1644</v>
      </c>
      <c r="P238" s="468" t="s">
        <v>1645</v>
      </c>
      <c r="Q238" s="468" t="s">
        <v>909</v>
      </c>
      <c r="AC238" s="433" t="str">
        <f ca="1">HYPERLINK("#"&amp;단가산출근거목록표!J2&amp;"!A"&amp;ROW(단가산출근거목록표!A136),"D01299 →")</f>
        <v>D01299 →</v>
      </c>
    </row>
    <row r="239" spans="1:29" ht="35.25" customHeight="1">
      <c r="A239" s="452"/>
      <c r="B239" s="452" t="s">
        <v>1646</v>
      </c>
      <c r="C239" s="449" t="s">
        <v>1647</v>
      </c>
      <c r="D239" s="470">
        <v>0</v>
      </c>
      <c r="E239" s="463" t="s">
        <v>595</v>
      </c>
      <c r="F239" s="471">
        <f t="shared" si="30"/>
        <v>2141</v>
      </c>
      <c r="G239" s="446">
        <f t="shared" si="30"/>
        <v>0</v>
      </c>
      <c r="H239" s="472">
        <f>단가산출근거목록표!F63</f>
        <v>2141</v>
      </c>
      <c r="I239" s="465">
        <f t="shared" si="31"/>
        <v>0</v>
      </c>
      <c r="J239" s="473">
        <f>단가산출근거목록표!G63</f>
        <v>0</v>
      </c>
      <c r="K239" s="465">
        <f t="shared" si="32"/>
        <v>0</v>
      </c>
      <c r="L239" s="474">
        <f>단가산출근거목록표!H63</f>
        <v>0</v>
      </c>
      <c r="M239" s="467">
        <f t="shared" si="33"/>
        <v>0</v>
      </c>
      <c r="N239" s="463" t="s">
        <v>1648</v>
      </c>
      <c r="O239" s="451" t="s">
        <v>1649</v>
      </c>
      <c r="P239" s="468" t="s">
        <v>1650</v>
      </c>
      <c r="Q239" s="468" t="s">
        <v>909</v>
      </c>
      <c r="AC239" s="433" t="str">
        <f ca="1">HYPERLINK("#"&amp;단가산출근거목록표!J2&amp;"!A"&amp;ROW(단가산출근거목록표!A63),"D01215 →")</f>
        <v>D01215 →</v>
      </c>
    </row>
    <row r="240" spans="1:29" ht="35.25" customHeight="1">
      <c r="A240" s="452"/>
      <c r="B240" s="452" t="s">
        <v>1646</v>
      </c>
      <c r="C240" s="449" t="s">
        <v>1651</v>
      </c>
      <c r="D240" s="470">
        <v>0</v>
      </c>
      <c r="E240" s="463" t="s">
        <v>595</v>
      </c>
      <c r="F240" s="471">
        <f t="shared" si="30"/>
        <v>1482</v>
      </c>
      <c r="G240" s="446">
        <f t="shared" si="30"/>
        <v>0</v>
      </c>
      <c r="H240" s="472">
        <f>단가산출근거목록표!F64</f>
        <v>1482</v>
      </c>
      <c r="I240" s="465">
        <f t="shared" si="31"/>
        <v>0</v>
      </c>
      <c r="J240" s="473">
        <f>단가산출근거목록표!G64</f>
        <v>0</v>
      </c>
      <c r="K240" s="465">
        <f t="shared" si="32"/>
        <v>0</v>
      </c>
      <c r="L240" s="474">
        <f>단가산출근거목록표!H64</f>
        <v>0</v>
      </c>
      <c r="M240" s="467">
        <f t="shared" si="33"/>
        <v>0</v>
      </c>
      <c r="N240" s="463" t="s">
        <v>1652</v>
      </c>
      <c r="O240" s="451" t="s">
        <v>1653</v>
      </c>
      <c r="P240" s="468" t="s">
        <v>1654</v>
      </c>
      <c r="Q240" s="468" t="s">
        <v>909</v>
      </c>
      <c r="AC240" s="433" t="str">
        <f ca="1">HYPERLINK("#"&amp;단가산출근거목록표!J2&amp;"!A"&amp;ROW(단가산출근거목록표!A64),"D01214 →")</f>
        <v>D01214 →</v>
      </c>
    </row>
    <row r="241" spans="1:29" ht="35.25" customHeight="1">
      <c r="A241" s="452"/>
      <c r="B241" s="452" t="s">
        <v>5220</v>
      </c>
      <c r="C241" s="449" t="s">
        <v>983</v>
      </c>
      <c r="D241" s="470">
        <v>0</v>
      </c>
      <c r="E241" s="463" t="s">
        <v>984</v>
      </c>
      <c r="F241" s="471">
        <f t="shared" si="30"/>
        <v>16021</v>
      </c>
      <c r="G241" s="446">
        <f t="shared" si="30"/>
        <v>0</v>
      </c>
      <c r="H241" s="472">
        <f>일위대가목록표!F97</f>
        <v>16021</v>
      </c>
      <c r="I241" s="465">
        <f t="shared" si="31"/>
        <v>0</v>
      </c>
      <c r="J241" s="473">
        <f>일위대가목록표!G97</f>
        <v>0</v>
      </c>
      <c r="K241" s="465">
        <f t="shared" si="32"/>
        <v>0</v>
      </c>
      <c r="L241" s="474">
        <f>일위대가목록표!H97</f>
        <v>0</v>
      </c>
      <c r="M241" s="467">
        <f t="shared" si="33"/>
        <v>0</v>
      </c>
      <c r="N241" s="463" t="s">
        <v>5221</v>
      </c>
      <c r="O241" s="451" t="s">
        <v>5222</v>
      </c>
      <c r="P241" s="468" t="s">
        <v>5223</v>
      </c>
      <c r="Q241" s="468" t="s">
        <v>909</v>
      </c>
      <c r="AC241" s="433" t="str">
        <f ca="1">HYPERLINK("#"&amp;일위대가목록표!J2&amp;"!A"&amp;ROW(일위대가목록표!A97),"B02870 →")</f>
        <v>B02870 →</v>
      </c>
    </row>
    <row r="242" spans="1:29" ht="35.25" customHeight="1">
      <c r="A242" s="452"/>
      <c r="B242" s="452" t="s">
        <v>5220</v>
      </c>
      <c r="C242" s="449" t="s">
        <v>988</v>
      </c>
      <c r="D242" s="470">
        <v>0</v>
      </c>
      <c r="E242" s="463" t="s">
        <v>984</v>
      </c>
      <c r="F242" s="471">
        <f t="shared" si="30"/>
        <v>20184</v>
      </c>
      <c r="G242" s="446">
        <f t="shared" si="30"/>
        <v>0</v>
      </c>
      <c r="H242" s="472">
        <f>일위대가목록표!F93</f>
        <v>20184</v>
      </c>
      <c r="I242" s="465">
        <f t="shared" si="31"/>
        <v>0</v>
      </c>
      <c r="J242" s="473">
        <f>일위대가목록표!G93</f>
        <v>0</v>
      </c>
      <c r="K242" s="465">
        <f t="shared" si="32"/>
        <v>0</v>
      </c>
      <c r="L242" s="474">
        <f>일위대가목록표!H93</f>
        <v>0</v>
      </c>
      <c r="M242" s="467">
        <f t="shared" si="33"/>
        <v>0</v>
      </c>
      <c r="N242" s="463" t="s">
        <v>5224</v>
      </c>
      <c r="O242" s="451" t="s">
        <v>5225</v>
      </c>
      <c r="P242" s="468" t="s">
        <v>5226</v>
      </c>
      <c r="Q242" s="468" t="s">
        <v>909</v>
      </c>
      <c r="AC242" s="433" t="str">
        <f ca="1">HYPERLINK("#"&amp;일위대가목록표!J2&amp;"!A"&amp;ROW(일위대가목록표!A93),"B02871 →")</f>
        <v>B02871 →</v>
      </c>
    </row>
    <row r="243" spans="1:29" ht="35.25" customHeight="1">
      <c r="A243" s="452"/>
      <c r="B243" s="452" t="s">
        <v>5220</v>
      </c>
      <c r="C243" s="449" t="s">
        <v>992</v>
      </c>
      <c r="D243" s="470">
        <v>0</v>
      </c>
      <c r="E243" s="463" t="s">
        <v>984</v>
      </c>
      <c r="F243" s="471">
        <f t="shared" si="30"/>
        <v>24347</v>
      </c>
      <c r="G243" s="446">
        <f t="shared" si="30"/>
        <v>0</v>
      </c>
      <c r="H243" s="472">
        <f>일위대가목록표!F94</f>
        <v>24347</v>
      </c>
      <c r="I243" s="465">
        <f t="shared" si="31"/>
        <v>0</v>
      </c>
      <c r="J243" s="473">
        <f>일위대가목록표!G94</f>
        <v>0</v>
      </c>
      <c r="K243" s="465">
        <f t="shared" si="32"/>
        <v>0</v>
      </c>
      <c r="L243" s="474">
        <f>일위대가목록표!H94</f>
        <v>0</v>
      </c>
      <c r="M243" s="467">
        <f t="shared" si="33"/>
        <v>0</v>
      </c>
      <c r="N243" s="463" t="s">
        <v>5227</v>
      </c>
      <c r="O243" s="451" t="s">
        <v>5228</v>
      </c>
      <c r="P243" s="468" t="s">
        <v>5229</v>
      </c>
      <c r="Q243" s="468" t="s">
        <v>909</v>
      </c>
      <c r="AC243" s="433" t="str">
        <f ca="1">HYPERLINK("#"&amp;일위대가목록표!J2&amp;"!A"&amp;ROW(일위대가목록표!A94),"B02872 →")</f>
        <v>B02872 →</v>
      </c>
    </row>
    <row r="244" spans="1:29" ht="35.25" customHeight="1">
      <c r="A244" s="452"/>
      <c r="B244" s="452" t="s">
        <v>5220</v>
      </c>
      <c r="C244" s="449" t="s">
        <v>996</v>
      </c>
      <c r="D244" s="470">
        <v>0</v>
      </c>
      <c r="E244" s="463" t="s">
        <v>984</v>
      </c>
      <c r="F244" s="471">
        <f t="shared" si="30"/>
        <v>30332</v>
      </c>
      <c r="G244" s="446">
        <f t="shared" si="30"/>
        <v>0</v>
      </c>
      <c r="H244" s="472">
        <f>일위대가목록표!F95</f>
        <v>30332</v>
      </c>
      <c r="I244" s="465">
        <f t="shared" si="31"/>
        <v>0</v>
      </c>
      <c r="J244" s="473">
        <f>일위대가목록표!G95</f>
        <v>0</v>
      </c>
      <c r="K244" s="465">
        <f t="shared" si="32"/>
        <v>0</v>
      </c>
      <c r="L244" s="474">
        <f>일위대가목록표!H95</f>
        <v>0</v>
      </c>
      <c r="M244" s="467">
        <f t="shared" si="33"/>
        <v>0</v>
      </c>
      <c r="N244" s="463" t="s">
        <v>5230</v>
      </c>
      <c r="O244" s="451" t="s">
        <v>5231</v>
      </c>
      <c r="P244" s="468" t="s">
        <v>5232</v>
      </c>
      <c r="Q244" s="468" t="s">
        <v>909</v>
      </c>
      <c r="AC244" s="433" t="str">
        <f ca="1">HYPERLINK("#"&amp;일위대가목록표!J2&amp;"!A"&amp;ROW(일위대가목록표!A95),"B02873 →")</f>
        <v>B02873 →</v>
      </c>
    </row>
    <row r="245" spans="1:29" ht="35.25" customHeight="1">
      <c r="A245" s="452"/>
      <c r="B245" s="452" t="s">
        <v>5220</v>
      </c>
      <c r="C245" s="449" t="s">
        <v>1000</v>
      </c>
      <c r="D245" s="470">
        <v>0</v>
      </c>
      <c r="E245" s="463" t="s">
        <v>984</v>
      </c>
      <c r="F245" s="471">
        <f t="shared" si="30"/>
        <v>40368</v>
      </c>
      <c r="G245" s="446">
        <f t="shared" si="30"/>
        <v>0</v>
      </c>
      <c r="H245" s="472">
        <f>일위대가목록표!F96</f>
        <v>40368</v>
      </c>
      <c r="I245" s="465">
        <f t="shared" si="31"/>
        <v>0</v>
      </c>
      <c r="J245" s="473">
        <f>일위대가목록표!G96</f>
        <v>0</v>
      </c>
      <c r="K245" s="465">
        <f t="shared" si="32"/>
        <v>0</v>
      </c>
      <c r="L245" s="474">
        <f>일위대가목록표!H96</f>
        <v>0</v>
      </c>
      <c r="M245" s="467">
        <f t="shared" si="33"/>
        <v>0</v>
      </c>
      <c r="N245" s="463" t="s">
        <v>5233</v>
      </c>
      <c r="O245" s="451" t="s">
        <v>5234</v>
      </c>
      <c r="P245" s="468" t="s">
        <v>5235</v>
      </c>
      <c r="Q245" s="468" t="s">
        <v>909</v>
      </c>
      <c r="AC245" s="433" t="str">
        <f ca="1">HYPERLINK("#"&amp;일위대가목록표!J2&amp;"!A"&amp;ROW(일위대가목록표!A96),"B02874 →")</f>
        <v>B02874 →</v>
      </c>
    </row>
    <row r="246" spans="1:29" ht="35.25" customHeight="1">
      <c r="A246" s="452"/>
      <c r="B246" s="452" t="s">
        <v>5236</v>
      </c>
      <c r="C246" s="449" t="s">
        <v>983</v>
      </c>
      <c r="D246" s="470">
        <v>0</v>
      </c>
      <c r="E246" s="463" t="s">
        <v>984</v>
      </c>
      <c r="F246" s="471">
        <f t="shared" si="30"/>
        <v>17414</v>
      </c>
      <c r="G246" s="446">
        <f t="shared" si="30"/>
        <v>0</v>
      </c>
      <c r="H246" s="472">
        <f>일위대가목록표!F102</f>
        <v>17414</v>
      </c>
      <c r="I246" s="465">
        <f t="shared" si="31"/>
        <v>0</v>
      </c>
      <c r="J246" s="473">
        <f>일위대가목록표!G102</f>
        <v>0</v>
      </c>
      <c r="K246" s="465">
        <f t="shared" si="32"/>
        <v>0</v>
      </c>
      <c r="L246" s="474">
        <f>일위대가목록표!H102</f>
        <v>0</v>
      </c>
      <c r="M246" s="467">
        <f t="shared" si="33"/>
        <v>0</v>
      </c>
      <c r="N246" s="463" t="s">
        <v>1655</v>
      </c>
      <c r="O246" s="451" t="s">
        <v>1656</v>
      </c>
      <c r="P246" s="468" t="s">
        <v>1657</v>
      </c>
      <c r="Q246" s="468" t="s">
        <v>909</v>
      </c>
      <c r="AC246" s="433" t="str">
        <f ca="1">HYPERLINK("#"&amp;일위대가목록표!J2&amp;"!A"&amp;ROW(일위대가목록표!A102),"B02809 →")</f>
        <v>B02809 →</v>
      </c>
    </row>
    <row r="247" spans="1:29" ht="35.25" customHeight="1">
      <c r="A247" s="452"/>
      <c r="B247" s="452" t="s">
        <v>5236</v>
      </c>
      <c r="C247" s="449" t="s">
        <v>988</v>
      </c>
      <c r="D247" s="470">
        <v>0</v>
      </c>
      <c r="E247" s="463" t="s">
        <v>984</v>
      </c>
      <c r="F247" s="471">
        <f t="shared" si="30"/>
        <v>21939</v>
      </c>
      <c r="G247" s="446">
        <f t="shared" si="30"/>
        <v>0</v>
      </c>
      <c r="H247" s="472">
        <f>일위대가목록표!F98</f>
        <v>21939</v>
      </c>
      <c r="I247" s="465">
        <f t="shared" si="31"/>
        <v>0</v>
      </c>
      <c r="J247" s="473">
        <f>일위대가목록표!G98</f>
        <v>0</v>
      </c>
      <c r="K247" s="465">
        <f t="shared" si="32"/>
        <v>0</v>
      </c>
      <c r="L247" s="474">
        <f>일위대가목록표!H98</f>
        <v>0</v>
      </c>
      <c r="M247" s="467">
        <f t="shared" si="33"/>
        <v>0</v>
      </c>
      <c r="N247" s="463" t="s">
        <v>1658</v>
      </c>
      <c r="O247" s="451" t="s">
        <v>1659</v>
      </c>
      <c r="P247" s="468" t="s">
        <v>1660</v>
      </c>
      <c r="Q247" s="468" t="s">
        <v>909</v>
      </c>
      <c r="AC247" s="433" t="str">
        <f ca="1">HYPERLINK("#"&amp;일위대가목록표!J2&amp;"!A"&amp;ROW(일위대가목록표!A98),"B02810 →")</f>
        <v>B02810 →</v>
      </c>
    </row>
    <row r="248" spans="1:29" ht="35.25" customHeight="1">
      <c r="A248" s="452"/>
      <c r="B248" s="452" t="s">
        <v>5236</v>
      </c>
      <c r="C248" s="449" t="s">
        <v>992</v>
      </c>
      <c r="D248" s="470">
        <v>0</v>
      </c>
      <c r="E248" s="463" t="s">
        <v>984</v>
      </c>
      <c r="F248" s="471">
        <f t="shared" si="30"/>
        <v>26464</v>
      </c>
      <c r="G248" s="446">
        <f t="shared" si="30"/>
        <v>0</v>
      </c>
      <c r="H248" s="472">
        <f>일위대가목록표!F99</f>
        <v>26464</v>
      </c>
      <c r="I248" s="465">
        <f t="shared" si="31"/>
        <v>0</v>
      </c>
      <c r="J248" s="473">
        <f>일위대가목록표!G99</f>
        <v>0</v>
      </c>
      <c r="K248" s="465">
        <f t="shared" si="32"/>
        <v>0</v>
      </c>
      <c r="L248" s="474">
        <f>일위대가목록표!H99</f>
        <v>0</v>
      </c>
      <c r="M248" s="467">
        <f t="shared" si="33"/>
        <v>0</v>
      </c>
      <c r="N248" s="463" t="s">
        <v>1661</v>
      </c>
      <c r="O248" s="451" t="s">
        <v>1662</v>
      </c>
      <c r="P248" s="468" t="s">
        <v>1663</v>
      </c>
      <c r="Q248" s="468" t="s">
        <v>909</v>
      </c>
      <c r="AC248" s="433" t="str">
        <f ca="1">HYPERLINK("#"&amp;일위대가목록표!J2&amp;"!A"&amp;ROW(일위대가목록표!A99),"B02811 →")</f>
        <v>B02811 →</v>
      </c>
    </row>
    <row r="249" spans="1:29" ht="35.25" customHeight="1">
      <c r="A249" s="452"/>
      <c r="B249" s="452" t="s">
        <v>5236</v>
      </c>
      <c r="C249" s="449" t="s">
        <v>996</v>
      </c>
      <c r="D249" s="470">
        <v>0</v>
      </c>
      <c r="E249" s="463" t="s">
        <v>984</v>
      </c>
      <c r="F249" s="471">
        <f t="shared" si="30"/>
        <v>32970</v>
      </c>
      <c r="G249" s="446">
        <f t="shared" si="30"/>
        <v>0</v>
      </c>
      <c r="H249" s="472">
        <f>일위대가목록표!F100</f>
        <v>32970</v>
      </c>
      <c r="I249" s="465">
        <f t="shared" si="31"/>
        <v>0</v>
      </c>
      <c r="J249" s="473">
        <f>일위대가목록표!G100</f>
        <v>0</v>
      </c>
      <c r="K249" s="465">
        <f t="shared" si="32"/>
        <v>0</v>
      </c>
      <c r="L249" s="474">
        <f>일위대가목록표!H100</f>
        <v>0</v>
      </c>
      <c r="M249" s="467">
        <f t="shared" si="33"/>
        <v>0</v>
      </c>
      <c r="N249" s="463" t="s">
        <v>1664</v>
      </c>
      <c r="O249" s="451" t="s">
        <v>1665</v>
      </c>
      <c r="P249" s="468" t="s">
        <v>1666</v>
      </c>
      <c r="Q249" s="468" t="s">
        <v>909</v>
      </c>
      <c r="AC249" s="433" t="str">
        <f ca="1">HYPERLINK("#"&amp;일위대가목록표!J2&amp;"!A"&amp;ROW(일위대가목록표!A100),"B02812 →")</f>
        <v>B02812 →</v>
      </c>
    </row>
    <row r="250" spans="1:29" ht="35.25" customHeight="1">
      <c r="A250" s="452"/>
      <c r="B250" s="452" t="s">
        <v>5236</v>
      </c>
      <c r="C250" s="449" t="s">
        <v>1000</v>
      </c>
      <c r="D250" s="470">
        <v>0</v>
      </c>
      <c r="E250" s="463" t="s">
        <v>984</v>
      </c>
      <c r="F250" s="471">
        <f t="shared" si="30"/>
        <v>43879</v>
      </c>
      <c r="G250" s="446">
        <f t="shared" si="30"/>
        <v>0</v>
      </c>
      <c r="H250" s="472">
        <f>일위대가목록표!F101</f>
        <v>43879</v>
      </c>
      <c r="I250" s="465">
        <f t="shared" si="31"/>
        <v>0</v>
      </c>
      <c r="J250" s="473">
        <f>일위대가목록표!G101</f>
        <v>0</v>
      </c>
      <c r="K250" s="465">
        <f t="shared" si="32"/>
        <v>0</v>
      </c>
      <c r="L250" s="474">
        <f>일위대가목록표!H101</f>
        <v>0</v>
      </c>
      <c r="M250" s="467">
        <f t="shared" si="33"/>
        <v>0</v>
      </c>
      <c r="N250" s="463" t="s">
        <v>1667</v>
      </c>
      <c r="O250" s="451" t="s">
        <v>1668</v>
      </c>
      <c r="P250" s="468" t="s">
        <v>1669</v>
      </c>
      <c r="Q250" s="468" t="s">
        <v>909</v>
      </c>
      <c r="AC250" s="433" t="str">
        <f ca="1">HYPERLINK("#"&amp;일위대가목록표!J2&amp;"!A"&amp;ROW(일위대가목록표!A101),"B02813 →")</f>
        <v>B02813 →</v>
      </c>
    </row>
    <row r="251" spans="1:29" ht="35.25" customHeight="1">
      <c r="A251" s="452"/>
      <c r="B251" s="452" t="s">
        <v>1670</v>
      </c>
      <c r="C251" s="449" t="s">
        <v>983</v>
      </c>
      <c r="D251" s="470">
        <v>0</v>
      </c>
      <c r="E251" s="463" t="s">
        <v>984</v>
      </c>
      <c r="F251" s="471">
        <f t="shared" si="30"/>
        <v>13931</v>
      </c>
      <c r="G251" s="446">
        <f t="shared" si="30"/>
        <v>0</v>
      </c>
      <c r="H251" s="472">
        <f>일위대가목록표!F92</f>
        <v>13931</v>
      </c>
      <c r="I251" s="465">
        <f t="shared" si="31"/>
        <v>0</v>
      </c>
      <c r="J251" s="473">
        <f>일위대가목록표!G92</f>
        <v>0</v>
      </c>
      <c r="K251" s="465">
        <f t="shared" si="32"/>
        <v>0</v>
      </c>
      <c r="L251" s="474">
        <f>일위대가목록표!H92</f>
        <v>0</v>
      </c>
      <c r="M251" s="467">
        <f t="shared" si="33"/>
        <v>0</v>
      </c>
      <c r="N251" s="463" t="s">
        <v>1671</v>
      </c>
      <c r="O251" s="451" t="s">
        <v>1672</v>
      </c>
      <c r="P251" s="468" t="s">
        <v>1673</v>
      </c>
      <c r="Q251" s="468" t="s">
        <v>909</v>
      </c>
      <c r="AC251" s="433" t="str">
        <f ca="1">HYPERLINK("#"&amp;일위대가목록표!J2&amp;"!A"&amp;ROW(일위대가목록표!A92),"B02814 →")</f>
        <v>B02814 →</v>
      </c>
    </row>
    <row r="252" spans="1:29" ht="35.25" customHeight="1">
      <c r="A252" s="452"/>
      <c r="B252" s="452" t="s">
        <v>1670</v>
      </c>
      <c r="C252" s="449" t="s">
        <v>988</v>
      </c>
      <c r="D252" s="470">
        <v>0</v>
      </c>
      <c r="E252" s="463" t="s">
        <v>984</v>
      </c>
      <c r="F252" s="471">
        <f t="shared" si="30"/>
        <v>17551</v>
      </c>
      <c r="G252" s="446">
        <f t="shared" si="30"/>
        <v>0</v>
      </c>
      <c r="H252" s="472">
        <f>일위대가목록표!F88</f>
        <v>17551</v>
      </c>
      <c r="I252" s="465">
        <f t="shared" si="31"/>
        <v>0</v>
      </c>
      <c r="J252" s="473">
        <f>일위대가목록표!G88</f>
        <v>0</v>
      </c>
      <c r="K252" s="465">
        <f t="shared" si="32"/>
        <v>0</v>
      </c>
      <c r="L252" s="474">
        <f>일위대가목록표!H88</f>
        <v>0</v>
      </c>
      <c r="M252" s="467">
        <f t="shared" si="33"/>
        <v>0</v>
      </c>
      <c r="N252" s="463" t="s">
        <v>1674</v>
      </c>
      <c r="O252" s="451" t="s">
        <v>1675</v>
      </c>
      <c r="P252" s="468" t="s">
        <v>1676</v>
      </c>
      <c r="Q252" s="468" t="s">
        <v>909</v>
      </c>
      <c r="AC252" s="433" t="str">
        <f ca="1">HYPERLINK("#"&amp;일위대가목록표!J2&amp;"!A"&amp;ROW(일위대가목록표!A88),"B02815 →")</f>
        <v>B02815 →</v>
      </c>
    </row>
    <row r="253" spans="1:29" ht="35.25" customHeight="1">
      <c r="A253" s="452"/>
      <c r="B253" s="452" t="s">
        <v>1670</v>
      </c>
      <c r="C253" s="449" t="s">
        <v>992</v>
      </c>
      <c r="D253" s="470">
        <v>0</v>
      </c>
      <c r="E253" s="463" t="s">
        <v>984</v>
      </c>
      <c r="F253" s="471">
        <f t="shared" si="30"/>
        <v>21171</v>
      </c>
      <c r="G253" s="446">
        <f t="shared" si="30"/>
        <v>0</v>
      </c>
      <c r="H253" s="472">
        <f>일위대가목록표!F89</f>
        <v>21171</v>
      </c>
      <c r="I253" s="465">
        <f t="shared" si="31"/>
        <v>0</v>
      </c>
      <c r="J253" s="473">
        <f>일위대가목록표!G89</f>
        <v>0</v>
      </c>
      <c r="K253" s="465">
        <f t="shared" si="32"/>
        <v>0</v>
      </c>
      <c r="L253" s="474">
        <f>일위대가목록표!H89</f>
        <v>0</v>
      </c>
      <c r="M253" s="467">
        <f t="shared" si="33"/>
        <v>0</v>
      </c>
      <c r="N253" s="463" t="s">
        <v>1677</v>
      </c>
      <c r="O253" s="451" t="s">
        <v>1678</v>
      </c>
      <c r="P253" s="468" t="s">
        <v>1679</v>
      </c>
      <c r="Q253" s="468" t="s">
        <v>909</v>
      </c>
      <c r="AC253" s="433" t="str">
        <f ca="1">HYPERLINK("#"&amp;일위대가목록표!J2&amp;"!A"&amp;ROW(일위대가목록표!A89),"B02816 →")</f>
        <v>B02816 →</v>
      </c>
    </row>
    <row r="254" spans="1:29" ht="35.25" customHeight="1">
      <c r="A254" s="452"/>
      <c r="B254" s="452" t="s">
        <v>1670</v>
      </c>
      <c r="C254" s="449" t="s">
        <v>996</v>
      </c>
      <c r="D254" s="470">
        <v>0</v>
      </c>
      <c r="E254" s="463" t="s">
        <v>984</v>
      </c>
      <c r="F254" s="471">
        <f t="shared" si="30"/>
        <v>26376</v>
      </c>
      <c r="G254" s="446">
        <f t="shared" si="30"/>
        <v>0</v>
      </c>
      <c r="H254" s="472">
        <f>일위대가목록표!F90</f>
        <v>26376</v>
      </c>
      <c r="I254" s="465">
        <f t="shared" si="31"/>
        <v>0</v>
      </c>
      <c r="J254" s="473">
        <f>일위대가목록표!G90</f>
        <v>0</v>
      </c>
      <c r="K254" s="465">
        <f t="shared" si="32"/>
        <v>0</v>
      </c>
      <c r="L254" s="474">
        <f>일위대가목록표!H90</f>
        <v>0</v>
      </c>
      <c r="M254" s="467">
        <f t="shared" si="33"/>
        <v>0</v>
      </c>
      <c r="N254" s="463" t="s">
        <v>1680</v>
      </c>
      <c r="O254" s="451" t="s">
        <v>1681</v>
      </c>
      <c r="P254" s="468" t="s">
        <v>1682</v>
      </c>
      <c r="Q254" s="468" t="s">
        <v>909</v>
      </c>
      <c r="AC254" s="433" t="str">
        <f ca="1">HYPERLINK("#"&amp;일위대가목록표!J2&amp;"!A"&amp;ROW(일위대가목록표!A90),"B02817 →")</f>
        <v>B02817 →</v>
      </c>
    </row>
    <row r="255" spans="1:29" ht="35.25" customHeight="1">
      <c r="A255" s="452"/>
      <c r="B255" s="452" t="s">
        <v>1670</v>
      </c>
      <c r="C255" s="449" t="s">
        <v>1000</v>
      </c>
      <c r="D255" s="470">
        <v>0</v>
      </c>
      <c r="E255" s="463" t="s">
        <v>984</v>
      </c>
      <c r="F255" s="471">
        <f t="shared" si="30"/>
        <v>35103</v>
      </c>
      <c r="G255" s="446">
        <f t="shared" si="30"/>
        <v>0</v>
      </c>
      <c r="H255" s="472">
        <f>일위대가목록표!F91</f>
        <v>35103</v>
      </c>
      <c r="I255" s="465">
        <f t="shared" si="31"/>
        <v>0</v>
      </c>
      <c r="J255" s="473">
        <f>일위대가목록표!G91</f>
        <v>0</v>
      </c>
      <c r="K255" s="465">
        <f t="shared" si="32"/>
        <v>0</v>
      </c>
      <c r="L255" s="474">
        <f>일위대가목록표!H91</f>
        <v>0</v>
      </c>
      <c r="M255" s="467">
        <f t="shared" si="33"/>
        <v>0</v>
      </c>
      <c r="N255" s="463" t="s">
        <v>1683</v>
      </c>
      <c r="O255" s="451" t="s">
        <v>1684</v>
      </c>
      <c r="P255" s="468" t="s">
        <v>1685</v>
      </c>
      <c r="Q255" s="468" t="s">
        <v>909</v>
      </c>
      <c r="AC255" s="433" t="str">
        <f ca="1">HYPERLINK("#"&amp;일위대가목록표!J2&amp;"!A"&amp;ROW(일위대가목록표!A91),"B02818 →")</f>
        <v>B02818 →</v>
      </c>
    </row>
    <row r="256" spans="1:29" ht="35.25" customHeight="1">
      <c r="A256" s="452"/>
      <c r="B256" s="452" t="s">
        <v>5237</v>
      </c>
      <c r="C256" s="449" t="s">
        <v>1686</v>
      </c>
      <c r="D256" s="470">
        <v>0</v>
      </c>
      <c r="E256" s="463" t="s">
        <v>984</v>
      </c>
      <c r="F256" s="471">
        <f t="shared" si="30"/>
        <v>21309</v>
      </c>
      <c r="G256" s="446">
        <f t="shared" si="30"/>
        <v>0</v>
      </c>
      <c r="H256" s="472">
        <f>일위대가목록표!F241</f>
        <v>21309</v>
      </c>
      <c r="I256" s="465">
        <f t="shared" si="31"/>
        <v>0</v>
      </c>
      <c r="J256" s="473">
        <f>일위대가목록표!G241</f>
        <v>0</v>
      </c>
      <c r="K256" s="465">
        <f t="shared" si="32"/>
        <v>0</v>
      </c>
      <c r="L256" s="474">
        <f>일위대가목록표!H241</f>
        <v>0</v>
      </c>
      <c r="M256" s="467">
        <f t="shared" si="33"/>
        <v>0</v>
      </c>
      <c r="N256" s="463" t="s">
        <v>5238</v>
      </c>
      <c r="O256" s="451" t="s">
        <v>5239</v>
      </c>
      <c r="P256" s="468" t="s">
        <v>5240</v>
      </c>
      <c r="Q256" s="468" t="s">
        <v>909</v>
      </c>
      <c r="AC256" s="433" t="str">
        <f ca="1">HYPERLINK("#"&amp;일위대가목록표!J2&amp;"!A"&amp;ROW(일위대가목록표!A241),"B02875 →")</f>
        <v>B02875 →</v>
      </c>
    </row>
    <row r="257" spans="1:29" ht="35.25" customHeight="1">
      <c r="A257" s="452"/>
      <c r="B257" s="452" t="s">
        <v>5237</v>
      </c>
      <c r="C257" s="449" t="s">
        <v>1690</v>
      </c>
      <c r="D257" s="470">
        <v>0</v>
      </c>
      <c r="E257" s="463" t="s">
        <v>984</v>
      </c>
      <c r="F257" s="471">
        <f t="shared" si="30"/>
        <v>24939</v>
      </c>
      <c r="G257" s="446">
        <f t="shared" si="30"/>
        <v>0</v>
      </c>
      <c r="H257" s="472">
        <f>일위대가목록표!F242</f>
        <v>24939</v>
      </c>
      <c r="I257" s="465">
        <f t="shared" si="31"/>
        <v>0</v>
      </c>
      <c r="J257" s="473">
        <f>일위대가목록표!G242</f>
        <v>0</v>
      </c>
      <c r="K257" s="465">
        <f t="shared" si="32"/>
        <v>0</v>
      </c>
      <c r="L257" s="474">
        <f>일위대가목록표!H242</f>
        <v>0</v>
      </c>
      <c r="M257" s="467">
        <f t="shared" si="33"/>
        <v>0</v>
      </c>
      <c r="N257" s="463" t="s">
        <v>5241</v>
      </c>
      <c r="O257" s="451" t="s">
        <v>5242</v>
      </c>
      <c r="P257" s="468" t="s">
        <v>5243</v>
      </c>
      <c r="Q257" s="468" t="s">
        <v>909</v>
      </c>
      <c r="AC257" s="433" t="str">
        <f ca="1">HYPERLINK("#"&amp;일위대가목록표!J2&amp;"!A"&amp;ROW(일위대가목록표!A242),"B02876 →")</f>
        <v>B02876 →</v>
      </c>
    </row>
    <row r="258" spans="1:29" ht="35.25" customHeight="1">
      <c r="A258" s="452"/>
      <c r="B258" s="452" t="s">
        <v>5237</v>
      </c>
      <c r="C258" s="449" t="s">
        <v>1694</v>
      </c>
      <c r="D258" s="470">
        <v>0</v>
      </c>
      <c r="E258" s="463" t="s">
        <v>984</v>
      </c>
      <c r="F258" s="471">
        <f t="shared" si="30"/>
        <v>30542</v>
      </c>
      <c r="G258" s="446">
        <f t="shared" si="30"/>
        <v>0</v>
      </c>
      <c r="H258" s="472">
        <f>일위대가목록표!F243</f>
        <v>30542</v>
      </c>
      <c r="I258" s="465">
        <f t="shared" si="31"/>
        <v>0</v>
      </c>
      <c r="J258" s="473">
        <f>일위대가목록표!G243</f>
        <v>0</v>
      </c>
      <c r="K258" s="465">
        <f t="shared" si="32"/>
        <v>0</v>
      </c>
      <c r="L258" s="474">
        <f>일위대가목록표!H243</f>
        <v>0</v>
      </c>
      <c r="M258" s="467">
        <f t="shared" si="33"/>
        <v>0</v>
      </c>
      <c r="N258" s="463" t="s">
        <v>5244</v>
      </c>
      <c r="O258" s="451" t="s">
        <v>5245</v>
      </c>
      <c r="P258" s="468" t="s">
        <v>5246</v>
      </c>
      <c r="Q258" s="468" t="s">
        <v>909</v>
      </c>
      <c r="AC258" s="433" t="str">
        <f ca="1">HYPERLINK("#"&amp;일위대가목록표!J2&amp;"!A"&amp;ROW(일위대가목록표!A243),"B02877 →")</f>
        <v>B02877 →</v>
      </c>
    </row>
    <row r="259" spans="1:29" ht="35.25" customHeight="1">
      <c r="A259" s="452"/>
      <c r="B259" s="452" t="s">
        <v>5247</v>
      </c>
      <c r="C259" s="449" t="s">
        <v>1686</v>
      </c>
      <c r="D259" s="470">
        <v>0</v>
      </c>
      <c r="E259" s="463" t="s">
        <v>984</v>
      </c>
      <c r="F259" s="471">
        <f t="shared" si="30"/>
        <v>23162</v>
      </c>
      <c r="G259" s="446">
        <f t="shared" si="30"/>
        <v>0</v>
      </c>
      <c r="H259" s="472">
        <f>일위대가목록표!F244</f>
        <v>23162</v>
      </c>
      <c r="I259" s="465">
        <f t="shared" si="31"/>
        <v>0</v>
      </c>
      <c r="J259" s="473">
        <f>일위대가목록표!G244</f>
        <v>0</v>
      </c>
      <c r="K259" s="465">
        <f t="shared" si="32"/>
        <v>0</v>
      </c>
      <c r="L259" s="474">
        <f>일위대가목록표!H244</f>
        <v>0</v>
      </c>
      <c r="M259" s="467">
        <f t="shared" si="33"/>
        <v>0</v>
      </c>
      <c r="N259" s="463" t="s">
        <v>1687</v>
      </c>
      <c r="O259" s="451" t="s">
        <v>1688</v>
      </c>
      <c r="P259" s="468" t="s">
        <v>1689</v>
      </c>
      <c r="Q259" s="468" t="s">
        <v>909</v>
      </c>
      <c r="AC259" s="433" t="str">
        <f ca="1">HYPERLINK("#"&amp;일위대가목록표!J2&amp;"!A"&amp;ROW(일위대가목록표!A244),"B02632 →")</f>
        <v>B02632 →</v>
      </c>
    </row>
    <row r="260" spans="1:29" ht="35.25" customHeight="1">
      <c r="A260" s="452"/>
      <c r="B260" s="452" t="s">
        <v>5247</v>
      </c>
      <c r="C260" s="449" t="s">
        <v>1690</v>
      </c>
      <c r="D260" s="470">
        <v>0</v>
      </c>
      <c r="E260" s="463" t="s">
        <v>984</v>
      </c>
      <c r="F260" s="471">
        <f t="shared" si="30"/>
        <v>27108</v>
      </c>
      <c r="G260" s="446">
        <f t="shared" si="30"/>
        <v>0</v>
      </c>
      <c r="H260" s="472">
        <f>일위대가목록표!F245</f>
        <v>27108</v>
      </c>
      <c r="I260" s="465">
        <f t="shared" si="31"/>
        <v>0</v>
      </c>
      <c r="J260" s="473">
        <f>일위대가목록표!G245</f>
        <v>0</v>
      </c>
      <c r="K260" s="465">
        <f t="shared" si="32"/>
        <v>0</v>
      </c>
      <c r="L260" s="474">
        <f>일위대가목록표!H245</f>
        <v>0</v>
      </c>
      <c r="M260" s="467">
        <f t="shared" si="33"/>
        <v>0</v>
      </c>
      <c r="N260" s="463" t="s">
        <v>1691</v>
      </c>
      <c r="O260" s="451" t="s">
        <v>1692</v>
      </c>
      <c r="P260" s="468" t="s">
        <v>1693</v>
      </c>
      <c r="Q260" s="468" t="s">
        <v>909</v>
      </c>
      <c r="AC260" s="433" t="str">
        <f ca="1">HYPERLINK("#"&amp;일위대가목록표!J2&amp;"!A"&amp;ROW(일위대가목록표!A245),"B02634 →")</f>
        <v>B02634 →</v>
      </c>
    </row>
    <row r="261" spans="1:29" ht="35.25" customHeight="1">
      <c r="A261" s="452"/>
      <c r="B261" s="452" t="s">
        <v>5247</v>
      </c>
      <c r="C261" s="449" t="s">
        <v>1694</v>
      </c>
      <c r="D261" s="470">
        <v>0</v>
      </c>
      <c r="E261" s="463" t="s">
        <v>984</v>
      </c>
      <c r="F261" s="471">
        <f t="shared" si="30"/>
        <v>33198</v>
      </c>
      <c r="G261" s="446">
        <f t="shared" si="30"/>
        <v>0</v>
      </c>
      <c r="H261" s="472">
        <f>일위대가목록표!F246</f>
        <v>33198</v>
      </c>
      <c r="I261" s="465">
        <f t="shared" si="31"/>
        <v>0</v>
      </c>
      <c r="J261" s="473">
        <f>일위대가목록표!G246</f>
        <v>0</v>
      </c>
      <c r="K261" s="465">
        <f t="shared" si="32"/>
        <v>0</v>
      </c>
      <c r="L261" s="474">
        <f>일위대가목록표!H246</f>
        <v>0</v>
      </c>
      <c r="M261" s="467">
        <f t="shared" si="33"/>
        <v>0</v>
      </c>
      <c r="N261" s="463" t="s">
        <v>1695</v>
      </c>
      <c r="O261" s="451" t="s">
        <v>1696</v>
      </c>
      <c r="P261" s="468" t="s">
        <v>1697</v>
      </c>
      <c r="Q261" s="468" t="s">
        <v>909</v>
      </c>
      <c r="AC261" s="433" t="str">
        <f ca="1">HYPERLINK("#"&amp;일위대가목록표!J2&amp;"!A"&amp;ROW(일위대가목록표!A246),"B02633 →")</f>
        <v>B02633 →</v>
      </c>
    </row>
    <row r="262" spans="1:29" ht="35.25" customHeight="1">
      <c r="A262" s="452"/>
      <c r="B262" s="452" t="s">
        <v>1698</v>
      </c>
      <c r="C262" s="449" t="s">
        <v>1686</v>
      </c>
      <c r="D262" s="470">
        <v>0</v>
      </c>
      <c r="E262" s="463" t="s">
        <v>984</v>
      </c>
      <c r="F262" s="471">
        <f t="shared" si="30"/>
        <v>18529</v>
      </c>
      <c r="G262" s="446">
        <f t="shared" si="30"/>
        <v>0</v>
      </c>
      <c r="H262" s="472">
        <f>일위대가목록표!F238</f>
        <v>18529</v>
      </c>
      <c r="I262" s="465">
        <f t="shared" si="31"/>
        <v>0</v>
      </c>
      <c r="J262" s="473">
        <f>일위대가목록표!G238</f>
        <v>0</v>
      </c>
      <c r="K262" s="465">
        <f t="shared" si="32"/>
        <v>0</v>
      </c>
      <c r="L262" s="474">
        <f>일위대가목록표!H238</f>
        <v>0</v>
      </c>
      <c r="M262" s="467">
        <f t="shared" si="33"/>
        <v>0</v>
      </c>
      <c r="N262" s="463" t="s">
        <v>1699</v>
      </c>
      <c r="O262" s="451" t="s">
        <v>1700</v>
      </c>
      <c r="P262" s="468" t="s">
        <v>1701</v>
      </c>
      <c r="Q262" s="468" t="s">
        <v>909</v>
      </c>
      <c r="AC262" s="433" t="str">
        <f ca="1">HYPERLINK("#"&amp;일위대가목록표!J2&amp;"!A"&amp;ROW(일위대가목록표!A238),"B02630 →")</f>
        <v>B02630 →</v>
      </c>
    </row>
    <row r="263" spans="1:29" ht="35.25" customHeight="1">
      <c r="A263" s="452"/>
      <c r="B263" s="452" t="s">
        <v>1698</v>
      </c>
      <c r="C263" s="449" t="s">
        <v>1690</v>
      </c>
      <c r="D263" s="470">
        <v>0</v>
      </c>
      <c r="E263" s="463" t="s">
        <v>984</v>
      </c>
      <c r="F263" s="471">
        <f t="shared" si="30"/>
        <v>21686</v>
      </c>
      <c r="G263" s="446">
        <f t="shared" si="30"/>
        <v>0</v>
      </c>
      <c r="H263" s="472">
        <f>일위대가목록표!F239</f>
        <v>21686</v>
      </c>
      <c r="I263" s="465">
        <f t="shared" si="31"/>
        <v>0</v>
      </c>
      <c r="J263" s="473">
        <f>일위대가목록표!G239</f>
        <v>0</v>
      </c>
      <c r="K263" s="465">
        <f t="shared" si="32"/>
        <v>0</v>
      </c>
      <c r="L263" s="474">
        <f>일위대가목록표!H239</f>
        <v>0</v>
      </c>
      <c r="M263" s="467">
        <f t="shared" si="33"/>
        <v>0</v>
      </c>
      <c r="N263" s="463" t="s">
        <v>1702</v>
      </c>
      <c r="O263" s="451" t="s">
        <v>1703</v>
      </c>
      <c r="P263" s="468" t="s">
        <v>1704</v>
      </c>
      <c r="Q263" s="468" t="s">
        <v>909</v>
      </c>
      <c r="AC263" s="433" t="str">
        <f ca="1">HYPERLINK("#"&amp;일위대가목록표!J2&amp;"!A"&amp;ROW(일위대가목록표!A239),"B02441 →")</f>
        <v>B02441 →</v>
      </c>
    </row>
    <row r="264" spans="1:29" ht="35.25" customHeight="1">
      <c r="A264" s="452"/>
      <c r="B264" s="452" t="s">
        <v>1698</v>
      </c>
      <c r="C264" s="449" t="s">
        <v>1694</v>
      </c>
      <c r="D264" s="470">
        <v>0</v>
      </c>
      <c r="E264" s="463" t="s">
        <v>984</v>
      </c>
      <c r="F264" s="471">
        <f t="shared" si="30"/>
        <v>26559</v>
      </c>
      <c r="G264" s="446">
        <f t="shared" si="30"/>
        <v>0</v>
      </c>
      <c r="H264" s="472">
        <f>일위대가목록표!F240</f>
        <v>26559</v>
      </c>
      <c r="I264" s="465">
        <f t="shared" si="31"/>
        <v>0</v>
      </c>
      <c r="J264" s="473">
        <f>일위대가목록표!G240</f>
        <v>0</v>
      </c>
      <c r="K264" s="465">
        <f t="shared" si="32"/>
        <v>0</v>
      </c>
      <c r="L264" s="474">
        <f>일위대가목록표!H240</f>
        <v>0</v>
      </c>
      <c r="M264" s="467">
        <f t="shared" si="33"/>
        <v>0</v>
      </c>
      <c r="N264" s="463" t="s">
        <v>1705</v>
      </c>
      <c r="O264" s="451" t="s">
        <v>1706</v>
      </c>
      <c r="P264" s="468" t="s">
        <v>1707</v>
      </c>
      <c r="Q264" s="468" t="s">
        <v>909</v>
      </c>
      <c r="AC264" s="433" t="str">
        <f ca="1">HYPERLINK("#"&amp;일위대가목록표!J2&amp;"!A"&amp;ROW(일위대가목록표!A240),"B02631 →")</f>
        <v>B02631 →</v>
      </c>
    </row>
    <row r="265" spans="1:29" ht="35.25" customHeight="1">
      <c r="A265" s="452"/>
      <c r="B265" s="452" t="s">
        <v>5248</v>
      </c>
      <c r="C265" s="449" t="s">
        <v>1708</v>
      </c>
      <c r="D265" s="470">
        <v>0</v>
      </c>
      <c r="E265" s="463" t="s">
        <v>975</v>
      </c>
      <c r="F265" s="471">
        <f t="shared" si="30"/>
        <v>89941</v>
      </c>
      <c r="G265" s="446">
        <f t="shared" si="30"/>
        <v>0</v>
      </c>
      <c r="H265" s="472">
        <f>일위대가목록표!F265</f>
        <v>89615</v>
      </c>
      <c r="I265" s="465">
        <f t="shared" si="31"/>
        <v>0</v>
      </c>
      <c r="J265" s="473">
        <f>일위대가목록표!G265</f>
        <v>0</v>
      </c>
      <c r="K265" s="465">
        <f t="shared" si="32"/>
        <v>0</v>
      </c>
      <c r="L265" s="474">
        <f>일위대가목록표!H265</f>
        <v>326</v>
      </c>
      <c r="M265" s="467">
        <f t="shared" si="33"/>
        <v>0</v>
      </c>
      <c r="N265" s="463" t="s">
        <v>5249</v>
      </c>
      <c r="O265" s="451" t="s">
        <v>5250</v>
      </c>
      <c r="P265" s="468" t="s">
        <v>5251</v>
      </c>
      <c r="Q265" s="468" t="s">
        <v>909</v>
      </c>
      <c r="AC265" s="433" t="str">
        <f ca="1">HYPERLINK("#"&amp;일위대가목록표!J2&amp;"!A"&amp;ROW(일위대가목록표!A265),"B02878 →")</f>
        <v>B02878 →</v>
      </c>
    </row>
    <row r="266" spans="1:29" ht="35.25" customHeight="1">
      <c r="A266" s="452"/>
      <c r="B266" s="452" t="s">
        <v>5252</v>
      </c>
      <c r="C266" s="449" t="s">
        <v>1708</v>
      </c>
      <c r="D266" s="470">
        <v>0</v>
      </c>
      <c r="E266" s="463" t="s">
        <v>975</v>
      </c>
      <c r="F266" s="471">
        <f t="shared" si="30"/>
        <v>97733</v>
      </c>
      <c r="G266" s="446">
        <f t="shared" si="30"/>
        <v>0</v>
      </c>
      <c r="H266" s="472">
        <f>일위대가목록표!F266</f>
        <v>97407</v>
      </c>
      <c r="I266" s="465">
        <f t="shared" si="31"/>
        <v>0</v>
      </c>
      <c r="J266" s="473">
        <f>일위대가목록표!G266</f>
        <v>0</v>
      </c>
      <c r="K266" s="465">
        <f t="shared" si="32"/>
        <v>0</v>
      </c>
      <c r="L266" s="474">
        <f>일위대가목록표!H266</f>
        <v>326</v>
      </c>
      <c r="M266" s="467">
        <f t="shared" si="33"/>
        <v>0</v>
      </c>
      <c r="N266" s="463" t="s">
        <v>1709</v>
      </c>
      <c r="O266" s="451" t="s">
        <v>1710</v>
      </c>
      <c r="P266" s="468" t="s">
        <v>1711</v>
      </c>
      <c r="Q266" s="468" t="s">
        <v>909</v>
      </c>
      <c r="AC266" s="433" t="str">
        <f ca="1">HYPERLINK("#"&amp;일위대가목록표!J2&amp;"!A"&amp;ROW(일위대가목록표!A266),"B02656 →")</f>
        <v>B02656 →</v>
      </c>
    </row>
    <row r="267" spans="1:29" ht="35.25" customHeight="1">
      <c r="A267" s="452"/>
      <c r="B267" s="452" t="s">
        <v>1712</v>
      </c>
      <c r="C267" s="449" t="s">
        <v>1708</v>
      </c>
      <c r="D267" s="470">
        <v>0</v>
      </c>
      <c r="E267" s="463" t="s">
        <v>975</v>
      </c>
      <c r="F267" s="471">
        <f t="shared" si="30"/>
        <v>78252</v>
      </c>
      <c r="G267" s="446">
        <f t="shared" si="30"/>
        <v>0</v>
      </c>
      <c r="H267" s="472">
        <f>일위대가목록표!F264</f>
        <v>77926</v>
      </c>
      <c r="I267" s="465">
        <f t="shared" si="31"/>
        <v>0</v>
      </c>
      <c r="J267" s="473">
        <f>일위대가목록표!G264</f>
        <v>0</v>
      </c>
      <c r="K267" s="465">
        <f t="shared" si="32"/>
        <v>0</v>
      </c>
      <c r="L267" s="474">
        <f>일위대가목록표!H264</f>
        <v>326</v>
      </c>
      <c r="M267" s="467">
        <f t="shared" si="33"/>
        <v>0</v>
      </c>
      <c r="N267" s="463" t="s">
        <v>1713</v>
      </c>
      <c r="O267" s="451" t="s">
        <v>1714</v>
      </c>
      <c r="P267" s="468" t="s">
        <v>1715</v>
      </c>
      <c r="Q267" s="468" t="s">
        <v>909</v>
      </c>
      <c r="AC267" s="433" t="str">
        <f ca="1">HYPERLINK("#"&amp;일위대가목록표!J2&amp;"!A"&amp;ROW(일위대가목록표!A264),"B02654 →")</f>
        <v>B02654 →</v>
      </c>
    </row>
    <row r="268" spans="1:29" ht="35.25" customHeight="1">
      <c r="A268" s="452"/>
      <c r="B268" s="452" t="s">
        <v>5253</v>
      </c>
      <c r="C268" s="449" t="s">
        <v>1716</v>
      </c>
      <c r="D268" s="470">
        <v>0</v>
      </c>
      <c r="E268" s="463" t="s">
        <v>975</v>
      </c>
      <c r="F268" s="471">
        <f t="shared" si="30"/>
        <v>30024</v>
      </c>
      <c r="G268" s="446">
        <f t="shared" si="30"/>
        <v>0</v>
      </c>
      <c r="H268" s="472">
        <f>일위대가목록표!F122</f>
        <v>29884</v>
      </c>
      <c r="I268" s="465">
        <f t="shared" si="31"/>
        <v>0</v>
      </c>
      <c r="J268" s="473">
        <f>일위대가목록표!G122</f>
        <v>0</v>
      </c>
      <c r="K268" s="465">
        <f t="shared" si="32"/>
        <v>0</v>
      </c>
      <c r="L268" s="474">
        <f>일위대가목록표!H122</f>
        <v>140</v>
      </c>
      <c r="M268" s="467">
        <f t="shared" si="33"/>
        <v>0</v>
      </c>
      <c r="N268" s="463" t="s">
        <v>5254</v>
      </c>
      <c r="O268" s="451" t="s">
        <v>5255</v>
      </c>
      <c r="P268" s="468" t="s">
        <v>5256</v>
      </c>
      <c r="Q268" s="468" t="s">
        <v>909</v>
      </c>
      <c r="AC268" s="433" t="str">
        <f ca="1">HYPERLINK("#"&amp;일위대가목록표!J2&amp;"!A"&amp;ROW(일위대가목록표!A122),"B02879 →")</f>
        <v>B02879 →</v>
      </c>
    </row>
    <row r="269" spans="1:29" ht="35.25" customHeight="1">
      <c r="A269" s="452"/>
      <c r="B269" s="452" t="s">
        <v>5257</v>
      </c>
      <c r="C269" s="449" t="s">
        <v>1716</v>
      </c>
      <c r="D269" s="470">
        <v>0</v>
      </c>
      <c r="E269" s="463" t="s">
        <v>975</v>
      </c>
      <c r="F269" s="471">
        <f t="shared" si="30"/>
        <v>32623</v>
      </c>
      <c r="G269" s="446">
        <f t="shared" si="30"/>
        <v>0</v>
      </c>
      <c r="H269" s="472">
        <f>일위대가목록표!F123</f>
        <v>32483</v>
      </c>
      <c r="I269" s="465">
        <f t="shared" si="31"/>
        <v>0</v>
      </c>
      <c r="J269" s="473">
        <f>일위대가목록표!G123</f>
        <v>0</v>
      </c>
      <c r="K269" s="465">
        <f t="shared" si="32"/>
        <v>0</v>
      </c>
      <c r="L269" s="474">
        <f>일위대가목록표!H123</f>
        <v>140</v>
      </c>
      <c r="M269" s="467">
        <f t="shared" si="33"/>
        <v>0</v>
      </c>
      <c r="N269" s="463" t="s">
        <v>1717</v>
      </c>
      <c r="O269" s="451" t="s">
        <v>1718</v>
      </c>
      <c r="P269" s="468" t="s">
        <v>1719</v>
      </c>
      <c r="Q269" s="468" t="s">
        <v>909</v>
      </c>
      <c r="AC269" s="433" t="str">
        <f ca="1">HYPERLINK("#"&amp;일위대가목록표!J2&amp;"!A"&amp;ROW(일위대가목록표!A123),"B02451 →")</f>
        <v>B02451 →</v>
      </c>
    </row>
    <row r="270" spans="1:29" ht="35.25" customHeight="1">
      <c r="A270" s="452"/>
      <c r="B270" s="452" t="s">
        <v>1720</v>
      </c>
      <c r="C270" s="449" t="s">
        <v>1716</v>
      </c>
      <c r="D270" s="470">
        <v>0</v>
      </c>
      <c r="E270" s="463" t="s">
        <v>975</v>
      </c>
      <c r="F270" s="471">
        <f t="shared" ref="F270:G300" si="34">J270+H270+L270</f>
        <v>26126</v>
      </c>
      <c r="G270" s="446">
        <f t="shared" si="34"/>
        <v>0</v>
      </c>
      <c r="H270" s="472">
        <f>일위대가목록표!F121</f>
        <v>25986</v>
      </c>
      <c r="I270" s="465">
        <f t="shared" si="31"/>
        <v>0</v>
      </c>
      <c r="J270" s="473">
        <f>일위대가목록표!G121</f>
        <v>0</v>
      </c>
      <c r="K270" s="465">
        <f t="shared" si="32"/>
        <v>0</v>
      </c>
      <c r="L270" s="474">
        <f>일위대가목록표!H121</f>
        <v>140</v>
      </c>
      <c r="M270" s="467">
        <f t="shared" si="33"/>
        <v>0</v>
      </c>
      <c r="N270" s="463" t="s">
        <v>1721</v>
      </c>
      <c r="O270" s="451" t="s">
        <v>1722</v>
      </c>
      <c r="P270" s="468" t="s">
        <v>1723</v>
      </c>
      <c r="Q270" s="468" t="s">
        <v>909</v>
      </c>
      <c r="AC270" s="433" t="str">
        <f ca="1">HYPERLINK("#"&amp;일위대가목록표!J2&amp;"!A"&amp;ROW(일위대가목록표!A121),"B02643 →")</f>
        <v>B02643 →</v>
      </c>
    </row>
    <row r="271" spans="1:29" ht="35.25" customHeight="1">
      <c r="A271" s="452"/>
      <c r="B271" s="452" t="s">
        <v>5258</v>
      </c>
      <c r="C271" s="449" t="s">
        <v>1724</v>
      </c>
      <c r="D271" s="470">
        <v>0</v>
      </c>
      <c r="E271" s="463" t="s">
        <v>975</v>
      </c>
      <c r="F271" s="471">
        <f t="shared" si="34"/>
        <v>27288</v>
      </c>
      <c r="G271" s="446">
        <f t="shared" si="34"/>
        <v>0</v>
      </c>
      <c r="H271" s="472">
        <f>일위대가목록표!F189</f>
        <v>27148</v>
      </c>
      <c r="I271" s="465">
        <f t="shared" si="31"/>
        <v>0</v>
      </c>
      <c r="J271" s="473">
        <f>일위대가목록표!G189</f>
        <v>0</v>
      </c>
      <c r="K271" s="465">
        <f t="shared" si="32"/>
        <v>0</v>
      </c>
      <c r="L271" s="474">
        <f>일위대가목록표!H189</f>
        <v>140</v>
      </c>
      <c r="M271" s="467">
        <f t="shared" si="33"/>
        <v>0</v>
      </c>
      <c r="N271" s="463" t="s">
        <v>5259</v>
      </c>
      <c r="O271" s="451" t="s">
        <v>5260</v>
      </c>
      <c r="P271" s="468" t="s">
        <v>5261</v>
      </c>
      <c r="Q271" s="468" t="s">
        <v>909</v>
      </c>
      <c r="AC271" s="433" t="str">
        <f ca="1">HYPERLINK("#"&amp;일위대가목록표!J2&amp;"!A"&amp;ROW(일위대가목록표!A189),"B02880 →")</f>
        <v>B02880 →</v>
      </c>
    </row>
    <row r="272" spans="1:29" ht="35.25" customHeight="1">
      <c r="A272" s="452"/>
      <c r="B272" s="452" t="s">
        <v>5258</v>
      </c>
      <c r="C272" s="449" t="s">
        <v>1728</v>
      </c>
      <c r="D272" s="470">
        <v>0</v>
      </c>
      <c r="E272" s="463" t="s">
        <v>975</v>
      </c>
      <c r="F272" s="471">
        <f t="shared" si="34"/>
        <v>93653</v>
      </c>
      <c r="G272" s="446">
        <f t="shared" si="34"/>
        <v>0</v>
      </c>
      <c r="H272" s="472">
        <f>일위대가목록표!F186</f>
        <v>93373</v>
      </c>
      <c r="I272" s="465">
        <f t="shared" si="31"/>
        <v>0</v>
      </c>
      <c r="J272" s="473">
        <f>일위대가목록표!G186</f>
        <v>0</v>
      </c>
      <c r="K272" s="465">
        <f t="shared" si="32"/>
        <v>0</v>
      </c>
      <c r="L272" s="474">
        <f>일위대가목록표!H186</f>
        <v>280</v>
      </c>
      <c r="M272" s="467">
        <f t="shared" si="33"/>
        <v>0</v>
      </c>
      <c r="N272" s="463" t="s">
        <v>5262</v>
      </c>
      <c r="O272" s="451" t="s">
        <v>5263</v>
      </c>
      <c r="P272" s="468" t="s">
        <v>5264</v>
      </c>
      <c r="Q272" s="468" t="s">
        <v>909</v>
      </c>
      <c r="AC272" s="433" t="str">
        <f ca="1">HYPERLINK("#"&amp;일위대가목록표!J2&amp;"!A"&amp;ROW(일위대가목록표!A186),"B02881 →")</f>
        <v>B02881 →</v>
      </c>
    </row>
    <row r="273" spans="1:29" ht="35.25" customHeight="1">
      <c r="A273" s="452"/>
      <c r="B273" s="452" t="s">
        <v>5258</v>
      </c>
      <c r="C273" s="449" t="s">
        <v>1732</v>
      </c>
      <c r="D273" s="470">
        <v>0</v>
      </c>
      <c r="E273" s="463" t="s">
        <v>975</v>
      </c>
      <c r="F273" s="471">
        <f t="shared" si="34"/>
        <v>111016</v>
      </c>
      <c r="G273" s="446">
        <f t="shared" si="34"/>
        <v>0</v>
      </c>
      <c r="H273" s="472">
        <f>일위대가목록표!F187</f>
        <v>110736</v>
      </c>
      <c r="I273" s="465">
        <f t="shared" si="31"/>
        <v>0</v>
      </c>
      <c r="J273" s="473">
        <f>일위대가목록표!G187</f>
        <v>0</v>
      </c>
      <c r="K273" s="465">
        <f t="shared" si="32"/>
        <v>0</v>
      </c>
      <c r="L273" s="474">
        <f>일위대가목록표!H187</f>
        <v>280</v>
      </c>
      <c r="M273" s="467">
        <f t="shared" si="33"/>
        <v>0</v>
      </c>
      <c r="N273" s="463" t="s">
        <v>5265</v>
      </c>
      <c r="O273" s="451" t="s">
        <v>5266</v>
      </c>
      <c r="P273" s="468" t="s">
        <v>5267</v>
      </c>
      <c r="Q273" s="468" t="s">
        <v>909</v>
      </c>
      <c r="AC273" s="433" t="str">
        <f ca="1">HYPERLINK("#"&amp;일위대가목록표!J2&amp;"!A"&amp;ROW(일위대가목록표!A187),"B02882 →")</f>
        <v>B02882 →</v>
      </c>
    </row>
    <row r="274" spans="1:29" ht="35.25" customHeight="1">
      <c r="A274" s="452"/>
      <c r="B274" s="452" t="s">
        <v>5258</v>
      </c>
      <c r="C274" s="449" t="s">
        <v>1736</v>
      </c>
      <c r="D274" s="470">
        <v>0</v>
      </c>
      <c r="E274" s="463" t="s">
        <v>975</v>
      </c>
      <c r="F274" s="471">
        <f t="shared" si="34"/>
        <v>284960</v>
      </c>
      <c r="G274" s="446">
        <f t="shared" si="34"/>
        <v>0</v>
      </c>
      <c r="H274" s="472">
        <f>일위대가목록표!F188</f>
        <v>284711</v>
      </c>
      <c r="I274" s="465">
        <f t="shared" si="31"/>
        <v>0</v>
      </c>
      <c r="J274" s="473">
        <f>일위대가목록표!G188</f>
        <v>0</v>
      </c>
      <c r="K274" s="465">
        <f t="shared" si="32"/>
        <v>0</v>
      </c>
      <c r="L274" s="474">
        <f>일위대가목록표!H188</f>
        <v>249</v>
      </c>
      <c r="M274" s="467">
        <f t="shared" si="33"/>
        <v>0</v>
      </c>
      <c r="N274" s="463" t="s">
        <v>5268</v>
      </c>
      <c r="O274" s="451" t="s">
        <v>5269</v>
      </c>
      <c r="P274" s="468" t="s">
        <v>5270</v>
      </c>
      <c r="Q274" s="468" t="s">
        <v>909</v>
      </c>
      <c r="AC274" s="433" t="str">
        <f ca="1">HYPERLINK("#"&amp;일위대가목록표!J2&amp;"!A"&amp;ROW(일위대가목록표!A188),"B02883 →")</f>
        <v>B02883 →</v>
      </c>
    </row>
    <row r="275" spans="1:29" ht="35.25" customHeight="1">
      <c r="A275" s="452"/>
      <c r="B275" s="452" t="s">
        <v>5271</v>
      </c>
      <c r="C275" s="449" t="s">
        <v>1724</v>
      </c>
      <c r="D275" s="470">
        <v>0</v>
      </c>
      <c r="E275" s="463" t="s">
        <v>975</v>
      </c>
      <c r="F275" s="471">
        <f t="shared" si="34"/>
        <v>29649</v>
      </c>
      <c r="G275" s="446">
        <f t="shared" si="34"/>
        <v>0</v>
      </c>
      <c r="H275" s="472">
        <f>일위대가목록표!F193</f>
        <v>29509</v>
      </c>
      <c r="I275" s="465">
        <f t="shared" si="31"/>
        <v>0</v>
      </c>
      <c r="J275" s="473">
        <f>일위대가목록표!G193</f>
        <v>0</v>
      </c>
      <c r="K275" s="465">
        <f t="shared" si="32"/>
        <v>0</v>
      </c>
      <c r="L275" s="474">
        <f>일위대가목록표!H193</f>
        <v>140</v>
      </c>
      <c r="M275" s="467">
        <f t="shared" si="33"/>
        <v>0</v>
      </c>
      <c r="N275" s="463" t="s">
        <v>1725</v>
      </c>
      <c r="O275" s="451" t="s">
        <v>1726</v>
      </c>
      <c r="P275" s="468" t="s">
        <v>1727</v>
      </c>
      <c r="Q275" s="468" t="s">
        <v>909</v>
      </c>
      <c r="AC275" s="433" t="str">
        <f ca="1">HYPERLINK("#"&amp;일위대가목록표!J2&amp;"!A"&amp;ROW(일위대가목록표!A193),"B02640 →")</f>
        <v>B02640 →</v>
      </c>
    </row>
    <row r="276" spans="1:29" ht="35.25" customHeight="1">
      <c r="A276" s="452"/>
      <c r="B276" s="452" t="s">
        <v>5271</v>
      </c>
      <c r="C276" s="449" t="s">
        <v>1728</v>
      </c>
      <c r="D276" s="470">
        <v>0</v>
      </c>
      <c r="E276" s="463" t="s">
        <v>975</v>
      </c>
      <c r="F276" s="471">
        <f t="shared" si="34"/>
        <v>101772</v>
      </c>
      <c r="G276" s="446">
        <f t="shared" si="34"/>
        <v>0</v>
      </c>
      <c r="H276" s="472">
        <f>일위대가목록표!F190</f>
        <v>101492</v>
      </c>
      <c r="I276" s="465">
        <f t="shared" si="31"/>
        <v>0</v>
      </c>
      <c r="J276" s="473">
        <f>일위대가목록표!G190</f>
        <v>0</v>
      </c>
      <c r="K276" s="465">
        <f t="shared" si="32"/>
        <v>0</v>
      </c>
      <c r="L276" s="474">
        <f>일위대가목록표!H190</f>
        <v>280</v>
      </c>
      <c r="M276" s="467">
        <f t="shared" si="33"/>
        <v>0</v>
      </c>
      <c r="N276" s="463" t="s">
        <v>1729</v>
      </c>
      <c r="O276" s="451" t="s">
        <v>1730</v>
      </c>
      <c r="P276" s="468" t="s">
        <v>1731</v>
      </c>
      <c r="Q276" s="468" t="s">
        <v>909</v>
      </c>
      <c r="AC276" s="433" t="str">
        <f ca="1">HYPERLINK("#"&amp;일위대가목록표!J2&amp;"!A"&amp;ROW(일위대가목록표!A190),"B02639 →")</f>
        <v>B02639 →</v>
      </c>
    </row>
    <row r="277" spans="1:29" ht="35.25" customHeight="1">
      <c r="A277" s="452"/>
      <c r="B277" s="452" t="s">
        <v>5271</v>
      </c>
      <c r="C277" s="449" t="s">
        <v>1732</v>
      </c>
      <c r="D277" s="470">
        <v>0</v>
      </c>
      <c r="E277" s="463" t="s">
        <v>975</v>
      </c>
      <c r="F277" s="471">
        <f t="shared" si="34"/>
        <v>120645</v>
      </c>
      <c r="G277" s="446">
        <f t="shared" si="34"/>
        <v>0</v>
      </c>
      <c r="H277" s="472">
        <f>일위대가목록표!F191</f>
        <v>120365</v>
      </c>
      <c r="I277" s="465">
        <f t="shared" si="31"/>
        <v>0</v>
      </c>
      <c r="J277" s="473">
        <f>일위대가목록표!G191</f>
        <v>0</v>
      </c>
      <c r="K277" s="465">
        <f t="shared" si="32"/>
        <v>0</v>
      </c>
      <c r="L277" s="474">
        <f>일위대가목록표!H191</f>
        <v>280</v>
      </c>
      <c r="M277" s="467">
        <f t="shared" si="33"/>
        <v>0</v>
      </c>
      <c r="N277" s="463" t="s">
        <v>1733</v>
      </c>
      <c r="O277" s="451" t="s">
        <v>1734</v>
      </c>
      <c r="P277" s="468" t="s">
        <v>1735</v>
      </c>
      <c r="Q277" s="468" t="s">
        <v>909</v>
      </c>
      <c r="AC277" s="433" t="str">
        <f ca="1">HYPERLINK("#"&amp;일위대가목록표!J2&amp;"!A"&amp;ROW(일위대가목록표!A191),"B02641 →")</f>
        <v>B02641 →</v>
      </c>
    </row>
    <row r="278" spans="1:29" ht="35.25" customHeight="1">
      <c r="A278" s="452"/>
      <c r="B278" s="452" t="s">
        <v>5271</v>
      </c>
      <c r="C278" s="449" t="s">
        <v>1736</v>
      </c>
      <c r="D278" s="470">
        <v>0</v>
      </c>
      <c r="E278" s="463" t="s">
        <v>975</v>
      </c>
      <c r="F278" s="471">
        <f t="shared" si="34"/>
        <v>309717</v>
      </c>
      <c r="G278" s="446">
        <f t="shared" si="34"/>
        <v>0</v>
      </c>
      <c r="H278" s="472">
        <f>일위대가목록표!F192</f>
        <v>309468</v>
      </c>
      <c r="I278" s="465">
        <f t="shared" si="31"/>
        <v>0</v>
      </c>
      <c r="J278" s="473">
        <f>일위대가목록표!G192</f>
        <v>0</v>
      </c>
      <c r="K278" s="465">
        <f t="shared" si="32"/>
        <v>0</v>
      </c>
      <c r="L278" s="474">
        <f>일위대가목록표!H192</f>
        <v>249</v>
      </c>
      <c r="M278" s="467">
        <f t="shared" si="33"/>
        <v>0</v>
      </c>
      <c r="N278" s="463" t="s">
        <v>1737</v>
      </c>
      <c r="O278" s="451" t="s">
        <v>1738</v>
      </c>
      <c r="P278" s="468" t="s">
        <v>1739</v>
      </c>
      <c r="Q278" s="468" t="s">
        <v>909</v>
      </c>
      <c r="AC278" s="433" t="str">
        <f ca="1">HYPERLINK("#"&amp;일위대가목록표!J2&amp;"!A"&amp;ROW(일위대가목록표!A192),"B02642 →")</f>
        <v>B02642 →</v>
      </c>
    </row>
    <row r="279" spans="1:29" ht="35.25" customHeight="1">
      <c r="A279" s="452"/>
      <c r="B279" s="452" t="s">
        <v>1740</v>
      </c>
      <c r="C279" s="449" t="s">
        <v>1724</v>
      </c>
      <c r="D279" s="470">
        <v>0</v>
      </c>
      <c r="E279" s="463" t="s">
        <v>975</v>
      </c>
      <c r="F279" s="471">
        <f t="shared" si="34"/>
        <v>23747</v>
      </c>
      <c r="G279" s="446">
        <f t="shared" si="34"/>
        <v>0</v>
      </c>
      <c r="H279" s="472">
        <f>일위대가목록표!F185</f>
        <v>23607</v>
      </c>
      <c r="I279" s="465">
        <f t="shared" si="31"/>
        <v>0</v>
      </c>
      <c r="J279" s="473">
        <f>일위대가목록표!G185</f>
        <v>0</v>
      </c>
      <c r="K279" s="465">
        <f t="shared" si="32"/>
        <v>0</v>
      </c>
      <c r="L279" s="474">
        <f>일위대가목록표!H185</f>
        <v>140</v>
      </c>
      <c r="M279" s="467">
        <f t="shared" si="33"/>
        <v>0</v>
      </c>
      <c r="N279" s="463" t="s">
        <v>1741</v>
      </c>
      <c r="O279" s="451" t="s">
        <v>1742</v>
      </c>
      <c r="P279" s="468" t="s">
        <v>1743</v>
      </c>
      <c r="Q279" s="468" t="s">
        <v>909</v>
      </c>
      <c r="AC279" s="433" t="str">
        <f ca="1">HYPERLINK("#"&amp;일위대가목록표!J2&amp;"!A"&amp;ROW(일위대가목록표!A185),"B02464 →")</f>
        <v>B02464 →</v>
      </c>
    </row>
    <row r="280" spans="1:29" ht="35.25" customHeight="1">
      <c r="A280" s="452"/>
      <c r="B280" s="452" t="s">
        <v>1740</v>
      </c>
      <c r="C280" s="449" t="s">
        <v>1728</v>
      </c>
      <c r="D280" s="470">
        <v>0</v>
      </c>
      <c r="E280" s="463" t="s">
        <v>975</v>
      </c>
      <c r="F280" s="471">
        <f t="shared" si="34"/>
        <v>81474</v>
      </c>
      <c r="G280" s="446">
        <f t="shared" si="34"/>
        <v>0</v>
      </c>
      <c r="H280" s="472">
        <f>일위대가목록표!F182</f>
        <v>81194</v>
      </c>
      <c r="I280" s="465">
        <f t="shared" si="31"/>
        <v>0</v>
      </c>
      <c r="J280" s="473">
        <f>일위대가목록표!G182</f>
        <v>0</v>
      </c>
      <c r="K280" s="465">
        <f t="shared" si="32"/>
        <v>0</v>
      </c>
      <c r="L280" s="474">
        <f>일위대가목록표!H182</f>
        <v>280</v>
      </c>
      <c r="M280" s="467">
        <f t="shared" si="33"/>
        <v>0</v>
      </c>
      <c r="N280" s="463" t="s">
        <v>1744</v>
      </c>
      <c r="O280" s="451" t="s">
        <v>1745</v>
      </c>
      <c r="P280" s="468" t="s">
        <v>1746</v>
      </c>
      <c r="Q280" s="468" t="s">
        <v>909</v>
      </c>
      <c r="AC280" s="433" t="str">
        <f ca="1">HYPERLINK("#"&amp;일위대가목록표!J2&amp;"!A"&amp;ROW(일위대가목록표!A182),"B02445 →")</f>
        <v>B02445 →</v>
      </c>
    </row>
    <row r="281" spans="1:29" ht="35.25" customHeight="1">
      <c r="A281" s="452"/>
      <c r="B281" s="452" t="s">
        <v>1740</v>
      </c>
      <c r="C281" s="449" t="s">
        <v>1732</v>
      </c>
      <c r="D281" s="470">
        <v>0</v>
      </c>
      <c r="E281" s="463" t="s">
        <v>975</v>
      </c>
      <c r="F281" s="471">
        <f t="shared" si="34"/>
        <v>96572</v>
      </c>
      <c r="G281" s="446">
        <f t="shared" si="34"/>
        <v>0</v>
      </c>
      <c r="H281" s="472">
        <f>일위대가목록표!F183</f>
        <v>96292</v>
      </c>
      <c r="I281" s="465">
        <f t="shared" si="31"/>
        <v>0</v>
      </c>
      <c r="J281" s="473">
        <f>일위대가목록표!G183</f>
        <v>0</v>
      </c>
      <c r="K281" s="465">
        <f t="shared" si="32"/>
        <v>0</v>
      </c>
      <c r="L281" s="474">
        <f>일위대가목록표!H183</f>
        <v>280</v>
      </c>
      <c r="M281" s="467">
        <f t="shared" si="33"/>
        <v>0</v>
      </c>
      <c r="N281" s="463" t="s">
        <v>1747</v>
      </c>
      <c r="O281" s="451" t="s">
        <v>1748</v>
      </c>
      <c r="P281" s="468" t="s">
        <v>1749</v>
      </c>
      <c r="Q281" s="468" t="s">
        <v>909</v>
      </c>
      <c r="AC281" s="433" t="str">
        <f ca="1">HYPERLINK("#"&amp;일위대가목록표!J2&amp;"!A"&amp;ROW(일위대가목록표!A183),"B02570 →")</f>
        <v>B02570 →</v>
      </c>
    </row>
    <row r="282" spans="1:29" ht="35.25" customHeight="1">
      <c r="A282" s="452"/>
      <c r="B282" s="452" t="s">
        <v>1740</v>
      </c>
      <c r="C282" s="449" t="s">
        <v>1736</v>
      </c>
      <c r="D282" s="470">
        <v>0</v>
      </c>
      <c r="E282" s="463" t="s">
        <v>975</v>
      </c>
      <c r="F282" s="471">
        <f t="shared" si="34"/>
        <v>247824</v>
      </c>
      <c r="G282" s="446">
        <f t="shared" si="34"/>
        <v>0</v>
      </c>
      <c r="H282" s="472">
        <f>일위대가목록표!F184</f>
        <v>247575</v>
      </c>
      <c r="I282" s="465">
        <f t="shared" si="31"/>
        <v>0</v>
      </c>
      <c r="J282" s="473">
        <f>일위대가목록표!G184</f>
        <v>0</v>
      </c>
      <c r="K282" s="465">
        <f t="shared" si="32"/>
        <v>0</v>
      </c>
      <c r="L282" s="474">
        <f>일위대가목록표!H184</f>
        <v>249</v>
      </c>
      <c r="M282" s="467">
        <f t="shared" si="33"/>
        <v>0</v>
      </c>
      <c r="N282" s="463" t="s">
        <v>1750</v>
      </c>
      <c r="O282" s="451" t="s">
        <v>1751</v>
      </c>
      <c r="P282" s="468" t="s">
        <v>1752</v>
      </c>
      <c r="Q282" s="468" t="s">
        <v>909</v>
      </c>
      <c r="AC282" s="433" t="str">
        <f ca="1">HYPERLINK("#"&amp;일위대가목록표!J2&amp;"!A"&amp;ROW(일위대가목록표!A184),"B02465 →")</f>
        <v>B02465 →</v>
      </c>
    </row>
    <row r="283" spans="1:29" ht="35.25" customHeight="1">
      <c r="A283" s="452"/>
      <c r="B283" s="452" t="s">
        <v>5272</v>
      </c>
      <c r="C283" s="449" t="s">
        <v>1753</v>
      </c>
      <c r="D283" s="470">
        <v>0</v>
      </c>
      <c r="E283" s="463" t="s">
        <v>975</v>
      </c>
      <c r="F283" s="471">
        <f t="shared" si="34"/>
        <v>44305</v>
      </c>
      <c r="G283" s="446">
        <f t="shared" si="34"/>
        <v>0</v>
      </c>
      <c r="H283" s="472">
        <f>일위대가목록표!F324</f>
        <v>44181</v>
      </c>
      <c r="I283" s="465">
        <f t="shared" si="31"/>
        <v>0</v>
      </c>
      <c r="J283" s="473">
        <f>일위대가목록표!G324</f>
        <v>0</v>
      </c>
      <c r="K283" s="465">
        <f t="shared" si="32"/>
        <v>0</v>
      </c>
      <c r="L283" s="474">
        <f>일위대가목록표!H324</f>
        <v>124</v>
      </c>
      <c r="M283" s="467">
        <f t="shared" si="33"/>
        <v>0</v>
      </c>
      <c r="N283" s="463" t="s">
        <v>5273</v>
      </c>
      <c r="O283" s="451" t="s">
        <v>5274</v>
      </c>
      <c r="P283" s="468" t="s">
        <v>5275</v>
      </c>
      <c r="Q283" s="468" t="s">
        <v>909</v>
      </c>
      <c r="AC283" s="433" t="str">
        <f ca="1">HYPERLINK("#"&amp;일위대가목록표!J2&amp;"!A"&amp;ROW(일위대가목록표!A324),"B02884 →")</f>
        <v>B02884 →</v>
      </c>
    </row>
    <row r="284" spans="1:29" ht="35.25" customHeight="1">
      <c r="A284" s="452"/>
      <c r="B284" s="452" t="s">
        <v>5276</v>
      </c>
      <c r="C284" s="449" t="s">
        <v>1753</v>
      </c>
      <c r="D284" s="470">
        <v>0</v>
      </c>
      <c r="E284" s="463" t="s">
        <v>975</v>
      </c>
      <c r="F284" s="471">
        <f t="shared" si="34"/>
        <v>48147</v>
      </c>
      <c r="G284" s="446">
        <f t="shared" si="34"/>
        <v>0</v>
      </c>
      <c r="H284" s="472">
        <f>일위대가목록표!F325</f>
        <v>48023</v>
      </c>
      <c r="I284" s="465">
        <f t="shared" si="31"/>
        <v>0</v>
      </c>
      <c r="J284" s="473">
        <f>일위대가목록표!G325</f>
        <v>0</v>
      </c>
      <c r="K284" s="465">
        <f t="shared" si="32"/>
        <v>0</v>
      </c>
      <c r="L284" s="474">
        <f>일위대가목록표!H325</f>
        <v>124</v>
      </c>
      <c r="M284" s="467">
        <f t="shared" si="33"/>
        <v>0</v>
      </c>
      <c r="N284" s="463" t="s">
        <v>1754</v>
      </c>
      <c r="O284" s="451" t="s">
        <v>1755</v>
      </c>
      <c r="P284" s="468" t="s">
        <v>1756</v>
      </c>
      <c r="Q284" s="468" t="s">
        <v>909</v>
      </c>
      <c r="AC284" s="433" t="str">
        <f ca="1">HYPERLINK("#"&amp;일위대가목록표!J2&amp;"!A"&amp;ROW(일위대가목록표!A325),"B02615 →")</f>
        <v>B02615 →</v>
      </c>
    </row>
    <row r="285" spans="1:29" ht="35.25" customHeight="1">
      <c r="A285" s="452"/>
      <c r="B285" s="452" t="s">
        <v>1757</v>
      </c>
      <c r="C285" s="449" t="s">
        <v>1753</v>
      </c>
      <c r="D285" s="470">
        <v>0</v>
      </c>
      <c r="E285" s="463" t="s">
        <v>975</v>
      </c>
      <c r="F285" s="471">
        <f t="shared" si="34"/>
        <v>38542</v>
      </c>
      <c r="G285" s="446">
        <f t="shared" si="34"/>
        <v>0</v>
      </c>
      <c r="H285" s="472">
        <f>일위대가목록표!F323</f>
        <v>38418</v>
      </c>
      <c r="I285" s="465">
        <f t="shared" si="31"/>
        <v>0</v>
      </c>
      <c r="J285" s="473">
        <f>일위대가목록표!G323</f>
        <v>0</v>
      </c>
      <c r="K285" s="465">
        <f t="shared" si="32"/>
        <v>0</v>
      </c>
      <c r="L285" s="474">
        <f>일위대가목록표!H323</f>
        <v>124</v>
      </c>
      <c r="M285" s="467">
        <f t="shared" si="33"/>
        <v>0</v>
      </c>
      <c r="N285" s="463" t="s">
        <v>1758</v>
      </c>
      <c r="O285" s="451" t="s">
        <v>1759</v>
      </c>
      <c r="P285" s="468" t="s">
        <v>1760</v>
      </c>
      <c r="Q285" s="468" t="s">
        <v>909</v>
      </c>
      <c r="AC285" s="433" t="str">
        <f ca="1">HYPERLINK("#"&amp;일위대가목록표!J2&amp;"!A"&amp;ROW(일위대가목록표!A323),"B02635 →")</f>
        <v>B02635 →</v>
      </c>
    </row>
    <row r="286" spans="1:29" ht="35.25" customHeight="1">
      <c r="A286" s="452"/>
      <c r="B286" s="452" t="s">
        <v>5277</v>
      </c>
      <c r="C286" s="449" t="s">
        <v>1761</v>
      </c>
      <c r="D286" s="470">
        <v>0</v>
      </c>
      <c r="E286" s="463" t="s">
        <v>975</v>
      </c>
      <c r="F286" s="471">
        <f t="shared" si="34"/>
        <v>53362</v>
      </c>
      <c r="G286" s="446">
        <f t="shared" si="34"/>
        <v>0</v>
      </c>
      <c r="H286" s="472">
        <f>일위대가목록표!F66</f>
        <v>53082</v>
      </c>
      <c r="I286" s="465">
        <f t="shared" si="31"/>
        <v>0</v>
      </c>
      <c r="J286" s="473">
        <f>일위대가목록표!G66</f>
        <v>0</v>
      </c>
      <c r="K286" s="465">
        <f t="shared" si="32"/>
        <v>0</v>
      </c>
      <c r="L286" s="474">
        <f>일위대가목록표!H66</f>
        <v>280</v>
      </c>
      <c r="M286" s="467">
        <f t="shared" si="33"/>
        <v>0</v>
      </c>
      <c r="N286" s="463" t="s">
        <v>5278</v>
      </c>
      <c r="O286" s="451" t="s">
        <v>5279</v>
      </c>
      <c r="P286" s="468" t="s">
        <v>5280</v>
      </c>
      <c r="Q286" s="468" t="s">
        <v>909</v>
      </c>
      <c r="AC286" s="433" t="str">
        <f ca="1">HYPERLINK("#"&amp;일위대가목록표!J2&amp;"!A"&amp;ROW(일위대가목록표!A66),"B02885 →")</f>
        <v>B02885 →</v>
      </c>
    </row>
    <row r="287" spans="1:29" ht="35.25" customHeight="1">
      <c r="A287" s="452"/>
      <c r="B287" s="452" t="s">
        <v>5281</v>
      </c>
      <c r="C287" s="449" t="s">
        <v>1761</v>
      </c>
      <c r="D287" s="470">
        <v>0</v>
      </c>
      <c r="E287" s="463" t="s">
        <v>975</v>
      </c>
      <c r="F287" s="471">
        <f t="shared" si="34"/>
        <v>57978</v>
      </c>
      <c r="G287" s="446">
        <f t="shared" si="34"/>
        <v>0</v>
      </c>
      <c r="H287" s="472">
        <f>일위대가목록표!F67</f>
        <v>57698</v>
      </c>
      <c r="I287" s="465">
        <f t="shared" si="31"/>
        <v>0</v>
      </c>
      <c r="J287" s="473">
        <f>일위대가목록표!G67</f>
        <v>0</v>
      </c>
      <c r="K287" s="465">
        <f t="shared" si="32"/>
        <v>0</v>
      </c>
      <c r="L287" s="474">
        <f>일위대가목록표!H67</f>
        <v>280</v>
      </c>
      <c r="M287" s="467">
        <f t="shared" si="33"/>
        <v>0</v>
      </c>
      <c r="N287" s="463" t="s">
        <v>1762</v>
      </c>
      <c r="O287" s="451" t="s">
        <v>1763</v>
      </c>
      <c r="P287" s="468" t="s">
        <v>1764</v>
      </c>
      <c r="Q287" s="468" t="s">
        <v>909</v>
      </c>
      <c r="AC287" s="433" t="str">
        <f ca="1">HYPERLINK("#"&amp;일위대가목록표!J2&amp;"!A"&amp;ROW(일위대가목록표!A67),"B02395 →")</f>
        <v>B02395 →</v>
      </c>
    </row>
    <row r="288" spans="1:29" ht="35.25" customHeight="1">
      <c r="A288" s="452"/>
      <c r="B288" s="452" t="s">
        <v>1765</v>
      </c>
      <c r="C288" s="449" t="s">
        <v>1761</v>
      </c>
      <c r="D288" s="470">
        <v>0</v>
      </c>
      <c r="E288" s="463" t="s">
        <v>975</v>
      </c>
      <c r="F288" s="471">
        <f t="shared" si="34"/>
        <v>46438</v>
      </c>
      <c r="G288" s="446">
        <f t="shared" si="34"/>
        <v>0</v>
      </c>
      <c r="H288" s="472">
        <f>일위대가목록표!F65</f>
        <v>46158</v>
      </c>
      <c r="I288" s="465">
        <f t="shared" si="31"/>
        <v>0</v>
      </c>
      <c r="J288" s="473">
        <f>일위대가목록표!G65</f>
        <v>0</v>
      </c>
      <c r="K288" s="465">
        <f t="shared" si="32"/>
        <v>0</v>
      </c>
      <c r="L288" s="474">
        <f>일위대가목록표!H65</f>
        <v>280</v>
      </c>
      <c r="M288" s="467">
        <f t="shared" si="33"/>
        <v>0</v>
      </c>
      <c r="N288" s="463" t="s">
        <v>1766</v>
      </c>
      <c r="O288" s="451" t="s">
        <v>1767</v>
      </c>
      <c r="P288" s="468" t="s">
        <v>1768</v>
      </c>
      <c r="Q288" s="468" t="s">
        <v>909</v>
      </c>
      <c r="AC288" s="433" t="str">
        <f ca="1">HYPERLINK("#"&amp;일위대가목록표!J2&amp;"!A"&amp;ROW(일위대가목록표!A65),"B02636 →")</f>
        <v>B02636 →</v>
      </c>
    </row>
    <row r="289" spans="1:29" ht="35.25" customHeight="1">
      <c r="A289" s="452"/>
      <c r="B289" s="452" t="s">
        <v>5282</v>
      </c>
      <c r="C289" s="449" t="s">
        <v>965</v>
      </c>
      <c r="D289" s="470">
        <v>0</v>
      </c>
      <c r="E289" s="463" t="s">
        <v>966</v>
      </c>
      <c r="F289" s="471">
        <f t="shared" si="34"/>
        <v>16999</v>
      </c>
      <c r="G289" s="446">
        <f t="shared" si="34"/>
        <v>0</v>
      </c>
      <c r="H289" s="472">
        <f>일위대가목록표!F209</f>
        <v>16859</v>
      </c>
      <c r="I289" s="465">
        <f t="shared" si="31"/>
        <v>0</v>
      </c>
      <c r="J289" s="473">
        <f>일위대가목록표!G209</f>
        <v>0</v>
      </c>
      <c r="K289" s="465">
        <f t="shared" si="32"/>
        <v>0</v>
      </c>
      <c r="L289" s="474">
        <f>일위대가목록표!H209</f>
        <v>140</v>
      </c>
      <c r="M289" s="467">
        <f t="shared" si="33"/>
        <v>0</v>
      </c>
      <c r="N289" s="463" t="s">
        <v>5283</v>
      </c>
      <c r="O289" s="451" t="s">
        <v>5284</v>
      </c>
      <c r="P289" s="468" t="s">
        <v>5285</v>
      </c>
      <c r="Q289" s="468" t="s">
        <v>909</v>
      </c>
      <c r="AC289" s="433" t="str">
        <f ca="1">HYPERLINK("#"&amp;일위대가목록표!J2&amp;"!A"&amp;ROW(일위대가목록표!A209),"B02886 →")</f>
        <v>B02886 →</v>
      </c>
    </row>
    <row r="290" spans="1:29" ht="35.25" customHeight="1">
      <c r="A290" s="452"/>
      <c r="B290" s="452" t="s">
        <v>5286</v>
      </c>
      <c r="C290" s="449" t="s">
        <v>965</v>
      </c>
      <c r="D290" s="470">
        <v>0</v>
      </c>
      <c r="E290" s="463" t="s">
        <v>966</v>
      </c>
      <c r="F290" s="471">
        <f t="shared" si="34"/>
        <v>18465</v>
      </c>
      <c r="G290" s="446">
        <f t="shared" si="34"/>
        <v>0</v>
      </c>
      <c r="H290" s="472">
        <f>일위대가목록표!F210</f>
        <v>18325</v>
      </c>
      <c r="I290" s="465">
        <f t="shared" si="31"/>
        <v>0</v>
      </c>
      <c r="J290" s="473">
        <f>일위대가목록표!G210</f>
        <v>0</v>
      </c>
      <c r="K290" s="465">
        <f t="shared" si="32"/>
        <v>0</v>
      </c>
      <c r="L290" s="474">
        <f>일위대가목록표!H210</f>
        <v>140</v>
      </c>
      <c r="M290" s="467">
        <f t="shared" si="33"/>
        <v>0</v>
      </c>
      <c r="N290" s="463" t="s">
        <v>1769</v>
      </c>
      <c r="O290" s="451" t="s">
        <v>1770</v>
      </c>
      <c r="P290" s="468" t="s">
        <v>1771</v>
      </c>
      <c r="Q290" s="468" t="s">
        <v>909</v>
      </c>
      <c r="AC290" s="433" t="str">
        <f ca="1">HYPERLINK("#"&amp;일위대가목록표!J2&amp;"!A"&amp;ROW(일위대가목록표!A210),"B02384 →")</f>
        <v>B02384 →</v>
      </c>
    </row>
    <row r="291" spans="1:29" ht="35.25" customHeight="1">
      <c r="A291" s="452"/>
      <c r="B291" s="452" t="s">
        <v>1772</v>
      </c>
      <c r="C291" s="449" t="s">
        <v>965</v>
      </c>
      <c r="D291" s="470">
        <v>0</v>
      </c>
      <c r="E291" s="463" t="s">
        <v>966</v>
      </c>
      <c r="F291" s="471">
        <f t="shared" si="34"/>
        <v>14800</v>
      </c>
      <c r="G291" s="446">
        <f t="shared" si="34"/>
        <v>0</v>
      </c>
      <c r="H291" s="472">
        <f>일위대가목록표!F208</f>
        <v>14660</v>
      </c>
      <c r="I291" s="465">
        <f t="shared" si="31"/>
        <v>0</v>
      </c>
      <c r="J291" s="473">
        <f>일위대가목록표!G208</f>
        <v>0</v>
      </c>
      <c r="K291" s="465">
        <f t="shared" si="32"/>
        <v>0</v>
      </c>
      <c r="L291" s="474">
        <f>일위대가목록표!H208</f>
        <v>140</v>
      </c>
      <c r="M291" s="467">
        <f t="shared" si="33"/>
        <v>0</v>
      </c>
      <c r="N291" s="463" t="s">
        <v>1773</v>
      </c>
      <c r="O291" s="451" t="s">
        <v>1774</v>
      </c>
      <c r="P291" s="468" t="s">
        <v>1775</v>
      </c>
      <c r="Q291" s="468" t="s">
        <v>909</v>
      </c>
      <c r="AC291" s="433" t="str">
        <f ca="1">HYPERLINK("#"&amp;일위대가목록표!J2&amp;"!A"&amp;ROW(일위대가목록표!A208),"B02637 →")</f>
        <v>B02637 →</v>
      </c>
    </row>
    <row r="292" spans="1:29" ht="35.25" customHeight="1">
      <c r="A292" s="452"/>
      <c r="B292" s="452" t="s">
        <v>5287</v>
      </c>
      <c r="C292" s="449"/>
      <c r="D292" s="470">
        <v>0</v>
      </c>
      <c r="E292" s="463" t="s">
        <v>975</v>
      </c>
      <c r="F292" s="471">
        <f t="shared" si="34"/>
        <v>112416</v>
      </c>
      <c r="G292" s="446">
        <f t="shared" si="34"/>
        <v>0</v>
      </c>
      <c r="H292" s="472">
        <f>일위대가목록표!F254</f>
        <v>111716</v>
      </c>
      <c r="I292" s="465">
        <f t="shared" si="31"/>
        <v>0</v>
      </c>
      <c r="J292" s="473">
        <f>일위대가목록표!G254</f>
        <v>0</v>
      </c>
      <c r="K292" s="465">
        <f t="shared" si="32"/>
        <v>0</v>
      </c>
      <c r="L292" s="474">
        <f>일위대가목록표!H254</f>
        <v>700</v>
      </c>
      <c r="M292" s="467">
        <f t="shared" si="33"/>
        <v>0</v>
      </c>
      <c r="N292" s="463" t="s">
        <v>5288</v>
      </c>
      <c r="O292" s="451" t="s">
        <v>5289</v>
      </c>
      <c r="P292" s="468" t="s">
        <v>5290</v>
      </c>
      <c r="Q292" s="468" t="s">
        <v>909</v>
      </c>
      <c r="AC292" s="433" t="str">
        <f ca="1">HYPERLINK("#"&amp;일위대가목록표!J2&amp;"!A"&amp;ROW(일위대가목록표!A254),"B02887 →")</f>
        <v>B02887 →</v>
      </c>
    </row>
    <row r="293" spans="1:29" ht="35.25" customHeight="1">
      <c r="A293" s="452"/>
      <c r="B293" s="452" t="s">
        <v>5291</v>
      </c>
      <c r="C293" s="449"/>
      <c r="D293" s="470">
        <v>0</v>
      </c>
      <c r="E293" s="463" t="s">
        <v>975</v>
      </c>
      <c r="F293" s="471">
        <f t="shared" si="34"/>
        <v>122131</v>
      </c>
      <c r="G293" s="446">
        <f t="shared" si="34"/>
        <v>0</v>
      </c>
      <c r="H293" s="472">
        <f>일위대가목록표!F255</f>
        <v>121431</v>
      </c>
      <c r="I293" s="465">
        <f t="shared" si="31"/>
        <v>0</v>
      </c>
      <c r="J293" s="473">
        <f>일위대가목록표!G255</f>
        <v>0</v>
      </c>
      <c r="K293" s="465">
        <f t="shared" si="32"/>
        <v>0</v>
      </c>
      <c r="L293" s="474">
        <f>일위대가목록표!H255</f>
        <v>700</v>
      </c>
      <c r="M293" s="467">
        <f t="shared" si="33"/>
        <v>0</v>
      </c>
      <c r="N293" s="463" t="s">
        <v>1776</v>
      </c>
      <c r="O293" s="451" t="s">
        <v>1777</v>
      </c>
      <c r="P293" s="468" t="s">
        <v>1778</v>
      </c>
      <c r="Q293" s="468" t="s">
        <v>909</v>
      </c>
      <c r="AC293" s="433" t="str">
        <f ca="1">HYPERLINK("#"&amp;일위대가목록표!J2&amp;"!A"&amp;ROW(일위대가목록표!A255),"B02397 →")</f>
        <v>B02397 →</v>
      </c>
    </row>
    <row r="294" spans="1:29" ht="35.25" customHeight="1">
      <c r="A294" s="452"/>
      <c r="B294" s="452" t="s">
        <v>1779</v>
      </c>
      <c r="C294" s="449"/>
      <c r="D294" s="470">
        <v>0</v>
      </c>
      <c r="E294" s="463" t="s">
        <v>975</v>
      </c>
      <c r="F294" s="471">
        <f t="shared" si="34"/>
        <v>97844</v>
      </c>
      <c r="G294" s="446">
        <f t="shared" si="34"/>
        <v>0</v>
      </c>
      <c r="H294" s="472">
        <f>일위대가목록표!F253</f>
        <v>97144</v>
      </c>
      <c r="I294" s="465">
        <f t="shared" si="31"/>
        <v>0</v>
      </c>
      <c r="J294" s="473">
        <f>일위대가목록표!G253</f>
        <v>0</v>
      </c>
      <c r="K294" s="465">
        <f t="shared" si="32"/>
        <v>0</v>
      </c>
      <c r="L294" s="474">
        <f>일위대가목록표!H253</f>
        <v>700</v>
      </c>
      <c r="M294" s="467">
        <f t="shared" si="33"/>
        <v>0</v>
      </c>
      <c r="N294" s="463" t="s">
        <v>1780</v>
      </c>
      <c r="O294" s="451" t="s">
        <v>1781</v>
      </c>
      <c r="P294" s="468" t="s">
        <v>1782</v>
      </c>
      <c r="Q294" s="468" t="s">
        <v>909</v>
      </c>
      <c r="AC294" s="433" t="str">
        <f ca="1">HYPERLINK("#"&amp;일위대가목록표!J2&amp;"!A"&amp;ROW(일위대가목록표!A253),"B02638 →")</f>
        <v>B02638 →</v>
      </c>
    </row>
    <row r="295" spans="1:29" ht="35.25" customHeight="1">
      <c r="A295" s="452"/>
      <c r="B295" s="452" t="s">
        <v>5292</v>
      </c>
      <c r="C295" s="449" t="s">
        <v>1784</v>
      </c>
      <c r="D295" s="470">
        <v>0</v>
      </c>
      <c r="E295" s="463" t="s">
        <v>1785</v>
      </c>
      <c r="F295" s="471">
        <f t="shared" si="34"/>
        <v>284101</v>
      </c>
      <c r="G295" s="446">
        <f t="shared" si="34"/>
        <v>0</v>
      </c>
      <c r="H295" s="472">
        <f>일위대가목록표!F318</f>
        <v>283531</v>
      </c>
      <c r="I295" s="465">
        <f t="shared" si="31"/>
        <v>0</v>
      </c>
      <c r="J295" s="473">
        <f>일위대가목록표!G318</f>
        <v>0</v>
      </c>
      <c r="K295" s="465">
        <f t="shared" si="32"/>
        <v>0</v>
      </c>
      <c r="L295" s="474">
        <f>일위대가목록표!H318</f>
        <v>570</v>
      </c>
      <c r="M295" s="467">
        <f t="shared" si="33"/>
        <v>0</v>
      </c>
      <c r="N295" s="463" t="s">
        <v>5293</v>
      </c>
      <c r="O295" s="451" t="s">
        <v>5294</v>
      </c>
      <c r="P295" s="468" t="s">
        <v>5295</v>
      </c>
      <c r="Q295" s="468" t="s">
        <v>909</v>
      </c>
      <c r="AC295" s="433" t="str">
        <f ca="1">HYPERLINK("#"&amp;일위대가목록표!J2&amp;"!A"&amp;ROW(일위대가목록표!A318),"B02888 →")</f>
        <v>B02888 →</v>
      </c>
    </row>
    <row r="296" spans="1:29" ht="35.25" customHeight="1">
      <c r="A296" s="452"/>
      <c r="B296" s="452" t="s">
        <v>5296</v>
      </c>
      <c r="C296" s="449" t="s">
        <v>1784</v>
      </c>
      <c r="D296" s="470">
        <v>0</v>
      </c>
      <c r="E296" s="463" t="s">
        <v>1785</v>
      </c>
      <c r="F296" s="471">
        <f t="shared" si="34"/>
        <v>308756</v>
      </c>
      <c r="G296" s="446">
        <f t="shared" si="34"/>
        <v>0</v>
      </c>
      <c r="H296" s="472">
        <f>일위대가목록표!F319</f>
        <v>308186</v>
      </c>
      <c r="I296" s="465">
        <f t="shared" si="31"/>
        <v>0</v>
      </c>
      <c r="J296" s="473">
        <f>일위대가목록표!G319</f>
        <v>0</v>
      </c>
      <c r="K296" s="465">
        <f t="shared" si="32"/>
        <v>0</v>
      </c>
      <c r="L296" s="474">
        <f>일위대가목록표!H319</f>
        <v>570</v>
      </c>
      <c r="M296" s="467">
        <f t="shared" si="33"/>
        <v>0</v>
      </c>
      <c r="N296" s="463" t="s">
        <v>5297</v>
      </c>
      <c r="O296" s="451" t="s">
        <v>5298</v>
      </c>
      <c r="P296" s="468" t="s">
        <v>5299</v>
      </c>
      <c r="Q296" s="468" t="s">
        <v>909</v>
      </c>
      <c r="AC296" s="433" t="str">
        <f ca="1">HYPERLINK("#"&amp;일위대가목록표!J2&amp;"!A"&amp;ROW(일위대가목록표!A319),"B02819 →")</f>
        <v>B02819 →</v>
      </c>
    </row>
    <row r="297" spans="1:29" ht="35.25" customHeight="1">
      <c r="A297" s="452"/>
      <c r="B297" s="452" t="s">
        <v>1783</v>
      </c>
      <c r="C297" s="449" t="s">
        <v>1784</v>
      </c>
      <c r="D297" s="470">
        <v>0</v>
      </c>
      <c r="E297" s="463" t="s">
        <v>1785</v>
      </c>
      <c r="F297" s="471">
        <f t="shared" si="34"/>
        <v>247119</v>
      </c>
      <c r="G297" s="446">
        <f t="shared" si="34"/>
        <v>0</v>
      </c>
      <c r="H297" s="472">
        <f>일위대가목록표!F317</f>
        <v>246549</v>
      </c>
      <c r="I297" s="465">
        <f t="shared" si="31"/>
        <v>0</v>
      </c>
      <c r="J297" s="473">
        <f>일위대가목록표!G317</f>
        <v>0</v>
      </c>
      <c r="K297" s="465">
        <f t="shared" si="32"/>
        <v>0</v>
      </c>
      <c r="L297" s="474">
        <f>일위대가목록표!H317</f>
        <v>570</v>
      </c>
      <c r="M297" s="467">
        <f t="shared" si="33"/>
        <v>0</v>
      </c>
      <c r="N297" s="463" t="s">
        <v>1786</v>
      </c>
      <c r="O297" s="451" t="s">
        <v>1787</v>
      </c>
      <c r="P297" s="468" t="s">
        <v>1788</v>
      </c>
      <c r="Q297" s="468" t="s">
        <v>909</v>
      </c>
      <c r="AC297" s="433" t="str">
        <f ca="1">HYPERLINK("#"&amp;일위대가목록표!J2&amp;"!A"&amp;ROW(일위대가목록표!A317),"B02653 →")</f>
        <v>B02653 →</v>
      </c>
    </row>
    <row r="298" spans="1:29" ht="35.25" customHeight="1">
      <c r="A298" s="452"/>
      <c r="B298" s="452" t="s">
        <v>5300</v>
      </c>
      <c r="C298" s="449" t="s">
        <v>1789</v>
      </c>
      <c r="D298" s="470">
        <v>0</v>
      </c>
      <c r="E298" s="463" t="s">
        <v>8</v>
      </c>
      <c r="F298" s="471">
        <f t="shared" si="34"/>
        <v>267848</v>
      </c>
      <c r="G298" s="446">
        <f t="shared" si="34"/>
        <v>0</v>
      </c>
      <c r="H298" s="472">
        <f>단가산출근거목록표!F153</f>
        <v>262659</v>
      </c>
      <c r="I298" s="465">
        <f t="shared" si="31"/>
        <v>0</v>
      </c>
      <c r="J298" s="473">
        <f>단가산출근거목록표!G153</f>
        <v>0</v>
      </c>
      <c r="K298" s="465">
        <f t="shared" si="32"/>
        <v>0</v>
      </c>
      <c r="L298" s="474">
        <f>단가산출근거목록표!H153</f>
        <v>5189</v>
      </c>
      <c r="M298" s="467">
        <f t="shared" si="33"/>
        <v>0</v>
      </c>
      <c r="N298" s="463" t="s">
        <v>5301</v>
      </c>
      <c r="O298" s="451" t="s">
        <v>5302</v>
      </c>
      <c r="P298" s="468" t="s">
        <v>5303</v>
      </c>
      <c r="Q298" s="468" t="s">
        <v>909</v>
      </c>
      <c r="AC298" s="433" t="str">
        <f ca="1">HYPERLINK("#"&amp;단가산출근거목록표!J2&amp;"!A"&amp;ROW(단가산출근거목록표!A153),"D01345 →")</f>
        <v>D01345 →</v>
      </c>
    </row>
    <row r="299" spans="1:29" ht="35.25" customHeight="1">
      <c r="A299" s="452"/>
      <c r="B299" s="452" t="s">
        <v>5304</v>
      </c>
      <c r="C299" s="449" t="s">
        <v>1789</v>
      </c>
      <c r="D299" s="470">
        <v>0</v>
      </c>
      <c r="E299" s="463" t="s">
        <v>8</v>
      </c>
      <c r="F299" s="471">
        <f t="shared" si="34"/>
        <v>290688</v>
      </c>
      <c r="G299" s="446">
        <f t="shared" si="34"/>
        <v>0</v>
      </c>
      <c r="H299" s="472">
        <f>단가산출근거목록표!F154</f>
        <v>285499</v>
      </c>
      <c r="I299" s="465">
        <f t="shared" si="31"/>
        <v>0</v>
      </c>
      <c r="J299" s="473">
        <f>단가산출근거목록표!G154</f>
        <v>0</v>
      </c>
      <c r="K299" s="465">
        <f t="shared" si="32"/>
        <v>0</v>
      </c>
      <c r="L299" s="474">
        <f>단가산출근거목록표!H154</f>
        <v>5189</v>
      </c>
      <c r="M299" s="467">
        <f t="shared" si="33"/>
        <v>0</v>
      </c>
      <c r="N299" s="463" t="s">
        <v>1790</v>
      </c>
      <c r="O299" s="451" t="s">
        <v>1791</v>
      </c>
      <c r="P299" s="468" t="s">
        <v>1792</v>
      </c>
      <c r="Q299" s="468" t="s">
        <v>909</v>
      </c>
      <c r="AC299" s="433" t="str">
        <f ca="1">HYPERLINK("#"&amp;단가산출근거목록표!J2&amp;"!A"&amp;ROW(단가산출근거목록표!A154),"D01268 →")</f>
        <v>D01268 →</v>
      </c>
    </row>
    <row r="300" spans="1:29" ht="35.25" customHeight="1">
      <c r="A300" s="452"/>
      <c r="B300" s="452" t="s">
        <v>1793</v>
      </c>
      <c r="C300" s="449" t="s">
        <v>1789</v>
      </c>
      <c r="D300" s="470">
        <v>0</v>
      </c>
      <c r="E300" s="463" t="s">
        <v>8</v>
      </c>
      <c r="F300" s="471">
        <f t="shared" si="34"/>
        <v>233588</v>
      </c>
      <c r="G300" s="446">
        <f t="shared" si="34"/>
        <v>0</v>
      </c>
      <c r="H300" s="472">
        <f>단가산출근거목록표!F152</f>
        <v>228399</v>
      </c>
      <c r="I300" s="465">
        <f t="shared" si="31"/>
        <v>0</v>
      </c>
      <c r="J300" s="473">
        <f>단가산출근거목록표!G152</f>
        <v>0</v>
      </c>
      <c r="K300" s="465">
        <f t="shared" si="32"/>
        <v>0</v>
      </c>
      <c r="L300" s="474">
        <f>단가산출근거목록표!H152</f>
        <v>5189</v>
      </c>
      <c r="M300" s="467">
        <f t="shared" si="33"/>
        <v>0</v>
      </c>
      <c r="N300" s="463" t="s">
        <v>1794</v>
      </c>
      <c r="O300" s="451" t="s">
        <v>1795</v>
      </c>
      <c r="P300" s="468" t="s">
        <v>1796</v>
      </c>
      <c r="Q300" s="468" t="s">
        <v>909</v>
      </c>
      <c r="AC300" s="433" t="str">
        <f ca="1">HYPERLINK("#"&amp;단가산출근거목록표!J2&amp;"!A"&amp;ROW(단가산출근거목록표!A152),"D01242 →")</f>
        <v>D01242 →</v>
      </c>
    </row>
    <row r="301" spans="1:29" ht="35.25" customHeight="1">
      <c r="A301" s="461" t="s">
        <v>860</v>
      </c>
      <c r="B301" s="461" t="s">
        <v>861</v>
      </c>
      <c r="C301" s="469"/>
      <c r="D301" s="462"/>
      <c r="E301" s="463"/>
      <c r="F301" s="464">
        <v>0</v>
      </c>
      <c r="G301" s="453">
        <f>SUMIF(Q302:Q372,P301,G302:G372)</f>
        <v>0</v>
      </c>
      <c r="H301" s="465">
        <v>0</v>
      </c>
      <c r="I301" s="446">
        <f>SUMIF(Q302:Q372,P301,I302:I372)</f>
        <v>0</v>
      </c>
      <c r="J301" s="465">
        <v>0</v>
      </c>
      <c r="K301" s="466">
        <f>SUMIF(Q302:Q372,P301,K302:K372)</f>
        <v>0</v>
      </c>
      <c r="L301" s="467">
        <v>0</v>
      </c>
      <c r="M301" s="466">
        <f>SUMIF(Q302:Q372,P301,M302:M372)</f>
        <v>0</v>
      </c>
      <c r="N301" s="463"/>
      <c r="O301" s="451" t="str">
        <f>"_x0007_`COD|E4_x0005_`QTY1|1_x0005_`EXI|0_x0005_`ITT|0_x0005_`END|"&amp;ROW(M373)&amp;"_x0005_`"</f>
        <v>_x0007_`COD|E4_x0005_`QTY1|1_x0005_`EXI|0_x0005_`ITT|0_x0005_`END|373_x0005_`</v>
      </c>
      <c r="P301" s="468" t="s">
        <v>909</v>
      </c>
      <c r="Q301" s="468" t="s">
        <v>907</v>
      </c>
    </row>
    <row r="302" spans="1:29" ht="35.25" customHeight="1">
      <c r="A302" s="452"/>
      <c r="B302" s="452" t="s">
        <v>5305</v>
      </c>
      <c r="C302" s="449" t="s">
        <v>1798</v>
      </c>
      <c r="D302" s="470">
        <v>0</v>
      </c>
      <c r="E302" s="463" t="s">
        <v>1799</v>
      </c>
      <c r="F302" s="471">
        <f t="shared" ref="F302:G333" si="35">J302+H302+L302</f>
        <v>311541</v>
      </c>
      <c r="G302" s="446">
        <f t="shared" si="35"/>
        <v>0</v>
      </c>
      <c r="H302" s="472">
        <f>일위대가목록표!F147</f>
        <v>123141</v>
      </c>
      <c r="I302" s="465">
        <f t="shared" ref="I302:I365" si="36">ROUNDDOWN(H302*D302,0)</f>
        <v>0</v>
      </c>
      <c r="J302" s="473">
        <f>일위대가목록표!G147</f>
        <v>188400</v>
      </c>
      <c r="K302" s="465">
        <f t="shared" ref="K302:K365" si="37">ROUNDDOWN(J302*D302,0)</f>
        <v>0</v>
      </c>
      <c r="L302" s="474">
        <f>일위대가목록표!H147</f>
        <v>0</v>
      </c>
      <c r="M302" s="467">
        <f t="shared" ref="M302:M365" si="38">ROUNDDOWN(L302*D302,0)</f>
        <v>0</v>
      </c>
      <c r="N302" s="463" t="s">
        <v>5306</v>
      </c>
      <c r="O302" s="451" t="s">
        <v>5307</v>
      </c>
      <c r="P302" s="468" t="s">
        <v>5308</v>
      </c>
      <c r="Q302" s="468" t="s">
        <v>909</v>
      </c>
      <c r="AC302" s="433" t="str">
        <f ca="1">HYPERLINK("#"&amp;일위대가목록표!J2&amp;"!A"&amp;ROW(일위대가목록표!A147),"B02889 →")</f>
        <v>B02889 →</v>
      </c>
    </row>
    <row r="303" spans="1:29" ht="35.25" customHeight="1">
      <c r="A303" s="452"/>
      <c r="B303" s="452" t="s">
        <v>5309</v>
      </c>
      <c r="C303" s="449" t="s">
        <v>1798</v>
      </c>
      <c r="D303" s="470">
        <v>0</v>
      </c>
      <c r="E303" s="463" t="s">
        <v>1799</v>
      </c>
      <c r="F303" s="471">
        <f t="shared" si="35"/>
        <v>322249</v>
      </c>
      <c r="G303" s="446">
        <f t="shared" si="35"/>
        <v>0</v>
      </c>
      <c r="H303" s="472">
        <f>일위대가목록표!F148</f>
        <v>133849</v>
      </c>
      <c r="I303" s="465">
        <f t="shared" si="36"/>
        <v>0</v>
      </c>
      <c r="J303" s="473">
        <f>일위대가목록표!G148</f>
        <v>188400</v>
      </c>
      <c r="K303" s="465">
        <f t="shared" si="37"/>
        <v>0</v>
      </c>
      <c r="L303" s="474">
        <f>일위대가목록표!H148</f>
        <v>0</v>
      </c>
      <c r="M303" s="467">
        <f t="shared" si="38"/>
        <v>0</v>
      </c>
      <c r="N303" s="463" t="s">
        <v>5310</v>
      </c>
      <c r="O303" s="451" t="s">
        <v>5311</v>
      </c>
      <c r="P303" s="468" t="s">
        <v>5312</v>
      </c>
      <c r="Q303" s="468" t="s">
        <v>909</v>
      </c>
      <c r="AC303" s="433" t="str">
        <f ca="1">HYPERLINK("#"&amp;일위대가목록표!J2&amp;"!A"&amp;ROW(일위대가목록표!A148),"B02820 →")</f>
        <v>B02820 →</v>
      </c>
    </row>
    <row r="304" spans="1:29" ht="35.25" customHeight="1">
      <c r="A304" s="452"/>
      <c r="B304" s="452" t="s">
        <v>1797</v>
      </c>
      <c r="C304" s="449" t="s">
        <v>1798</v>
      </c>
      <c r="D304" s="470">
        <v>0</v>
      </c>
      <c r="E304" s="463" t="s">
        <v>1799</v>
      </c>
      <c r="F304" s="471">
        <f t="shared" si="35"/>
        <v>295479</v>
      </c>
      <c r="G304" s="446">
        <f t="shared" si="35"/>
        <v>0</v>
      </c>
      <c r="H304" s="472">
        <f>일위대가목록표!F146</f>
        <v>107079</v>
      </c>
      <c r="I304" s="465">
        <f t="shared" si="36"/>
        <v>0</v>
      </c>
      <c r="J304" s="473">
        <f>일위대가목록표!G146</f>
        <v>188400</v>
      </c>
      <c r="K304" s="465">
        <f t="shared" si="37"/>
        <v>0</v>
      </c>
      <c r="L304" s="474">
        <f>일위대가목록표!H146</f>
        <v>0</v>
      </c>
      <c r="M304" s="467">
        <f t="shared" si="38"/>
        <v>0</v>
      </c>
      <c r="N304" s="463" t="s">
        <v>1800</v>
      </c>
      <c r="O304" s="451" t="s">
        <v>1801</v>
      </c>
      <c r="P304" s="468" t="s">
        <v>1802</v>
      </c>
      <c r="Q304" s="468" t="s">
        <v>909</v>
      </c>
      <c r="AC304" s="433" t="str">
        <f ca="1">HYPERLINK("#"&amp;일위대가목록표!J2&amp;"!A"&amp;ROW(일위대가목록표!A146),"B02799 →")</f>
        <v>B02799 →</v>
      </c>
    </row>
    <row r="305" spans="1:29" ht="35.25" customHeight="1">
      <c r="A305" s="452"/>
      <c r="B305" s="452" t="s">
        <v>5313</v>
      </c>
      <c r="C305" s="449" t="s">
        <v>1804</v>
      </c>
      <c r="D305" s="470">
        <v>0</v>
      </c>
      <c r="E305" s="463" t="s">
        <v>1799</v>
      </c>
      <c r="F305" s="471">
        <f t="shared" si="35"/>
        <v>61556</v>
      </c>
      <c r="G305" s="446">
        <f t="shared" si="35"/>
        <v>0</v>
      </c>
      <c r="H305" s="472">
        <f>단가산출근거목록표!F45</f>
        <v>49256</v>
      </c>
      <c r="I305" s="465">
        <f t="shared" si="36"/>
        <v>0</v>
      </c>
      <c r="J305" s="473">
        <f>단가산출근거목록표!G45</f>
        <v>12300</v>
      </c>
      <c r="K305" s="465">
        <f t="shared" si="37"/>
        <v>0</v>
      </c>
      <c r="L305" s="474">
        <f>단가산출근거목록표!H45</f>
        <v>0</v>
      </c>
      <c r="M305" s="467">
        <f t="shared" si="38"/>
        <v>0</v>
      </c>
      <c r="N305" s="463" t="s">
        <v>5314</v>
      </c>
      <c r="O305" s="451" t="s">
        <v>5315</v>
      </c>
      <c r="P305" s="468" t="s">
        <v>5316</v>
      </c>
      <c r="Q305" s="468" t="s">
        <v>909</v>
      </c>
      <c r="AC305" s="433" t="str">
        <f ca="1">HYPERLINK("#"&amp;단가산출근거목록표!J2&amp;"!A"&amp;ROW(단가산출근거목록표!A45),"D01346 →")</f>
        <v>D01346 →</v>
      </c>
    </row>
    <row r="306" spans="1:29" ht="35.25" customHeight="1">
      <c r="A306" s="452"/>
      <c r="B306" s="452" t="s">
        <v>5313</v>
      </c>
      <c r="C306" s="449" t="s">
        <v>1808</v>
      </c>
      <c r="D306" s="470">
        <v>0</v>
      </c>
      <c r="E306" s="463" t="s">
        <v>1799</v>
      </c>
      <c r="F306" s="471">
        <f t="shared" si="35"/>
        <v>114512</v>
      </c>
      <c r="G306" s="446">
        <f t="shared" si="35"/>
        <v>0</v>
      </c>
      <c r="H306" s="472">
        <f>단가산출근거목록표!F46</f>
        <v>98512</v>
      </c>
      <c r="I306" s="465">
        <f t="shared" si="36"/>
        <v>0</v>
      </c>
      <c r="J306" s="473">
        <f>단가산출근거목록표!G46</f>
        <v>16000</v>
      </c>
      <c r="K306" s="465">
        <f t="shared" si="37"/>
        <v>0</v>
      </c>
      <c r="L306" s="474">
        <f>단가산출근거목록표!H46</f>
        <v>0</v>
      </c>
      <c r="M306" s="467">
        <f t="shared" si="38"/>
        <v>0</v>
      </c>
      <c r="N306" s="463" t="s">
        <v>5317</v>
      </c>
      <c r="O306" s="451" t="s">
        <v>5318</v>
      </c>
      <c r="P306" s="468" t="s">
        <v>5319</v>
      </c>
      <c r="Q306" s="468" t="s">
        <v>909</v>
      </c>
      <c r="AC306" s="433" t="str">
        <f ca="1">HYPERLINK("#"&amp;단가산출근거목록표!J2&amp;"!A"&amp;ROW(단가산출근거목록표!A46),"D01347 →")</f>
        <v>D01347 →</v>
      </c>
    </row>
    <row r="307" spans="1:29" ht="35.25" customHeight="1">
      <c r="A307" s="452"/>
      <c r="B307" s="452" t="s">
        <v>5320</v>
      </c>
      <c r="C307" s="449" t="s">
        <v>1804</v>
      </c>
      <c r="D307" s="470">
        <v>0</v>
      </c>
      <c r="E307" s="463" t="s">
        <v>1799</v>
      </c>
      <c r="F307" s="471">
        <f t="shared" si="35"/>
        <v>65839</v>
      </c>
      <c r="G307" s="446">
        <f t="shared" si="35"/>
        <v>0</v>
      </c>
      <c r="H307" s="472">
        <f>단가산출근거목록표!F50</f>
        <v>53539</v>
      </c>
      <c r="I307" s="465">
        <f t="shared" si="36"/>
        <v>0</v>
      </c>
      <c r="J307" s="473">
        <f>단가산출근거목록표!G50</f>
        <v>12300</v>
      </c>
      <c r="K307" s="465">
        <f t="shared" si="37"/>
        <v>0</v>
      </c>
      <c r="L307" s="474">
        <f>단가산출근거목록표!H50</f>
        <v>0</v>
      </c>
      <c r="M307" s="467">
        <f t="shared" si="38"/>
        <v>0</v>
      </c>
      <c r="N307" s="463" t="s">
        <v>5321</v>
      </c>
      <c r="O307" s="451" t="s">
        <v>5322</v>
      </c>
      <c r="P307" s="468" t="s">
        <v>5323</v>
      </c>
      <c r="Q307" s="468" t="s">
        <v>909</v>
      </c>
      <c r="AC307" s="433" t="str">
        <f ca="1">HYPERLINK("#"&amp;단가산출근거목록표!J2&amp;"!A"&amp;ROW(단가산출근거목록표!A50),"D01320 →")</f>
        <v>D01320 →</v>
      </c>
    </row>
    <row r="308" spans="1:29" ht="35.25" customHeight="1">
      <c r="A308" s="452"/>
      <c r="B308" s="452" t="s">
        <v>5320</v>
      </c>
      <c r="C308" s="449" t="s">
        <v>1808</v>
      </c>
      <c r="D308" s="470">
        <v>0</v>
      </c>
      <c r="E308" s="463" t="s">
        <v>1799</v>
      </c>
      <c r="F308" s="471">
        <f t="shared" si="35"/>
        <v>123079</v>
      </c>
      <c r="G308" s="446">
        <f t="shared" si="35"/>
        <v>0</v>
      </c>
      <c r="H308" s="472">
        <f>단가산출근거목록표!F51</f>
        <v>107079</v>
      </c>
      <c r="I308" s="465">
        <f t="shared" si="36"/>
        <v>0</v>
      </c>
      <c r="J308" s="473">
        <f>단가산출근거목록표!G51</f>
        <v>16000</v>
      </c>
      <c r="K308" s="465">
        <f t="shared" si="37"/>
        <v>0</v>
      </c>
      <c r="L308" s="474">
        <f>단가산출근거목록표!H51</f>
        <v>0</v>
      </c>
      <c r="M308" s="467">
        <f t="shared" si="38"/>
        <v>0</v>
      </c>
      <c r="N308" s="463" t="s">
        <v>5324</v>
      </c>
      <c r="O308" s="451" t="s">
        <v>5325</v>
      </c>
      <c r="P308" s="468" t="s">
        <v>5326</v>
      </c>
      <c r="Q308" s="468" t="s">
        <v>909</v>
      </c>
      <c r="AC308" s="433" t="str">
        <f ca="1">HYPERLINK("#"&amp;단가산출근거목록표!J2&amp;"!A"&amp;ROW(단가산출근거목록표!A51),"D01321 →")</f>
        <v>D01321 →</v>
      </c>
    </row>
    <row r="309" spans="1:29" ht="35.25" customHeight="1">
      <c r="A309" s="452"/>
      <c r="B309" s="452" t="s">
        <v>1803</v>
      </c>
      <c r="C309" s="449" t="s">
        <v>1804</v>
      </c>
      <c r="D309" s="470">
        <v>0</v>
      </c>
      <c r="E309" s="463" t="s">
        <v>1799</v>
      </c>
      <c r="F309" s="471">
        <f t="shared" si="35"/>
        <v>55131</v>
      </c>
      <c r="G309" s="446">
        <f t="shared" si="35"/>
        <v>0</v>
      </c>
      <c r="H309" s="472">
        <f>단가산출근거목록표!F40</f>
        <v>42831</v>
      </c>
      <c r="I309" s="465">
        <f t="shared" si="36"/>
        <v>0</v>
      </c>
      <c r="J309" s="473">
        <f>단가산출근거목록표!G40</f>
        <v>12300</v>
      </c>
      <c r="K309" s="465">
        <f t="shared" si="37"/>
        <v>0</v>
      </c>
      <c r="L309" s="474">
        <f>단가산출근거목록표!H40</f>
        <v>0</v>
      </c>
      <c r="M309" s="467">
        <f t="shared" si="38"/>
        <v>0</v>
      </c>
      <c r="N309" s="463" t="s">
        <v>1805</v>
      </c>
      <c r="O309" s="451" t="s">
        <v>1806</v>
      </c>
      <c r="P309" s="468" t="s">
        <v>1807</v>
      </c>
      <c r="Q309" s="468" t="s">
        <v>909</v>
      </c>
      <c r="AC309" s="433" t="str">
        <f ca="1">HYPERLINK("#"&amp;단가산출근거목록표!J2&amp;"!A"&amp;ROW(단가산출근거목록표!A40),"D01304 →")</f>
        <v>D01304 →</v>
      </c>
    </row>
    <row r="310" spans="1:29" ht="35.25" customHeight="1">
      <c r="A310" s="452"/>
      <c r="B310" s="452" t="s">
        <v>1803</v>
      </c>
      <c r="C310" s="449" t="s">
        <v>1808</v>
      </c>
      <c r="D310" s="470">
        <v>0</v>
      </c>
      <c r="E310" s="463" t="s">
        <v>1799</v>
      </c>
      <c r="F310" s="471">
        <f t="shared" si="35"/>
        <v>101663</v>
      </c>
      <c r="G310" s="446">
        <f t="shared" si="35"/>
        <v>0</v>
      </c>
      <c r="H310" s="472">
        <f>단가산출근거목록표!F41</f>
        <v>85663</v>
      </c>
      <c r="I310" s="465">
        <f t="shared" si="36"/>
        <v>0</v>
      </c>
      <c r="J310" s="473">
        <f>단가산출근거목록표!G41</f>
        <v>16000</v>
      </c>
      <c r="K310" s="465">
        <f t="shared" si="37"/>
        <v>0</v>
      </c>
      <c r="L310" s="474">
        <f>단가산출근거목록표!H41</f>
        <v>0</v>
      </c>
      <c r="M310" s="467">
        <f t="shared" si="38"/>
        <v>0</v>
      </c>
      <c r="N310" s="463" t="s">
        <v>1809</v>
      </c>
      <c r="O310" s="451" t="s">
        <v>1810</v>
      </c>
      <c r="P310" s="468" t="s">
        <v>1811</v>
      </c>
      <c r="Q310" s="468" t="s">
        <v>909</v>
      </c>
      <c r="AC310" s="433" t="str">
        <f ca="1">HYPERLINK("#"&amp;단가산출근거목록표!J2&amp;"!A"&amp;ROW(단가산출근거목록표!A41),"D01306 →")</f>
        <v>D01306 →</v>
      </c>
    </row>
    <row r="311" spans="1:29" ht="35.25" customHeight="1">
      <c r="A311" s="452"/>
      <c r="B311" s="452" t="s">
        <v>1812</v>
      </c>
      <c r="C311" s="449" t="s">
        <v>1804</v>
      </c>
      <c r="D311" s="470">
        <v>0</v>
      </c>
      <c r="E311" s="463" t="s">
        <v>1799</v>
      </c>
      <c r="F311" s="471">
        <f t="shared" si="35"/>
        <v>48369</v>
      </c>
      <c r="G311" s="446">
        <f t="shared" si="35"/>
        <v>0</v>
      </c>
      <c r="H311" s="472">
        <f>단가산출근거목록표!F34</f>
        <v>29996</v>
      </c>
      <c r="I311" s="465">
        <f t="shared" si="36"/>
        <v>0</v>
      </c>
      <c r="J311" s="473">
        <f>단가산출근거목록표!G34</f>
        <v>15260</v>
      </c>
      <c r="K311" s="465">
        <f t="shared" si="37"/>
        <v>0</v>
      </c>
      <c r="L311" s="474">
        <f>단가산출근거목록표!H34</f>
        <v>3113</v>
      </c>
      <c r="M311" s="467">
        <f t="shared" si="38"/>
        <v>0</v>
      </c>
      <c r="N311" s="463" t="s">
        <v>1813</v>
      </c>
      <c r="O311" s="451" t="s">
        <v>1814</v>
      </c>
      <c r="P311" s="468" t="s">
        <v>1815</v>
      </c>
      <c r="Q311" s="468" t="s">
        <v>909</v>
      </c>
      <c r="AC311" s="433" t="str">
        <f ca="1">HYPERLINK("#"&amp;단가산출근거목록표!J2&amp;"!A"&amp;ROW(단가산출근거목록표!A34),"D01305 →")</f>
        <v>D01305 →</v>
      </c>
    </row>
    <row r="312" spans="1:29" ht="35.25" customHeight="1">
      <c r="A312" s="452"/>
      <c r="B312" s="452" t="s">
        <v>1812</v>
      </c>
      <c r="C312" s="449" t="s">
        <v>1808</v>
      </c>
      <c r="D312" s="470">
        <v>0</v>
      </c>
      <c r="E312" s="463" t="s">
        <v>1799</v>
      </c>
      <c r="F312" s="471">
        <f t="shared" si="35"/>
        <v>89780</v>
      </c>
      <c r="G312" s="446">
        <f t="shared" si="35"/>
        <v>0</v>
      </c>
      <c r="H312" s="472">
        <f>단가산출근거목록표!F35</f>
        <v>61356</v>
      </c>
      <c r="I312" s="465">
        <f t="shared" si="36"/>
        <v>0</v>
      </c>
      <c r="J312" s="473">
        <f>단가산출근거목록표!G35</f>
        <v>22056</v>
      </c>
      <c r="K312" s="465">
        <f t="shared" si="37"/>
        <v>0</v>
      </c>
      <c r="L312" s="474">
        <f>단가산출근거목록표!H35</f>
        <v>6368</v>
      </c>
      <c r="M312" s="467">
        <f t="shared" si="38"/>
        <v>0</v>
      </c>
      <c r="N312" s="463" t="s">
        <v>1816</v>
      </c>
      <c r="O312" s="451" t="s">
        <v>1817</v>
      </c>
      <c r="P312" s="468" t="s">
        <v>1818</v>
      </c>
      <c r="Q312" s="468" t="s">
        <v>909</v>
      </c>
      <c r="AC312" s="433" t="str">
        <f ca="1">HYPERLINK("#"&amp;단가산출근거목록표!J2&amp;"!A"&amp;ROW(단가산출근거목록표!A35),"D01307 →")</f>
        <v>D01307 →</v>
      </c>
    </row>
    <row r="313" spans="1:29" ht="35.25" customHeight="1">
      <c r="A313" s="452"/>
      <c r="B313" s="452" t="s">
        <v>1812</v>
      </c>
      <c r="C313" s="449" t="s">
        <v>1819</v>
      </c>
      <c r="D313" s="470">
        <v>0</v>
      </c>
      <c r="E313" s="463" t="s">
        <v>1799</v>
      </c>
      <c r="F313" s="471">
        <f t="shared" si="35"/>
        <v>113980</v>
      </c>
      <c r="G313" s="446">
        <f t="shared" si="35"/>
        <v>0</v>
      </c>
      <c r="H313" s="472">
        <f>단가산출근거목록표!F36</f>
        <v>79402</v>
      </c>
      <c r="I313" s="465">
        <f t="shared" si="36"/>
        <v>0</v>
      </c>
      <c r="J313" s="473">
        <f>단가산출근거목록표!G36</f>
        <v>26337</v>
      </c>
      <c r="K313" s="465">
        <f t="shared" si="37"/>
        <v>0</v>
      </c>
      <c r="L313" s="474">
        <f>단가산출근거목록표!H36</f>
        <v>8241</v>
      </c>
      <c r="M313" s="467">
        <f t="shared" si="38"/>
        <v>0</v>
      </c>
      <c r="N313" s="463" t="s">
        <v>1820</v>
      </c>
      <c r="O313" s="451" t="s">
        <v>1821</v>
      </c>
      <c r="P313" s="468" t="s">
        <v>1822</v>
      </c>
      <c r="Q313" s="468" t="s">
        <v>909</v>
      </c>
      <c r="AC313" s="433" t="str">
        <f ca="1">HYPERLINK("#"&amp;단가산출근거목록표!J2&amp;"!A"&amp;ROW(단가산출근거목록표!A36),"D01308 →")</f>
        <v>D01308 →</v>
      </c>
    </row>
    <row r="314" spans="1:29" ht="35.25" customHeight="1">
      <c r="A314" s="452"/>
      <c r="B314" s="452" t="s">
        <v>1812</v>
      </c>
      <c r="C314" s="449" t="s">
        <v>1823</v>
      </c>
      <c r="D314" s="470">
        <v>0</v>
      </c>
      <c r="E314" s="463" t="s">
        <v>1799</v>
      </c>
      <c r="F314" s="471">
        <f t="shared" si="35"/>
        <v>156165</v>
      </c>
      <c r="G314" s="446">
        <f t="shared" si="35"/>
        <v>0</v>
      </c>
      <c r="H314" s="472">
        <f>단가산출근거목록표!F29</f>
        <v>112486</v>
      </c>
      <c r="I314" s="465">
        <f t="shared" si="36"/>
        <v>0</v>
      </c>
      <c r="J314" s="473">
        <f>단가산출근거목록표!G29</f>
        <v>32003</v>
      </c>
      <c r="K314" s="465">
        <f t="shared" si="37"/>
        <v>0</v>
      </c>
      <c r="L314" s="474">
        <f>단가산출근거목록표!H29</f>
        <v>11676</v>
      </c>
      <c r="M314" s="467">
        <f t="shared" si="38"/>
        <v>0</v>
      </c>
      <c r="N314" s="463" t="s">
        <v>1824</v>
      </c>
      <c r="O314" s="451" t="s">
        <v>1825</v>
      </c>
      <c r="P314" s="468" t="s">
        <v>1826</v>
      </c>
      <c r="Q314" s="468" t="s">
        <v>909</v>
      </c>
      <c r="AC314" s="433" t="str">
        <f ca="1">HYPERLINK("#"&amp;단가산출근거목록표!J2&amp;"!A"&amp;ROW(단가산출근거목록표!A29),"D01309 →")</f>
        <v>D01309 →</v>
      </c>
    </row>
    <row r="315" spans="1:29" ht="35.25" customHeight="1">
      <c r="A315" s="452"/>
      <c r="B315" s="452" t="s">
        <v>1812</v>
      </c>
      <c r="C315" s="449" t="s">
        <v>1827</v>
      </c>
      <c r="D315" s="470">
        <v>0</v>
      </c>
      <c r="E315" s="463" t="s">
        <v>1799</v>
      </c>
      <c r="F315" s="471">
        <f t="shared" si="35"/>
        <v>295003</v>
      </c>
      <c r="G315" s="446">
        <f t="shared" si="35"/>
        <v>0</v>
      </c>
      <c r="H315" s="472">
        <f>단가산출근거목록표!F30</f>
        <v>194229</v>
      </c>
      <c r="I315" s="465">
        <f t="shared" si="36"/>
        <v>0</v>
      </c>
      <c r="J315" s="473">
        <f>단가산출근거목록표!G30</f>
        <v>58803</v>
      </c>
      <c r="K315" s="465">
        <f t="shared" si="37"/>
        <v>0</v>
      </c>
      <c r="L315" s="474">
        <f>단가산출근거목록표!H30</f>
        <v>41971</v>
      </c>
      <c r="M315" s="467">
        <f t="shared" si="38"/>
        <v>0</v>
      </c>
      <c r="N315" s="463" t="s">
        <v>1828</v>
      </c>
      <c r="O315" s="451" t="s">
        <v>1829</v>
      </c>
      <c r="P315" s="468" t="s">
        <v>1830</v>
      </c>
      <c r="Q315" s="468" t="s">
        <v>909</v>
      </c>
      <c r="AC315" s="433" t="str">
        <f ca="1">HYPERLINK("#"&amp;단가산출근거목록표!J2&amp;"!A"&amp;ROW(단가산출근거목록표!A30),"D01310 →")</f>
        <v>D01310 →</v>
      </c>
    </row>
    <row r="316" spans="1:29" ht="35.25" customHeight="1">
      <c r="A316" s="452"/>
      <c r="B316" s="452" t="s">
        <v>1812</v>
      </c>
      <c r="C316" s="449" t="s">
        <v>1831</v>
      </c>
      <c r="D316" s="470">
        <v>0</v>
      </c>
      <c r="E316" s="463" t="s">
        <v>1799</v>
      </c>
      <c r="F316" s="471">
        <f t="shared" si="35"/>
        <v>404707</v>
      </c>
      <c r="G316" s="446">
        <f t="shared" si="35"/>
        <v>0</v>
      </c>
      <c r="H316" s="472">
        <f>단가산출근거목록표!F31</f>
        <v>249723</v>
      </c>
      <c r="I316" s="465">
        <f t="shared" si="36"/>
        <v>0</v>
      </c>
      <c r="J316" s="473">
        <f>단가산출근거목록표!G31</f>
        <v>92413</v>
      </c>
      <c r="K316" s="465">
        <f t="shared" si="37"/>
        <v>0</v>
      </c>
      <c r="L316" s="474">
        <f>단가산출근거목록표!H31</f>
        <v>62571</v>
      </c>
      <c r="M316" s="467">
        <f t="shared" si="38"/>
        <v>0</v>
      </c>
      <c r="N316" s="463" t="s">
        <v>1832</v>
      </c>
      <c r="O316" s="451" t="s">
        <v>1833</v>
      </c>
      <c r="P316" s="468" t="s">
        <v>1834</v>
      </c>
      <c r="Q316" s="468" t="s">
        <v>909</v>
      </c>
      <c r="AC316" s="433" t="str">
        <f ca="1">HYPERLINK("#"&amp;단가산출근거목록표!J2&amp;"!A"&amp;ROW(단가산출근거목록표!A31),"D01311 →")</f>
        <v>D01311 →</v>
      </c>
    </row>
    <row r="317" spans="1:29" ht="35.25" customHeight="1">
      <c r="A317" s="452"/>
      <c r="B317" s="452" t="s">
        <v>1812</v>
      </c>
      <c r="C317" s="449" t="s">
        <v>1835</v>
      </c>
      <c r="D317" s="470">
        <v>0</v>
      </c>
      <c r="E317" s="463" t="s">
        <v>1799</v>
      </c>
      <c r="F317" s="471">
        <f t="shared" si="35"/>
        <v>600641</v>
      </c>
      <c r="G317" s="446">
        <f t="shared" si="35"/>
        <v>0</v>
      </c>
      <c r="H317" s="472">
        <f>단가산출근거목록표!F32</f>
        <v>364400</v>
      </c>
      <c r="I317" s="465">
        <f t="shared" si="36"/>
        <v>0</v>
      </c>
      <c r="J317" s="473">
        <f>단가산출근거목록표!G32</f>
        <v>103163</v>
      </c>
      <c r="K317" s="465">
        <f t="shared" si="37"/>
        <v>0</v>
      </c>
      <c r="L317" s="474">
        <f>단가산출근거목록표!H32</f>
        <v>133078</v>
      </c>
      <c r="M317" s="467">
        <f t="shared" si="38"/>
        <v>0</v>
      </c>
      <c r="N317" s="463" t="s">
        <v>1836</v>
      </c>
      <c r="O317" s="451" t="s">
        <v>1837</v>
      </c>
      <c r="P317" s="468" t="s">
        <v>1838</v>
      </c>
      <c r="Q317" s="468" t="s">
        <v>909</v>
      </c>
      <c r="AC317" s="433" t="str">
        <f ca="1">HYPERLINK("#"&amp;단가산출근거목록표!J2&amp;"!A"&amp;ROW(단가산출근거목록표!A32),"D01312 →")</f>
        <v>D01312 →</v>
      </c>
    </row>
    <row r="318" spans="1:29" ht="35.25" customHeight="1">
      <c r="A318" s="452"/>
      <c r="B318" s="452" t="s">
        <v>1812</v>
      </c>
      <c r="C318" s="449" t="s">
        <v>1839</v>
      </c>
      <c r="D318" s="470">
        <v>0</v>
      </c>
      <c r="E318" s="463" t="s">
        <v>1799</v>
      </c>
      <c r="F318" s="471">
        <f t="shared" si="35"/>
        <v>741552</v>
      </c>
      <c r="G318" s="446">
        <f t="shared" si="35"/>
        <v>0</v>
      </c>
      <c r="H318" s="472">
        <f>단가산출근거목록표!F33</f>
        <v>455500</v>
      </c>
      <c r="I318" s="465">
        <f t="shared" si="36"/>
        <v>0</v>
      </c>
      <c r="J318" s="473">
        <f>단가산출근거목록표!G33</f>
        <v>119704</v>
      </c>
      <c r="K318" s="465">
        <f t="shared" si="37"/>
        <v>0</v>
      </c>
      <c r="L318" s="474">
        <f>단가산출근거목록표!H33</f>
        <v>166348</v>
      </c>
      <c r="M318" s="467">
        <f t="shared" si="38"/>
        <v>0</v>
      </c>
      <c r="N318" s="463" t="s">
        <v>1840</v>
      </c>
      <c r="O318" s="451" t="s">
        <v>1841</v>
      </c>
      <c r="P318" s="468" t="s">
        <v>1842</v>
      </c>
      <c r="Q318" s="468" t="s">
        <v>909</v>
      </c>
      <c r="AC318" s="433" t="str">
        <f ca="1">HYPERLINK("#"&amp;단가산출근거목록표!J2&amp;"!A"&amp;ROW(단가산출근거목록표!A33),"D01313 →")</f>
        <v>D01313 →</v>
      </c>
    </row>
    <row r="319" spans="1:29" ht="35.25" customHeight="1">
      <c r="A319" s="452"/>
      <c r="B319" s="452" t="s">
        <v>5313</v>
      </c>
      <c r="C319" s="449" t="s">
        <v>1843</v>
      </c>
      <c r="D319" s="470">
        <v>0</v>
      </c>
      <c r="E319" s="463" t="s">
        <v>1799</v>
      </c>
      <c r="F319" s="471">
        <f t="shared" si="35"/>
        <v>46742</v>
      </c>
      <c r="G319" s="446">
        <f t="shared" si="35"/>
        <v>0</v>
      </c>
      <c r="H319" s="472">
        <f>단가산출근거목록표!F47</f>
        <v>36942</v>
      </c>
      <c r="I319" s="465">
        <f t="shared" si="36"/>
        <v>0</v>
      </c>
      <c r="J319" s="473">
        <f>단가산출근거목록표!G47</f>
        <v>9800</v>
      </c>
      <c r="K319" s="465">
        <f t="shared" si="37"/>
        <v>0</v>
      </c>
      <c r="L319" s="474">
        <f>단가산출근거목록표!H47</f>
        <v>0</v>
      </c>
      <c r="M319" s="467">
        <f t="shared" si="38"/>
        <v>0</v>
      </c>
      <c r="N319" s="463" t="s">
        <v>5327</v>
      </c>
      <c r="O319" s="451" t="s">
        <v>5328</v>
      </c>
      <c r="P319" s="468" t="s">
        <v>5329</v>
      </c>
      <c r="Q319" s="468" t="s">
        <v>909</v>
      </c>
      <c r="AC319" s="433" t="str">
        <f ca="1">HYPERLINK("#"&amp;단가산출근거목록표!J2&amp;"!A"&amp;ROW(단가산출근거목록표!A47),"D01348 →")</f>
        <v>D01348 →</v>
      </c>
    </row>
    <row r="320" spans="1:29" ht="35.25" customHeight="1">
      <c r="A320" s="452"/>
      <c r="B320" s="452" t="s">
        <v>5313</v>
      </c>
      <c r="C320" s="449" t="s">
        <v>1847</v>
      </c>
      <c r="D320" s="470">
        <v>0</v>
      </c>
      <c r="E320" s="463" t="s">
        <v>1799</v>
      </c>
      <c r="F320" s="471">
        <f t="shared" si="35"/>
        <v>86184</v>
      </c>
      <c r="G320" s="446">
        <f t="shared" si="35"/>
        <v>0</v>
      </c>
      <c r="H320" s="472">
        <f>단가산출근거목록표!F48</f>
        <v>73884</v>
      </c>
      <c r="I320" s="465">
        <f t="shared" si="36"/>
        <v>0</v>
      </c>
      <c r="J320" s="473">
        <f>단가산출근거목록표!G48</f>
        <v>12300</v>
      </c>
      <c r="K320" s="465">
        <f t="shared" si="37"/>
        <v>0</v>
      </c>
      <c r="L320" s="474">
        <f>단가산출근거목록표!H48</f>
        <v>0</v>
      </c>
      <c r="M320" s="467">
        <f t="shared" si="38"/>
        <v>0</v>
      </c>
      <c r="N320" s="463" t="s">
        <v>5330</v>
      </c>
      <c r="O320" s="451" t="s">
        <v>5331</v>
      </c>
      <c r="P320" s="468" t="s">
        <v>5332</v>
      </c>
      <c r="Q320" s="468" t="s">
        <v>909</v>
      </c>
      <c r="AC320" s="433" t="str">
        <f ca="1">HYPERLINK("#"&amp;단가산출근거목록표!J2&amp;"!A"&amp;ROW(단가산출근거목록표!A48),"D01349 →")</f>
        <v>D01349 →</v>
      </c>
    </row>
    <row r="321" spans="1:29" ht="35.25" customHeight="1">
      <c r="A321" s="452"/>
      <c r="B321" s="452" t="s">
        <v>5313</v>
      </c>
      <c r="C321" s="449" t="s">
        <v>1851</v>
      </c>
      <c r="D321" s="470">
        <v>0</v>
      </c>
      <c r="E321" s="463" t="s">
        <v>1799</v>
      </c>
      <c r="F321" s="471">
        <f t="shared" si="35"/>
        <v>151541</v>
      </c>
      <c r="G321" s="446">
        <f t="shared" si="35"/>
        <v>0</v>
      </c>
      <c r="H321" s="472">
        <f>단가산출근거목록표!F49</f>
        <v>123141</v>
      </c>
      <c r="I321" s="465">
        <f t="shared" si="36"/>
        <v>0</v>
      </c>
      <c r="J321" s="473">
        <f>단가산출근거목록표!G49</f>
        <v>28400</v>
      </c>
      <c r="K321" s="465">
        <f t="shared" si="37"/>
        <v>0</v>
      </c>
      <c r="L321" s="474">
        <f>단가산출근거목록표!H49</f>
        <v>0</v>
      </c>
      <c r="M321" s="467">
        <f t="shared" si="38"/>
        <v>0</v>
      </c>
      <c r="N321" s="463" t="s">
        <v>5333</v>
      </c>
      <c r="O321" s="451" t="s">
        <v>5334</v>
      </c>
      <c r="P321" s="468" t="s">
        <v>5335</v>
      </c>
      <c r="Q321" s="468" t="s">
        <v>909</v>
      </c>
      <c r="AC321" s="433" t="str">
        <f ca="1">HYPERLINK("#"&amp;단가산출근거목록표!J2&amp;"!A"&amp;ROW(단가산출근거목록표!A49),"D01350 →")</f>
        <v>D01350 →</v>
      </c>
    </row>
    <row r="322" spans="1:29" ht="35.25" customHeight="1">
      <c r="A322" s="452"/>
      <c r="B322" s="452" t="s">
        <v>5320</v>
      </c>
      <c r="C322" s="449" t="s">
        <v>1843</v>
      </c>
      <c r="D322" s="470">
        <v>0</v>
      </c>
      <c r="E322" s="463" t="s">
        <v>1799</v>
      </c>
      <c r="F322" s="471">
        <f t="shared" si="35"/>
        <v>49954</v>
      </c>
      <c r="G322" s="446">
        <f t="shared" si="35"/>
        <v>0</v>
      </c>
      <c r="H322" s="472">
        <f>단가산출근거목록표!F52</f>
        <v>40154</v>
      </c>
      <c r="I322" s="465">
        <f t="shared" si="36"/>
        <v>0</v>
      </c>
      <c r="J322" s="473">
        <f>단가산출근거목록표!G52</f>
        <v>9800</v>
      </c>
      <c r="K322" s="465">
        <f t="shared" si="37"/>
        <v>0</v>
      </c>
      <c r="L322" s="474">
        <f>단가산출근거목록표!H52</f>
        <v>0</v>
      </c>
      <c r="M322" s="467">
        <f t="shared" si="38"/>
        <v>0</v>
      </c>
      <c r="N322" s="463" t="s">
        <v>5336</v>
      </c>
      <c r="O322" s="451" t="s">
        <v>5337</v>
      </c>
      <c r="P322" s="468" t="s">
        <v>5338</v>
      </c>
      <c r="Q322" s="468" t="s">
        <v>909</v>
      </c>
      <c r="AC322" s="433" t="str">
        <f ca="1">HYPERLINK("#"&amp;단가산출근거목록표!J2&amp;"!A"&amp;ROW(단가산출근거목록표!A52),"D01322 →")</f>
        <v>D01322 →</v>
      </c>
    </row>
    <row r="323" spans="1:29" ht="35.25" customHeight="1">
      <c r="A323" s="452"/>
      <c r="B323" s="452" t="s">
        <v>5320</v>
      </c>
      <c r="C323" s="449" t="s">
        <v>1847</v>
      </c>
      <c r="D323" s="470">
        <v>0</v>
      </c>
      <c r="E323" s="463" t="s">
        <v>1799</v>
      </c>
      <c r="F323" s="471">
        <f t="shared" si="35"/>
        <v>92609</v>
      </c>
      <c r="G323" s="446">
        <f t="shared" si="35"/>
        <v>0</v>
      </c>
      <c r="H323" s="472">
        <f>단가산출근거목록표!F53</f>
        <v>80309</v>
      </c>
      <c r="I323" s="465">
        <f t="shared" si="36"/>
        <v>0</v>
      </c>
      <c r="J323" s="473">
        <f>단가산출근거목록표!G53</f>
        <v>12300</v>
      </c>
      <c r="K323" s="465">
        <f t="shared" si="37"/>
        <v>0</v>
      </c>
      <c r="L323" s="474">
        <f>단가산출근거목록표!H53</f>
        <v>0</v>
      </c>
      <c r="M323" s="467">
        <f t="shared" si="38"/>
        <v>0</v>
      </c>
      <c r="N323" s="463" t="s">
        <v>5339</v>
      </c>
      <c r="O323" s="451" t="s">
        <v>5340</v>
      </c>
      <c r="P323" s="468" t="s">
        <v>5341</v>
      </c>
      <c r="Q323" s="468" t="s">
        <v>909</v>
      </c>
      <c r="AC323" s="433" t="str">
        <f ca="1">HYPERLINK("#"&amp;단가산출근거목록표!J2&amp;"!A"&amp;ROW(단가산출근거목록표!A53),"D01323 →")</f>
        <v>D01323 →</v>
      </c>
    </row>
    <row r="324" spans="1:29" ht="35.25" customHeight="1">
      <c r="A324" s="452"/>
      <c r="B324" s="452" t="s">
        <v>5320</v>
      </c>
      <c r="C324" s="449" t="s">
        <v>1851</v>
      </c>
      <c r="D324" s="470">
        <v>0</v>
      </c>
      <c r="E324" s="463" t="s">
        <v>1799</v>
      </c>
      <c r="F324" s="471">
        <f t="shared" si="35"/>
        <v>162249</v>
      </c>
      <c r="G324" s="446">
        <f t="shared" si="35"/>
        <v>0</v>
      </c>
      <c r="H324" s="472">
        <f>단가산출근거목록표!F54</f>
        <v>133849</v>
      </c>
      <c r="I324" s="465">
        <f t="shared" si="36"/>
        <v>0</v>
      </c>
      <c r="J324" s="473">
        <f>단가산출근거목록표!G54</f>
        <v>28400</v>
      </c>
      <c r="K324" s="465">
        <f t="shared" si="37"/>
        <v>0</v>
      </c>
      <c r="L324" s="474">
        <f>단가산출근거목록표!H54</f>
        <v>0</v>
      </c>
      <c r="M324" s="467">
        <f t="shared" si="38"/>
        <v>0</v>
      </c>
      <c r="N324" s="463" t="s">
        <v>5342</v>
      </c>
      <c r="O324" s="451" t="s">
        <v>5343</v>
      </c>
      <c r="P324" s="468" t="s">
        <v>5344</v>
      </c>
      <c r="Q324" s="468" t="s">
        <v>909</v>
      </c>
      <c r="AC324" s="433" t="str">
        <f ca="1">HYPERLINK("#"&amp;단가산출근거목록표!J2&amp;"!A"&amp;ROW(단가산출근거목록표!A54),"D01324 →")</f>
        <v>D01324 →</v>
      </c>
    </row>
    <row r="325" spans="1:29" ht="35.25" customHeight="1">
      <c r="A325" s="452"/>
      <c r="B325" s="452" t="s">
        <v>1803</v>
      </c>
      <c r="C325" s="449" t="s">
        <v>1843</v>
      </c>
      <c r="D325" s="470">
        <v>0</v>
      </c>
      <c r="E325" s="463" t="s">
        <v>1799</v>
      </c>
      <c r="F325" s="471">
        <f t="shared" si="35"/>
        <v>41923</v>
      </c>
      <c r="G325" s="446">
        <f t="shared" si="35"/>
        <v>0</v>
      </c>
      <c r="H325" s="472">
        <f>단가산출근거목록표!F42</f>
        <v>32123</v>
      </c>
      <c r="I325" s="465">
        <f t="shared" si="36"/>
        <v>0</v>
      </c>
      <c r="J325" s="473">
        <f>단가산출근거목록표!G42</f>
        <v>9800</v>
      </c>
      <c r="K325" s="465">
        <f t="shared" si="37"/>
        <v>0</v>
      </c>
      <c r="L325" s="474">
        <f>단가산출근거목록표!H42</f>
        <v>0</v>
      </c>
      <c r="M325" s="467">
        <f t="shared" si="38"/>
        <v>0</v>
      </c>
      <c r="N325" s="463" t="s">
        <v>1844</v>
      </c>
      <c r="O325" s="451" t="s">
        <v>1845</v>
      </c>
      <c r="P325" s="468" t="s">
        <v>1846</v>
      </c>
      <c r="Q325" s="468" t="s">
        <v>909</v>
      </c>
      <c r="AC325" s="433" t="str">
        <f ca="1">HYPERLINK("#"&amp;단가산출근거목록표!J2&amp;"!A"&amp;ROW(단가산출근거목록표!A42),"D01314 →")</f>
        <v>D01314 →</v>
      </c>
    </row>
    <row r="326" spans="1:29" ht="35.25" customHeight="1">
      <c r="A326" s="452"/>
      <c r="B326" s="452" t="s">
        <v>1803</v>
      </c>
      <c r="C326" s="449" t="s">
        <v>1847</v>
      </c>
      <c r="D326" s="470">
        <v>0</v>
      </c>
      <c r="E326" s="463" t="s">
        <v>1799</v>
      </c>
      <c r="F326" s="471">
        <f t="shared" si="35"/>
        <v>76547</v>
      </c>
      <c r="G326" s="446">
        <f t="shared" si="35"/>
        <v>0</v>
      </c>
      <c r="H326" s="472">
        <f>단가산출근거목록표!F43</f>
        <v>64247</v>
      </c>
      <c r="I326" s="465">
        <f t="shared" si="36"/>
        <v>0</v>
      </c>
      <c r="J326" s="473">
        <f>단가산출근거목록표!G43</f>
        <v>12300</v>
      </c>
      <c r="K326" s="465">
        <f t="shared" si="37"/>
        <v>0</v>
      </c>
      <c r="L326" s="474">
        <f>단가산출근거목록표!H43</f>
        <v>0</v>
      </c>
      <c r="M326" s="467">
        <f t="shared" si="38"/>
        <v>0</v>
      </c>
      <c r="N326" s="463" t="s">
        <v>1848</v>
      </c>
      <c r="O326" s="451" t="s">
        <v>1849</v>
      </c>
      <c r="P326" s="468" t="s">
        <v>1850</v>
      </c>
      <c r="Q326" s="468" t="s">
        <v>909</v>
      </c>
      <c r="AC326" s="433" t="str">
        <f ca="1">HYPERLINK("#"&amp;단가산출근거목록표!J2&amp;"!A"&amp;ROW(단가산출근거목록표!A43),"D01316 →")</f>
        <v>D01316 →</v>
      </c>
    </row>
    <row r="327" spans="1:29" ht="35.25" customHeight="1">
      <c r="A327" s="452"/>
      <c r="B327" s="452" t="s">
        <v>1803</v>
      </c>
      <c r="C327" s="449" t="s">
        <v>1851</v>
      </c>
      <c r="D327" s="470">
        <v>0</v>
      </c>
      <c r="E327" s="463" t="s">
        <v>1799</v>
      </c>
      <c r="F327" s="471">
        <f t="shared" si="35"/>
        <v>135479</v>
      </c>
      <c r="G327" s="446">
        <f t="shared" si="35"/>
        <v>0</v>
      </c>
      <c r="H327" s="472">
        <f>단가산출근거목록표!F44</f>
        <v>107079</v>
      </c>
      <c r="I327" s="465">
        <f t="shared" si="36"/>
        <v>0</v>
      </c>
      <c r="J327" s="473">
        <f>단가산출근거목록표!G44</f>
        <v>28400</v>
      </c>
      <c r="K327" s="465">
        <f t="shared" si="37"/>
        <v>0</v>
      </c>
      <c r="L327" s="474">
        <f>단가산출근거목록표!H44</f>
        <v>0</v>
      </c>
      <c r="M327" s="467">
        <f t="shared" si="38"/>
        <v>0</v>
      </c>
      <c r="N327" s="463" t="s">
        <v>1852</v>
      </c>
      <c r="O327" s="451" t="s">
        <v>1853</v>
      </c>
      <c r="P327" s="468" t="s">
        <v>1854</v>
      </c>
      <c r="Q327" s="468" t="s">
        <v>909</v>
      </c>
      <c r="AC327" s="433" t="str">
        <f ca="1">HYPERLINK("#"&amp;단가산출근거목록표!J2&amp;"!A"&amp;ROW(단가산출근거목록표!A44),"D01318 →")</f>
        <v>D01318 →</v>
      </c>
    </row>
    <row r="328" spans="1:29" ht="35.25" customHeight="1">
      <c r="A328" s="452"/>
      <c r="B328" s="452" t="s">
        <v>1812</v>
      </c>
      <c r="C328" s="449" t="s">
        <v>1843</v>
      </c>
      <c r="D328" s="470">
        <v>0</v>
      </c>
      <c r="E328" s="463" t="s">
        <v>1799</v>
      </c>
      <c r="F328" s="471">
        <f t="shared" si="35"/>
        <v>41811</v>
      </c>
      <c r="G328" s="446">
        <f t="shared" si="35"/>
        <v>0</v>
      </c>
      <c r="H328" s="472">
        <f>단가산출근거목록표!F37</f>
        <v>24542</v>
      </c>
      <c r="I328" s="465">
        <f t="shared" si="36"/>
        <v>0</v>
      </c>
      <c r="J328" s="473">
        <f>단가산출근거목록표!G37</f>
        <v>14722</v>
      </c>
      <c r="K328" s="465">
        <f t="shared" si="37"/>
        <v>0</v>
      </c>
      <c r="L328" s="474">
        <f>단가산출근거목록표!H37</f>
        <v>2547</v>
      </c>
      <c r="M328" s="467">
        <f t="shared" si="38"/>
        <v>0</v>
      </c>
      <c r="N328" s="463" t="s">
        <v>1855</v>
      </c>
      <c r="O328" s="451" t="s">
        <v>1856</v>
      </c>
      <c r="P328" s="468" t="s">
        <v>1857</v>
      </c>
      <c r="Q328" s="468" t="s">
        <v>909</v>
      </c>
      <c r="AC328" s="433" t="str">
        <f ca="1">HYPERLINK("#"&amp;단가산출근거목록표!J2&amp;"!A"&amp;ROW(단가산출근거목록표!A37),"D01315 →")</f>
        <v>D01315 →</v>
      </c>
    </row>
    <row r="329" spans="1:29" ht="35.25" customHeight="1">
      <c r="A329" s="452"/>
      <c r="B329" s="452" t="s">
        <v>1812</v>
      </c>
      <c r="C329" s="449" t="s">
        <v>1847</v>
      </c>
      <c r="D329" s="470">
        <v>0</v>
      </c>
      <c r="E329" s="463" t="s">
        <v>1799</v>
      </c>
      <c r="F329" s="471">
        <f t="shared" si="35"/>
        <v>66405</v>
      </c>
      <c r="G329" s="446">
        <f t="shared" si="35"/>
        <v>0</v>
      </c>
      <c r="H329" s="472">
        <f>단가산출근거목록표!F38</f>
        <v>44994</v>
      </c>
      <c r="I329" s="465">
        <f t="shared" si="36"/>
        <v>0</v>
      </c>
      <c r="J329" s="473">
        <f>단가산출근거목록표!G38</f>
        <v>16741</v>
      </c>
      <c r="K329" s="465">
        <f t="shared" si="37"/>
        <v>0</v>
      </c>
      <c r="L329" s="474">
        <f>단가산출근거목록표!H38</f>
        <v>4670</v>
      </c>
      <c r="M329" s="467">
        <f t="shared" si="38"/>
        <v>0</v>
      </c>
      <c r="N329" s="463" t="s">
        <v>1858</v>
      </c>
      <c r="O329" s="451" t="s">
        <v>1859</v>
      </c>
      <c r="P329" s="468" t="s">
        <v>1860</v>
      </c>
      <c r="Q329" s="468" t="s">
        <v>909</v>
      </c>
      <c r="AC329" s="433" t="str">
        <f ca="1">HYPERLINK("#"&amp;단가산출근거목록표!J2&amp;"!A"&amp;ROW(단가산출근거목록표!A38),"D01317 →")</f>
        <v>D01317 →</v>
      </c>
    </row>
    <row r="330" spans="1:29" ht="35.25" customHeight="1">
      <c r="A330" s="452"/>
      <c r="B330" s="452" t="s">
        <v>1812</v>
      </c>
      <c r="C330" s="449" t="s">
        <v>1851</v>
      </c>
      <c r="D330" s="470">
        <v>0</v>
      </c>
      <c r="E330" s="463" t="s">
        <v>1799</v>
      </c>
      <c r="F330" s="471">
        <f t="shared" si="35"/>
        <v>109559</v>
      </c>
      <c r="G330" s="446">
        <f t="shared" si="35"/>
        <v>0</v>
      </c>
      <c r="H330" s="472">
        <f>단가산출근거목록표!F39</f>
        <v>67492</v>
      </c>
      <c r="I330" s="465">
        <f t="shared" si="36"/>
        <v>0</v>
      </c>
      <c r="J330" s="473">
        <f>단가산출근거목록표!G39</f>
        <v>35062</v>
      </c>
      <c r="K330" s="465">
        <f t="shared" si="37"/>
        <v>0</v>
      </c>
      <c r="L330" s="474">
        <f>단가산출근거목록표!H39</f>
        <v>7005</v>
      </c>
      <c r="M330" s="467">
        <f t="shared" si="38"/>
        <v>0</v>
      </c>
      <c r="N330" s="463" t="s">
        <v>1861</v>
      </c>
      <c r="O330" s="451" t="s">
        <v>1862</v>
      </c>
      <c r="P330" s="468" t="s">
        <v>1863</v>
      </c>
      <c r="Q330" s="468" t="s">
        <v>909</v>
      </c>
      <c r="AC330" s="433" t="str">
        <f ca="1">HYPERLINK("#"&amp;단가산출근거목록표!J2&amp;"!A"&amp;ROW(단가산출근거목록표!A39),"D01319 →")</f>
        <v>D01319 →</v>
      </c>
    </row>
    <row r="331" spans="1:29" ht="35.25" customHeight="1">
      <c r="A331" s="452"/>
      <c r="B331" s="452" t="s">
        <v>5345</v>
      </c>
      <c r="C331" s="449" t="s">
        <v>1870</v>
      </c>
      <c r="D331" s="470">
        <v>0</v>
      </c>
      <c r="E331" s="463" t="s">
        <v>1799</v>
      </c>
      <c r="F331" s="471">
        <f t="shared" si="35"/>
        <v>5514</v>
      </c>
      <c r="G331" s="446">
        <f t="shared" si="35"/>
        <v>0</v>
      </c>
      <c r="H331" s="472">
        <f>일위대가목록표!F219</f>
        <v>3364</v>
      </c>
      <c r="I331" s="465">
        <f t="shared" si="36"/>
        <v>0</v>
      </c>
      <c r="J331" s="473">
        <f>일위대가목록표!G219</f>
        <v>2150</v>
      </c>
      <c r="K331" s="465">
        <f t="shared" si="37"/>
        <v>0</v>
      </c>
      <c r="L331" s="474">
        <f>일위대가목록표!H219</f>
        <v>0</v>
      </c>
      <c r="M331" s="467">
        <f t="shared" si="38"/>
        <v>0</v>
      </c>
      <c r="N331" s="463" t="s">
        <v>5346</v>
      </c>
      <c r="O331" s="451" t="s">
        <v>5347</v>
      </c>
      <c r="P331" s="468" t="s">
        <v>5348</v>
      </c>
      <c r="Q331" s="468" t="s">
        <v>909</v>
      </c>
      <c r="AC331" s="433" t="str">
        <f ca="1">HYPERLINK("#"&amp;일위대가목록표!J2&amp;"!A"&amp;ROW(일위대가목록표!A219),"B02890 →")</f>
        <v>B02890 →</v>
      </c>
    </row>
    <row r="332" spans="1:29" ht="35.25" customHeight="1">
      <c r="A332" s="452"/>
      <c r="B332" s="452" t="s">
        <v>5349</v>
      </c>
      <c r="C332" s="449" t="s">
        <v>1870</v>
      </c>
      <c r="D332" s="470">
        <v>0</v>
      </c>
      <c r="E332" s="463" t="s">
        <v>1799</v>
      </c>
      <c r="F332" s="471">
        <f t="shared" si="35"/>
        <v>5806</v>
      </c>
      <c r="G332" s="446">
        <f t="shared" si="35"/>
        <v>0</v>
      </c>
      <c r="H332" s="472">
        <f>일위대가목록표!F220</f>
        <v>3656</v>
      </c>
      <c r="I332" s="465">
        <f t="shared" si="36"/>
        <v>0</v>
      </c>
      <c r="J332" s="473">
        <f>일위대가목록표!G220</f>
        <v>2150</v>
      </c>
      <c r="K332" s="465">
        <f t="shared" si="37"/>
        <v>0</v>
      </c>
      <c r="L332" s="474">
        <f>일위대가목록표!H220</f>
        <v>0</v>
      </c>
      <c r="M332" s="467">
        <f t="shared" si="38"/>
        <v>0</v>
      </c>
      <c r="N332" s="463" t="s">
        <v>5350</v>
      </c>
      <c r="O332" s="451" t="s">
        <v>5351</v>
      </c>
      <c r="P332" s="468" t="s">
        <v>5352</v>
      </c>
      <c r="Q332" s="468" t="s">
        <v>909</v>
      </c>
      <c r="AC332" s="433" t="str">
        <f ca="1">HYPERLINK("#"&amp;일위대가목록표!J2&amp;"!A"&amp;ROW(일위대가목록표!A220),"B02891 →")</f>
        <v>B02891 →</v>
      </c>
    </row>
    <row r="333" spans="1:29" ht="35.25" customHeight="1">
      <c r="A333" s="452"/>
      <c r="B333" s="452" t="s">
        <v>1869</v>
      </c>
      <c r="C333" s="449" t="s">
        <v>1870</v>
      </c>
      <c r="D333" s="470">
        <v>0</v>
      </c>
      <c r="E333" s="463" t="s">
        <v>1799</v>
      </c>
      <c r="F333" s="471">
        <f t="shared" si="35"/>
        <v>5075</v>
      </c>
      <c r="G333" s="446">
        <f t="shared" si="35"/>
        <v>0</v>
      </c>
      <c r="H333" s="472">
        <f>일위대가목록표!F218</f>
        <v>2925</v>
      </c>
      <c r="I333" s="465">
        <f t="shared" si="36"/>
        <v>0</v>
      </c>
      <c r="J333" s="473">
        <f>일위대가목록표!G218</f>
        <v>2150</v>
      </c>
      <c r="K333" s="465">
        <f t="shared" si="37"/>
        <v>0</v>
      </c>
      <c r="L333" s="474">
        <f>일위대가목록표!H218</f>
        <v>0</v>
      </c>
      <c r="M333" s="467">
        <f t="shared" si="38"/>
        <v>0</v>
      </c>
      <c r="N333" s="463" t="s">
        <v>1871</v>
      </c>
      <c r="O333" s="451" t="s">
        <v>1872</v>
      </c>
      <c r="P333" s="468" t="s">
        <v>1873</v>
      </c>
      <c r="Q333" s="468" t="s">
        <v>909</v>
      </c>
      <c r="AC333" s="433" t="str">
        <f ca="1">HYPERLINK("#"&amp;일위대가목록표!J2&amp;"!A"&amp;ROW(일위대가목록표!A218),"B02800 →")</f>
        <v>B02800 →</v>
      </c>
    </row>
    <row r="334" spans="1:29" ht="35.25" customHeight="1">
      <c r="A334" s="452"/>
      <c r="B334" s="452" t="s">
        <v>5353</v>
      </c>
      <c r="C334" s="449" t="s">
        <v>1865</v>
      </c>
      <c r="D334" s="470">
        <v>0</v>
      </c>
      <c r="E334" s="463" t="s">
        <v>1799</v>
      </c>
      <c r="F334" s="471">
        <f t="shared" ref="F334:G365" si="39">J334+H334+L334</f>
        <v>6995</v>
      </c>
      <c r="G334" s="446">
        <f t="shared" si="39"/>
        <v>0</v>
      </c>
      <c r="H334" s="472">
        <f>단가산출근거목록표!F22</f>
        <v>6308</v>
      </c>
      <c r="I334" s="465">
        <f t="shared" si="36"/>
        <v>0</v>
      </c>
      <c r="J334" s="473">
        <f>단가산출근거목록표!G22</f>
        <v>687</v>
      </c>
      <c r="K334" s="465">
        <f t="shared" si="37"/>
        <v>0</v>
      </c>
      <c r="L334" s="474">
        <f>단가산출근거목록표!H22</f>
        <v>0</v>
      </c>
      <c r="M334" s="467">
        <f t="shared" si="38"/>
        <v>0</v>
      </c>
      <c r="N334" s="463" t="s">
        <v>5354</v>
      </c>
      <c r="O334" s="451" t="s">
        <v>5355</v>
      </c>
      <c r="P334" s="468" t="s">
        <v>5356</v>
      </c>
      <c r="Q334" s="468" t="s">
        <v>909</v>
      </c>
      <c r="AC334" s="433" t="str">
        <f ca="1">HYPERLINK("#"&amp;단가산출근거목록표!J2&amp;"!A"&amp;ROW(단가산출근거목록표!A22),"D01351 →")</f>
        <v>D01351 →</v>
      </c>
    </row>
    <row r="335" spans="1:29" ht="35.25" customHeight="1">
      <c r="A335" s="452"/>
      <c r="B335" s="452" t="s">
        <v>5353</v>
      </c>
      <c r="C335" s="449" t="s">
        <v>1874</v>
      </c>
      <c r="D335" s="470">
        <v>0</v>
      </c>
      <c r="E335" s="463" t="s">
        <v>1799</v>
      </c>
      <c r="F335" s="471">
        <f t="shared" si="39"/>
        <v>8674</v>
      </c>
      <c r="G335" s="446">
        <f t="shared" si="39"/>
        <v>0</v>
      </c>
      <c r="H335" s="472">
        <f>단가산출근거목록표!F21</f>
        <v>8074</v>
      </c>
      <c r="I335" s="465">
        <f t="shared" si="36"/>
        <v>0</v>
      </c>
      <c r="J335" s="473">
        <f>단가산출근거목록표!G21</f>
        <v>600</v>
      </c>
      <c r="K335" s="465">
        <f t="shared" si="37"/>
        <v>0</v>
      </c>
      <c r="L335" s="474">
        <f>단가산출근거목록표!H21</f>
        <v>0</v>
      </c>
      <c r="M335" s="467">
        <f t="shared" si="38"/>
        <v>0</v>
      </c>
      <c r="N335" s="463" t="s">
        <v>5357</v>
      </c>
      <c r="O335" s="451" t="s">
        <v>5358</v>
      </c>
      <c r="P335" s="468" t="s">
        <v>5359</v>
      </c>
      <c r="Q335" s="468" t="s">
        <v>909</v>
      </c>
      <c r="AC335" s="433" t="str">
        <f ca="1">HYPERLINK("#"&amp;단가산출근거목록표!J2&amp;"!A"&amp;ROW(단가산출근거목록표!A21),"D01352 →")</f>
        <v>D01352 →</v>
      </c>
    </row>
    <row r="336" spans="1:29" ht="35.25" customHeight="1">
      <c r="A336" s="452"/>
      <c r="B336" s="452" t="s">
        <v>5353</v>
      </c>
      <c r="C336" s="449" t="s">
        <v>1878</v>
      </c>
      <c r="D336" s="470">
        <v>0</v>
      </c>
      <c r="E336" s="463" t="s">
        <v>1799</v>
      </c>
      <c r="F336" s="471">
        <f t="shared" si="39"/>
        <v>14790</v>
      </c>
      <c r="G336" s="446">
        <f t="shared" si="39"/>
        <v>0</v>
      </c>
      <c r="H336" s="472">
        <f>단가산출근거목록표!F23</f>
        <v>13457</v>
      </c>
      <c r="I336" s="465">
        <f t="shared" si="36"/>
        <v>0</v>
      </c>
      <c r="J336" s="473">
        <f>단가산출근거목록표!G23</f>
        <v>1333</v>
      </c>
      <c r="K336" s="465">
        <f t="shared" si="37"/>
        <v>0</v>
      </c>
      <c r="L336" s="474">
        <f>단가산출근거목록표!H23</f>
        <v>0</v>
      </c>
      <c r="M336" s="467">
        <f t="shared" si="38"/>
        <v>0</v>
      </c>
      <c r="N336" s="463" t="s">
        <v>5360</v>
      </c>
      <c r="O336" s="451" t="s">
        <v>5361</v>
      </c>
      <c r="P336" s="468" t="s">
        <v>5362</v>
      </c>
      <c r="Q336" s="468" t="s">
        <v>909</v>
      </c>
      <c r="AC336" s="433" t="str">
        <f ca="1">HYPERLINK("#"&amp;단가산출근거목록표!J2&amp;"!A"&amp;ROW(단가산출근거목록표!A23),"D01353 →")</f>
        <v>D01353 →</v>
      </c>
    </row>
    <row r="337" spans="1:29" ht="35.25" customHeight="1">
      <c r="A337" s="452"/>
      <c r="B337" s="452" t="s">
        <v>5353</v>
      </c>
      <c r="C337" s="449" t="s">
        <v>1882</v>
      </c>
      <c r="D337" s="470">
        <v>0</v>
      </c>
      <c r="E337" s="463" t="s">
        <v>1799</v>
      </c>
      <c r="F337" s="471">
        <f t="shared" si="39"/>
        <v>20260</v>
      </c>
      <c r="G337" s="446">
        <f t="shared" si="39"/>
        <v>0</v>
      </c>
      <c r="H337" s="472">
        <f>단가산출근거목록표!F24</f>
        <v>18351</v>
      </c>
      <c r="I337" s="465">
        <f t="shared" si="36"/>
        <v>0</v>
      </c>
      <c r="J337" s="473">
        <f>단가산출근거목록표!G24</f>
        <v>1909</v>
      </c>
      <c r="K337" s="465">
        <f t="shared" si="37"/>
        <v>0</v>
      </c>
      <c r="L337" s="474">
        <f>단가산출근거목록표!H24</f>
        <v>0</v>
      </c>
      <c r="M337" s="467">
        <f t="shared" si="38"/>
        <v>0</v>
      </c>
      <c r="N337" s="463" t="s">
        <v>5363</v>
      </c>
      <c r="O337" s="451" t="s">
        <v>5364</v>
      </c>
      <c r="P337" s="468" t="s">
        <v>5365</v>
      </c>
      <c r="Q337" s="468" t="s">
        <v>909</v>
      </c>
      <c r="AC337" s="433" t="str">
        <f ca="1">HYPERLINK("#"&amp;단가산출근거목록표!J2&amp;"!A"&amp;ROW(단가산출근거목록표!A24),"D01354 →")</f>
        <v>D01354 →</v>
      </c>
    </row>
    <row r="338" spans="1:29" ht="35.25" customHeight="1">
      <c r="A338" s="452"/>
      <c r="B338" s="452" t="s">
        <v>5366</v>
      </c>
      <c r="C338" s="449" t="s">
        <v>1865</v>
      </c>
      <c r="D338" s="470">
        <v>0</v>
      </c>
      <c r="E338" s="463" t="s">
        <v>1799</v>
      </c>
      <c r="F338" s="471">
        <f t="shared" si="39"/>
        <v>7543</v>
      </c>
      <c r="G338" s="446">
        <f t="shared" si="39"/>
        <v>0</v>
      </c>
      <c r="H338" s="472">
        <f>단가산출근거목록표!F26</f>
        <v>6856</v>
      </c>
      <c r="I338" s="465">
        <f t="shared" si="36"/>
        <v>0</v>
      </c>
      <c r="J338" s="473">
        <f>단가산출근거목록표!G26</f>
        <v>687</v>
      </c>
      <c r="K338" s="465">
        <f t="shared" si="37"/>
        <v>0</v>
      </c>
      <c r="L338" s="474">
        <f>단가산출근거목록표!H26</f>
        <v>0</v>
      </c>
      <c r="M338" s="467">
        <f t="shared" si="38"/>
        <v>0</v>
      </c>
      <c r="N338" s="463" t="s">
        <v>5367</v>
      </c>
      <c r="O338" s="451" t="s">
        <v>5368</v>
      </c>
      <c r="P338" s="468" t="s">
        <v>5369</v>
      </c>
      <c r="Q338" s="468" t="s">
        <v>909</v>
      </c>
      <c r="AC338" s="433" t="str">
        <f ca="1">HYPERLINK("#"&amp;단가산출근거목록표!J2&amp;"!A"&amp;ROW(단가산출근거목록표!A26),"D01325 →")</f>
        <v>D01325 →</v>
      </c>
    </row>
    <row r="339" spans="1:29" ht="35.25" customHeight="1">
      <c r="A339" s="452"/>
      <c r="B339" s="452" t="s">
        <v>5366</v>
      </c>
      <c r="C339" s="449" t="s">
        <v>1874</v>
      </c>
      <c r="D339" s="470">
        <v>0</v>
      </c>
      <c r="E339" s="463" t="s">
        <v>1799</v>
      </c>
      <c r="F339" s="471">
        <f t="shared" si="39"/>
        <v>9376</v>
      </c>
      <c r="G339" s="446">
        <f t="shared" si="39"/>
        <v>0</v>
      </c>
      <c r="H339" s="472">
        <f>단가산출근거목록표!F25</f>
        <v>8776</v>
      </c>
      <c r="I339" s="465">
        <f t="shared" si="36"/>
        <v>0</v>
      </c>
      <c r="J339" s="473">
        <f>단가산출근거목록표!G25</f>
        <v>600</v>
      </c>
      <c r="K339" s="465">
        <f t="shared" si="37"/>
        <v>0</v>
      </c>
      <c r="L339" s="474">
        <f>단가산출근거목록표!H25</f>
        <v>0</v>
      </c>
      <c r="M339" s="467">
        <f t="shared" si="38"/>
        <v>0</v>
      </c>
      <c r="N339" s="463" t="s">
        <v>5370</v>
      </c>
      <c r="O339" s="451" t="s">
        <v>5371</v>
      </c>
      <c r="P339" s="468" t="s">
        <v>5372</v>
      </c>
      <c r="Q339" s="468" t="s">
        <v>909</v>
      </c>
      <c r="AC339" s="433" t="str">
        <f ca="1">HYPERLINK("#"&amp;단가산출근거목록표!J2&amp;"!A"&amp;ROW(단가산출근거목록표!A25),"D01327 →")</f>
        <v>D01327 →</v>
      </c>
    </row>
    <row r="340" spans="1:29" ht="35.25" customHeight="1">
      <c r="A340" s="452"/>
      <c r="B340" s="452" t="s">
        <v>5366</v>
      </c>
      <c r="C340" s="449" t="s">
        <v>1878</v>
      </c>
      <c r="D340" s="470">
        <v>0</v>
      </c>
      <c r="E340" s="463" t="s">
        <v>1799</v>
      </c>
      <c r="F340" s="471">
        <f t="shared" si="39"/>
        <v>15960</v>
      </c>
      <c r="G340" s="446">
        <f t="shared" si="39"/>
        <v>0</v>
      </c>
      <c r="H340" s="472">
        <f>단가산출근거목록표!F27</f>
        <v>14627</v>
      </c>
      <c r="I340" s="465">
        <f t="shared" si="36"/>
        <v>0</v>
      </c>
      <c r="J340" s="473">
        <f>단가산출근거목록표!G27</f>
        <v>1333</v>
      </c>
      <c r="K340" s="465">
        <f t="shared" si="37"/>
        <v>0</v>
      </c>
      <c r="L340" s="474">
        <f>단가산출근거목록표!H27</f>
        <v>0</v>
      </c>
      <c r="M340" s="467">
        <f t="shared" si="38"/>
        <v>0</v>
      </c>
      <c r="N340" s="463" t="s">
        <v>5373</v>
      </c>
      <c r="O340" s="451" t="s">
        <v>5374</v>
      </c>
      <c r="P340" s="468" t="s">
        <v>5375</v>
      </c>
      <c r="Q340" s="468" t="s">
        <v>909</v>
      </c>
      <c r="AC340" s="433" t="str">
        <f ca="1">HYPERLINK("#"&amp;단가산출근거목록표!J2&amp;"!A"&amp;ROW(단가산출근거목록표!A27),"D01328 →")</f>
        <v>D01328 →</v>
      </c>
    </row>
    <row r="341" spans="1:29" ht="35.25" customHeight="1">
      <c r="A341" s="452"/>
      <c r="B341" s="452" t="s">
        <v>5366</v>
      </c>
      <c r="C341" s="449" t="s">
        <v>1882</v>
      </c>
      <c r="D341" s="470">
        <v>0</v>
      </c>
      <c r="E341" s="463" t="s">
        <v>1799</v>
      </c>
      <c r="F341" s="471">
        <f t="shared" si="39"/>
        <v>21856</v>
      </c>
      <c r="G341" s="446">
        <f t="shared" si="39"/>
        <v>0</v>
      </c>
      <c r="H341" s="472">
        <f>단가산출근거목록표!F28</f>
        <v>19947</v>
      </c>
      <c r="I341" s="465">
        <f t="shared" si="36"/>
        <v>0</v>
      </c>
      <c r="J341" s="473">
        <f>단가산출근거목록표!G28</f>
        <v>1909</v>
      </c>
      <c r="K341" s="465">
        <f t="shared" si="37"/>
        <v>0</v>
      </c>
      <c r="L341" s="474">
        <f>단가산출근거목록표!H28</f>
        <v>0</v>
      </c>
      <c r="M341" s="467">
        <f t="shared" si="38"/>
        <v>0</v>
      </c>
      <c r="N341" s="463" t="s">
        <v>5376</v>
      </c>
      <c r="O341" s="451" t="s">
        <v>5377</v>
      </c>
      <c r="P341" s="468" t="s">
        <v>5378</v>
      </c>
      <c r="Q341" s="468" t="s">
        <v>909</v>
      </c>
      <c r="AC341" s="433" t="str">
        <f ca="1">HYPERLINK("#"&amp;단가산출근거목록표!J2&amp;"!A"&amp;ROW(단가산출근거목록표!A28),"D01329 →")</f>
        <v>D01329 →</v>
      </c>
    </row>
    <row r="342" spans="1:29" ht="35.25" customHeight="1">
      <c r="A342" s="452"/>
      <c r="B342" s="452" t="s">
        <v>1864</v>
      </c>
      <c r="C342" s="449" t="s">
        <v>1865</v>
      </c>
      <c r="D342" s="470">
        <v>0</v>
      </c>
      <c r="E342" s="463" t="s">
        <v>1799</v>
      </c>
      <c r="F342" s="471">
        <f t="shared" si="39"/>
        <v>6172</v>
      </c>
      <c r="G342" s="446">
        <f t="shared" si="39"/>
        <v>0</v>
      </c>
      <c r="H342" s="472">
        <f>단가산출근거목록표!F18</f>
        <v>5485</v>
      </c>
      <c r="I342" s="465">
        <f t="shared" si="36"/>
        <v>0</v>
      </c>
      <c r="J342" s="473">
        <f>단가산출근거목록표!G18</f>
        <v>687</v>
      </c>
      <c r="K342" s="465">
        <f t="shared" si="37"/>
        <v>0</v>
      </c>
      <c r="L342" s="474">
        <f>단가산출근거목록표!H18</f>
        <v>0</v>
      </c>
      <c r="M342" s="467">
        <f t="shared" si="38"/>
        <v>0</v>
      </c>
      <c r="N342" s="463" t="s">
        <v>1866</v>
      </c>
      <c r="O342" s="451" t="s">
        <v>1867</v>
      </c>
      <c r="P342" s="468" t="s">
        <v>1868</v>
      </c>
      <c r="Q342" s="468" t="s">
        <v>909</v>
      </c>
      <c r="AC342" s="433" t="str">
        <f ca="1">HYPERLINK("#"&amp;단가산출근거목록표!J2&amp;"!A"&amp;ROW(단가산출근거목록표!A18),"D01290 →")</f>
        <v>D01290 →</v>
      </c>
    </row>
    <row r="343" spans="1:29" ht="35.25" customHeight="1">
      <c r="A343" s="452"/>
      <c r="B343" s="452" t="s">
        <v>1864</v>
      </c>
      <c r="C343" s="449" t="s">
        <v>1874</v>
      </c>
      <c r="D343" s="470">
        <v>0</v>
      </c>
      <c r="E343" s="463" t="s">
        <v>1799</v>
      </c>
      <c r="F343" s="471">
        <f t="shared" si="39"/>
        <v>7621</v>
      </c>
      <c r="G343" s="446">
        <f t="shared" si="39"/>
        <v>0</v>
      </c>
      <c r="H343" s="472">
        <f>단가산출근거목록표!F17</f>
        <v>7021</v>
      </c>
      <c r="I343" s="465">
        <f t="shared" si="36"/>
        <v>0</v>
      </c>
      <c r="J343" s="473">
        <f>단가산출근거목록표!G17</f>
        <v>600</v>
      </c>
      <c r="K343" s="465">
        <f t="shared" si="37"/>
        <v>0</v>
      </c>
      <c r="L343" s="474">
        <f>단가산출근거목록표!H17</f>
        <v>0</v>
      </c>
      <c r="M343" s="467">
        <f t="shared" si="38"/>
        <v>0</v>
      </c>
      <c r="N343" s="463" t="s">
        <v>1875</v>
      </c>
      <c r="O343" s="451" t="s">
        <v>1876</v>
      </c>
      <c r="P343" s="468" t="s">
        <v>1877</v>
      </c>
      <c r="Q343" s="468" t="s">
        <v>909</v>
      </c>
      <c r="AC343" s="433" t="str">
        <f ca="1">HYPERLINK("#"&amp;단가산출근거목록표!J2&amp;"!A"&amp;ROW(단가산출근거목록표!A17),"D01262 →")</f>
        <v>D01262 →</v>
      </c>
    </row>
    <row r="344" spans="1:29" ht="35.25" customHeight="1">
      <c r="A344" s="452"/>
      <c r="B344" s="452" t="s">
        <v>1864</v>
      </c>
      <c r="C344" s="449" t="s">
        <v>1878</v>
      </c>
      <c r="D344" s="470">
        <v>0</v>
      </c>
      <c r="E344" s="463" t="s">
        <v>1799</v>
      </c>
      <c r="F344" s="471">
        <f t="shared" si="39"/>
        <v>13035</v>
      </c>
      <c r="G344" s="446">
        <f t="shared" si="39"/>
        <v>0</v>
      </c>
      <c r="H344" s="472">
        <f>단가산출근거목록표!F19</f>
        <v>11702</v>
      </c>
      <c r="I344" s="465">
        <f t="shared" si="36"/>
        <v>0</v>
      </c>
      <c r="J344" s="473">
        <f>단가산출근거목록표!G19</f>
        <v>1333</v>
      </c>
      <c r="K344" s="465">
        <f t="shared" si="37"/>
        <v>0</v>
      </c>
      <c r="L344" s="474">
        <f>단가산출근거목록표!H19</f>
        <v>0</v>
      </c>
      <c r="M344" s="467">
        <f t="shared" si="38"/>
        <v>0</v>
      </c>
      <c r="N344" s="463" t="s">
        <v>1879</v>
      </c>
      <c r="O344" s="451" t="s">
        <v>1880</v>
      </c>
      <c r="P344" s="468" t="s">
        <v>1881</v>
      </c>
      <c r="Q344" s="468" t="s">
        <v>909</v>
      </c>
      <c r="AC344" s="433" t="str">
        <f ca="1">HYPERLINK("#"&amp;단가산출근거목록표!J2&amp;"!A"&amp;ROW(단가산출근거목록표!A19),"D01291 →")</f>
        <v>D01291 →</v>
      </c>
    </row>
    <row r="345" spans="1:29" ht="35.25" customHeight="1">
      <c r="A345" s="452"/>
      <c r="B345" s="452" t="s">
        <v>1864</v>
      </c>
      <c r="C345" s="449" t="s">
        <v>1882</v>
      </c>
      <c r="D345" s="470">
        <v>0</v>
      </c>
      <c r="E345" s="463" t="s">
        <v>1799</v>
      </c>
      <c r="F345" s="471">
        <f t="shared" si="39"/>
        <v>17866</v>
      </c>
      <c r="G345" s="446">
        <f t="shared" si="39"/>
        <v>0</v>
      </c>
      <c r="H345" s="472">
        <f>단가산출근거목록표!F20</f>
        <v>15957</v>
      </c>
      <c r="I345" s="465">
        <f t="shared" si="36"/>
        <v>0</v>
      </c>
      <c r="J345" s="473">
        <f>단가산출근거목록표!G20</f>
        <v>1909</v>
      </c>
      <c r="K345" s="465">
        <f t="shared" si="37"/>
        <v>0</v>
      </c>
      <c r="L345" s="474">
        <f>단가산출근거목록표!H20</f>
        <v>0</v>
      </c>
      <c r="M345" s="467">
        <f t="shared" si="38"/>
        <v>0</v>
      </c>
      <c r="N345" s="463" t="s">
        <v>1883</v>
      </c>
      <c r="O345" s="451" t="s">
        <v>1884</v>
      </c>
      <c r="P345" s="468" t="s">
        <v>1885</v>
      </c>
      <c r="Q345" s="468" t="s">
        <v>909</v>
      </c>
      <c r="AC345" s="433" t="str">
        <f ca="1">HYPERLINK("#"&amp;단가산출근거목록표!J2&amp;"!A"&amp;ROW(단가산출근거목록표!A20),"D01292 →")</f>
        <v>D01292 →</v>
      </c>
    </row>
    <row r="346" spans="1:29" ht="35.25" customHeight="1">
      <c r="A346" s="452"/>
      <c r="B346" s="452" t="s">
        <v>5379</v>
      </c>
      <c r="C346" s="449" t="s">
        <v>1865</v>
      </c>
      <c r="D346" s="470">
        <v>0</v>
      </c>
      <c r="E346" s="463" t="s">
        <v>1799</v>
      </c>
      <c r="F346" s="471">
        <f t="shared" si="39"/>
        <v>2543</v>
      </c>
      <c r="G346" s="446">
        <f t="shared" si="39"/>
        <v>0</v>
      </c>
      <c r="H346" s="472">
        <f>단가산출근거목록표!F10</f>
        <v>2293</v>
      </c>
      <c r="I346" s="465">
        <f t="shared" si="36"/>
        <v>0</v>
      </c>
      <c r="J346" s="473">
        <f>단가산출근거목록표!G10</f>
        <v>250</v>
      </c>
      <c r="K346" s="465">
        <f t="shared" si="37"/>
        <v>0</v>
      </c>
      <c r="L346" s="474">
        <f>단가산출근거목록표!H10</f>
        <v>0</v>
      </c>
      <c r="M346" s="467">
        <f t="shared" si="38"/>
        <v>0</v>
      </c>
      <c r="N346" s="463" t="s">
        <v>5380</v>
      </c>
      <c r="O346" s="451" t="s">
        <v>5381</v>
      </c>
      <c r="P346" s="468" t="s">
        <v>5382</v>
      </c>
      <c r="Q346" s="468" t="s">
        <v>909</v>
      </c>
      <c r="AC346" s="433" t="str">
        <f ca="1">HYPERLINK("#"&amp;단가산출근거목록표!J2&amp;"!A"&amp;ROW(단가산출근거목록표!A10),"D01355 →")</f>
        <v>D01355 →</v>
      </c>
    </row>
    <row r="347" spans="1:29" ht="35.25" customHeight="1">
      <c r="A347" s="452"/>
      <c r="B347" s="452" t="s">
        <v>5379</v>
      </c>
      <c r="C347" s="449" t="s">
        <v>1874</v>
      </c>
      <c r="D347" s="470">
        <v>0</v>
      </c>
      <c r="E347" s="463" t="s">
        <v>1799</v>
      </c>
      <c r="F347" s="471">
        <f t="shared" si="39"/>
        <v>3614</v>
      </c>
      <c r="G347" s="446">
        <f t="shared" si="39"/>
        <v>0</v>
      </c>
      <c r="H347" s="472">
        <f>단가산출근거목록표!F9</f>
        <v>3364</v>
      </c>
      <c r="I347" s="465">
        <f t="shared" si="36"/>
        <v>0</v>
      </c>
      <c r="J347" s="473">
        <f>단가산출근거목록표!G9</f>
        <v>250</v>
      </c>
      <c r="K347" s="465">
        <f t="shared" si="37"/>
        <v>0</v>
      </c>
      <c r="L347" s="474">
        <f>단가산출근거목록표!H9</f>
        <v>0</v>
      </c>
      <c r="M347" s="467">
        <f t="shared" si="38"/>
        <v>0</v>
      </c>
      <c r="N347" s="463" t="s">
        <v>5383</v>
      </c>
      <c r="O347" s="451" t="s">
        <v>5384</v>
      </c>
      <c r="P347" s="468" t="s">
        <v>5385</v>
      </c>
      <c r="Q347" s="468" t="s">
        <v>909</v>
      </c>
      <c r="AC347" s="433" t="str">
        <f ca="1">HYPERLINK("#"&amp;단가산출근거목록표!J2&amp;"!A"&amp;ROW(단가산출근거목록표!A9),"D01356 →")</f>
        <v>D01356 →</v>
      </c>
    </row>
    <row r="348" spans="1:29" ht="35.25" customHeight="1">
      <c r="A348" s="452"/>
      <c r="B348" s="452" t="s">
        <v>5379</v>
      </c>
      <c r="C348" s="449" t="s">
        <v>1878</v>
      </c>
      <c r="D348" s="470">
        <v>0</v>
      </c>
      <c r="E348" s="463" t="s">
        <v>1799</v>
      </c>
      <c r="F348" s="471">
        <f t="shared" si="39"/>
        <v>5546</v>
      </c>
      <c r="G348" s="446">
        <f t="shared" si="39"/>
        <v>0</v>
      </c>
      <c r="H348" s="472">
        <f>단가산출근거목록표!F11</f>
        <v>5046</v>
      </c>
      <c r="I348" s="465">
        <f t="shared" si="36"/>
        <v>0</v>
      </c>
      <c r="J348" s="473">
        <f>단가산출근거목록표!G11</f>
        <v>500</v>
      </c>
      <c r="K348" s="465">
        <f t="shared" si="37"/>
        <v>0</v>
      </c>
      <c r="L348" s="474">
        <f>단가산출근거목록표!H11</f>
        <v>0</v>
      </c>
      <c r="M348" s="467">
        <f t="shared" si="38"/>
        <v>0</v>
      </c>
      <c r="N348" s="463" t="s">
        <v>5386</v>
      </c>
      <c r="O348" s="451" t="s">
        <v>5387</v>
      </c>
      <c r="P348" s="468" t="s">
        <v>5388</v>
      </c>
      <c r="Q348" s="468" t="s">
        <v>909</v>
      </c>
      <c r="AC348" s="433" t="str">
        <f ca="1">HYPERLINK("#"&amp;단가산출근거목록표!J2&amp;"!A"&amp;ROW(단가산출근거목록표!A11),"D01357 →")</f>
        <v>D01357 →</v>
      </c>
    </row>
    <row r="349" spans="1:29" ht="35.25" customHeight="1">
      <c r="A349" s="452"/>
      <c r="B349" s="452" t="s">
        <v>5379</v>
      </c>
      <c r="C349" s="449" t="s">
        <v>1882</v>
      </c>
      <c r="D349" s="470">
        <v>0</v>
      </c>
      <c r="E349" s="463" t="s">
        <v>1799</v>
      </c>
      <c r="F349" s="471">
        <f t="shared" si="39"/>
        <v>8209</v>
      </c>
      <c r="G349" s="446">
        <f t="shared" si="39"/>
        <v>0</v>
      </c>
      <c r="H349" s="472">
        <f>단가산출근거목록표!F12</f>
        <v>7209</v>
      </c>
      <c r="I349" s="465">
        <f t="shared" si="36"/>
        <v>0</v>
      </c>
      <c r="J349" s="473">
        <f>단가산출근거목록표!G12</f>
        <v>1000</v>
      </c>
      <c r="K349" s="465">
        <f t="shared" si="37"/>
        <v>0</v>
      </c>
      <c r="L349" s="474">
        <f>단가산출근거목록표!H12</f>
        <v>0</v>
      </c>
      <c r="M349" s="467">
        <f t="shared" si="38"/>
        <v>0</v>
      </c>
      <c r="N349" s="463" t="s">
        <v>5389</v>
      </c>
      <c r="O349" s="451" t="s">
        <v>5390</v>
      </c>
      <c r="P349" s="468" t="s">
        <v>5391</v>
      </c>
      <c r="Q349" s="468" t="s">
        <v>909</v>
      </c>
      <c r="AC349" s="433" t="str">
        <f ca="1">HYPERLINK("#"&amp;단가산출근거목록표!J2&amp;"!A"&amp;ROW(단가산출근거목록표!A12),"D01358 →")</f>
        <v>D01358 →</v>
      </c>
    </row>
    <row r="350" spans="1:29" ht="35.25" customHeight="1">
      <c r="A350" s="452"/>
      <c r="B350" s="452" t="s">
        <v>5392</v>
      </c>
      <c r="C350" s="449" t="s">
        <v>1865</v>
      </c>
      <c r="D350" s="470">
        <v>0</v>
      </c>
      <c r="E350" s="463" t="s">
        <v>1799</v>
      </c>
      <c r="F350" s="471">
        <f t="shared" si="39"/>
        <v>2743</v>
      </c>
      <c r="G350" s="446">
        <f t="shared" si="39"/>
        <v>0</v>
      </c>
      <c r="H350" s="472">
        <f>단가산출근거목록표!F14</f>
        <v>2493</v>
      </c>
      <c r="I350" s="465">
        <f t="shared" si="36"/>
        <v>0</v>
      </c>
      <c r="J350" s="473">
        <f>단가산출근거목록표!G14</f>
        <v>250</v>
      </c>
      <c r="K350" s="465">
        <f t="shared" si="37"/>
        <v>0</v>
      </c>
      <c r="L350" s="474">
        <f>단가산출근거목록표!H14</f>
        <v>0</v>
      </c>
      <c r="M350" s="467">
        <f t="shared" si="38"/>
        <v>0</v>
      </c>
      <c r="N350" s="463" t="s">
        <v>5393</v>
      </c>
      <c r="O350" s="451" t="s">
        <v>5394</v>
      </c>
      <c r="P350" s="468" t="s">
        <v>5395</v>
      </c>
      <c r="Q350" s="468" t="s">
        <v>909</v>
      </c>
      <c r="AC350" s="433" t="str">
        <f ca="1">HYPERLINK("#"&amp;단가산출근거목록표!J2&amp;"!A"&amp;ROW(단가산출근거목록표!A14),"D01330 →")</f>
        <v>D01330 →</v>
      </c>
    </row>
    <row r="351" spans="1:29" ht="35.25" customHeight="1">
      <c r="A351" s="452"/>
      <c r="B351" s="452" t="s">
        <v>5392</v>
      </c>
      <c r="C351" s="449" t="s">
        <v>1874</v>
      </c>
      <c r="D351" s="470">
        <v>0</v>
      </c>
      <c r="E351" s="463" t="s">
        <v>1799</v>
      </c>
      <c r="F351" s="471">
        <f t="shared" si="39"/>
        <v>3906</v>
      </c>
      <c r="G351" s="446">
        <f t="shared" si="39"/>
        <v>0</v>
      </c>
      <c r="H351" s="472">
        <f>단가산출근거목록표!F13</f>
        <v>3656</v>
      </c>
      <c r="I351" s="465">
        <f t="shared" si="36"/>
        <v>0</v>
      </c>
      <c r="J351" s="473">
        <f>단가산출근거목록표!G13</f>
        <v>250</v>
      </c>
      <c r="K351" s="465">
        <f t="shared" si="37"/>
        <v>0</v>
      </c>
      <c r="L351" s="474">
        <f>단가산출근거목록표!H13</f>
        <v>0</v>
      </c>
      <c r="M351" s="467">
        <f t="shared" si="38"/>
        <v>0</v>
      </c>
      <c r="N351" s="463" t="s">
        <v>5396</v>
      </c>
      <c r="O351" s="451" t="s">
        <v>5397</v>
      </c>
      <c r="P351" s="468" t="s">
        <v>5398</v>
      </c>
      <c r="Q351" s="468" t="s">
        <v>909</v>
      </c>
      <c r="AC351" s="433" t="str">
        <f ca="1">HYPERLINK("#"&amp;단가산출근거목록표!J2&amp;"!A"&amp;ROW(단가산출근거목록표!A13),"D01326 →")</f>
        <v>D01326 →</v>
      </c>
    </row>
    <row r="352" spans="1:29" ht="35.25" customHeight="1">
      <c r="A352" s="452"/>
      <c r="B352" s="452" t="s">
        <v>5392</v>
      </c>
      <c r="C352" s="449" t="s">
        <v>1878</v>
      </c>
      <c r="D352" s="470">
        <v>0</v>
      </c>
      <c r="E352" s="463" t="s">
        <v>1799</v>
      </c>
      <c r="F352" s="471">
        <f t="shared" si="39"/>
        <v>5985</v>
      </c>
      <c r="G352" s="446">
        <f t="shared" si="39"/>
        <v>0</v>
      </c>
      <c r="H352" s="472">
        <f>단가산출근거목록표!F15</f>
        <v>5485</v>
      </c>
      <c r="I352" s="465">
        <f t="shared" si="36"/>
        <v>0</v>
      </c>
      <c r="J352" s="473">
        <f>단가산출근거목록표!G15</f>
        <v>500</v>
      </c>
      <c r="K352" s="465">
        <f t="shared" si="37"/>
        <v>0</v>
      </c>
      <c r="L352" s="474">
        <f>단가산출근거목록표!H15</f>
        <v>0</v>
      </c>
      <c r="M352" s="467">
        <f t="shared" si="38"/>
        <v>0</v>
      </c>
      <c r="N352" s="463" t="s">
        <v>5399</v>
      </c>
      <c r="O352" s="451" t="s">
        <v>5400</v>
      </c>
      <c r="P352" s="468" t="s">
        <v>5401</v>
      </c>
      <c r="Q352" s="468" t="s">
        <v>909</v>
      </c>
      <c r="AC352" s="433" t="str">
        <f ca="1">HYPERLINK("#"&amp;단가산출근거목록표!J2&amp;"!A"&amp;ROW(단가산출근거목록표!A15),"D01331 →")</f>
        <v>D01331 →</v>
      </c>
    </row>
    <row r="353" spans="1:29" ht="35.25" customHeight="1">
      <c r="A353" s="452"/>
      <c r="B353" s="452" t="s">
        <v>5392</v>
      </c>
      <c r="C353" s="449" t="s">
        <v>1882</v>
      </c>
      <c r="D353" s="470">
        <v>0</v>
      </c>
      <c r="E353" s="463" t="s">
        <v>1799</v>
      </c>
      <c r="F353" s="471">
        <f t="shared" si="39"/>
        <v>8836</v>
      </c>
      <c r="G353" s="446">
        <f t="shared" si="39"/>
        <v>0</v>
      </c>
      <c r="H353" s="472">
        <f>단가산출근거목록표!F16</f>
        <v>7836</v>
      </c>
      <c r="I353" s="465">
        <f t="shared" si="36"/>
        <v>0</v>
      </c>
      <c r="J353" s="473">
        <f>단가산출근거목록표!G16</f>
        <v>1000</v>
      </c>
      <c r="K353" s="465">
        <f t="shared" si="37"/>
        <v>0</v>
      </c>
      <c r="L353" s="474">
        <f>단가산출근거목록표!H16</f>
        <v>0</v>
      </c>
      <c r="M353" s="467">
        <f t="shared" si="38"/>
        <v>0</v>
      </c>
      <c r="N353" s="463" t="s">
        <v>5402</v>
      </c>
      <c r="O353" s="451" t="s">
        <v>5403</v>
      </c>
      <c r="P353" s="468" t="s">
        <v>5404</v>
      </c>
      <c r="Q353" s="468" t="s">
        <v>909</v>
      </c>
      <c r="AC353" s="433" t="str">
        <f ca="1">HYPERLINK("#"&amp;단가산출근거목록표!J2&amp;"!A"&amp;ROW(단가산출근거목록표!A16),"D01332 →")</f>
        <v>D01332 →</v>
      </c>
    </row>
    <row r="354" spans="1:29" ht="35.25" customHeight="1">
      <c r="A354" s="452"/>
      <c r="B354" s="452" t="s">
        <v>1886</v>
      </c>
      <c r="C354" s="449" t="s">
        <v>1865</v>
      </c>
      <c r="D354" s="470">
        <v>0</v>
      </c>
      <c r="E354" s="463" t="s">
        <v>1799</v>
      </c>
      <c r="F354" s="471">
        <f t="shared" si="39"/>
        <v>2244</v>
      </c>
      <c r="G354" s="446">
        <f t="shared" si="39"/>
        <v>0</v>
      </c>
      <c r="H354" s="472">
        <f>단가산출근거목록표!F6</f>
        <v>1994</v>
      </c>
      <c r="I354" s="465">
        <f t="shared" si="36"/>
        <v>0</v>
      </c>
      <c r="J354" s="473">
        <f>단가산출근거목록표!G6</f>
        <v>250</v>
      </c>
      <c r="K354" s="465">
        <f t="shared" si="37"/>
        <v>0</v>
      </c>
      <c r="L354" s="474">
        <f>단가산출근거목록표!H6</f>
        <v>0</v>
      </c>
      <c r="M354" s="467">
        <f t="shared" si="38"/>
        <v>0</v>
      </c>
      <c r="N354" s="463" t="s">
        <v>1887</v>
      </c>
      <c r="O354" s="451" t="s">
        <v>1888</v>
      </c>
      <c r="P354" s="468" t="s">
        <v>1889</v>
      </c>
      <c r="Q354" s="468" t="s">
        <v>909</v>
      </c>
      <c r="AC354" s="433" t="str">
        <f ca="1">HYPERLINK("#"&amp;단가산출근거목록표!J2&amp;"!A"&amp;ROW(단가산출근거목록표!A6),"D01293 →")</f>
        <v>D01293 →</v>
      </c>
    </row>
    <row r="355" spans="1:29" ht="35.25" customHeight="1">
      <c r="A355" s="452"/>
      <c r="B355" s="452" t="s">
        <v>1886</v>
      </c>
      <c r="C355" s="449" t="s">
        <v>1874</v>
      </c>
      <c r="D355" s="470">
        <v>0</v>
      </c>
      <c r="E355" s="463" t="s">
        <v>1799</v>
      </c>
      <c r="F355" s="471">
        <f t="shared" si="39"/>
        <v>3175</v>
      </c>
      <c r="G355" s="446">
        <f t="shared" si="39"/>
        <v>0</v>
      </c>
      <c r="H355" s="472">
        <f>단가산출근거목록표!F5</f>
        <v>2925</v>
      </c>
      <c r="I355" s="465">
        <f t="shared" si="36"/>
        <v>0</v>
      </c>
      <c r="J355" s="473">
        <f>단가산출근거목록표!G5</f>
        <v>250</v>
      </c>
      <c r="K355" s="465">
        <f t="shared" si="37"/>
        <v>0</v>
      </c>
      <c r="L355" s="474">
        <f>단가산출근거목록표!H5</f>
        <v>0</v>
      </c>
      <c r="M355" s="467">
        <f t="shared" si="38"/>
        <v>0</v>
      </c>
      <c r="N355" s="463" t="s">
        <v>1890</v>
      </c>
      <c r="O355" s="451" t="s">
        <v>1891</v>
      </c>
      <c r="P355" s="468" t="s">
        <v>1892</v>
      </c>
      <c r="Q355" s="468" t="s">
        <v>909</v>
      </c>
      <c r="AC355" s="433" t="str">
        <f ca="1">HYPERLINK("#"&amp;단가산출근거목록표!J2&amp;"!A"&amp;ROW(단가산출근거목록표!A5),"D01261 →")</f>
        <v>D01261 →</v>
      </c>
    </row>
    <row r="356" spans="1:29" ht="35.25" customHeight="1">
      <c r="A356" s="452"/>
      <c r="B356" s="452" t="s">
        <v>1886</v>
      </c>
      <c r="C356" s="449" t="s">
        <v>1878</v>
      </c>
      <c r="D356" s="470">
        <v>0</v>
      </c>
      <c r="E356" s="463" t="s">
        <v>1799</v>
      </c>
      <c r="F356" s="471">
        <f t="shared" si="39"/>
        <v>4888</v>
      </c>
      <c r="G356" s="446">
        <f t="shared" si="39"/>
        <v>0</v>
      </c>
      <c r="H356" s="472">
        <f>단가산출근거목록표!F7</f>
        <v>4388</v>
      </c>
      <c r="I356" s="465">
        <f t="shared" si="36"/>
        <v>0</v>
      </c>
      <c r="J356" s="473">
        <f>단가산출근거목록표!G7</f>
        <v>500</v>
      </c>
      <c r="K356" s="465">
        <f t="shared" si="37"/>
        <v>0</v>
      </c>
      <c r="L356" s="474">
        <f>단가산출근거목록표!H7</f>
        <v>0</v>
      </c>
      <c r="M356" s="467">
        <f t="shared" si="38"/>
        <v>0</v>
      </c>
      <c r="N356" s="463" t="s">
        <v>1893</v>
      </c>
      <c r="O356" s="451" t="s">
        <v>1894</v>
      </c>
      <c r="P356" s="468" t="s">
        <v>1895</v>
      </c>
      <c r="Q356" s="468" t="s">
        <v>909</v>
      </c>
      <c r="AC356" s="433" t="str">
        <f ca="1">HYPERLINK("#"&amp;단가산출근거목록표!J2&amp;"!A"&amp;ROW(단가산출근거목록표!A7),"D01258 →")</f>
        <v>D01258 →</v>
      </c>
    </row>
    <row r="357" spans="1:29" ht="35.25" customHeight="1">
      <c r="A357" s="452"/>
      <c r="B357" s="452" t="s">
        <v>1886</v>
      </c>
      <c r="C357" s="449" t="s">
        <v>1882</v>
      </c>
      <c r="D357" s="470">
        <v>0</v>
      </c>
      <c r="E357" s="463" t="s">
        <v>1799</v>
      </c>
      <c r="F357" s="471">
        <f t="shared" si="39"/>
        <v>7269</v>
      </c>
      <c r="G357" s="446">
        <f t="shared" si="39"/>
        <v>0</v>
      </c>
      <c r="H357" s="472">
        <f>단가산출근거목록표!F8</f>
        <v>6269</v>
      </c>
      <c r="I357" s="465">
        <f t="shared" si="36"/>
        <v>0</v>
      </c>
      <c r="J357" s="473">
        <f>단가산출근거목록표!G8</f>
        <v>1000</v>
      </c>
      <c r="K357" s="465">
        <f t="shared" si="37"/>
        <v>0</v>
      </c>
      <c r="L357" s="474">
        <f>단가산출근거목록표!H8</f>
        <v>0</v>
      </c>
      <c r="M357" s="467">
        <f t="shared" si="38"/>
        <v>0</v>
      </c>
      <c r="N357" s="463" t="s">
        <v>1896</v>
      </c>
      <c r="O357" s="451" t="s">
        <v>1897</v>
      </c>
      <c r="P357" s="468" t="s">
        <v>1898</v>
      </c>
      <c r="Q357" s="468" t="s">
        <v>909</v>
      </c>
      <c r="AC357" s="433" t="str">
        <f ca="1">HYPERLINK("#"&amp;단가산출근거목록표!J2&amp;"!A"&amp;ROW(단가산출근거목록표!A8),"D01294 →")</f>
        <v>D01294 →</v>
      </c>
    </row>
    <row r="358" spans="1:29" ht="35.25" customHeight="1">
      <c r="A358" s="452"/>
      <c r="B358" s="452" t="s">
        <v>5405</v>
      </c>
      <c r="C358" s="449" t="s">
        <v>1900</v>
      </c>
      <c r="D358" s="470">
        <v>0</v>
      </c>
      <c r="E358" s="463" t="s">
        <v>1799</v>
      </c>
      <c r="F358" s="471">
        <f t="shared" si="39"/>
        <v>423</v>
      </c>
      <c r="G358" s="446">
        <f t="shared" si="39"/>
        <v>0</v>
      </c>
      <c r="H358" s="472">
        <f>단가산출근거목록표!F148</f>
        <v>373</v>
      </c>
      <c r="I358" s="465">
        <f t="shared" si="36"/>
        <v>0</v>
      </c>
      <c r="J358" s="473">
        <f>단가산출근거목록표!G148</f>
        <v>50</v>
      </c>
      <c r="K358" s="465">
        <f t="shared" si="37"/>
        <v>0</v>
      </c>
      <c r="L358" s="474">
        <f>단가산출근거목록표!H148</f>
        <v>0</v>
      </c>
      <c r="M358" s="467">
        <f t="shared" si="38"/>
        <v>0</v>
      </c>
      <c r="N358" s="463" t="s">
        <v>5406</v>
      </c>
      <c r="O358" s="451" t="s">
        <v>5407</v>
      </c>
      <c r="P358" s="468" t="s">
        <v>5408</v>
      </c>
      <c r="Q358" s="468" t="s">
        <v>909</v>
      </c>
      <c r="AC358" s="433" t="str">
        <f ca="1">HYPERLINK("#"&amp;단가산출근거목록표!J2&amp;"!A"&amp;ROW(단가산출근거목록표!A148),"D01359 →")</f>
        <v>D01359 →</v>
      </c>
    </row>
    <row r="359" spans="1:29" ht="35.25" customHeight="1">
      <c r="A359" s="452"/>
      <c r="B359" s="452" t="s">
        <v>5405</v>
      </c>
      <c r="C359" s="449" t="s">
        <v>1904</v>
      </c>
      <c r="D359" s="470">
        <v>0</v>
      </c>
      <c r="E359" s="463" t="s">
        <v>1799</v>
      </c>
      <c r="F359" s="471">
        <f t="shared" si="39"/>
        <v>610</v>
      </c>
      <c r="G359" s="446">
        <f t="shared" si="39"/>
        <v>0</v>
      </c>
      <c r="H359" s="472">
        <f>단가산출근거목록표!F146</f>
        <v>560</v>
      </c>
      <c r="I359" s="465">
        <f t="shared" si="36"/>
        <v>0</v>
      </c>
      <c r="J359" s="473">
        <f>단가산출근거목록표!G146</f>
        <v>50</v>
      </c>
      <c r="K359" s="465">
        <f t="shared" si="37"/>
        <v>0</v>
      </c>
      <c r="L359" s="474">
        <f>단가산출근거목록표!H146</f>
        <v>0</v>
      </c>
      <c r="M359" s="467">
        <f t="shared" si="38"/>
        <v>0</v>
      </c>
      <c r="N359" s="463" t="s">
        <v>5409</v>
      </c>
      <c r="O359" s="451" t="s">
        <v>5410</v>
      </c>
      <c r="P359" s="468" t="s">
        <v>5411</v>
      </c>
      <c r="Q359" s="468" t="s">
        <v>909</v>
      </c>
      <c r="AC359" s="433" t="str">
        <f ca="1">HYPERLINK("#"&amp;단가산출근거목록표!J2&amp;"!A"&amp;ROW(단가산출근거목록표!A146),"D01360 →")</f>
        <v>D01360 →</v>
      </c>
    </row>
    <row r="360" spans="1:29" ht="35.25" customHeight="1">
      <c r="A360" s="452"/>
      <c r="B360" s="452" t="s">
        <v>5405</v>
      </c>
      <c r="C360" s="449" t="s">
        <v>1908</v>
      </c>
      <c r="D360" s="470">
        <v>0</v>
      </c>
      <c r="E360" s="463" t="s">
        <v>1799</v>
      </c>
      <c r="F360" s="471">
        <f t="shared" si="39"/>
        <v>967</v>
      </c>
      <c r="G360" s="446">
        <f t="shared" si="39"/>
        <v>0</v>
      </c>
      <c r="H360" s="472">
        <f>단가산출근거목록표!F147</f>
        <v>917</v>
      </c>
      <c r="I360" s="465">
        <f t="shared" si="36"/>
        <v>0</v>
      </c>
      <c r="J360" s="473">
        <f>단가산출근거목록표!G147</f>
        <v>50</v>
      </c>
      <c r="K360" s="465">
        <f t="shared" si="37"/>
        <v>0</v>
      </c>
      <c r="L360" s="474">
        <f>단가산출근거목록표!H147</f>
        <v>0</v>
      </c>
      <c r="M360" s="467">
        <f t="shared" si="38"/>
        <v>0</v>
      </c>
      <c r="N360" s="463" t="s">
        <v>5412</v>
      </c>
      <c r="O360" s="451" t="s">
        <v>5413</v>
      </c>
      <c r="P360" s="468" t="s">
        <v>5414</v>
      </c>
      <c r="Q360" s="468" t="s">
        <v>909</v>
      </c>
      <c r="AC360" s="433" t="str">
        <f ca="1">HYPERLINK("#"&amp;단가산출근거목록표!J2&amp;"!A"&amp;ROW(단가산출근거목록표!A147),"D01361 →")</f>
        <v>D01361 →</v>
      </c>
    </row>
    <row r="361" spans="1:29" ht="35.25" customHeight="1">
      <c r="A361" s="452"/>
      <c r="B361" s="452" t="s">
        <v>5415</v>
      </c>
      <c r="C361" s="449" t="s">
        <v>1900</v>
      </c>
      <c r="D361" s="470">
        <v>0</v>
      </c>
      <c r="E361" s="463" t="s">
        <v>1799</v>
      </c>
      <c r="F361" s="471">
        <f t="shared" si="39"/>
        <v>456</v>
      </c>
      <c r="G361" s="446">
        <f t="shared" si="39"/>
        <v>0</v>
      </c>
      <c r="H361" s="472">
        <f>단가산출근거목록표!F151</f>
        <v>406</v>
      </c>
      <c r="I361" s="465">
        <f t="shared" si="36"/>
        <v>0</v>
      </c>
      <c r="J361" s="473">
        <f>단가산출근거목록표!G151</f>
        <v>50</v>
      </c>
      <c r="K361" s="465">
        <f t="shared" si="37"/>
        <v>0</v>
      </c>
      <c r="L361" s="474">
        <f>단가산출근거목록표!H151</f>
        <v>0</v>
      </c>
      <c r="M361" s="467">
        <f t="shared" si="38"/>
        <v>0</v>
      </c>
      <c r="N361" s="463" t="s">
        <v>5416</v>
      </c>
      <c r="O361" s="451" t="s">
        <v>5417</v>
      </c>
      <c r="P361" s="468" t="s">
        <v>5418</v>
      </c>
      <c r="Q361" s="468" t="s">
        <v>909</v>
      </c>
      <c r="AC361" s="433" t="str">
        <f ca="1">HYPERLINK("#"&amp;단가산출근거목록표!J2&amp;"!A"&amp;ROW(단가산출근거목록표!A151),"D01333 →")</f>
        <v>D01333 →</v>
      </c>
    </row>
    <row r="362" spans="1:29" ht="35.25" customHeight="1">
      <c r="A362" s="452"/>
      <c r="B362" s="452" t="s">
        <v>5415</v>
      </c>
      <c r="C362" s="449" t="s">
        <v>1904</v>
      </c>
      <c r="D362" s="470">
        <v>0</v>
      </c>
      <c r="E362" s="463" t="s">
        <v>1799</v>
      </c>
      <c r="F362" s="471">
        <f t="shared" si="39"/>
        <v>659</v>
      </c>
      <c r="G362" s="446">
        <f t="shared" si="39"/>
        <v>0</v>
      </c>
      <c r="H362" s="472">
        <f>단가산출근거목록표!F149</f>
        <v>609</v>
      </c>
      <c r="I362" s="465">
        <f t="shared" si="36"/>
        <v>0</v>
      </c>
      <c r="J362" s="473">
        <f>단가산출근거목록표!G149</f>
        <v>50</v>
      </c>
      <c r="K362" s="465">
        <f t="shared" si="37"/>
        <v>0</v>
      </c>
      <c r="L362" s="474">
        <f>단가산출근거목록표!H149</f>
        <v>0</v>
      </c>
      <c r="M362" s="467">
        <f t="shared" si="38"/>
        <v>0</v>
      </c>
      <c r="N362" s="463" t="s">
        <v>5419</v>
      </c>
      <c r="O362" s="451" t="s">
        <v>5420</v>
      </c>
      <c r="P362" s="468" t="s">
        <v>5421</v>
      </c>
      <c r="Q362" s="468" t="s">
        <v>909</v>
      </c>
      <c r="AC362" s="433" t="str">
        <f ca="1">HYPERLINK("#"&amp;단가산출근거목록표!J2&amp;"!A"&amp;ROW(단가산출근거목록표!A149),"D01334 →")</f>
        <v>D01334 →</v>
      </c>
    </row>
    <row r="363" spans="1:29" ht="35.25" customHeight="1">
      <c r="A363" s="452"/>
      <c r="B363" s="452" t="s">
        <v>5415</v>
      </c>
      <c r="C363" s="449" t="s">
        <v>1908</v>
      </c>
      <c r="D363" s="470">
        <v>0</v>
      </c>
      <c r="E363" s="463" t="s">
        <v>1799</v>
      </c>
      <c r="F363" s="471">
        <f t="shared" si="39"/>
        <v>1047</v>
      </c>
      <c r="G363" s="446">
        <f t="shared" si="39"/>
        <v>0</v>
      </c>
      <c r="H363" s="472">
        <f>단가산출근거목록표!F150</f>
        <v>997</v>
      </c>
      <c r="I363" s="465">
        <f t="shared" si="36"/>
        <v>0</v>
      </c>
      <c r="J363" s="473">
        <f>단가산출근거목록표!G150</f>
        <v>50</v>
      </c>
      <c r="K363" s="465">
        <f t="shared" si="37"/>
        <v>0</v>
      </c>
      <c r="L363" s="474">
        <f>단가산출근거목록표!H150</f>
        <v>0</v>
      </c>
      <c r="M363" s="467">
        <f t="shared" si="38"/>
        <v>0</v>
      </c>
      <c r="N363" s="463" t="s">
        <v>5422</v>
      </c>
      <c r="O363" s="451" t="s">
        <v>5423</v>
      </c>
      <c r="P363" s="468" t="s">
        <v>5424</v>
      </c>
      <c r="Q363" s="468" t="s">
        <v>909</v>
      </c>
      <c r="AC363" s="433" t="str">
        <f ca="1">HYPERLINK("#"&amp;단가산출근거목록표!J2&amp;"!A"&amp;ROW(단가산출근거목록표!A150),"D01335 →")</f>
        <v>D01335 →</v>
      </c>
    </row>
    <row r="364" spans="1:29" ht="35.25" customHeight="1">
      <c r="A364" s="452"/>
      <c r="B364" s="452" t="s">
        <v>1899</v>
      </c>
      <c r="C364" s="449" t="s">
        <v>1900</v>
      </c>
      <c r="D364" s="470">
        <v>0</v>
      </c>
      <c r="E364" s="463" t="s">
        <v>1799</v>
      </c>
      <c r="F364" s="471">
        <f t="shared" si="39"/>
        <v>375</v>
      </c>
      <c r="G364" s="446">
        <f t="shared" si="39"/>
        <v>0</v>
      </c>
      <c r="H364" s="472">
        <f>단가산출근거목록표!F145</f>
        <v>325</v>
      </c>
      <c r="I364" s="465">
        <f t="shared" si="36"/>
        <v>0</v>
      </c>
      <c r="J364" s="473">
        <f>단가산출근거목록표!G145</f>
        <v>50</v>
      </c>
      <c r="K364" s="465">
        <f t="shared" si="37"/>
        <v>0</v>
      </c>
      <c r="L364" s="474">
        <f>단가산출근거목록표!H145</f>
        <v>0</v>
      </c>
      <c r="M364" s="467">
        <f t="shared" si="38"/>
        <v>0</v>
      </c>
      <c r="N364" s="463" t="s">
        <v>1901</v>
      </c>
      <c r="O364" s="451" t="s">
        <v>1902</v>
      </c>
      <c r="P364" s="468" t="s">
        <v>1903</v>
      </c>
      <c r="Q364" s="468" t="s">
        <v>909</v>
      </c>
      <c r="AC364" s="433" t="str">
        <f ca="1">HYPERLINK("#"&amp;단가산출근거목록표!J2&amp;"!A"&amp;ROW(단가산출근거목록표!A145),"D01295 →")</f>
        <v>D01295 →</v>
      </c>
    </row>
    <row r="365" spans="1:29" ht="35.25" customHeight="1">
      <c r="A365" s="452"/>
      <c r="B365" s="452" t="s">
        <v>1899</v>
      </c>
      <c r="C365" s="449" t="s">
        <v>1904</v>
      </c>
      <c r="D365" s="470">
        <v>0</v>
      </c>
      <c r="E365" s="463" t="s">
        <v>1799</v>
      </c>
      <c r="F365" s="471">
        <f t="shared" si="39"/>
        <v>537</v>
      </c>
      <c r="G365" s="446">
        <f t="shared" si="39"/>
        <v>0</v>
      </c>
      <c r="H365" s="472">
        <f>단가산출근거목록표!F143</f>
        <v>487</v>
      </c>
      <c r="I365" s="465">
        <f t="shared" si="36"/>
        <v>0</v>
      </c>
      <c r="J365" s="473">
        <f>단가산출근거목록표!G143</f>
        <v>50</v>
      </c>
      <c r="K365" s="465">
        <f t="shared" si="37"/>
        <v>0</v>
      </c>
      <c r="L365" s="474">
        <f>단가산출근거목록표!H143</f>
        <v>0</v>
      </c>
      <c r="M365" s="467">
        <f t="shared" si="38"/>
        <v>0</v>
      </c>
      <c r="N365" s="463" t="s">
        <v>1905</v>
      </c>
      <c r="O365" s="451" t="s">
        <v>1906</v>
      </c>
      <c r="P365" s="468" t="s">
        <v>1907</v>
      </c>
      <c r="Q365" s="468" t="s">
        <v>909</v>
      </c>
      <c r="AC365" s="433" t="str">
        <f ca="1">HYPERLINK("#"&amp;단가산출근거목록표!J2&amp;"!A"&amp;ROW(단가산출근거목록표!A143),"D01296 →")</f>
        <v>D01296 →</v>
      </c>
    </row>
    <row r="366" spans="1:29" ht="35.25" customHeight="1">
      <c r="A366" s="452"/>
      <c r="B366" s="452" t="s">
        <v>1899</v>
      </c>
      <c r="C366" s="449" t="s">
        <v>1908</v>
      </c>
      <c r="D366" s="470">
        <v>0</v>
      </c>
      <c r="E366" s="463" t="s">
        <v>1799</v>
      </c>
      <c r="F366" s="471">
        <f t="shared" ref="F366:G372" si="40">J366+H366+L366</f>
        <v>847</v>
      </c>
      <c r="G366" s="446">
        <f t="shared" si="40"/>
        <v>0</v>
      </c>
      <c r="H366" s="472">
        <f>단가산출근거목록표!F144</f>
        <v>797</v>
      </c>
      <c r="I366" s="465">
        <f t="shared" ref="I366:I372" si="41">ROUNDDOWN(H366*D366,0)</f>
        <v>0</v>
      </c>
      <c r="J366" s="473">
        <f>단가산출근거목록표!G144</f>
        <v>50</v>
      </c>
      <c r="K366" s="465">
        <f t="shared" ref="K366:K372" si="42">ROUNDDOWN(J366*D366,0)</f>
        <v>0</v>
      </c>
      <c r="L366" s="474">
        <f>단가산출근거목록표!H144</f>
        <v>0</v>
      </c>
      <c r="M366" s="467">
        <f t="shared" ref="M366:M372" si="43">ROUNDDOWN(L366*D366,0)</f>
        <v>0</v>
      </c>
      <c r="N366" s="463" t="s">
        <v>1909</v>
      </c>
      <c r="O366" s="451" t="s">
        <v>1910</v>
      </c>
      <c r="P366" s="468" t="s">
        <v>1911</v>
      </c>
      <c r="Q366" s="468" t="s">
        <v>909</v>
      </c>
      <c r="AC366" s="433" t="str">
        <f ca="1">HYPERLINK("#"&amp;단가산출근거목록표!J2&amp;"!A"&amp;ROW(단가산출근거목록표!A144),"D01297 →")</f>
        <v>D01297 →</v>
      </c>
    </row>
    <row r="367" spans="1:29" ht="35.25" customHeight="1">
      <c r="A367" s="452"/>
      <c r="B367" s="452" t="s">
        <v>5425</v>
      </c>
      <c r="C367" s="449" t="s">
        <v>1913</v>
      </c>
      <c r="D367" s="470">
        <v>0</v>
      </c>
      <c r="E367" s="463" t="s">
        <v>595</v>
      </c>
      <c r="F367" s="471">
        <f t="shared" si="40"/>
        <v>16259</v>
      </c>
      <c r="G367" s="446">
        <f t="shared" si="40"/>
        <v>0</v>
      </c>
      <c r="H367" s="472">
        <f>일위대가목록표!F272</f>
        <v>7079</v>
      </c>
      <c r="I367" s="465">
        <f t="shared" si="41"/>
        <v>0</v>
      </c>
      <c r="J367" s="473">
        <f>일위대가목록표!G272</f>
        <v>9180</v>
      </c>
      <c r="K367" s="465">
        <f t="shared" si="42"/>
        <v>0</v>
      </c>
      <c r="L367" s="474">
        <f>일위대가목록표!H272</f>
        <v>0</v>
      </c>
      <c r="M367" s="467">
        <f t="shared" si="43"/>
        <v>0</v>
      </c>
      <c r="N367" s="463" t="s">
        <v>5426</v>
      </c>
      <c r="O367" s="451" t="s">
        <v>5427</v>
      </c>
      <c r="P367" s="468" t="s">
        <v>5428</v>
      </c>
      <c r="Q367" s="468" t="s">
        <v>909</v>
      </c>
      <c r="AC367" s="433" t="str">
        <f ca="1">HYPERLINK("#"&amp;일위대가목록표!J2&amp;"!A"&amp;ROW(일위대가목록표!A272),"B02892 →")</f>
        <v>B02892 →</v>
      </c>
    </row>
    <row r="368" spans="1:29" ht="35.25" customHeight="1">
      <c r="A368" s="452"/>
      <c r="B368" s="452" t="s">
        <v>5425</v>
      </c>
      <c r="C368" s="449" t="s">
        <v>1917</v>
      </c>
      <c r="D368" s="470">
        <v>0</v>
      </c>
      <c r="E368" s="463" t="s">
        <v>595</v>
      </c>
      <c r="F368" s="471">
        <f t="shared" si="40"/>
        <v>7895</v>
      </c>
      <c r="G368" s="446">
        <f t="shared" si="40"/>
        <v>0</v>
      </c>
      <c r="H368" s="472">
        <f>일위대가목록표!F271</f>
        <v>6246</v>
      </c>
      <c r="I368" s="465">
        <f t="shared" si="41"/>
        <v>0</v>
      </c>
      <c r="J368" s="473">
        <f>일위대가목록표!G271</f>
        <v>1649</v>
      </c>
      <c r="K368" s="465">
        <f t="shared" si="42"/>
        <v>0</v>
      </c>
      <c r="L368" s="474">
        <f>일위대가목록표!H271</f>
        <v>0</v>
      </c>
      <c r="M368" s="467">
        <f t="shared" si="43"/>
        <v>0</v>
      </c>
      <c r="N368" s="463" t="s">
        <v>5429</v>
      </c>
      <c r="O368" s="451" t="s">
        <v>5430</v>
      </c>
      <c r="P368" s="468" t="s">
        <v>5431</v>
      </c>
      <c r="Q368" s="468" t="s">
        <v>909</v>
      </c>
      <c r="AC368" s="433" t="str">
        <f ca="1">HYPERLINK("#"&amp;일위대가목록표!J2&amp;"!A"&amp;ROW(일위대가목록표!A271),"B02893 →")</f>
        <v>B02893 →</v>
      </c>
    </row>
    <row r="369" spans="1:29" ht="35.25" customHeight="1">
      <c r="A369" s="452"/>
      <c r="B369" s="452" t="s">
        <v>5432</v>
      </c>
      <c r="C369" s="449" t="s">
        <v>1913</v>
      </c>
      <c r="D369" s="470">
        <v>0</v>
      </c>
      <c r="E369" s="463" t="s">
        <v>595</v>
      </c>
      <c r="F369" s="471">
        <f t="shared" si="40"/>
        <v>16875</v>
      </c>
      <c r="G369" s="446">
        <f t="shared" si="40"/>
        <v>0</v>
      </c>
      <c r="H369" s="472">
        <f>일위대가목록표!F274</f>
        <v>7695</v>
      </c>
      <c r="I369" s="465">
        <f t="shared" si="41"/>
        <v>0</v>
      </c>
      <c r="J369" s="473">
        <f>일위대가목록표!G274</f>
        <v>9180</v>
      </c>
      <c r="K369" s="465">
        <f t="shared" si="42"/>
        <v>0</v>
      </c>
      <c r="L369" s="474">
        <f>일위대가목록표!H274</f>
        <v>0</v>
      </c>
      <c r="M369" s="467">
        <f t="shared" si="43"/>
        <v>0</v>
      </c>
      <c r="N369" s="463" t="s">
        <v>5433</v>
      </c>
      <c r="O369" s="451" t="s">
        <v>5434</v>
      </c>
      <c r="P369" s="468" t="s">
        <v>5435</v>
      </c>
      <c r="Q369" s="468" t="s">
        <v>909</v>
      </c>
      <c r="AC369" s="433" t="str">
        <f ca="1">HYPERLINK("#"&amp;일위대가목록표!J2&amp;"!A"&amp;ROW(일위대가목록표!A274),"B02821 →")</f>
        <v>B02821 →</v>
      </c>
    </row>
    <row r="370" spans="1:29" ht="35.25" customHeight="1">
      <c r="A370" s="452"/>
      <c r="B370" s="452" t="s">
        <v>5432</v>
      </c>
      <c r="C370" s="449" t="s">
        <v>1917</v>
      </c>
      <c r="D370" s="470">
        <v>0</v>
      </c>
      <c r="E370" s="463" t="s">
        <v>595</v>
      </c>
      <c r="F370" s="471">
        <f t="shared" si="40"/>
        <v>8439</v>
      </c>
      <c r="G370" s="446">
        <f t="shared" si="40"/>
        <v>0</v>
      </c>
      <c r="H370" s="472">
        <f>일위대가목록표!F273</f>
        <v>6790</v>
      </c>
      <c r="I370" s="465">
        <f t="shared" si="41"/>
        <v>0</v>
      </c>
      <c r="J370" s="473">
        <f>일위대가목록표!G273</f>
        <v>1649</v>
      </c>
      <c r="K370" s="465">
        <f t="shared" si="42"/>
        <v>0</v>
      </c>
      <c r="L370" s="474">
        <f>일위대가목록표!H273</f>
        <v>0</v>
      </c>
      <c r="M370" s="467">
        <f t="shared" si="43"/>
        <v>0</v>
      </c>
      <c r="N370" s="463" t="s">
        <v>5436</v>
      </c>
      <c r="O370" s="451" t="s">
        <v>5437</v>
      </c>
      <c r="P370" s="468" t="s">
        <v>5438</v>
      </c>
      <c r="Q370" s="468" t="s">
        <v>909</v>
      </c>
      <c r="AC370" s="433" t="str">
        <f ca="1">HYPERLINK("#"&amp;일위대가목록표!J2&amp;"!A"&amp;ROW(일위대가목록표!A273),"B02822 →")</f>
        <v>B02822 →</v>
      </c>
    </row>
    <row r="371" spans="1:29" ht="35.25" customHeight="1">
      <c r="A371" s="452"/>
      <c r="B371" s="452" t="s">
        <v>1912</v>
      </c>
      <c r="C371" s="449" t="s">
        <v>1913</v>
      </c>
      <c r="D371" s="470">
        <v>0</v>
      </c>
      <c r="E371" s="463" t="s">
        <v>595</v>
      </c>
      <c r="F371" s="471">
        <f t="shared" si="40"/>
        <v>15336</v>
      </c>
      <c r="G371" s="446">
        <f t="shared" si="40"/>
        <v>0</v>
      </c>
      <c r="H371" s="472">
        <f>일위대가목록표!F270</f>
        <v>6156</v>
      </c>
      <c r="I371" s="465">
        <f t="shared" si="41"/>
        <v>0</v>
      </c>
      <c r="J371" s="473">
        <f>일위대가목록표!G270</f>
        <v>9180</v>
      </c>
      <c r="K371" s="465">
        <f t="shared" si="42"/>
        <v>0</v>
      </c>
      <c r="L371" s="474">
        <f>일위대가목록표!H270</f>
        <v>0</v>
      </c>
      <c r="M371" s="467">
        <f t="shared" si="43"/>
        <v>0</v>
      </c>
      <c r="N371" s="463" t="s">
        <v>1914</v>
      </c>
      <c r="O371" s="451" t="s">
        <v>1915</v>
      </c>
      <c r="P371" s="468" t="s">
        <v>1916</v>
      </c>
      <c r="Q371" s="468" t="s">
        <v>909</v>
      </c>
      <c r="AC371" s="433" t="str">
        <f ca="1">HYPERLINK("#"&amp;일위대가목록표!J2&amp;"!A"&amp;ROW(일위대가목록표!A270),"B02071 →")</f>
        <v>B02071 →</v>
      </c>
    </row>
    <row r="372" spans="1:29" ht="35.25" customHeight="1">
      <c r="A372" s="452"/>
      <c r="B372" s="452" t="s">
        <v>1912</v>
      </c>
      <c r="C372" s="449" t="s">
        <v>1917</v>
      </c>
      <c r="D372" s="470">
        <v>0</v>
      </c>
      <c r="E372" s="463" t="s">
        <v>595</v>
      </c>
      <c r="F372" s="471">
        <f t="shared" si="40"/>
        <v>7081</v>
      </c>
      <c r="G372" s="446">
        <f t="shared" si="40"/>
        <v>0</v>
      </c>
      <c r="H372" s="472">
        <f>일위대가목록표!F269</f>
        <v>5432</v>
      </c>
      <c r="I372" s="465">
        <f t="shared" si="41"/>
        <v>0</v>
      </c>
      <c r="J372" s="473">
        <f>일위대가목록표!G269</f>
        <v>1649</v>
      </c>
      <c r="K372" s="465">
        <f t="shared" si="42"/>
        <v>0</v>
      </c>
      <c r="L372" s="474">
        <f>일위대가목록표!H269</f>
        <v>0</v>
      </c>
      <c r="M372" s="467">
        <f t="shared" si="43"/>
        <v>0</v>
      </c>
      <c r="N372" s="463" t="s">
        <v>1918</v>
      </c>
      <c r="O372" s="451" t="s">
        <v>1919</v>
      </c>
      <c r="P372" s="468" t="s">
        <v>1920</v>
      </c>
      <c r="Q372" s="468" t="s">
        <v>909</v>
      </c>
      <c r="AC372" s="433" t="str">
        <f ca="1">HYPERLINK("#"&amp;일위대가목록표!J2&amp;"!A"&amp;ROW(일위대가목록표!A269),"B02690 →")</f>
        <v>B02690 →</v>
      </c>
    </row>
    <row r="373" spans="1:29" ht="35.25" customHeight="1">
      <c r="A373" s="461" t="s">
        <v>862</v>
      </c>
      <c r="B373" s="461" t="s">
        <v>863</v>
      </c>
      <c r="C373" s="469"/>
      <c r="D373" s="462"/>
      <c r="E373" s="463"/>
      <c r="F373" s="464">
        <v>0</v>
      </c>
      <c r="G373" s="453">
        <f>SUMIF(Q374:Q406,P373,G374:G406)</f>
        <v>2081873</v>
      </c>
      <c r="H373" s="465">
        <v>0</v>
      </c>
      <c r="I373" s="446">
        <f>SUMIF(Q374:Q406,P373,I374:I406)</f>
        <v>2021268</v>
      </c>
      <c r="J373" s="465">
        <v>0</v>
      </c>
      <c r="K373" s="466">
        <f>SUMIF(Q374:Q406,P373,K374:K406)</f>
        <v>0</v>
      </c>
      <c r="L373" s="467">
        <v>0</v>
      </c>
      <c r="M373" s="466">
        <f>SUMIF(Q374:Q406,P373,M374:M406)</f>
        <v>60605</v>
      </c>
      <c r="N373" s="463"/>
      <c r="O373" s="451" t="str">
        <f>"_x0007_`COD|E4_x0005_`QTY1|1_x0005_`EXI|0_x0005_`ITT|0_x0005_`END|"&amp;ROW(M407)&amp;"_x0005_`"</f>
        <v>_x0007_`COD|E4_x0005_`QTY1|1_x0005_`EXI|0_x0005_`ITT|0_x0005_`END|407_x0005_`</v>
      </c>
      <c r="P373" s="468" t="s">
        <v>909</v>
      </c>
      <c r="Q373" s="468" t="s">
        <v>907</v>
      </c>
    </row>
    <row r="374" spans="1:29" ht="35.25" customHeight="1">
      <c r="A374" s="452"/>
      <c r="B374" s="452" t="s">
        <v>1921</v>
      </c>
      <c r="C374" s="449" t="s">
        <v>1922</v>
      </c>
      <c r="D374" s="470">
        <v>0</v>
      </c>
      <c r="E374" s="463" t="s">
        <v>595</v>
      </c>
      <c r="F374" s="471">
        <f t="shared" ref="F374:G406" si="44">J374+H374+L374</f>
        <v>1095</v>
      </c>
      <c r="G374" s="446">
        <f t="shared" si="44"/>
        <v>0</v>
      </c>
      <c r="H374" s="472">
        <f>단가산출근거목록표!F134</f>
        <v>1095</v>
      </c>
      <c r="I374" s="465">
        <f t="shared" ref="I374:I406" si="45">ROUNDDOWN(H374*D374,0)</f>
        <v>0</v>
      </c>
      <c r="J374" s="473">
        <f>단가산출근거목록표!G134</f>
        <v>0</v>
      </c>
      <c r="K374" s="465">
        <f t="shared" ref="K374:K406" si="46">ROUNDDOWN(J374*D374,0)</f>
        <v>0</v>
      </c>
      <c r="L374" s="474">
        <f>단가산출근거목록표!H134</f>
        <v>0</v>
      </c>
      <c r="M374" s="467">
        <f t="shared" ref="M374:M406" si="47">ROUNDDOWN(L374*D374,0)</f>
        <v>0</v>
      </c>
      <c r="N374" s="463" t="s">
        <v>1923</v>
      </c>
      <c r="O374" s="451" t="s">
        <v>1924</v>
      </c>
      <c r="P374" s="468" t="s">
        <v>1925</v>
      </c>
      <c r="Q374" s="468" t="s">
        <v>909</v>
      </c>
      <c r="AC374" s="433" t="str">
        <f ca="1">HYPERLINK("#"&amp;단가산출근거목록표!J2&amp;"!A"&amp;ROW(단가산출근거목록표!A134),"D01210 →")</f>
        <v>D01210 →</v>
      </c>
    </row>
    <row r="375" spans="1:29" ht="35.25" customHeight="1">
      <c r="A375" s="452"/>
      <c r="B375" s="452" t="s">
        <v>5439</v>
      </c>
      <c r="C375" s="449" t="s">
        <v>1927</v>
      </c>
      <c r="D375" s="470">
        <v>0</v>
      </c>
      <c r="E375" s="463" t="s">
        <v>595</v>
      </c>
      <c r="F375" s="471">
        <f t="shared" si="44"/>
        <v>600</v>
      </c>
      <c r="G375" s="446">
        <f t="shared" si="44"/>
        <v>0</v>
      </c>
      <c r="H375" s="472">
        <f>단가산출근거목록표!F75</f>
        <v>566</v>
      </c>
      <c r="I375" s="465">
        <f t="shared" si="45"/>
        <v>0</v>
      </c>
      <c r="J375" s="473">
        <f>단가산출근거목록표!G75</f>
        <v>0</v>
      </c>
      <c r="K375" s="465">
        <f t="shared" si="46"/>
        <v>0</v>
      </c>
      <c r="L375" s="474">
        <f>단가산출근거목록표!H75</f>
        <v>34</v>
      </c>
      <c r="M375" s="467">
        <f t="shared" si="47"/>
        <v>0</v>
      </c>
      <c r="N375" s="463" t="s">
        <v>5440</v>
      </c>
      <c r="O375" s="451" t="s">
        <v>5441</v>
      </c>
      <c r="P375" s="468" t="s">
        <v>5442</v>
      </c>
      <c r="Q375" s="468" t="s">
        <v>909</v>
      </c>
      <c r="AC375" s="433" t="str">
        <f ca="1">HYPERLINK("#"&amp;단가산출근거목록표!J2&amp;"!A"&amp;ROW(단가산출근거목록표!A75),"D01336 →")</f>
        <v>D01336 →</v>
      </c>
    </row>
    <row r="376" spans="1:29" ht="35.25" customHeight="1">
      <c r="A376" s="452"/>
      <c r="B376" s="452" t="s">
        <v>5439</v>
      </c>
      <c r="C376" s="449" t="s">
        <v>1931</v>
      </c>
      <c r="D376" s="470">
        <v>0</v>
      </c>
      <c r="E376" s="463" t="s">
        <v>595</v>
      </c>
      <c r="F376" s="471">
        <f t="shared" si="44"/>
        <v>514</v>
      </c>
      <c r="G376" s="446">
        <f t="shared" si="44"/>
        <v>0</v>
      </c>
      <c r="H376" s="472">
        <f>단가산출근거목록표!F76</f>
        <v>485</v>
      </c>
      <c r="I376" s="465">
        <f t="shared" si="45"/>
        <v>0</v>
      </c>
      <c r="J376" s="473">
        <f>단가산출근거목록표!G76</f>
        <v>0</v>
      </c>
      <c r="K376" s="465">
        <f t="shared" si="46"/>
        <v>0</v>
      </c>
      <c r="L376" s="474">
        <f>단가산출근거목록표!H76</f>
        <v>29</v>
      </c>
      <c r="M376" s="467">
        <f t="shared" si="47"/>
        <v>0</v>
      </c>
      <c r="N376" s="463" t="s">
        <v>5443</v>
      </c>
      <c r="O376" s="451" t="s">
        <v>5444</v>
      </c>
      <c r="P376" s="468" t="s">
        <v>5445</v>
      </c>
      <c r="Q376" s="468" t="s">
        <v>909</v>
      </c>
      <c r="AC376" s="433" t="str">
        <f ca="1">HYPERLINK("#"&amp;단가산출근거목록표!J2&amp;"!A"&amp;ROW(단가산출근거목록표!A76),"D01337 →")</f>
        <v>D01337 →</v>
      </c>
    </row>
    <row r="377" spans="1:29" ht="35.25" customHeight="1">
      <c r="A377" s="452"/>
      <c r="B377" s="452" t="s">
        <v>5439</v>
      </c>
      <c r="C377" s="449" t="s">
        <v>1935</v>
      </c>
      <c r="D377" s="470">
        <v>0</v>
      </c>
      <c r="E377" s="463" t="s">
        <v>595</v>
      </c>
      <c r="F377" s="471">
        <f t="shared" si="44"/>
        <v>399</v>
      </c>
      <c r="G377" s="446">
        <f t="shared" si="44"/>
        <v>0</v>
      </c>
      <c r="H377" s="472">
        <f>단가산출근거목록표!F77</f>
        <v>377</v>
      </c>
      <c r="I377" s="465">
        <f t="shared" si="45"/>
        <v>0</v>
      </c>
      <c r="J377" s="473">
        <f>단가산출근거목록표!G77</f>
        <v>0</v>
      </c>
      <c r="K377" s="465">
        <f t="shared" si="46"/>
        <v>0</v>
      </c>
      <c r="L377" s="474">
        <f>단가산출근거목록표!H77</f>
        <v>22</v>
      </c>
      <c r="M377" s="467">
        <f t="shared" si="47"/>
        <v>0</v>
      </c>
      <c r="N377" s="463" t="s">
        <v>5446</v>
      </c>
      <c r="O377" s="451" t="s">
        <v>5447</v>
      </c>
      <c r="P377" s="468" t="s">
        <v>5448</v>
      </c>
      <c r="Q377" s="468" t="s">
        <v>909</v>
      </c>
      <c r="AC377" s="433" t="str">
        <f ca="1">HYPERLINK("#"&amp;단가산출근거목록표!J2&amp;"!A"&amp;ROW(단가산출근거목록표!A77),"D01338 →")</f>
        <v>D01338 →</v>
      </c>
    </row>
    <row r="378" spans="1:29" ht="35.25" customHeight="1">
      <c r="A378" s="452"/>
      <c r="B378" s="452" t="s">
        <v>1926</v>
      </c>
      <c r="C378" s="449" t="s">
        <v>1927</v>
      </c>
      <c r="D378" s="470">
        <v>0</v>
      </c>
      <c r="E378" s="463" t="s">
        <v>595</v>
      </c>
      <c r="F378" s="471">
        <f t="shared" si="44"/>
        <v>514</v>
      </c>
      <c r="G378" s="446">
        <f t="shared" si="44"/>
        <v>0</v>
      </c>
      <c r="H378" s="472">
        <f>단가산출근거목록표!F72</f>
        <v>485</v>
      </c>
      <c r="I378" s="465">
        <f t="shared" si="45"/>
        <v>0</v>
      </c>
      <c r="J378" s="473">
        <f>단가산출근거목록표!G72</f>
        <v>0</v>
      </c>
      <c r="K378" s="465">
        <f t="shared" si="46"/>
        <v>0</v>
      </c>
      <c r="L378" s="474">
        <f>단가산출근거목록표!H72</f>
        <v>29</v>
      </c>
      <c r="M378" s="467">
        <f t="shared" si="47"/>
        <v>0</v>
      </c>
      <c r="N378" s="463" t="s">
        <v>1928</v>
      </c>
      <c r="O378" s="451" t="s">
        <v>1929</v>
      </c>
      <c r="P378" s="468" t="s">
        <v>1930</v>
      </c>
      <c r="Q378" s="468" t="s">
        <v>909</v>
      </c>
      <c r="AC378" s="433" t="str">
        <f ca="1">HYPERLINK("#"&amp;단가산출근거목록표!J2&amp;"!A"&amp;ROW(단가산출근거목록표!A72),"D01238 →")</f>
        <v>D01238 →</v>
      </c>
    </row>
    <row r="379" spans="1:29" ht="35.25" customHeight="1">
      <c r="A379" s="452"/>
      <c r="B379" s="452" t="s">
        <v>1926</v>
      </c>
      <c r="C379" s="449" t="s">
        <v>1931</v>
      </c>
      <c r="D379" s="470">
        <v>0</v>
      </c>
      <c r="E379" s="463" t="s">
        <v>595</v>
      </c>
      <c r="F379" s="471">
        <f t="shared" si="44"/>
        <v>450</v>
      </c>
      <c r="G379" s="446">
        <f t="shared" si="44"/>
        <v>0</v>
      </c>
      <c r="H379" s="472">
        <f>단가산출근거목록표!F73</f>
        <v>425</v>
      </c>
      <c r="I379" s="465">
        <f t="shared" si="45"/>
        <v>0</v>
      </c>
      <c r="J379" s="473">
        <f>단가산출근거목록표!G73</f>
        <v>0</v>
      </c>
      <c r="K379" s="465">
        <f t="shared" si="46"/>
        <v>0</v>
      </c>
      <c r="L379" s="474">
        <f>단가산출근거목록표!H73</f>
        <v>25</v>
      </c>
      <c r="M379" s="467">
        <f t="shared" si="47"/>
        <v>0</v>
      </c>
      <c r="N379" s="463" t="s">
        <v>1932</v>
      </c>
      <c r="O379" s="451" t="s">
        <v>1933</v>
      </c>
      <c r="P379" s="468" t="s">
        <v>1934</v>
      </c>
      <c r="Q379" s="468" t="s">
        <v>909</v>
      </c>
      <c r="AC379" s="433" t="str">
        <f ca="1">HYPERLINK("#"&amp;단가산출근거목록표!J2&amp;"!A"&amp;ROW(단가산출근거목록표!A73),"D01277 →")</f>
        <v>D01277 →</v>
      </c>
    </row>
    <row r="380" spans="1:29" ht="35.25" customHeight="1">
      <c r="A380" s="452"/>
      <c r="B380" s="452" t="s">
        <v>1926</v>
      </c>
      <c r="C380" s="449" t="s">
        <v>1935</v>
      </c>
      <c r="D380" s="470">
        <v>0</v>
      </c>
      <c r="E380" s="463" t="s">
        <v>595</v>
      </c>
      <c r="F380" s="471">
        <f t="shared" si="44"/>
        <v>360</v>
      </c>
      <c r="G380" s="446">
        <f t="shared" si="44"/>
        <v>0</v>
      </c>
      <c r="H380" s="472">
        <f>단가산출근거목록표!F74</f>
        <v>340</v>
      </c>
      <c r="I380" s="465">
        <f t="shared" si="45"/>
        <v>0</v>
      </c>
      <c r="J380" s="473">
        <f>단가산출근거목록표!G74</f>
        <v>0</v>
      </c>
      <c r="K380" s="465">
        <f t="shared" si="46"/>
        <v>0</v>
      </c>
      <c r="L380" s="474">
        <f>단가산출근거목록표!H74</f>
        <v>20</v>
      </c>
      <c r="M380" s="467">
        <f t="shared" si="47"/>
        <v>0</v>
      </c>
      <c r="N380" s="463" t="s">
        <v>1936</v>
      </c>
      <c r="O380" s="451" t="s">
        <v>1937</v>
      </c>
      <c r="P380" s="468" t="s">
        <v>1938</v>
      </c>
      <c r="Q380" s="468" t="s">
        <v>909</v>
      </c>
      <c r="AC380" s="433" t="str">
        <f ca="1">HYPERLINK("#"&amp;단가산출근거목록표!J2&amp;"!A"&amp;ROW(단가산출근거목록표!A74),"D01278 →")</f>
        <v>D01278 →</v>
      </c>
    </row>
    <row r="381" spans="1:29" ht="35.25" customHeight="1">
      <c r="A381" s="452"/>
      <c r="B381" s="452" t="s">
        <v>5449</v>
      </c>
      <c r="C381" s="449" t="s">
        <v>1940</v>
      </c>
      <c r="D381" s="470">
        <v>0</v>
      </c>
      <c r="E381" s="463" t="s">
        <v>1799</v>
      </c>
      <c r="F381" s="471">
        <f t="shared" si="44"/>
        <v>21058</v>
      </c>
      <c r="G381" s="446">
        <f t="shared" si="44"/>
        <v>0</v>
      </c>
      <c r="H381" s="472">
        <f>단가산출근거목록표!F92</f>
        <v>20523</v>
      </c>
      <c r="I381" s="465">
        <f t="shared" si="45"/>
        <v>0</v>
      </c>
      <c r="J381" s="473">
        <f>단가산출근거목록표!G92</f>
        <v>0</v>
      </c>
      <c r="K381" s="465">
        <f t="shared" si="46"/>
        <v>0</v>
      </c>
      <c r="L381" s="474">
        <f>단가산출근거목록표!H92</f>
        <v>535</v>
      </c>
      <c r="M381" s="467">
        <f t="shared" si="47"/>
        <v>0</v>
      </c>
      <c r="N381" s="463" t="s">
        <v>5450</v>
      </c>
      <c r="O381" s="451" t="s">
        <v>5451</v>
      </c>
      <c r="P381" s="468" t="s">
        <v>5452</v>
      </c>
      <c r="Q381" s="468" t="s">
        <v>909</v>
      </c>
      <c r="AC381" s="433" t="str">
        <f ca="1">HYPERLINK("#"&amp;단가산출근거목록표!J2&amp;"!A"&amp;ROW(단가산출근거목록표!A92),"D01362 →")</f>
        <v>D01362 →</v>
      </c>
    </row>
    <row r="382" spans="1:29" ht="35.25" customHeight="1">
      <c r="A382" s="452"/>
      <c r="B382" s="452" t="s">
        <v>5449</v>
      </c>
      <c r="C382" s="449" t="s">
        <v>1944</v>
      </c>
      <c r="D382" s="470">
        <v>0</v>
      </c>
      <c r="E382" s="463" t="s">
        <v>1799</v>
      </c>
      <c r="F382" s="471">
        <f t="shared" si="44"/>
        <v>34459</v>
      </c>
      <c r="G382" s="446">
        <f t="shared" si="44"/>
        <v>0</v>
      </c>
      <c r="H382" s="472">
        <f>단가산출근거목록표!F93</f>
        <v>33583</v>
      </c>
      <c r="I382" s="465">
        <f t="shared" si="45"/>
        <v>0</v>
      </c>
      <c r="J382" s="473">
        <f>단가산출근거목록표!G93</f>
        <v>0</v>
      </c>
      <c r="K382" s="465">
        <f t="shared" si="46"/>
        <v>0</v>
      </c>
      <c r="L382" s="474">
        <f>단가산출근거목록표!H93</f>
        <v>876</v>
      </c>
      <c r="M382" s="467">
        <f t="shared" si="47"/>
        <v>0</v>
      </c>
      <c r="N382" s="463" t="s">
        <v>5453</v>
      </c>
      <c r="O382" s="451" t="s">
        <v>5454</v>
      </c>
      <c r="P382" s="468" t="s">
        <v>5455</v>
      </c>
      <c r="Q382" s="468" t="s">
        <v>909</v>
      </c>
      <c r="AC382" s="433" t="str">
        <f ca="1">HYPERLINK("#"&amp;단가산출근거목록표!J2&amp;"!A"&amp;ROW(단가산출근거목록표!A93),"D01363 →")</f>
        <v>D01363 →</v>
      </c>
    </row>
    <row r="383" spans="1:29" ht="35.25" customHeight="1">
      <c r="A383" s="452"/>
      <c r="B383" s="452" t="s">
        <v>5449</v>
      </c>
      <c r="C383" s="449" t="s">
        <v>1948</v>
      </c>
      <c r="D383" s="470">
        <v>0</v>
      </c>
      <c r="E383" s="463" t="s">
        <v>1799</v>
      </c>
      <c r="F383" s="471">
        <f t="shared" si="44"/>
        <v>58316</v>
      </c>
      <c r="G383" s="446">
        <f t="shared" si="44"/>
        <v>0</v>
      </c>
      <c r="H383" s="472">
        <f>단가산출근거목록표!F94</f>
        <v>56834</v>
      </c>
      <c r="I383" s="465">
        <f t="shared" si="45"/>
        <v>0</v>
      </c>
      <c r="J383" s="473">
        <f>단가산출근거목록표!G94</f>
        <v>0</v>
      </c>
      <c r="K383" s="465">
        <f t="shared" si="46"/>
        <v>0</v>
      </c>
      <c r="L383" s="474">
        <f>단가산출근거목록표!H94</f>
        <v>1482</v>
      </c>
      <c r="M383" s="467">
        <f t="shared" si="47"/>
        <v>0</v>
      </c>
      <c r="N383" s="463" t="s">
        <v>5456</v>
      </c>
      <c r="O383" s="451" t="s">
        <v>5457</v>
      </c>
      <c r="P383" s="468" t="s">
        <v>5458</v>
      </c>
      <c r="Q383" s="468" t="s">
        <v>909</v>
      </c>
      <c r="AC383" s="433" t="str">
        <f ca="1">HYPERLINK("#"&amp;단가산출근거목록표!J2&amp;"!A"&amp;ROW(단가산출근거목록표!A94),"D01364 →")</f>
        <v>D01364 →</v>
      </c>
    </row>
    <row r="384" spans="1:29" ht="35.25" customHeight="1">
      <c r="A384" s="452"/>
      <c r="B384" s="452" t="s">
        <v>5459</v>
      </c>
      <c r="C384" s="449" t="s">
        <v>1940</v>
      </c>
      <c r="D384" s="470">
        <v>0</v>
      </c>
      <c r="E384" s="463" t="s">
        <v>1799</v>
      </c>
      <c r="F384" s="471">
        <f t="shared" si="44"/>
        <v>22843</v>
      </c>
      <c r="G384" s="446">
        <f t="shared" si="44"/>
        <v>0</v>
      </c>
      <c r="H384" s="472">
        <f>단가산출근거목록표!F98</f>
        <v>22308</v>
      </c>
      <c r="I384" s="465">
        <f t="shared" si="45"/>
        <v>0</v>
      </c>
      <c r="J384" s="473">
        <f>단가산출근거목록표!G98</f>
        <v>0</v>
      </c>
      <c r="K384" s="465">
        <f t="shared" si="46"/>
        <v>0</v>
      </c>
      <c r="L384" s="474">
        <f>단가산출근거목록표!H98</f>
        <v>535</v>
      </c>
      <c r="M384" s="467">
        <f t="shared" si="47"/>
        <v>0</v>
      </c>
      <c r="N384" s="463" t="s">
        <v>5460</v>
      </c>
      <c r="O384" s="451" t="s">
        <v>5461</v>
      </c>
      <c r="P384" s="468" t="s">
        <v>5462</v>
      </c>
      <c r="Q384" s="468" t="s">
        <v>909</v>
      </c>
      <c r="AC384" s="433" t="str">
        <f ca="1">HYPERLINK("#"&amp;단가산출근거목록표!J2&amp;"!A"&amp;ROW(단가산출근거목록표!A98),"D01339 →")</f>
        <v>D01339 →</v>
      </c>
    </row>
    <row r="385" spans="1:29" ht="35.25" customHeight="1">
      <c r="A385" s="452"/>
      <c r="B385" s="452" t="s">
        <v>5459</v>
      </c>
      <c r="C385" s="449" t="s">
        <v>1944</v>
      </c>
      <c r="D385" s="470">
        <v>0</v>
      </c>
      <c r="E385" s="463" t="s">
        <v>1799</v>
      </c>
      <c r="F385" s="471">
        <f t="shared" si="44"/>
        <v>37380</v>
      </c>
      <c r="G385" s="446">
        <f t="shared" si="44"/>
        <v>0</v>
      </c>
      <c r="H385" s="472">
        <f>단가산출근거목록표!F99</f>
        <v>36504</v>
      </c>
      <c r="I385" s="465">
        <f t="shared" si="45"/>
        <v>0</v>
      </c>
      <c r="J385" s="473">
        <f>단가산출근거목록표!G99</f>
        <v>0</v>
      </c>
      <c r="K385" s="465">
        <f t="shared" si="46"/>
        <v>0</v>
      </c>
      <c r="L385" s="474">
        <f>단가산출근거목록표!H99</f>
        <v>876</v>
      </c>
      <c r="M385" s="467">
        <f t="shared" si="47"/>
        <v>0</v>
      </c>
      <c r="N385" s="463" t="s">
        <v>5463</v>
      </c>
      <c r="O385" s="451" t="s">
        <v>5464</v>
      </c>
      <c r="P385" s="468" t="s">
        <v>5465</v>
      </c>
      <c r="Q385" s="468" t="s">
        <v>909</v>
      </c>
      <c r="AC385" s="433" t="str">
        <f ca="1">HYPERLINK("#"&amp;단가산출근거목록표!J2&amp;"!A"&amp;ROW(단가산출근거목록표!A99),"D01340 →")</f>
        <v>D01340 →</v>
      </c>
    </row>
    <row r="386" spans="1:29" ht="35.25" customHeight="1">
      <c r="A386" s="452"/>
      <c r="B386" s="452" t="s">
        <v>5459</v>
      </c>
      <c r="C386" s="449" t="s">
        <v>1948</v>
      </c>
      <c r="D386" s="470">
        <v>0</v>
      </c>
      <c r="E386" s="463" t="s">
        <v>1799</v>
      </c>
      <c r="F386" s="471">
        <f t="shared" si="44"/>
        <v>63258</v>
      </c>
      <c r="G386" s="446">
        <f t="shared" si="44"/>
        <v>0</v>
      </c>
      <c r="H386" s="472">
        <f>단가산출근거목록표!F100</f>
        <v>61776</v>
      </c>
      <c r="I386" s="465">
        <f t="shared" si="45"/>
        <v>0</v>
      </c>
      <c r="J386" s="473">
        <f>단가산출근거목록표!G100</f>
        <v>0</v>
      </c>
      <c r="K386" s="465">
        <f t="shared" si="46"/>
        <v>0</v>
      </c>
      <c r="L386" s="474">
        <f>단가산출근거목록표!H100</f>
        <v>1482</v>
      </c>
      <c r="M386" s="467">
        <f t="shared" si="47"/>
        <v>0</v>
      </c>
      <c r="N386" s="463" t="s">
        <v>5466</v>
      </c>
      <c r="O386" s="451" t="s">
        <v>5467</v>
      </c>
      <c r="P386" s="468" t="s">
        <v>5468</v>
      </c>
      <c r="Q386" s="468" t="s">
        <v>909</v>
      </c>
      <c r="AC386" s="433" t="str">
        <f ca="1">HYPERLINK("#"&amp;단가산출근거목록표!J2&amp;"!A"&amp;ROW(단가산출근거목록표!A100),"D01341 →")</f>
        <v>D01341 →</v>
      </c>
    </row>
    <row r="387" spans="1:29" ht="35.25" customHeight="1">
      <c r="A387" s="452"/>
      <c r="B387" s="452" t="s">
        <v>1939</v>
      </c>
      <c r="C387" s="449" t="s">
        <v>1940</v>
      </c>
      <c r="D387" s="470">
        <v>5</v>
      </c>
      <c r="E387" s="463" t="s">
        <v>1799</v>
      </c>
      <c r="F387" s="471">
        <f t="shared" si="44"/>
        <v>18381</v>
      </c>
      <c r="G387" s="446">
        <f t="shared" si="44"/>
        <v>91905</v>
      </c>
      <c r="H387" s="472">
        <f>단가산출근거목록표!F86</f>
        <v>17846</v>
      </c>
      <c r="I387" s="465">
        <f t="shared" si="45"/>
        <v>89230</v>
      </c>
      <c r="J387" s="473">
        <f>단가산출근거목록표!G86</f>
        <v>0</v>
      </c>
      <c r="K387" s="465">
        <f t="shared" si="46"/>
        <v>0</v>
      </c>
      <c r="L387" s="474">
        <f>단가산출근거목록표!H86</f>
        <v>535</v>
      </c>
      <c r="M387" s="467">
        <f t="shared" si="47"/>
        <v>2675</v>
      </c>
      <c r="N387" s="463" t="s">
        <v>1941</v>
      </c>
      <c r="O387" s="451" t="s">
        <v>1942</v>
      </c>
      <c r="P387" s="468" t="s">
        <v>1943</v>
      </c>
      <c r="Q387" s="468" t="s">
        <v>909</v>
      </c>
      <c r="AC387" s="433" t="str">
        <f ca="1">HYPERLINK("#"&amp;단가산출근거목록표!J2&amp;"!A"&amp;ROW(단가산출근거목록표!A86),"D01279 →")</f>
        <v>D01279 →</v>
      </c>
    </row>
    <row r="388" spans="1:29" ht="35.25" customHeight="1">
      <c r="A388" s="452"/>
      <c r="B388" s="452" t="s">
        <v>1939</v>
      </c>
      <c r="C388" s="449" t="s">
        <v>1944</v>
      </c>
      <c r="D388" s="470">
        <v>8</v>
      </c>
      <c r="E388" s="463" t="s">
        <v>1799</v>
      </c>
      <c r="F388" s="471">
        <f t="shared" si="44"/>
        <v>30079</v>
      </c>
      <c r="G388" s="446">
        <f t="shared" si="44"/>
        <v>240632</v>
      </c>
      <c r="H388" s="472">
        <f>단가산출근거목록표!F87</f>
        <v>29203</v>
      </c>
      <c r="I388" s="465">
        <f t="shared" si="45"/>
        <v>233624</v>
      </c>
      <c r="J388" s="473">
        <f>단가산출근거목록표!G87</f>
        <v>0</v>
      </c>
      <c r="K388" s="465">
        <f t="shared" si="46"/>
        <v>0</v>
      </c>
      <c r="L388" s="474">
        <f>단가산출근거목록표!H87</f>
        <v>876</v>
      </c>
      <c r="M388" s="467">
        <f t="shared" si="47"/>
        <v>7008</v>
      </c>
      <c r="N388" s="463" t="s">
        <v>1945</v>
      </c>
      <c r="O388" s="451" t="s">
        <v>1946</v>
      </c>
      <c r="P388" s="468" t="s">
        <v>1947</v>
      </c>
      <c r="Q388" s="468" t="s">
        <v>909</v>
      </c>
      <c r="AC388" s="433" t="str">
        <f ca="1">HYPERLINK("#"&amp;단가산출근거목록표!J2&amp;"!A"&amp;ROW(단가산출근거목록표!A87),"D01235 →")</f>
        <v>D01235 →</v>
      </c>
    </row>
    <row r="389" spans="1:29" ht="35.25" customHeight="1">
      <c r="A389" s="452"/>
      <c r="B389" s="452" t="s">
        <v>1939</v>
      </c>
      <c r="C389" s="449" t="s">
        <v>1948</v>
      </c>
      <c r="D389" s="470">
        <v>14</v>
      </c>
      <c r="E389" s="463" t="s">
        <v>1799</v>
      </c>
      <c r="F389" s="471">
        <f t="shared" si="44"/>
        <v>50903</v>
      </c>
      <c r="G389" s="446">
        <f t="shared" si="44"/>
        <v>712642</v>
      </c>
      <c r="H389" s="472">
        <f>단가산출근거목록표!F88</f>
        <v>49421</v>
      </c>
      <c r="I389" s="465">
        <f t="shared" si="45"/>
        <v>691894</v>
      </c>
      <c r="J389" s="473">
        <f>단가산출근거목록표!G88</f>
        <v>0</v>
      </c>
      <c r="K389" s="465">
        <f t="shared" si="46"/>
        <v>0</v>
      </c>
      <c r="L389" s="474">
        <f>단가산출근거목록표!H88</f>
        <v>1482</v>
      </c>
      <c r="M389" s="467">
        <f t="shared" si="47"/>
        <v>20748</v>
      </c>
      <c r="N389" s="463" t="s">
        <v>1949</v>
      </c>
      <c r="O389" s="451" t="s">
        <v>1950</v>
      </c>
      <c r="P389" s="468" t="s">
        <v>1951</v>
      </c>
      <c r="Q389" s="468" t="s">
        <v>909</v>
      </c>
      <c r="AC389" s="433" t="str">
        <f ca="1">HYPERLINK("#"&amp;단가산출근거목록표!J2&amp;"!A"&amp;ROW(단가산출근거목록표!A88),"D01236 →")</f>
        <v>D01236 →</v>
      </c>
    </row>
    <row r="390" spans="1:29" ht="35.25" customHeight="1">
      <c r="A390" s="452"/>
      <c r="B390" s="452" t="s">
        <v>1952</v>
      </c>
      <c r="C390" s="449" t="s">
        <v>1953</v>
      </c>
      <c r="D390" s="470">
        <v>0</v>
      </c>
      <c r="E390" s="463" t="s">
        <v>1799</v>
      </c>
      <c r="F390" s="471">
        <f t="shared" si="44"/>
        <v>68897</v>
      </c>
      <c r="G390" s="446">
        <f t="shared" si="44"/>
        <v>0</v>
      </c>
      <c r="H390" s="472">
        <f>단가산출근거목록표!F78</f>
        <v>57816</v>
      </c>
      <c r="I390" s="465">
        <f t="shared" si="45"/>
        <v>0</v>
      </c>
      <c r="J390" s="473">
        <f>단가산출근거목록표!G78</f>
        <v>2279</v>
      </c>
      <c r="K390" s="465">
        <f t="shared" si="46"/>
        <v>0</v>
      </c>
      <c r="L390" s="474">
        <f>단가산출근거목록표!H78</f>
        <v>8802</v>
      </c>
      <c r="M390" s="467">
        <f t="shared" si="47"/>
        <v>0</v>
      </c>
      <c r="N390" s="463" t="s">
        <v>1954</v>
      </c>
      <c r="O390" s="451" t="s">
        <v>1955</v>
      </c>
      <c r="P390" s="468" t="s">
        <v>1956</v>
      </c>
      <c r="Q390" s="468" t="s">
        <v>909</v>
      </c>
      <c r="AC390" s="433" t="str">
        <f ca="1">HYPERLINK("#"&amp;단가산출근거목록표!J2&amp;"!A"&amp;ROW(단가산출근거목록표!A78),"D01282 →")</f>
        <v>D01282 →</v>
      </c>
    </row>
    <row r="391" spans="1:29" ht="35.25" customHeight="1">
      <c r="A391" s="452"/>
      <c r="B391" s="452" t="s">
        <v>1952</v>
      </c>
      <c r="C391" s="449" t="s">
        <v>1957</v>
      </c>
      <c r="D391" s="470">
        <v>0</v>
      </c>
      <c r="E391" s="463" t="s">
        <v>1799</v>
      </c>
      <c r="F391" s="471">
        <f t="shared" si="44"/>
        <v>95396</v>
      </c>
      <c r="G391" s="446">
        <f t="shared" si="44"/>
        <v>0</v>
      </c>
      <c r="H391" s="472">
        <f>단가산출근거목록표!F79</f>
        <v>80053</v>
      </c>
      <c r="I391" s="465">
        <f t="shared" si="45"/>
        <v>0</v>
      </c>
      <c r="J391" s="473">
        <f>단가산출근거목록표!G79</f>
        <v>3156</v>
      </c>
      <c r="K391" s="465">
        <f t="shared" si="46"/>
        <v>0</v>
      </c>
      <c r="L391" s="474">
        <f>단가산출근거목록표!H79</f>
        <v>12187</v>
      </c>
      <c r="M391" s="467">
        <f t="shared" si="47"/>
        <v>0</v>
      </c>
      <c r="N391" s="463" t="s">
        <v>1958</v>
      </c>
      <c r="O391" s="451" t="s">
        <v>1959</v>
      </c>
      <c r="P391" s="468" t="s">
        <v>1960</v>
      </c>
      <c r="Q391" s="468" t="s">
        <v>909</v>
      </c>
      <c r="AC391" s="433" t="str">
        <f ca="1">HYPERLINK("#"&amp;단가산출근거목록표!J2&amp;"!A"&amp;ROW(단가산출근거목록표!A79),"D01283 →")</f>
        <v>D01283 →</v>
      </c>
    </row>
    <row r="392" spans="1:29" ht="35.25" customHeight="1">
      <c r="A392" s="452"/>
      <c r="B392" s="452" t="s">
        <v>1952</v>
      </c>
      <c r="C392" s="449" t="s">
        <v>1961</v>
      </c>
      <c r="D392" s="470">
        <v>0</v>
      </c>
      <c r="E392" s="463" t="s">
        <v>1799</v>
      </c>
      <c r="F392" s="471">
        <f t="shared" si="44"/>
        <v>155021</v>
      </c>
      <c r="G392" s="446">
        <f t="shared" si="44"/>
        <v>0</v>
      </c>
      <c r="H392" s="472">
        <f>단가산출근거목록표!F80</f>
        <v>130087</v>
      </c>
      <c r="I392" s="465">
        <f t="shared" si="45"/>
        <v>0</v>
      </c>
      <c r="J392" s="473">
        <f>단가산출근거목록표!G80</f>
        <v>5129</v>
      </c>
      <c r="K392" s="465">
        <f t="shared" si="46"/>
        <v>0</v>
      </c>
      <c r="L392" s="474">
        <f>단가산출근거목록표!H80</f>
        <v>19805</v>
      </c>
      <c r="M392" s="467">
        <f t="shared" si="47"/>
        <v>0</v>
      </c>
      <c r="N392" s="463" t="s">
        <v>1962</v>
      </c>
      <c r="O392" s="451" t="s">
        <v>1963</v>
      </c>
      <c r="P392" s="468" t="s">
        <v>1964</v>
      </c>
      <c r="Q392" s="468" t="s">
        <v>909</v>
      </c>
      <c r="AC392" s="433" t="str">
        <f ca="1">HYPERLINK("#"&amp;단가산출근거목록표!J2&amp;"!A"&amp;ROW(단가산출근거목록표!A80),"D01284 →")</f>
        <v>D01284 →</v>
      </c>
    </row>
    <row r="393" spans="1:29" ht="35.25" customHeight="1">
      <c r="A393" s="452"/>
      <c r="B393" s="452" t="s">
        <v>1952</v>
      </c>
      <c r="C393" s="449" t="s">
        <v>1965</v>
      </c>
      <c r="D393" s="470">
        <v>0</v>
      </c>
      <c r="E393" s="463" t="s">
        <v>1799</v>
      </c>
      <c r="F393" s="471">
        <f t="shared" si="44"/>
        <v>206693</v>
      </c>
      <c r="G393" s="446">
        <f t="shared" si="44"/>
        <v>0</v>
      </c>
      <c r="H393" s="472">
        <f>단가산출근거목록표!F81</f>
        <v>173449</v>
      </c>
      <c r="I393" s="465">
        <f t="shared" si="45"/>
        <v>0</v>
      </c>
      <c r="J393" s="473">
        <f>단가산출근거목록표!G81</f>
        <v>6838</v>
      </c>
      <c r="K393" s="465">
        <f t="shared" si="46"/>
        <v>0</v>
      </c>
      <c r="L393" s="474">
        <f>단가산출근거목록표!H81</f>
        <v>26406</v>
      </c>
      <c r="M393" s="467">
        <f t="shared" si="47"/>
        <v>0</v>
      </c>
      <c r="N393" s="463" t="s">
        <v>1966</v>
      </c>
      <c r="O393" s="451" t="s">
        <v>1967</v>
      </c>
      <c r="P393" s="468" t="s">
        <v>1968</v>
      </c>
      <c r="Q393" s="468" t="s">
        <v>909</v>
      </c>
      <c r="AC393" s="433" t="str">
        <f ca="1">HYPERLINK("#"&amp;단가산출근거목록표!J2&amp;"!A"&amp;ROW(단가산출근거목록표!A81),"D01285 →")</f>
        <v>D01285 →</v>
      </c>
    </row>
    <row r="394" spans="1:29" ht="35.25" customHeight="1">
      <c r="A394" s="452"/>
      <c r="B394" s="452" t="s">
        <v>5449</v>
      </c>
      <c r="C394" s="449" t="s">
        <v>1969</v>
      </c>
      <c r="D394" s="470">
        <v>0</v>
      </c>
      <c r="E394" s="463" t="s">
        <v>1799</v>
      </c>
      <c r="F394" s="471">
        <f t="shared" si="44"/>
        <v>18049</v>
      </c>
      <c r="G394" s="446">
        <f t="shared" si="44"/>
        <v>0</v>
      </c>
      <c r="H394" s="472">
        <f>단가산출근거목록표!F95</f>
        <v>17591</v>
      </c>
      <c r="I394" s="465">
        <f t="shared" si="45"/>
        <v>0</v>
      </c>
      <c r="J394" s="473">
        <f>단가산출근거목록표!G95</f>
        <v>0</v>
      </c>
      <c r="K394" s="465">
        <f t="shared" si="46"/>
        <v>0</v>
      </c>
      <c r="L394" s="474">
        <f>단가산출근거목록표!H95</f>
        <v>458</v>
      </c>
      <c r="M394" s="467">
        <f t="shared" si="47"/>
        <v>0</v>
      </c>
      <c r="N394" s="463" t="s">
        <v>5469</v>
      </c>
      <c r="O394" s="451" t="s">
        <v>5470</v>
      </c>
      <c r="P394" s="468" t="s">
        <v>5471</v>
      </c>
      <c r="Q394" s="468" t="s">
        <v>909</v>
      </c>
      <c r="AC394" s="433" t="str">
        <f ca="1">HYPERLINK("#"&amp;단가산출근거목록표!J2&amp;"!A"&amp;ROW(단가산출근거목록표!A95),"D01365 →")</f>
        <v>D01365 →</v>
      </c>
    </row>
    <row r="395" spans="1:29" ht="35.25" customHeight="1">
      <c r="A395" s="452"/>
      <c r="B395" s="452" t="s">
        <v>5449</v>
      </c>
      <c r="C395" s="449" t="s">
        <v>1973</v>
      </c>
      <c r="D395" s="470">
        <v>0</v>
      </c>
      <c r="E395" s="463" t="s">
        <v>1799</v>
      </c>
      <c r="F395" s="471">
        <f t="shared" si="44"/>
        <v>31588</v>
      </c>
      <c r="G395" s="446">
        <f t="shared" si="44"/>
        <v>0</v>
      </c>
      <c r="H395" s="472">
        <f>단가산출근거목록표!F96</f>
        <v>30785</v>
      </c>
      <c r="I395" s="465">
        <f t="shared" si="45"/>
        <v>0</v>
      </c>
      <c r="J395" s="473">
        <f>단가산출근거목록표!G96</f>
        <v>0</v>
      </c>
      <c r="K395" s="465">
        <f t="shared" si="46"/>
        <v>0</v>
      </c>
      <c r="L395" s="474">
        <f>단가산출근거목록표!H96</f>
        <v>803</v>
      </c>
      <c r="M395" s="467">
        <f t="shared" si="47"/>
        <v>0</v>
      </c>
      <c r="N395" s="463" t="s">
        <v>5472</v>
      </c>
      <c r="O395" s="451" t="s">
        <v>5473</v>
      </c>
      <c r="P395" s="468" t="s">
        <v>5474</v>
      </c>
      <c r="Q395" s="468" t="s">
        <v>909</v>
      </c>
      <c r="AC395" s="433" t="str">
        <f ca="1">HYPERLINK("#"&amp;단가산출근거목록표!J2&amp;"!A"&amp;ROW(단가산출근거목록표!A96),"D01366 →")</f>
        <v>D01366 →</v>
      </c>
    </row>
    <row r="396" spans="1:29" ht="35.25" customHeight="1">
      <c r="A396" s="452"/>
      <c r="B396" s="452" t="s">
        <v>5449</v>
      </c>
      <c r="C396" s="449" t="s">
        <v>1977</v>
      </c>
      <c r="D396" s="470">
        <v>0</v>
      </c>
      <c r="E396" s="463" t="s">
        <v>1799</v>
      </c>
      <c r="F396" s="471">
        <f t="shared" si="44"/>
        <v>50540</v>
      </c>
      <c r="G396" s="446">
        <f t="shared" si="44"/>
        <v>0</v>
      </c>
      <c r="H396" s="472">
        <f>단가산출근거목록표!F97</f>
        <v>49256</v>
      </c>
      <c r="I396" s="465">
        <f t="shared" si="45"/>
        <v>0</v>
      </c>
      <c r="J396" s="473">
        <f>단가산출근거목록표!G97</f>
        <v>0</v>
      </c>
      <c r="K396" s="465">
        <f t="shared" si="46"/>
        <v>0</v>
      </c>
      <c r="L396" s="474">
        <f>단가산출근거목록표!H97</f>
        <v>1284</v>
      </c>
      <c r="M396" s="467">
        <f t="shared" si="47"/>
        <v>0</v>
      </c>
      <c r="N396" s="463" t="s">
        <v>5475</v>
      </c>
      <c r="O396" s="451" t="s">
        <v>5476</v>
      </c>
      <c r="P396" s="468" t="s">
        <v>5477</v>
      </c>
      <c r="Q396" s="468" t="s">
        <v>909</v>
      </c>
      <c r="AC396" s="433" t="str">
        <f ca="1">HYPERLINK("#"&amp;단가산출근거목록표!J2&amp;"!A"&amp;ROW(단가산출근거목록표!A97),"D01367 →")</f>
        <v>D01367 →</v>
      </c>
    </row>
    <row r="397" spans="1:29" ht="35.25" customHeight="1">
      <c r="A397" s="452"/>
      <c r="B397" s="452" t="s">
        <v>5459</v>
      </c>
      <c r="C397" s="449" t="s">
        <v>1969</v>
      </c>
      <c r="D397" s="470">
        <v>0</v>
      </c>
      <c r="E397" s="463" t="s">
        <v>1799</v>
      </c>
      <c r="F397" s="471">
        <f t="shared" si="44"/>
        <v>19579</v>
      </c>
      <c r="G397" s="446">
        <f t="shared" si="44"/>
        <v>0</v>
      </c>
      <c r="H397" s="472">
        <f>단가산출근거목록표!F101</f>
        <v>19121</v>
      </c>
      <c r="I397" s="465">
        <f t="shared" si="45"/>
        <v>0</v>
      </c>
      <c r="J397" s="473">
        <f>단가산출근거목록표!G101</f>
        <v>0</v>
      </c>
      <c r="K397" s="465">
        <f t="shared" si="46"/>
        <v>0</v>
      </c>
      <c r="L397" s="474">
        <f>단가산출근거목록표!H101</f>
        <v>458</v>
      </c>
      <c r="M397" s="467">
        <f t="shared" si="47"/>
        <v>0</v>
      </c>
      <c r="N397" s="463" t="s">
        <v>5478</v>
      </c>
      <c r="O397" s="451" t="s">
        <v>5479</v>
      </c>
      <c r="P397" s="468" t="s">
        <v>5480</v>
      </c>
      <c r="Q397" s="468" t="s">
        <v>909</v>
      </c>
      <c r="AC397" s="433" t="str">
        <f ca="1">HYPERLINK("#"&amp;단가산출근거목록표!J2&amp;"!A"&amp;ROW(단가산출근거목록표!A101),"D01342 →")</f>
        <v>D01342 →</v>
      </c>
    </row>
    <row r="398" spans="1:29" ht="35.25" customHeight="1">
      <c r="A398" s="452"/>
      <c r="B398" s="452" t="s">
        <v>5459</v>
      </c>
      <c r="C398" s="449" t="s">
        <v>1973</v>
      </c>
      <c r="D398" s="470">
        <v>0</v>
      </c>
      <c r="E398" s="463" t="s">
        <v>1799</v>
      </c>
      <c r="F398" s="471">
        <f t="shared" si="44"/>
        <v>34265</v>
      </c>
      <c r="G398" s="446">
        <f t="shared" si="44"/>
        <v>0</v>
      </c>
      <c r="H398" s="472">
        <f>단가산출근거목록표!F102</f>
        <v>33462</v>
      </c>
      <c r="I398" s="465">
        <f t="shared" si="45"/>
        <v>0</v>
      </c>
      <c r="J398" s="473">
        <f>단가산출근거목록표!G102</f>
        <v>0</v>
      </c>
      <c r="K398" s="465">
        <f t="shared" si="46"/>
        <v>0</v>
      </c>
      <c r="L398" s="474">
        <f>단가산출근거목록표!H102</f>
        <v>803</v>
      </c>
      <c r="M398" s="467">
        <f t="shared" si="47"/>
        <v>0</v>
      </c>
      <c r="N398" s="463" t="s">
        <v>5481</v>
      </c>
      <c r="O398" s="451" t="s">
        <v>5482</v>
      </c>
      <c r="P398" s="468" t="s">
        <v>5483</v>
      </c>
      <c r="Q398" s="468" t="s">
        <v>909</v>
      </c>
      <c r="AC398" s="433" t="str">
        <f ca="1">HYPERLINK("#"&amp;단가산출근거목록표!J2&amp;"!A"&amp;ROW(단가산출근거목록표!A102),"D01343 →")</f>
        <v>D01343 →</v>
      </c>
    </row>
    <row r="399" spans="1:29" ht="35.25" customHeight="1">
      <c r="A399" s="452"/>
      <c r="B399" s="452" t="s">
        <v>5459</v>
      </c>
      <c r="C399" s="449" t="s">
        <v>1977</v>
      </c>
      <c r="D399" s="470">
        <v>0</v>
      </c>
      <c r="E399" s="463" t="s">
        <v>1799</v>
      </c>
      <c r="F399" s="471">
        <f t="shared" si="44"/>
        <v>54823</v>
      </c>
      <c r="G399" s="446">
        <f t="shared" si="44"/>
        <v>0</v>
      </c>
      <c r="H399" s="472">
        <f>단가산출근거목록표!F103</f>
        <v>53539</v>
      </c>
      <c r="I399" s="465">
        <f t="shared" si="45"/>
        <v>0</v>
      </c>
      <c r="J399" s="473">
        <f>단가산출근거목록표!G103</f>
        <v>0</v>
      </c>
      <c r="K399" s="465">
        <f t="shared" si="46"/>
        <v>0</v>
      </c>
      <c r="L399" s="474">
        <f>단가산출근거목록표!H103</f>
        <v>1284</v>
      </c>
      <c r="M399" s="467">
        <f t="shared" si="47"/>
        <v>0</v>
      </c>
      <c r="N399" s="463" t="s">
        <v>5484</v>
      </c>
      <c r="O399" s="451" t="s">
        <v>5485</v>
      </c>
      <c r="P399" s="468" t="s">
        <v>5486</v>
      </c>
      <c r="Q399" s="468" t="s">
        <v>909</v>
      </c>
      <c r="AC399" s="433" t="str">
        <f ca="1">HYPERLINK("#"&amp;단가산출근거목록표!J2&amp;"!A"&amp;ROW(단가산출근거목록표!A103),"D01344 →")</f>
        <v>D01344 →</v>
      </c>
    </row>
    <row r="400" spans="1:29" ht="35.25" customHeight="1">
      <c r="A400" s="452"/>
      <c r="B400" s="452" t="s">
        <v>1939</v>
      </c>
      <c r="C400" s="449" t="s">
        <v>1969</v>
      </c>
      <c r="D400" s="470">
        <v>7</v>
      </c>
      <c r="E400" s="463" t="s">
        <v>1799</v>
      </c>
      <c r="F400" s="471">
        <f t="shared" si="44"/>
        <v>15754</v>
      </c>
      <c r="G400" s="446">
        <f t="shared" si="44"/>
        <v>110278</v>
      </c>
      <c r="H400" s="472">
        <f>단가산출근거목록표!F89</f>
        <v>15296</v>
      </c>
      <c r="I400" s="465">
        <f t="shared" si="45"/>
        <v>107072</v>
      </c>
      <c r="J400" s="473">
        <f>단가산출근거목록표!G89</f>
        <v>0</v>
      </c>
      <c r="K400" s="465">
        <f t="shared" si="46"/>
        <v>0</v>
      </c>
      <c r="L400" s="474">
        <f>단가산출근거목록표!H89</f>
        <v>458</v>
      </c>
      <c r="M400" s="467">
        <f t="shared" si="47"/>
        <v>3206</v>
      </c>
      <c r="N400" s="463" t="s">
        <v>1970</v>
      </c>
      <c r="O400" s="451" t="s">
        <v>1971</v>
      </c>
      <c r="P400" s="468" t="s">
        <v>1972</v>
      </c>
      <c r="Q400" s="468" t="s">
        <v>909</v>
      </c>
      <c r="AC400" s="433" t="str">
        <f ca="1">HYPERLINK("#"&amp;단가산출근거목록표!J2&amp;"!A"&amp;ROW(단가산출근거목록표!A89),"D01281 →")</f>
        <v>D01281 →</v>
      </c>
    </row>
    <row r="401" spans="1:29" ht="35.25" customHeight="1">
      <c r="A401" s="452"/>
      <c r="B401" s="452" t="s">
        <v>1939</v>
      </c>
      <c r="C401" s="449" t="s">
        <v>1973</v>
      </c>
      <c r="D401" s="470">
        <v>8</v>
      </c>
      <c r="E401" s="463" t="s">
        <v>1799</v>
      </c>
      <c r="F401" s="471">
        <f t="shared" si="44"/>
        <v>27572</v>
      </c>
      <c r="G401" s="446">
        <f t="shared" si="44"/>
        <v>220576</v>
      </c>
      <c r="H401" s="472">
        <f>단가산출근거목록표!F90</f>
        <v>26769</v>
      </c>
      <c r="I401" s="465">
        <f t="shared" si="45"/>
        <v>214152</v>
      </c>
      <c r="J401" s="473">
        <f>단가산출근거목록표!G90</f>
        <v>0</v>
      </c>
      <c r="K401" s="465">
        <f t="shared" si="46"/>
        <v>0</v>
      </c>
      <c r="L401" s="474">
        <f>단가산출근거목록표!H90</f>
        <v>803</v>
      </c>
      <c r="M401" s="467">
        <f t="shared" si="47"/>
        <v>6424</v>
      </c>
      <c r="N401" s="463" t="s">
        <v>1974</v>
      </c>
      <c r="O401" s="451" t="s">
        <v>1975</v>
      </c>
      <c r="P401" s="468" t="s">
        <v>1976</v>
      </c>
      <c r="Q401" s="468" t="s">
        <v>909</v>
      </c>
      <c r="AC401" s="433" t="str">
        <f ca="1">HYPERLINK("#"&amp;단가산출근거목록표!J2&amp;"!A"&amp;ROW(단가산출근거목록표!A90),"D01280 →")</f>
        <v>D01280 →</v>
      </c>
    </row>
    <row r="402" spans="1:29" ht="35.25" customHeight="1">
      <c r="A402" s="452"/>
      <c r="B402" s="452" t="s">
        <v>1939</v>
      </c>
      <c r="C402" s="449" t="s">
        <v>1977</v>
      </c>
      <c r="D402" s="470">
        <v>16</v>
      </c>
      <c r="E402" s="463" t="s">
        <v>1799</v>
      </c>
      <c r="F402" s="471">
        <f t="shared" si="44"/>
        <v>44115</v>
      </c>
      <c r="G402" s="446">
        <f t="shared" si="44"/>
        <v>705840</v>
      </c>
      <c r="H402" s="472">
        <f>단가산출근거목록표!F91</f>
        <v>42831</v>
      </c>
      <c r="I402" s="465">
        <f t="shared" si="45"/>
        <v>685296</v>
      </c>
      <c r="J402" s="473">
        <f>단가산출근거목록표!G91</f>
        <v>0</v>
      </c>
      <c r="K402" s="465">
        <f t="shared" si="46"/>
        <v>0</v>
      </c>
      <c r="L402" s="474">
        <f>단가산출근거목록표!H91</f>
        <v>1284</v>
      </c>
      <c r="M402" s="467">
        <f t="shared" si="47"/>
        <v>20544</v>
      </c>
      <c r="N402" s="463" t="s">
        <v>1978</v>
      </c>
      <c r="O402" s="451" t="s">
        <v>1979</v>
      </c>
      <c r="P402" s="468" t="s">
        <v>1980</v>
      </c>
      <c r="Q402" s="468" t="s">
        <v>909</v>
      </c>
      <c r="AC402" s="433" t="str">
        <f ca="1">HYPERLINK("#"&amp;단가산출근거목록표!J2&amp;"!A"&amp;ROW(단가산출근거목록표!A91),"D01237 →")</f>
        <v>D01237 →</v>
      </c>
    </row>
    <row r="403" spans="1:29" ht="35.25" customHeight="1">
      <c r="A403" s="452"/>
      <c r="B403" s="452" t="s">
        <v>1952</v>
      </c>
      <c r="C403" s="449" t="s">
        <v>1981</v>
      </c>
      <c r="D403" s="470">
        <v>0</v>
      </c>
      <c r="E403" s="463" t="s">
        <v>1799</v>
      </c>
      <c r="F403" s="471">
        <f t="shared" si="44"/>
        <v>56370</v>
      </c>
      <c r="G403" s="446">
        <f t="shared" si="44"/>
        <v>0</v>
      </c>
      <c r="H403" s="472">
        <f>단가산출근거목록표!F82</f>
        <v>47304</v>
      </c>
      <c r="I403" s="465">
        <f t="shared" si="45"/>
        <v>0</v>
      </c>
      <c r="J403" s="473">
        <f>단가산출근거목록표!G82</f>
        <v>1865</v>
      </c>
      <c r="K403" s="465">
        <f t="shared" si="46"/>
        <v>0</v>
      </c>
      <c r="L403" s="474">
        <f>단가산출근거목록표!H82</f>
        <v>7201</v>
      </c>
      <c r="M403" s="467">
        <f t="shared" si="47"/>
        <v>0</v>
      </c>
      <c r="N403" s="463" t="s">
        <v>1982</v>
      </c>
      <c r="O403" s="451" t="s">
        <v>1983</v>
      </c>
      <c r="P403" s="468" t="s">
        <v>1984</v>
      </c>
      <c r="Q403" s="468" t="s">
        <v>909</v>
      </c>
      <c r="AC403" s="433" t="str">
        <f ca="1">HYPERLINK("#"&amp;단가산출근거목록표!J2&amp;"!A"&amp;ROW(단가산출근거목록표!A82),"D01286 →")</f>
        <v>D01286 →</v>
      </c>
    </row>
    <row r="404" spans="1:29" ht="35.25" customHeight="1">
      <c r="A404" s="452"/>
      <c r="B404" s="452" t="s">
        <v>1952</v>
      </c>
      <c r="C404" s="449" t="s">
        <v>1985</v>
      </c>
      <c r="D404" s="470">
        <v>0</v>
      </c>
      <c r="E404" s="463" t="s">
        <v>1799</v>
      </c>
      <c r="F404" s="471">
        <f t="shared" si="44"/>
        <v>82676</v>
      </c>
      <c r="G404" s="446">
        <f t="shared" si="44"/>
        <v>0</v>
      </c>
      <c r="H404" s="472">
        <f>단가산출근거목록표!F83</f>
        <v>69379</v>
      </c>
      <c r="I404" s="465">
        <f t="shared" si="45"/>
        <v>0</v>
      </c>
      <c r="J404" s="473">
        <f>단가산출근거목록표!G83</f>
        <v>2735</v>
      </c>
      <c r="K404" s="465">
        <f t="shared" si="46"/>
        <v>0</v>
      </c>
      <c r="L404" s="474">
        <f>단가산출근거목록표!H83</f>
        <v>10562</v>
      </c>
      <c r="M404" s="467">
        <f t="shared" si="47"/>
        <v>0</v>
      </c>
      <c r="N404" s="463" t="s">
        <v>1986</v>
      </c>
      <c r="O404" s="451" t="s">
        <v>1987</v>
      </c>
      <c r="P404" s="468" t="s">
        <v>1988</v>
      </c>
      <c r="Q404" s="468" t="s">
        <v>909</v>
      </c>
      <c r="AC404" s="433" t="str">
        <f ca="1">HYPERLINK("#"&amp;단가산출근거목록표!J2&amp;"!A"&amp;ROW(단가산출근거목록표!A83),"D01287 →")</f>
        <v>D01287 →</v>
      </c>
    </row>
    <row r="405" spans="1:29" ht="35.25" customHeight="1">
      <c r="A405" s="452"/>
      <c r="B405" s="452" t="s">
        <v>1952</v>
      </c>
      <c r="C405" s="449" t="s">
        <v>1989</v>
      </c>
      <c r="D405" s="470">
        <v>0</v>
      </c>
      <c r="E405" s="463" t="s">
        <v>1799</v>
      </c>
      <c r="F405" s="471">
        <f t="shared" si="44"/>
        <v>124017</v>
      </c>
      <c r="G405" s="446">
        <f t="shared" si="44"/>
        <v>0</v>
      </c>
      <c r="H405" s="472">
        <f>단가산출근거목록표!F84</f>
        <v>104070</v>
      </c>
      <c r="I405" s="465">
        <f t="shared" si="45"/>
        <v>0</v>
      </c>
      <c r="J405" s="473">
        <f>단가산출근거목록표!G84</f>
        <v>4103</v>
      </c>
      <c r="K405" s="465">
        <f t="shared" si="46"/>
        <v>0</v>
      </c>
      <c r="L405" s="474">
        <f>단가산출근거목록표!H84</f>
        <v>15844</v>
      </c>
      <c r="M405" s="467">
        <f t="shared" si="47"/>
        <v>0</v>
      </c>
      <c r="N405" s="463" t="s">
        <v>1990</v>
      </c>
      <c r="O405" s="451" t="s">
        <v>1991</v>
      </c>
      <c r="P405" s="468" t="s">
        <v>1992</v>
      </c>
      <c r="Q405" s="468" t="s">
        <v>909</v>
      </c>
      <c r="AC405" s="433" t="str">
        <f ca="1">HYPERLINK("#"&amp;단가산출근거목록표!J2&amp;"!A"&amp;ROW(단가산출근거목록표!A84),"D01288 →")</f>
        <v>D01288 →</v>
      </c>
    </row>
    <row r="406" spans="1:29" ht="35.25" customHeight="1">
      <c r="A406" s="452"/>
      <c r="B406" s="452" t="s">
        <v>1952</v>
      </c>
      <c r="C406" s="449" t="s">
        <v>1993</v>
      </c>
      <c r="D406" s="470">
        <v>0</v>
      </c>
      <c r="E406" s="463" t="s">
        <v>1799</v>
      </c>
      <c r="F406" s="471">
        <f t="shared" si="44"/>
        <v>177166</v>
      </c>
      <c r="G406" s="446">
        <f t="shared" si="44"/>
        <v>0</v>
      </c>
      <c r="H406" s="472">
        <f>단가산출근거목록표!F85</f>
        <v>148671</v>
      </c>
      <c r="I406" s="465">
        <f t="shared" si="45"/>
        <v>0</v>
      </c>
      <c r="J406" s="473">
        <f>단가산출근거목록표!G85</f>
        <v>5861</v>
      </c>
      <c r="K406" s="465">
        <f t="shared" si="46"/>
        <v>0</v>
      </c>
      <c r="L406" s="474">
        <f>단가산출근거목록표!H85</f>
        <v>22634</v>
      </c>
      <c r="M406" s="467">
        <f t="shared" si="47"/>
        <v>0</v>
      </c>
      <c r="N406" s="463" t="s">
        <v>1994</v>
      </c>
      <c r="O406" s="451" t="s">
        <v>1995</v>
      </c>
      <c r="P406" s="468" t="s">
        <v>1996</v>
      </c>
      <c r="Q406" s="468" t="s">
        <v>909</v>
      </c>
      <c r="AC406" s="433" t="str">
        <f ca="1">HYPERLINK("#"&amp;단가산출근거목록표!J2&amp;"!A"&amp;ROW(단가산출근거목록표!A85),"D01289 →")</f>
        <v>D01289 →</v>
      </c>
    </row>
    <row r="407" spans="1:29" ht="35.25" customHeight="1">
      <c r="A407" s="461" t="s">
        <v>864</v>
      </c>
      <c r="B407" s="461" t="s">
        <v>865</v>
      </c>
      <c r="C407" s="469"/>
      <c r="D407" s="462"/>
      <c r="E407" s="463"/>
      <c r="F407" s="464">
        <v>0</v>
      </c>
      <c r="G407" s="453">
        <f>SUMIF(Q408:Q434,P407,G408:G434)</f>
        <v>0</v>
      </c>
      <c r="H407" s="465">
        <v>0</v>
      </c>
      <c r="I407" s="446">
        <f>SUMIF(Q408:Q434,P407,I408:I434)</f>
        <v>0</v>
      </c>
      <c r="J407" s="465">
        <v>0</v>
      </c>
      <c r="K407" s="466">
        <f>SUMIF(Q408:Q434,P407,K408:K434)</f>
        <v>0</v>
      </c>
      <c r="L407" s="467">
        <v>0</v>
      </c>
      <c r="M407" s="466">
        <f>SUMIF(Q408:Q434,P407,M408:M434)</f>
        <v>0</v>
      </c>
      <c r="N407" s="463"/>
      <c r="O407" s="451" t="str">
        <f>"_x0007_`COD|E4_x0005_`QTY1|1_x0005_`EXI|0_x0005_`ITT|0_x0005_`END|"&amp;ROW(M435)&amp;"_x0005_`"</f>
        <v>_x0007_`COD|E4_x0005_`QTY1|1_x0005_`EXI|0_x0005_`ITT|0_x0005_`END|435_x0005_`</v>
      </c>
      <c r="P407" s="468" t="s">
        <v>909</v>
      </c>
      <c r="Q407" s="468" t="s">
        <v>907</v>
      </c>
    </row>
    <row r="408" spans="1:29" ht="35.25" customHeight="1">
      <c r="A408" s="452"/>
      <c r="B408" s="452" t="s">
        <v>1997</v>
      </c>
      <c r="C408" s="449" t="s">
        <v>1998</v>
      </c>
      <c r="D408" s="470">
        <v>0</v>
      </c>
      <c r="E408" s="463" t="s">
        <v>595</v>
      </c>
      <c r="F408" s="471">
        <f t="shared" ref="F408:G434" si="48">J408+H408+L408</f>
        <v>949</v>
      </c>
      <c r="G408" s="446">
        <f t="shared" si="48"/>
        <v>0</v>
      </c>
      <c r="H408" s="472">
        <f>단가산출근거목록표!F138</f>
        <v>857</v>
      </c>
      <c r="I408" s="465">
        <f t="shared" ref="I408:I434" si="49">ROUNDDOWN(H408*D408,0)</f>
        <v>0</v>
      </c>
      <c r="J408" s="473">
        <f>단가산출근거목록표!G138</f>
        <v>2</v>
      </c>
      <c r="K408" s="465">
        <f t="shared" ref="K408:K434" si="50">ROUNDDOWN(J408*D408,0)</f>
        <v>0</v>
      </c>
      <c r="L408" s="474">
        <f>단가산출근거목록표!H138</f>
        <v>90</v>
      </c>
      <c r="M408" s="467">
        <f t="shared" ref="M408:M434" si="51">ROUNDDOWN(L408*D408,0)</f>
        <v>0</v>
      </c>
      <c r="N408" s="463" t="s">
        <v>1999</v>
      </c>
      <c r="O408" s="451" t="s">
        <v>2000</v>
      </c>
      <c r="P408" s="468" t="s">
        <v>2001</v>
      </c>
      <c r="Q408" s="468" t="s">
        <v>909</v>
      </c>
      <c r="AC408" s="433" t="str">
        <f ca="1">HYPERLINK("#"&amp;단가산출근거목록표!J2&amp;"!A"&amp;ROW(단가산출근거목록표!A138),"D01177 →")</f>
        <v>D01177 →</v>
      </c>
    </row>
    <row r="409" spans="1:29" ht="35.25" customHeight="1">
      <c r="A409" s="452"/>
      <c r="B409" s="452" t="s">
        <v>1997</v>
      </c>
      <c r="C409" s="449" t="s">
        <v>2002</v>
      </c>
      <c r="D409" s="470">
        <v>0</v>
      </c>
      <c r="E409" s="463" t="s">
        <v>595</v>
      </c>
      <c r="F409" s="471">
        <f t="shared" si="48"/>
        <v>1721</v>
      </c>
      <c r="G409" s="446">
        <f t="shared" si="48"/>
        <v>0</v>
      </c>
      <c r="H409" s="472">
        <f>단가산출근거목록표!F139</f>
        <v>1534</v>
      </c>
      <c r="I409" s="465">
        <f t="shared" si="49"/>
        <v>0</v>
      </c>
      <c r="J409" s="473">
        <f>단가산출근거목록표!G139</f>
        <v>60</v>
      </c>
      <c r="K409" s="465">
        <f t="shared" si="50"/>
        <v>0</v>
      </c>
      <c r="L409" s="474">
        <f>단가산출근거목록표!H139</f>
        <v>127</v>
      </c>
      <c r="M409" s="467">
        <f t="shared" si="51"/>
        <v>0</v>
      </c>
      <c r="N409" s="463" t="s">
        <v>2003</v>
      </c>
      <c r="O409" s="451" t="s">
        <v>2004</v>
      </c>
      <c r="P409" s="468" t="s">
        <v>2005</v>
      </c>
      <c r="Q409" s="468" t="s">
        <v>909</v>
      </c>
      <c r="AC409" s="433" t="str">
        <f ca="1">HYPERLINK("#"&amp;단가산출근거목록표!J2&amp;"!A"&amp;ROW(단가산출근거목록표!A139),"D01175 →")</f>
        <v>D01175 →</v>
      </c>
    </row>
    <row r="410" spans="1:29" ht="35.25" customHeight="1">
      <c r="A410" s="452"/>
      <c r="B410" s="452" t="s">
        <v>2006</v>
      </c>
      <c r="C410" s="449" t="s">
        <v>2007</v>
      </c>
      <c r="D410" s="470">
        <v>0</v>
      </c>
      <c r="E410" s="463" t="s">
        <v>1799</v>
      </c>
      <c r="F410" s="471">
        <f t="shared" si="48"/>
        <v>10641</v>
      </c>
      <c r="G410" s="446">
        <f t="shared" si="48"/>
        <v>0</v>
      </c>
      <c r="H410" s="472">
        <f>일위대가목록표!F169</f>
        <v>10356</v>
      </c>
      <c r="I410" s="465">
        <f t="shared" si="49"/>
        <v>0</v>
      </c>
      <c r="J410" s="473">
        <f>일위대가목록표!G169</f>
        <v>229</v>
      </c>
      <c r="K410" s="465">
        <f t="shared" si="50"/>
        <v>0</v>
      </c>
      <c r="L410" s="474">
        <f>일위대가목록표!H169</f>
        <v>56</v>
      </c>
      <c r="M410" s="467">
        <f t="shared" si="51"/>
        <v>0</v>
      </c>
      <c r="N410" s="463" t="s">
        <v>2008</v>
      </c>
      <c r="O410" s="451" t="s">
        <v>2009</v>
      </c>
      <c r="P410" s="468" t="s">
        <v>2010</v>
      </c>
      <c r="Q410" s="468" t="s">
        <v>909</v>
      </c>
      <c r="AC410" s="433" t="str">
        <f ca="1">HYPERLINK("#"&amp;일위대가목록표!J2&amp;"!A"&amp;ROW(일위대가목록표!A169),"B02693 →")</f>
        <v>B02693 →</v>
      </c>
    </row>
    <row r="411" spans="1:29" ht="35.25" customHeight="1">
      <c r="A411" s="452"/>
      <c r="B411" s="452" t="s">
        <v>2006</v>
      </c>
      <c r="C411" s="449" t="s">
        <v>2011</v>
      </c>
      <c r="D411" s="470">
        <v>0</v>
      </c>
      <c r="E411" s="463" t="s">
        <v>1799</v>
      </c>
      <c r="F411" s="471">
        <f t="shared" si="48"/>
        <v>15483</v>
      </c>
      <c r="G411" s="446">
        <f t="shared" si="48"/>
        <v>0</v>
      </c>
      <c r="H411" s="472">
        <f>일위대가목록표!F151</f>
        <v>15064</v>
      </c>
      <c r="I411" s="465">
        <f t="shared" si="49"/>
        <v>0</v>
      </c>
      <c r="J411" s="473">
        <f>일위대가목록표!G151</f>
        <v>338</v>
      </c>
      <c r="K411" s="465">
        <f t="shared" si="50"/>
        <v>0</v>
      </c>
      <c r="L411" s="474">
        <f>일위대가목록표!H151</f>
        <v>81</v>
      </c>
      <c r="M411" s="467">
        <f t="shared" si="51"/>
        <v>0</v>
      </c>
      <c r="N411" s="463" t="s">
        <v>2012</v>
      </c>
      <c r="O411" s="451" t="s">
        <v>2013</v>
      </c>
      <c r="P411" s="468" t="s">
        <v>2014</v>
      </c>
      <c r="Q411" s="468" t="s">
        <v>909</v>
      </c>
      <c r="AC411" s="433" t="str">
        <f ca="1">HYPERLINK("#"&amp;일위대가목록표!J2&amp;"!A"&amp;ROW(일위대가목록표!A151),"B02694 →")</f>
        <v>B02694 →</v>
      </c>
    </row>
    <row r="412" spans="1:29" ht="35.25" customHeight="1">
      <c r="A412" s="452"/>
      <c r="B412" s="452" t="s">
        <v>2006</v>
      </c>
      <c r="C412" s="449" t="s">
        <v>2015</v>
      </c>
      <c r="D412" s="470">
        <v>0</v>
      </c>
      <c r="E412" s="463" t="s">
        <v>1799</v>
      </c>
      <c r="F412" s="471">
        <f t="shared" si="48"/>
        <v>22228</v>
      </c>
      <c r="G412" s="446">
        <f t="shared" si="48"/>
        <v>0</v>
      </c>
      <c r="H412" s="472">
        <f>일위대가목록표!F152</f>
        <v>21654</v>
      </c>
      <c r="I412" s="465">
        <f t="shared" si="49"/>
        <v>0</v>
      </c>
      <c r="J412" s="473">
        <f>일위대가목록표!G152</f>
        <v>462</v>
      </c>
      <c r="K412" s="465">
        <f t="shared" si="50"/>
        <v>0</v>
      </c>
      <c r="L412" s="474">
        <f>일위대가목록표!H152</f>
        <v>112</v>
      </c>
      <c r="M412" s="467">
        <f t="shared" si="51"/>
        <v>0</v>
      </c>
      <c r="N412" s="463" t="s">
        <v>2016</v>
      </c>
      <c r="O412" s="451" t="s">
        <v>2017</v>
      </c>
      <c r="P412" s="468" t="s">
        <v>2018</v>
      </c>
      <c r="Q412" s="468" t="s">
        <v>909</v>
      </c>
      <c r="AC412" s="433" t="str">
        <f ca="1">HYPERLINK("#"&amp;일위대가목록표!J2&amp;"!A"&amp;ROW(일위대가목록표!A152),"B02695 →")</f>
        <v>B02695 →</v>
      </c>
    </row>
    <row r="413" spans="1:29" ht="35.25" customHeight="1">
      <c r="A413" s="452"/>
      <c r="B413" s="452" t="s">
        <v>2006</v>
      </c>
      <c r="C413" s="449" t="s">
        <v>2019</v>
      </c>
      <c r="D413" s="470">
        <v>0</v>
      </c>
      <c r="E413" s="463" t="s">
        <v>1799</v>
      </c>
      <c r="F413" s="471">
        <f t="shared" si="48"/>
        <v>32875</v>
      </c>
      <c r="G413" s="446">
        <f t="shared" si="48"/>
        <v>0</v>
      </c>
      <c r="H413" s="472">
        <f>일위대가목록표!F153</f>
        <v>32011</v>
      </c>
      <c r="I413" s="465">
        <f t="shared" si="49"/>
        <v>0</v>
      </c>
      <c r="J413" s="473">
        <f>일위대가목록표!G153</f>
        <v>696</v>
      </c>
      <c r="K413" s="465">
        <f t="shared" si="50"/>
        <v>0</v>
      </c>
      <c r="L413" s="474">
        <f>일위대가목록표!H153</f>
        <v>168</v>
      </c>
      <c r="M413" s="467">
        <f t="shared" si="51"/>
        <v>0</v>
      </c>
      <c r="N413" s="463" t="s">
        <v>2020</v>
      </c>
      <c r="O413" s="451" t="s">
        <v>2021</v>
      </c>
      <c r="P413" s="468" t="s">
        <v>2022</v>
      </c>
      <c r="Q413" s="468" t="s">
        <v>909</v>
      </c>
      <c r="AC413" s="433" t="str">
        <f ca="1">HYPERLINK("#"&amp;일위대가목록표!J2&amp;"!A"&amp;ROW(일위대가목록표!A153),"B02696 →")</f>
        <v>B02696 →</v>
      </c>
    </row>
    <row r="414" spans="1:29" ht="35.25" customHeight="1">
      <c r="A414" s="452"/>
      <c r="B414" s="452" t="s">
        <v>2006</v>
      </c>
      <c r="C414" s="449" t="s">
        <v>2023</v>
      </c>
      <c r="D414" s="470">
        <v>0</v>
      </c>
      <c r="E414" s="463" t="s">
        <v>1799</v>
      </c>
      <c r="F414" s="471">
        <f t="shared" si="48"/>
        <v>41565</v>
      </c>
      <c r="G414" s="446">
        <f t="shared" si="48"/>
        <v>0</v>
      </c>
      <c r="H414" s="472">
        <f>일위대가목록표!F154</f>
        <v>40485</v>
      </c>
      <c r="I414" s="465">
        <f t="shared" si="49"/>
        <v>0</v>
      </c>
      <c r="J414" s="473">
        <f>일위대가목록표!G154</f>
        <v>870</v>
      </c>
      <c r="K414" s="465">
        <f t="shared" si="50"/>
        <v>0</v>
      </c>
      <c r="L414" s="474">
        <f>일위대가목록표!H154</f>
        <v>210</v>
      </c>
      <c r="M414" s="467">
        <f t="shared" si="51"/>
        <v>0</v>
      </c>
      <c r="N414" s="463" t="s">
        <v>2024</v>
      </c>
      <c r="O414" s="451" t="s">
        <v>2025</v>
      </c>
      <c r="P414" s="468" t="s">
        <v>2026</v>
      </c>
      <c r="Q414" s="468" t="s">
        <v>909</v>
      </c>
      <c r="AC414" s="433" t="str">
        <f ca="1">HYPERLINK("#"&amp;일위대가목록표!J2&amp;"!A"&amp;ROW(일위대가목록표!A154),"B02697 →")</f>
        <v>B02697 →</v>
      </c>
    </row>
    <row r="415" spans="1:29" ht="35.25" customHeight="1">
      <c r="A415" s="452"/>
      <c r="B415" s="452" t="s">
        <v>2006</v>
      </c>
      <c r="C415" s="449" t="s">
        <v>2027</v>
      </c>
      <c r="D415" s="470">
        <v>0</v>
      </c>
      <c r="E415" s="463" t="s">
        <v>1799</v>
      </c>
      <c r="F415" s="471">
        <f t="shared" si="48"/>
        <v>58973</v>
      </c>
      <c r="G415" s="446">
        <f t="shared" si="48"/>
        <v>0</v>
      </c>
      <c r="H415" s="472">
        <f>일위대가목록표!F155</f>
        <v>57432</v>
      </c>
      <c r="I415" s="465">
        <f t="shared" si="49"/>
        <v>0</v>
      </c>
      <c r="J415" s="473">
        <f>일위대가목록표!G155</f>
        <v>1242</v>
      </c>
      <c r="K415" s="465">
        <f t="shared" si="50"/>
        <v>0</v>
      </c>
      <c r="L415" s="474">
        <f>일위대가목록표!H155</f>
        <v>299</v>
      </c>
      <c r="M415" s="467">
        <f t="shared" si="51"/>
        <v>0</v>
      </c>
      <c r="N415" s="463" t="s">
        <v>2028</v>
      </c>
      <c r="O415" s="451" t="s">
        <v>2029</v>
      </c>
      <c r="P415" s="468" t="s">
        <v>2030</v>
      </c>
      <c r="Q415" s="468" t="s">
        <v>909</v>
      </c>
      <c r="AC415" s="433" t="str">
        <f ca="1">HYPERLINK("#"&amp;일위대가목록표!J2&amp;"!A"&amp;ROW(일위대가목록표!A155),"B02698 →")</f>
        <v>B02698 →</v>
      </c>
    </row>
    <row r="416" spans="1:29" ht="35.25" customHeight="1">
      <c r="A416" s="452"/>
      <c r="B416" s="452" t="s">
        <v>2006</v>
      </c>
      <c r="C416" s="449" t="s">
        <v>2031</v>
      </c>
      <c r="D416" s="470">
        <v>0</v>
      </c>
      <c r="E416" s="463" t="s">
        <v>1799</v>
      </c>
      <c r="F416" s="471">
        <f t="shared" si="48"/>
        <v>70567</v>
      </c>
      <c r="G416" s="446">
        <f t="shared" si="48"/>
        <v>0</v>
      </c>
      <c r="H416" s="472">
        <f>일위대가목록표!F156</f>
        <v>68730</v>
      </c>
      <c r="I416" s="465">
        <f t="shared" si="49"/>
        <v>0</v>
      </c>
      <c r="J416" s="473">
        <f>일위대가목록표!G156</f>
        <v>1480</v>
      </c>
      <c r="K416" s="465">
        <f t="shared" si="50"/>
        <v>0</v>
      </c>
      <c r="L416" s="474">
        <f>일위대가목록표!H156</f>
        <v>357</v>
      </c>
      <c r="M416" s="467">
        <f t="shared" si="51"/>
        <v>0</v>
      </c>
      <c r="N416" s="463" t="s">
        <v>2032</v>
      </c>
      <c r="O416" s="451" t="s">
        <v>2033</v>
      </c>
      <c r="P416" s="468" t="s">
        <v>2034</v>
      </c>
      <c r="Q416" s="468" t="s">
        <v>909</v>
      </c>
      <c r="AC416" s="433" t="str">
        <f ca="1">HYPERLINK("#"&amp;일위대가목록표!J2&amp;"!A"&amp;ROW(일위대가목록표!A156),"B02699 →")</f>
        <v>B02699 →</v>
      </c>
    </row>
    <row r="417" spans="1:29" ht="35.25" customHeight="1">
      <c r="A417" s="452"/>
      <c r="B417" s="452" t="s">
        <v>2006</v>
      </c>
      <c r="C417" s="449" t="s">
        <v>2035</v>
      </c>
      <c r="D417" s="470">
        <v>0</v>
      </c>
      <c r="E417" s="463" t="s">
        <v>1799</v>
      </c>
      <c r="F417" s="471">
        <f t="shared" si="48"/>
        <v>94729</v>
      </c>
      <c r="G417" s="446">
        <f t="shared" si="48"/>
        <v>0</v>
      </c>
      <c r="H417" s="472">
        <f>일위대가목록표!F157</f>
        <v>92268</v>
      </c>
      <c r="I417" s="465">
        <f t="shared" si="49"/>
        <v>0</v>
      </c>
      <c r="J417" s="473">
        <f>일위대가목록표!G157</f>
        <v>1983</v>
      </c>
      <c r="K417" s="465">
        <f t="shared" si="50"/>
        <v>0</v>
      </c>
      <c r="L417" s="474">
        <f>일위대가목록표!H157</f>
        <v>478</v>
      </c>
      <c r="M417" s="467">
        <f t="shared" si="51"/>
        <v>0</v>
      </c>
      <c r="N417" s="463" t="s">
        <v>2036</v>
      </c>
      <c r="O417" s="451" t="s">
        <v>2037</v>
      </c>
      <c r="P417" s="468" t="s">
        <v>2038</v>
      </c>
      <c r="Q417" s="468" t="s">
        <v>909</v>
      </c>
      <c r="AC417" s="433" t="str">
        <f ca="1">HYPERLINK("#"&amp;일위대가목록표!J2&amp;"!A"&amp;ROW(일위대가목록표!A157),"B02700 →")</f>
        <v>B02700 →</v>
      </c>
    </row>
    <row r="418" spans="1:29" ht="35.25" customHeight="1">
      <c r="A418" s="452"/>
      <c r="B418" s="452" t="s">
        <v>2006</v>
      </c>
      <c r="C418" s="449" t="s">
        <v>2039</v>
      </c>
      <c r="D418" s="470">
        <v>0</v>
      </c>
      <c r="E418" s="463" t="s">
        <v>1799</v>
      </c>
      <c r="F418" s="471">
        <f t="shared" si="48"/>
        <v>110183</v>
      </c>
      <c r="G418" s="446">
        <f t="shared" si="48"/>
        <v>0</v>
      </c>
      <c r="H418" s="472">
        <f>일위대가목록표!F158</f>
        <v>107332</v>
      </c>
      <c r="I418" s="465">
        <f t="shared" si="49"/>
        <v>0</v>
      </c>
      <c r="J418" s="473">
        <f>일위대가목록표!G158</f>
        <v>2297</v>
      </c>
      <c r="K418" s="465">
        <f t="shared" si="50"/>
        <v>0</v>
      </c>
      <c r="L418" s="474">
        <f>일위대가목록표!H158</f>
        <v>554</v>
      </c>
      <c r="M418" s="467">
        <f t="shared" si="51"/>
        <v>0</v>
      </c>
      <c r="N418" s="463" t="s">
        <v>2040</v>
      </c>
      <c r="O418" s="451" t="s">
        <v>2041</v>
      </c>
      <c r="P418" s="468" t="s">
        <v>2042</v>
      </c>
      <c r="Q418" s="468" t="s">
        <v>909</v>
      </c>
      <c r="AC418" s="433" t="str">
        <f ca="1">HYPERLINK("#"&amp;일위대가목록표!J2&amp;"!A"&amp;ROW(일위대가목록표!A158),"B02701 →")</f>
        <v>B02701 →</v>
      </c>
    </row>
    <row r="419" spans="1:29" ht="35.25" customHeight="1">
      <c r="A419" s="452"/>
      <c r="B419" s="452" t="s">
        <v>2006</v>
      </c>
      <c r="C419" s="449" t="s">
        <v>2043</v>
      </c>
      <c r="D419" s="470">
        <v>0</v>
      </c>
      <c r="E419" s="463" t="s">
        <v>1799</v>
      </c>
      <c r="F419" s="471">
        <f t="shared" si="48"/>
        <v>141121</v>
      </c>
      <c r="G419" s="446">
        <f t="shared" si="48"/>
        <v>0</v>
      </c>
      <c r="H419" s="472">
        <f>일위대가목록표!F159</f>
        <v>137461</v>
      </c>
      <c r="I419" s="465">
        <f t="shared" si="49"/>
        <v>0</v>
      </c>
      <c r="J419" s="473">
        <f>일위대가목록표!G159</f>
        <v>2949</v>
      </c>
      <c r="K419" s="465">
        <f t="shared" si="50"/>
        <v>0</v>
      </c>
      <c r="L419" s="474">
        <f>일위대가목록표!H159</f>
        <v>711</v>
      </c>
      <c r="M419" s="467">
        <f t="shared" si="51"/>
        <v>0</v>
      </c>
      <c r="N419" s="463" t="s">
        <v>2044</v>
      </c>
      <c r="O419" s="451" t="s">
        <v>2045</v>
      </c>
      <c r="P419" s="468" t="s">
        <v>2046</v>
      </c>
      <c r="Q419" s="468" t="s">
        <v>909</v>
      </c>
      <c r="AC419" s="433" t="str">
        <f ca="1">HYPERLINK("#"&amp;일위대가목록표!J2&amp;"!A"&amp;ROW(일위대가목록표!A159),"B02702 →")</f>
        <v>B02702 →</v>
      </c>
    </row>
    <row r="420" spans="1:29" ht="35.25" customHeight="1">
      <c r="A420" s="452"/>
      <c r="B420" s="452" t="s">
        <v>2006</v>
      </c>
      <c r="C420" s="449" t="s">
        <v>2047</v>
      </c>
      <c r="D420" s="470">
        <v>0</v>
      </c>
      <c r="E420" s="463" t="s">
        <v>1799</v>
      </c>
      <c r="F420" s="471">
        <f t="shared" si="48"/>
        <v>160465</v>
      </c>
      <c r="G420" s="446">
        <f t="shared" si="48"/>
        <v>0</v>
      </c>
      <c r="H420" s="472">
        <f>일위대가목록표!F160</f>
        <v>156291</v>
      </c>
      <c r="I420" s="465">
        <f t="shared" si="49"/>
        <v>0</v>
      </c>
      <c r="J420" s="473">
        <f>일위대가목록표!G160</f>
        <v>3364</v>
      </c>
      <c r="K420" s="465">
        <f t="shared" si="50"/>
        <v>0</v>
      </c>
      <c r="L420" s="474">
        <f>일위대가목록표!H160</f>
        <v>810</v>
      </c>
      <c r="M420" s="467">
        <f t="shared" si="51"/>
        <v>0</v>
      </c>
      <c r="N420" s="463" t="s">
        <v>2048</v>
      </c>
      <c r="O420" s="451" t="s">
        <v>2049</v>
      </c>
      <c r="P420" s="468" t="s">
        <v>2050</v>
      </c>
      <c r="Q420" s="468" t="s">
        <v>909</v>
      </c>
      <c r="AC420" s="433" t="str">
        <f ca="1">HYPERLINK("#"&amp;일위대가목록표!J2&amp;"!A"&amp;ROW(일위대가목록표!A160),"B02703 →")</f>
        <v>B02703 →</v>
      </c>
    </row>
    <row r="421" spans="1:29" ht="35.25" customHeight="1">
      <c r="A421" s="452"/>
      <c r="B421" s="452" t="s">
        <v>2006</v>
      </c>
      <c r="C421" s="449" t="s">
        <v>2051</v>
      </c>
      <c r="D421" s="470">
        <v>0</v>
      </c>
      <c r="E421" s="463" t="s">
        <v>1799</v>
      </c>
      <c r="F421" s="471">
        <f t="shared" si="48"/>
        <v>202971</v>
      </c>
      <c r="G421" s="446">
        <f t="shared" si="48"/>
        <v>0</v>
      </c>
      <c r="H421" s="472">
        <f>일위대가목록표!F161</f>
        <v>197718</v>
      </c>
      <c r="I421" s="465">
        <f t="shared" si="49"/>
        <v>0</v>
      </c>
      <c r="J421" s="473">
        <f>일위대가목록표!G161</f>
        <v>4234</v>
      </c>
      <c r="K421" s="465">
        <f t="shared" si="50"/>
        <v>0</v>
      </c>
      <c r="L421" s="474">
        <f>일위대가목록표!H161</f>
        <v>1019</v>
      </c>
      <c r="M421" s="467">
        <f t="shared" si="51"/>
        <v>0</v>
      </c>
      <c r="N421" s="463" t="s">
        <v>2052</v>
      </c>
      <c r="O421" s="451" t="s">
        <v>2053</v>
      </c>
      <c r="P421" s="468" t="s">
        <v>2054</v>
      </c>
      <c r="Q421" s="468" t="s">
        <v>909</v>
      </c>
      <c r="AC421" s="433" t="str">
        <f ca="1">HYPERLINK("#"&amp;일위대가목록표!J2&amp;"!A"&amp;ROW(일위대가목록표!A161),"B02704 →")</f>
        <v>B02704 →</v>
      </c>
    </row>
    <row r="422" spans="1:29" ht="35.25" customHeight="1">
      <c r="A422" s="452"/>
      <c r="B422" s="452" t="s">
        <v>2006</v>
      </c>
      <c r="C422" s="449" t="s">
        <v>2055</v>
      </c>
      <c r="D422" s="470">
        <v>0</v>
      </c>
      <c r="E422" s="463" t="s">
        <v>1799</v>
      </c>
      <c r="F422" s="471">
        <f t="shared" si="48"/>
        <v>300601</v>
      </c>
      <c r="G422" s="446">
        <f t="shared" si="48"/>
        <v>0</v>
      </c>
      <c r="H422" s="472">
        <f>일위대가목록표!F162</f>
        <v>292811</v>
      </c>
      <c r="I422" s="465">
        <f t="shared" si="49"/>
        <v>0</v>
      </c>
      <c r="J422" s="473">
        <f>일위대가목록표!G162</f>
        <v>6278</v>
      </c>
      <c r="K422" s="465">
        <f t="shared" si="50"/>
        <v>0</v>
      </c>
      <c r="L422" s="474">
        <f>일위대가목록표!H162</f>
        <v>1512</v>
      </c>
      <c r="M422" s="467">
        <f t="shared" si="51"/>
        <v>0</v>
      </c>
      <c r="N422" s="463" t="s">
        <v>2056</v>
      </c>
      <c r="O422" s="451" t="s">
        <v>2057</v>
      </c>
      <c r="P422" s="468" t="s">
        <v>2058</v>
      </c>
      <c r="Q422" s="468" t="s">
        <v>909</v>
      </c>
      <c r="AC422" s="433" t="str">
        <f ca="1">HYPERLINK("#"&amp;일위대가목록표!J2&amp;"!A"&amp;ROW(일위대가목록표!A162),"B02705 →")</f>
        <v>B02705 →</v>
      </c>
    </row>
    <row r="423" spans="1:29" ht="35.25" customHeight="1">
      <c r="A423" s="452"/>
      <c r="B423" s="452" t="s">
        <v>2006</v>
      </c>
      <c r="C423" s="449" t="s">
        <v>2059</v>
      </c>
      <c r="D423" s="470">
        <v>0</v>
      </c>
      <c r="E423" s="463" t="s">
        <v>1799</v>
      </c>
      <c r="F423" s="471">
        <f t="shared" si="48"/>
        <v>504533</v>
      </c>
      <c r="G423" s="446">
        <f t="shared" si="48"/>
        <v>0</v>
      </c>
      <c r="H423" s="472">
        <f>일위대가목록표!F163</f>
        <v>491470</v>
      </c>
      <c r="I423" s="465">
        <f t="shared" si="49"/>
        <v>0</v>
      </c>
      <c r="J423" s="473">
        <f>일위대가목록표!G163</f>
        <v>10528</v>
      </c>
      <c r="K423" s="465">
        <f t="shared" si="50"/>
        <v>0</v>
      </c>
      <c r="L423" s="474">
        <f>일위대가목록표!H163</f>
        <v>2535</v>
      </c>
      <c r="M423" s="467">
        <f t="shared" si="51"/>
        <v>0</v>
      </c>
      <c r="N423" s="463" t="s">
        <v>2060</v>
      </c>
      <c r="O423" s="451" t="s">
        <v>2061</v>
      </c>
      <c r="P423" s="468" t="s">
        <v>2062</v>
      </c>
      <c r="Q423" s="468" t="s">
        <v>909</v>
      </c>
      <c r="AC423" s="433" t="str">
        <f ca="1">HYPERLINK("#"&amp;일위대가목록표!J2&amp;"!A"&amp;ROW(일위대가목록표!A163),"B02706 →")</f>
        <v>B02706 →</v>
      </c>
    </row>
    <row r="424" spans="1:29" ht="35.25" customHeight="1">
      <c r="A424" s="452"/>
      <c r="B424" s="452" t="s">
        <v>2006</v>
      </c>
      <c r="C424" s="449" t="s">
        <v>2063</v>
      </c>
      <c r="D424" s="470">
        <v>0</v>
      </c>
      <c r="E424" s="463" t="s">
        <v>1799</v>
      </c>
      <c r="F424" s="471">
        <f t="shared" si="48"/>
        <v>674645</v>
      </c>
      <c r="G424" s="446">
        <f t="shared" si="48"/>
        <v>0</v>
      </c>
      <c r="H424" s="472">
        <f>일위대가목록표!F164</f>
        <v>657177</v>
      </c>
      <c r="I424" s="465">
        <f t="shared" si="49"/>
        <v>0</v>
      </c>
      <c r="J424" s="473">
        <f>일위대가목록표!G164</f>
        <v>14078</v>
      </c>
      <c r="K424" s="465">
        <f t="shared" si="50"/>
        <v>0</v>
      </c>
      <c r="L424" s="474">
        <f>일위대가목록표!H164</f>
        <v>3390</v>
      </c>
      <c r="M424" s="467">
        <f t="shared" si="51"/>
        <v>0</v>
      </c>
      <c r="N424" s="463" t="s">
        <v>2064</v>
      </c>
      <c r="O424" s="451" t="s">
        <v>2065</v>
      </c>
      <c r="P424" s="468" t="s">
        <v>2066</v>
      </c>
      <c r="Q424" s="468" t="s">
        <v>909</v>
      </c>
      <c r="AC424" s="433" t="str">
        <f ca="1">HYPERLINK("#"&amp;일위대가목록표!J2&amp;"!A"&amp;ROW(일위대가목록표!A164),"B02707 →")</f>
        <v>B02707 →</v>
      </c>
    </row>
    <row r="425" spans="1:29" ht="35.25" customHeight="1">
      <c r="A425" s="452"/>
      <c r="B425" s="452" t="s">
        <v>2006</v>
      </c>
      <c r="C425" s="449" t="s">
        <v>2067</v>
      </c>
      <c r="D425" s="470">
        <v>0</v>
      </c>
      <c r="E425" s="463" t="s">
        <v>1799</v>
      </c>
      <c r="F425" s="471">
        <f t="shared" si="48"/>
        <v>993606</v>
      </c>
      <c r="G425" s="446">
        <f t="shared" si="48"/>
        <v>0</v>
      </c>
      <c r="H425" s="472">
        <f>일위대가목록표!F165</f>
        <v>967877</v>
      </c>
      <c r="I425" s="465">
        <f t="shared" si="49"/>
        <v>0</v>
      </c>
      <c r="J425" s="473">
        <f>일위대가목록표!G165</f>
        <v>20736</v>
      </c>
      <c r="K425" s="465">
        <f t="shared" si="50"/>
        <v>0</v>
      </c>
      <c r="L425" s="474">
        <f>일위대가목록표!H165</f>
        <v>4993</v>
      </c>
      <c r="M425" s="467">
        <f t="shared" si="51"/>
        <v>0</v>
      </c>
      <c r="N425" s="463" t="s">
        <v>2068</v>
      </c>
      <c r="O425" s="451" t="s">
        <v>2069</v>
      </c>
      <c r="P425" s="468" t="s">
        <v>2070</v>
      </c>
      <c r="Q425" s="468" t="s">
        <v>909</v>
      </c>
      <c r="AC425" s="433" t="str">
        <f ca="1">HYPERLINK("#"&amp;일위대가목록표!J2&amp;"!A"&amp;ROW(일위대가목록표!A165),"B02708 →")</f>
        <v>B02708 →</v>
      </c>
    </row>
    <row r="426" spans="1:29" ht="35.25" customHeight="1">
      <c r="A426" s="452"/>
      <c r="B426" s="452" t="s">
        <v>2006</v>
      </c>
      <c r="C426" s="449" t="s">
        <v>2071</v>
      </c>
      <c r="D426" s="470">
        <v>0</v>
      </c>
      <c r="E426" s="463" t="s">
        <v>1799</v>
      </c>
      <c r="F426" s="471">
        <f t="shared" si="48"/>
        <v>1227525</v>
      </c>
      <c r="G426" s="446">
        <f t="shared" si="48"/>
        <v>0</v>
      </c>
      <c r="H426" s="472">
        <f>일위대가목록표!F166</f>
        <v>1195724</v>
      </c>
      <c r="I426" s="465">
        <f t="shared" si="49"/>
        <v>0</v>
      </c>
      <c r="J426" s="473">
        <f>일위대가목록표!G166</f>
        <v>25630</v>
      </c>
      <c r="K426" s="465">
        <f t="shared" si="50"/>
        <v>0</v>
      </c>
      <c r="L426" s="474">
        <f>일위대가목록표!H166</f>
        <v>6171</v>
      </c>
      <c r="M426" s="467">
        <f t="shared" si="51"/>
        <v>0</v>
      </c>
      <c r="N426" s="463" t="s">
        <v>2072</v>
      </c>
      <c r="O426" s="451" t="s">
        <v>2073</v>
      </c>
      <c r="P426" s="468" t="s">
        <v>2074</v>
      </c>
      <c r="Q426" s="468" t="s">
        <v>909</v>
      </c>
      <c r="AC426" s="433" t="str">
        <f ca="1">HYPERLINK("#"&amp;일위대가목록표!J2&amp;"!A"&amp;ROW(일위대가목록표!A166),"B02709 →")</f>
        <v>B02709 →</v>
      </c>
    </row>
    <row r="427" spans="1:29" ht="35.25" customHeight="1">
      <c r="A427" s="452"/>
      <c r="B427" s="452" t="s">
        <v>2006</v>
      </c>
      <c r="C427" s="449" t="s">
        <v>2075</v>
      </c>
      <c r="D427" s="470">
        <v>0</v>
      </c>
      <c r="E427" s="463" t="s">
        <v>1799</v>
      </c>
      <c r="F427" s="471">
        <f t="shared" si="48"/>
        <v>1579342</v>
      </c>
      <c r="G427" s="446">
        <f t="shared" si="48"/>
        <v>0</v>
      </c>
      <c r="H427" s="472">
        <f>일위대가목록표!F167</f>
        <v>1538435</v>
      </c>
      <c r="I427" s="465">
        <f t="shared" si="49"/>
        <v>0</v>
      </c>
      <c r="J427" s="473">
        <f>일위대가목록표!G167</f>
        <v>32969</v>
      </c>
      <c r="K427" s="465">
        <f t="shared" si="50"/>
        <v>0</v>
      </c>
      <c r="L427" s="474">
        <f>일위대가목록표!H167</f>
        <v>7938</v>
      </c>
      <c r="M427" s="467">
        <f t="shared" si="51"/>
        <v>0</v>
      </c>
      <c r="N427" s="463" t="s">
        <v>2076</v>
      </c>
      <c r="O427" s="451" t="s">
        <v>2077</v>
      </c>
      <c r="P427" s="468" t="s">
        <v>2078</v>
      </c>
      <c r="Q427" s="468" t="s">
        <v>909</v>
      </c>
      <c r="AC427" s="433" t="str">
        <f ca="1">HYPERLINK("#"&amp;일위대가목록표!J2&amp;"!A"&amp;ROW(일위대가목록표!A167),"B02710 →")</f>
        <v>B02710 →</v>
      </c>
    </row>
    <row r="428" spans="1:29" ht="35.25" customHeight="1">
      <c r="A428" s="452"/>
      <c r="B428" s="452" t="s">
        <v>2006</v>
      </c>
      <c r="C428" s="449" t="s">
        <v>2079</v>
      </c>
      <c r="D428" s="470">
        <v>0</v>
      </c>
      <c r="E428" s="463" t="s">
        <v>1799</v>
      </c>
      <c r="F428" s="471">
        <f t="shared" si="48"/>
        <v>1842237</v>
      </c>
      <c r="G428" s="446">
        <f t="shared" si="48"/>
        <v>0</v>
      </c>
      <c r="H428" s="472">
        <f>일위대가목록표!F168</f>
        <v>1795257</v>
      </c>
      <c r="I428" s="465">
        <f t="shared" si="49"/>
        <v>0</v>
      </c>
      <c r="J428" s="473">
        <f>일위대가목록표!G168</f>
        <v>37864</v>
      </c>
      <c r="K428" s="465">
        <f t="shared" si="50"/>
        <v>0</v>
      </c>
      <c r="L428" s="474">
        <f>일위대가목록표!H168</f>
        <v>9116</v>
      </c>
      <c r="M428" s="467">
        <f t="shared" si="51"/>
        <v>0</v>
      </c>
      <c r="N428" s="463" t="s">
        <v>2080</v>
      </c>
      <c r="O428" s="451" t="s">
        <v>2081</v>
      </c>
      <c r="P428" s="468" t="s">
        <v>2082</v>
      </c>
      <c r="Q428" s="468" t="s">
        <v>909</v>
      </c>
      <c r="AC428" s="433" t="str">
        <f ca="1">HYPERLINK("#"&amp;일위대가목록표!J2&amp;"!A"&amp;ROW(일위대가목록표!A168),"B02711 →")</f>
        <v>B02711 →</v>
      </c>
    </row>
    <row r="429" spans="1:29" ht="35.25" customHeight="1">
      <c r="A429" s="452"/>
      <c r="B429" s="452" t="s">
        <v>2083</v>
      </c>
      <c r="C429" s="449" t="s">
        <v>2084</v>
      </c>
      <c r="D429" s="470">
        <v>0</v>
      </c>
      <c r="E429" s="463" t="s">
        <v>1799</v>
      </c>
      <c r="F429" s="471">
        <f t="shared" si="48"/>
        <v>172</v>
      </c>
      <c r="G429" s="446">
        <f t="shared" si="48"/>
        <v>0</v>
      </c>
      <c r="H429" s="472">
        <f>일위대가목록표!F8</f>
        <v>172</v>
      </c>
      <c r="I429" s="465">
        <f t="shared" si="49"/>
        <v>0</v>
      </c>
      <c r="J429" s="473">
        <f>일위대가목록표!G8</f>
        <v>0</v>
      </c>
      <c r="K429" s="465">
        <f t="shared" si="50"/>
        <v>0</v>
      </c>
      <c r="L429" s="474">
        <f>일위대가목록표!H8</f>
        <v>0</v>
      </c>
      <c r="M429" s="467">
        <f t="shared" si="51"/>
        <v>0</v>
      </c>
      <c r="N429" s="463" t="s">
        <v>2085</v>
      </c>
      <c r="O429" s="451" t="s">
        <v>2086</v>
      </c>
      <c r="P429" s="468" t="s">
        <v>2087</v>
      </c>
      <c r="Q429" s="468" t="s">
        <v>909</v>
      </c>
      <c r="AC429" s="433" t="str">
        <f ca="1">HYPERLINK("#"&amp;일위대가목록표!J2&amp;"!A"&amp;ROW(일위대가목록표!A8),"B02712 →")</f>
        <v>B02712 →</v>
      </c>
    </row>
    <row r="430" spans="1:29" ht="35.25" customHeight="1">
      <c r="A430" s="452"/>
      <c r="B430" s="452" t="s">
        <v>2083</v>
      </c>
      <c r="C430" s="449" t="s">
        <v>2088</v>
      </c>
      <c r="D430" s="470">
        <v>0</v>
      </c>
      <c r="E430" s="463" t="s">
        <v>1799</v>
      </c>
      <c r="F430" s="471">
        <f t="shared" si="48"/>
        <v>516</v>
      </c>
      <c r="G430" s="446">
        <f t="shared" si="48"/>
        <v>0</v>
      </c>
      <c r="H430" s="472">
        <f>일위대가목록표!F7</f>
        <v>516</v>
      </c>
      <c r="I430" s="465">
        <f t="shared" si="49"/>
        <v>0</v>
      </c>
      <c r="J430" s="473">
        <f>일위대가목록표!G7</f>
        <v>0</v>
      </c>
      <c r="K430" s="465">
        <f t="shared" si="50"/>
        <v>0</v>
      </c>
      <c r="L430" s="474">
        <f>일위대가목록표!H7</f>
        <v>0</v>
      </c>
      <c r="M430" s="467">
        <f t="shared" si="51"/>
        <v>0</v>
      </c>
      <c r="N430" s="463" t="s">
        <v>2089</v>
      </c>
      <c r="O430" s="451" t="s">
        <v>2090</v>
      </c>
      <c r="P430" s="468" t="s">
        <v>2091</v>
      </c>
      <c r="Q430" s="468" t="s">
        <v>909</v>
      </c>
      <c r="AC430" s="433" t="str">
        <f ca="1">HYPERLINK("#"&amp;일위대가목록표!J2&amp;"!A"&amp;ROW(일위대가목록표!A7),"B02713 →")</f>
        <v>B02713 →</v>
      </c>
    </row>
    <row r="431" spans="1:29" ht="35.25" customHeight="1">
      <c r="A431" s="452"/>
      <c r="B431" s="452" t="s">
        <v>2083</v>
      </c>
      <c r="C431" s="449" t="s">
        <v>2092</v>
      </c>
      <c r="D431" s="470">
        <v>0</v>
      </c>
      <c r="E431" s="463" t="s">
        <v>1799</v>
      </c>
      <c r="F431" s="471">
        <f t="shared" si="48"/>
        <v>688</v>
      </c>
      <c r="G431" s="446">
        <f t="shared" si="48"/>
        <v>0</v>
      </c>
      <c r="H431" s="472">
        <f>일위대가목록표!F9</f>
        <v>688</v>
      </c>
      <c r="I431" s="465">
        <f t="shared" si="49"/>
        <v>0</v>
      </c>
      <c r="J431" s="473">
        <f>일위대가목록표!G9</f>
        <v>0</v>
      </c>
      <c r="K431" s="465">
        <f t="shared" si="50"/>
        <v>0</v>
      </c>
      <c r="L431" s="474">
        <f>일위대가목록표!H9</f>
        <v>0</v>
      </c>
      <c r="M431" s="467">
        <f t="shared" si="51"/>
        <v>0</v>
      </c>
      <c r="N431" s="463" t="s">
        <v>2093</v>
      </c>
      <c r="O431" s="451" t="s">
        <v>2094</v>
      </c>
      <c r="P431" s="468" t="s">
        <v>2095</v>
      </c>
      <c r="Q431" s="468" t="s">
        <v>909</v>
      </c>
      <c r="AC431" s="433" t="str">
        <f ca="1">HYPERLINK("#"&amp;일위대가목록표!J2&amp;"!A"&amp;ROW(일위대가목록표!A9),"B02714 →")</f>
        <v>B02714 →</v>
      </c>
    </row>
    <row r="432" spans="1:29" ht="35.25" customHeight="1">
      <c r="A432" s="452"/>
      <c r="B432" s="452" t="s">
        <v>2083</v>
      </c>
      <c r="C432" s="449" t="s">
        <v>2096</v>
      </c>
      <c r="D432" s="470">
        <v>0</v>
      </c>
      <c r="E432" s="463" t="s">
        <v>1799</v>
      </c>
      <c r="F432" s="471">
        <f t="shared" si="48"/>
        <v>1032</v>
      </c>
      <c r="G432" s="446">
        <f t="shared" si="48"/>
        <v>0</v>
      </c>
      <c r="H432" s="472">
        <f>일위대가목록표!F10</f>
        <v>1032</v>
      </c>
      <c r="I432" s="465">
        <f t="shared" si="49"/>
        <v>0</v>
      </c>
      <c r="J432" s="473">
        <f>일위대가목록표!G10</f>
        <v>0</v>
      </c>
      <c r="K432" s="465">
        <f t="shared" si="50"/>
        <v>0</v>
      </c>
      <c r="L432" s="474">
        <f>일위대가목록표!H10</f>
        <v>0</v>
      </c>
      <c r="M432" s="467">
        <f t="shared" si="51"/>
        <v>0</v>
      </c>
      <c r="N432" s="463" t="s">
        <v>2097</v>
      </c>
      <c r="O432" s="451" t="s">
        <v>2098</v>
      </c>
      <c r="P432" s="468" t="s">
        <v>2099</v>
      </c>
      <c r="Q432" s="468" t="s">
        <v>909</v>
      </c>
      <c r="AC432" s="433" t="str">
        <f ca="1">HYPERLINK("#"&amp;일위대가목록표!J2&amp;"!A"&amp;ROW(일위대가목록표!A10),"B02715 →")</f>
        <v>B02715 →</v>
      </c>
    </row>
    <row r="433" spans="1:29" ht="35.25" customHeight="1">
      <c r="A433" s="452"/>
      <c r="B433" s="452" t="s">
        <v>2083</v>
      </c>
      <c r="C433" s="449" t="s">
        <v>2100</v>
      </c>
      <c r="D433" s="470">
        <v>0</v>
      </c>
      <c r="E433" s="463" t="s">
        <v>1799</v>
      </c>
      <c r="F433" s="471">
        <f t="shared" si="48"/>
        <v>1376</v>
      </c>
      <c r="G433" s="446">
        <f t="shared" si="48"/>
        <v>0</v>
      </c>
      <c r="H433" s="472">
        <f>일위대가목록표!F11</f>
        <v>1376</v>
      </c>
      <c r="I433" s="465">
        <f t="shared" si="49"/>
        <v>0</v>
      </c>
      <c r="J433" s="473">
        <f>일위대가목록표!G11</f>
        <v>0</v>
      </c>
      <c r="K433" s="465">
        <f t="shared" si="50"/>
        <v>0</v>
      </c>
      <c r="L433" s="474">
        <f>일위대가목록표!H11</f>
        <v>0</v>
      </c>
      <c r="M433" s="467">
        <f t="shared" si="51"/>
        <v>0</v>
      </c>
      <c r="N433" s="463" t="s">
        <v>2101</v>
      </c>
      <c r="O433" s="451" t="s">
        <v>2102</v>
      </c>
      <c r="P433" s="468" t="s">
        <v>2103</v>
      </c>
      <c r="Q433" s="468" t="s">
        <v>909</v>
      </c>
      <c r="AC433" s="433" t="str">
        <f ca="1">HYPERLINK("#"&amp;일위대가목록표!J2&amp;"!A"&amp;ROW(일위대가목록표!A11),"B02716 →")</f>
        <v>B02716 →</v>
      </c>
    </row>
    <row r="434" spans="1:29" ht="35.25" customHeight="1">
      <c r="A434" s="452"/>
      <c r="B434" s="452" t="s">
        <v>2083</v>
      </c>
      <c r="C434" s="449" t="s">
        <v>2104</v>
      </c>
      <c r="D434" s="470">
        <v>0</v>
      </c>
      <c r="E434" s="463" t="s">
        <v>1799</v>
      </c>
      <c r="F434" s="471">
        <f t="shared" si="48"/>
        <v>1720</v>
      </c>
      <c r="G434" s="446">
        <f t="shared" si="48"/>
        <v>0</v>
      </c>
      <c r="H434" s="472">
        <f>일위대가목록표!F12</f>
        <v>1720</v>
      </c>
      <c r="I434" s="465">
        <f t="shared" si="49"/>
        <v>0</v>
      </c>
      <c r="J434" s="473">
        <f>일위대가목록표!G12</f>
        <v>0</v>
      </c>
      <c r="K434" s="465">
        <f t="shared" si="50"/>
        <v>0</v>
      </c>
      <c r="L434" s="474">
        <f>일위대가목록표!H12</f>
        <v>0</v>
      </c>
      <c r="M434" s="467">
        <f t="shared" si="51"/>
        <v>0</v>
      </c>
      <c r="N434" s="463" t="s">
        <v>2105</v>
      </c>
      <c r="O434" s="451" t="s">
        <v>2106</v>
      </c>
      <c r="P434" s="468" t="s">
        <v>2107</v>
      </c>
      <c r="Q434" s="468" t="s">
        <v>909</v>
      </c>
      <c r="AC434" s="433" t="str">
        <f ca="1">HYPERLINK("#"&amp;일위대가목록표!J2&amp;"!A"&amp;ROW(일위대가목록표!A12),"B02717 →")</f>
        <v>B02717 →</v>
      </c>
    </row>
    <row r="435" spans="1:29" ht="35.25" customHeight="1">
      <c r="A435" s="461" t="s">
        <v>866</v>
      </c>
      <c r="B435" s="461" t="s">
        <v>867</v>
      </c>
      <c r="C435" s="469"/>
      <c r="D435" s="462"/>
      <c r="E435" s="463"/>
      <c r="F435" s="464">
        <v>0</v>
      </c>
      <c r="G435" s="453">
        <f>SUMIF(Q436:Q444,P435,G436:G444)</f>
        <v>0</v>
      </c>
      <c r="H435" s="465">
        <v>0</v>
      </c>
      <c r="I435" s="446">
        <f>SUMIF(Q436:Q444,P435,I436:I444)</f>
        <v>0</v>
      </c>
      <c r="J435" s="465">
        <v>0</v>
      </c>
      <c r="K435" s="466">
        <f>SUMIF(Q436:Q444,P435,K436:K444)</f>
        <v>0</v>
      </c>
      <c r="L435" s="467">
        <v>0</v>
      </c>
      <c r="M435" s="466">
        <f>SUMIF(Q436:Q444,P435,M436:M444)</f>
        <v>0</v>
      </c>
      <c r="N435" s="463"/>
      <c r="O435" s="451" t="str">
        <f>"_x0007_`COD|E4_x0005_`QTY1|1_x0005_`EXI|0_x0005_`ITT|0_x0005_`END|"&amp;ROW(M445)&amp;"_x0005_`"</f>
        <v>_x0007_`COD|E4_x0005_`QTY1|1_x0005_`EXI|0_x0005_`ITT|0_x0005_`END|445_x0005_`</v>
      </c>
      <c r="P435" s="468" t="s">
        <v>909</v>
      </c>
      <c r="Q435" s="468" t="s">
        <v>907</v>
      </c>
    </row>
    <row r="436" spans="1:29" ht="35.25" customHeight="1">
      <c r="A436" s="452"/>
      <c r="B436" s="452" t="s">
        <v>5487</v>
      </c>
      <c r="C436" s="449" t="s">
        <v>2108</v>
      </c>
      <c r="D436" s="470">
        <v>0</v>
      </c>
      <c r="E436" s="463" t="s">
        <v>975</v>
      </c>
      <c r="F436" s="471">
        <f t="shared" ref="F436:G444" si="52">J436+H436+L436</f>
        <v>38671</v>
      </c>
      <c r="G436" s="446">
        <f t="shared" si="52"/>
        <v>0</v>
      </c>
      <c r="H436" s="472">
        <f>일위대가목록표!F27</f>
        <v>32614</v>
      </c>
      <c r="I436" s="465">
        <f t="shared" ref="I436:I444" si="53">ROUNDDOWN(H436*D436,0)</f>
        <v>0</v>
      </c>
      <c r="J436" s="473">
        <f>일위대가목록표!G27</f>
        <v>5965</v>
      </c>
      <c r="K436" s="465">
        <f t="shared" ref="K436:K444" si="54">ROUNDDOWN(J436*D436,0)</f>
        <v>0</v>
      </c>
      <c r="L436" s="474">
        <f>일위대가목록표!H27</f>
        <v>92</v>
      </c>
      <c r="M436" s="467">
        <f t="shared" ref="M436:M444" si="55">ROUNDDOWN(L436*D436,0)</f>
        <v>0</v>
      </c>
      <c r="N436" s="463" t="s">
        <v>5488</v>
      </c>
      <c r="O436" s="451" t="s">
        <v>5489</v>
      </c>
      <c r="P436" s="468" t="s">
        <v>5490</v>
      </c>
      <c r="Q436" s="468" t="s">
        <v>909</v>
      </c>
      <c r="AC436" s="433" t="str">
        <f ca="1">HYPERLINK("#"&amp;일위대가목록표!J2&amp;"!A"&amp;ROW(일위대가목록표!A27),"B02894 →")</f>
        <v>B02894 →</v>
      </c>
    </row>
    <row r="437" spans="1:29" ht="35.25" customHeight="1">
      <c r="A437" s="452"/>
      <c r="B437" s="452" t="s">
        <v>5487</v>
      </c>
      <c r="C437" s="449" t="s">
        <v>2112</v>
      </c>
      <c r="D437" s="470">
        <v>0</v>
      </c>
      <c r="E437" s="463" t="s">
        <v>975</v>
      </c>
      <c r="F437" s="471">
        <f t="shared" si="52"/>
        <v>85967</v>
      </c>
      <c r="G437" s="446">
        <f t="shared" si="52"/>
        <v>0</v>
      </c>
      <c r="H437" s="472">
        <f>일위대가목록표!F28</f>
        <v>71608</v>
      </c>
      <c r="I437" s="465">
        <f t="shared" si="53"/>
        <v>0</v>
      </c>
      <c r="J437" s="473">
        <f>일위대가목록표!G28</f>
        <v>14139</v>
      </c>
      <c r="K437" s="465">
        <f t="shared" si="54"/>
        <v>0</v>
      </c>
      <c r="L437" s="474">
        <f>일위대가목록표!H28</f>
        <v>220</v>
      </c>
      <c r="M437" s="467">
        <f t="shared" si="55"/>
        <v>0</v>
      </c>
      <c r="N437" s="463" t="s">
        <v>5491</v>
      </c>
      <c r="O437" s="451" t="s">
        <v>5492</v>
      </c>
      <c r="P437" s="468" t="s">
        <v>5493</v>
      </c>
      <c r="Q437" s="468" t="s">
        <v>909</v>
      </c>
      <c r="AC437" s="433" t="str">
        <f ca="1">HYPERLINK("#"&amp;일위대가목록표!J2&amp;"!A"&amp;ROW(일위대가목록표!A28),"B02895 →")</f>
        <v>B02895 →</v>
      </c>
    </row>
    <row r="438" spans="1:29" ht="35.25" customHeight="1">
      <c r="A438" s="452"/>
      <c r="B438" s="452" t="s">
        <v>5487</v>
      </c>
      <c r="C438" s="449" t="s">
        <v>2116</v>
      </c>
      <c r="D438" s="470">
        <v>0</v>
      </c>
      <c r="E438" s="463" t="s">
        <v>975</v>
      </c>
      <c r="F438" s="471">
        <f t="shared" si="52"/>
        <v>149228</v>
      </c>
      <c r="G438" s="446">
        <f t="shared" si="52"/>
        <v>0</v>
      </c>
      <c r="H438" s="472">
        <f>일위대가목록표!F29</f>
        <v>124200</v>
      </c>
      <c r="I438" s="465">
        <f t="shared" si="53"/>
        <v>0</v>
      </c>
      <c r="J438" s="473">
        <f>일위대가목록표!G29</f>
        <v>24684</v>
      </c>
      <c r="K438" s="465">
        <f t="shared" si="54"/>
        <v>0</v>
      </c>
      <c r="L438" s="474">
        <f>일위대가목록표!H29</f>
        <v>344</v>
      </c>
      <c r="M438" s="467">
        <f t="shared" si="55"/>
        <v>0</v>
      </c>
      <c r="N438" s="463" t="s">
        <v>5494</v>
      </c>
      <c r="O438" s="451" t="s">
        <v>5495</v>
      </c>
      <c r="P438" s="468" t="s">
        <v>5496</v>
      </c>
      <c r="Q438" s="468" t="s">
        <v>909</v>
      </c>
      <c r="AC438" s="433" t="str">
        <f ca="1">HYPERLINK("#"&amp;일위대가목록표!J2&amp;"!A"&amp;ROW(일위대가목록표!A29),"B02896 →")</f>
        <v>B02896 →</v>
      </c>
    </row>
    <row r="439" spans="1:29" ht="35.25" customHeight="1">
      <c r="A439" s="452"/>
      <c r="B439" s="452" t="s">
        <v>5497</v>
      </c>
      <c r="C439" s="449" t="s">
        <v>2108</v>
      </c>
      <c r="D439" s="470">
        <v>0</v>
      </c>
      <c r="E439" s="463" t="s">
        <v>975</v>
      </c>
      <c r="F439" s="471">
        <f t="shared" si="52"/>
        <v>41507</v>
      </c>
      <c r="G439" s="446">
        <f t="shared" si="52"/>
        <v>0</v>
      </c>
      <c r="H439" s="472">
        <f>일위대가목록표!F30</f>
        <v>35450</v>
      </c>
      <c r="I439" s="465">
        <f t="shared" si="53"/>
        <v>0</v>
      </c>
      <c r="J439" s="473">
        <f>일위대가목록표!G30</f>
        <v>5965</v>
      </c>
      <c r="K439" s="465">
        <f t="shared" si="54"/>
        <v>0</v>
      </c>
      <c r="L439" s="474">
        <f>일위대가목록표!H30</f>
        <v>92</v>
      </c>
      <c r="M439" s="467">
        <f t="shared" si="55"/>
        <v>0</v>
      </c>
      <c r="N439" s="463" t="s">
        <v>2109</v>
      </c>
      <c r="O439" s="451" t="s">
        <v>2110</v>
      </c>
      <c r="P439" s="468" t="s">
        <v>2111</v>
      </c>
      <c r="Q439" s="468" t="s">
        <v>909</v>
      </c>
      <c r="AC439" s="433" t="str">
        <f ca="1">HYPERLINK("#"&amp;일위대가목록표!J2&amp;"!A"&amp;ROW(일위대가목록표!A30),"B02618 →")</f>
        <v>B02618 →</v>
      </c>
    </row>
    <row r="440" spans="1:29" ht="35.25" customHeight="1">
      <c r="A440" s="452"/>
      <c r="B440" s="452" t="s">
        <v>5497</v>
      </c>
      <c r="C440" s="449" t="s">
        <v>2112</v>
      </c>
      <c r="D440" s="470">
        <v>0</v>
      </c>
      <c r="E440" s="463" t="s">
        <v>975</v>
      </c>
      <c r="F440" s="471">
        <f t="shared" si="52"/>
        <v>92194</v>
      </c>
      <c r="G440" s="446">
        <f t="shared" si="52"/>
        <v>0</v>
      </c>
      <c r="H440" s="472">
        <f>일위대가목록표!F31</f>
        <v>77835</v>
      </c>
      <c r="I440" s="465">
        <f t="shared" si="53"/>
        <v>0</v>
      </c>
      <c r="J440" s="473">
        <f>일위대가목록표!G31</f>
        <v>14139</v>
      </c>
      <c r="K440" s="465">
        <f t="shared" si="54"/>
        <v>0</v>
      </c>
      <c r="L440" s="474">
        <f>일위대가목록표!H31</f>
        <v>220</v>
      </c>
      <c r="M440" s="467">
        <f t="shared" si="55"/>
        <v>0</v>
      </c>
      <c r="N440" s="463" t="s">
        <v>2113</v>
      </c>
      <c r="O440" s="451" t="s">
        <v>2114</v>
      </c>
      <c r="P440" s="468" t="s">
        <v>2115</v>
      </c>
      <c r="Q440" s="468" t="s">
        <v>909</v>
      </c>
      <c r="AC440" s="433" t="str">
        <f ca="1">HYPERLINK("#"&amp;일위대가목록표!J2&amp;"!A"&amp;ROW(일위대가목록표!A31),"B02617 →")</f>
        <v>B02617 →</v>
      </c>
    </row>
    <row r="441" spans="1:29" ht="35.25" customHeight="1">
      <c r="A441" s="452"/>
      <c r="B441" s="452" t="s">
        <v>5497</v>
      </c>
      <c r="C441" s="449" t="s">
        <v>2116</v>
      </c>
      <c r="D441" s="470">
        <v>0</v>
      </c>
      <c r="E441" s="463" t="s">
        <v>975</v>
      </c>
      <c r="F441" s="471">
        <f t="shared" si="52"/>
        <v>160028</v>
      </c>
      <c r="G441" s="446">
        <f t="shared" si="52"/>
        <v>0</v>
      </c>
      <c r="H441" s="472">
        <f>일위대가목록표!F32</f>
        <v>135000</v>
      </c>
      <c r="I441" s="465">
        <f t="shared" si="53"/>
        <v>0</v>
      </c>
      <c r="J441" s="473">
        <f>일위대가목록표!G32</f>
        <v>24684</v>
      </c>
      <c r="K441" s="465">
        <f t="shared" si="54"/>
        <v>0</v>
      </c>
      <c r="L441" s="474">
        <f>일위대가목록표!H32</f>
        <v>344</v>
      </c>
      <c r="M441" s="467">
        <f t="shared" si="55"/>
        <v>0</v>
      </c>
      <c r="N441" s="463" t="s">
        <v>2117</v>
      </c>
      <c r="O441" s="451" t="s">
        <v>2118</v>
      </c>
      <c r="P441" s="468" t="s">
        <v>2119</v>
      </c>
      <c r="Q441" s="468" t="s">
        <v>909</v>
      </c>
      <c r="AC441" s="433" t="str">
        <f ca="1">HYPERLINK("#"&amp;일위대가목록표!J2&amp;"!A"&amp;ROW(일위대가목록표!A32),"B02616 →")</f>
        <v>B02616 →</v>
      </c>
    </row>
    <row r="442" spans="1:29" ht="35.25" customHeight="1">
      <c r="A442" s="452"/>
      <c r="B442" s="452" t="s">
        <v>2120</v>
      </c>
      <c r="C442" s="449" t="s">
        <v>2108</v>
      </c>
      <c r="D442" s="470">
        <v>0</v>
      </c>
      <c r="E442" s="463" t="s">
        <v>975</v>
      </c>
      <c r="F442" s="471">
        <f t="shared" si="52"/>
        <v>34417</v>
      </c>
      <c r="G442" s="446">
        <f t="shared" si="52"/>
        <v>0</v>
      </c>
      <c r="H442" s="472">
        <f>일위대가목록표!F24</f>
        <v>28360</v>
      </c>
      <c r="I442" s="465">
        <f t="shared" si="53"/>
        <v>0</v>
      </c>
      <c r="J442" s="473">
        <f>일위대가목록표!G24</f>
        <v>5965</v>
      </c>
      <c r="K442" s="465">
        <f t="shared" si="54"/>
        <v>0</v>
      </c>
      <c r="L442" s="474">
        <f>일위대가목록표!H24</f>
        <v>92</v>
      </c>
      <c r="M442" s="467">
        <f t="shared" si="55"/>
        <v>0</v>
      </c>
      <c r="N442" s="463" t="s">
        <v>2121</v>
      </c>
      <c r="O442" s="451" t="s">
        <v>2122</v>
      </c>
      <c r="P442" s="468" t="s">
        <v>2123</v>
      </c>
      <c r="Q442" s="468" t="s">
        <v>909</v>
      </c>
      <c r="AC442" s="433" t="str">
        <f ca="1">HYPERLINK("#"&amp;일위대가목록표!J2&amp;"!A"&amp;ROW(일위대가목록표!A24),"B02619 →")</f>
        <v>B02619 →</v>
      </c>
    </row>
    <row r="443" spans="1:29" ht="35.25" customHeight="1">
      <c r="A443" s="452"/>
      <c r="B443" s="452" t="s">
        <v>2120</v>
      </c>
      <c r="C443" s="449" t="s">
        <v>2112</v>
      </c>
      <c r="D443" s="470">
        <v>0</v>
      </c>
      <c r="E443" s="463" t="s">
        <v>975</v>
      </c>
      <c r="F443" s="471">
        <f t="shared" si="52"/>
        <v>76627</v>
      </c>
      <c r="G443" s="446">
        <f t="shared" si="52"/>
        <v>0</v>
      </c>
      <c r="H443" s="472">
        <f>일위대가목록표!F25</f>
        <v>62268</v>
      </c>
      <c r="I443" s="465">
        <f t="shared" si="53"/>
        <v>0</v>
      </c>
      <c r="J443" s="473">
        <f>일위대가목록표!G25</f>
        <v>14139</v>
      </c>
      <c r="K443" s="465">
        <f t="shared" si="54"/>
        <v>0</v>
      </c>
      <c r="L443" s="474">
        <f>일위대가목록표!H25</f>
        <v>220</v>
      </c>
      <c r="M443" s="467">
        <f t="shared" si="55"/>
        <v>0</v>
      </c>
      <c r="N443" s="463" t="s">
        <v>2124</v>
      </c>
      <c r="O443" s="451" t="s">
        <v>2125</v>
      </c>
      <c r="P443" s="468" t="s">
        <v>2126</v>
      </c>
      <c r="Q443" s="468" t="s">
        <v>909</v>
      </c>
      <c r="AC443" s="433" t="str">
        <f ca="1">HYPERLINK("#"&amp;일위대가목록표!J2&amp;"!A"&amp;ROW(일위대가목록표!A25),"B02620 →")</f>
        <v>B02620 →</v>
      </c>
    </row>
    <row r="444" spans="1:29" ht="35.25" customHeight="1">
      <c r="A444" s="452"/>
      <c r="B444" s="452" t="s">
        <v>2120</v>
      </c>
      <c r="C444" s="449" t="s">
        <v>2116</v>
      </c>
      <c r="D444" s="470">
        <v>0</v>
      </c>
      <c r="E444" s="463" t="s">
        <v>975</v>
      </c>
      <c r="F444" s="471">
        <f t="shared" si="52"/>
        <v>133028</v>
      </c>
      <c r="G444" s="446">
        <f t="shared" si="52"/>
        <v>0</v>
      </c>
      <c r="H444" s="472">
        <f>일위대가목록표!F26</f>
        <v>108000</v>
      </c>
      <c r="I444" s="465">
        <f t="shared" si="53"/>
        <v>0</v>
      </c>
      <c r="J444" s="473">
        <f>일위대가목록표!G26</f>
        <v>24684</v>
      </c>
      <c r="K444" s="465">
        <f t="shared" si="54"/>
        <v>0</v>
      </c>
      <c r="L444" s="474">
        <f>일위대가목록표!H26</f>
        <v>344</v>
      </c>
      <c r="M444" s="467">
        <f t="shared" si="55"/>
        <v>0</v>
      </c>
      <c r="N444" s="463" t="s">
        <v>2127</v>
      </c>
      <c r="O444" s="451" t="s">
        <v>2128</v>
      </c>
      <c r="P444" s="468" t="s">
        <v>2129</v>
      </c>
      <c r="Q444" s="468" t="s">
        <v>909</v>
      </c>
      <c r="AC444" s="433" t="str">
        <f ca="1">HYPERLINK("#"&amp;일위대가목록표!J2&amp;"!A"&amp;ROW(일위대가목록표!A26),"B02621 →")</f>
        <v>B02621 →</v>
      </c>
    </row>
    <row r="445" spans="1:29" ht="35.25" customHeight="1">
      <c r="A445" s="461" t="s">
        <v>868</v>
      </c>
      <c r="B445" s="461" t="s">
        <v>869</v>
      </c>
      <c r="C445" s="469"/>
      <c r="D445" s="462"/>
      <c r="E445" s="463"/>
      <c r="F445" s="464">
        <v>0</v>
      </c>
      <c r="G445" s="453">
        <f>SUMIF(Q446:Q473,P445,G446:G473)</f>
        <v>752481</v>
      </c>
      <c r="H445" s="465">
        <v>0</v>
      </c>
      <c r="I445" s="446">
        <f>SUMIF(Q446:Q473,P445,I446:I473)</f>
        <v>0</v>
      </c>
      <c r="J445" s="465">
        <v>0</v>
      </c>
      <c r="K445" s="466">
        <f>SUMIF(Q446:Q473,P445,K446:K473)</f>
        <v>0</v>
      </c>
      <c r="L445" s="467">
        <v>0</v>
      </c>
      <c r="M445" s="466">
        <f>SUMIF(Q446:Q473,P445,M446:M473)</f>
        <v>752481</v>
      </c>
      <c r="N445" s="463"/>
      <c r="O445" s="451" t="str">
        <f>"_x0007_`COD|E4_x0005_`QTY1|1_x0005_`EXI|0_x0005_`ITT|0_x0005_`END|"&amp;ROW(M474)&amp;"_x0005_`"</f>
        <v>_x0007_`COD|E4_x0005_`QTY1|1_x0005_`EXI|0_x0005_`ITT|0_x0005_`END|474_x0005_`</v>
      </c>
      <c r="P445" s="468" t="s">
        <v>909</v>
      </c>
      <c r="Q445" s="468" t="s">
        <v>907</v>
      </c>
    </row>
    <row r="446" spans="1:29" ht="35.25" customHeight="1">
      <c r="A446" s="452"/>
      <c r="B446" s="452" t="s">
        <v>2130</v>
      </c>
      <c r="C446" s="449" t="s">
        <v>2131</v>
      </c>
      <c r="D446" s="470">
        <v>0</v>
      </c>
      <c r="E446" s="463" t="s">
        <v>2132</v>
      </c>
      <c r="F446" s="471">
        <f t="shared" ref="F446:G473" si="56">J446+H446+L446</f>
        <v>103999</v>
      </c>
      <c r="G446" s="446">
        <f t="shared" si="56"/>
        <v>0</v>
      </c>
      <c r="H446" s="472">
        <f>단가산출근거목록표!F114</f>
        <v>0</v>
      </c>
      <c r="I446" s="465">
        <f t="shared" ref="I446:I473" si="57">ROUNDDOWN(H446*D446,0)</f>
        <v>0</v>
      </c>
      <c r="J446" s="473">
        <f>단가산출근거목록표!G114</f>
        <v>0</v>
      </c>
      <c r="K446" s="465">
        <f t="shared" ref="K446:K473" si="58">ROUNDDOWN(J446*D446,0)</f>
        <v>0</v>
      </c>
      <c r="L446" s="474">
        <f>단가산출근거목록표!H114</f>
        <v>103999</v>
      </c>
      <c r="M446" s="467">
        <f t="shared" ref="M446:M473" si="59">ROUNDDOWN(L446*D446,0)</f>
        <v>0</v>
      </c>
      <c r="N446" s="463" t="s">
        <v>2133</v>
      </c>
      <c r="O446" s="451" t="s">
        <v>2134</v>
      </c>
      <c r="P446" s="468" t="s">
        <v>2135</v>
      </c>
      <c r="Q446" s="468" t="s">
        <v>909</v>
      </c>
      <c r="AC446" s="433" t="str">
        <f ca="1">HYPERLINK("#"&amp;단가산출근거목록표!J2&amp;"!A"&amp;ROW(단가산출근거목록표!A114),"D01179 →")</f>
        <v>D01179 →</v>
      </c>
    </row>
    <row r="447" spans="1:29" ht="35.25" customHeight="1">
      <c r="A447" s="452"/>
      <c r="B447" s="452" t="s">
        <v>2130</v>
      </c>
      <c r="C447" s="449" t="s">
        <v>2136</v>
      </c>
      <c r="D447" s="470">
        <v>0</v>
      </c>
      <c r="E447" s="463" t="s">
        <v>2132</v>
      </c>
      <c r="F447" s="471">
        <f t="shared" si="56"/>
        <v>140722</v>
      </c>
      <c r="G447" s="446">
        <f t="shared" si="56"/>
        <v>0</v>
      </c>
      <c r="H447" s="472">
        <f>단가산출근거목록표!F115</f>
        <v>0</v>
      </c>
      <c r="I447" s="465">
        <f t="shared" si="57"/>
        <v>0</v>
      </c>
      <c r="J447" s="473">
        <f>단가산출근거목록표!G115</f>
        <v>0</v>
      </c>
      <c r="K447" s="465">
        <f t="shared" si="58"/>
        <v>0</v>
      </c>
      <c r="L447" s="474">
        <f>단가산출근거목록표!H115</f>
        <v>140722</v>
      </c>
      <c r="M447" s="467">
        <f t="shared" si="59"/>
        <v>0</v>
      </c>
      <c r="N447" s="463" t="s">
        <v>2137</v>
      </c>
      <c r="O447" s="451" t="s">
        <v>2138</v>
      </c>
      <c r="P447" s="468" t="s">
        <v>2139</v>
      </c>
      <c r="Q447" s="468" t="s">
        <v>909</v>
      </c>
      <c r="AC447" s="433" t="str">
        <f ca="1">HYPERLINK("#"&amp;단가산출근거목록표!J2&amp;"!A"&amp;ROW(단가산출근거목록표!A115),"D01180 →")</f>
        <v>D01180 →</v>
      </c>
    </row>
    <row r="448" spans="1:29" ht="35.25" customHeight="1">
      <c r="A448" s="452"/>
      <c r="B448" s="452" t="s">
        <v>2130</v>
      </c>
      <c r="C448" s="449" t="s">
        <v>2140</v>
      </c>
      <c r="D448" s="470">
        <v>0</v>
      </c>
      <c r="E448" s="463" t="s">
        <v>2132</v>
      </c>
      <c r="F448" s="471">
        <f t="shared" si="56"/>
        <v>177435</v>
      </c>
      <c r="G448" s="446">
        <f t="shared" si="56"/>
        <v>0</v>
      </c>
      <c r="H448" s="472">
        <f>단가산출근거목록표!F116</f>
        <v>0</v>
      </c>
      <c r="I448" s="465">
        <f t="shared" si="57"/>
        <v>0</v>
      </c>
      <c r="J448" s="473">
        <f>단가산출근거목록표!G116</f>
        <v>0</v>
      </c>
      <c r="K448" s="465">
        <f t="shared" si="58"/>
        <v>0</v>
      </c>
      <c r="L448" s="474">
        <f>단가산출근거목록표!H116</f>
        <v>177435</v>
      </c>
      <c r="M448" s="467">
        <f t="shared" si="59"/>
        <v>0</v>
      </c>
      <c r="N448" s="463" t="s">
        <v>2141</v>
      </c>
      <c r="O448" s="451" t="s">
        <v>2142</v>
      </c>
      <c r="P448" s="468" t="s">
        <v>2143</v>
      </c>
      <c r="Q448" s="468" t="s">
        <v>909</v>
      </c>
      <c r="AC448" s="433" t="str">
        <f ca="1">HYPERLINK("#"&amp;단가산출근거목록표!J2&amp;"!A"&amp;ROW(단가산출근거목록표!A116),"D01181 →")</f>
        <v>D01181 →</v>
      </c>
    </row>
    <row r="449" spans="1:29" ht="35.25" customHeight="1">
      <c r="A449" s="452"/>
      <c r="B449" s="452" t="s">
        <v>2130</v>
      </c>
      <c r="C449" s="449" t="s">
        <v>2144</v>
      </c>
      <c r="D449" s="470">
        <v>0</v>
      </c>
      <c r="E449" s="463" t="s">
        <v>2132</v>
      </c>
      <c r="F449" s="471">
        <f t="shared" si="56"/>
        <v>214148</v>
      </c>
      <c r="G449" s="446">
        <f t="shared" si="56"/>
        <v>0</v>
      </c>
      <c r="H449" s="472">
        <f>단가산출근거목록표!F117</f>
        <v>0</v>
      </c>
      <c r="I449" s="465">
        <f t="shared" si="57"/>
        <v>0</v>
      </c>
      <c r="J449" s="473">
        <f>단가산출근거목록표!G117</f>
        <v>0</v>
      </c>
      <c r="K449" s="465">
        <f t="shared" si="58"/>
        <v>0</v>
      </c>
      <c r="L449" s="474">
        <f>단가산출근거목록표!H117</f>
        <v>214148</v>
      </c>
      <c r="M449" s="467">
        <f t="shared" si="59"/>
        <v>0</v>
      </c>
      <c r="N449" s="463" t="s">
        <v>2145</v>
      </c>
      <c r="O449" s="451" t="s">
        <v>2146</v>
      </c>
      <c r="P449" s="468" t="s">
        <v>2147</v>
      </c>
      <c r="Q449" s="468" t="s">
        <v>909</v>
      </c>
      <c r="AC449" s="433" t="str">
        <f ca="1">HYPERLINK("#"&amp;단가산출근거목록표!J2&amp;"!A"&amp;ROW(단가산출근거목록표!A117),"D01182 →")</f>
        <v>D01182 →</v>
      </c>
    </row>
    <row r="450" spans="1:29" ht="35.25" customHeight="1">
      <c r="A450" s="452"/>
      <c r="B450" s="452" t="s">
        <v>2130</v>
      </c>
      <c r="C450" s="449" t="s">
        <v>2148</v>
      </c>
      <c r="D450" s="470">
        <v>3</v>
      </c>
      <c r="E450" s="463" t="s">
        <v>2132</v>
      </c>
      <c r="F450" s="471">
        <f t="shared" si="56"/>
        <v>250827</v>
      </c>
      <c r="G450" s="446">
        <f t="shared" si="56"/>
        <v>752481</v>
      </c>
      <c r="H450" s="472">
        <f>단가산출근거목록표!F118</f>
        <v>0</v>
      </c>
      <c r="I450" s="465">
        <f t="shared" si="57"/>
        <v>0</v>
      </c>
      <c r="J450" s="473">
        <f>단가산출근거목록표!G118</f>
        <v>0</v>
      </c>
      <c r="K450" s="465">
        <f t="shared" si="58"/>
        <v>0</v>
      </c>
      <c r="L450" s="474">
        <f>단가산출근거목록표!H118</f>
        <v>250827</v>
      </c>
      <c r="M450" s="467">
        <f t="shared" si="59"/>
        <v>752481</v>
      </c>
      <c r="N450" s="463" t="s">
        <v>2149</v>
      </c>
      <c r="O450" s="451" t="s">
        <v>2150</v>
      </c>
      <c r="P450" s="468" t="s">
        <v>2151</v>
      </c>
      <c r="Q450" s="468" t="s">
        <v>909</v>
      </c>
      <c r="AC450" s="433" t="str">
        <f ca="1">HYPERLINK("#"&amp;단가산출근거목록표!J2&amp;"!A"&amp;ROW(단가산출근거목록표!A118),"D01183 →")</f>
        <v>D01183 →</v>
      </c>
    </row>
    <row r="451" spans="1:29" ht="35.25" customHeight="1">
      <c r="A451" s="452"/>
      <c r="B451" s="452" t="s">
        <v>2130</v>
      </c>
      <c r="C451" s="449" t="s">
        <v>2152</v>
      </c>
      <c r="D451" s="470">
        <v>0</v>
      </c>
      <c r="E451" s="463" t="s">
        <v>2132</v>
      </c>
      <c r="F451" s="471">
        <f t="shared" si="56"/>
        <v>287498</v>
      </c>
      <c r="G451" s="446">
        <f t="shared" si="56"/>
        <v>0</v>
      </c>
      <c r="H451" s="472">
        <f>단가산출근거목록표!F119</f>
        <v>0</v>
      </c>
      <c r="I451" s="465">
        <f t="shared" si="57"/>
        <v>0</v>
      </c>
      <c r="J451" s="473">
        <f>단가산출근거목록표!G119</f>
        <v>0</v>
      </c>
      <c r="K451" s="465">
        <f t="shared" si="58"/>
        <v>0</v>
      </c>
      <c r="L451" s="474">
        <f>단가산출근거목록표!H119</f>
        <v>287498</v>
      </c>
      <c r="M451" s="467">
        <f t="shared" si="59"/>
        <v>0</v>
      </c>
      <c r="N451" s="463" t="s">
        <v>2153</v>
      </c>
      <c r="O451" s="451" t="s">
        <v>2154</v>
      </c>
      <c r="P451" s="468" t="s">
        <v>2155</v>
      </c>
      <c r="Q451" s="468" t="s">
        <v>909</v>
      </c>
      <c r="AC451" s="433" t="str">
        <f ca="1">HYPERLINK("#"&amp;단가산출근거목록표!J2&amp;"!A"&amp;ROW(단가산출근거목록표!A119),"D01184 →")</f>
        <v>D01184 →</v>
      </c>
    </row>
    <row r="452" spans="1:29" ht="35.25" customHeight="1">
      <c r="A452" s="452"/>
      <c r="B452" s="452" t="s">
        <v>2130</v>
      </c>
      <c r="C452" s="449" t="s">
        <v>2156</v>
      </c>
      <c r="D452" s="470">
        <v>0</v>
      </c>
      <c r="E452" s="463" t="s">
        <v>2132</v>
      </c>
      <c r="F452" s="471">
        <f t="shared" si="56"/>
        <v>324197</v>
      </c>
      <c r="G452" s="446">
        <f t="shared" si="56"/>
        <v>0</v>
      </c>
      <c r="H452" s="472">
        <f>단가산출근거목록표!F120</f>
        <v>0</v>
      </c>
      <c r="I452" s="465">
        <f t="shared" si="57"/>
        <v>0</v>
      </c>
      <c r="J452" s="473">
        <f>단가산출근거목록표!G120</f>
        <v>0</v>
      </c>
      <c r="K452" s="465">
        <f t="shared" si="58"/>
        <v>0</v>
      </c>
      <c r="L452" s="474">
        <f>단가산출근거목록표!H120</f>
        <v>324197</v>
      </c>
      <c r="M452" s="467">
        <f t="shared" si="59"/>
        <v>0</v>
      </c>
      <c r="N452" s="463" t="s">
        <v>2157</v>
      </c>
      <c r="O452" s="451" t="s">
        <v>2158</v>
      </c>
      <c r="P452" s="468" t="s">
        <v>2159</v>
      </c>
      <c r="Q452" s="468" t="s">
        <v>909</v>
      </c>
      <c r="AC452" s="433" t="str">
        <f ca="1">HYPERLINK("#"&amp;단가산출근거목록표!J2&amp;"!A"&amp;ROW(단가산출근거목록표!A120),"D01185 →")</f>
        <v>D01185 →</v>
      </c>
    </row>
    <row r="453" spans="1:29" ht="35.25" customHeight="1">
      <c r="A453" s="452"/>
      <c r="B453" s="452" t="s">
        <v>2130</v>
      </c>
      <c r="C453" s="449" t="s">
        <v>2160</v>
      </c>
      <c r="D453" s="470">
        <v>0</v>
      </c>
      <c r="E453" s="463" t="s">
        <v>2132</v>
      </c>
      <c r="F453" s="471">
        <f t="shared" si="56"/>
        <v>360918</v>
      </c>
      <c r="G453" s="446">
        <f t="shared" si="56"/>
        <v>0</v>
      </c>
      <c r="H453" s="472">
        <f>단가산출근거목록표!F121</f>
        <v>0</v>
      </c>
      <c r="I453" s="465">
        <f t="shared" si="57"/>
        <v>0</v>
      </c>
      <c r="J453" s="473">
        <f>단가산출근거목록표!G121</f>
        <v>0</v>
      </c>
      <c r="K453" s="465">
        <f t="shared" si="58"/>
        <v>0</v>
      </c>
      <c r="L453" s="474">
        <f>단가산출근거목록표!H121</f>
        <v>360918</v>
      </c>
      <c r="M453" s="467">
        <f t="shared" si="59"/>
        <v>0</v>
      </c>
      <c r="N453" s="463" t="s">
        <v>2161</v>
      </c>
      <c r="O453" s="451" t="s">
        <v>2162</v>
      </c>
      <c r="P453" s="468" t="s">
        <v>2163</v>
      </c>
      <c r="Q453" s="468" t="s">
        <v>909</v>
      </c>
      <c r="AC453" s="433" t="str">
        <f ca="1">HYPERLINK("#"&amp;단가산출근거목록표!J2&amp;"!A"&amp;ROW(단가산출근거목록표!A121),"D01186 →")</f>
        <v>D01186 →</v>
      </c>
    </row>
    <row r="454" spans="1:29" ht="35.25" customHeight="1">
      <c r="A454" s="452"/>
      <c r="B454" s="452" t="s">
        <v>2130</v>
      </c>
      <c r="C454" s="449" t="s">
        <v>2164</v>
      </c>
      <c r="D454" s="470">
        <v>0</v>
      </c>
      <c r="E454" s="463" t="s">
        <v>2132</v>
      </c>
      <c r="F454" s="471">
        <f t="shared" si="56"/>
        <v>397615</v>
      </c>
      <c r="G454" s="446">
        <f t="shared" si="56"/>
        <v>0</v>
      </c>
      <c r="H454" s="472">
        <f>단가산출근거목록표!F122</f>
        <v>0</v>
      </c>
      <c r="I454" s="465">
        <f t="shared" si="57"/>
        <v>0</v>
      </c>
      <c r="J454" s="473">
        <f>단가산출근거목록표!G122</f>
        <v>0</v>
      </c>
      <c r="K454" s="465">
        <f t="shared" si="58"/>
        <v>0</v>
      </c>
      <c r="L454" s="474">
        <f>단가산출근거목록표!H122</f>
        <v>397615</v>
      </c>
      <c r="M454" s="467">
        <f t="shared" si="59"/>
        <v>0</v>
      </c>
      <c r="N454" s="463" t="s">
        <v>2165</v>
      </c>
      <c r="O454" s="451" t="s">
        <v>2166</v>
      </c>
      <c r="P454" s="468" t="s">
        <v>2167</v>
      </c>
      <c r="Q454" s="468" t="s">
        <v>909</v>
      </c>
      <c r="AC454" s="433" t="str">
        <f ca="1">HYPERLINK("#"&amp;단가산출근거목록표!J2&amp;"!A"&amp;ROW(단가산출근거목록표!A122),"D01187 →")</f>
        <v>D01187 →</v>
      </c>
    </row>
    <row r="455" spans="1:29" ht="35.25" customHeight="1">
      <c r="A455" s="452"/>
      <c r="B455" s="452" t="s">
        <v>2130</v>
      </c>
      <c r="C455" s="449" t="s">
        <v>2168</v>
      </c>
      <c r="D455" s="470">
        <v>0</v>
      </c>
      <c r="E455" s="463" t="s">
        <v>2132</v>
      </c>
      <c r="F455" s="471">
        <f t="shared" si="56"/>
        <v>434241</v>
      </c>
      <c r="G455" s="446">
        <f t="shared" si="56"/>
        <v>0</v>
      </c>
      <c r="H455" s="472">
        <f>단가산출근거목록표!F123</f>
        <v>0</v>
      </c>
      <c r="I455" s="465">
        <f t="shared" si="57"/>
        <v>0</v>
      </c>
      <c r="J455" s="473">
        <f>단가산출근거목록표!G123</f>
        <v>0</v>
      </c>
      <c r="K455" s="465">
        <f t="shared" si="58"/>
        <v>0</v>
      </c>
      <c r="L455" s="474">
        <f>단가산출근거목록표!H123</f>
        <v>434241</v>
      </c>
      <c r="M455" s="467">
        <f t="shared" si="59"/>
        <v>0</v>
      </c>
      <c r="N455" s="463" t="s">
        <v>2169</v>
      </c>
      <c r="O455" s="451" t="s">
        <v>2170</v>
      </c>
      <c r="P455" s="468" t="s">
        <v>2171</v>
      </c>
      <c r="Q455" s="468" t="s">
        <v>909</v>
      </c>
      <c r="AC455" s="433" t="str">
        <f ca="1">HYPERLINK("#"&amp;단가산출근거목록표!J2&amp;"!A"&amp;ROW(단가산출근거목록표!A123),"D01188 →")</f>
        <v>D01188 →</v>
      </c>
    </row>
    <row r="456" spans="1:29" ht="35.25" customHeight="1">
      <c r="A456" s="452"/>
      <c r="B456" s="452" t="s">
        <v>2130</v>
      </c>
      <c r="C456" s="449" t="s">
        <v>2172</v>
      </c>
      <c r="D456" s="470">
        <v>0</v>
      </c>
      <c r="E456" s="463" t="s">
        <v>2132</v>
      </c>
      <c r="F456" s="471">
        <f t="shared" si="56"/>
        <v>471096</v>
      </c>
      <c r="G456" s="446">
        <f t="shared" si="56"/>
        <v>0</v>
      </c>
      <c r="H456" s="472">
        <f>단가산출근거목록표!F124</f>
        <v>0</v>
      </c>
      <c r="I456" s="465">
        <f t="shared" si="57"/>
        <v>0</v>
      </c>
      <c r="J456" s="473">
        <f>단가산출근거목록표!G124</f>
        <v>0</v>
      </c>
      <c r="K456" s="465">
        <f t="shared" si="58"/>
        <v>0</v>
      </c>
      <c r="L456" s="474">
        <f>단가산출근거목록표!H124</f>
        <v>471096</v>
      </c>
      <c r="M456" s="467">
        <f t="shared" si="59"/>
        <v>0</v>
      </c>
      <c r="N456" s="463" t="s">
        <v>2173</v>
      </c>
      <c r="O456" s="451" t="s">
        <v>2174</v>
      </c>
      <c r="P456" s="468" t="s">
        <v>2175</v>
      </c>
      <c r="Q456" s="468" t="s">
        <v>909</v>
      </c>
      <c r="AC456" s="433" t="str">
        <f ca="1">HYPERLINK("#"&amp;단가산출근거목록표!J2&amp;"!A"&amp;ROW(단가산출근거목록표!A124),"D01189 →")</f>
        <v>D01189 →</v>
      </c>
    </row>
    <row r="457" spans="1:29" ht="35.25" customHeight="1">
      <c r="A457" s="452"/>
      <c r="B457" s="452" t="s">
        <v>2130</v>
      </c>
      <c r="C457" s="449" t="s">
        <v>2176</v>
      </c>
      <c r="D457" s="470">
        <v>0</v>
      </c>
      <c r="E457" s="463" t="s">
        <v>2132</v>
      </c>
      <c r="F457" s="471">
        <f t="shared" si="56"/>
        <v>507949</v>
      </c>
      <c r="G457" s="446">
        <f t="shared" si="56"/>
        <v>0</v>
      </c>
      <c r="H457" s="472">
        <f>단가산출근거목록표!F125</f>
        <v>0</v>
      </c>
      <c r="I457" s="465">
        <f t="shared" si="57"/>
        <v>0</v>
      </c>
      <c r="J457" s="473">
        <f>단가산출근거목록표!G125</f>
        <v>0</v>
      </c>
      <c r="K457" s="465">
        <f t="shared" si="58"/>
        <v>0</v>
      </c>
      <c r="L457" s="474">
        <f>단가산출근거목록표!H125</f>
        <v>507949</v>
      </c>
      <c r="M457" s="467">
        <f t="shared" si="59"/>
        <v>0</v>
      </c>
      <c r="N457" s="463" t="s">
        <v>2177</v>
      </c>
      <c r="O457" s="451" t="s">
        <v>2178</v>
      </c>
      <c r="P457" s="468" t="s">
        <v>2179</v>
      </c>
      <c r="Q457" s="468" t="s">
        <v>909</v>
      </c>
      <c r="AC457" s="433" t="str">
        <f ca="1">HYPERLINK("#"&amp;단가산출근거목록표!J2&amp;"!A"&amp;ROW(단가산출근거목록표!A125),"D01190 →")</f>
        <v>D01190 →</v>
      </c>
    </row>
    <row r="458" spans="1:29" ht="35.25" customHeight="1">
      <c r="A458" s="452"/>
      <c r="B458" s="452" t="s">
        <v>2130</v>
      </c>
      <c r="C458" s="449" t="s">
        <v>2180</v>
      </c>
      <c r="D458" s="470">
        <v>0</v>
      </c>
      <c r="E458" s="463" t="s">
        <v>2132</v>
      </c>
      <c r="F458" s="471">
        <f t="shared" si="56"/>
        <v>544518</v>
      </c>
      <c r="G458" s="446">
        <f t="shared" si="56"/>
        <v>0</v>
      </c>
      <c r="H458" s="472">
        <f>단가산출근거목록표!F126</f>
        <v>0</v>
      </c>
      <c r="I458" s="465">
        <f t="shared" si="57"/>
        <v>0</v>
      </c>
      <c r="J458" s="473">
        <f>단가산출근거목록표!G126</f>
        <v>0</v>
      </c>
      <c r="K458" s="465">
        <f t="shared" si="58"/>
        <v>0</v>
      </c>
      <c r="L458" s="474">
        <f>단가산출근거목록표!H126</f>
        <v>544518</v>
      </c>
      <c r="M458" s="467">
        <f t="shared" si="59"/>
        <v>0</v>
      </c>
      <c r="N458" s="463" t="s">
        <v>2181</v>
      </c>
      <c r="O458" s="451" t="s">
        <v>2182</v>
      </c>
      <c r="P458" s="468" t="s">
        <v>2183</v>
      </c>
      <c r="Q458" s="468" t="s">
        <v>909</v>
      </c>
      <c r="AC458" s="433" t="str">
        <f ca="1">HYPERLINK("#"&amp;단가산출근거목록표!J2&amp;"!A"&amp;ROW(단가산출근거목록표!A126),"D01191 →")</f>
        <v>D01191 →</v>
      </c>
    </row>
    <row r="459" spans="1:29" ht="35.25" customHeight="1">
      <c r="A459" s="452"/>
      <c r="B459" s="452" t="s">
        <v>2130</v>
      </c>
      <c r="C459" s="449" t="s">
        <v>2184</v>
      </c>
      <c r="D459" s="470">
        <v>0</v>
      </c>
      <c r="E459" s="463" t="s">
        <v>2132</v>
      </c>
      <c r="F459" s="471">
        <f t="shared" si="56"/>
        <v>581310</v>
      </c>
      <c r="G459" s="446">
        <f t="shared" si="56"/>
        <v>0</v>
      </c>
      <c r="H459" s="472">
        <f>단가산출근거목록표!F127</f>
        <v>0</v>
      </c>
      <c r="I459" s="465">
        <f t="shared" si="57"/>
        <v>0</v>
      </c>
      <c r="J459" s="473">
        <f>단가산출근거목록표!G127</f>
        <v>0</v>
      </c>
      <c r="K459" s="465">
        <f t="shared" si="58"/>
        <v>0</v>
      </c>
      <c r="L459" s="474">
        <f>단가산출근거목록표!H127</f>
        <v>581310</v>
      </c>
      <c r="M459" s="467">
        <f t="shared" si="59"/>
        <v>0</v>
      </c>
      <c r="N459" s="463" t="s">
        <v>2185</v>
      </c>
      <c r="O459" s="451" t="s">
        <v>2186</v>
      </c>
      <c r="P459" s="468" t="s">
        <v>2187</v>
      </c>
      <c r="Q459" s="468" t="s">
        <v>909</v>
      </c>
      <c r="AC459" s="433" t="str">
        <f ca="1">HYPERLINK("#"&amp;단가산출근거목록표!J2&amp;"!A"&amp;ROW(단가산출근거목록표!A127),"D01192 →")</f>
        <v>D01192 →</v>
      </c>
    </row>
    <row r="460" spans="1:29" ht="35.25" customHeight="1">
      <c r="A460" s="452"/>
      <c r="B460" s="452" t="s">
        <v>2130</v>
      </c>
      <c r="C460" s="449" t="s">
        <v>2188</v>
      </c>
      <c r="D460" s="470">
        <v>0</v>
      </c>
      <c r="E460" s="463" t="s">
        <v>2132</v>
      </c>
      <c r="F460" s="471">
        <f t="shared" si="56"/>
        <v>617838</v>
      </c>
      <c r="G460" s="446">
        <f t="shared" si="56"/>
        <v>0</v>
      </c>
      <c r="H460" s="472">
        <f>단가산출근거목록표!F128</f>
        <v>0</v>
      </c>
      <c r="I460" s="465">
        <f t="shared" si="57"/>
        <v>0</v>
      </c>
      <c r="J460" s="473">
        <f>단가산출근거목록표!G128</f>
        <v>0</v>
      </c>
      <c r="K460" s="465">
        <f t="shared" si="58"/>
        <v>0</v>
      </c>
      <c r="L460" s="474">
        <f>단가산출근거목록표!H128</f>
        <v>617838</v>
      </c>
      <c r="M460" s="467">
        <f t="shared" si="59"/>
        <v>0</v>
      </c>
      <c r="N460" s="463" t="s">
        <v>2189</v>
      </c>
      <c r="O460" s="451" t="s">
        <v>2190</v>
      </c>
      <c r="P460" s="468" t="s">
        <v>2191</v>
      </c>
      <c r="Q460" s="468" t="s">
        <v>909</v>
      </c>
      <c r="AC460" s="433" t="str">
        <f ca="1">HYPERLINK("#"&amp;단가산출근거목록표!J2&amp;"!A"&amp;ROW(단가산출근거목록표!A128),"D01193 →")</f>
        <v>D01193 →</v>
      </c>
    </row>
    <row r="461" spans="1:29" ht="35.25" customHeight="1">
      <c r="A461" s="452"/>
      <c r="B461" s="452" t="s">
        <v>2130</v>
      </c>
      <c r="C461" s="449" t="s">
        <v>2192</v>
      </c>
      <c r="D461" s="470">
        <v>0</v>
      </c>
      <c r="E461" s="463" t="s">
        <v>2132</v>
      </c>
      <c r="F461" s="471">
        <f t="shared" si="56"/>
        <v>654873</v>
      </c>
      <c r="G461" s="446">
        <f t="shared" si="56"/>
        <v>0</v>
      </c>
      <c r="H461" s="472">
        <f>단가산출근거목록표!F129</f>
        <v>0</v>
      </c>
      <c r="I461" s="465">
        <f t="shared" si="57"/>
        <v>0</v>
      </c>
      <c r="J461" s="473">
        <f>단가산출근거목록표!G129</f>
        <v>0</v>
      </c>
      <c r="K461" s="465">
        <f t="shared" si="58"/>
        <v>0</v>
      </c>
      <c r="L461" s="474">
        <f>단가산출근거목록표!H129</f>
        <v>654873</v>
      </c>
      <c r="M461" s="467">
        <f t="shared" si="59"/>
        <v>0</v>
      </c>
      <c r="N461" s="463" t="s">
        <v>2193</v>
      </c>
      <c r="O461" s="451" t="s">
        <v>2194</v>
      </c>
      <c r="P461" s="468" t="s">
        <v>2195</v>
      </c>
      <c r="Q461" s="468" t="s">
        <v>909</v>
      </c>
      <c r="AC461" s="433" t="str">
        <f ca="1">HYPERLINK("#"&amp;단가산출근거목록표!J2&amp;"!A"&amp;ROW(단가산출근거목록표!A129),"D01194 →")</f>
        <v>D01194 →</v>
      </c>
    </row>
    <row r="462" spans="1:29" ht="35.25" customHeight="1">
      <c r="A462" s="452"/>
      <c r="B462" s="452" t="s">
        <v>2130</v>
      </c>
      <c r="C462" s="449" t="s">
        <v>2196</v>
      </c>
      <c r="D462" s="470">
        <v>0</v>
      </c>
      <c r="E462" s="463" t="s">
        <v>2132</v>
      </c>
      <c r="F462" s="471">
        <f t="shared" si="56"/>
        <v>691036</v>
      </c>
      <c r="G462" s="446">
        <f t="shared" si="56"/>
        <v>0</v>
      </c>
      <c r="H462" s="472">
        <f>단가산출근거목록표!F130</f>
        <v>0</v>
      </c>
      <c r="I462" s="465">
        <f t="shared" si="57"/>
        <v>0</v>
      </c>
      <c r="J462" s="473">
        <f>단가산출근거목록표!G130</f>
        <v>0</v>
      </c>
      <c r="K462" s="465">
        <f t="shared" si="58"/>
        <v>0</v>
      </c>
      <c r="L462" s="474">
        <f>단가산출근거목록표!H130</f>
        <v>691036</v>
      </c>
      <c r="M462" s="467">
        <f t="shared" si="59"/>
        <v>0</v>
      </c>
      <c r="N462" s="463" t="s">
        <v>2197</v>
      </c>
      <c r="O462" s="451" t="s">
        <v>2198</v>
      </c>
      <c r="P462" s="468" t="s">
        <v>2199</v>
      </c>
      <c r="Q462" s="468" t="s">
        <v>909</v>
      </c>
      <c r="AC462" s="433" t="str">
        <f ca="1">HYPERLINK("#"&amp;단가산출근거목록표!J2&amp;"!A"&amp;ROW(단가산출근거목록표!A130),"D01195 →")</f>
        <v>D01195 →</v>
      </c>
    </row>
    <row r="463" spans="1:29" ht="35.25" customHeight="1">
      <c r="A463" s="452"/>
      <c r="B463" s="452" t="s">
        <v>2130</v>
      </c>
      <c r="C463" s="449" t="s">
        <v>2200</v>
      </c>
      <c r="D463" s="470">
        <v>0</v>
      </c>
      <c r="E463" s="463" t="s">
        <v>2132</v>
      </c>
      <c r="F463" s="471">
        <f t="shared" si="56"/>
        <v>728330</v>
      </c>
      <c r="G463" s="446">
        <f t="shared" si="56"/>
        <v>0</v>
      </c>
      <c r="H463" s="472">
        <f>단가산출근거목록표!F131</f>
        <v>0</v>
      </c>
      <c r="I463" s="465">
        <f t="shared" si="57"/>
        <v>0</v>
      </c>
      <c r="J463" s="473">
        <f>단가산출근거목록표!G131</f>
        <v>0</v>
      </c>
      <c r="K463" s="465">
        <f t="shared" si="58"/>
        <v>0</v>
      </c>
      <c r="L463" s="474">
        <f>단가산출근거목록표!H131</f>
        <v>728330</v>
      </c>
      <c r="M463" s="467">
        <f t="shared" si="59"/>
        <v>0</v>
      </c>
      <c r="N463" s="463" t="s">
        <v>2201</v>
      </c>
      <c r="O463" s="451" t="s">
        <v>2202</v>
      </c>
      <c r="P463" s="468" t="s">
        <v>2203</v>
      </c>
      <c r="Q463" s="468" t="s">
        <v>909</v>
      </c>
      <c r="AC463" s="433" t="str">
        <f ca="1">HYPERLINK("#"&amp;단가산출근거목록표!J2&amp;"!A"&amp;ROW(단가산출근거목록표!A131),"D01196 →")</f>
        <v>D01196 →</v>
      </c>
    </row>
    <row r="464" spans="1:29" ht="35.25" customHeight="1">
      <c r="A464" s="452"/>
      <c r="B464" s="452" t="s">
        <v>2130</v>
      </c>
      <c r="C464" s="449" t="s">
        <v>2204</v>
      </c>
      <c r="D464" s="470">
        <v>0</v>
      </c>
      <c r="E464" s="463" t="s">
        <v>2132</v>
      </c>
      <c r="F464" s="471">
        <f t="shared" si="56"/>
        <v>764746</v>
      </c>
      <c r="G464" s="446">
        <f t="shared" si="56"/>
        <v>0</v>
      </c>
      <c r="H464" s="472">
        <f>단가산출근거목록표!F104</f>
        <v>0</v>
      </c>
      <c r="I464" s="465">
        <f t="shared" si="57"/>
        <v>0</v>
      </c>
      <c r="J464" s="473">
        <f>단가산출근거목록표!G104</f>
        <v>0</v>
      </c>
      <c r="K464" s="465">
        <f t="shared" si="58"/>
        <v>0</v>
      </c>
      <c r="L464" s="474">
        <f>단가산출근거목록표!H104</f>
        <v>764746</v>
      </c>
      <c r="M464" s="467">
        <f t="shared" si="59"/>
        <v>0</v>
      </c>
      <c r="N464" s="463" t="s">
        <v>2205</v>
      </c>
      <c r="O464" s="451" t="s">
        <v>2206</v>
      </c>
      <c r="P464" s="468" t="s">
        <v>2207</v>
      </c>
      <c r="Q464" s="468" t="s">
        <v>909</v>
      </c>
      <c r="AC464" s="433" t="str">
        <f ca="1">HYPERLINK("#"&amp;단가산출근거목록표!J2&amp;"!A"&amp;ROW(단가산출근거목록표!A104),"D01197 →")</f>
        <v>D01197 →</v>
      </c>
    </row>
    <row r="465" spans="1:29" ht="35.25" customHeight="1">
      <c r="A465" s="452"/>
      <c r="B465" s="452" t="s">
        <v>2130</v>
      </c>
      <c r="C465" s="449" t="s">
        <v>2208</v>
      </c>
      <c r="D465" s="470">
        <v>0</v>
      </c>
      <c r="E465" s="463" t="s">
        <v>2132</v>
      </c>
      <c r="F465" s="471">
        <f t="shared" si="56"/>
        <v>801247</v>
      </c>
      <c r="G465" s="446">
        <f t="shared" si="56"/>
        <v>0</v>
      </c>
      <c r="H465" s="472">
        <f>단가산출근거목록표!F105</f>
        <v>0</v>
      </c>
      <c r="I465" s="465">
        <f t="shared" si="57"/>
        <v>0</v>
      </c>
      <c r="J465" s="473">
        <f>단가산출근거목록표!G105</f>
        <v>0</v>
      </c>
      <c r="K465" s="465">
        <f t="shared" si="58"/>
        <v>0</v>
      </c>
      <c r="L465" s="474">
        <f>단가산출근거목록표!H105</f>
        <v>801247</v>
      </c>
      <c r="M465" s="467">
        <f t="shared" si="59"/>
        <v>0</v>
      </c>
      <c r="N465" s="463" t="s">
        <v>2209</v>
      </c>
      <c r="O465" s="451" t="s">
        <v>2210</v>
      </c>
      <c r="P465" s="468" t="s">
        <v>2211</v>
      </c>
      <c r="Q465" s="468" t="s">
        <v>909</v>
      </c>
      <c r="AC465" s="433" t="str">
        <f ca="1">HYPERLINK("#"&amp;단가산출근거목록표!J2&amp;"!A"&amp;ROW(단가산출근거목록표!A105),"D01198 →")</f>
        <v>D01198 →</v>
      </c>
    </row>
    <row r="466" spans="1:29" ht="35.25" customHeight="1">
      <c r="A466" s="452"/>
      <c r="B466" s="452" t="s">
        <v>2130</v>
      </c>
      <c r="C466" s="449" t="s">
        <v>2212</v>
      </c>
      <c r="D466" s="470">
        <v>0</v>
      </c>
      <c r="E466" s="463" t="s">
        <v>2132</v>
      </c>
      <c r="F466" s="471">
        <f t="shared" si="56"/>
        <v>838333</v>
      </c>
      <c r="G466" s="446">
        <f t="shared" si="56"/>
        <v>0</v>
      </c>
      <c r="H466" s="472">
        <f>단가산출근거목록표!F106</f>
        <v>0</v>
      </c>
      <c r="I466" s="465">
        <f t="shared" si="57"/>
        <v>0</v>
      </c>
      <c r="J466" s="473">
        <f>단가산출근거목록표!G106</f>
        <v>0</v>
      </c>
      <c r="K466" s="465">
        <f t="shared" si="58"/>
        <v>0</v>
      </c>
      <c r="L466" s="474">
        <f>단가산출근거목록표!H106</f>
        <v>838333</v>
      </c>
      <c r="M466" s="467">
        <f t="shared" si="59"/>
        <v>0</v>
      </c>
      <c r="N466" s="463" t="s">
        <v>2213</v>
      </c>
      <c r="O466" s="451" t="s">
        <v>2214</v>
      </c>
      <c r="P466" s="468" t="s">
        <v>2215</v>
      </c>
      <c r="Q466" s="468" t="s">
        <v>909</v>
      </c>
      <c r="AC466" s="433" t="str">
        <f ca="1">HYPERLINK("#"&amp;단가산출근거목록표!J2&amp;"!A"&amp;ROW(단가산출근거목록표!A106),"D01199 →")</f>
        <v>D01199 →</v>
      </c>
    </row>
    <row r="467" spans="1:29" ht="35.25" customHeight="1">
      <c r="A467" s="452"/>
      <c r="B467" s="452" t="s">
        <v>2130</v>
      </c>
      <c r="C467" s="449" t="s">
        <v>2216</v>
      </c>
      <c r="D467" s="470">
        <v>0</v>
      </c>
      <c r="E467" s="463" t="s">
        <v>2132</v>
      </c>
      <c r="F467" s="471">
        <f t="shared" si="56"/>
        <v>874551</v>
      </c>
      <c r="G467" s="446">
        <f t="shared" si="56"/>
        <v>0</v>
      </c>
      <c r="H467" s="472">
        <f>단가산출근거목록표!F107</f>
        <v>0</v>
      </c>
      <c r="I467" s="465">
        <f t="shared" si="57"/>
        <v>0</v>
      </c>
      <c r="J467" s="473">
        <f>단가산출근거목록표!G107</f>
        <v>0</v>
      </c>
      <c r="K467" s="465">
        <f t="shared" si="58"/>
        <v>0</v>
      </c>
      <c r="L467" s="474">
        <f>단가산출근거목록표!H107</f>
        <v>874551</v>
      </c>
      <c r="M467" s="467">
        <f t="shared" si="59"/>
        <v>0</v>
      </c>
      <c r="N467" s="463" t="s">
        <v>2217</v>
      </c>
      <c r="O467" s="451" t="s">
        <v>2218</v>
      </c>
      <c r="P467" s="468" t="s">
        <v>2219</v>
      </c>
      <c r="Q467" s="468" t="s">
        <v>909</v>
      </c>
      <c r="AC467" s="433" t="str">
        <f ca="1">HYPERLINK("#"&amp;단가산출근거목록표!J2&amp;"!A"&amp;ROW(단가산출근거목록표!A107),"D01200 →")</f>
        <v>D01200 →</v>
      </c>
    </row>
    <row r="468" spans="1:29" ht="35.25" customHeight="1">
      <c r="A468" s="452"/>
      <c r="B468" s="452" t="s">
        <v>2130</v>
      </c>
      <c r="C468" s="449" t="s">
        <v>2220</v>
      </c>
      <c r="D468" s="470">
        <v>0</v>
      </c>
      <c r="E468" s="463" t="s">
        <v>2132</v>
      </c>
      <c r="F468" s="471">
        <f t="shared" si="56"/>
        <v>911618</v>
      </c>
      <c r="G468" s="446">
        <f t="shared" si="56"/>
        <v>0</v>
      </c>
      <c r="H468" s="472">
        <f>단가산출근거목록표!F108</f>
        <v>0</v>
      </c>
      <c r="I468" s="465">
        <f t="shared" si="57"/>
        <v>0</v>
      </c>
      <c r="J468" s="473">
        <f>단가산출근거목록표!G108</f>
        <v>0</v>
      </c>
      <c r="K468" s="465">
        <f t="shared" si="58"/>
        <v>0</v>
      </c>
      <c r="L468" s="474">
        <f>단가산출근거목록표!H108</f>
        <v>911618</v>
      </c>
      <c r="M468" s="467">
        <f t="shared" si="59"/>
        <v>0</v>
      </c>
      <c r="N468" s="463" t="s">
        <v>2221</v>
      </c>
      <c r="O468" s="451" t="s">
        <v>2222</v>
      </c>
      <c r="P468" s="468" t="s">
        <v>2223</v>
      </c>
      <c r="Q468" s="468" t="s">
        <v>909</v>
      </c>
      <c r="AC468" s="433" t="str">
        <f ca="1">HYPERLINK("#"&amp;단가산출근거목록표!J2&amp;"!A"&amp;ROW(단가산출근거목록표!A108),"D01201 →")</f>
        <v>D01201 →</v>
      </c>
    </row>
    <row r="469" spans="1:29" ht="35.25" customHeight="1">
      <c r="A469" s="452"/>
      <c r="B469" s="452" t="s">
        <v>2130</v>
      </c>
      <c r="C469" s="449" t="s">
        <v>2224</v>
      </c>
      <c r="D469" s="470">
        <v>0</v>
      </c>
      <c r="E469" s="463" t="s">
        <v>2132</v>
      </c>
      <c r="F469" s="471">
        <f t="shared" si="56"/>
        <v>948033</v>
      </c>
      <c r="G469" s="446">
        <f t="shared" si="56"/>
        <v>0</v>
      </c>
      <c r="H469" s="472">
        <f>단가산출근거목록표!F109</f>
        <v>0</v>
      </c>
      <c r="I469" s="465">
        <f t="shared" si="57"/>
        <v>0</v>
      </c>
      <c r="J469" s="473">
        <f>단가산출근거목록표!G109</f>
        <v>0</v>
      </c>
      <c r="K469" s="465">
        <f t="shared" si="58"/>
        <v>0</v>
      </c>
      <c r="L469" s="474">
        <f>단가산출근거목록표!H109</f>
        <v>948033</v>
      </c>
      <c r="M469" s="467">
        <f t="shared" si="59"/>
        <v>0</v>
      </c>
      <c r="N469" s="463" t="s">
        <v>2225</v>
      </c>
      <c r="O469" s="451" t="s">
        <v>2226</v>
      </c>
      <c r="P469" s="468" t="s">
        <v>2227</v>
      </c>
      <c r="Q469" s="468" t="s">
        <v>909</v>
      </c>
      <c r="AC469" s="433" t="str">
        <f ca="1">HYPERLINK("#"&amp;단가산출근거목록표!J2&amp;"!A"&amp;ROW(단가산출근거목록표!A109),"D01202 →")</f>
        <v>D01202 →</v>
      </c>
    </row>
    <row r="470" spans="1:29" ht="35.25" customHeight="1">
      <c r="A470" s="452"/>
      <c r="B470" s="452" t="s">
        <v>2130</v>
      </c>
      <c r="C470" s="449" t="s">
        <v>2228</v>
      </c>
      <c r="D470" s="470">
        <v>0</v>
      </c>
      <c r="E470" s="463" t="s">
        <v>2132</v>
      </c>
      <c r="F470" s="471">
        <f t="shared" si="56"/>
        <v>984652</v>
      </c>
      <c r="G470" s="446">
        <f t="shared" si="56"/>
        <v>0</v>
      </c>
      <c r="H470" s="472">
        <f>단가산출근거목록표!F110</f>
        <v>0</v>
      </c>
      <c r="I470" s="465">
        <f t="shared" si="57"/>
        <v>0</v>
      </c>
      <c r="J470" s="473">
        <f>단가산출근거목록표!G110</f>
        <v>0</v>
      </c>
      <c r="K470" s="465">
        <f t="shared" si="58"/>
        <v>0</v>
      </c>
      <c r="L470" s="474">
        <f>단가산출근거목록표!H110</f>
        <v>984652</v>
      </c>
      <c r="M470" s="467">
        <f t="shared" si="59"/>
        <v>0</v>
      </c>
      <c r="N470" s="463" t="s">
        <v>2229</v>
      </c>
      <c r="O470" s="451" t="s">
        <v>2230</v>
      </c>
      <c r="P470" s="468" t="s">
        <v>2231</v>
      </c>
      <c r="Q470" s="468" t="s">
        <v>909</v>
      </c>
      <c r="AC470" s="433" t="str">
        <f ca="1">HYPERLINK("#"&amp;단가산출근거목록표!J2&amp;"!A"&amp;ROW(단가산출근거목록표!A110),"D01203 →")</f>
        <v>D01203 →</v>
      </c>
    </row>
    <row r="471" spans="1:29" ht="35.25" customHeight="1">
      <c r="A471" s="452"/>
      <c r="B471" s="452" t="s">
        <v>2130</v>
      </c>
      <c r="C471" s="449" t="s">
        <v>2232</v>
      </c>
      <c r="D471" s="470">
        <v>0</v>
      </c>
      <c r="E471" s="463" t="s">
        <v>2132</v>
      </c>
      <c r="F471" s="471">
        <f t="shared" si="56"/>
        <v>1021175</v>
      </c>
      <c r="G471" s="446">
        <f t="shared" si="56"/>
        <v>0</v>
      </c>
      <c r="H471" s="472">
        <f>단가산출근거목록표!F111</f>
        <v>0</v>
      </c>
      <c r="I471" s="465">
        <f t="shared" si="57"/>
        <v>0</v>
      </c>
      <c r="J471" s="473">
        <f>단가산출근거목록표!G111</f>
        <v>0</v>
      </c>
      <c r="K471" s="465">
        <f t="shared" si="58"/>
        <v>0</v>
      </c>
      <c r="L471" s="474">
        <f>단가산출근거목록표!H111</f>
        <v>1021175</v>
      </c>
      <c r="M471" s="467">
        <f t="shared" si="59"/>
        <v>0</v>
      </c>
      <c r="N471" s="463" t="s">
        <v>2233</v>
      </c>
      <c r="O471" s="451" t="s">
        <v>2234</v>
      </c>
      <c r="P471" s="468" t="s">
        <v>2235</v>
      </c>
      <c r="Q471" s="468" t="s">
        <v>909</v>
      </c>
      <c r="AC471" s="433" t="str">
        <f ca="1">HYPERLINK("#"&amp;단가산출근거목록표!J2&amp;"!A"&amp;ROW(단가산출근거목록표!A111),"D01204 →")</f>
        <v>D01204 →</v>
      </c>
    </row>
    <row r="472" spans="1:29" ht="35.25" customHeight="1">
      <c r="A472" s="452"/>
      <c r="B472" s="452" t="s">
        <v>2130</v>
      </c>
      <c r="C472" s="449" t="s">
        <v>2236</v>
      </c>
      <c r="D472" s="470">
        <v>0</v>
      </c>
      <c r="E472" s="463" t="s">
        <v>2132</v>
      </c>
      <c r="F472" s="471">
        <f t="shared" si="56"/>
        <v>1095974</v>
      </c>
      <c r="G472" s="446">
        <f t="shared" si="56"/>
        <v>0</v>
      </c>
      <c r="H472" s="472">
        <f>단가산출근거목록표!F112</f>
        <v>0</v>
      </c>
      <c r="I472" s="465">
        <f t="shared" si="57"/>
        <v>0</v>
      </c>
      <c r="J472" s="473">
        <f>단가산출근거목록표!G112</f>
        <v>0</v>
      </c>
      <c r="K472" s="465">
        <f t="shared" si="58"/>
        <v>0</v>
      </c>
      <c r="L472" s="474">
        <f>단가산출근거목록표!H112</f>
        <v>1095974</v>
      </c>
      <c r="M472" s="467">
        <f t="shared" si="59"/>
        <v>0</v>
      </c>
      <c r="N472" s="463" t="s">
        <v>2237</v>
      </c>
      <c r="O472" s="451" t="s">
        <v>2238</v>
      </c>
      <c r="P472" s="468" t="s">
        <v>2239</v>
      </c>
      <c r="Q472" s="468" t="s">
        <v>909</v>
      </c>
      <c r="AC472" s="433" t="str">
        <f ca="1">HYPERLINK("#"&amp;단가산출근거목록표!J2&amp;"!A"&amp;ROW(단가산출근거목록표!A112),"D01206 →")</f>
        <v>D01206 →</v>
      </c>
    </row>
    <row r="473" spans="1:29" ht="35.25" customHeight="1">
      <c r="A473" s="452"/>
      <c r="B473" s="452" t="s">
        <v>2130</v>
      </c>
      <c r="C473" s="449" t="s">
        <v>2240</v>
      </c>
      <c r="D473" s="470">
        <v>0</v>
      </c>
      <c r="E473" s="463" t="s">
        <v>2132</v>
      </c>
      <c r="F473" s="471">
        <f t="shared" si="56"/>
        <v>1132026</v>
      </c>
      <c r="G473" s="446">
        <f t="shared" si="56"/>
        <v>0</v>
      </c>
      <c r="H473" s="472">
        <f>단가산출근거목록표!F113</f>
        <v>0</v>
      </c>
      <c r="I473" s="465">
        <f t="shared" si="57"/>
        <v>0</v>
      </c>
      <c r="J473" s="473">
        <f>단가산출근거목록표!G113</f>
        <v>0</v>
      </c>
      <c r="K473" s="465">
        <f t="shared" si="58"/>
        <v>0</v>
      </c>
      <c r="L473" s="474">
        <f>단가산출근거목록표!H113</f>
        <v>1132026</v>
      </c>
      <c r="M473" s="467">
        <f t="shared" si="59"/>
        <v>0</v>
      </c>
      <c r="N473" s="463" t="s">
        <v>2241</v>
      </c>
      <c r="O473" s="451" t="s">
        <v>2242</v>
      </c>
      <c r="P473" s="468" t="s">
        <v>2243</v>
      </c>
      <c r="Q473" s="468" t="s">
        <v>909</v>
      </c>
      <c r="AC473" s="433" t="str">
        <f ca="1">HYPERLINK("#"&amp;단가산출근거목록표!J2&amp;"!A"&amp;ROW(단가산출근거목록표!A113),"D01207 →")</f>
        <v>D01207 →</v>
      </c>
    </row>
    <row r="474" spans="1:29" ht="35.25" customHeight="1">
      <c r="A474" s="461" t="s">
        <v>868</v>
      </c>
      <c r="B474" s="461" t="s">
        <v>870</v>
      </c>
      <c r="C474" s="469"/>
      <c r="D474" s="462"/>
      <c r="E474" s="463"/>
      <c r="F474" s="464">
        <v>0</v>
      </c>
      <c r="G474" s="453">
        <f>SUMIF(Q475:Q481,P474,G475:G481)</f>
        <v>0</v>
      </c>
      <c r="H474" s="465">
        <v>0</v>
      </c>
      <c r="I474" s="446">
        <f>SUMIF(Q475:Q481,P474,I475:I481)</f>
        <v>0</v>
      </c>
      <c r="J474" s="465">
        <v>0</v>
      </c>
      <c r="K474" s="466">
        <f>SUMIF(Q475:Q481,P474,K475:K481)</f>
        <v>0</v>
      </c>
      <c r="L474" s="467">
        <v>0</v>
      </c>
      <c r="M474" s="466">
        <f>SUMIF(Q475:Q481,P474,M475:M481)</f>
        <v>0</v>
      </c>
      <c r="N474" s="463" t="s">
        <v>2244</v>
      </c>
      <c r="O474" s="451" t="str">
        <f>"_x0007_`COD|C4_x0005_`QTY1|1_x0005_`EXI|1_x0005_`ITT|0_x0005_`END|"&amp;ROW(M482)&amp;"_x0005_`"</f>
        <v>_x0007_`COD|C4_x0005_`QTY1|1_x0005_`EXI|1_x0005_`ITT|0_x0005_`END|482_x0005_`</v>
      </c>
      <c r="P474" s="468" t="s">
        <v>2245</v>
      </c>
    </row>
    <row r="475" spans="1:29" ht="35.25" customHeight="1">
      <c r="A475" s="452"/>
      <c r="B475" s="452" t="s">
        <v>2246</v>
      </c>
      <c r="C475" s="449" t="s">
        <v>2247</v>
      </c>
      <c r="D475" s="470">
        <v>0</v>
      </c>
      <c r="E475" s="463" t="s">
        <v>2132</v>
      </c>
      <c r="F475" s="471">
        <f t="shared" ref="F475:G481" si="60">J475+H475+L475</f>
        <v>23590</v>
      </c>
      <c r="G475" s="446">
        <f t="shared" si="60"/>
        <v>0</v>
      </c>
      <c r="H475" s="472">
        <f>단가산출근거목록표!F162</f>
        <v>0</v>
      </c>
      <c r="I475" s="465">
        <f t="shared" ref="I475:I481" si="61">ROUNDDOWN(H475*D475,0)</f>
        <v>0</v>
      </c>
      <c r="J475" s="473">
        <f>단가산출근거목록표!G162</f>
        <v>0</v>
      </c>
      <c r="K475" s="465">
        <f t="shared" ref="K475:K481" si="62">ROUNDDOWN(J475*D475,0)</f>
        <v>0</v>
      </c>
      <c r="L475" s="474">
        <f>단가산출근거목록표!H162</f>
        <v>23590</v>
      </c>
      <c r="M475" s="467">
        <f t="shared" ref="M475:M481" si="63">ROUNDDOWN(L475*D475,0)</f>
        <v>0</v>
      </c>
      <c r="N475" s="463" t="s">
        <v>2248</v>
      </c>
      <c r="O475" s="451" t="s">
        <v>2249</v>
      </c>
      <c r="P475" s="468" t="s">
        <v>2250</v>
      </c>
      <c r="Q475" s="468" t="s">
        <v>2245</v>
      </c>
      <c r="AC475" s="433" t="str">
        <f ca="1">HYPERLINK("#"&amp;단가산출근거목록표!J2&amp;"!A"&amp;ROW(단가산출근거목록표!A162),"D01218 →")</f>
        <v>D01218 →</v>
      </c>
    </row>
    <row r="476" spans="1:29" ht="35.25" customHeight="1">
      <c r="A476" s="452"/>
      <c r="B476" s="452" t="s">
        <v>2246</v>
      </c>
      <c r="C476" s="449" t="s">
        <v>2251</v>
      </c>
      <c r="D476" s="470">
        <v>0</v>
      </c>
      <c r="E476" s="463" t="s">
        <v>2132</v>
      </c>
      <c r="F476" s="471">
        <f t="shared" si="60"/>
        <v>81350</v>
      </c>
      <c r="G476" s="446">
        <f t="shared" si="60"/>
        <v>0</v>
      </c>
      <c r="H476" s="472">
        <f>단가산출근거목록표!F164</f>
        <v>0</v>
      </c>
      <c r="I476" s="465">
        <f t="shared" si="61"/>
        <v>0</v>
      </c>
      <c r="J476" s="473">
        <f>단가산출근거목록표!G164</f>
        <v>0</v>
      </c>
      <c r="K476" s="465">
        <f t="shared" si="62"/>
        <v>0</v>
      </c>
      <c r="L476" s="474">
        <f>단가산출근거목록표!H164</f>
        <v>81350</v>
      </c>
      <c r="M476" s="467">
        <f t="shared" si="63"/>
        <v>0</v>
      </c>
      <c r="N476" s="463" t="s">
        <v>2252</v>
      </c>
      <c r="O476" s="451" t="s">
        <v>2253</v>
      </c>
      <c r="P476" s="468" t="s">
        <v>2254</v>
      </c>
      <c r="Q476" s="468" t="s">
        <v>2245</v>
      </c>
      <c r="AC476" s="433" t="str">
        <f ca="1">HYPERLINK("#"&amp;단가산출근거목록표!J2&amp;"!A"&amp;ROW(단가산출근거목록표!A164),"D01219 →")</f>
        <v>D01219 →</v>
      </c>
    </row>
    <row r="477" spans="1:29" ht="35.25" customHeight="1">
      <c r="A477" s="452"/>
      <c r="B477" s="452" t="s">
        <v>2246</v>
      </c>
      <c r="C477" s="449" t="s">
        <v>2255</v>
      </c>
      <c r="D477" s="470">
        <v>0</v>
      </c>
      <c r="E477" s="463" t="s">
        <v>2132</v>
      </c>
      <c r="F477" s="471">
        <f t="shared" si="60"/>
        <v>23590</v>
      </c>
      <c r="G477" s="446">
        <f t="shared" si="60"/>
        <v>0</v>
      </c>
      <c r="H477" s="472">
        <f>단가산출근거목록표!F163</f>
        <v>0</v>
      </c>
      <c r="I477" s="465">
        <f t="shared" si="61"/>
        <v>0</v>
      </c>
      <c r="J477" s="473">
        <f>단가산출근거목록표!G163</f>
        <v>0</v>
      </c>
      <c r="K477" s="465">
        <f t="shared" si="62"/>
        <v>0</v>
      </c>
      <c r="L477" s="474">
        <f>단가산출근거목록표!H163</f>
        <v>23590</v>
      </c>
      <c r="M477" s="467">
        <f t="shared" si="63"/>
        <v>0</v>
      </c>
      <c r="N477" s="463" t="s">
        <v>2256</v>
      </c>
      <c r="O477" s="451" t="s">
        <v>2257</v>
      </c>
      <c r="P477" s="468" t="s">
        <v>2258</v>
      </c>
      <c r="Q477" s="468" t="s">
        <v>2245</v>
      </c>
      <c r="AC477" s="433" t="str">
        <f ca="1">HYPERLINK("#"&amp;단가산출근거목록표!J2&amp;"!A"&amp;ROW(단가산출근거목록표!A163),"D01220 →")</f>
        <v>D01220 →</v>
      </c>
    </row>
    <row r="478" spans="1:29" ht="35.25" customHeight="1">
      <c r="A478" s="452"/>
      <c r="B478" s="452" t="s">
        <v>2246</v>
      </c>
      <c r="C478" s="449" t="s">
        <v>2259</v>
      </c>
      <c r="D478" s="470">
        <v>0</v>
      </c>
      <c r="E478" s="463" t="s">
        <v>2132</v>
      </c>
      <c r="F478" s="471">
        <f t="shared" si="60"/>
        <v>14991</v>
      </c>
      <c r="G478" s="446">
        <f t="shared" si="60"/>
        <v>0</v>
      </c>
      <c r="H478" s="472">
        <f>단가산출근거목록표!F165</f>
        <v>0</v>
      </c>
      <c r="I478" s="465">
        <f t="shared" si="61"/>
        <v>0</v>
      </c>
      <c r="J478" s="473">
        <f>단가산출근거목록표!G165</f>
        <v>0</v>
      </c>
      <c r="K478" s="465">
        <f t="shared" si="62"/>
        <v>0</v>
      </c>
      <c r="L478" s="474">
        <f>단가산출근거목록표!H165</f>
        <v>14991</v>
      </c>
      <c r="M478" s="467">
        <f t="shared" si="63"/>
        <v>0</v>
      </c>
      <c r="N478" s="463" t="s">
        <v>2260</v>
      </c>
      <c r="O478" s="451" t="s">
        <v>2261</v>
      </c>
      <c r="P478" s="468" t="s">
        <v>2262</v>
      </c>
      <c r="Q478" s="468" t="s">
        <v>2245</v>
      </c>
      <c r="AC478" s="433" t="str">
        <f ca="1">HYPERLINK("#"&amp;단가산출근거목록표!J2&amp;"!A"&amp;ROW(단가산출근거목록표!A165),"D01221 →")</f>
        <v>D01221 →</v>
      </c>
    </row>
    <row r="479" spans="1:29" ht="35.25" customHeight="1">
      <c r="A479" s="452"/>
      <c r="B479" s="452" t="s">
        <v>2263</v>
      </c>
      <c r="C479" s="449" t="s">
        <v>2264</v>
      </c>
      <c r="D479" s="470">
        <v>0</v>
      </c>
      <c r="E479" s="463" t="s">
        <v>2132</v>
      </c>
      <c r="F479" s="471">
        <f t="shared" si="60"/>
        <v>62000</v>
      </c>
      <c r="G479" s="446">
        <f t="shared" si="60"/>
        <v>0</v>
      </c>
      <c r="H479" s="472">
        <f>단가산출근거목록표!F166</f>
        <v>0</v>
      </c>
      <c r="I479" s="465">
        <f t="shared" si="61"/>
        <v>0</v>
      </c>
      <c r="J479" s="473">
        <f>단가산출근거목록표!G166</f>
        <v>0</v>
      </c>
      <c r="K479" s="465">
        <f t="shared" si="62"/>
        <v>0</v>
      </c>
      <c r="L479" s="474">
        <f>단가산출근거목록표!H166</f>
        <v>62000</v>
      </c>
      <c r="M479" s="467">
        <f t="shared" si="63"/>
        <v>0</v>
      </c>
      <c r="N479" s="463" t="s">
        <v>2265</v>
      </c>
      <c r="O479" s="451" t="s">
        <v>2266</v>
      </c>
      <c r="P479" s="468" t="s">
        <v>2267</v>
      </c>
      <c r="Q479" s="468" t="s">
        <v>2245</v>
      </c>
      <c r="AC479" s="433" t="str">
        <f ca="1">HYPERLINK("#"&amp;단가산출근거목록표!J2&amp;"!A"&amp;ROW(단가산출근거목록표!A166),"D01222 →")</f>
        <v>D01222 →</v>
      </c>
    </row>
    <row r="480" spans="1:29" ht="35.25" customHeight="1">
      <c r="A480" s="452"/>
      <c r="B480" s="452" t="s">
        <v>2263</v>
      </c>
      <c r="C480" s="449" t="s">
        <v>2268</v>
      </c>
      <c r="D480" s="470">
        <v>0</v>
      </c>
      <c r="E480" s="463" t="s">
        <v>2132</v>
      </c>
      <c r="F480" s="471">
        <f t="shared" si="60"/>
        <v>31142</v>
      </c>
      <c r="G480" s="446">
        <f t="shared" si="60"/>
        <v>0</v>
      </c>
      <c r="H480" s="472">
        <f>단가산출근거목록표!F168</f>
        <v>0</v>
      </c>
      <c r="I480" s="465">
        <f t="shared" si="61"/>
        <v>0</v>
      </c>
      <c r="J480" s="473">
        <f>단가산출근거목록표!G168</f>
        <v>0</v>
      </c>
      <c r="K480" s="465">
        <f t="shared" si="62"/>
        <v>0</v>
      </c>
      <c r="L480" s="474">
        <f>단가산출근거목록표!H168</f>
        <v>31142</v>
      </c>
      <c r="M480" s="467">
        <f t="shared" si="63"/>
        <v>0</v>
      </c>
      <c r="N480" s="463" t="s">
        <v>2269</v>
      </c>
      <c r="O480" s="451" t="s">
        <v>2270</v>
      </c>
      <c r="P480" s="468" t="s">
        <v>2271</v>
      </c>
      <c r="Q480" s="468" t="s">
        <v>2245</v>
      </c>
      <c r="AC480" s="433" t="str">
        <f ca="1">HYPERLINK("#"&amp;단가산출근거목록표!J2&amp;"!A"&amp;ROW(단가산출근거목록표!A168),"D01223 →")</f>
        <v>D01223 →</v>
      </c>
    </row>
    <row r="481" spans="1:29" ht="35.25" customHeight="1">
      <c r="A481" s="452"/>
      <c r="B481" s="452" t="s">
        <v>2263</v>
      </c>
      <c r="C481" s="449" t="s">
        <v>2272</v>
      </c>
      <c r="D481" s="470">
        <v>0</v>
      </c>
      <c r="E481" s="463" t="s">
        <v>2132</v>
      </c>
      <c r="F481" s="471">
        <f t="shared" si="60"/>
        <v>40910</v>
      </c>
      <c r="G481" s="446">
        <f t="shared" si="60"/>
        <v>0</v>
      </c>
      <c r="H481" s="472">
        <f>단가산출근거목록표!F167</f>
        <v>0</v>
      </c>
      <c r="I481" s="465">
        <f t="shared" si="61"/>
        <v>0</v>
      </c>
      <c r="J481" s="473">
        <f>단가산출근거목록표!G167</f>
        <v>0</v>
      </c>
      <c r="K481" s="465">
        <f t="shared" si="62"/>
        <v>0</v>
      </c>
      <c r="L481" s="474">
        <f>단가산출근거목록표!H167</f>
        <v>40910</v>
      </c>
      <c r="M481" s="467">
        <f t="shared" si="63"/>
        <v>0</v>
      </c>
      <c r="N481" s="463" t="s">
        <v>2273</v>
      </c>
      <c r="O481" s="451" t="s">
        <v>2274</v>
      </c>
      <c r="P481" s="468" t="s">
        <v>2275</v>
      </c>
      <c r="Q481" s="468" t="s">
        <v>2245</v>
      </c>
      <c r="AC481" s="433" t="str">
        <f ca="1">HYPERLINK("#"&amp;단가산출근거목록표!J2&amp;"!A"&amp;ROW(단가산출근거목록표!A167),"D01224 →")</f>
        <v>D01224 →</v>
      </c>
    </row>
    <row r="482" spans="1:29" hidden="1">
      <c r="B482" s="468" t="s">
        <v>2276</v>
      </c>
      <c r="G482" s="458">
        <f>SUMIF(Q5:Q481,"E10_1",G5:G481)</f>
        <v>19682750</v>
      </c>
      <c r="I482" s="458">
        <f>SUMIF(Q5:Q481,"E10_1",I5:I481)</f>
        <v>4038536</v>
      </c>
      <c r="K482" s="458">
        <f>SUMIF(Q5:Q481,"E10_1",K5:K481)</f>
        <v>14806164</v>
      </c>
      <c r="M482" s="458">
        <f>SUMIF(Q5:Q481,"E10_1",M5:M481)</f>
        <v>838050</v>
      </c>
    </row>
    <row r="483" spans="1:29" ht="35.25" customHeight="1">
      <c r="A483" s="475"/>
      <c r="B483" s="475"/>
      <c r="C483" s="475"/>
      <c r="D483" s="476"/>
      <c r="E483" s="477"/>
      <c r="F483" s="478"/>
      <c r="G483" s="478"/>
      <c r="H483" s="478"/>
      <c r="I483" s="478"/>
      <c r="J483" s="478"/>
      <c r="K483" s="478"/>
      <c r="L483" s="478"/>
      <c r="M483" s="478"/>
      <c r="N483" s="440"/>
    </row>
    <row r="484" spans="1:29" ht="35.25" customHeight="1">
      <c r="A484" s="452"/>
      <c r="B484" s="452"/>
      <c r="C484" s="452"/>
      <c r="D484" s="479"/>
      <c r="E484" s="480"/>
      <c r="F484" s="481"/>
      <c r="G484" s="481"/>
      <c r="H484" s="481"/>
      <c r="I484" s="481"/>
      <c r="J484" s="481"/>
      <c r="K484" s="481"/>
      <c r="L484" s="481"/>
      <c r="M484" s="481"/>
      <c r="N484" s="463"/>
    </row>
    <row r="485" spans="1:29" ht="35.25" customHeight="1">
      <c r="A485" s="452"/>
      <c r="B485" s="452"/>
      <c r="C485" s="452"/>
      <c r="D485" s="479"/>
      <c r="E485" s="480"/>
      <c r="F485" s="481"/>
      <c r="G485" s="481"/>
      <c r="H485" s="481"/>
      <c r="I485" s="481"/>
      <c r="J485" s="481"/>
      <c r="K485" s="481"/>
      <c r="L485" s="481"/>
      <c r="M485" s="481"/>
      <c r="N485" s="463"/>
    </row>
    <row r="486" spans="1:29" ht="35.25" customHeight="1">
      <c r="A486" s="452"/>
      <c r="B486" s="452"/>
      <c r="C486" s="452"/>
      <c r="D486" s="479"/>
      <c r="E486" s="480"/>
      <c r="F486" s="481"/>
      <c r="G486" s="481"/>
      <c r="H486" s="481"/>
      <c r="I486" s="481"/>
      <c r="J486" s="481"/>
      <c r="K486" s="481"/>
      <c r="L486" s="481"/>
      <c r="M486" s="481"/>
      <c r="N486" s="463"/>
    </row>
    <row r="487" spans="1:29" ht="35.25" customHeight="1">
      <c r="A487" s="452"/>
      <c r="B487" s="452"/>
      <c r="C487" s="452"/>
      <c r="D487" s="479"/>
      <c r="E487" s="480"/>
      <c r="F487" s="481"/>
      <c r="G487" s="481"/>
      <c r="H487" s="481"/>
      <c r="I487" s="481"/>
      <c r="J487" s="481"/>
      <c r="K487" s="481"/>
      <c r="L487" s="481"/>
      <c r="M487" s="481"/>
      <c r="N487" s="463"/>
    </row>
    <row r="488" spans="1:29" ht="35.25" customHeight="1">
      <c r="A488" s="452"/>
      <c r="B488" s="452"/>
      <c r="C488" s="452"/>
      <c r="D488" s="479"/>
      <c r="E488" s="480"/>
      <c r="F488" s="481"/>
      <c r="G488" s="481"/>
      <c r="H488" s="481"/>
      <c r="I488" s="481"/>
      <c r="J488" s="481"/>
      <c r="K488" s="481"/>
      <c r="L488" s="481"/>
      <c r="M488" s="481"/>
      <c r="N488" s="463"/>
    </row>
    <row r="489" spans="1:29" ht="35.25" customHeight="1">
      <c r="A489" s="452"/>
      <c r="B489" s="452"/>
      <c r="C489" s="452"/>
      <c r="D489" s="479"/>
      <c r="E489" s="480"/>
      <c r="F489" s="481"/>
      <c r="G489" s="481"/>
      <c r="H489" s="481"/>
      <c r="I489" s="481"/>
      <c r="J489" s="481"/>
      <c r="K489" s="481"/>
      <c r="L489" s="481"/>
      <c r="M489" s="481"/>
      <c r="N489" s="463"/>
    </row>
    <row r="490" spans="1:29" ht="35.25" customHeight="1">
      <c r="A490" s="452"/>
      <c r="B490" s="452"/>
      <c r="C490" s="452"/>
      <c r="D490" s="479"/>
      <c r="E490" s="480"/>
      <c r="F490" s="481"/>
      <c r="G490" s="481"/>
      <c r="H490" s="481"/>
      <c r="I490" s="481"/>
      <c r="J490" s="481"/>
      <c r="K490" s="481"/>
      <c r="L490" s="481"/>
      <c r="M490" s="481"/>
      <c r="N490" s="463"/>
    </row>
    <row r="491" spans="1:29" ht="35.25" customHeight="1">
      <c r="A491" s="452"/>
      <c r="B491" s="452"/>
      <c r="C491" s="452"/>
      <c r="D491" s="479"/>
      <c r="E491" s="480"/>
      <c r="F491" s="481"/>
      <c r="G491" s="481"/>
      <c r="H491" s="481"/>
      <c r="I491" s="481"/>
      <c r="J491" s="481"/>
      <c r="K491" s="481"/>
      <c r="L491" s="481"/>
      <c r="M491" s="481"/>
      <c r="N491" s="463"/>
    </row>
    <row r="492" spans="1:29" ht="35.25" customHeight="1">
      <c r="A492" s="452"/>
      <c r="B492" s="452"/>
      <c r="C492" s="452"/>
      <c r="D492" s="479"/>
      <c r="E492" s="480"/>
      <c r="F492" s="481"/>
      <c r="G492" s="481"/>
      <c r="H492" s="481"/>
      <c r="I492" s="481"/>
      <c r="J492" s="481"/>
      <c r="K492" s="481"/>
      <c r="L492" s="481"/>
      <c r="M492" s="481"/>
      <c r="N492" s="463"/>
    </row>
    <row r="493" spans="1:29" ht="35.25" customHeight="1">
      <c r="A493" s="452"/>
      <c r="B493" s="452"/>
      <c r="C493" s="452"/>
      <c r="D493" s="479"/>
      <c r="E493" s="480"/>
      <c r="F493" s="481"/>
      <c r="G493" s="481"/>
      <c r="H493" s="481"/>
      <c r="I493" s="481"/>
      <c r="J493" s="481"/>
      <c r="K493" s="481"/>
      <c r="L493" s="481"/>
      <c r="M493" s="481"/>
      <c r="N493" s="463"/>
    </row>
    <row r="494" spans="1:29" ht="35.25" customHeight="1">
      <c r="A494" s="452"/>
      <c r="B494" s="452"/>
      <c r="C494" s="452"/>
      <c r="D494" s="479"/>
      <c r="E494" s="480"/>
      <c r="F494" s="481"/>
      <c r="G494" s="481"/>
      <c r="H494" s="481"/>
      <c r="I494" s="481"/>
      <c r="J494" s="481"/>
      <c r="K494" s="481"/>
      <c r="L494" s="481"/>
      <c r="M494" s="481"/>
      <c r="N494" s="463"/>
    </row>
    <row r="495" spans="1:29" ht="35.25" customHeight="1">
      <c r="A495" s="452"/>
      <c r="B495" s="452"/>
      <c r="C495" s="452"/>
      <c r="D495" s="479"/>
      <c r="E495" s="480"/>
      <c r="F495" s="481"/>
      <c r="G495" s="481"/>
      <c r="H495" s="481"/>
      <c r="I495" s="481"/>
      <c r="J495" s="481"/>
      <c r="K495" s="481"/>
      <c r="L495" s="481"/>
      <c r="M495" s="481"/>
      <c r="N495" s="463"/>
    </row>
    <row r="496" spans="1:29" ht="35.25" customHeight="1">
      <c r="A496" s="452"/>
      <c r="B496" s="452"/>
      <c r="C496" s="452"/>
      <c r="D496" s="479"/>
      <c r="E496" s="480"/>
      <c r="F496" s="481"/>
      <c r="G496" s="481"/>
      <c r="H496" s="481"/>
      <c r="I496" s="481"/>
      <c r="J496" s="481"/>
      <c r="K496" s="481"/>
      <c r="L496" s="481"/>
      <c r="M496" s="481"/>
      <c r="N496" s="463"/>
    </row>
    <row r="497" spans="1:14" ht="35.25" customHeight="1">
      <c r="A497" s="452"/>
      <c r="B497" s="452"/>
      <c r="C497" s="452"/>
      <c r="D497" s="479"/>
      <c r="E497" s="480"/>
      <c r="F497" s="481"/>
      <c r="G497" s="481"/>
      <c r="H497" s="481"/>
      <c r="I497" s="481"/>
      <c r="J497" s="481"/>
      <c r="K497" s="481"/>
      <c r="L497" s="481"/>
      <c r="M497" s="481"/>
      <c r="N497" s="463"/>
    </row>
    <row r="498" spans="1:14" ht="35.25" customHeight="1">
      <c r="A498" s="452"/>
      <c r="B498" s="452"/>
      <c r="C498" s="452"/>
      <c r="D498" s="479"/>
      <c r="E498" s="480"/>
      <c r="F498" s="481"/>
      <c r="G498" s="481"/>
      <c r="H498" s="481"/>
      <c r="I498" s="481"/>
      <c r="J498" s="481"/>
      <c r="K498" s="481"/>
      <c r="L498" s="481"/>
      <c r="M498" s="481"/>
      <c r="N498" s="463"/>
    </row>
  </sheetData>
  <mergeCells count="12">
    <mergeCell ref="N3:N4"/>
    <mergeCell ref="B5:C5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3" type="noConversion"/>
  <conditionalFormatting sqref="D5:D498">
    <cfRule type="expression" dxfId="5" priority="1" stopIfTrue="1">
      <formula>AND(D5&lt;&gt;0,INT(D5)=D5)</formula>
    </cfRule>
  </conditionalFormatting>
  <conditionalFormatting sqref="F5:N498">
    <cfRule type="expression" dxfId="4" priority="2" stopIfTrue="1">
      <formula>AND(F5&lt;&gt;0,INT(F5)=F5)</formula>
    </cfRule>
  </conditionalFormatting>
  <hyperlinks>
    <hyperlink ref="AC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A00-000000000000}"/>
    <hyperlink ref="O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A00-000001000000}"/>
  </hyperlinks>
  <printOptions horizontalCentered="1"/>
  <pageMargins left="0.78740157480314965" right="0.78740157480314965" top="0.59055118110236215" bottom="0.55118110236220474" header="0" footer="0.35433070866141736"/>
  <pageSetup paperSize="9" scale="69" fitToWidth="0" fitToHeight="0" orientation="landscape" r:id="rId3"/>
  <headerFooter alignWithMargins="0"/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K344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8" width="10.21875" style="428" customWidth="1"/>
    <col min="9" max="9" width="8.88671875" style="428" customWidth="1"/>
    <col min="10" max="10" width="8.109375" style="455" hidden="1" customWidth="1"/>
    <col min="11" max="11" width="8.109375" style="432" customWidth="1"/>
    <col min="12" max="16384" width="8.109375" style="428"/>
  </cols>
  <sheetData>
    <row r="1" spans="1:11" ht="24.95" customHeight="1">
      <c r="A1" s="597" t="s">
        <v>2277</v>
      </c>
      <c r="B1" s="598"/>
      <c r="C1" s="598"/>
      <c r="D1" s="598"/>
      <c r="E1" s="598"/>
      <c r="F1" s="598"/>
      <c r="G1" s="598"/>
      <c r="H1" s="598"/>
      <c r="I1" s="598"/>
      <c r="J1" s="426" t="s">
        <v>807</v>
      </c>
      <c r="K1" s="427" t="s">
        <v>807</v>
      </c>
    </row>
    <row r="2" spans="1:11" ht="25.7" customHeight="1">
      <c r="A2" s="429" t="s">
        <v>5655</v>
      </c>
      <c r="J2" s="431" t="str">
        <f ca="1">MID(CELL("filename",$A$1),FIND("]",CELL("filename",$A$1))+1,LEN(CELL("filename",$A$1)))</f>
        <v>일위대가목록표</v>
      </c>
    </row>
    <row r="3" spans="1:11" ht="25.7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842</v>
      </c>
      <c r="F3" s="450" t="s">
        <v>819</v>
      </c>
      <c r="G3" s="450" t="s">
        <v>814</v>
      </c>
      <c r="H3" s="450" t="s">
        <v>843</v>
      </c>
      <c r="I3" s="440" t="s">
        <v>905</v>
      </c>
      <c r="K3" s="433" t="str">
        <f>HYPERLINK("#'〓 목 차 〓'!B2","목차 →")</f>
        <v>목차 →</v>
      </c>
    </row>
    <row r="4" spans="1:11" ht="25.7" customHeight="1">
      <c r="A4" s="460" t="s">
        <v>1288</v>
      </c>
      <c r="B4" s="452" t="s">
        <v>1287</v>
      </c>
      <c r="C4" s="452" t="s">
        <v>1283</v>
      </c>
      <c r="D4" s="460" t="s">
        <v>595</v>
      </c>
      <c r="E4" s="446">
        <f>일위대가표!F12</f>
        <v>4359</v>
      </c>
      <c r="F4" s="453">
        <f>일위대가표!H12</f>
        <v>590</v>
      </c>
      <c r="G4" s="454">
        <f>일위대가표!J12</f>
        <v>3769</v>
      </c>
      <c r="H4" s="446">
        <f>일위대가표!L12</f>
        <v>0</v>
      </c>
      <c r="I4" s="482" t="s">
        <v>2279</v>
      </c>
      <c r="J4" s="451" t="str">
        <f>"_x0007_`COD|B02797_x0005_`QTY1|1_x0005_`BQC|산림4-25_x0005_`EQC|_x0005_`JDC|_x0005_`WQC|_x0005_`EDT|_x0005_`ADJ|F_x0005_`DET|"&amp;ROW(일위대가표!A5)&amp;"_x0005_`"</f>
        <v>_x0007_`COD|B02797_x0005_`QTY1|1_x0005_`BQC|산림4-25_x0005_`EQC|_x0005_`JDC|_x0005_`WQC|_x0005_`EDT|_x0005_`ADJ|F_x0005_`DET|5_x0005_`</v>
      </c>
      <c r="K4" s="433" t="str">
        <f ca="1">HYPERLINK("#"&amp;일위대가표!N2&amp;"!A"&amp;ROW(일위대가표!A5),"B02797 →")</f>
        <v>B02797 →</v>
      </c>
    </row>
    <row r="5" spans="1:11" ht="25.7" customHeight="1">
      <c r="A5" s="460" t="s">
        <v>1444</v>
      </c>
      <c r="B5" s="452" t="s">
        <v>1442</v>
      </c>
      <c r="C5" s="452" t="s">
        <v>1443</v>
      </c>
      <c r="D5" s="460" t="s">
        <v>975</v>
      </c>
      <c r="E5" s="446">
        <f>일위대가표!F16</f>
        <v>2376000</v>
      </c>
      <c r="F5" s="453">
        <f>일위대가표!H16</f>
        <v>0</v>
      </c>
      <c r="G5" s="454">
        <f>일위대가표!J16</f>
        <v>2376000</v>
      </c>
      <c r="H5" s="446">
        <f>일위대가표!L16</f>
        <v>0</v>
      </c>
      <c r="I5" s="482"/>
      <c r="J5" s="451" t="str">
        <f>"_x0007_`COD|B02589_x0005_`QTY1|1_x0005_`BQC|_x0005_`EQC|_x0005_`JDC|_x0005_`WQC|_x0005_`EDT|_x0005_`ADJ|F_x0005_`DET|"&amp;ROW(일위대가표!A13)&amp;"_x0005_`"</f>
        <v>_x0007_`COD|B02589_x0005_`QTY1|1_x0005_`BQC|_x0005_`EQC|_x0005_`JDC|_x0005_`WQC|_x0005_`EDT|_x0005_`ADJ|F_x0005_`DET|13_x0005_`</v>
      </c>
      <c r="K5" s="433" t="str">
        <f ca="1">HYPERLINK("#"&amp;일위대가표!N2&amp;"!A"&amp;ROW(일위대가표!A13),"B02589 →")</f>
        <v>B02589 →</v>
      </c>
    </row>
    <row r="6" spans="1:11" ht="25.7" customHeight="1">
      <c r="A6" s="460" t="s">
        <v>1454</v>
      </c>
      <c r="B6" s="452" t="s">
        <v>1452</v>
      </c>
      <c r="C6" s="452" t="s">
        <v>1453</v>
      </c>
      <c r="D6" s="460" t="s">
        <v>975</v>
      </c>
      <c r="E6" s="446">
        <f>일위대가표!F20</f>
        <v>6648000</v>
      </c>
      <c r="F6" s="453">
        <f>일위대가표!H20</f>
        <v>0</v>
      </c>
      <c r="G6" s="454">
        <f>일위대가표!J20</f>
        <v>6648000</v>
      </c>
      <c r="H6" s="446">
        <f>일위대가표!L20</f>
        <v>0</v>
      </c>
      <c r="I6" s="482"/>
      <c r="J6" s="451" t="str">
        <f>"_x0007_`COD|B02590_x0005_`QTY1|1_x0005_`BQC|_x0005_`EQC|_x0005_`JDC|_x0005_`WQC|_x0005_`EDT|_x0005_`ADJ|F_x0005_`DET|"&amp;ROW(일위대가표!A17)&amp;"_x0005_`"</f>
        <v>_x0007_`COD|B02590_x0005_`QTY1|1_x0005_`BQC|_x0005_`EQC|_x0005_`JDC|_x0005_`WQC|_x0005_`EDT|_x0005_`ADJ|F_x0005_`DET|17_x0005_`</v>
      </c>
      <c r="K6" s="433" t="str">
        <f ca="1">HYPERLINK("#"&amp;일위대가표!N2&amp;"!A"&amp;ROW(일위대가표!A17),"B02590 →")</f>
        <v>B02590 →</v>
      </c>
    </row>
    <row r="7" spans="1:11" ht="25.7" customHeight="1">
      <c r="A7" s="460" t="s">
        <v>2089</v>
      </c>
      <c r="B7" s="452" t="s">
        <v>2083</v>
      </c>
      <c r="C7" s="452" t="s">
        <v>2088</v>
      </c>
      <c r="D7" s="460" t="s">
        <v>1799</v>
      </c>
      <c r="E7" s="446">
        <f>일위대가표!F24</f>
        <v>516</v>
      </c>
      <c r="F7" s="453">
        <f>일위대가표!H24</f>
        <v>516</v>
      </c>
      <c r="G7" s="454">
        <f>일위대가표!J24</f>
        <v>0</v>
      </c>
      <c r="H7" s="446">
        <f>일위대가표!L24</f>
        <v>0</v>
      </c>
      <c r="I7" s="482" t="s">
        <v>2280</v>
      </c>
      <c r="J7" s="451" t="str">
        <f>"_x0007_`COD|B02713_x0005_`QTY1|1_x0005_`BQC|25조경설계대가_x0005_`EQC|_x0005_`JDC|_x0005_`WQC|_x0005_`EDT|_x0005_`ADJ|F_x0005_`DET|"&amp;ROW(일위대가표!A21)&amp;"_x0005_`"</f>
        <v>_x0007_`COD|B02713_x0005_`QTY1|1_x0005_`BQC|25조경설계대가_x0005_`EQC|_x0005_`JDC|_x0005_`WQC|_x0005_`EDT|_x0005_`ADJ|F_x0005_`DET|21_x0005_`</v>
      </c>
      <c r="K7" s="433" t="str">
        <f ca="1">HYPERLINK("#"&amp;일위대가표!N2&amp;"!A"&amp;ROW(일위대가표!A21),"B02713 →")</f>
        <v>B02713 →</v>
      </c>
    </row>
    <row r="8" spans="1:11" ht="25.7" customHeight="1">
      <c r="A8" s="460" t="s">
        <v>2085</v>
      </c>
      <c r="B8" s="452" t="s">
        <v>2083</v>
      </c>
      <c r="C8" s="452" t="s">
        <v>2084</v>
      </c>
      <c r="D8" s="460" t="s">
        <v>1799</v>
      </c>
      <c r="E8" s="446">
        <f>일위대가표!F28</f>
        <v>172</v>
      </c>
      <c r="F8" s="453">
        <f>일위대가표!H28</f>
        <v>172</v>
      </c>
      <c r="G8" s="454">
        <f>일위대가표!J28</f>
        <v>0</v>
      </c>
      <c r="H8" s="446">
        <f>일위대가표!L28</f>
        <v>0</v>
      </c>
      <c r="I8" s="482" t="s">
        <v>2280</v>
      </c>
      <c r="J8" s="451" t="str">
        <f>"_x0007_`COD|B02712_x0005_`QTY1|1_x0005_`BQC|25조경설계대가_x0005_`EQC|_x0005_`JDC|_x0005_`WQC|_x0005_`EDT|_x0005_`ADJ|F_x0005_`DET|"&amp;ROW(일위대가표!A25)&amp;"_x0005_`"</f>
        <v>_x0007_`COD|B02712_x0005_`QTY1|1_x0005_`BQC|25조경설계대가_x0005_`EQC|_x0005_`JDC|_x0005_`WQC|_x0005_`EDT|_x0005_`ADJ|F_x0005_`DET|25_x0005_`</v>
      </c>
      <c r="K8" s="433" t="str">
        <f ca="1">HYPERLINK("#"&amp;일위대가표!N2&amp;"!A"&amp;ROW(일위대가표!A25),"B02712 →")</f>
        <v>B02712 →</v>
      </c>
    </row>
    <row r="9" spans="1:11" ht="25.7" customHeight="1">
      <c r="A9" s="460" t="s">
        <v>2093</v>
      </c>
      <c r="B9" s="452" t="s">
        <v>2083</v>
      </c>
      <c r="C9" s="452" t="s">
        <v>2092</v>
      </c>
      <c r="D9" s="460" t="s">
        <v>1799</v>
      </c>
      <c r="E9" s="446">
        <f>일위대가표!F32</f>
        <v>688</v>
      </c>
      <c r="F9" s="453">
        <f>일위대가표!H32</f>
        <v>688</v>
      </c>
      <c r="G9" s="454">
        <f>일위대가표!J32</f>
        <v>0</v>
      </c>
      <c r="H9" s="446">
        <f>일위대가표!L32</f>
        <v>0</v>
      </c>
      <c r="I9" s="482" t="s">
        <v>2280</v>
      </c>
      <c r="J9" s="451" t="str">
        <f>"_x0007_`COD|B02714_x0005_`QTY1|1_x0005_`BQC|25조경설계대가_x0005_`EQC|_x0005_`JDC|_x0005_`WQC|_x0005_`EDT|_x0005_`ADJ|F_x0005_`DET|"&amp;ROW(일위대가표!A29)&amp;"_x0005_`"</f>
        <v>_x0007_`COD|B02714_x0005_`QTY1|1_x0005_`BQC|25조경설계대가_x0005_`EQC|_x0005_`JDC|_x0005_`WQC|_x0005_`EDT|_x0005_`ADJ|F_x0005_`DET|29_x0005_`</v>
      </c>
      <c r="K9" s="433" t="str">
        <f ca="1">HYPERLINK("#"&amp;일위대가표!N2&amp;"!A"&amp;ROW(일위대가표!A29),"B02714 →")</f>
        <v>B02714 →</v>
      </c>
    </row>
    <row r="10" spans="1:11" ht="25.7" customHeight="1">
      <c r="A10" s="460" t="s">
        <v>2097</v>
      </c>
      <c r="B10" s="452" t="s">
        <v>2083</v>
      </c>
      <c r="C10" s="452" t="s">
        <v>2096</v>
      </c>
      <c r="D10" s="460" t="s">
        <v>1799</v>
      </c>
      <c r="E10" s="446">
        <f>일위대가표!F36</f>
        <v>1032</v>
      </c>
      <c r="F10" s="453">
        <f>일위대가표!H36</f>
        <v>1032</v>
      </c>
      <c r="G10" s="454">
        <f>일위대가표!J36</f>
        <v>0</v>
      </c>
      <c r="H10" s="446">
        <f>일위대가표!L36</f>
        <v>0</v>
      </c>
      <c r="I10" s="482" t="s">
        <v>2280</v>
      </c>
      <c r="J10" s="451" t="str">
        <f>"_x0007_`COD|B02715_x0005_`QTY1|1_x0005_`BQC|25조경설계대가_x0005_`EQC|_x0005_`JDC|_x0005_`WQC|_x0005_`EDT|_x0005_`ADJ|F_x0005_`DET|"&amp;ROW(일위대가표!A33)&amp;"_x0005_`"</f>
        <v>_x0007_`COD|B02715_x0005_`QTY1|1_x0005_`BQC|25조경설계대가_x0005_`EQC|_x0005_`JDC|_x0005_`WQC|_x0005_`EDT|_x0005_`ADJ|F_x0005_`DET|33_x0005_`</v>
      </c>
      <c r="K10" s="433" t="str">
        <f ca="1">HYPERLINK("#"&amp;일위대가표!N2&amp;"!A"&amp;ROW(일위대가표!A33),"B02715 →")</f>
        <v>B02715 →</v>
      </c>
    </row>
    <row r="11" spans="1:11" ht="25.7" customHeight="1">
      <c r="A11" s="460" t="s">
        <v>2101</v>
      </c>
      <c r="B11" s="452" t="s">
        <v>2083</v>
      </c>
      <c r="C11" s="452" t="s">
        <v>2100</v>
      </c>
      <c r="D11" s="460" t="s">
        <v>1799</v>
      </c>
      <c r="E11" s="446">
        <f>일위대가표!F40</f>
        <v>1376</v>
      </c>
      <c r="F11" s="453">
        <f>일위대가표!H40</f>
        <v>1376</v>
      </c>
      <c r="G11" s="454">
        <f>일위대가표!J40</f>
        <v>0</v>
      </c>
      <c r="H11" s="446">
        <f>일위대가표!L40</f>
        <v>0</v>
      </c>
      <c r="I11" s="482" t="s">
        <v>2280</v>
      </c>
      <c r="J11" s="451" t="str">
        <f>"_x0007_`COD|B02716_x0005_`QTY1|1_x0005_`BQC|25조경설계대가_x0005_`EQC|_x0005_`JDC|_x0005_`WQC|_x0005_`EDT|_x0005_`ADJ|F_x0005_`DET|"&amp;ROW(일위대가표!A37)&amp;"_x0005_`"</f>
        <v>_x0007_`COD|B02716_x0005_`QTY1|1_x0005_`BQC|25조경설계대가_x0005_`EQC|_x0005_`JDC|_x0005_`WQC|_x0005_`EDT|_x0005_`ADJ|F_x0005_`DET|37_x0005_`</v>
      </c>
      <c r="K11" s="433" t="str">
        <f ca="1">HYPERLINK("#"&amp;일위대가표!N2&amp;"!A"&amp;ROW(일위대가표!A37),"B02716 →")</f>
        <v>B02716 →</v>
      </c>
    </row>
    <row r="12" spans="1:11" ht="25.7" customHeight="1">
      <c r="A12" s="460" t="s">
        <v>2105</v>
      </c>
      <c r="B12" s="452" t="s">
        <v>2083</v>
      </c>
      <c r="C12" s="452" t="s">
        <v>2104</v>
      </c>
      <c r="D12" s="460" t="s">
        <v>1799</v>
      </c>
      <c r="E12" s="446">
        <f>일위대가표!F44</f>
        <v>1720</v>
      </c>
      <c r="F12" s="453">
        <f>일위대가표!H44</f>
        <v>1720</v>
      </c>
      <c r="G12" s="454">
        <f>일위대가표!J44</f>
        <v>0</v>
      </c>
      <c r="H12" s="446">
        <f>일위대가표!L44</f>
        <v>0</v>
      </c>
      <c r="I12" s="482" t="s">
        <v>2280</v>
      </c>
      <c r="J12" s="451" t="str">
        <f>"_x0007_`COD|B02717_x0005_`QTY1|1_x0005_`BQC|25조경설계대가_x0005_`EQC|_x0005_`JDC|_x0005_`WQC|_x0005_`EDT|_x0005_`ADJ|F_x0005_`DET|"&amp;ROW(일위대가표!A41)&amp;"_x0005_`"</f>
        <v>_x0007_`COD|B02717_x0005_`QTY1|1_x0005_`BQC|25조경설계대가_x0005_`EQC|_x0005_`JDC|_x0005_`WQC|_x0005_`EDT|_x0005_`ADJ|F_x0005_`DET|41_x0005_`</v>
      </c>
      <c r="K12" s="433" t="str">
        <f ca="1">HYPERLINK("#"&amp;일위대가표!N2&amp;"!A"&amp;ROW(일위대가표!A41),"B02717 →")</f>
        <v>B02717 →</v>
      </c>
    </row>
    <row r="13" spans="1:11" ht="25.7" customHeight="1">
      <c r="A13" s="460" t="s">
        <v>1328</v>
      </c>
      <c r="B13" s="452" t="s">
        <v>1326</v>
      </c>
      <c r="C13" s="452" t="s">
        <v>1327</v>
      </c>
      <c r="D13" s="460" t="s">
        <v>975</v>
      </c>
      <c r="E13" s="446">
        <f>일위대가표!F48</f>
        <v>3950000</v>
      </c>
      <c r="F13" s="453">
        <f>일위대가표!H48</f>
        <v>0</v>
      </c>
      <c r="G13" s="454">
        <f>일위대가표!J48</f>
        <v>3950000</v>
      </c>
      <c r="H13" s="446">
        <f>일위대가표!L48</f>
        <v>0</v>
      </c>
      <c r="I13" s="482"/>
      <c r="J13" s="451" t="str">
        <f>"_x0007_`COD|B02645_x0005_`QTY1|1_x0005_`BQC|_x0005_`EQC|_x0005_`JDC|_x0005_`WQC|_x0005_`EDT|_x0005_`ADJ|F_x0005_`DET|"&amp;ROW(일위대가표!A45)&amp;"_x0005_`"</f>
        <v>_x0007_`COD|B02645_x0005_`QTY1|1_x0005_`BQC|_x0005_`EQC|_x0005_`JDC|_x0005_`WQC|_x0005_`EDT|_x0005_`ADJ|F_x0005_`DET|45_x0005_`</v>
      </c>
      <c r="K13" s="433" t="str">
        <f ca="1">HYPERLINK("#"&amp;일위대가표!N2&amp;"!A"&amp;ROW(일위대가표!A45),"B02645 →")</f>
        <v>B02645 →</v>
      </c>
    </row>
    <row r="14" spans="1:11" ht="25.7" customHeight="1">
      <c r="A14" s="460" t="s">
        <v>1434</v>
      </c>
      <c r="B14" s="452" t="s">
        <v>1432</v>
      </c>
      <c r="C14" s="452" t="s">
        <v>1433</v>
      </c>
      <c r="D14" s="460" t="s">
        <v>975</v>
      </c>
      <c r="E14" s="446">
        <f>일위대가표!F52</f>
        <v>2004000</v>
      </c>
      <c r="F14" s="453">
        <f>일위대가표!H52</f>
        <v>0</v>
      </c>
      <c r="G14" s="454">
        <f>일위대가표!J52</f>
        <v>2004000</v>
      </c>
      <c r="H14" s="446">
        <f>일위대가표!L52</f>
        <v>0</v>
      </c>
      <c r="I14" s="482"/>
      <c r="J14" s="451" t="str">
        <f>"_x0007_`COD|B02587_x0005_`QTY1|1_x0005_`BQC|_x0005_`EQC|_x0005_`JDC|_x0005_`WQC|_x0005_`EDT|_x0005_`ADJ|F_x0005_`DET|"&amp;ROW(일위대가표!A49)&amp;"_x0005_`"</f>
        <v>_x0007_`COD|B02587_x0005_`QTY1|1_x0005_`BQC|_x0005_`EQC|_x0005_`JDC|_x0005_`WQC|_x0005_`EDT|_x0005_`ADJ|F_x0005_`DET|49_x0005_`</v>
      </c>
      <c r="K14" s="433" t="str">
        <f ca="1">HYPERLINK("#"&amp;일위대가표!N2&amp;"!A"&amp;ROW(일위대가표!A49),"B02587 →")</f>
        <v>B02587 →</v>
      </c>
    </row>
    <row r="15" spans="1:11" ht="25.7" customHeight="1">
      <c r="A15" s="460" t="s">
        <v>2281</v>
      </c>
      <c r="B15" s="452" t="s">
        <v>2282</v>
      </c>
      <c r="C15" s="452" t="s">
        <v>2283</v>
      </c>
      <c r="D15" s="460" t="s">
        <v>8</v>
      </c>
      <c r="E15" s="446">
        <f>일위대가표!F59</f>
        <v>15336</v>
      </c>
      <c r="F15" s="453">
        <f>일위대가표!H59</f>
        <v>12868</v>
      </c>
      <c r="G15" s="454">
        <f>일위대가표!J59</f>
        <v>1153</v>
      </c>
      <c r="H15" s="446">
        <f>일위대가표!L59</f>
        <v>1315</v>
      </c>
      <c r="I15" s="482" t="s">
        <v>2284</v>
      </c>
      <c r="J15" s="451" t="str">
        <f>"_x0007_`COD|B02299_x0005_`QTY1|1_x0005_`BQC|산림12-3_x0005_`EQC|_x0005_`JDC|_x0005_`WQC|_x0005_`EDT|_x0005_`ADJ|F_x0005_`DET|"&amp;ROW(일위대가표!A53)&amp;"_x0005_`"</f>
        <v>_x0007_`COD|B02299_x0005_`QTY1|1_x0005_`BQC|산림12-3_x0005_`EQC|_x0005_`JDC|_x0005_`WQC|_x0005_`EDT|_x0005_`ADJ|F_x0005_`DET|53_x0005_`</v>
      </c>
      <c r="K15" s="433" t="str">
        <f ca="1">HYPERLINK("#"&amp;일위대가표!N2&amp;"!A"&amp;ROW(일위대가표!A53),"B02299 →")</f>
        <v>B02299 →</v>
      </c>
    </row>
    <row r="16" spans="1:11" ht="25.7" customHeight="1">
      <c r="A16" s="460" t="s">
        <v>1526</v>
      </c>
      <c r="B16" s="452" t="s">
        <v>1525</v>
      </c>
      <c r="C16" s="452" t="s">
        <v>1517</v>
      </c>
      <c r="D16" s="460" t="s">
        <v>595</v>
      </c>
      <c r="E16" s="446">
        <f>일위대가표!F67</f>
        <v>5122</v>
      </c>
      <c r="F16" s="453">
        <f>일위대가표!H67</f>
        <v>4461</v>
      </c>
      <c r="G16" s="454">
        <f>일위대가표!J67</f>
        <v>572</v>
      </c>
      <c r="H16" s="446">
        <f>일위대가표!L67</f>
        <v>89</v>
      </c>
      <c r="I16" s="482" t="s">
        <v>2285</v>
      </c>
      <c r="J16" s="451" t="str">
        <f>"_x0007_`COD|B02562_x0005_`QTY1|1_x0005_`BQC|건축11-2-6_x0005_`EQC|_x0005_`JDC|_x0005_`WQC|_x0005_`EDT|_x0005_`ADJ|F_x0005_`DET|"&amp;ROW(일위대가표!A60)&amp;"_x0005_`"</f>
        <v>_x0007_`COD|B02562_x0005_`QTY1|1_x0005_`BQC|건축11-2-6_x0005_`EQC|_x0005_`JDC|_x0005_`WQC|_x0005_`EDT|_x0005_`ADJ|F_x0005_`DET|60_x0005_`</v>
      </c>
      <c r="K16" s="433" t="str">
        <f ca="1">HYPERLINK("#"&amp;일위대가표!N2&amp;"!A"&amp;ROW(일위대가표!A60),"B02562 →")</f>
        <v>B02562 →</v>
      </c>
    </row>
    <row r="17" spans="1:11" ht="25.7" customHeight="1">
      <c r="A17" s="460" t="s">
        <v>1529</v>
      </c>
      <c r="B17" s="452" t="s">
        <v>1525</v>
      </c>
      <c r="C17" s="452" t="s">
        <v>1521</v>
      </c>
      <c r="D17" s="460" t="s">
        <v>595</v>
      </c>
      <c r="E17" s="446">
        <f>일위대가표!F75</f>
        <v>10251</v>
      </c>
      <c r="F17" s="453">
        <f>일위대가표!H75</f>
        <v>8922</v>
      </c>
      <c r="G17" s="454">
        <f>일위대가표!J75</f>
        <v>1151</v>
      </c>
      <c r="H17" s="446">
        <f>일위대가표!L75</f>
        <v>178</v>
      </c>
      <c r="I17" s="482" t="s">
        <v>2285</v>
      </c>
      <c r="J17" s="451" t="str">
        <f>"_x0007_`COD|B02107_x0005_`QTY1|1_x0005_`BQC|건축11-2-6_x0005_`EQC|_x0005_`JDC|_x0005_`WQC|_x0005_`EDT|_x0005_`ADJ|F_x0005_`DET|"&amp;ROW(일위대가표!A68)&amp;"_x0005_`"</f>
        <v>_x0007_`COD|B02107_x0005_`QTY1|1_x0005_`BQC|건축11-2-6_x0005_`EQC|_x0005_`JDC|_x0005_`WQC|_x0005_`EDT|_x0005_`ADJ|F_x0005_`DET|68_x0005_`</v>
      </c>
      <c r="K17" s="433" t="str">
        <f ca="1">HYPERLINK("#"&amp;일위대가표!N2&amp;"!A"&amp;ROW(일위대가표!A68),"B02107 →")</f>
        <v>B02107 →</v>
      </c>
    </row>
    <row r="18" spans="1:11" ht="25.7" customHeight="1">
      <c r="A18" s="460" t="s">
        <v>1333</v>
      </c>
      <c r="B18" s="452" t="s">
        <v>1331</v>
      </c>
      <c r="C18" s="452" t="s">
        <v>1332</v>
      </c>
      <c r="D18" s="460" t="s">
        <v>975</v>
      </c>
      <c r="E18" s="446">
        <f>일위대가표!F79</f>
        <v>5450000</v>
      </c>
      <c r="F18" s="453">
        <f>일위대가표!H79</f>
        <v>0</v>
      </c>
      <c r="G18" s="454">
        <f>일위대가표!J79</f>
        <v>5450000</v>
      </c>
      <c r="H18" s="446">
        <f>일위대가표!L79</f>
        <v>0</v>
      </c>
      <c r="I18" s="482"/>
      <c r="J18" s="451" t="str">
        <f>"_x0007_`COD|B02531_x0005_`QTY1|1_x0005_`BQC|_x0005_`EQC|_x0005_`JDC|_x0005_`WQC|_x0005_`EDT|_x0005_`ADJ|F_x0005_`DET|"&amp;ROW(일위대가표!A76)&amp;"_x0005_`"</f>
        <v>_x0007_`COD|B02531_x0005_`QTY1|1_x0005_`BQC|_x0005_`EQC|_x0005_`JDC|_x0005_`WQC|_x0005_`EDT|_x0005_`ADJ|F_x0005_`DET|76_x0005_`</v>
      </c>
      <c r="K18" s="433" t="str">
        <f ca="1">HYPERLINK("#"&amp;일위대가표!N2&amp;"!A"&amp;ROW(일위대가표!A76),"B02531 →")</f>
        <v>B02531 →</v>
      </c>
    </row>
    <row r="19" spans="1:11" ht="25.7" customHeight="1">
      <c r="A19" s="460" t="s">
        <v>1338</v>
      </c>
      <c r="B19" s="452" t="s">
        <v>1336</v>
      </c>
      <c r="C19" s="452" t="s">
        <v>1337</v>
      </c>
      <c r="D19" s="460" t="s">
        <v>975</v>
      </c>
      <c r="E19" s="446">
        <f>일위대가표!F83</f>
        <v>6110000</v>
      </c>
      <c r="F19" s="453">
        <f>일위대가표!H83</f>
        <v>0</v>
      </c>
      <c r="G19" s="454">
        <f>일위대가표!J83</f>
        <v>6110000</v>
      </c>
      <c r="H19" s="446">
        <f>일위대가표!L83</f>
        <v>0</v>
      </c>
      <c r="I19" s="482"/>
      <c r="J19" s="451" t="str">
        <f>"_x0007_`COD|B02537_x0005_`QTY1|1_x0005_`BQC|_x0005_`EQC|_x0005_`JDC|_x0005_`WQC|_x0005_`EDT|_x0005_`ADJ|F_x0005_`DET|"&amp;ROW(일위대가표!A80)&amp;"_x0005_`"</f>
        <v>_x0007_`COD|B02537_x0005_`QTY1|1_x0005_`BQC|_x0005_`EQC|_x0005_`JDC|_x0005_`WQC|_x0005_`EDT|_x0005_`ADJ|F_x0005_`DET|80_x0005_`</v>
      </c>
      <c r="K19" s="433" t="str">
        <f ca="1">HYPERLINK("#"&amp;일위대가표!N2&amp;"!A"&amp;ROW(일위대가표!A80),"B02537 →")</f>
        <v>B02537 →</v>
      </c>
    </row>
    <row r="20" spans="1:11" ht="25.7" customHeight="1">
      <c r="A20" s="460" t="s">
        <v>1343</v>
      </c>
      <c r="B20" s="452" t="s">
        <v>1341</v>
      </c>
      <c r="C20" s="452" t="s">
        <v>1342</v>
      </c>
      <c r="D20" s="460" t="s">
        <v>975</v>
      </c>
      <c r="E20" s="446">
        <f>일위대가표!F87</f>
        <v>4335000</v>
      </c>
      <c r="F20" s="453">
        <f>일위대가표!H87</f>
        <v>0</v>
      </c>
      <c r="G20" s="454">
        <f>일위대가표!J87</f>
        <v>4335000</v>
      </c>
      <c r="H20" s="446">
        <f>일위대가표!L87</f>
        <v>0</v>
      </c>
      <c r="I20" s="482"/>
      <c r="J20" s="451" t="str">
        <f>"_x0007_`COD|B02533_x0005_`QTY1|1_x0005_`BQC|_x0005_`EQC|_x0005_`JDC|_x0005_`WQC|_x0005_`EDT|_x0005_`ADJ|F_x0005_`DET|"&amp;ROW(일위대가표!A84)&amp;"_x0005_`"</f>
        <v>_x0007_`COD|B02533_x0005_`QTY1|1_x0005_`BQC|_x0005_`EQC|_x0005_`JDC|_x0005_`WQC|_x0005_`EDT|_x0005_`ADJ|F_x0005_`DET|84_x0005_`</v>
      </c>
      <c r="K20" s="433" t="str">
        <f ca="1">HYPERLINK("#"&amp;일위대가표!N2&amp;"!A"&amp;ROW(일위대가표!A84),"B02533 →")</f>
        <v>B02533 →</v>
      </c>
    </row>
    <row r="21" spans="1:11" ht="25.7" customHeight="1">
      <c r="A21" s="460" t="s">
        <v>1483</v>
      </c>
      <c r="B21" s="452" t="s">
        <v>1481</v>
      </c>
      <c r="C21" s="452" t="s">
        <v>1482</v>
      </c>
      <c r="D21" s="460" t="s">
        <v>911</v>
      </c>
      <c r="E21" s="446">
        <f>일위대가표!F92</f>
        <v>23923</v>
      </c>
      <c r="F21" s="453">
        <f>일위대가표!H92</f>
        <v>21519</v>
      </c>
      <c r="G21" s="454">
        <f>일위대가표!J92</f>
        <v>1886</v>
      </c>
      <c r="H21" s="446">
        <f>일위대가표!L92</f>
        <v>518</v>
      </c>
      <c r="I21" s="482"/>
      <c r="J21" s="451" t="str">
        <f>"_x0007_`COD|B02655_x0005_`QTY1|1_x0005_`BQC|_x0005_`EQC|_x0005_`JDC|_x0005_`WQC|_x0005_`EDT|_x0005_`ADJ|F_x0005_`DET|"&amp;ROW(일위대가표!A88)&amp;"_x0005_`"</f>
        <v>_x0007_`COD|B02655_x0005_`QTY1|1_x0005_`BQC|_x0005_`EQC|_x0005_`JDC|_x0005_`WQC|_x0005_`EDT|_x0005_`ADJ|F_x0005_`DET|88_x0005_`</v>
      </c>
      <c r="K21" s="433" t="str">
        <f ca="1">HYPERLINK("#"&amp;일위대가표!N2&amp;"!A"&amp;ROW(일위대가표!A88),"B02655 →")</f>
        <v>B02655 →</v>
      </c>
    </row>
    <row r="22" spans="1:11" ht="25.7" customHeight="1">
      <c r="A22" s="460" t="s">
        <v>1478</v>
      </c>
      <c r="B22" s="452" t="s">
        <v>1476</v>
      </c>
      <c r="C22" s="452" t="s">
        <v>1477</v>
      </c>
      <c r="D22" s="460" t="s">
        <v>975</v>
      </c>
      <c r="E22" s="446">
        <f>일위대가표!F99</f>
        <v>138982</v>
      </c>
      <c r="F22" s="453">
        <f>일위대가표!H99</f>
        <v>34973</v>
      </c>
      <c r="G22" s="454">
        <f>일위대가표!J99</f>
        <v>103677</v>
      </c>
      <c r="H22" s="446">
        <f>일위대가표!L99</f>
        <v>332</v>
      </c>
      <c r="I22" s="482"/>
      <c r="J22" s="451" t="str">
        <f>"_x0007_`COD|B02732_x0005_`QTY1|1_x0005_`BQC|_x0005_`EQC|_x0005_`JDC|_x0005_`WQC|_x0005_`EDT|_x0005_`ADJ|F_x0005_`DET|"&amp;ROW(일위대가표!A93)&amp;"_x0005_`"</f>
        <v>_x0007_`COD|B02732_x0005_`QTY1|1_x0005_`BQC|_x0005_`EQC|_x0005_`JDC|_x0005_`WQC|_x0005_`EDT|_x0005_`ADJ|F_x0005_`DET|93_x0005_`</v>
      </c>
      <c r="K22" s="433" t="str">
        <f ca="1">HYPERLINK("#"&amp;일위대가표!N2&amp;"!A"&amp;ROW(일위대가표!A93),"B02732 →")</f>
        <v>B02732 →</v>
      </c>
    </row>
    <row r="23" spans="1:11" ht="25.7" customHeight="1">
      <c r="A23" s="460" t="s">
        <v>1552</v>
      </c>
      <c r="B23" s="452" t="s">
        <v>1550</v>
      </c>
      <c r="C23" s="452" t="s">
        <v>1551</v>
      </c>
      <c r="D23" s="460" t="s">
        <v>975</v>
      </c>
      <c r="E23" s="446">
        <f>일위대가표!F104</f>
        <v>180586</v>
      </c>
      <c r="F23" s="453">
        <f>일위대가표!H104</f>
        <v>160621</v>
      </c>
      <c r="G23" s="454">
        <f>일위대가표!J104</f>
        <v>16461</v>
      </c>
      <c r="H23" s="446">
        <f>일위대가표!L104</f>
        <v>3504</v>
      </c>
      <c r="I23" s="482"/>
      <c r="J23" s="451" t="str">
        <f>"_x0007_`COD|B02723_x0005_`QTY1|1_x0005_`BQC|_x0005_`EQC|_x0005_`JDC|_x0005_`WQC|_x0005_`EDT|_x0005_`ADJ|F_x0005_`DET|"&amp;ROW(일위대가표!A100)&amp;"_x0005_`"</f>
        <v>_x0007_`COD|B02723_x0005_`QTY1|1_x0005_`BQC|_x0005_`EQC|_x0005_`JDC|_x0005_`WQC|_x0005_`EDT|_x0005_`ADJ|F_x0005_`DET|100_x0005_`</v>
      </c>
      <c r="K23" s="433" t="str">
        <f ca="1">HYPERLINK("#"&amp;일위대가표!N2&amp;"!A"&amp;ROW(일위대가표!A100),"B02723 →")</f>
        <v>B02723 →</v>
      </c>
    </row>
    <row r="24" spans="1:11" ht="25.7" customHeight="1">
      <c r="A24" s="460" t="s">
        <v>2121</v>
      </c>
      <c r="B24" s="452" t="s">
        <v>2120</v>
      </c>
      <c r="C24" s="452" t="s">
        <v>2108</v>
      </c>
      <c r="D24" s="460" t="s">
        <v>975</v>
      </c>
      <c r="E24" s="446">
        <f>일위대가표!F112</f>
        <v>34417</v>
      </c>
      <c r="F24" s="453">
        <f>일위대가표!H112</f>
        <v>28360</v>
      </c>
      <c r="G24" s="454">
        <f>일위대가표!J112</f>
        <v>5965</v>
      </c>
      <c r="H24" s="446">
        <f>일위대가표!L112</f>
        <v>92</v>
      </c>
      <c r="I24" s="482"/>
      <c r="J24" s="451" t="str">
        <f>"_x0007_`COD|B02619_x0005_`QTY1|1_x0005_`BQC|_x0005_`EQC|_x0005_`JDC|_x0005_`WQC|_x0005_`EDT|_x0005_`ADJ|F_x0005_`DET|"&amp;ROW(일위대가표!A105)&amp;"_x0005_`"</f>
        <v>_x0007_`COD|B02619_x0005_`QTY1|1_x0005_`BQC|_x0005_`EQC|_x0005_`JDC|_x0005_`WQC|_x0005_`EDT|_x0005_`ADJ|F_x0005_`DET|105_x0005_`</v>
      </c>
      <c r="K24" s="433" t="str">
        <f ca="1">HYPERLINK("#"&amp;일위대가표!N2&amp;"!A"&amp;ROW(일위대가표!A105),"B02619 →")</f>
        <v>B02619 →</v>
      </c>
    </row>
    <row r="25" spans="1:11" ht="25.7" customHeight="1">
      <c r="A25" s="460" t="s">
        <v>2124</v>
      </c>
      <c r="B25" s="452" t="s">
        <v>2120</v>
      </c>
      <c r="C25" s="452" t="s">
        <v>2112</v>
      </c>
      <c r="D25" s="460" t="s">
        <v>975</v>
      </c>
      <c r="E25" s="446">
        <f>일위대가표!F120</f>
        <v>76627</v>
      </c>
      <c r="F25" s="453">
        <f>일위대가표!H120</f>
        <v>62268</v>
      </c>
      <c r="G25" s="454">
        <f>일위대가표!J120</f>
        <v>14139</v>
      </c>
      <c r="H25" s="446">
        <f>일위대가표!L120</f>
        <v>220</v>
      </c>
      <c r="I25" s="482"/>
      <c r="J25" s="451" t="str">
        <f>"_x0007_`COD|B02620_x0005_`QTY1|1_x0005_`BQC|_x0005_`EQC|_x0005_`JDC|_x0005_`WQC|_x0005_`EDT|_x0005_`ADJ|F_x0005_`DET|"&amp;ROW(일위대가표!A113)&amp;"_x0005_`"</f>
        <v>_x0007_`COD|B02620_x0005_`QTY1|1_x0005_`BQC|_x0005_`EQC|_x0005_`JDC|_x0005_`WQC|_x0005_`EDT|_x0005_`ADJ|F_x0005_`DET|113_x0005_`</v>
      </c>
      <c r="K25" s="433" t="str">
        <f ca="1">HYPERLINK("#"&amp;일위대가표!N2&amp;"!A"&amp;ROW(일위대가표!A113),"B02620 →")</f>
        <v>B02620 →</v>
      </c>
    </row>
    <row r="26" spans="1:11" ht="25.7" customHeight="1">
      <c r="A26" s="460" t="s">
        <v>2127</v>
      </c>
      <c r="B26" s="452" t="s">
        <v>2120</v>
      </c>
      <c r="C26" s="452" t="s">
        <v>2116</v>
      </c>
      <c r="D26" s="460" t="s">
        <v>975</v>
      </c>
      <c r="E26" s="446">
        <f>일위대가표!F128</f>
        <v>133028</v>
      </c>
      <c r="F26" s="453">
        <f>일위대가표!H128</f>
        <v>108000</v>
      </c>
      <c r="G26" s="454">
        <f>일위대가표!J128</f>
        <v>24684</v>
      </c>
      <c r="H26" s="446">
        <f>일위대가표!L128</f>
        <v>344</v>
      </c>
      <c r="I26" s="482"/>
      <c r="J26" s="451" t="str">
        <f>"_x0007_`COD|B02621_x0005_`QTY1|1_x0005_`BQC|_x0005_`EQC|_x0005_`JDC|_x0005_`WQC|_x0005_`EDT|_x0005_`ADJ|F_x0005_`DET|"&amp;ROW(일위대가표!A121)&amp;"_x0005_`"</f>
        <v>_x0007_`COD|B02621_x0005_`QTY1|1_x0005_`BQC|_x0005_`EQC|_x0005_`JDC|_x0005_`WQC|_x0005_`EDT|_x0005_`ADJ|F_x0005_`DET|121_x0005_`</v>
      </c>
      <c r="K26" s="433" t="str">
        <f ca="1">HYPERLINK("#"&amp;일위대가표!N2&amp;"!A"&amp;ROW(일위대가표!A121),"B02621 →")</f>
        <v>B02621 →</v>
      </c>
    </row>
    <row r="27" spans="1:11" ht="25.7" customHeight="1">
      <c r="A27" s="460" t="s">
        <v>5488</v>
      </c>
      <c r="B27" s="452" t="s">
        <v>5487</v>
      </c>
      <c r="C27" s="452" t="s">
        <v>2108</v>
      </c>
      <c r="D27" s="460" t="s">
        <v>975</v>
      </c>
      <c r="E27" s="446">
        <f>일위대가표!F137</f>
        <v>38671</v>
      </c>
      <c r="F27" s="453">
        <f>일위대가표!H137</f>
        <v>32614</v>
      </c>
      <c r="G27" s="454">
        <f>일위대가표!J137</f>
        <v>5965</v>
      </c>
      <c r="H27" s="446">
        <f>일위대가표!L137</f>
        <v>92</v>
      </c>
      <c r="I27" s="482"/>
      <c r="J27" s="451" t="str">
        <f>"_x0007_`COD|B02894_x0005_`QTY1|1_x0005_`BQC|_x0005_`EQC|_x0005_`JDC|_x0005_`WQC|_x0005_`EDT|_x0005_`ADJ|F_x0005_`DET|"&amp;ROW(일위대가표!A129)&amp;"_x0005_`"</f>
        <v>_x0007_`COD|B02894_x0005_`QTY1|1_x0005_`BQC|_x0005_`EQC|_x0005_`JDC|_x0005_`WQC|_x0005_`EDT|_x0005_`ADJ|F_x0005_`DET|129_x0005_`</v>
      </c>
      <c r="K27" s="433" t="str">
        <f ca="1">HYPERLINK("#"&amp;일위대가표!N2&amp;"!A"&amp;ROW(일위대가표!A129),"B02894 →")</f>
        <v>B02894 →</v>
      </c>
    </row>
    <row r="28" spans="1:11" ht="25.7" customHeight="1">
      <c r="A28" s="460" t="s">
        <v>5491</v>
      </c>
      <c r="B28" s="452" t="s">
        <v>5487</v>
      </c>
      <c r="C28" s="452" t="s">
        <v>2112</v>
      </c>
      <c r="D28" s="460" t="s">
        <v>975</v>
      </c>
      <c r="E28" s="446">
        <f>일위대가표!F146</f>
        <v>85967</v>
      </c>
      <c r="F28" s="453">
        <f>일위대가표!H146</f>
        <v>71608</v>
      </c>
      <c r="G28" s="454">
        <f>일위대가표!J146</f>
        <v>14139</v>
      </c>
      <c r="H28" s="446">
        <f>일위대가표!L146</f>
        <v>220</v>
      </c>
      <c r="I28" s="482"/>
      <c r="J28" s="451" t="str">
        <f>"_x0007_`COD|B02895_x0005_`QTY1|1_x0005_`BQC|_x0005_`EQC|_x0005_`JDC|_x0005_`WQC|_x0005_`EDT|_x0005_`ADJ|F_x0005_`DET|"&amp;ROW(일위대가표!A138)&amp;"_x0005_`"</f>
        <v>_x0007_`COD|B02895_x0005_`QTY1|1_x0005_`BQC|_x0005_`EQC|_x0005_`JDC|_x0005_`WQC|_x0005_`EDT|_x0005_`ADJ|F_x0005_`DET|138_x0005_`</v>
      </c>
      <c r="K28" s="433" t="str">
        <f ca="1">HYPERLINK("#"&amp;일위대가표!N2&amp;"!A"&amp;ROW(일위대가표!A138),"B02895 →")</f>
        <v>B02895 →</v>
      </c>
    </row>
    <row r="29" spans="1:11" ht="25.7" customHeight="1">
      <c r="A29" s="460" t="s">
        <v>5494</v>
      </c>
      <c r="B29" s="452" t="s">
        <v>5487</v>
      </c>
      <c r="C29" s="452" t="s">
        <v>2116</v>
      </c>
      <c r="D29" s="460" t="s">
        <v>975</v>
      </c>
      <c r="E29" s="446">
        <f>일위대가표!F155</f>
        <v>149228</v>
      </c>
      <c r="F29" s="453">
        <f>일위대가표!H155</f>
        <v>124200</v>
      </c>
      <c r="G29" s="454">
        <f>일위대가표!J155</f>
        <v>24684</v>
      </c>
      <c r="H29" s="446">
        <f>일위대가표!L155</f>
        <v>344</v>
      </c>
      <c r="I29" s="482"/>
      <c r="J29" s="451" t="str">
        <f>"_x0007_`COD|B02896_x0005_`QTY1|1_x0005_`BQC|_x0005_`EQC|_x0005_`JDC|_x0005_`WQC|_x0005_`EDT|_x0005_`ADJ|F_x0005_`DET|"&amp;ROW(일위대가표!A147)&amp;"_x0005_`"</f>
        <v>_x0007_`COD|B02896_x0005_`QTY1|1_x0005_`BQC|_x0005_`EQC|_x0005_`JDC|_x0005_`WQC|_x0005_`EDT|_x0005_`ADJ|F_x0005_`DET|147_x0005_`</v>
      </c>
      <c r="K29" s="433" t="str">
        <f ca="1">HYPERLINK("#"&amp;일위대가표!N2&amp;"!A"&amp;ROW(일위대가표!A147),"B02896 →")</f>
        <v>B02896 →</v>
      </c>
    </row>
    <row r="30" spans="1:11" ht="25.7" customHeight="1">
      <c r="A30" s="460" t="s">
        <v>2109</v>
      </c>
      <c r="B30" s="452" t="s">
        <v>5497</v>
      </c>
      <c r="C30" s="452" t="s">
        <v>2108</v>
      </c>
      <c r="D30" s="460" t="s">
        <v>975</v>
      </c>
      <c r="E30" s="446">
        <f>일위대가표!F164</f>
        <v>41507</v>
      </c>
      <c r="F30" s="453">
        <f>일위대가표!H164</f>
        <v>35450</v>
      </c>
      <c r="G30" s="454">
        <f>일위대가표!J164</f>
        <v>5965</v>
      </c>
      <c r="H30" s="446">
        <f>일위대가표!L164</f>
        <v>92</v>
      </c>
      <c r="I30" s="482"/>
      <c r="J30" s="451" t="str">
        <f>"_x0007_`COD|B02618_x0005_`QTY1|1_x0005_`BQC|_x0005_`EQC|_x0005_`JDC|_x0005_`WQC|_x0005_`EDT|_x0005_`ADJ|F_x0005_`DET|"&amp;ROW(일위대가표!A156)&amp;"_x0005_`"</f>
        <v>_x0007_`COD|B02618_x0005_`QTY1|1_x0005_`BQC|_x0005_`EQC|_x0005_`JDC|_x0005_`WQC|_x0005_`EDT|_x0005_`ADJ|F_x0005_`DET|156_x0005_`</v>
      </c>
      <c r="K30" s="433" t="str">
        <f ca="1">HYPERLINK("#"&amp;일위대가표!N2&amp;"!A"&amp;ROW(일위대가표!A156),"B02618 →")</f>
        <v>B02618 →</v>
      </c>
    </row>
    <row r="31" spans="1:11" ht="25.7" customHeight="1">
      <c r="A31" s="460" t="s">
        <v>2113</v>
      </c>
      <c r="B31" s="452" t="s">
        <v>5497</v>
      </c>
      <c r="C31" s="452" t="s">
        <v>2112</v>
      </c>
      <c r="D31" s="460" t="s">
        <v>975</v>
      </c>
      <c r="E31" s="446">
        <f>일위대가표!F173</f>
        <v>92194</v>
      </c>
      <c r="F31" s="453">
        <f>일위대가표!H173</f>
        <v>77835</v>
      </c>
      <c r="G31" s="454">
        <f>일위대가표!J173</f>
        <v>14139</v>
      </c>
      <c r="H31" s="446">
        <f>일위대가표!L173</f>
        <v>220</v>
      </c>
      <c r="I31" s="482"/>
      <c r="J31" s="451" t="str">
        <f>"_x0007_`COD|B02617_x0005_`QTY1|1_x0005_`BQC|_x0005_`EQC|_x0005_`JDC|_x0005_`WQC|_x0005_`EDT|_x0005_`ADJ|F_x0005_`DET|"&amp;ROW(일위대가표!A165)&amp;"_x0005_`"</f>
        <v>_x0007_`COD|B02617_x0005_`QTY1|1_x0005_`BQC|_x0005_`EQC|_x0005_`JDC|_x0005_`WQC|_x0005_`EDT|_x0005_`ADJ|F_x0005_`DET|165_x0005_`</v>
      </c>
      <c r="K31" s="433" t="str">
        <f ca="1">HYPERLINK("#"&amp;일위대가표!N2&amp;"!A"&amp;ROW(일위대가표!A165),"B02617 →")</f>
        <v>B02617 →</v>
      </c>
    </row>
    <row r="32" spans="1:11" ht="25.7" customHeight="1">
      <c r="A32" s="460" t="s">
        <v>2117</v>
      </c>
      <c r="B32" s="452" t="s">
        <v>5497</v>
      </c>
      <c r="C32" s="452" t="s">
        <v>2116</v>
      </c>
      <c r="D32" s="460" t="s">
        <v>975</v>
      </c>
      <c r="E32" s="446">
        <f>일위대가표!F182</f>
        <v>160028</v>
      </c>
      <c r="F32" s="453">
        <f>일위대가표!H182</f>
        <v>135000</v>
      </c>
      <c r="G32" s="454">
        <f>일위대가표!J182</f>
        <v>24684</v>
      </c>
      <c r="H32" s="446">
        <f>일위대가표!L182</f>
        <v>344</v>
      </c>
      <c r="I32" s="482"/>
      <c r="J32" s="451" t="str">
        <f>"_x0007_`COD|B02616_x0005_`QTY1|1_x0005_`BQC|_x0005_`EQC|_x0005_`JDC|_x0005_`WQC|_x0005_`EDT|_x0005_`ADJ|F_x0005_`DET|"&amp;ROW(일위대가표!A174)&amp;"_x0005_`"</f>
        <v>_x0007_`COD|B02616_x0005_`QTY1|1_x0005_`BQC|_x0005_`EQC|_x0005_`JDC|_x0005_`WQC|_x0005_`EDT|_x0005_`ADJ|F_x0005_`DET|174_x0005_`</v>
      </c>
      <c r="K32" s="433" t="str">
        <f ca="1">HYPERLINK("#"&amp;일위대가표!N2&amp;"!A"&amp;ROW(일위대가표!A174),"B02616 →")</f>
        <v>B02616 →</v>
      </c>
    </row>
    <row r="33" spans="1:11" ht="25.7" customHeight="1">
      <c r="A33" s="460" t="s">
        <v>2286</v>
      </c>
      <c r="B33" s="452" t="s">
        <v>2287</v>
      </c>
      <c r="C33" s="452" t="s">
        <v>2288</v>
      </c>
      <c r="D33" s="460" t="s">
        <v>595</v>
      </c>
      <c r="E33" s="446">
        <f>일위대가표!F190</f>
        <v>67286</v>
      </c>
      <c r="F33" s="453">
        <f>일위대가표!H190</f>
        <v>54084</v>
      </c>
      <c r="G33" s="454">
        <f>일위대가표!J190</f>
        <v>6177</v>
      </c>
      <c r="H33" s="446">
        <f>일위대가표!L190</f>
        <v>7025</v>
      </c>
      <c r="I33" s="482" t="s">
        <v>2289</v>
      </c>
      <c r="J33" s="451" t="str">
        <f>"_x0007_`COD|B02685_x0005_`QTY1|1_x0005_`BQC|산림12-4-다_x0005_`EQC|_x0005_`JDC|_x0005_`WQC|_x0005_`EDT|_x0005_`ADJ|F_x0005_`DET|"&amp;ROW(일위대가표!A183)&amp;"_x0005_`"</f>
        <v>_x0007_`COD|B02685_x0005_`QTY1|1_x0005_`BQC|산림12-4-다_x0005_`EQC|_x0005_`JDC|_x0005_`WQC|_x0005_`EDT|_x0005_`ADJ|F_x0005_`DET|183_x0005_`</v>
      </c>
      <c r="K33" s="433" t="str">
        <f ca="1">HYPERLINK("#"&amp;일위대가표!N2&amp;"!A"&amp;ROW(일위대가표!A183),"B02685 →")</f>
        <v>B02685 →</v>
      </c>
    </row>
    <row r="34" spans="1:11" ht="25.7" customHeight="1">
      <c r="A34" s="460" t="s">
        <v>2290</v>
      </c>
      <c r="B34" s="452" t="s">
        <v>2287</v>
      </c>
      <c r="C34" s="452" t="s">
        <v>2291</v>
      </c>
      <c r="D34" s="460" t="s">
        <v>595</v>
      </c>
      <c r="E34" s="446">
        <f>일위대가표!F198</f>
        <v>92473</v>
      </c>
      <c r="F34" s="453">
        <f>일위대가표!H198</f>
        <v>72570</v>
      </c>
      <c r="G34" s="454">
        <f>일위대가표!J198</f>
        <v>8648</v>
      </c>
      <c r="H34" s="446">
        <f>일위대가표!L198</f>
        <v>11255</v>
      </c>
      <c r="I34" s="482" t="s">
        <v>2289</v>
      </c>
      <c r="J34" s="451" t="str">
        <f>"_x0007_`COD|B02145_x0005_`QTY1|1_x0005_`BQC|산림12-4-다_x0005_`EQC|_x0005_`JDC|_x0005_`WQC|_x0005_`EDT|_x0005_`ADJ|F_x0005_`DET|"&amp;ROW(일위대가표!A191)&amp;"_x0005_`"</f>
        <v>_x0007_`COD|B02145_x0005_`QTY1|1_x0005_`BQC|산림12-4-다_x0005_`EQC|_x0005_`JDC|_x0005_`WQC|_x0005_`EDT|_x0005_`ADJ|F_x0005_`DET|191_x0005_`</v>
      </c>
      <c r="K34" s="433" t="str">
        <f ca="1">HYPERLINK("#"&amp;일위대가표!N2&amp;"!A"&amp;ROW(일위대가표!A191),"B02145 →")</f>
        <v>B02145 →</v>
      </c>
    </row>
    <row r="35" spans="1:11" ht="25.7" customHeight="1">
      <c r="A35" s="460" t="s">
        <v>2292</v>
      </c>
      <c r="B35" s="452" t="s">
        <v>2293</v>
      </c>
      <c r="C35" s="452" t="s">
        <v>2294</v>
      </c>
      <c r="D35" s="460" t="s">
        <v>595</v>
      </c>
      <c r="E35" s="446">
        <f>일위대가표!F206</f>
        <v>103073</v>
      </c>
      <c r="F35" s="453">
        <f>일위대가표!H206</f>
        <v>81995</v>
      </c>
      <c r="G35" s="454">
        <f>일위대가표!J206</f>
        <v>9884</v>
      </c>
      <c r="H35" s="446">
        <f>일위대가표!L206</f>
        <v>11194</v>
      </c>
      <c r="I35" s="482" t="s">
        <v>2289</v>
      </c>
      <c r="J35" s="451" t="str">
        <f>"_x0007_`COD|B02146_x0005_`QTY1|1_x0005_`BQC|산림12-4-다_x0005_`EQC|_x0005_`JDC|_x0005_`WQC|_x0005_`EDT|_x0005_`ADJ|F_x0005_`DET|"&amp;ROW(일위대가표!A199)&amp;"_x0005_`"</f>
        <v>_x0007_`COD|B02146_x0005_`QTY1|1_x0005_`BQC|산림12-4-다_x0005_`EQC|_x0005_`JDC|_x0005_`WQC|_x0005_`EDT|_x0005_`ADJ|F_x0005_`DET|199_x0005_`</v>
      </c>
      <c r="K35" s="433" t="str">
        <f ca="1">HYPERLINK("#"&amp;일위대가표!N2&amp;"!A"&amp;ROW(일위대가표!A199),"B02146 →")</f>
        <v>B02146 →</v>
      </c>
    </row>
    <row r="36" spans="1:11" ht="25.7" customHeight="1">
      <c r="A36" s="460" t="s">
        <v>2295</v>
      </c>
      <c r="B36" s="452" t="s">
        <v>2293</v>
      </c>
      <c r="C36" s="452" t="s">
        <v>2296</v>
      </c>
      <c r="D36" s="460" t="s">
        <v>595</v>
      </c>
      <c r="E36" s="446">
        <f>일위대가표!F214</f>
        <v>132158</v>
      </c>
      <c r="F36" s="453">
        <f>일위대가표!H214</f>
        <v>98014</v>
      </c>
      <c r="G36" s="454">
        <f>일위대가표!J214</f>
        <v>12355</v>
      </c>
      <c r="H36" s="446">
        <f>일위대가표!L214</f>
        <v>21789</v>
      </c>
      <c r="I36" s="482" t="s">
        <v>2289</v>
      </c>
      <c r="J36" s="451" t="str">
        <f>"_x0007_`COD|B02144_x0005_`QTY1|1_x0005_`BQC|산림12-4-다_x0005_`EQC|_x0005_`JDC|_x0005_`WQC|_x0005_`EDT|_x0005_`ADJ|F_x0005_`DET|"&amp;ROW(일위대가표!A207)&amp;"_x0005_`"</f>
        <v>_x0007_`COD|B02144_x0005_`QTY1|1_x0005_`BQC|산림12-4-다_x0005_`EQC|_x0005_`JDC|_x0005_`WQC|_x0005_`EDT|_x0005_`ADJ|F_x0005_`DET|207_x0005_`</v>
      </c>
      <c r="K36" s="433" t="str">
        <f ca="1">HYPERLINK("#"&amp;일위대가표!N2&amp;"!A"&amp;ROW(일위대가표!A207),"B02144 →")</f>
        <v>B02144 →</v>
      </c>
    </row>
    <row r="37" spans="1:11" ht="25.7" customHeight="1">
      <c r="A37" s="460" t="s">
        <v>2297</v>
      </c>
      <c r="B37" s="452" t="s">
        <v>2298</v>
      </c>
      <c r="C37" s="452" t="s">
        <v>2299</v>
      </c>
      <c r="D37" s="460" t="s">
        <v>8</v>
      </c>
      <c r="E37" s="446">
        <f>일위대가표!F218</f>
        <v>24089</v>
      </c>
      <c r="F37" s="453">
        <f>일위대가표!H218</f>
        <v>24089</v>
      </c>
      <c r="G37" s="454">
        <f>일위대가표!J218</f>
        <v>0</v>
      </c>
      <c r="H37" s="446">
        <f>일위대가표!L218</f>
        <v>0</v>
      </c>
      <c r="I37" s="482"/>
      <c r="J37" s="451" t="str">
        <f>"_x0007_`COD|B01447_x0005_`QTY1|1_x0005_`BQC|_x0005_`EQC|_x0005_`JDC|_x0005_`WQC|_x0005_`EDT|_x0005_`ADJ|F_x0005_`DET|"&amp;ROW(일위대가표!A215)&amp;"_x0005_`"</f>
        <v>_x0007_`COD|B01447_x0005_`QTY1|1_x0005_`BQC|_x0005_`EQC|_x0005_`JDC|_x0005_`WQC|_x0005_`EDT|_x0005_`ADJ|F_x0005_`DET|215_x0005_`</v>
      </c>
      <c r="K37" s="433" t="str">
        <f ca="1">HYPERLINK("#"&amp;일위대가표!N2&amp;"!A"&amp;ROW(일위대가표!A215),"B01447 →")</f>
        <v>B01447 →</v>
      </c>
    </row>
    <row r="38" spans="1:11" ht="25.7" customHeight="1">
      <c r="A38" s="460" t="s">
        <v>953</v>
      </c>
      <c r="B38" s="452" t="s">
        <v>952</v>
      </c>
      <c r="C38" s="452" t="s">
        <v>910</v>
      </c>
      <c r="D38" s="460" t="s">
        <v>911</v>
      </c>
      <c r="E38" s="446">
        <f>일위대가표!F225</f>
        <v>12452</v>
      </c>
      <c r="F38" s="453">
        <f>일위대가표!H225</f>
        <v>12386</v>
      </c>
      <c r="G38" s="454">
        <f>일위대가표!J225</f>
        <v>11</v>
      </c>
      <c r="H38" s="446">
        <f>일위대가표!L225</f>
        <v>55</v>
      </c>
      <c r="I38" s="482"/>
      <c r="J38" s="451" t="str">
        <f>"_x0007_`COD|B02660_x0005_`QTY1|1_x0005_`BQC|_x0005_`EQC|_x0005_`JDC|_x0005_`WQC|_x0005_`EDT|_x0005_`ADJ|F_x0005_`DET|"&amp;ROW(일위대가표!A219)&amp;"_x0005_`"</f>
        <v>_x0007_`COD|B02660_x0005_`QTY1|1_x0005_`BQC|_x0005_`EQC|_x0005_`JDC|_x0005_`WQC|_x0005_`EDT|_x0005_`ADJ|F_x0005_`DET|219_x0005_`</v>
      </c>
      <c r="K38" s="433" t="str">
        <f ca="1">HYPERLINK("#"&amp;일위대가표!N2&amp;"!A"&amp;ROW(일위대가표!A219),"B02660 →")</f>
        <v>B02660 →</v>
      </c>
    </row>
    <row r="39" spans="1:11" ht="25.7" customHeight="1">
      <c r="A39" s="460" t="s">
        <v>956</v>
      </c>
      <c r="B39" s="452" t="s">
        <v>952</v>
      </c>
      <c r="C39" s="452" t="s">
        <v>915</v>
      </c>
      <c r="D39" s="460" t="s">
        <v>911</v>
      </c>
      <c r="E39" s="446">
        <f>일위대가표!F232</f>
        <v>14942</v>
      </c>
      <c r="F39" s="453">
        <f>일위대가표!H232</f>
        <v>14863</v>
      </c>
      <c r="G39" s="454">
        <f>일위대가표!J232</f>
        <v>13</v>
      </c>
      <c r="H39" s="446">
        <f>일위대가표!L232</f>
        <v>66</v>
      </c>
      <c r="I39" s="482"/>
      <c r="J39" s="451" t="str">
        <f>"_x0007_`COD|B02661_x0005_`QTY1|1_x0005_`BQC|_x0005_`EQC|_x0005_`JDC|_x0005_`WQC|_x0005_`EDT|_x0005_`ADJ|F_x0005_`DET|"&amp;ROW(일위대가표!A226)&amp;"_x0005_`"</f>
        <v>_x0007_`COD|B02661_x0005_`QTY1|1_x0005_`BQC|_x0005_`EQC|_x0005_`JDC|_x0005_`WQC|_x0005_`EDT|_x0005_`ADJ|F_x0005_`DET|226_x0005_`</v>
      </c>
      <c r="K39" s="433" t="str">
        <f ca="1">HYPERLINK("#"&amp;일위대가표!N2&amp;"!A"&amp;ROW(일위대가표!A226),"B02661 →")</f>
        <v>B02661 →</v>
      </c>
    </row>
    <row r="40" spans="1:11" ht="25.7" customHeight="1">
      <c r="A40" s="460" t="s">
        <v>959</v>
      </c>
      <c r="B40" s="452" t="s">
        <v>952</v>
      </c>
      <c r="C40" s="452" t="s">
        <v>919</v>
      </c>
      <c r="D40" s="460" t="s">
        <v>911</v>
      </c>
      <c r="E40" s="446">
        <f>일위대가표!F239</f>
        <v>18677</v>
      </c>
      <c r="F40" s="453">
        <f>일위대가표!H239</f>
        <v>18579</v>
      </c>
      <c r="G40" s="454">
        <f>일위대가표!J239</f>
        <v>16</v>
      </c>
      <c r="H40" s="446">
        <f>일위대가표!L239</f>
        <v>82</v>
      </c>
      <c r="I40" s="482"/>
      <c r="J40" s="451" t="str">
        <f>"_x0007_`COD|B02662_x0005_`QTY1|1_x0005_`BQC|_x0005_`EQC|_x0005_`JDC|_x0005_`WQC|_x0005_`EDT|_x0005_`ADJ|F_x0005_`DET|"&amp;ROW(일위대가표!A233)&amp;"_x0005_`"</f>
        <v>_x0007_`COD|B02662_x0005_`QTY1|1_x0005_`BQC|_x0005_`EQC|_x0005_`JDC|_x0005_`WQC|_x0005_`EDT|_x0005_`ADJ|F_x0005_`DET|233_x0005_`</v>
      </c>
      <c r="K40" s="433" t="str">
        <f ca="1">HYPERLINK("#"&amp;일위대가표!N2&amp;"!A"&amp;ROW(일위대가표!A233),"B02662 →")</f>
        <v>B02662 →</v>
      </c>
    </row>
    <row r="41" spans="1:11" ht="25.7" customHeight="1">
      <c r="A41" s="460" t="s">
        <v>962</v>
      </c>
      <c r="B41" s="452" t="s">
        <v>952</v>
      </c>
      <c r="C41" s="452" t="s">
        <v>923</v>
      </c>
      <c r="D41" s="460" t="s">
        <v>911</v>
      </c>
      <c r="E41" s="446">
        <f>일위대가표!F246</f>
        <v>24904</v>
      </c>
      <c r="F41" s="453">
        <f>일위대가표!H246</f>
        <v>24772</v>
      </c>
      <c r="G41" s="454">
        <f>일위대가표!J246</f>
        <v>22</v>
      </c>
      <c r="H41" s="446">
        <f>일위대가표!L246</f>
        <v>110</v>
      </c>
      <c r="I41" s="482"/>
      <c r="J41" s="451" t="str">
        <f>"_x0007_`COD|B02663_x0005_`QTY1|1_x0005_`BQC|_x0005_`EQC|_x0005_`JDC|_x0005_`WQC|_x0005_`EDT|_x0005_`ADJ|F_x0005_`DET|"&amp;ROW(일위대가표!A240)&amp;"_x0005_`"</f>
        <v>_x0007_`COD|B02663_x0005_`QTY1|1_x0005_`BQC|_x0005_`EQC|_x0005_`JDC|_x0005_`WQC|_x0005_`EDT|_x0005_`ADJ|F_x0005_`DET|240_x0005_`</v>
      </c>
      <c r="K41" s="433" t="str">
        <f ca="1">HYPERLINK("#"&amp;일위대가표!N2&amp;"!A"&amp;ROW(일위대가표!A240),"B02663 →")</f>
        <v>B02663 →</v>
      </c>
    </row>
    <row r="42" spans="1:11" ht="25.7" customHeight="1">
      <c r="A42" s="460" t="s">
        <v>5054</v>
      </c>
      <c r="B42" s="452" t="s">
        <v>5053</v>
      </c>
      <c r="C42" s="452" t="s">
        <v>910</v>
      </c>
      <c r="D42" s="460" t="s">
        <v>911</v>
      </c>
      <c r="E42" s="446">
        <f>일위대가표!F254</f>
        <v>14309</v>
      </c>
      <c r="F42" s="453">
        <f>일위대가표!H254</f>
        <v>14243</v>
      </c>
      <c r="G42" s="454">
        <f>일위대가표!J254</f>
        <v>11</v>
      </c>
      <c r="H42" s="446">
        <f>일위대가표!L254</f>
        <v>55</v>
      </c>
      <c r="I42" s="482"/>
      <c r="J42" s="451" t="str">
        <f>"_x0007_`COD|B02827_x0005_`QTY1|1_x0005_`BQC|_x0005_`EQC|_x0005_`JDC|_x0005_`WQC|_x0005_`EDT|_x0005_`ADJ|F_x0005_`DET|"&amp;ROW(일위대가표!A247)&amp;"_x0005_`"</f>
        <v>_x0007_`COD|B02827_x0005_`QTY1|1_x0005_`BQC|_x0005_`EQC|_x0005_`JDC|_x0005_`WQC|_x0005_`EDT|_x0005_`ADJ|F_x0005_`DET|247_x0005_`</v>
      </c>
      <c r="K42" s="433" t="str">
        <f ca="1">HYPERLINK("#"&amp;일위대가표!N2&amp;"!A"&amp;ROW(일위대가표!A247),"B02827 →")</f>
        <v>B02827 →</v>
      </c>
    </row>
    <row r="43" spans="1:11" ht="25.7" customHeight="1">
      <c r="A43" s="460" t="s">
        <v>5057</v>
      </c>
      <c r="B43" s="452" t="s">
        <v>5053</v>
      </c>
      <c r="C43" s="452" t="s">
        <v>915</v>
      </c>
      <c r="D43" s="460" t="s">
        <v>911</v>
      </c>
      <c r="E43" s="446">
        <f>일위대가표!F262</f>
        <v>17171</v>
      </c>
      <c r="F43" s="453">
        <f>일위대가표!H262</f>
        <v>17092</v>
      </c>
      <c r="G43" s="454">
        <f>일위대가표!J262</f>
        <v>13</v>
      </c>
      <c r="H43" s="446">
        <f>일위대가표!L262</f>
        <v>66</v>
      </c>
      <c r="I43" s="482"/>
      <c r="J43" s="451" t="str">
        <f>"_x0007_`COD|B02828_x0005_`QTY1|1_x0005_`BQC|_x0005_`EQC|_x0005_`JDC|_x0005_`WQC|_x0005_`EDT|_x0005_`ADJ|F_x0005_`DET|"&amp;ROW(일위대가표!A255)&amp;"_x0005_`"</f>
        <v>_x0007_`COD|B02828_x0005_`QTY1|1_x0005_`BQC|_x0005_`EQC|_x0005_`JDC|_x0005_`WQC|_x0005_`EDT|_x0005_`ADJ|F_x0005_`DET|255_x0005_`</v>
      </c>
      <c r="K43" s="433" t="str">
        <f ca="1">HYPERLINK("#"&amp;일위대가표!N2&amp;"!A"&amp;ROW(일위대가표!A255),"B02828 →")</f>
        <v>B02828 →</v>
      </c>
    </row>
    <row r="44" spans="1:11" ht="25.7" customHeight="1">
      <c r="A44" s="460" t="s">
        <v>5060</v>
      </c>
      <c r="B44" s="452" t="s">
        <v>5053</v>
      </c>
      <c r="C44" s="452" t="s">
        <v>919</v>
      </c>
      <c r="D44" s="460" t="s">
        <v>911</v>
      </c>
      <c r="E44" s="446">
        <f>일위대가표!F270</f>
        <v>21463</v>
      </c>
      <c r="F44" s="453">
        <f>일위대가표!H270</f>
        <v>21365</v>
      </c>
      <c r="G44" s="454">
        <f>일위대가표!J270</f>
        <v>16</v>
      </c>
      <c r="H44" s="446">
        <f>일위대가표!L270</f>
        <v>82</v>
      </c>
      <c r="I44" s="482"/>
      <c r="J44" s="451" t="str">
        <f>"_x0007_`COD|B02829_x0005_`QTY1|1_x0005_`BQC|_x0005_`EQC|_x0005_`JDC|_x0005_`WQC|_x0005_`EDT|_x0005_`ADJ|F_x0005_`DET|"&amp;ROW(일위대가표!A263)&amp;"_x0005_`"</f>
        <v>_x0007_`COD|B02829_x0005_`QTY1|1_x0005_`BQC|_x0005_`EQC|_x0005_`JDC|_x0005_`WQC|_x0005_`EDT|_x0005_`ADJ|F_x0005_`DET|263_x0005_`</v>
      </c>
      <c r="K44" s="433" t="str">
        <f ca="1">HYPERLINK("#"&amp;일위대가표!N2&amp;"!A"&amp;ROW(일위대가표!A263),"B02829 →")</f>
        <v>B02829 →</v>
      </c>
    </row>
    <row r="45" spans="1:11" ht="25.7" customHeight="1">
      <c r="A45" s="460" t="s">
        <v>5063</v>
      </c>
      <c r="B45" s="452" t="s">
        <v>5053</v>
      </c>
      <c r="C45" s="452" t="s">
        <v>923</v>
      </c>
      <c r="D45" s="460" t="s">
        <v>911</v>
      </c>
      <c r="E45" s="446">
        <f>일위대가표!F278</f>
        <v>28619</v>
      </c>
      <c r="F45" s="453">
        <f>일위대가표!H278</f>
        <v>28487</v>
      </c>
      <c r="G45" s="454">
        <f>일위대가표!J278</f>
        <v>22</v>
      </c>
      <c r="H45" s="446">
        <f>일위대가표!L278</f>
        <v>110</v>
      </c>
      <c r="I45" s="482"/>
      <c r="J45" s="451" t="str">
        <f>"_x0007_`COD|B02830_x0005_`QTY1|1_x0005_`BQC|_x0005_`EQC|_x0005_`JDC|_x0005_`WQC|_x0005_`EDT|_x0005_`ADJ|F_x0005_`DET|"&amp;ROW(일위대가표!A271)&amp;"_x0005_`"</f>
        <v>_x0007_`COD|B02830_x0005_`QTY1|1_x0005_`BQC|_x0005_`EQC|_x0005_`JDC|_x0005_`WQC|_x0005_`EDT|_x0005_`ADJ|F_x0005_`DET|271_x0005_`</v>
      </c>
      <c r="K45" s="433" t="str">
        <f ca="1">HYPERLINK("#"&amp;일위대가표!N2&amp;"!A"&amp;ROW(일위대가표!A271),"B02830 →")</f>
        <v>B02830 →</v>
      </c>
    </row>
    <row r="46" spans="1:11" ht="25.7" customHeight="1">
      <c r="A46" s="460" t="s">
        <v>940</v>
      </c>
      <c r="B46" s="452" t="s">
        <v>5066</v>
      </c>
      <c r="C46" s="452" t="s">
        <v>910</v>
      </c>
      <c r="D46" s="460" t="s">
        <v>911</v>
      </c>
      <c r="E46" s="446">
        <f>일위대가표!F286</f>
        <v>15548</v>
      </c>
      <c r="F46" s="453">
        <f>일위대가표!H286</f>
        <v>15482</v>
      </c>
      <c r="G46" s="454">
        <f>일위대가표!J286</f>
        <v>11</v>
      </c>
      <c r="H46" s="446">
        <f>일위대가표!L286</f>
        <v>55</v>
      </c>
      <c r="I46" s="482"/>
      <c r="J46" s="451" t="str">
        <f>"_x0007_`COD|B02664_x0005_`QTY1|1_x0005_`BQC|_x0005_`EQC|_x0005_`JDC|_x0005_`WQC|_x0005_`EDT|_x0005_`ADJ|F_x0005_`DET|"&amp;ROW(일위대가표!A279)&amp;"_x0005_`"</f>
        <v>_x0007_`COD|B02664_x0005_`QTY1|1_x0005_`BQC|_x0005_`EQC|_x0005_`JDC|_x0005_`WQC|_x0005_`EDT|_x0005_`ADJ|F_x0005_`DET|279_x0005_`</v>
      </c>
      <c r="K46" s="433" t="str">
        <f ca="1">HYPERLINK("#"&amp;일위대가표!N2&amp;"!A"&amp;ROW(일위대가표!A279),"B02664 →")</f>
        <v>B02664 →</v>
      </c>
    </row>
    <row r="47" spans="1:11" ht="25.7" customHeight="1">
      <c r="A47" s="460" t="s">
        <v>943</v>
      </c>
      <c r="B47" s="452" t="s">
        <v>5066</v>
      </c>
      <c r="C47" s="452" t="s">
        <v>915</v>
      </c>
      <c r="D47" s="460" t="s">
        <v>911</v>
      </c>
      <c r="E47" s="446">
        <f>일위대가표!F294</f>
        <v>18658</v>
      </c>
      <c r="F47" s="453">
        <f>일위대가표!H294</f>
        <v>18579</v>
      </c>
      <c r="G47" s="454">
        <f>일위대가표!J294</f>
        <v>13</v>
      </c>
      <c r="H47" s="446">
        <f>일위대가표!L294</f>
        <v>66</v>
      </c>
      <c r="I47" s="482"/>
      <c r="J47" s="451" t="str">
        <f>"_x0007_`COD|B02665_x0005_`QTY1|1_x0005_`BQC|_x0005_`EQC|_x0005_`JDC|_x0005_`WQC|_x0005_`EDT|_x0005_`ADJ|F_x0005_`DET|"&amp;ROW(일위대가표!A287)&amp;"_x0005_`"</f>
        <v>_x0007_`COD|B02665_x0005_`QTY1|1_x0005_`BQC|_x0005_`EQC|_x0005_`JDC|_x0005_`WQC|_x0005_`EDT|_x0005_`ADJ|F_x0005_`DET|287_x0005_`</v>
      </c>
      <c r="K47" s="433" t="str">
        <f ca="1">HYPERLINK("#"&amp;일위대가표!N2&amp;"!A"&amp;ROW(일위대가표!A287),"B02665 →")</f>
        <v>B02665 →</v>
      </c>
    </row>
    <row r="48" spans="1:11" ht="25.7" customHeight="1">
      <c r="A48" s="460" t="s">
        <v>946</v>
      </c>
      <c r="B48" s="452" t="s">
        <v>5066</v>
      </c>
      <c r="C48" s="452" t="s">
        <v>919</v>
      </c>
      <c r="D48" s="460" t="s">
        <v>911</v>
      </c>
      <c r="E48" s="446">
        <f>일위대가표!F302</f>
        <v>23321</v>
      </c>
      <c r="F48" s="453">
        <f>일위대가표!H302</f>
        <v>23223</v>
      </c>
      <c r="G48" s="454">
        <f>일위대가표!J302</f>
        <v>16</v>
      </c>
      <c r="H48" s="446">
        <f>일위대가표!L302</f>
        <v>82</v>
      </c>
      <c r="I48" s="482"/>
      <c r="J48" s="451" t="str">
        <f>"_x0007_`COD|B02666_x0005_`QTY1|1_x0005_`BQC|_x0005_`EQC|_x0005_`JDC|_x0005_`WQC|_x0005_`EDT|_x0005_`ADJ|F_x0005_`DET|"&amp;ROW(일위대가표!A295)&amp;"_x0005_`"</f>
        <v>_x0007_`COD|B02666_x0005_`QTY1|1_x0005_`BQC|_x0005_`EQC|_x0005_`JDC|_x0005_`WQC|_x0005_`EDT|_x0005_`ADJ|F_x0005_`DET|295_x0005_`</v>
      </c>
      <c r="K48" s="433" t="str">
        <f ca="1">HYPERLINK("#"&amp;일위대가표!N2&amp;"!A"&amp;ROW(일위대가표!A295),"B02666 →")</f>
        <v>B02666 →</v>
      </c>
    </row>
    <row r="49" spans="1:11" ht="25.7" customHeight="1">
      <c r="A49" s="460" t="s">
        <v>949</v>
      </c>
      <c r="B49" s="452" t="s">
        <v>5066</v>
      </c>
      <c r="C49" s="452" t="s">
        <v>923</v>
      </c>
      <c r="D49" s="460" t="s">
        <v>911</v>
      </c>
      <c r="E49" s="446">
        <f>일위대가표!F310</f>
        <v>31097</v>
      </c>
      <c r="F49" s="453">
        <f>일위대가표!H310</f>
        <v>30965</v>
      </c>
      <c r="G49" s="454">
        <f>일위대가표!J310</f>
        <v>22</v>
      </c>
      <c r="H49" s="446">
        <f>일위대가표!L310</f>
        <v>110</v>
      </c>
      <c r="I49" s="482"/>
      <c r="J49" s="451" t="str">
        <f>"_x0007_`COD|B02667_x0005_`QTY1|1_x0005_`BQC|_x0005_`EQC|_x0005_`JDC|_x0005_`WQC|_x0005_`EDT|_x0005_`ADJ|F_x0005_`DET|"&amp;ROW(일위대가표!A303)&amp;"_x0005_`"</f>
        <v>_x0007_`COD|B02667_x0005_`QTY1|1_x0005_`BQC|_x0005_`EQC|_x0005_`JDC|_x0005_`WQC|_x0005_`EDT|_x0005_`ADJ|F_x0005_`DET|303_x0005_`</v>
      </c>
      <c r="K49" s="433" t="str">
        <f ca="1">HYPERLINK("#"&amp;일위대가표!N2&amp;"!A"&amp;ROW(일위대가표!A303),"B02667 →")</f>
        <v>B02667 →</v>
      </c>
    </row>
    <row r="50" spans="1:11" ht="25.7" customHeight="1">
      <c r="A50" s="460" t="s">
        <v>928</v>
      </c>
      <c r="B50" s="452" t="s">
        <v>927</v>
      </c>
      <c r="C50" s="452" t="s">
        <v>910</v>
      </c>
      <c r="D50" s="460" t="s">
        <v>911</v>
      </c>
      <c r="E50" s="446">
        <f>일위대가표!F317</f>
        <v>24904</v>
      </c>
      <c r="F50" s="453">
        <f>일위대가표!H317</f>
        <v>24772</v>
      </c>
      <c r="G50" s="454">
        <f>일위대가표!J317</f>
        <v>22</v>
      </c>
      <c r="H50" s="446">
        <f>일위대가표!L317</f>
        <v>110</v>
      </c>
      <c r="I50" s="482"/>
      <c r="J50" s="451" t="str">
        <f>"_x0007_`COD|B02627_x0005_`QTY1|1_x0005_`BQC|_x0005_`EQC|_x0005_`JDC|_x0005_`WQC|_x0005_`EDT|_x0005_`ADJ|F_x0005_`DET|"&amp;ROW(일위대가표!A311)&amp;"_x0005_`"</f>
        <v>_x0007_`COD|B02627_x0005_`QTY1|1_x0005_`BQC|_x0005_`EQC|_x0005_`JDC|_x0005_`WQC|_x0005_`EDT|_x0005_`ADJ|F_x0005_`DET|311_x0005_`</v>
      </c>
      <c r="K50" s="433" t="str">
        <f ca="1">HYPERLINK("#"&amp;일위대가표!N2&amp;"!A"&amp;ROW(일위대가표!A311),"B02627 →")</f>
        <v>B02627 →</v>
      </c>
    </row>
    <row r="51" spans="1:11" ht="25.7" customHeight="1">
      <c r="A51" s="460" t="s">
        <v>931</v>
      </c>
      <c r="B51" s="452" t="s">
        <v>927</v>
      </c>
      <c r="C51" s="452" t="s">
        <v>915</v>
      </c>
      <c r="D51" s="460" t="s">
        <v>911</v>
      </c>
      <c r="E51" s="446">
        <f>일위대가표!F324</f>
        <v>29884</v>
      </c>
      <c r="F51" s="453">
        <f>일위대가표!H324</f>
        <v>29726</v>
      </c>
      <c r="G51" s="454">
        <f>일위대가표!J324</f>
        <v>26</v>
      </c>
      <c r="H51" s="446">
        <f>일위대가표!L324</f>
        <v>132</v>
      </c>
      <c r="I51" s="482"/>
      <c r="J51" s="451" t="str">
        <f>"_x0007_`COD|B02626_x0005_`QTY1|1_x0005_`BQC|_x0005_`EQC|_x0005_`JDC|_x0005_`WQC|_x0005_`EDT|_x0005_`ADJ|F_x0005_`DET|"&amp;ROW(일위대가표!A318)&amp;"_x0005_`"</f>
        <v>_x0007_`COD|B02626_x0005_`QTY1|1_x0005_`BQC|_x0005_`EQC|_x0005_`JDC|_x0005_`WQC|_x0005_`EDT|_x0005_`ADJ|F_x0005_`DET|318_x0005_`</v>
      </c>
      <c r="K51" s="433" t="str">
        <f ca="1">HYPERLINK("#"&amp;일위대가표!N2&amp;"!A"&amp;ROW(일위대가표!A318),"B02626 →")</f>
        <v>B02626 →</v>
      </c>
    </row>
    <row r="52" spans="1:11" ht="25.7" customHeight="1">
      <c r="A52" s="460" t="s">
        <v>934</v>
      </c>
      <c r="B52" s="452" t="s">
        <v>927</v>
      </c>
      <c r="C52" s="452" t="s">
        <v>919</v>
      </c>
      <c r="D52" s="460" t="s">
        <v>911</v>
      </c>
      <c r="E52" s="446">
        <f>일위대가표!F331</f>
        <v>37356</v>
      </c>
      <c r="F52" s="453">
        <f>일위대가표!H331</f>
        <v>37158</v>
      </c>
      <c r="G52" s="454">
        <f>일위대가표!J331</f>
        <v>33</v>
      </c>
      <c r="H52" s="446">
        <f>일위대가표!L331</f>
        <v>165</v>
      </c>
      <c r="I52" s="482"/>
      <c r="J52" s="451" t="str">
        <f>"_x0007_`COD|B02020_x0005_`QTY1|1_x0005_`BQC|_x0005_`EQC|_x0005_`JDC|_x0005_`WQC|_x0005_`EDT|_x0005_`ADJ|F_x0005_`DET|"&amp;ROW(일위대가표!A325)&amp;"_x0005_`"</f>
        <v>_x0007_`COD|B02020_x0005_`QTY1|1_x0005_`BQC|_x0005_`EQC|_x0005_`JDC|_x0005_`WQC|_x0005_`EDT|_x0005_`ADJ|F_x0005_`DET|325_x0005_`</v>
      </c>
      <c r="K52" s="433" t="str">
        <f ca="1">HYPERLINK("#"&amp;일위대가표!N2&amp;"!A"&amp;ROW(일위대가표!A325),"B02020 →")</f>
        <v>B02020 →</v>
      </c>
    </row>
    <row r="53" spans="1:11" ht="25.7" customHeight="1">
      <c r="A53" s="460" t="s">
        <v>937</v>
      </c>
      <c r="B53" s="452" t="s">
        <v>927</v>
      </c>
      <c r="C53" s="452" t="s">
        <v>923</v>
      </c>
      <c r="D53" s="460" t="s">
        <v>911</v>
      </c>
      <c r="E53" s="446">
        <f>일위대가표!F338</f>
        <v>49808</v>
      </c>
      <c r="F53" s="453">
        <f>일위대가표!H338</f>
        <v>49544</v>
      </c>
      <c r="G53" s="454">
        <f>일위대가표!J338</f>
        <v>44</v>
      </c>
      <c r="H53" s="446">
        <f>일위대가표!L338</f>
        <v>220</v>
      </c>
      <c r="I53" s="482"/>
      <c r="J53" s="451" t="str">
        <f>"_x0007_`COD|B02628_x0005_`QTY1|1_x0005_`BQC|_x0005_`EQC|_x0005_`JDC|_x0005_`WQC|_x0005_`EDT|_x0005_`ADJ|F_x0005_`DET|"&amp;ROW(일위대가표!A332)&amp;"_x0005_`"</f>
        <v>_x0007_`COD|B02628_x0005_`QTY1|1_x0005_`BQC|_x0005_`EQC|_x0005_`JDC|_x0005_`WQC|_x0005_`EDT|_x0005_`ADJ|F_x0005_`DET|332_x0005_`</v>
      </c>
      <c r="K53" s="433" t="str">
        <f ca="1">HYPERLINK("#"&amp;일위대가표!N2&amp;"!A"&amp;ROW(일위대가표!A332),"B02628 →")</f>
        <v>B02628 →</v>
      </c>
    </row>
    <row r="54" spans="1:11" ht="25.7" customHeight="1">
      <c r="A54" s="460" t="s">
        <v>5040</v>
      </c>
      <c r="B54" s="452" t="s">
        <v>5039</v>
      </c>
      <c r="C54" s="452" t="s">
        <v>910</v>
      </c>
      <c r="D54" s="460" t="s">
        <v>911</v>
      </c>
      <c r="E54" s="446">
        <f>일위대가표!F346</f>
        <v>28619</v>
      </c>
      <c r="F54" s="453">
        <f>일위대가표!H346</f>
        <v>28487</v>
      </c>
      <c r="G54" s="454">
        <f>일위대가표!J346</f>
        <v>22</v>
      </c>
      <c r="H54" s="446">
        <f>일위대가표!L346</f>
        <v>110</v>
      </c>
      <c r="I54" s="482"/>
      <c r="J54" s="451" t="str">
        <f>"_x0007_`COD|B02823_x0005_`QTY1|1_x0005_`BQC|_x0005_`EQC|_x0005_`JDC|_x0005_`WQC|_x0005_`EDT|_x0005_`ADJ|F_x0005_`DET|"&amp;ROW(일위대가표!A339)&amp;"_x0005_`"</f>
        <v>_x0007_`COD|B02823_x0005_`QTY1|1_x0005_`BQC|_x0005_`EQC|_x0005_`JDC|_x0005_`WQC|_x0005_`EDT|_x0005_`ADJ|F_x0005_`DET|339_x0005_`</v>
      </c>
      <c r="K54" s="433" t="str">
        <f ca="1">HYPERLINK("#"&amp;일위대가표!N2&amp;"!A"&amp;ROW(일위대가표!A339),"B02823 →")</f>
        <v>B02823 →</v>
      </c>
    </row>
    <row r="55" spans="1:11" ht="25.7" customHeight="1">
      <c r="A55" s="460" t="s">
        <v>5043</v>
      </c>
      <c r="B55" s="452" t="s">
        <v>5039</v>
      </c>
      <c r="C55" s="452" t="s">
        <v>915</v>
      </c>
      <c r="D55" s="460" t="s">
        <v>911</v>
      </c>
      <c r="E55" s="446">
        <f>일위대가표!F354</f>
        <v>34343</v>
      </c>
      <c r="F55" s="453">
        <f>일위대가표!H354</f>
        <v>34185</v>
      </c>
      <c r="G55" s="454">
        <f>일위대가표!J354</f>
        <v>26</v>
      </c>
      <c r="H55" s="446">
        <f>일위대가표!L354</f>
        <v>132</v>
      </c>
      <c r="I55" s="482"/>
      <c r="J55" s="451" t="str">
        <f>"_x0007_`COD|B02824_x0005_`QTY1|1_x0005_`BQC|_x0005_`EQC|_x0005_`JDC|_x0005_`WQC|_x0005_`EDT|_x0005_`ADJ|F_x0005_`DET|"&amp;ROW(일위대가표!A347)&amp;"_x0005_`"</f>
        <v>_x0007_`COD|B02824_x0005_`QTY1|1_x0005_`BQC|_x0005_`EQC|_x0005_`JDC|_x0005_`WQC|_x0005_`EDT|_x0005_`ADJ|F_x0005_`DET|347_x0005_`</v>
      </c>
      <c r="K55" s="433" t="str">
        <f ca="1">HYPERLINK("#"&amp;일위대가표!N2&amp;"!A"&amp;ROW(일위대가표!A347),"B02824 →")</f>
        <v>B02824 →</v>
      </c>
    </row>
    <row r="56" spans="1:11" ht="25.7" customHeight="1">
      <c r="A56" s="460" t="s">
        <v>5046</v>
      </c>
      <c r="B56" s="452" t="s">
        <v>5039</v>
      </c>
      <c r="C56" s="452" t="s">
        <v>919</v>
      </c>
      <c r="D56" s="460" t="s">
        <v>911</v>
      </c>
      <c r="E56" s="446">
        <f>일위대가표!F362</f>
        <v>42929</v>
      </c>
      <c r="F56" s="453">
        <f>일위대가표!H362</f>
        <v>42731</v>
      </c>
      <c r="G56" s="454">
        <f>일위대가표!J362</f>
        <v>33</v>
      </c>
      <c r="H56" s="446">
        <f>일위대가표!L362</f>
        <v>165</v>
      </c>
      <c r="I56" s="482"/>
      <c r="J56" s="451" t="str">
        <f>"_x0007_`COD|B02825_x0005_`QTY1|1_x0005_`BQC|_x0005_`EQC|_x0005_`JDC|_x0005_`WQC|_x0005_`EDT|_x0005_`ADJ|F_x0005_`DET|"&amp;ROW(일위대가표!A355)&amp;"_x0005_`"</f>
        <v>_x0007_`COD|B02825_x0005_`QTY1|1_x0005_`BQC|_x0005_`EQC|_x0005_`JDC|_x0005_`WQC|_x0005_`EDT|_x0005_`ADJ|F_x0005_`DET|355_x0005_`</v>
      </c>
      <c r="K56" s="433" t="str">
        <f ca="1">HYPERLINK("#"&amp;일위대가표!N2&amp;"!A"&amp;ROW(일위대가표!A355),"B02825 →")</f>
        <v>B02825 →</v>
      </c>
    </row>
    <row r="57" spans="1:11" ht="25.7" customHeight="1">
      <c r="A57" s="460" t="s">
        <v>5049</v>
      </c>
      <c r="B57" s="452" t="s">
        <v>5039</v>
      </c>
      <c r="C57" s="452" t="s">
        <v>923</v>
      </c>
      <c r="D57" s="460" t="s">
        <v>911</v>
      </c>
      <c r="E57" s="446">
        <f>일위대가표!F370</f>
        <v>57240</v>
      </c>
      <c r="F57" s="453">
        <f>일위대가표!H370</f>
        <v>56976</v>
      </c>
      <c r="G57" s="454">
        <f>일위대가표!J370</f>
        <v>44</v>
      </c>
      <c r="H57" s="446">
        <f>일위대가표!L370</f>
        <v>220</v>
      </c>
      <c r="I57" s="482"/>
      <c r="J57" s="451" t="str">
        <f>"_x0007_`COD|B02826_x0005_`QTY1|1_x0005_`BQC|_x0005_`EQC|_x0005_`JDC|_x0005_`WQC|_x0005_`EDT|_x0005_`ADJ|F_x0005_`DET|"&amp;ROW(일위대가표!A363)&amp;"_x0005_`"</f>
        <v>_x0007_`COD|B02826_x0005_`QTY1|1_x0005_`BQC|_x0005_`EQC|_x0005_`JDC|_x0005_`WQC|_x0005_`EDT|_x0005_`ADJ|F_x0005_`DET|363_x0005_`</v>
      </c>
      <c r="K57" s="433" t="str">
        <f ca="1">HYPERLINK("#"&amp;일위대가표!N2&amp;"!A"&amp;ROW(일위대가표!A363),"B02826 →")</f>
        <v>B02826 →</v>
      </c>
    </row>
    <row r="58" spans="1:11" ht="25.7" customHeight="1">
      <c r="A58" s="460" t="s">
        <v>912</v>
      </c>
      <c r="B58" s="452" t="s">
        <v>5052</v>
      </c>
      <c r="C58" s="452" t="s">
        <v>910</v>
      </c>
      <c r="D58" s="460" t="s">
        <v>911</v>
      </c>
      <c r="E58" s="446">
        <f>일위대가표!F378</f>
        <v>31097</v>
      </c>
      <c r="F58" s="453">
        <f>일위대가표!H378</f>
        <v>30965</v>
      </c>
      <c r="G58" s="454">
        <f>일위대가표!J378</f>
        <v>22</v>
      </c>
      <c r="H58" s="446">
        <f>일위대가표!L378</f>
        <v>110</v>
      </c>
      <c r="I58" s="482"/>
      <c r="J58" s="451" t="str">
        <f>"_x0007_`COD|B02668_x0005_`QTY1|1_x0005_`BQC|_x0005_`EQC|_x0005_`JDC|_x0005_`WQC|_x0005_`EDT|_x0005_`ADJ|F_x0005_`DET|"&amp;ROW(일위대가표!A371)&amp;"_x0005_`"</f>
        <v>_x0007_`COD|B02668_x0005_`QTY1|1_x0005_`BQC|_x0005_`EQC|_x0005_`JDC|_x0005_`WQC|_x0005_`EDT|_x0005_`ADJ|F_x0005_`DET|371_x0005_`</v>
      </c>
      <c r="K58" s="433" t="str">
        <f ca="1">HYPERLINK("#"&amp;일위대가표!N2&amp;"!A"&amp;ROW(일위대가표!A371),"B02668 →")</f>
        <v>B02668 →</v>
      </c>
    </row>
    <row r="59" spans="1:11" ht="25.7" customHeight="1">
      <c r="A59" s="460" t="s">
        <v>916</v>
      </c>
      <c r="B59" s="452" t="s">
        <v>5052</v>
      </c>
      <c r="C59" s="452" t="s">
        <v>915</v>
      </c>
      <c r="D59" s="460" t="s">
        <v>911</v>
      </c>
      <c r="E59" s="446">
        <f>일위대가표!F386</f>
        <v>37316</v>
      </c>
      <c r="F59" s="453">
        <f>일위대가표!H386</f>
        <v>37158</v>
      </c>
      <c r="G59" s="454">
        <f>일위대가표!J386</f>
        <v>26</v>
      </c>
      <c r="H59" s="446">
        <f>일위대가표!L386</f>
        <v>132</v>
      </c>
      <c r="I59" s="482"/>
      <c r="J59" s="451" t="str">
        <f>"_x0007_`COD|B02669_x0005_`QTY1|1_x0005_`BQC|_x0005_`EQC|_x0005_`JDC|_x0005_`WQC|_x0005_`EDT|_x0005_`ADJ|F_x0005_`DET|"&amp;ROW(일위대가표!A379)&amp;"_x0005_`"</f>
        <v>_x0007_`COD|B02669_x0005_`QTY1|1_x0005_`BQC|_x0005_`EQC|_x0005_`JDC|_x0005_`WQC|_x0005_`EDT|_x0005_`ADJ|F_x0005_`DET|379_x0005_`</v>
      </c>
      <c r="K59" s="433" t="str">
        <f ca="1">HYPERLINK("#"&amp;일위대가표!N2&amp;"!A"&amp;ROW(일위대가표!A379),"B02669 →")</f>
        <v>B02669 →</v>
      </c>
    </row>
    <row r="60" spans="1:11" ht="25.7" customHeight="1">
      <c r="A60" s="460" t="s">
        <v>920</v>
      </c>
      <c r="B60" s="452" t="s">
        <v>5052</v>
      </c>
      <c r="C60" s="452" t="s">
        <v>919</v>
      </c>
      <c r="D60" s="460" t="s">
        <v>911</v>
      </c>
      <c r="E60" s="446">
        <f>일위대가표!F394</f>
        <v>46645</v>
      </c>
      <c r="F60" s="453">
        <f>일위대가표!H394</f>
        <v>46447</v>
      </c>
      <c r="G60" s="454">
        <f>일위대가표!J394</f>
        <v>33</v>
      </c>
      <c r="H60" s="446">
        <f>일위대가표!L394</f>
        <v>165</v>
      </c>
      <c r="I60" s="482"/>
      <c r="J60" s="451" t="str">
        <f>"_x0007_`COD|B02670_x0005_`QTY1|1_x0005_`BQC|_x0005_`EQC|_x0005_`JDC|_x0005_`WQC|_x0005_`EDT|_x0005_`ADJ|F_x0005_`DET|"&amp;ROW(일위대가표!A387)&amp;"_x0005_`"</f>
        <v>_x0007_`COD|B02670_x0005_`QTY1|1_x0005_`BQC|_x0005_`EQC|_x0005_`JDC|_x0005_`WQC|_x0005_`EDT|_x0005_`ADJ|F_x0005_`DET|387_x0005_`</v>
      </c>
      <c r="K60" s="433" t="str">
        <f ca="1">HYPERLINK("#"&amp;일위대가표!N2&amp;"!A"&amp;ROW(일위대가표!A387),"B02670 →")</f>
        <v>B02670 →</v>
      </c>
    </row>
    <row r="61" spans="1:11" ht="25.7" customHeight="1">
      <c r="A61" s="460" t="s">
        <v>924</v>
      </c>
      <c r="B61" s="452" t="s">
        <v>5052</v>
      </c>
      <c r="C61" s="452" t="s">
        <v>923</v>
      </c>
      <c r="D61" s="460" t="s">
        <v>911</v>
      </c>
      <c r="E61" s="446">
        <f>일위대가표!F402</f>
        <v>62194</v>
      </c>
      <c r="F61" s="453">
        <f>일위대가표!H402</f>
        <v>61930</v>
      </c>
      <c r="G61" s="454">
        <f>일위대가표!J402</f>
        <v>44</v>
      </c>
      <c r="H61" s="446">
        <f>일위대가표!L402</f>
        <v>220</v>
      </c>
      <c r="I61" s="482"/>
      <c r="J61" s="451" t="str">
        <f>"_x0007_`COD|B02671_x0005_`QTY1|1_x0005_`BQC|_x0005_`EQC|_x0005_`JDC|_x0005_`WQC|_x0005_`EDT|_x0005_`ADJ|F_x0005_`DET|"&amp;ROW(일위대가표!A395)&amp;"_x0005_`"</f>
        <v>_x0007_`COD|B02671_x0005_`QTY1|1_x0005_`BQC|_x0005_`EQC|_x0005_`JDC|_x0005_`WQC|_x0005_`EDT|_x0005_`ADJ|F_x0005_`DET|395_x0005_`</v>
      </c>
      <c r="K61" s="433" t="str">
        <f ca="1">HYPERLINK("#"&amp;일위대가표!N2&amp;"!A"&amp;ROW(일위대가표!A395),"B02671 →")</f>
        <v>B02671 →</v>
      </c>
    </row>
    <row r="62" spans="1:11" ht="25.7" customHeight="1">
      <c r="A62" s="460" t="s">
        <v>1318</v>
      </c>
      <c r="B62" s="452" t="s">
        <v>1317</v>
      </c>
      <c r="C62" s="452" t="s">
        <v>1313</v>
      </c>
      <c r="D62" s="460" t="s">
        <v>975</v>
      </c>
      <c r="E62" s="446">
        <f>일위대가표!F413</f>
        <v>523683</v>
      </c>
      <c r="F62" s="453">
        <f>일위대가표!H413</f>
        <v>76214</v>
      </c>
      <c r="G62" s="454">
        <f>일위대가표!J413</f>
        <v>447222</v>
      </c>
      <c r="H62" s="446">
        <f>일위대가표!L413</f>
        <v>247</v>
      </c>
      <c r="I62" s="482"/>
      <c r="J62" s="451" t="str">
        <f>"_x0007_`COD|B02625_x0005_`QTY1|1_x0005_`BQC|_x0005_`EQC|_x0005_`JDC|_x0005_`WQC|_x0005_`EDT|_x0005_`ADJ|F_x0005_`DET|"&amp;ROW(일위대가표!A403)&amp;"_x0005_`"</f>
        <v>_x0007_`COD|B02625_x0005_`QTY1|1_x0005_`BQC|_x0005_`EQC|_x0005_`JDC|_x0005_`WQC|_x0005_`EDT|_x0005_`ADJ|F_x0005_`DET|403_x0005_`</v>
      </c>
      <c r="K62" s="433" t="str">
        <f ca="1">HYPERLINK("#"&amp;일위대가표!N2&amp;"!A"&amp;ROW(일위대가표!A403),"B02625 →")</f>
        <v>B02625 →</v>
      </c>
    </row>
    <row r="63" spans="1:11" ht="25.7" customHeight="1">
      <c r="A63" s="460" t="s">
        <v>5194</v>
      </c>
      <c r="B63" s="452" t="s">
        <v>5193</v>
      </c>
      <c r="C63" s="452" t="s">
        <v>1313</v>
      </c>
      <c r="D63" s="460" t="s">
        <v>975</v>
      </c>
      <c r="E63" s="446">
        <f>일위대가표!F425</f>
        <v>535115</v>
      </c>
      <c r="F63" s="453">
        <f>일위대가표!H425</f>
        <v>87646</v>
      </c>
      <c r="G63" s="454">
        <f>일위대가표!J425</f>
        <v>447222</v>
      </c>
      <c r="H63" s="446">
        <f>일위대가표!L425</f>
        <v>247</v>
      </c>
      <c r="I63" s="482"/>
      <c r="J63" s="451" t="str">
        <f>"_x0007_`COD|B02865_x0005_`QTY1|1_x0005_`BQC|_x0005_`EQC|_x0005_`JDC|_x0005_`WQC|_x0005_`EDT|_x0005_`ADJ|F_x0005_`DET|"&amp;ROW(일위대가표!A414)&amp;"_x0005_`"</f>
        <v>_x0007_`COD|B02865_x0005_`QTY1|1_x0005_`BQC|_x0005_`EQC|_x0005_`JDC|_x0005_`WQC|_x0005_`EDT|_x0005_`ADJ|F_x0005_`DET|414_x0005_`</v>
      </c>
      <c r="K63" s="433" t="str">
        <f ca="1">HYPERLINK("#"&amp;일위대가표!N2&amp;"!A"&amp;ROW(일위대가표!A414),"B02865 →")</f>
        <v>B02865 →</v>
      </c>
    </row>
    <row r="64" spans="1:11" ht="25.7" customHeight="1">
      <c r="A64" s="460" t="s">
        <v>1314</v>
      </c>
      <c r="B64" s="452" t="s">
        <v>5197</v>
      </c>
      <c r="C64" s="452" t="s">
        <v>1313</v>
      </c>
      <c r="D64" s="460" t="s">
        <v>975</v>
      </c>
      <c r="E64" s="446">
        <f>일위대가표!F437</f>
        <v>542736</v>
      </c>
      <c r="F64" s="453">
        <f>일위대가표!H437</f>
        <v>95267</v>
      </c>
      <c r="G64" s="454">
        <f>일위대가표!J437</f>
        <v>447222</v>
      </c>
      <c r="H64" s="446">
        <f>일위대가표!L437</f>
        <v>247</v>
      </c>
      <c r="I64" s="482"/>
      <c r="J64" s="451" t="str">
        <f>"_x0007_`COD|B02624_x0005_`QTY1|1_x0005_`BQC|_x0005_`EQC|_x0005_`JDC|_x0005_`WQC|_x0005_`EDT|_x0005_`ADJ|F_x0005_`DET|"&amp;ROW(일위대가표!A426)&amp;"_x0005_`"</f>
        <v>_x0007_`COD|B02624_x0005_`QTY1|1_x0005_`BQC|_x0005_`EQC|_x0005_`JDC|_x0005_`WQC|_x0005_`EDT|_x0005_`ADJ|F_x0005_`DET|426_x0005_`</v>
      </c>
      <c r="K64" s="433" t="str">
        <f ca="1">HYPERLINK("#"&amp;일위대가표!N2&amp;"!A"&amp;ROW(일위대가표!A426),"B02624 →")</f>
        <v>B02624 →</v>
      </c>
    </row>
    <row r="65" spans="1:11" ht="25.7" customHeight="1">
      <c r="A65" s="460" t="s">
        <v>1766</v>
      </c>
      <c r="B65" s="452" t="s">
        <v>1765</v>
      </c>
      <c r="C65" s="452" t="s">
        <v>1761</v>
      </c>
      <c r="D65" s="460" t="s">
        <v>975</v>
      </c>
      <c r="E65" s="446">
        <f>일위대가표!F443</f>
        <v>46438</v>
      </c>
      <c r="F65" s="453">
        <f>일위대가표!H443</f>
        <v>46158</v>
      </c>
      <c r="G65" s="454">
        <f>일위대가표!J443</f>
        <v>0</v>
      </c>
      <c r="H65" s="446">
        <f>일위대가표!L443</f>
        <v>280</v>
      </c>
      <c r="I65" s="482"/>
      <c r="J65" s="451" t="str">
        <f>"_x0007_`COD|B02636_x0005_`QTY1|1_x0005_`BQC|_x0005_`EQC|_x0005_`JDC|_x0005_`WQC|_x0005_`EDT|_x0005_`ADJ|F_x0005_`DET|"&amp;ROW(일위대가표!A438)&amp;"_x0005_`"</f>
        <v>_x0007_`COD|B02636_x0005_`QTY1|1_x0005_`BQC|_x0005_`EQC|_x0005_`JDC|_x0005_`WQC|_x0005_`EDT|_x0005_`ADJ|F_x0005_`DET|438_x0005_`</v>
      </c>
      <c r="K65" s="433" t="str">
        <f ca="1">HYPERLINK("#"&amp;일위대가표!N2&amp;"!A"&amp;ROW(일위대가표!A438),"B02636 →")</f>
        <v>B02636 →</v>
      </c>
    </row>
    <row r="66" spans="1:11" ht="25.7" customHeight="1">
      <c r="A66" s="460" t="s">
        <v>5278</v>
      </c>
      <c r="B66" s="452" t="s">
        <v>5277</v>
      </c>
      <c r="C66" s="452" t="s">
        <v>1761</v>
      </c>
      <c r="D66" s="460" t="s">
        <v>975</v>
      </c>
      <c r="E66" s="446">
        <f>일위대가표!F450</f>
        <v>53362</v>
      </c>
      <c r="F66" s="453">
        <f>일위대가표!H450</f>
        <v>53082</v>
      </c>
      <c r="G66" s="454">
        <f>일위대가표!J450</f>
        <v>0</v>
      </c>
      <c r="H66" s="446">
        <f>일위대가표!L450</f>
        <v>280</v>
      </c>
      <c r="I66" s="482"/>
      <c r="J66" s="451" t="str">
        <f>"_x0007_`COD|B02885_x0005_`QTY1|1_x0005_`BQC|_x0005_`EQC|_x0005_`JDC|_x0005_`WQC|_x0005_`EDT|_x0005_`ADJ|F_x0005_`DET|"&amp;ROW(일위대가표!A444)&amp;"_x0005_`"</f>
        <v>_x0007_`COD|B02885_x0005_`QTY1|1_x0005_`BQC|_x0005_`EQC|_x0005_`JDC|_x0005_`WQC|_x0005_`EDT|_x0005_`ADJ|F_x0005_`DET|444_x0005_`</v>
      </c>
      <c r="K66" s="433" t="str">
        <f ca="1">HYPERLINK("#"&amp;일위대가표!N2&amp;"!A"&amp;ROW(일위대가표!A444),"B02885 →")</f>
        <v>B02885 →</v>
      </c>
    </row>
    <row r="67" spans="1:11" ht="25.7" customHeight="1">
      <c r="A67" s="460" t="s">
        <v>1762</v>
      </c>
      <c r="B67" s="452" t="s">
        <v>5281</v>
      </c>
      <c r="C67" s="452" t="s">
        <v>1761</v>
      </c>
      <c r="D67" s="460" t="s">
        <v>975</v>
      </c>
      <c r="E67" s="446">
        <f>일위대가표!F457</f>
        <v>57978</v>
      </c>
      <c r="F67" s="453">
        <f>일위대가표!H457</f>
        <v>57698</v>
      </c>
      <c r="G67" s="454">
        <f>일위대가표!J457</f>
        <v>0</v>
      </c>
      <c r="H67" s="446">
        <f>일위대가표!L457</f>
        <v>280</v>
      </c>
      <c r="I67" s="482"/>
      <c r="J67" s="451" t="str">
        <f>"_x0007_`COD|B02395_x0005_`QTY1|1_x0005_`BQC|_x0005_`EQC|_x0005_`JDC|_x0005_`WQC|_x0005_`EDT|_x0005_`ADJ|F_x0005_`DET|"&amp;ROW(일위대가표!A451)&amp;"_x0005_`"</f>
        <v>_x0007_`COD|B02395_x0005_`QTY1|1_x0005_`BQC|_x0005_`EQC|_x0005_`JDC|_x0005_`WQC|_x0005_`EDT|_x0005_`ADJ|F_x0005_`DET|451_x0005_`</v>
      </c>
      <c r="K67" s="433" t="str">
        <f ca="1">HYPERLINK("#"&amp;일위대가표!N2&amp;"!A"&amp;ROW(일위대가표!A451),"B02395 →")</f>
        <v>B02395 →</v>
      </c>
    </row>
    <row r="68" spans="1:11" ht="25.7" customHeight="1">
      <c r="A68" s="460" t="s">
        <v>1496</v>
      </c>
      <c r="B68" s="452" t="s">
        <v>1495</v>
      </c>
      <c r="C68" s="452" t="s">
        <v>1487</v>
      </c>
      <c r="D68" s="460" t="s">
        <v>975</v>
      </c>
      <c r="E68" s="446">
        <f>일위대가표!F462</f>
        <v>26436</v>
      </c>
      <c r="F68" s="453">
        <f>일위대가표!H462</f>
        <v>23441</v>
      </c>
      <c r="G68" s="454">
        <f>일위대가표!J462</f>
        <v>2484</v>
      </c>
      <c r="H68" s="446">
        <f>일위대가표!L462</f>
        <v>511</v>
      </c>
      <c r="I68" s="482"/>
      <c r="J68" s="451" t="str">
        <f>"_x0007_`COD|B02554_x0005_`QTY1|1_x0005_`BQC|_x0005_`EQC|_x0005_`JDC|_x0005_`WQC|_x0005_`EDT|_x0005_`ADJ|F_x0005_`DET|"&amp;ROW(일위대가표!A458)&amp;"_x0005_`"</f>
        <v>_x0007_`COD|B02554_x0005_`QTY1|1_x0005_`BQC|_x0005_`EQC|_x0005_`JDC|_x0005_`WQC|_x0005_`EDT|_x0005_`ADJ|F_x0005_`DET|458_x0005_`</v>
      </c>
      <c r="K68" s="433" t="str">
        <f ca="1">HYPERLINK("#"&amp;일위대가표!N2&amp;"!A"&amp;ROW(일위대가표!A458),"B02554 →")</f>
        <v>B02554 →</v>
      </c>
    </row>
    <row r="69" spans="1:11" ht="25.7" customHeight="1">
      <c r="A69" s="460" t="s">
        <v>1499</v>
      </c>
      <c r="B69" s="452" t="s">
        <v>1495</v>
      </c>
      <c r="C69" s="452" t="s">
        <v>1491</v>
      </c>
      <c r="D69" s="460" t="s">
        <v>975</v>
      </c>
      <c r="E69" s="446">
        <f>일위대가표!F467</f>
        <v>29742</v>
      </c>
      <c r="F69" s="453">
        <f>일위대가표!H467</f>
        <v>26372</v>
      </c>
      <c r="G69" s="454">
        <f>일위대가표!J467</f>
        <v>2795</v>
      </c>
      <c r="H69" s="446">
        <f>일위대가표!L467</f>
        <v>575</v>
      </c>
      <c r="I69" s="482"/>
      <c r="J69" s="451" t="str">
        <f>"_x0007_`COD|B02555_x0005_`QTY1|1_x0005_`BQC|_x0005_`EQC|_x0005_`JDC|_x0005_`WQC|_x0005_`EDT|_x0005_`ADJ|F_x0005_`DET|"&amp;ROW(일위대가표!A463)&amp;"_x0005_`"</f>
        <v>_x0007_`COD|B02555_x0005_`QTY1|1_x0005_`BQC|_x0005_`EQC|_x0005_`JDC|_x0005_`WQC|_x0005_`EDT|_x0005_`ADJ|F_x0005_`DET|463_x0005_`</v>
      </c>
      <c r="K69" s="433" t="str">
        <f ca="1">HYPERLINK("#"&amp;일위대가표!N2&amp;"!A"&amp;ROW(일위대가표!A463),"B02555 →")</f>
        <v>B02555 →</v>
      </c>
    </row>
    <row r="70" spans="1:11" ht="25.7" customHeight="1">
      <c r="A70" s="460" t="s">
        <v>1348</v>
      </c>
      <c r="B70" s="452" t="s">
        <v>1346</v>
      </c>
      <c r="C70" s="452" t="s">
        <v>1347</v>
      </c>
      <c r="D70" s="460" t="s">
        <v>975</v>
      </c>
      <c r="E70" s="446">
        <f>일위대가표!F471</f>
        <v>3415000</v>
      </c>
      <c r="F70" s="453">
        <f>일위대가표!H471</f>
        <v>0</v>
      </c>
      <c r="G70" s="454">
        <f>일위대가표!J471</f>
        <v>3415000</v>
      </c>
      <c r="H70" s="446">
        <f>일위대가표!L471</f>
        <v>0</v>
      </c>
      <c r="I70" s="482"/>
      <c r="J70" s="451" t="str">
        <f>"_x0007_`COD|B02532_x0005_`QTY1|1_x0005_`BQC|_x0005_`EQC|_x0005_`JDC|_x0005_`WQC|_x0005_`EDT|_x0005_`ADJ|F_x0005_`DET|"&amp;ROW(일위대가표!A468)&amp;"_x0005_`"</f>
        <v>_x0007_`COD|B02532_x0005_`QTY1|1_x0005_`BQC|_x0005_`EQC|_x0005_`JDC|_x0005_`WQC|_x0005_`EDT|_x0005_`ADJ|F_x0005_`DET|468_x0005_`</v>
      </c>
      <c r="K70" s="433" t="str">
        <f ca="1">HYPERLINK("#"&amp;일위대가표!N2&amp;"!A"&amp;ROW(일위대가표!A468),"B02532 →")</f>
        <v>B02532 →</v>
      </c>
    </row>
    <row r="71" spans="1:11" ht="25.7" customHeight="1">
      <c r="A71" s="460" t="s">
        <v>2300</v>
      </c>
      <c r="B71" s="452" t="s">
        <v>2301</v>
      </c>
      <c r="C71" s="452" t="s">
        <v>2302</v>
      </c>
      <c r="D71" s="460" t="s">
        <v>8</v>
      </c>
      <c r="E71" s="446">
        <f>일위대가표!F477</f>
        <v>220769</v>
      </c>
      <c r="F71" s="453">
        <f>일위대가표!H477</f>
        <v>73989</v>
      </c>
      <c r="G71" s="454">
        <f>일위대가표!J477</f>
        <v>146780</v>
      </c>
      <c r="H71" s="446">
        <f>일위대가표!L477</f>
        <v>0</v>
      </c>
      <c r="I71" s="482" t="s">
        <v>2303</v>
      </c>
      <c r="J71" s="451" t="str">
        <f>"_x0007_`COD|B01772_x0005_`QTY1|1_x0005_`BQC|건축9-1-1_x0005_`EQC|_x0005_`JDC|_x0005_`WQC|_x0005_`EDT|_x0005_`ADJ|F_x0005_`DET|"&amp;ROW(일위대가표!A472)&amp;"_x0005_`"</f>
        <v>_x0007_`COD|B01772_x0005_`QTY1|1_x0005_`BQC|건축9-1-1_x0005_`EQC|_x0005_`JDC|_x0005_`WQC|_x0005_`EDT|_x0005_`ADJ|F_x0005_`DET|472_x0005_`</v>
      </c>
      <c r="K71" s="433" t="str">
        <f ca="1">HYPERLINK("#"&amp;일위대가표!N2&amp;"!A"&amp;ROW(일위대가표!A472),"B01772 →")</f>
        <v>B01772 →</v>
      </c>
    </row>
    <row r="72" spans="1:11" ht="25.7" customHeight="1">
      <c r="A72" s="460" t="s">
        <v>1463</v>
      </c>
      <c r="B72" s="452" t="s">
        <v>1461</v>
      </c>
      <c r="C72" s="452" t="s">
        <v>1462</v>
      </c>
      <c r="D72" s="460" t="s">
        <v>8</v>
      </c>
      <c r="E72" s="446">
        <f>일위대가표!F482</f>
        <v>915052</v>
      </c>
      <c r="F72" s="453">
        <f>일위대가표!H482</f>
        <v>915052</v>
      </c>
      <c r="G72" s="454">
        <f>일위대가표!J482</f>
        <v>0</v>
      </c>
      <c r="H72" s="446">
        <f>일위대가표!L482</f>
        <v>0</v>
      </c>
      <c r="I72" s="482" t="s">
        <v>2304</v>
      </c>
      <c r="J72" s="451" t="str">
        <f>"_x0007_`COD|B01822_x0005_`QTY1|1_x0005_`BQC|조경적산5.3.1_x0005_`EQC|_x0005_`JDC|_x0005_`WQC|_x0005_`EDT|_x0005_`ADJ|F_x0005_`DET|"&amp;ROW(일위대가표!A478)&amp;"_x0005_`"</f>
        <v>_x0007_`COD|B01822_x0005_`QTY1|1_x0005_`BQC|조경적산5.3.1_x0005_`EQC|_x0005_`JDC|_x0005_`WQC|_x0005_`EDT|_x0005_`ADJ|F_x0005_`DET|478_x0005_`</v>
      </c>
      <c r="K72" s="433" t="str">
        <f ca="1">HYPERLINK("#"&amp;일위대가표!N2&amp;"!A"&amp;ROW(일위대가표!A478),"B01822 →")</f>
        <v>B01822 →</v>
      </c>
    </row>
    <row r="73" spans="1:11" ht="25.7" customHeight="1">
      <c r="A73" s="460" t="s">
        <v>1468</v>
      </c>
      <c r="B73" s="452" t="s">
        <v>1466</v>
      </c>
      <c r="C73" s="452" t="s">
        <v>1467</v>
      </c>
      <c r="D73" s="460" t="s">
        <v>8</v>
      </c>
      <c r="E73" s="446">
        <f>일위대가표!F487</f>
        <v>274515</v>
      </c>
      <c r="F73" s="453">
        <f>일위대가표!H487</f>
        <v>274515</v>
      </c>
      <c r="G73" s="454">
        <f>일위대가표!J487</f>
        <v>0</v>
      </c>
      <c r="H73" s="446">
        <f>일위대가표!L487</f>
        <v>0</v>
      </c>
      <c r="I73" s="482"/>
      <c r="J73" s="451" t="str">
        <f>"_x0007_`COD|B02396_x0005_`QTY1|1_x0005_`BQC|_x0005_`EQC|_x0005_`JDC|_x0005_`WQC|_x0005_`EDT|_x0005_`ADJ|F_x0005_`DET|"&amp;ROW(일위대가표!A483)&amp;"_x0005_`"</f>
        <v>_x0007_`COD|B02396_x0005_`QTY1|1_x0005_`BQC|_x0005_`EQC|_x0005_`JDC|_x0005_`WQC|_x0005_`EDT|_x0005_`ADJ|F_x0005_`DET|483_x0005_`</v>
      </c>
      <c r="K73" s="433" t="str">
        <f ca="1">HYPERLINK("#"&amp;일위대가표!N2&amp;"!A"&amp;ROW(일위대가표!A483),"B02396 →")</f>
        <v>B02396 →</v>
      </c>
    </row>
    <row r="74" spans="1:11" ht="25.7" customHeight="1">
      <c r="A74" s="460" t="s">
        <v>1008</v>
      </c>
      <c r="B74" s="452" t="s">
        <v>1004</v>
      </c>
      <c r="C74" s="452" t="s">
        <v>988</v>
      </c>
      <c r="D74" s="460" t="s">
        <v>984</v>
      </c>
      <c r="E74" s="446">
        <f>일위대가표!F496</f>
        <v>143582</v>
      </c>
      <c r="F74" s="453">
        <f>일위대가표!H496</f>
        <v>48297</v>
      </c>
      <c r="G74" s="454">
        <f>일위대가표!J496</f>
        <v>95285</v>
      </c>
      <c r="H74" s="446">
        <f>일위대가표!L496</f>
        <v>0</v>
      </c>
      <c r="I74" s="482"/>
      <c r="J74" s="451" t="str">
        <f>"_x0007_`COD|B02477_x0005_`QTY1|1_x0005_`BQC|_x0005_`EQC|_x0005_`JDC|_x0005_`WQC|_x0005_`EDT|_x0005_`ADJ|F_x0005_`DET|"&amp;ROW(일위대가표!A488)&amp;"_x0005_`"</f>
        <v>_x0007_`COD|B02477_x0005_`QTY1|1_x0005_`BQC|_x0005_`EQC|_x0005_`JDC|_x0005_`WQC|_x0005_`EDT|_x0005_`ADJ|F_x0005_`DET|488_x0005_`</v>
      </c>
      <c r="K74" s="433" t="str">
        <f ca="1">HYPERLINK("#"&amp;일위대가표!N2&amp;"!A"&amp;ROW(일위대가표!A488),"B02477 →")</f>
        <v>B02477 →</v>
      </c>
    </row>
    <row r="75" spans="1:11" ht="25.7" customHeight="1">
      <c r="A75" s="460" t="s">
        <v>1011</v>
      </c>
      <c r="B75" s="452" t="s">
        <v>1004</v>
      </c>
      <c r="C75" s="452" t="s">
        <v>992</v>
      </c>
      <c r="D75" s="460" t="s">
        <v>984</v>
      </c>
      <c r="E75" s="446">
        <f>일위대가표!F505</f>
        <v>171762</v>
      </c>
      <c r="F75" s="453">
        <f>일위대가표!H505</f>
        <v>58323</v>
      </c>
      <c r="G75" s="454">
        <f>일위대가표!J505</f>
        <v>113439</v>
      </c>
      <c r="H75" s="446">
        <f>일위대가표!L505</f>
        <v>0</v>
      </c>
      <c r="I75" s="482"/>
      <c r="J75" s="451" t="str">
        <f>"_x0007_`COD|B02478_x0005_`QTY1|1_x0005_`BQC|_x0005_`EQC|_x0005_`JDC|_x0005_`WQC|_x0005_`EDT|_x0005_`ADJ|F_x0005_`DET|"&amp;ROW(일위대가표!A497)&amp;"_x0005_`"</f>
        <v>_x0007_`COD|B02478_x0005_`QTY1|1_x0005_`BQC|_x0005_`EQC|_x0005_`JDC|_x0005_`WQC|_x0005_`EDT|_x0005_`ADJ|F_x0005_`DET|497_x0005_`</v>
      </c>
      <c r="K75" s="433" t="str">
        <f ca="1">HYPERLINK("#"&amp;일위대가표!N2&amp;"!A"&amp;ROW(일위대가표!A497),"B02478 →")</f>
        <v>B02478 →</v>
      </c>
    </row>
    <row r="76" spans="1:11" ht="25.7" customHeight="1">
      <c r="A76" s="460" t="s">
        <v>1014</v>
      </c>
      <c r="B76" s="452" t="s">
        <v>1004</v>
      </c>
      <c r="C76" s="452" t="s">
        <v>996</v>
      </c>
      <c r="D76" s="460" t="s">
        <v>984</v>
      </c>
      <c r="E76" s="446">
        <f>일위대가표!F514</f>
        <v>214552</v>
      </c>
      <c r="F76" s="453">
        <f>일위대가표!H514</f>
        <v>72494</v>
      </c>
      <c r="G76" s="454">
        <f>일위대가표!J514</f>
        <v>142058</v>
      </c>
      <c r="H76" s="446">
        <f>일위대가표!L514</f>
        <v>0</v>
      </c>
      <c r="I76" s="482"/>
      <c r="J76" s="451" t="str">
        <f>"_x0007_`COD|B02479_x0005_`QTY1|1_x0005_`BQC|_x0005_`EQC|_x0005_`JDC|_x0005_`WQC|_x0005_`EDT|_x0005_`ADJ|F_x0005_`DET|"&amp;ROW(일위대가표!A506)&amp;"_x0005_`"</f>
        <v>_x0007_`COD|B02479_x0005_`QTY1|1_x0005_`BQC|_x0005_`EQC|_x0005_`JDC|_x0005_`WQC|_x0005_`EDT|_x0005_`ADJ|F_x0005_`DET|506_x0005_`</v>
      </c>
      <c r="K76" s="433" t="str">
        <f ca="1">HYPERLINK("#"&amp;일위대가표!N2&amp;"!A"&amp;ROW(일위대가표!A506),"B02479 →")</f>
        <v>B02479 →</v>
      </c>
    </row>
    <row r="77" spans="1:11" ht="25.7" customHeight="1">
      <c r="A77" s="460" t="s">
        <v>1017</v>
      </c>
      <c r="B77" s="452" t="s">
        <v>1004</v>
      </c>
      <c r="C77" s="452" t="s">
        <v>1000</v>
      </c>
      <c r="D77" s="460" t="s">
        <v>984</v>
      </c>
      <c r="E77" s="446">
        <f>일위대가표!F523</f>
        <v>285437</v>
      </c>
      <c r="F77" s="453">
        <f>일위대가표!H523</f>
        <v>96594</v>
      </c>
      <c r="G77" s="454">
        <f>일위대가표!J523</f>
        <v>188843</v>
      </c>
      <c r="H77" s="446">
        <f>일위대가표!L523</f>
        <v>0</v>
      </c>
      <c r="I77" s="482"/>
      <c r="J77" s="451" t="str">
        <f>"_x0007_`COD|B02481_x0005_`QTY1|1_x0005_`BQC|_x0005_`EQC|_x0005_`JDC|_x0005_`WQC|_x0005_`EDT|_x0005_`ADJ|F_x0005_`DET|"&amp;ROW(일위대가표!A515)&amp;"_x0005_`"</f>
        <v>_x0007_`COD|B02481_x0005_`QTY1|1_x0005_`BQC|_x0005_`EQC|_x0005_`JDC|_x0005_`WQC|_x0005_`EDT|_x0005_`ADJ|F_x0005_`DET|515_x0005_`</v>
      </c>
      <c r="K77" s="433" t="str">
        <f ca="1">HYPERLINK("#"&amp;일위대가표!N2&amp;"!A"&amp;ROW(일위대가표!A515),"B02481 →")</f>
        <v>B02481 →</v>
      </c>
    </row>
    <row r="78" spans="1:11" ht="25.7" customHeight="1">
      <c r="A78" s="460" t="s">
        <v>1005</v>
      </c>
      <c r="B78" s="452" t="s">
        <v>1004</v>
      </c>
      <c r="C78" s="452" t="s">
        <v>983</v>
      </c>
      <c r="D78" s="460" t="s">
        <v>984</v>
      </c>
      <c r="E78" s="446">
        <f>일위대가표!F532</f>
        <v>114844</v>
      </c>
      <c r="F78" s="453">
        <f>일위대가표!H532</f>
        <v>38271</v>
      </c>
      <c r="G78" s="454">
        <f>일위대가표!J532</f>
        <v>76573</v>
      </c>
      <c r="H78" s="446">
        <f>일위대가표!L532</f>
        <v>0</v>
      </c>
      <c r="I78" s="482"/>
      <c r="J78" s="451" t="str">
        <f>"_x0007_`COD|B02476_x0005_`QTY1|1_x0005_`BQC|_x0005_`EQC|_x0005_`JDC|_x0005_`WQC|_x0005_`EDT|_x0005_`ADJ|F_x0005_`DET|"&amp;ROW(일위대가표!A524)&amp;"_x0005_`"</f>
        <v>_x0007_`COD|B02476_x0005_`QTY1|1_x0005_`BQC|_x0005_`EQC|_x0005_`JDC|_x0005_`WQC|_x0005_`EDT|_x0005_`ADJ|F_x0005_`DET|524_x0005_`</v>
      </c>
      <c r="K78" s="433" t="str">
        <f ca="1">HYPERLINK("#"&amp;일위대가표!N2&amp;"!A"&amp;ROW(일위대가표!A524),"B02476 →")</f>
        <v>B02476 →</v>
      </c>
    </row>
    <row r="79" spans="1:11" ht="25.7" customHeight="1">
      <c r="A79" s="460" t="s">
        <v>1030</v>
      </c>
      <c r="B79" s="452" t="s">
        <v>1029</v>
      </c>
      <c r="C79" s="452" t="s">
        <v>988</v>
      </c>
      <c r="D79" s="460" t="s">
        <v>984</v>
      </c>
      <c r="E79" s="446">
        <f>일위대가표!F540</f>
        <v>50030</v>
      </c>
      <c r="F79" s="453">
        <f>일위대가표!H540</f>
        <v>48297</v>
      </c>
      <c r="G79" s="454">
        <f>일위대가표!J540</f>
        <v>1733</v>
      </c>
      <c r="H79" s="446">
        <f>일위대가표!L540</f>
        <v>0</v>
      </c>
      <c r="I79" s="482"/>
      <c r="J79" s="451" t="str">
        <f>"_x0007_`COD|B02491_x0005_`QTY1|1_x0005_`BQC|_x0005_`EQC|_x0005_`JDC|_x0005_`WQC|_x0005_`EDT|_x0005_`ADJ|F_x0005_`DET|"&amp;ROW(일위대가표!A533)&amp;"_x0005_`"</f>
        <v>_x0007_`COD|B02491_x0005_`QTY1|1_x0005_`BQC|_x0005_`EQC|_x0005_`JDC|_x0005_`WQC|_x0005_`EDT|_x0005_`ADJ|F_x0005_`DET|533_x0005_`</v>
      </c>
      <c r="K79" s="433" t="str">
        <f ca="1">HYPERLINK("#"&amp;일위대가표!N2&amp;"!A"&amp;ROW(일위대가표!A533),"B02491 →")</f>
        <v>B02491 →</v>
      </c>
    </row>
    <row r="80" spans="1:11" ht="25.7" customHeight="1">
      <c r="A80" s="460" t="s">
        <v>1033</v>
      </c>
      <c r="B80" s="452" t="s">
        <v>1029</v>
      </c>
      <c r="C80" s="452" t="s">
        <v>992</v>
      </c>
      <c r="D80" s="460" t="s">
        <v>984</v>
      </c>
      <c r="E80" s="446">
        <f>일위대가표!F548</f>
        <v>60056</v>
      </c>
      <c r="F80" s="453">
        <f>일위대가표!H548</f>
        <v>58323</v>
      </c>
      <c r="G80" s="454">
        <f>일위대가표!J548</f>
        <v>1733</v>
      </c>
      <c r="H80" s="446">
        <f>일위대가표!L548</f>
        <v>0</v>
      </c>
      <c r="I80" s="482"/>
      <c r="J80" s="451" t="str">
        <f>"_x0007_`COD|B02492_x0005_`QTY1|1_x0005_`BQC|_x0005_`EQC|_x0005_`JDC|_x0005_`WQC|_x0005_`EDT|_x0005_`ADJ|F_x0005_`DET|"&amp;ROW(일위대가표!A541)&amp;"_x0005_`"</f>
        <v>_x0007_`COD|B02492_x0005_`QTY1|1_x0005_`BQC|_x0005_`EQC|_x0005_`JDC|_x0005_`WQC|_x0005_`EDT|_x0005_`ADJ|F_x0005_`DET|541_x0005_`</v>
      </c>
      <c r="K80" s="433" t="str">
        <f ca="1">HYPERLINK("#"&amp;일위대가표!N2&amp;"!A"&amp;ROW(일위대가표!A541),"B02492 →")</f>
        <v>B02492 →</v>
      </c>
    </row>
    <row r="81" spans="1:11" ht="25.7" customHeight="1">
      <c r="A81" s="460" t="s">
        <v>1036</v>
      </c>
      <c r="B81" s="452" t="s">
        <v>1029</v>
      </c>
      <c r="C81" s="452" t="s">
        <v>996</v>
      </c>
      <c r="D81" s="460" t="s">
        <v>984</v>
      </c>
      <c r="E81" s="446">
        <f>일위대가표!F556</f>
        <v>74227</v>
      </c>
      <c r="F81" s="453">
        <f>일위대가표!H556</f>
        <v>72494</v>
      </c>
      <c r="G81" s="454">
        <f>일위대가표!J556</f>
        <v>1733</v>
      </c>
      <c r="H81" s="446">
        <f>일위대가표!L556</f>
        <v>0</v>
      </c>
      <c r="I81" s="482"/>
      <c r="J81" s="451" t="str">
        <f>"_x0007_`COD|B02493_x0005_`QTY1|1_x0005_`BQC|_x0005_`EQC|_x0005_`JDC|_x0005_`WQC|_x0005_`EDT|_x0005_`ADJ|F_x0005_`DET|"&amp;ROW(일위대가표!A549)&amp;"_x0005_`"</f>
        <v>_x0007_`COD|B02493_x0005_`QTY1|1_x0005_`BQC|_x0005_`EQC|_x0005_`JDC|_x0005_`WQC|_x0005_`EDT|_x0005_`ADJ|F_x0005_`DET|549_x0005_`</v>
      </c>
      <c r="K81" s="433" t="str">
        <f ca="1">HYPERLINK("#"&amp;일위대가표!N2&amp;"!A"&amp;ROW(일위대가표!A549),"B02493 →")</f>
        <v>B02493 →</v>
      </c>
    </row>
    <row r="82" spans="1:11" ht="25.7" customHeight="1">
      <c r="A82" s="460" t="s">
        <v>5095</v>
      </c>
      <c r="B82" s="452" t="s">
        <v>5094</v>
      </c>
      <c r="C82" s="452" t="s">
        <v>988</v>
      </c>
      <c r="D82" s="460" t="s">
        <v>984</v>
      </c>
      <c r="E82" s="446">
        <f>일위대가표!F565</f>
        <v>57274</v>
      </c>
      <c r="F82" s="453">
        <f>일위대가표!H565</f>
        <v>55541</v>
      </c>
      <c r="G82" s="454">
        <f>일위대가표!J565</f>
        <v>1733</v>
      </c>
      <c r="H82" s="446">
        <f>일위대가표!L565</f>
        <v>0</v>
      </c>
      <c r="I82" s="482"/>
      <c r="J82" s="451" t="str">
        <f>"_x0007_`COD|B02838_x0005_`QTY1|1_x0005_`BQC|_x0005_`EQC|_x0005_`JDC|_x0005_`WQC|_x0005_`EDT|_x0005_`ADJ|F_x0005_`DET|"&amp;ROW(일위대가표!A557)&amp;"_x0005_`"</f>
        <v>_x0007_`COD|B02838_x0005_`QTY1|1_x0005_`BQC|_x0005_`EQC|_x0005_`JDC|_x0005_`WQC|_x0005_`EDT|_x0005_`ADJ|F_x0005_`DET|557_x0005_`</v>
      </c>
      <c r="K82" s="433" t="str">
        <f ca="1">HYPERLINK("#"&amp;일위대가표!N2&amp;"!A"&amp;ROW(일위대가표!A557),"B02838 →")</f>
        <v>B02838 →</v>
      </c>
    </row>
    <row r="83" spans="1:11" ht="25.7" customHeight="1">
      <c r="A83" s="460" t="s">
        <v>5098</v>
      </c>
      <c r="B83" s="452" t="s">
        <v>5094</v>
      </c>
      <c r="C83" s="452" t="s">
        <v>992</v>
      </c>
      <c r="D83" s="460" t="s">
        <v>984</v>
      </c>
      <c r="E83" s="446">
        <f>일위대가표!F574</f>
        <v>68804</v>
      </c>
      <c r="F83" s="453">
        <f>일위대가표!H574</f>
        <v>67071</v>
      </c>
      <c r="G83" s="454">
        <f>일위대가표!J574</f>
        <v>1733</v>
      </c>
      <c r="H83" s="446">
        <f>일위대가표!L574</f>
        <v>0</v>
      </c>
      <c r="I83" s="482"/>
      <c r="J83" s="451" t="str">
        <f>"_x0007_`COD|B02839_x0005_`QTY1|1_x0005_`BQC|_x0005_`EQC|_x0005_`JDC|_x0005_`WQC|_x0005_`EDT|_x0005_`ADJ|F_x0005_`DET|"&amp;ROW(일위대가표!A566)&amp;"_x0005_`"</f>
        <v>_x0007_`COD|B02839_x0005_`QTY1|1_x0005_`BQC|_x0005_`EQC|_x0005_`JDC|_x0005_`WQC|_x0005_`EDT|_x0005_`ADJ|F_x0005_`DET|566_x0005_`</v>
      </c>
      <c r="K83" s="433" t="str">
        <f ca="1">HYPERLINK("#"&amp;일위대가표!N2&amp;"!A"&amp;ROW(일위대가표!A566),"B02839 →")</f>
        <v>B02839 →</v>
      </c>
    </row>
    <row r="84" spans="1:11" ht="25.7" customHeight="1">
      <c r="A84" s="460" t="s">
        <v>5101</v>
      </c>
      <c r="B84" s="452" t="s">
        <v>5094</v>
      </c>
      <c r="C84" s="452" t="s">
        <v>996</v>
      </c>
      <c r="D84" s="460" t="s">
        <v>984</v>
      </c>
      <c r="E84" s="446">
        <f>일위대가표!F583</f>
        <v>85102</v>
      </c>
      <c r="F84" s="453">
        <f>일위대가표!H583</f>
        <v>83369</v>
      </c>
      <c r="G84" s="454">
        <f>일위대가표!J583</f>
        <v>1733</v>
      </c>
      <c r="H84" s="446">
        <f>일위대가표!L583</f>
        <v>0</v>
      </c>
      <c r="I84" s="482"/>
      <c r="J84" s="451" t="str">
        <f>"_x0007_`COD|B02840_x0005_`QTY1|1_x0005_`BQC|_x0005_`EQC|_x0005_`JDC|_x0005_`WQC|_x0005_`EDT|_x0005_`ADJ|F_x0005_`DET|"&amp;ROW(일위대가표!A575)&amp;"_x0005_`"</f>
        <v>_x0007_`COD|B02840_x0005_`QTY1|1_x0005_`BQC|_x0005_`EQC|_x0005_`JDC|_x0005_`WQC|_x0005_`EDT|_x0005_`ADJ|F_x0005_`DET|575_x0005_`</v>
      </c>
      <c r="K84" s="433" t="str">
        <f ca="1">HYPERLINK("#"&amp;일위대가표!N2&amp;"!A"&amp;ROW(일위대가표!A575),"B02840 →")</f>
        <v>B02840 →</v>
      </c>
    </row>
    <row r="85" spans="1:11" ht="25.7" customHeight="1">
      <c r="A85" s="460" t="s">
        <v>1020</v>
      </c>
      <c r="B85" s="452" t="s">
        <v>5104</v>
      </c>
      <c r="C85" s="452" t="s">
        <v>988</v>
      </c>
      <c r="D85" s="460" t="s">
        <v>984</v>
      </c>
      <c r="E85" s="446">
        <f>일위대가표!F592</f>
        <v>62104</v>
      </c>
      <c r="F85" s="453">
        <f>일위대가표!H592</f>
        <v>60371</v>
      </c>
      <c r="G85" s="454">
        <f>일위대가표!J592</f>
        <v>1733</v>
      </c>
      <c r="H85" s="446">
        <f>일위대가표!L592</f>
        <v>0</v>
      </c>
      <c r="I85" s="482"/>
      <c r="J85" s="451" t="str">
        <f>"_x0007_`COD|B02488_x0005_`QTY1|1_x0005_`BQC|_x0005_`EQC|_x0005_`JDC|_x0005_`WQC|_x0005_`EDT|_x0005_`ADJ|F_x0005_`DET|"&amp;ROW(일위대가표!A584)&amp;"_x0005_`"</f>
        <v>_x0007_`COD|B02488_x0005_`QTY1|1_x0005_`BQC|_x0005_`EQC|_x0005_`JDC|_x0005_`WQC|_x0005_`EDT|_x0005_`ADJ|F_x0005_`DET|584_x0005_`</v>
      </c>
      <c r="K85" s="433" t="str">
        <f ca="1">HYPERLINK("#"&amp;일위대가표!N2&amp;"!A"&amp;ROW(일위대가표!A584),"B02488 →")</f>
        <v>B02488 →</v>
      </c>
    </row>
    <row r="86" spans="1:11" ht="25.7" customHeight="1">
      <c r="A86" s="460" t="s">
        <v>1023</v>
      </c>
      <c r="B86" s="452" t="s">
        <v>5104</v>
      </c>
      <c r="C86" s="452" t="s">
        <v>992</v>
      </c>
      <c r="D86" s="460" t="s">
        <v>984</v>
      </c>
      <c r="E86" s="446">
        <f>일위대가표!F601</f>
        <v>74636</v>
      </c>
      <c r="F86" s="453">
        <f>일위대가표!H601</f>
        <v>72903</v>
      </c>
      <c r="G86" s="454">
        <f>일위대가표!J601</f>
        <v>1733</v>
      </c>
      <c r="H86" s="446">
        <f>일위대가표!L601</f>
        <v>0</v>
      </c>
      <c r="I86" s="482"/>
      <c r="J86" s="451" t="str">
        <f>"_x0007_`COD|B02489_x0005_`QTY1|1_x0005_`BQC|_x0005_`EQC|_x0005_`JDC|_x0005_`WQC|_x0005_`EDT|_x0005_`ADJ|F_x0005_`DET|"&amp;ROW(일위대가표!A593)&amp;"_x0005_`"</f>
        <v>_x0007_`COD|B02489_x0005_`QTY1|1_x0005_`BQC|_x0005_`EQC|_x0005_`JDC|_x0005_`WQC|_x0005_`EDT|_x0005_`ADJ|F_x0005_`DET|593_x0005_`</v>
      </c>
      <c r="K86" s="433" t="str">
        <f ca="1">HYPERLINK("#"&amp;일위대가표!N2&amp;"!A"&amp;ROW(일위대가표!A593),"B02489 →")</f>
        <v>B02489 →</v>
      </c>
    </row>
    <row r="87" spans="1:11" ht="25.7" customHeight="1">
      <c r="A87" s="460" t="s">
        <v>1026</v>
      </c>
      <c r="B87" s="452" t="s">
        <v>5104</v>
      </c>
      <c r="C87" s="452" t="s">
        <v>996</v>
      </c>
      <c r="D87" s="460" t="s">
        <v>984</v>
      </c>
      <c r="E87" s="446">
        <f>일위대가표!F610</f>
        <v>92351</v>
      </c>
      <c r="F87" s="453">
        <f>일위대가표!H610</f>
        <v>90618</v>
      </c>
      <c r="G87" s="454">
        <f>일위대가표!J610</f>
        <v>1733</v>
      </c>
      <c r="H87" s="446">
        <f>일위대가표!L610</f>
        <v>0</v>
      </c>
      <c r="I87" s="482"/>
      <c r="J87" s="451" t="str">
        <f>"_x0007_`COD|B02490_x0005_`QTY1|1_x0005_`BQC|_x0005_`EQC|_x0005_`JDC|_x0005_`WQC|_x0005_`EDT|_x0005_`ADJ|F_x0005_`DET|"&amp;ROW(일위대가표!A602)&amp;"_x0005_`"</f>
        <v>_x0007_`COD|B02490_x0005_`QTY1|1_x0005_`BQC|_x0005_`EQC|_x0005_`JDC|_x0005_`WQC|_x0005_`EDT|_x0005_`ADJ|F_x0005_`DET|602_x0005_`</v>
      </c>
      <c r="K87" s="433" t="str">
        <f ca="1">HYPERLINK("#"&amp;일위대가표!N2&amp;"!A"&amp;ROW(일위대가표!A602),"B02490 →")</f>
        <v>B02490 →</v>
      </c>
    </row>
    <row r="88" spans="1:11" ht="25.7" customHeight="1">
      <c r="A88" s="460" t="s">
        <v>1674</v>
      </c>
      <c r="B88" s="452" t="s">
        <v>1670</v>
      </c>
      <c r="C88" s="452" t="s">
        <v>988</v>
      </c>
      <c r="D88" s="460" t="s">
        <v>984</v>
      </c>
      <c r="E88" s="446">
        <f>일위대가표!F616</f>
        <v>17551</v>
      </c>
      <c r="F88" s="453">
        <f>일위대가표!H616</f>
        <v>17551</v>
      </c>
      <c r="G88" s="454">
        <f>일위대가표!J616</f>
        <v>0</v>
      </c>
      <c r="H88" s="446">
        <f>일위대가표!L616</f>
        <v>0</v>
      </c>
      <c r="I88" s="482"/>
      <c r="J88" s="451" t="str">
        <f>"_x0007_`COD|B02815_x0005_`QTY1|1_x0005_`BQC|_x0005_`EQC|_x0005_`JDC|_x0005_`WQC|_x0005_`EDT|_x0005_`ADJ|F_x0005_`DET|"&amp;ROW(일위대가표!A611)&amp;"_x0005_`"</f>
        <v>_x0007_`COD|B02815_x0005_`QTY1|1_x0005_`BQC|_x0005_`EQC|_x0005_`JDC|_x0005_`WQC|_x0005_`EDT|_x0005_`ADJ|F_x0005_`DET|611_x0005_`</v>
      </c>
      <c r="K88" s="433" t="str">
        <f ca="1">HYPERLINK("#"&amp;일위대가표!N2&amp;"!A"&amp;ROW(일위대가표!A611),"B02815 →")</f>
        <v>B02815 →</v>
      </c>
    </row>
    <row r="89" spans="1:11" ht="25.7" customHeight="1">
      <c r="A89" s="460" t="s">
        <v>1677</v>
      </c>
      <c r="B89" s="452" t="s">
        <v>1670</v>
      </c>
      <c r="C89" s="452" t="s">
        <v>992</v>
      </c>
      <c r="D89" s="460" t="s">
        <v>984</v>
      </c>
      <c r="E89" s="446">
        <f>일위대가표!F622</f>
        <v>21171</v>
      </c>
      <c r="F89" s="453">
        <f>일위대가표!H622</f>
        <v>21171</v>
      </c>
      <c r="G89" s="454">
        <f>일위대가표!J622</f>
        <v>0</v>
      </c>
      <c r="H89" s="446">
        <f>일위대가표!L622</f>
        <v>0</v>
      </c>
      <c r="I89" s="482"/>
      <c r="J89" s="451" t="str">
        <f>"_x0007_`COD|B02816_x0005_`QTY1|1_x0005_`BQC|_x0005_`EQC|_x0005_`JDC|_x0005_`WQC|_x0005_`EDT|_x0005_`ADJ|F_x0005_`DET|"&amp;ROW(일위대가표!A617)&amp;"_x0005_`"</f>
        <v>_x0007_`COD|B02816_x0005_`QTY1|1_x0005_`BQC|_x0005_`EQC|_x0005_`JDC|_x0005_`WQC|_x0005_`EDT|_x0005_`ADJ|F_x0005_`DET|617_x0005_`</v>
      </c>
      <c r="K89" s="433" t="str">
        <f ca="1">HYPERLINK("#"&amp;일위대가표!N2&amp;"!A"&amp;ROW(일위대가표!A617),"B02816 →")</f>
        <v>B02816 →</v>
      </c>
    </row>
    <row r="90" spans="1:11" ht="25.7" customHeight="1">
      <c r="A90" s="460" t="s">
        <v>1680</v>
      </c>
      <c r="B90" s="452" t="s">
        <v>1670</v>
      </c>
      <c r="C90" s="452" t="s">
        <v>996</v>
      </c>
      <c r="D90" s="460" t="s">
        <v>984</v>
      </c>
      <c r="E90" s="446">
        <f>일위대가표!F628</f>
        <v>26376</v>
      </c>
      <c r="F90" s="453">
        <f>일위대가표!H628</f>
        <v>26376</v>
      </c>
      <c r="G90" s="454">
        <f>일위대가표!J628</f>
        <v>0</v>
      </c>
      <c r="H90" s="446">
        <f>일위대가표!L628</f>
        <v>0</v>
      </c>
      <c r="I90" s="482"/>
      <c r="J90" s="451" t="str">
        <f>"_x0007_`COD|B02817_x0005_`QTY1|1_x0005_`BQC|_x0005_`EQC|_x0005_`JDC|_x0005_`WQC|_x0005_`EDT|_x0005_`ADJ|F_x0005_`DET|"&amp;ROW(일위대가표!A623)&amp;"_x0005_`"</f>
        <v>_x0007_`COD|B02817_x0005_`QTY1|1_x0005_`BQC|_x0005_`EQC|_x0005_`JDC|_x0005_`WQC|_x0005_`EDT|_x0005_`ADJ|F_x0005_`DET|623_x0005_`</v>
      </c>
      <c r="K90" s="433" t="str">
        <f ca="1">HYPERLINK("#"&amp;일위대가표!N2&amp;"!A"&amp;ROW(일위대가표!A623),"B02817 →")</f>
        <v>B02817 →</v>
      </c>
    </row>
    <row r="91" spans="1:11" ht="25.7" customHeight="1">
      <c r="A91" s="460" t="s">
        <v>1683</v>
      </c>
      <c r="B91" s="452" t="s">
        <v>1670</v>
      </c>
      <c r="C91" s="452" t="s">
        <v>1000</v>
      </c>
      <c r="D91" s="460" t="s">
        <v>984</v>
      </c>
      <c r="E91" s="446">
        <f>일위대가표!F634</f>
        <v>35103</v>
      </c>
      <c r="F91" s="453">
        <f>일위대가표!H634</f>
        <v>35103</v>
      </c>
      <c r="G91" s="454">
        <f>일위대가표!J634</f>
        <v>0</v>
      </c>
      <c r="H91" s="446">
        <f>일위대가표!L634</f>
        <v>0</v>
      </c>
      <c r="I91" s="482"/>
      <c r="J91" s="451" t="str">
        <f>"_x0007_`COD|B02818_x0005_`QTY1|1_x0005_`BQC|_x0005_`EQC|_x0005_`JDC|_x0005_`WQC|_x0005_`EDT|_x0005_`ADJ|F_x0005_`DET|"&amp;ROW(일위대가표!A629)&amp;"_x0005_`"</f>
        <v>_x0007_`COD|B02818_x0005_`QTY1|1_x0005_`BQC|_x0005_`EQC|_x0005_`JDC|_x0005_`WQC|_x0005_`EDT|_x0005_`ADJ|F_x0005_`DET|629_x0005_`</v>
      </c>
      <c r="K91" s="433" t="str">
        <f ca="1">HYPERLINK("#"&amp;일위대가표!N2&amp;"!A"&amp;ROW(일위대가표!A629),"B02818 →")</f>
        <v>B02818 →</v>
      </c>
    </row>
    <row r="92" spans="1:11" ht="25.7" customHeight="1">
      <c r="A92" s="460" t="s">
        <v>1671</v>
      </c>
      <c r="B92" s="452" t="s">
        <v>1670</v>
      </c>
      <c r="C92" s="452" t="s">
        <v>983</v>
      </c>
      <c r="D92" s="460" t="s">
        <v>984</v>
      </c>
      <c r="E92" s="446">
        <f>일위대가표!F640</f>
        <v>13931</v>
      </c>
      <c r="F92" s="453">
        <f>일위대가표!H640</f>
        <v>13931</v>
      </c>
      <c r="G92" s="454">
        <f>일위대가표!J640</f>
        <v>0</v>
      </c>
      <c r="H92" s="446">
        <f>일위대가표!L640</f>
        <v>0</v>
      </c>
      <c r="I92" s="482"/>
      <c r="J92" s="451" t="str">
        <f>"_x0007_`COD|B02814_x0005_`QTY1|1_x0005_`BQC|_x0005_`EQC|_x0005_`JDC|_x0005_`WQC|_x0005_`EDT|_x0005_`ADJ|F_x0005_`DET|"&amp;ROW(일위대가표!A635)&amp;"_x0005_`"</f>
        <v>_x0007_`COD|B02814_x0005_`QTY1|1_x0005_`BQC|_x0005_`EQC|_x0005_`JDC|_x0005_`WQC|_x0005_`EDT|_x0005_`ADJ|F_x0005_`DET|635_x0005_`</v>
      </c>
      <c r="K92" s="433" t="str">
        <f ca="1">HYPERLINK("#"&amp;일위대가표!N2&amp;"!A"&amp;ROW(일위대가표!A635),"B02814 →")</f>
        <v>B02814 →</v>
      </c>
    </row>
    <row r="93" spans="1:11" ht="25.7" customHeight="1">
      <c r="A93" s="460" t="s">
        <v>5224</v>
      </c>
      <c r="B93" s="452" t="s">
        <v>5220</v>
      </c>
      <c r="C93" s="452" t="s">
        <v>988</v>
      </c>
      <c r="D93" s="460" t="s">
        <v>984</v>
      </c>
      <c r="E93" s="446">
        <f>일위대가표!F647</f>
        <v>20184</v>
      </c>
      <c r="F93" s="453">
        <f>일위대가표!H647</f>
        <v>20184</v>
      </c>
      <c r="G93" s="454">
        <f>일위대가표!J647</f>
        <v>0</v>
      </c>
      <c r="H93" s="446">
        <f>일위대가표!L647</f>
        <v>0</v>
      </c>
      <c r="I93" s="482"/>
      <c r="J93" s="451" t="str">
        <f>"_x0007_`COD|B02871_x0005_`QTY1|1_x0005_`BQC|_x0005_`EQC|_x0005_`JDC|_x0005_`WQC|_x0005_`EDT|_x0005_`ADJ|F_x0005_`DET|"&amp;ROW(일위대가표!A641)&amp;"_x0005_`"</f>
        <v>_x0007_`COD|B02871_x0005_`QTY1|1_x0005_`BQC|_x0005_`EQC|_x0005_`JDC|_x0005_`WQC|_x0005_`EDT|_x0005_`ADJ|F_x0005_`DET|641_x0005_`</v>
      </c>
      <c r="K93" s="433" t="str">
        <f ca="1">HYPERLINK("#"&amp;일위대가표!N2&amp;"!A"&amp;ROW(일위대가표!A641),"B02871 →")</f>
        <v>B02871 →</v>
      </c>
    </row>
    <row r="94" spans="1:11" ht="25.7" customHeight="1">
      <c r="A94" s="460" t="s">
        <v>5227</v>
      </c>
      <c r="B94" s="452" t="s">
        <v>5220</v>
      </c>
      <c r="C94" s="452" t="s">
        <v>992</v>
      </c>
      <c r="D94" s="460" t="s">
        <v>984</v>
      </c>
      <c r="E94" s="446">
        <f>일위대가표!F654</f>
        <v>24347</v>
      </c>
      <c r="F94" s="453">
        <f>일위대가표!H654</f>
        <v>24347</v>
      </c>
      <c r="G94" s="454">
        <f>일위대가표!J654</f>
        <v>0</v>
      </c>
      <c r="H94" s="446">
        <f>일위대가표!L654</f>
        <v>0</v>
      </c>
      <c r="I94" s="482"/>
      <c r="J94" s="451" t="str">
        <f>"_x0007_`COD|B02872_x0005_`QTY1|1_x0005_`BQC|_x0005_`EQC|_x0005_`JDC|_x0005_`WQC|_x0005_`EDT|_x0005_`ADJ|F_x0005_`DET|"&amp;ROW(일위대가표!A648)&amp;"_x0005_`"</f>
        <v>_x0007_`COD|B02872_x0005_`QTY1|1_x0005_`BQC|_x0005_`EQC|_x0005_`JDC|_x0005_`WQC|_x0005_`EDT|_x0005_`ADJ|F_x0005_`DET|648_x0005_`</v>
      </c>
      <c r="K94" s="433" t="str">
        <f ca="1">HYPERLINK("#"&amp;일위대가표!N2&amp;"!A"&amp;ROW(일위대가표!A648),"B02872 →")</f>
        <v>B02872 →</v>
      </c>
    </row>
    <row r="95" spans="1:11" ht="25.7" customHeight="1">
      <c r="A95" s="460" t="s">
        <v>5230</v>
      </c>
      <c r="B95" s="452" t="s">
        <v>5220</v>
      </c>
      <c r="C95" s="452" t="s">
        <v>996</v>
      </c>
      <c r="D95" s="460" t="s">
        <v>984</v>
      </c>
      <c r="E95" s="446">
        <f>일위대가표!F661</f>
        <v>30332</v>
      </c>
      <c r="F95" s="453">
        <f>일위대가표!H661</f>
        <v>30332</v>
      </c>
      <c r="G95" s="454">
        <f>일위대가표!J661</f>
        <v>0</v>
      </c>
      <c r="H95" s="446">
        <f>일위대가표!L661</f>
        <v>0</v>
      </c>
      <c r="I95" s="482"/>
      <c r="J95" s="451" t="str">
        <f>"_x0007_`COD|B02873_x0005_`QTY1|1_x0005_`BQC|_x0005_`EQC|_x0005_`JDC|_x0005_`WQC|_x0005_`EDT|_x0005_`ADJ|F_x0005_`DET|"&amp;ROW(일위대가표!A655)&amp;"_x0005_`"</f>
        <v>_x0007_`COD|B02873_x0005_`QTY1|1_x0005_`BQC|_x0005_`EQC|_x0005_`JDC|_x0005_`WQC|_x0005_`EDT|_x0005_`ADJ|F_x0005_`DET|655_x0005_`</v>
      </c>
      <c r="K95" s="433" t="str">
        <f ca="1">HYPERLINK("#"&amp;일위대가표!N2&amp;"!A"&amp;ROW(일위대가표!A655),"B02873 →")</f>
        <v>B02873 →</v>
      </c>
    </row>
    <row r="96" spans="1:11" ht="25.7" customHeight="1">
      <c r="A96" s="460" t="s">
        <v>5233</v>
      </c>
      <c r="B96" s="452" t="s">
        <v>5220</v>
      </c>
      <c r="C96" s="452" t="s">
        <v>1000</v>
      </c>
      <c r="D96" s="460" t="s">
        <v>984</v>
      </c>
      <c r="E96" s="446">
        <f>일위대가표!F668</f>
        <v>40368</v>
      </c>
      <c r="F96" s="453">
        <f>일위대가표!H668</f>
        <v>40368</v>
      </c>
      <c r="G96" s="454">
        <f>일위대가표!J668</f>
        <v>0</v>
      </c>
      <c r="H96" s="446">
        <f>일위대가표!L668</f>
        <v>0</v>
      </c>
      <c r="I96" s="482"/>
      <c r="J96" s="451" t="str">
        <f>"_x0007_`COD|B02874_x0005_`QTY1|1_x0005_`BQC|_x0005_`EQC|_x0005_`JDC|_x0005_`WQC|_x0005_`EDT|_x0005_`ADJ|F_x0005_`DET|"&amp;ROW(일위대가표!A662)&amp;"_x0005_`"</f>
        <v>_x0007_`COD|B02874_x0005_`QTY1|1_x0005_`BQC|_x0005_`EQC|_x0005_`JDC|_x0005_`WQC|_x0005_`EDT|_x0005_`ADJ|F_x0005_`DET|662_x0005_`</v>
      </c>
      <c r="K96" s="433" t="str">
        <f ca="1">HYPERLINK("#"&amp;일위대가표!N2&amp;"!A"&amp;ROW(일위대가표!A662),"B02874 →")</f>
        <v>B02874 →</v>
      </c>
    </row>
    <row r="97" spans="1:11" ht="25.7" customHeight="1">
      <c r="A97" s="460" t="s">
        <v>5221</v>
      </c>
      <c r="B97" s="452" t="s">
        <v>5220</v>
      </c>
      <c r="C97" s="452" t="s">
        <v>983</v>
      </c>
      <c r="D97" s="460" t="s">
        <v>984</v>
      </c>
      <c r="E97" s="446">
        <f>일위대가표!F675</f>
        <v>16021</v>
      </c>
      <c r="F97" s="453">
        <f>일위대가표!H675</f>
        <v>16021</v>
      </c>
      <c r="G97" s="454">
        <f>일위대가표!J675</f>
        <v>0</v>
      </c>
      <c r="H97" s="446">
        <f>일위대가표!L675</f>
        <v>0</v>
      </c>
      <c r="I97" s="482"/>
      <c r="J97" s="451" t="str">
        <f>"_x0007_`COD|B02870_x0005_`QTY1|1_x0005_`BQC|_x0005_`EQC|_x0005_`JDC|_x0005_`WQC|_x0005_`EDT|_x0005_`ADJ|F_x0005_`DET|"&amp;ROW(일위대가표!A669)&amp;"_x0005_`"</f>
        <v>_x0007_`COD|B02870_x0005_`QTY1|1_x0005_`BQC|_x0005_`EQC|_x0005_`JDC|_x0005_`WQC|_x0005_`EDT|_x0005_`ADJ|F_x0005_`DET|669_x0005_`</v>
      </c>
      <c r="K97" s="433" t="str">
        <f ca="1">HYPERLINK("#"&amp;일위대가표!N2&amp;"!A"&amp;ROW(일위대가표!A669),"B02870 →")</f>
        <v>B02870 →</v>
      </c>
    </row>
    <row r="98" spans="1:11" ht="25.7" customHeight="1">
      <c r="A98" s="460" t="s">
        <v>1658</v>
      </c>
      <c r="B98" s="452" t="s">
        <v>5236</v>
      </c>
      <c r="C98" s="452" t="s">
        <v>988</v>
      </c>
      <c r="D98" s="460" t="s">
        <v>984</v>
      </c>
      <c r="E98" s="446">
        <f>일위대가표!F682</f>
        <v>21939</v>
      </c>
      <c r="F98" s="453">
        <f>일위대가표!H682</f>
        <v>21939</v>
      </c>
      <c r="G98" s="454">
        <f>일위대가표!J682</f>
        <v>0</v>
      </c>
      <c r="H98" s="446">
        <f>일위대가표!L682</f>
        <v>0</v>
      </c>
      <c r="I98" s="482"/>
      <c r="J98" s="451" t="str">
        <f>"_x0007_`COD|B02810_x0005_`QTY1|1_x0005_`BQC|_x0005_`EQC|_x0005_`JDC|_x0005_`WQC|_x0005_`EDT|_x0005_`ADJ|F_x0005_`DET|"&amp;ROW(일위대가표!A676)&amp;"_x0005_`"</f>
        <v>_x0007_`COD|B02810_x0005_`QTY1|1_x0005_`BQC|_x0005_`EQC|_x0005_`JDC|_x0005_`WQC|_x0005_`EDT|_x0005_`ADJ|F_x0005_`DET|676_x0005_`</v>
      </c>
      <c r="K98" s="433" t="str">
        <f ca="1">HYPERLINK("#"&amp;일위대가표!N2&amp;"!A"&amp;ROW(일위대가표!A676),"B02810 →")</f>
        <v>B02810 →</v>
      </c>
    </row>
    <row r="99" spans="1:11" ht="25.7" customHeight="1">
      <c r="A99" s="460" t="s">
        <v>1661</v>
      </c>
      <c r="B99" s="452" t="s">
        <v>5236</v>
      </c>
      <c r="C99" s="452" t="s">
        <v>992</v>
      </c>
      <c r="D99" s="460" t="s">
        <v>984</v>
      </c>
      <c r="E99" s="446">
        <f>일위대가표!F689</f>
        <v>26464</v>
      </c>
      <c r="F99" s="453">
        <f>일위대가표!H689</f>
        <v>26464</v>
      </c>
      <c r="G99" s="454">
        <f>일위대가표!J689</f>
        <v>0</v>
      </c>
      <c r="H99" s="446">
        <f>일위대가표!L689</f>
        <v>0</v>
      </c>
      <c r="I99" s="482"/>
      <c r="J99" s="451" t="str">
        <f>"_x0007_`COD|B02811_x0005_`QTY1|1_x0005_`BQC|_x0005_`EQC|_x0005_`JDC|_x0005_`WQC|_x0005_`EDT|_x0005_`ADJ|F_x0005_`DET|"&amp;ROW(일위대가표!A683)&amp;"_x0005_`"</f>
        <v>_x0007_`COD|B02811_x0005_`QTY1|1_x0005_`BQC|_x0005_`EQC|_x0005_`JDC|_x0005_`WQC|_x0005_`EDT|_x0005_`ADJ|F_x0005_`DET|683_x0005_`</v>
      </c>
      <c r="K99" s="433" t="str">
        <f ca="1">HYPERLINK("#"&amp;일위대가표!N2&amp;"!A"&amp;ROW(일위대가표!A683),"B02811 →")</f>
        <v>B02811 →</v>
      </c>
    </row>
    <row r="100" spans="1:11" ht="25.7" customHeight="1">
      <c r="A100" s="460" t="s">
        <v>1664</v>
      </c>
      <c r="B100" s="452" t="s">
        <v>5236</v>
      </c>
      <c r="C100" s="452" t="s">
        <v>996</v>
      </c>
      <c r="D100" s="460" t="s">
        <v>984</v>
      </c>
      <c r="E100" s="446">
        <f>일위대가표!F696</f>
        <v>32970</v>
      </c>
      <c r="F100" s="453">
        <f>일위대가표!H696</f>
        <v>32970</v>
      </c>
      <c r="G100" s="454">
        <f>일위대가표!J696</f>
        <v>0</v>
      </c>
      <c r="H100" s="446">
        <f>일위대가표!L696</f>
        <v>0</v>
      </c>
      <c r="I100" s="482"/>
      <c r="J100" s="451" t="str">
        <f>"_x0007_`COD|B02812_x0005_`QTY1|1_x0005_`BQC|_x0005_`EQC|_x0005_`JDC|_x0005_`WQC|_x0005_`EDT|_x0005_`ADJ|F_x0005_`DET|"&amp;ROW(일위대가표!A690)&amp;"_x0005_`"</f>
        <v>_x0007_`COD|B02812_x0005_`QTY1|1_x0005_`BQC|_x0005_`EQC|_x0005_`JDC|_x0005_`WQC|_x0005_`EDT|_x0005_`ADJ|F_x0005_`DET|690_x0005_`</v>
      </c>
      <c r="K100" s="433" t="str">
        <f ca="1">HYPERLINK("#"&amp;일위대가표!N2&amp;"!A"&amp;ROW(일위대가표!A690),"B02812 →")</f>
        <v>B02812 →</v>
      </c>
    </row>
    <row r="101" spans="1:11" ht="25.7" customHeight="1">
      <c r="A101" s="460" t="s">
        <v>1667</v>
      </c>
      <c r="B101" s="452" t="s">
        <v>5236</v>
      </c>
      <c r="C101" s="452" t="s">
        <v>1000</v>
      </c>
      <c r="D101" s="460" t="s">
        <v>984</v>
      </c>
      <c r="E101" s="446">
        <f>일위대가표!F703</f>
        <v>43879</v>
      </c>
      <c r="F101" s="453">
        <f>일위대가표!H703</f>
        <v>43879</v>
      </c>
      <c r="G101" s="454">
        <f>일위대가표!J703</f>
        <v>0</v>
      </c>
      <c r="H101" s="446">
        <f>일위대가표!L703</f>
        <v>0</v>
      </c>
      <c r="I101" s="482"/>
      <c r="J101" s="451" t="str">
        <f>"_x0007_`COD|B02813_x0005_`QTY1|1_x0005_`BQC|_x0005_`EQC|_x0005_`JDC|_x0005_`WQC|_x0005_`EDT|_x0005_`ADJ|F_x0005_`DET|"&amp;ROW(일위대가표!A697)&amp;"_x0005_`"</f>
        <v>_x0007_`COD|B02813_x0005_`QTY1|1_x0005_`BQC|_x0005_`EQC|_x0005_`JDC|_x0005_`WQC|_x0005_`EDT|_x0005_`ADJ|F_x0005_`DET|697_x0005_`</v>
      </c>
      <c r="K101" s="433" t="str">
        <f ca="1">HYPERLINK("#"&amp;일위대가표!N2&amp;"!A"&amp;ROW(일위대가표!A697),"B02813 →")</f>
        <v>B02813 →</v>
      </c>
    </row>
    <row r="102" spans="1:11" ht="25.7" customHeight="1">
      <c r="A102" s="460" t="s">
        <v>1655</v>
      </c>
      <c r="B102" s="452" t="s">
        <v>5236</v>
      </c>
      <c r="C102" s="452" t="s">
        <v>983</v>
      </c>
      <c r="D102" s="460" t="s">
        <v>984</v>
      </c>
      <c r="E102" s="446">
        <f>일위대가표!F710</f>
        <v>17414</v>
      </c>
      <c r="F102" s="453">
        <f>일위대가표!H710</f>
        <v>17414</v>
      </c>
      <c r="G102" s="454">
        <f>일위대가표!J710</f>
        <v>0</v>
      </c>
      <c r="H102" s="446">
        <f>일위대가표!L710</f>
        <v>0</v>
      </c>
      <c r="I102" s="482"/>
      <c r="J102" s="451" t="str">
        <f>"_x0007_`COD|B02809_x0005_`QTY1|1_x0005_`BQC|_x0005_`EQC|_x0005_`JDC|_x0005_`WQC|_x0005_`EDT|_x0005_`ADJ|F_x0005_`DET|"&amp;ROW(일위대가표!A704)&amp;"_x0005_`"</f>
        <v>_x0007_`COD|B02809_x0005_`QTY1|1_x0005_`BQC|_x0005_`EQC|_x0005_`JDC|_x0005_`WQC|_x0005_`EDT|_x0005_`ADJ|F_x0005_`DET|704_x0005_`</v>
      </c>
      <c r="K102" s="433" t="str">
        <f ca="1">HYPERLINK("#"&amp;일위대가표!N2&amp;"!A"&amp;ROW(일위대가표!A704),"B02809 →")</f>
        <v>B02809 →</v>
      </c>
    </row>
    <row r="103" spans="1:11" ht="25.7" customHeight="1">
      <c r="A103" s="460" t="s">
        <v>5081</v>
      </c>
      <c r="B103" s="452" t="s">
        <v>5077</v>
      </c>
      <c r="C103" s="452" t="s">
        <v>988</v>
      </c>
      <c r="D103" s="460" t="s">
        <v>984</v>
      </c>
      <c r="E103" s="446">
        <f>일위대가표!F720</f>
        <v>150826</v>
      </c>
      <c r="F103" s="453">
        <f>일위대가표!H720</f>
        <v>55541</v>
      </c>
      <c r="G103" s="454">
        <f>일위대가표!J720</f>
        <v>95285</v>
      </c>
      <c r="H103" s="446">
        <f>일위대가표!L720</f>
        <v>0</v>
      </c>
      <c r="I103" s="482"/>
      <c r="J103" s="451" t="str">
        <f>"_x0007_`COD|B02834_x0005_`QTY1|1_x0005_`BQC|_x0005_`EQC|_x0005_`JDC|_x0005_`WQC|_x0005_`EDT|_x0005_`ADJ|F_x0005_`DET|"&amp;ROW(일위대가표!A711)&amp;"_x0005_`"</f>
        <v>_x0007_`COD|B02834_x0005_`QTY1|1_x0005_`BQC|_x0005_`EQC|_x0005_`JDC|_x0005_`WQC|_x0005_`EDT|_x0005_`ADJ|F_x0005_`DET|711_x0005_`</v>
      </c>
      <c r="K103" s="433" t="str">
        <f ca="1">HYPERLINK("#"&amp;일위대가표!N2&amp;"!A"&amp;ROW(일위대가표!A711),"B02834 →")</f>
        <v>B02834 →</v>
      </c>
    </row>
    <row r="104" spans="1:11" ht="25.7" customHeight="1">
      <c r="A104" s="460" t="s">
        <v>5084</v>
      </c>
      <c r="B104" s="452" t="s">
        <v>5077</v>
      </c>
      <c r="C104" s="452" t="s">
        <v>992</v>
      </c>
      <c r="D104" s="460" t="s">
        <v>984</v>
      </c>
      <c r="E104" s="446">
        <f>일위대가표!F730</f>
        <v>180510</v>
      </c>
      <c r="F104" s="453">
        <f>일위대가표!H730</f>
        <v>67071</v>
      </c>
      <c r="G104" s="454">
        <f>일위대가표!J730</f>
        <v>113439</v>
      </c>
      <c r="H104" s="446">
        <f>일위대가표!L730</f>
        <v>0</v>
      </c>
      <c r="I104" s="482"/>
      <c r="J104" s="451" t="str">
        <f>"_x0007_`COD|B02835_x0005_`QTY1|1_x0005_`BQC|_x0005_`EQC|_x0005_`JDC|_x0005_`WQC|_x0005_`EDT|_x0005_`ADJ|F_x0005_`DET|"&amp;ROW(일위대가표!A721)&amp;"_x0005_`"</f>
        <v>_x0007_`COD|B02835_x0005_`QTY1|1_x0005_`BQC|_x0005_`EQC|_x0005_`JDC|_x0005_`WQC|_x0005_`EDT|_x0005_`ADJ|F_x0005_`DET|721_x0005_`</v>
      </c>
      <c r="K104" s="433" t="str">
        <f ca="1">HYPERLINK("#"&amp;일위대가표!N2&amp;"!A"&amp;ROW(일위대가표!A721),"B02835 →")</f>
        <v>B02835 →</v>
      </c>
    </row>
    <row r="105" spans="1:11" ht="25.7" customHeight="1">
      <c r="A105" s="460" t="s">
        <v>5087</v>
      </c>
      <c r="B105" s="452" t="s">
        <v>5077</v>
      </c>
      <c r="C105" s="452" t="s">
        <v>996</v>
      </c>
      <c r="D105" s="460" t="s">
        <v>984</v>
      </c>
      <c r="E105" s="446">
        <f>일위대가표!F740</f>
        <v>225427</v>
      </c>
      <c r="F105" s="453">
        <f>일위대가표!H740</f>
        <v>83369</v>
      </c>
      <c r="G105" s="454">
        <f>일위대가표!J740</f>
        <v>142058</v>
      </c>
      <c r="H105" s="446">
        <f>일위대가표!L740</f>
        <v>0</v>
      </c>
      <c r="I105" s="482"/>
      <c r="J105" s="451" t="str">
        <f>"_x0007_`COD|B02836_x0005_`QTY1|1_x0005_`BQC|_x0005_`EQC|_x0005_`JDC|_x0005_`WQC|_x0005_`EDT|_x0005_`ADJ|F_x0005_`DET|"&amp;ROW(일위대가표!A731)&amp;"_x0005_`"</f>
        <v>_x0007_`COD|B02836_x0005_`QTY1|1_x0005_`BQC|_x0005_`EQC|_x0005_`JDC|_x0005_`WQC|_x0005_`EDT|_x0005_`ADJ|F_x0005_`DET|731_x0005_`</v>
      </c>
      <c r="K105" s="433" t="str">
        <f ca="1">HYPERLINK("#"&amp;일위대가표!N2&amp;"!A"&amp;ROW(일위대가표!A731),"B02836 →")</f>
        <v>B02836 →</v>
      </c>
    </row>
    <row r="106" spans="1:11" ht="25.7" customHeight="1">
      <c r="A106" s="460" t="s">
        <v>5090</v>
      </c>
      <c r="B106" s="452" t="s">
        <v>5077</v>
      </c>
      <c r="C106" s="452" t="s">
        <v>1000</v>
      </c>
      <c r="D106" s="460" t="s">
        <v>984</v>
      </c>
      <c r="E106" s="446">
        <f>일위대가표!F750</f>
        <v>299927</v>
      </c>
      <c r="F106" s="453">
        <f>일위대가표!H750</f>
        <v>111084</v>
      </c>
      <c r="G106" s="454">
        <f>일위대가표!J750</f>
        <v>188843</v>
      </c>
      <c r="H106" s="446">
        <f>일위대가표!L750</f>
        <v>0</v>
      </c>
      <c r="I106" s="482"/>
      <c r="J106" s="451" t="str">
        <f>"_x0007_`COD|B02837_x0005_`QTY1|1_x0005_`BQC|_x0005_`EQC|_x0005_`JDC|_x0005_`WQC|_x0005_`EDT|_x0005_`ADJ|F_x0005_`DET|"&amp;ROW(일위대가표!A741)&amp;"_x0005_`"</f>
        <v>_x0007_`COD|B02837_x0005_`QTY1|1_x0005_`BQC|_x0005_`EQC|_x0005_`JDC|_x0005_`WQC|_x0005_`EDT|_x0005_`ADJ|F_x0005_`DET|741_x0005_`</v>
      </c>
      <c r="K106" s="433" t="str">
        <f ca="1">HYPERLINK("#"&amp;일위대가표!N2&amp;"!A"&amp;ROW(일위대가표!A741),"B02837 →")</f>
        <v>B02837 →</v>
      </c>
    </row>
    <row r="107" spans="1:11" ht="25.7" customHeight="1">
      <c r="A107" s="460" t="s">
        <v>5078</v>
      </c>
      <c r="B107" s="452" t="s">
        <v>5077</v>
      </c>
      <c r="C107" s="452" t="s">
        <v>983</v>
      </c>
      <c r="D107" s="460" t="s">
        <v>984</v>
      </c>
      <c r="E107" s="446">
        <f>일위대가표!F760</f>
        <v>120585</v>
      </c>
      <c r="F107" s="453">
        <f>일위대가표!H760</f>
        <v>44012</v>
      </c>
      <c r="G107" s="454">
        <f>일위대가표!J760</f>
        <v>76573</v>
      </c>
      <c r="H107" s="446">
        <f>일위대가표!L760</f>
        <v>0</v>
      </c>
      <c r="I107" s="482"/>
      <c r="J107" s="451" t="str">
        <f>"_x0007_`COD|B02833_x0005_`QTY1|1_x0005_`BQC|_x0005_`EQC|_x0005_`JDC|_x0005_`WQC|_x0005_`EDT|_x0005_`ADJ|F_x0005_`DET|"&amp;ROW(일위대가표!A751)&amp;"_x0005_`"</f>
        <v>_x0007_`COD|B02833_x0005_`QTY1|1_x0005_`BQC|_x0005_`EQC|_x0005_`JDC|_x0005_`WQC|_x0005_`EDT|_x0005_`ADJ|F_x0005_`DET|751_x0005_`</v>
      </c>
      <c r="K107" s="433" t="str">
        <f ca="1">HYPERLINK("#"&amp;일위대가표!N2&amp;"!A"&amp;ROW(일위대가표!A751),"B02833 →")</f>
        <v>B02833 →</v>
      </c>
    </row>
    <row r="108" spans="1:11" ht="25.7" customHeight="1">
      <c r="A108" s="460" t="s">
        <v>989</v>
      </c>
      <c r="B108" s="452" t="s">
        <v>5093</v>
      </c>
      <c r="C108" s="452" t="s">
        <v>988</v>
      </c>
      <c r="D108" s="460" t="s">
        <v>984</v>
      </c>
      <c r="E108" s="446">
        <f>일위대가표!F770</f>
        <v>155656</v>
      </c>
      <c r="F108" s="453">
        <f>일위대가표!H770</f>
        <v>60371</v>
      </c>
      <c r="G108" s="454">
        <f>일위대가표!J770</f>
        <v>95285</v>
      </c>
      <c r="H108" s="446">
        <f>일위대가표!L770</f>
        <v>0</v>
      </c>
      <c r="I108" s="482"/>
      <c r="J108" s="451" t="str">
        <f>"_x0007_`COD|B02386_x0005_`QTY1|1_x0005_`BQC|_x0005_`EQC|_x0005_`JDC|_x0005_`WQC|_x0005_`EDT|_x0005_`ADJ|F_x0005_`DET|"&amp;ROW(일위대가표!A761)&amp;"_x0005_`"</f>
        <v>_x0007_`COD|B02386_x0005_`QTY1|1_x0005_`BQC|_x0005_`EQC|_x0005_`JDC|_x0005_`WQC|_x0005_`EDT|_x0005_`ADJ|F_x0005_`DET|761_x0005_`</v>
      </c>
      <c r="K108" s="433" t="str">
        <f ca="1">HYPERLINK("#"&amp;일위대가표!N2&amp;"!A"&amp;ROW(일위대가표!A761),"B02386 →")</f>
        <v>B02386 →</v>
      </c>
    </row>
    <row r="109" spans="1:11" ht="25.7" customHeight="1">
      <c r="A109" s="460" t="s">
        <v>993</v>
      </c>
      <c r="B109" s="452" t="s">
        <v>5093</v>
      </c>
      <c r="C109" s="452" t="s">
        <v>992</v>
      </c>
      <c r="D109" s="460" t="s">
        <v>984</v>
      </c>
      <c r="E109" s="446">
        <f>일위대가표!F780</f>
        <v>186342</v>
      </c>
      <c r="F109" s="453">
        <f>일위대가표!H780</f>
        <v>72903</v>
      </c>
      <c r="G109" s="454">
        <f>일위대가표!J780</f>
        <v>113439</v>
      </c>
      <c r="H109" s="446">
        <f>일위대가표!L780</f>
        <v>0</v>
      </c>
      <c r="I109" s="482"/>
      <c r="J109" s="451" t="str">
        <f>"_x0007_`COD|B02260_x0005_`QTY1|1_x0005_`BQC|_x0005_`EQC|_x0005_`JDC|_x0005_`WQC|_x0005_`EDT|_x0005_`ADJ|F_x0005_`DET|"&amp;ROW(일위대가표!A771)&amp;"_x0005_`"</f>
        <v>_x0007_`COD|B02260_x0005_`QTY1|1_x0005_`BQC|_x0005_`EQC|_x0005_`JDC|_x0005_`WQC|_x0005_`EDT|_x0005_`ADJ|F_x0005_`DET|771_x0005_`</v>
      </c>
      <c r="K109" s="433" t="str">
        <f ca="1">HYPERLINK("#"&amp;일위대가표!N2&amp;"!A"&amp;ROW(일위대가표!A771),"B02260 →")</f>
        <v>B02260 →</v>
      </c>
    </row>
    <row r="110" spans="1:11" ht="25.7" customHeight="1">
      <c r="A110" s="460" t="s">
        <v>997</v>
      </c>
      <c r="B110" s="452" t="s">
        <v>5093</v>
      </c>
      <c r="C110" s="452" t="s">
        <v>996</v>
      </c>
      <c r="D110" s="460" t="s">
        <v>984</v>
      </c>
      <c r="E110" s="446">
        <f>일위대가표!F790</f>
        <v>232676</v>
      </c>
      <c r="F110" s="453">
        <f>일위대가표!H790</f>
        <v>90618</v>
      </c>
      <c r="G110" s="454">
        <f>일위대가표!J790</f>
        <v>142058</v>
      </c>
      <c r="H110" s="446">
        <f>일위대가표!L790</f>
        <v>0</v>
      </c>
      <c r="I110" s="482"/>
      <c r="J110" s="451" t="str">
        <f>"_x0007_`COD|B02249_x0005_`QTY1|1_x0005_`BQC|_x0005_`EQC|_x0005_`JDC|_x0005_`WQC|_x0005_`EDT|_x0005_`ADJ|F_x0005_`DET|"&amp;ROW(일위대가표!A781)&amp;"_x0005_`"</f>
        <v>_x0007_`COD|B02249_x0005_`QTY1|1_x0005_`BQC|_x0005_`EQC|_x0005_`JDC|_x0005_`WQC|_x0005_`EDT|_x0005_`ADJ|F_x0005_`DET|781_x0005_`</v>
      </c>
      <c r="K110" s="433" t="str">
        <f ca="1">HYPERLINK("#"&amp;일위대가표!N2&amp;"!A"&amp;ROW(일위대가표!A781),"B02249 →")</f>
        <v>B02249 →</v>
      </c>
    </row>
    <row r="111" spans="1:11" ht="25.7" customHeight="1">
      <c r="A111" s="460" t="s">
        <v>1001</v>
      </c>
      <c r="B111" s="452" t="s">
        <v>5093</v>
      </c>
      <c r="C111" s="452" t="s">
        <v>1000</v>
      </c>
      <c r="D111" s="460" t="s">
        <v>984</v>
      </c>
      <c r="E111" s="446">
        <f>일위대가표!F800</f>
        <v>309586</v>
      </c>
      <c r="F111" s="453">
        <f>일위대가표!H800</f>
        <v>120743</v>
      </c>
      <c r="G111" s="454">
        <f>일위대가표!J800</f>
        <v>188843</v>
      </c>
      <c r="H111" s="446">
        <f>일위대가표!L800</f>
        <v>0</v>
      </c>
      <c r="I111" s="482"/>
      <c r="J111" s="451" t="str">
        <f>"_x0007_`COD|B02416_x0005_`QTY1|1_x0005_`BQC|_x0005_`EQC|_x0005_`JDC|_x0005_`WQC|_x0005_`EDT|_x0005_`ADJ|F_x0005_`DET|"&amp;ROW(일위대가표!A791)&amp;"_x0005_`"</f>
        <v>_x0007_`COD|B02416_x0005_`QTY1|1_x0005_`BQC|_x0005_`EQC|_x0005_`JDC|_x0005_`WQC|_x0005_`EDT|_x0005_`ADJ|F_x0005_`DET|791_x0005_`</v>
      </c>
      <c r="K111" s="433" t="str">
        <f ca="1">HYPERLINK("#"&amp;일위대가표!N2&amp;"!A"&amp;ROW(일위대가표!A791),"B02416 →")</f>
        <v>B02416 →</v>
      </c>
    </row>
    <row r="112" spans="1:11" ht="25.7" customHeight="1">
      <c r="A112" s="460" t="s">
        <v>985</v>
      </c>
      <c r="B112" s="452" t="s">
        <v>5093</v>
      </c>
      <c r="C112" s="452" t="s">
        <v>983</v>
      </c>
      <c r="D112" s="460" t="s">
        <v>984</v>
      </c>
      <c r="E112" s="446">
        <f>일위대가표!F810</f>
        <v>124412</v>
      </c>
      <c r="F112" s="453">
        <f>일위대가표!H810</f>
        <v>47839</v>
      </c>
      <c r="G112" s="454">
        <f>일위대가표!J810</f>
        <v>76573</v>
      </c>
      <c r="H112" s="446">
        <f>일위대가표!L810</f>
        <v>0</v>
      </c>
      <c r="I112" s="482"/>
      <c r="J112" s="451" t="str">
        <f>"_x0007_`COD|B02387_x0005_`QTY1|1_x0005_`BQC|_x0005_`EQC|_x0005_`JDC|_x0005_`WQC|_x0005_`EDT|_x0005_`ADJ|F_x0005_`DET|"&amp;ROW(일위대가표!A801)&amp;"_x0005_`"</f>
        <v>_x0007_`COD|B02387_x0005_`QTY1|1_x0005_`BQC|_x0005_`EQC|_x0005_`JDC|_x0005_`WQC|_x0005_`EDT|_x0005_`ADJ|F_x0005_`DET|801_x0005_`</v>
      </c>
      <c r="K112" s="433" t="str">
        <f ca="1">HYPERLINK("#"&amp;일위대가표!N2&amp;"!A"&amp;ROW(일위대가표!A801),"B02387 →")</f>
        <v>B02387 →</v>
      </c>
    </row>
    <row r="113" spans="1:11" ht="25.7" customHeight="1">
      <c r="A113" s="460" t="s">
        <v>2305</v>
      </c>
      <c r="B113" s="452" t="s">
        <v>1507</v>
      </c>
      <c r="C113" s="452" t="s">
        <v>2306</v>
      </c>
      <c r="D113" s="460" t="s">
        <v>595</v>
      </c>
      <c r="E113" s="446">
        <f>일위대가표!F816</f>
        <v>1802</v>
      </c>
      <c r="F113" s="453">
        <f>일위대가표!H816</f>
        <v>1750</v>
      </c>
      <c r="G113" s="454">
        <f>일위대가표!J816</f>
        <v>0</v>
      </c>
      <c r="H113" s="446">
        <f>일위대가표!L816</f>
        <v>52</v>
      </c>
      <c r="I113" s="482" t="s">
        <v>2307</v>
      </c>
      <c r="J113" s="451" t="str">
        <f>"_x0007_`COD|B02719_x0005_`QTY1|1_x0005_`BQC|건축11-1-4_x0005_`EQC|_x0005_`JDC|_x0005_`WQC|_x0005_`EDT|_x0005_`ADJ|F_x0005_`DET|"&amp;ROW(일위대가표!A811)&amp;"_x0005_`"</f>
        <v>_x0007_`COD|B02719_x0005_`QTY1|1_x0005_`BQC|건축11-1-4_x0005_`EQC|_x0005_`JDC|_x0005_`WQC|_x0005_`EDT|_x0005_`ADJ|F_x0005_`DET|811_x0005_`</v>
      </c>
      <c r="K113" s="433" t="str">
        <f ca="1">HYPERLINK("#"&amp;일위대가표!N2&amp;"!A"&amp;ROW(일위대가표!A811),"B02719 →")</f>
        <v>B02719 →</v>
      </c>
    </row>
    <row r="114" spans="1:11" ht="25.7" customHeight="1">
      <c r="A114" s="460" t="s">
        <v>1509</v>
      </c>
      <c r="B114" s="452" t="s">
        <v>1507</v>
      </c>
      <c r="C114" s="452" t="s">
        <v>1508</v>
      </c>
      <c r="D114" s="460" t="s">
        <v>595</v>
      </c>
      <c r="E114" s="446">
        <f>일위대가표!F822</f>
        <v>1802</v>
      </c>
      <c r="F114" s="453">
        <f>일위대가표!H822</f>
        <v>1750</v>
      </c>
      <c r="G114" s="454">
        <f>일위대가표!J822</f>
        <v>0</v>
      </c>
      <c r="H114" s="446">
        <f>일위대가표!L822</f>
        <v>52</v>
      </c>
      <c r="I114" s="482" t="s">
        <v>2307</v>
      </c>
      <c r="J114" s="451" t="str">
        <f>"_x0007_`COD|B02649_x0005_`QTY1|1_x0005_`BQC|건축11-1-4_x0005_`EQC|_x0005_`JDC|_x0005_`WQC|_x0005_`EDT|_x0005_`ADJ|F_x0005_`DET|"&amp;ROW(일위대가표!A817)&amp;"_x0005_`"</f>
        <v>_x0007_`COD|B02649_x0005_`QTY1|1_x0005_`BQC|건축11-1-4_x0005_`EQC|_x0005_`JDC|_x0005_`WQC|_x0005_`EDT|_x0005_`ADJ|F_x0005_`DET|817_x0005_`</v>
      </c>
      <c r="K114" s="433" t="str">
        <f ca="1">HYPERLINK("#"&amp;일위대가표!N2&amp;"!A"&amp;ROW(일위대가표!A817),"B02649 →")</f>
        <v>B02649 →</v>
      </c>
    </row>
    <row r="115" spans="1:11" ht="25.7" customHeight="1">
      <c r="A115" s="460" t="s">
        <v>1513</v>
      </c>
      <c r="B115" s="452" t="s">
        <v>1507</v>
      </c>
      <c r="C115" s="452" t="s">
        <v>1512</v>
      </c>
      <c r="D115" s="460" t="s">
        <v>595</v>
      </c>
      <c r="E115" s="446">
        <f>일위대가표!F829</f>
        <v>2658</v>
      </c>
      <c r="F115" s="453">
        <f>일위대가표!H829</f>
        <v>2539</v>
      </c>
      <c r="G115" s="454">
        <f>일위대가표!J829</f>
        <v>43</v>
      </c>
      <c r="H115" s="446">
        <f>일위대가표!L829</f>
        <v>76</v>
      </c>
      <c r="I115" s="482" t="s">
        <v>2307</v>
      </c>
      <c r="J115" s="451" t="str">
        <f>"_x0007_`COD|B02110_x0005_`QTY1|1_x0005_`BQC|건축11-1-4_x0005_`EQC|_x0005_`JDC|_x0005_`WQC|_x0005_`EDT|_x0005_`ADJ|F_x0005_`DET|"&amp;ROW(일위대가표!A823)&amp;"_x0005_`"</f>
        <v>_x0007_`COD|B02110_x0005_`QTY1|1_x0005_`BQC|건축11-1-4_x0005_`EQC|_x0005_`JDC|_x0005_`WQC|_x0005_`EDT|_x0005_`ADJ|F_x0005_`DET|823_x0005_`</v>
      </c>
      <c r="K115" s="433" t="str">
        <f ca="1">HYPERLINK("#"&amp;일위대가표!N2&amp;"!A"&amp;ROW(일위대가표!A823),"B02110 →")</f>
        <v>B02110 →</v>
      </c>
    </row>
    <row r="116" spans="1:11" ht="25.7" customHeight="1">
      <c r="A116" s="460" t="s">
        <v>1637</v>
      </c>
      <c r="B116" s="452" t="s">
        <v>1635</v>
      </c>
      <c r="C116" s="452" t="s">
        <v>1636</v>
      </c>
      <c r="D116" s="460" t="s">
        <v>975</v>
      </c>
      <c r="E116" s="446">
        <f>일위대가표!F837</f>
        <v>87335</v>
      </c>
      <c r="F116" s="453">
        <f>일위대가표!H837</f>
        <v>40518</v>
      </c>
      <c r="G116" s="454">
        <f>일위대가표!J837</f>
        <v>46530</v>
      </c>
      <c r="H116" s="446">
        <f>일위대가표!L837</f>
        <v>287</v>
      </c>
      <c r="I116" s="482"/>
      <c r="J116" s="451" t="str">
        <f>"_x0007_`COD|B02582_x0005_`QTY1|1_x0005_`BQC|_x0005_`EQC|_x0005_`JDC|_x0005_`WQC|_x0005_`EDT|_x0005_`ADJ|F_x0005_`DET|"&amp;ROW(일위대가표!A830)&amp;"_x0005_`"</f>
        <v>_x0007_`COD|B02582_x0005_`QTY1|1_x0005_`BQC|_x0005_`EQC|_x0005_`JDC|_x0005_`WQC|_x0005_`EDT|_x0005_`ADJ|F_x0005_`DET|830_x0005_`</v>
      </c>
      <c r="K116" s="433" t="str">
        <f ca="1">HYPERLINK("#"&amp;일위대가표!N2&amp;"!A"&amp;ROW(일위대가표!A830),"B02582 →")</f>
        <v>B02582 →</v>
      </c>
    </row>
    <row r="117" spans="1:11" ht="25.7" customHeight="1">
      <c r="A117" s="460" t="s">
        <v>1416</v>
      </c>
      <c r="B117" s="452" t="s">
        <v>1414</v>
      </c>
      <c r="C117" s="452" t="s">
        <v>1415</v>
      </c>
      <c r="D117" s="460" t="s">
        <v>975</v>
      </c>
      <c r="E117" s="446">
        <f>일위대가표!F841</f>
        <v>1584000</v>
      </c>
      <c r="F117" s="453">
        <f>일위대가표!H841</f>
        <v>0</v>
      </c>
      <c r="G117" s="454">
        <f>일위대가표!J841</f>
        <v>1584000</v>
      </c>
      <c r="H117" s="446">
        <f>일위대가표!L841</f>
        <v>0</v>
      </c>
      <c r="I117" s="482"/>
      <c r="J117" s="451" t="str">
        <f>"_x0007_`COD|B02515_x0005_`QTY1|1_x0005_`BQC|_x0005_`EQC|_x0005_`JDC|_x0005_`WQC|_x0005_`EDT|_x0005_`ADJ|F_x0005_`DET|"&amp;ROW(일위대가표!A838)&amp;"_x0005_`"</f>
        <v>_x0007_`COD|B02515_x0005_`QTY1|1_x0005_`BQC|_x0005_`EQC|_x0005_`JDC|_x0005_`WQC|_x0005_`EDT|_x0005_`ADJ|F_x0005_`DET|838_x0005_`</v>
      </c>
      <c r="K117" s="433" t="str">
        <f ca="1">HYPERLINK("#"&amp;일위대가표!N2&amp;"!A"&amp;ROW(일위대가표!A838),"B02515 →")</f>
        <v>B02515 →</v>
      </c>
    </row>
    <row r="118" spans="1:11" ht="25.7" customHeight="1">
      <c r="A118" s="460" t="s">
        <v>1420</v>
      </c>
      <c r="B118" s="452" t="s">
        <v>1414</v>
      </c>
      <c r="C118" s="452" t="s">
        <v>1419</v>
      </c>
      <c r="D118" s="460" t="s">
        <v>975</v>
      </c>
      <c r="E118" s="446">
        <f>일위대가표!F845</f>
        <v>1932000</v>
      </c>
      <c r="F118" s="453">
        <f>일위대가표!H845</f>
        <v>0</v>
      </c>
      <c r="G118" s="454">
        <f>일위대가표!J845</f>
        <v>1932000</v>
      </c>
      <c r="H118" s="446">
        <f>일위대가표!L845</f>
        <v>0</v>
      </c>
      <c r="I118" s="482"/>
      <c r="J118" s="451" t="str">
        <f>"_x0007_`COD|B02517_x0005_`QTY1|1_x0005_`BQC|_x0005_`EQC|_x0005_`JDC|_x0005_`WQC|_x0005_`EDT|_x0005_`ADJ|F_x0005_`DET|"&amp;ROW(일위대가표!A842)&amp;"_x0005_`"</f>
        <v>_x0007_`COD|B02517_x0005_`QTY1|1_x0005_`BQC|_x0005_`EQC|_x0005_`JDC|_x0005_`WQC|_x0005_`EDT|_x0005_`ADJ|F_x0005_`DET|842_x0005_`</v>
      </c>
      <c r="K118" s="433" t="str">
        <f ca="1">HYPERLINK("#"&amp;일위대가표!N2&amp;"!A"&amp;ROW(일위대가표!A842),"B02517 →")</f>
        <v>B02517 →</v>
      </c>
    </row>
    <row r="119" spans="1:11" ht="25.7" customHeight="1">
      <c r="A119" s="460" t="s">
        <v>1424</v>
      </c>
      <c r="B119" s="452" t="s">
        <v>1414</v>
      </c>
      <c r="C119" s="452" t="s">
        <v>1423</v>
      </c>
      <c r="D119" s="460" t="s">
        <v>975</v>
      </c>
      <c r="E119" s="446">
        <f>일위대가표!F849</f>
        <v>2136000</v>
      </c>
      <c r="F119" s="453">
        <f>일위대가표!H849</f>
        <v>0</v>
      </c>
      <c r="G119" s="454">
        <f>일위대가표!J849</f>
        <v>2136000</v>
      </c>
      <c r="H119" s="446">
        <f>일위대가표!L849</f>
        <v>0</v>
      </c>
      <c r="I119" s="482"/>
      <c r="J119" s="451" t="str">
        <f>"_x0007_`COD|B02516_x0005_`QTY1|1_x0005_`BQC|_x0005_`EQC|_x0005_`JDC|_x0005_`WQC|_x0005_`EDT|_x0005_`ADJ|F_x0005_`DET|"&amp;ROW(일위대가표!A846)&amp;"_x0005_`"</f>
        <v>_x0007_`COD|B02516_x0005_`QTY1|1_x0005_`BQC|_x0005_`EQC|_x0005_`JDC|_x0005_`WQC|_x0005_`EDT|_x0005_`ADJ|F_x0005_`DET|846_x0005_`</v>
      </c>
      <c r="K119" s="433" t="str">
        <f ca="1">HYPERLINK("#"&amp;일위대가표!N2&amp;"!A"&amp;ROW(일위대가표!A846),"B02516 →")</f>
        <v>B02516 →</v>
      </c>
    </row>
    <row r="120" spans="1:11" ht="25.7" customHeight="1">
      <c r="A120" s="460" t="s">
        <v>1458</v>
      </c>
      <c r="B120" s="452" t="s">
        <v>1457</v>
      </c>
      <c r="C120" s="452"/>
      <c r="D120" s="460" t="s">
        <v>975</v>
      </c>
      <c r="E120" s="446">
        <f>일위대가표!F856</f>
        <v>35666</v>
      </c>
      <c r="F120" s="453">
        <f>일위대가표!H856</f>
        <v>35666</v>
      </c>
      <c r="G120" s="454">
        <f>일위대가표!J856</f>
        <v>0</v>
      </c>
      <c r="H120" s="446">
        <f>일위대가표!L856</f>
        <v>0</v>
      </c>
      <c r="I120" s="482"/>
      <c r="J120" s="451" t="str">
        <f>"_x0007_`COD|B02403_x0005_`QTY1|1_x0005_`BQC|_x0005_`EQC|_x0005_`JDC|_x0005_`WQC|_x0005_`EDT|_x0005_`ADJ|F_x0005_`DET|"&amp;ROW(일위대가표!A850)&amp;"_x0005_`"</f>
        <v>_x0007_`COD|B02403_x0005_`QTY1|1_x0005_`BQC|_x0005_`EQC|_x0005_`JDC|_x0005_`WQC|_x0005_`EDT|_x0005_`ADJ|F_x0005_`DET|850_x0005_`</v>
      </c>
      <c r="K120" s="433" t="str">
        <f ca="1">HYPERLINK("#"&amp;일위대가표!N2&amp;"!A"&amp;ROW(일위대가표!A850),"B02403 →")</f>
        <v>B02403 →</v>
      </c>
    </row>
    <row r="121" spans="1:11" ht="25.7" customHeight="1">
      <c r="A121" s="460" t="s">
        <v>1721</v>
      </c>
      <c r="B121" s="452" t="s">
        <v>1720</v>
      </c>
      <c r="C121" s="452" t="s">
        <v>1716</v>
      </c>
      <c r="D121" s="460" t="s">
        <v>975</v>
      </c>
      <c r="E121" s="446">
        <f>일위대가표!F863</f>
        <v>26126</v>
      </c>
      <c r="F121" s="453">
        <f>일위대가표!H863</f>
        <v>25986</v>
      </c>
      <c r="G121" s="454">
        <f>일위대가표!J863</f>
        <v>0</v>
      </c>
      <c r="H121" s="446">
        <f>일위대가표!L863</f>
        <v>140</v>
      </c>
      <c r="I121" s="482"/>
      <c r="J121" s="451" t="str">
        <f>"_x0007_`COD|B02643_x0005_`QTY1|1_x0005_`BQC|_x0005_`EQC|_x0005_`JDC|_x0005_`WQC|_x0005_`EDT|_x0005_`ADJ|F_x0005_`DET|"&amp;ROW(일위대가표!A857)&amp;"_x0005_`"</f>
        <v>_x0007_`COD|B02643_x0005_`QTY1|1_x0005_`BQC|_x0005_`EQC|_x0005_`JDC|_x0005_`WQC|_x0005_`EDT|_x0005_`ADJ|F_x0005_`DET|857_x0005_`</v>
      </c>
      <c r="K121" s="433" t="str">
        <f ca="1">HYPERLINK("#"&amp;일위대가표!N2&amp;"!A"&amp;ROW(일위대가표!A857),"B02643 →")</f>
        <v>B02643 →</v>
      </c>
    </row>
    <row r="122" spans="1:11" ht="25.7" customHeight="1">
      <c r="A122" s="460" t="s">
        <v>5254</v>
      </c>
      <c r="B122" s="452" t="s">
        <v>5253</v>
      </c>
      <c r="C122" s="452" t="s">
        <v>1716</v>
      </c>
      <c r="D122" s="460" t="s">
        <v>975</v>
      </c>
      <c r="E122" s="446">
        <f>일위대가표!F871</f>
        <v>30024</v>
      </c>
      <c r="F122" s="453">
        <f>일위대가표!H871</f>
        <v>29884</v>
      </c>
      <c r="G122" s="454">
        <f>일위대가표!J871</f>
        <v>0</v>
      </c>
      <c r="H122" s="446">
        <f>일위대가표!L871</f>
        <v>140</v>
      </c>
      <c r="I122" s="482"/>
      <c r="J122" s="451" t="str">
        <f>"_x0007_`COD|B02879_x0005_`QTY1|1_x0005_`BQC|_x0005_`EQC|_x0005_`JDC|_x0005_`WQC|_x0005_`EDT|_x0005_`ADJ|F_x0005_`DET|"&amp;ROW(일위대가표!A864)&amp;"_x0005_`"</f>
        <v>_x0007_`COD|B02879_x0005_`QTY1|1_x0005_`BQC|_x0005_`EQC|_x0005_`JDC|_x0005_`WQC|_x0005_`EDT|_x0005_`ADJ|F_x0005_`DET|864_x0005_`</v>
      </c>
      <c r="K122" s="433" t="str">
        <f ca="1">HYPERLINK("#"&amp;일위대가표!N2&amp;"!A"&amp;ROW(일위대가표!A864),"B02879 →")</f>
        <v>B02879 →</v>
      </c>
    </row>
    <row r="123" spans="1:11" ht="25.7" customHeight="1">
      <c r="A123" s="460" t="s">
        <v>1717</v>
      </c>
      <c r="B123" s="452" t="s">
        <v>5257</v>
      </c>
      <c r="C123" s="452" t="s">
        <v>1716</v>
      </c>
      <c r="D123" s="460" t="s">
        <v>975</v>
      </c>
      <c r="E123" s="446">
        <f>일위대가표!F879</f>
        <v>32623</v>
      </c>
      <c r="F123" s="453">
        <f>일위대가표!H879</f>
        <v>32483</v>
      </c>
      <c r="G123" s="454">
        <f>일위대가표!J879</f>
        <v>0</v>
      </c>
      <c r="H123" s="446">
        <f>일위대가표!L879</f>
        <v>140</v>
      </c>
      <c r="I123" s="482"/>
      <c r="J123" s="451" t="str">
        <f>"_x0007_`COD|B02451_x0005_`QTY1|1_x0005_`BQC|_x0005_`EQC|_x0005_`JDC|_x0005_`WQC|_x0005_`EDT|_x0005_`ADJ|F_x0005_`DET|"&amp;ROW(일위대가표!A872)&amp;"_x0005_`"</f>
        <v>_x0007_`COD|B02451_x0005_`QTY1|1_x0005_`BQC|_x0005_`EQC|_x0005_`JDC|_x0005_`WQC|_x0005_`EDT|_x0005_`ADJ|F_x0005_`DET|872_x0005_`</v>
      </c>
      <c r="K123" s="433" t="str">
        <f ca="1">HYPERLINK("#"&amp;일위대가표!N2&amp;"!A"&amp;ROW(일위대가표!A872),"B02451 →")</f>
        <v>B02451 →</v>
      </c>
    </row>
    <row r="124" spans="1:11" ht="25.7" customHeight="1">
      <c r="A124" s="460" t="s">
        <v>1429</v>
      </c>
      <c r="B124" s="452" t="s">
        <v>1427</v>
      </c>
      <c r="C124" s="452" t="s">
        <v>1428</v>
      </c>
      <c r="D124" s="460" t="s">
        <v>975</v>
      </c>
      <c r="E124" s="446">
        <f>일위대가표!F883</f>
        <v>264000</v>
      </c>
      <c r="F124" s="453">
        <f>일위대가표!H883</f>
        <v>0</v>
      </c>
      <c r="G124" s="454">
        <f>일위대가표!J883</f>
        <v>264000</v>
      </c>
      <c r="H124" s="446">
        <f>일위대가표!L883</f>
        <v>0</v>
      </c>
      <c r="I124" s="482"/>
      <c r="J124" s="451" t="str">
        <f>"_x0007_`COD|B02586_x0005_`QTY1|1_x0005_`BQC|_x0005_`EQC|_x0005_`JDC|_x0005_`WQC|_x0005_`EDT|_x0005_`ADJ|F_x0005_`DET|"&amp;ROW(일위대가표!A880)&amp;"_x0005_`"</f>
        <v>_x0007_`COD|B02586_x0005_`QTY1|1_x0005_`BQC|_x0005_`EQC|_x0005_`JDC|_x0005_`WQC|_x0005_`EDT|_x0005_`ADJ|F_x0005_`DET|880_x0005_`</v>
      </c>
      <c r="K124" s="433" t="str">
        <f ca="1">HYPERLINK("#"&amp;일위대가표!N2&amp;"!A"&amp;ROW(일위대가표!A880),"B02586 →")</f>
        <v>B02586 →</v>
      </c>
    </row>
    <row r="125" spans="1:11" ht="25.7" customHeight="1">
      <c r="A125" s="460" t="s">
        <v>1293</v>
      </c>
      <c r="B125" s="452" t="s">
        <v>1291</v>
      </c>
      <c r="C125" s="452" t="s">
        <v>1292</v>
      </c>
      <c r="D125" s="460" t="s">
        <v>911</v>
      </c>
      <c r="E125" s="446">
        <f>일위대가표!F891</f>
        <v>88095</v>
      </c>
      <c r="F125" s="453">
        <f>일위대가표!H891</f>
        <v>48761</v>
      </c>
      <c r="G125" s="454">
        <f>일위대가표!J891</f>
        <v>36669</v>
      </c>
      <c r="H125" s="446">
        <f>일위대가표!L891</f>
        <v>2665</v>
      </c>
      <c r="I125" s="482" t="s">
        <v>2308</v>
      </c>
      <c r="J125" s="451" t="str">
        <f>"_x0007_`COD|B01925_x0005_`QTY1|1_x0005_`BQC|토목6-2-1_x0005_`EQC|_x0005_`JDC|_x0005_`WQC|_x0005_`EDT|_x0005_`ADJ|F_x0005_`DET|"&amp;ROW(일위대가표!A884)&amp;"_x0005_`"</f>
        <v>_x0007_`COD|B01925_x0005_`QTY1|1_x0005_`BQC|토목6-2-1_x0005_`EQC|_x0005_`JDC|_x0005_`WQC|_x0005_`EDT|_x0005_`ADJ|F_x0005_`DET|884_x0005_`</v>
      </c>
      <c r="K125" s="433" t="str">
        <f ca="1">HYPERLINK("#"&amp;일위대가표!N2&amp;"!A"&amp;ROW(일위대가표!A884),"B01925 →")</f>
        <v>B01925 →</v>
      </c>
    </row>
    <row r="126" spans="1:11" ht="25.7" customHeight="1">
      <c r="A126" s="460" t="s">
        <v>1297</v>
      </c>
      <c r="B126" s="452" t="s">
        <v>1291</v>
      </c>
      <c r="C126" s="452" t="s">
        <v>1296</v>
      </c>
      <c r="D126" s="460" t="s">
        <v>911</v>
      </c>
      <c r="E126" s="446">
        <f>일위대가표!F899</f>
        <v>163162</v>
      </c>
      <c r="F126" s="453">
        <f>일위대가표!H899</f>
        <v>77334</v>
      </c>
      <c r="G126" s="454">
        <f>일위대가표!J899</f>
        <v>81676</v>
      </c>
      <c r="H126" s="446">
        <f>일위대가표!L899</f>
        <v>4152</v>
      </c>
      <c r="I126" s="482" t="s">
        <v>2308</v>
      </c>
      <c r="J126" s="451" t="str">
        <f>"_x0007_`COD|B01926_x0005_`QTY1|1_x0005_`BQC|토목6-2-1_x0005_`EQC|_x0005_`JDC|_x0005_`WQC|_x0005_`EDT|_x0005_`ADJ|F_x0005_`DET|"&amp;ROW(일위대가표!A892)&amp;"_x0005_`"</f>
        <v>_x0007_`COD|B01926_x0005_`QTY1|1_x0005_`BQC|토목6-2-1_x0005_`EQC|_x0005_`JDC|_x0005_`WQC|_x0005_`EDT|_x0005_`ADJ|F_x0005_`DET|892_x0005_`</v>
      </c>
      <c r="K126" s="433" t="str">
        <f ca="1">HYPERLINK("#"&amp;일위대가표!N2&amp;"!A"&amp;ROW(일위대가표!A892),"B01926 →")</f>
        <v>B01926 →</v>
      </c>
    </row>
    <row r="127" spans="1:11" ht="25.7" customHeight="1">
      <c r="A127" s="460" t="s">
        <v>1191</v>
      </c>
      <c r="B127" s="452" t="s">
        <v>1181</v>
      </c>
      <c r="C127" s="452" t="s">
        <v>1190</v>
      </c>
      <c r="D127" s="460" t="s">
        <v>911</v>
      </c>
      <c r="E127" s="446">
        <f>일위대가표!F906</f>
        <v>66397</v>
      </c>
      <c r="F127" s="453">
        <f>일위대가표!H906</f>
        <v>35580</v>
      </c>
      <c r="G127" s="454">
        <f>일위대가표!J906</f>
        <v>30517</v>
      </c>
      <c r="H127" s="446">
        <f>일위대가표!L906</f>
        <v>300</v>
      </c>
      <c r="I127" s="482"/>
      <c r="J127" s="451" t="str">
        <f>"_x0007_`COD|B02381_x0005_`QTY1|1_x0005_`BQC|_x0005_`EQC|_x0005_`JDC|_x0005_`WQC|_x0005_`EDT|_x0005_`ADJ|F_x0005_`DET|"&amp;ROW(일위대가표!A900)&amp;"_x0005_`"</f>
        <v>_x0007_`COD|B02381_x0005_`QTY1|1_x0005_`BQC|_x0005_`EQC|_x0005_`JDC|_x0005_`WQC|_x0005_`EDT|_x0005_`ADJ|F_x0005_`DET|900_x0005_`</v>
      </c>
      <c r="K127" s="433" t="str">
        <f ca="1">HYPERLINK("#"&amp;일위대가표!N2&amp;"!A"&amp;ROW(일위대가표!A900),"B02381 →")</f>
        <v>B02381 →</v>
      </c>
    </row>
    <row r="128" spans="1:11" ht="25.7" customHeight="1">
      <c r="A128" s="460" t="s">
        <v>1222</v>
      </c>
      <c r="B128" s="452" t="s">
        <v>1181</v>
      </c>
      <c r="C128" s="452" t="s">
        <v>1206</v>
      </c>
      <c r="D128" s="460" t="s">
        <v>911</v>
      </c>
      <c r="E128" s="446">
        <f>일위대가표!F913</f>
        <v>90897</v>
      </c>
      <c r="F128" s="453">
        <f>일위대가표!H913</f>
        <v>35580</v>
      </c>
      <c r="G128" s="454">
        <f>일위대가표!J913</f>
        <v>55017</v>
      </c>
      <c r="H128" s="446">
        <f>일위대가표!L913</f>
        <v>300</v>
      </c>
      <c r="I128" s="482"/>
      <c r="J128" s="451" t="str">
        <f>"_x0007_`COD|B02583_x0005_`QTY1|1_x0005_`BQC|_x0005_`EQC|_x0005_`JDC|_x0005_`WQC|_x0005_`EDT|_x0005_`ADJ|F_x0005_`DET|"&amp;ROW(일위대가표!A907)&amp;"_x0005_`"</f>
        <v>_x0007_`COD|B02583_x0005_`QTY1|1_x0005_`BQC|_x0005_`EQC|_x0005_`JDC|_x0005_`WQC|_x0005_`EDT|_x0005_`ADJ|F_x0005_`DET|907_x0005_`</v>
      </c>
      <c r="K128" s="433" t="str">
        <f ca="1">HYPERLINK("#"&amp;일위대가표!N2&amp;"!A"&amp;ROW(일위대가표!A907),"B02583 →")</f>
        <v>B02583 →</v>
      </c>
    </row>
    <row r="129" spans="1:11" ht="25.7" customHeight="1">
      <c r="A129" s="460" t="s">
        <v>1195</v>
      </c>
      <c r="B129" s="452" t="s">
        <v>1181</v>
      </c>
      <c r="C129" s="452" t="s">
        <v>1194</v>
      </c>
      <c r="D129" s="460" t="s">
        <v>911</v>
      </c>
      <c r="E129" s="446">
        <f>일위대가표!F920</f>
        <v>79202</v>
      </c>
      <c r="F129" s="453">
        <f>일위대가표!H920</f>
        <v>42696</v>
      </c>
      <c r="G129" s="454">
        <f>일위대가표!J920</f>
        <v>36146</v>
      </c>
      <c r="H129" s="446">
        <f>일위대가표!L920</f>
        <v>360</v>
      </c>
      <c r="I129" s="482"/>
      <c r="J129" s="451" t="str">
        <f>"_x0007_`COD|B02365_x0005_`QTY1|1_x0005_`BQC|_x0005_`EQC|_x0005_`JDC|_x0005_`WQC|_x0005_`EDT|_x0005_`ADJ|F_x0005_`DET|"&amp;ROW(일위대가표!A914)&amp;"_x0005_`"</f>
        <v>_x0007_`COD|B02365_x0005_`QTY1|1_x0005_`BQC|_x0005_`EQC|_x0005_`JDC|_x0005_`WQC|_x0005_`EDT|_x0005_`ADJ|F_x0005_`DET|914_x0005_`</v>
      </c>
      <c r="K129" s="433" t="str">
        <f ca="1">HYPERLINK("#"&amp;일위대가표!N2&amp;"!A"&amp;ROW(일위대가표!A914),"B02365 →")</f>
        <v>B02365 →</v>
      </c>
    </row>
    <row r="130" spans="1:11" ht="25.7" customHeight="1">
      <c r="A130" s="460" t="s">
        <v>1225</v>
      </c>
      <c r="B130" s="452" t="s">
        <v>1181</v>
      </c>
      <c r="C130" s="452" t="s">
        <v>1210</v>
      </c>
      <c r="D130" s="460" t="s">
        <v>911</v>
      </c>
      <c r="E130" s="446">
        <f>일위대가표!F927</f>
        <v>107202</v>
      </c>
      <c r="F130" s="453">
        <f>일위대가표!H927</f>
        <v>42696</v>
      </c>
      <c r="G130" s="454">
        <f>일위대가표!J927</f>
        <v>64146</v>
      </c>
      <c r="H130" s="446">
        <f>일위대가표!L927</f>
        <v>360</v>
      </c>
      <c r="I130" s="482"/>
      <c r="J130" s="451" t="str">
        <f>"_x0007_`COD|B02584_x0005_`QTY1|1_x0005_`BQC|_x0005_`EQC|_x0005_`JDC|_x0005_`WQC|_x0005_`EDT|_x0005_`ADJ|F_x0005_`DET|"&amp;ROW(일위대가표!A921)&amp;"_x0005_`"</f>
        <v>_x0007_`COD|B02584_x0005_`QTY1|1_x0005_`BQC|_x0005_`EQC|_x0005_`JDC|_x0005_`WQC|_x0005_`EDT|_x0005_`ADJ|F_x0005_`DET|921_x0005_`</v>
      </c>
      <c r="K130" s="433" t="str">
        <f ca="1">HYPERLINK("#"&amp;일위대가표!N2&amp;"!A"&amp;ROW(일위대가표!A921),"B02584 →")</f>
        <v>B02584 →</v>
      </c>
    </row>
    <row r="131" spans="1:11" ht="25.7" customHeight="1">
      <c r="A131" s="460" t="s">
        <v>1199</v>
      </c>
      <c r="B131" s="452" t="s">
        <v>1181</v>
      </c>
      <c r="C131" s="452" t="s">
        <v>1198</v>
      </c>
      <c r="D131" s="460" t="s">
        <v>911</v>
      </c>
      <c r="E131" s="446">
        <f>일위대가표!F934</f>
        <v>97660</v>
      </c>
      <c r="F131" s="453">
        <f>일위대가표!H934</f>
        <v>53370</v>
      </c>
      <c r="G131" s="454">
        <f>일위대가표!J934</f>
        <v>43840</v>
      </c>
      <c r="H131" s="446">
        <f>일위대가표!L934</f>
        <v>450</v>
      </c>
      <c r="I131" s="482"/>
      <c r="J131" s="451" t="str">
        <f>"_x0007_`COD|B02182_x0005_`QTY1|1_x0005_`BQC|_x0005_`EQC|_x0005_`JDC|_x0005_`WQC|_x0005_`EDT|_x0005_`ADJ|F_x0005_`DET|"&amp;ROW(일위대가표!A928)&amp;"_x0005_`"</f>
        <v>_x0007_`COD|B02182_x0005_`QTY1|1_x0005_`BQC|_x0005_`EQC|_x0005_`JDC|_x0005_`WQC|_x0005_`EDT|_x0005_`ADJ|F_x0005_`DET|928_x0005_`</v>
      </c>
      <c r="K131" s="433" t="str">
        <f ca="1">HYPERLINK("#"&amp;일위대가표!N2&amp;"!A"&amp;ROW(일위대가표!A928),"B02182 →")</f>
        <v>B02182 →</v>
      </c>
    </row>
    <row r="132" spans="1:11" ht="25.7" customHeight="1">
      <c r="A132" s="460" t="s">
        <v>1228</v>
      </c>
      <c r="B132" s="452" t="s">
        <v>1181</v>
      </c>
      <c r="C132" s="452" t="s">
        <v>1214</v>
      </c>
      <c r="D132" s="460" t="s">
        <v>911</v>
      </c>
      <c r="E132" s="446">
        <f>일위대가표!F941</f>
        <v>128660</v>
      </c>
      <c r="F132" s="453">
        <f>일위대가표!H941</f>
        <v>53370</v>
      </c>
      <c r="G132" s="454">
        <f>일위대가표!J941</f>
        <v>74840</v>
      </c>
      <c r="H132" s="446">
        <f>일위대가표!L941</f>
        <v>450</v>
      </c>
      <c r="I132" s="482"/>
      <c r="J132" s="451" t="str">
        <f>"_x0007_`COD|B02585_x0005_`QTY1|1_x0005_`BQC|_x0005_`EQC|_x0005_`JDC|_x0005_`WQC|_x0005_`EDT|_x0005_`ADJ|F_x0005_`DET|"&amp;ROW(일위대가표!A935)&amp;"_x0005_`"</f>
        <v>_x0007_`COD|B02585_x0005_`QTY1|1_x0005_`BQC|_x0005_`EQC|_x0005_`JDC|_x0005_`WQC|_x0005_`EDT|_x0005_`ADJ|F_x0005_`DET|935_x0005_`</v>
      </c>
      <c r="K132" s="433" t="str">
        <f ca="1">HYPERLINK("#"&amp;일위대가표!N2&amp;"!A"&amp;ROW(일위대가표!A935),"B02585 →")</f>
        <v>B02585 →</v>
      </c>
    </row>
    <row r="133" spans="1:11" ht="25.7" customHeight="1">
      <c r="A133" s="460" t="s">
        <v>1203</v>
      </c>
      <c r="B133" s="452" t="s">
        <v>1181</v>
      </c>
      <c r="C133" s="452" t="s">
        <v>1202</v>
      </c>
      <c r="D133" s="460" t="s">
        <v>911</v>
      </c>
      <c r="E133" s="446">
        <f>일위대가표!F948</f>
        <v>125532</v>
      </c>
      <c r="F133" s="453">
        <f>일위대가표!H948</f>
        <v>66768</v>
      </c>
      <c r="G133" s="454">
        <f>일위대가표!J948</f>
        <v>58164</v>
      </c>
      <c r="H133" s="446">
        <f>일위대가표!L948</f>
        <v>600</v>
      </c>
      <c r="I133" s="482"/>
      <c r="J133" s="451" t="str">
        <f>"_x0007_`COD|B02675_x0005_`QTY1|1_x0005_`BQC|_x0005_`EQC|_x0005_`JDC|_x0005_`WQC|_x0005_`EDT|_x0005_`ADJ|F_x0005_`DET|"&amp;ROW(일위대가표!A942)&amp;"_x0005_`"</f>
        <v>_x0007_`COD|B02675_x0005_`QTY1|1_x0005_`BQC|_x0005_`EQC|_x0005_`JDC|_x0005_`WQC|_x0005_`EDT|_x0005_`ADJ|F_x0005_`DET|942_x0005_`</v>
      </c>
      <c r="K133" s="433" t="str">
        <f ca="1">HYPERLINK("#"&amp;일위대가표!N2&amp;"!A"&amp;ROW(일위대가표!A942),"B02675 →")</f>
        <v>B02675 →</v>
      </c>
    </row>
    <row r="134" spans="1:11" ht="25.7" customHeight="1">
      <c r="A134" s="460" t="s">
        <v>1231</v>
      </c>
      <c r="B134" s="452" t="s">
        <v>1181</v>
      </c>
      <c r="C134" s="452" t="s">
        <v>1218</v>
      </c>
      <c r="D134" s="460" t="s">
        <v>911</v>
      </c>
      <c r="E134" s="446">
        <f>일위대가표!F955</f>
        <v>168032</v>
      </c>
      <c r="F134" s="453">
        <f>일위대가표!H955</f>
        <v>66768</v>
      </c>
      <c r="G134" s="454">
        <f>일위대가표!J955</f>
        <v>100664</v>
      </c>
      <c r="H134" s="446">
        <f>일위대가표!L955</f>
        <v>600</v>
      </c>
      <c r="I134" s="482"/>
      <c r="J134" s="451" t="str">
        <f>"_x0007_`COD|B02676_x0005_`QTY1|1_x0005_`BQC|_x0005_`EQC|_x0005_`JDC|_x0005_`WQC|_x0005_`EDT|_x0005_`ADJ|F_x0005_`DET|"&amp;ROW(일위대가표!A949)&amp;"_x0005_`"</f>
        <v>_x0007_`COD|B02676_x0005_`QTY1|1_x0005_`BQC|_x0005_`EQC|_x0005_`JDC|_x0005_`WQC|_x0005_`EDT|_x0005_`ADJ|F_x0005_`DET|949_x0005_`</v>
      </c>
      <c r="K134" s="433" t="str">
        <f ca="1">HYPERLINK("#"&amp;일위대가표!N2&amp;"!A"&amp;ROW(일위대가표!A949),"B02676 →")</f>
        <v>B02676 →</v>
      </c>
    </row>
    <row r="135" spans="1:11" ht="25.7" customHeight="1">
      <c r="A135" s="460" t="s">
        <v>1183</v>
      </c>
      <c r="B135" s="452" t="s">
        <v>1181</v>
      </c>
      <c r="C135" s="452" t="s">
        <v>1182</v>
      </c>
      <c r="D135" s="460" t="s">
        <v>911</v>
      </c>
      <c r="E135" s="446">
        <f>일위대가표!F962</f>
        <v>44786</v>
      </c>
      <c r="F135" s="453">
        <f>일위대가표!H962</f>
        <v>21348</v>
      </c>
      <c r="G135" s="454">
        <f>일위대가표!J962</f>
        <v>23258</v>
      </c>
      <c r="H135" s="446">
        <f>일위대가표!L962</f>
        <v>180</v>
      </c>
      <c r="I135" s="482"/>
      <c r="J135" s="451" t="str">
        <f>"_x0007_`COD|B02366_x0005_`QTY1|1_x0005_`BQC|_x0005_`EQC|_x0005_`JDC|_x0005_`WQC|_x0005_`EDT|_x0005_`ADJ|F_x0005_`DET|"&amp;ROW(일위대가표!A956)&amp;"_x0005_`"</f>
        <v>_x0007_`COD|B02366_x0005_`QTY1|1_x0005_`BQC|_x0005_`EQC|_x0005_`JDC|_x0005_`WQC|_x0005_`EDT|_x0005_`ADJ|F_x0005_`DET|956_x0005_`</v>
      </c>
      <c r="K135" s="433" t="str">
        <f ca="1">HYPERLINK("#"&amp;일위대가표!N2&amp;"!A"&amp;ROW(일위대가표!A956),"B02366 →")</f>
        <v>B02366 →</v>
      </c>
    </row>
    <row r="136" spans="1:11" ht="25.7" customHeight="1">
      <c r="A136" s="460" t="s">
        <v>1187</v>
      </c>
      <c r="B136" s="452" t="s">
        <v>1181</v>
      </c>
      <c r="C136" s="452" t="s">
        <v>1186</v>
      </c>
      <c r="D136" s="460" t="s">
        <v>911</v>
      </c>
      <c r="E136" s="446">
        <f>일위대가표!F969</f>
        <v>54091</v>
      </c>
      <c r="F136" s="453">
        <f>일위대가표!H969</f>
        <v>28464</v>
      </c>
      <c r="G136" s="454">
        <f>일위대가표!J969</f>
        <v>25387</v>
      </c>
      <c r="H136" s="446">
        <f>일위대가표!L969</f>
        <v>240</v>
      </c>
      <c r="I136" s="482"/>
      <c r="J136" s="451" t="str">
        <f>"_x0007_`COD|B02402_x0005_`QTY1|1_x0005_`BQC|_x0005_`EQC|_x0005_`JDC|_x0005_`WQC|_x0005_`EDT|_x0005_`ADJ|F_x0005_`DET|"&amp;ROW(일위대가표!A963)&amp;"_x0005_`"</f>
        <v>_x0007_`COD|B02402_x0005_`QTY1|1_x0005_`BQC|_x0005_`EQC|_x0005_`JDC|_x0005_`WQC|_x0005_`EDT|_x0005_`ADJ|F_x0005_`DET|963_x0005_`</v>
      </c>
      <c r="K136" s="433" t="str">
        <f ca="1">HYPERLINK("#"&amp;일위대가표!N2&amp;"!A"&amp;ROW(일위대가표!A963),"B02402 →")</f>
        <v>B02402 →</v>
      </c>
    </row>
    <row r="137" spans="1:11" ht="25.7" customHeight="1">
      <c r="A137" s="460" t="s">
        <v>5175</v>
      </c>
      <c r="B137" s="452" t="s">
        <v>5174</v>
      </c>
      <c r="C137" s="452" t="s">
        <v>1206</v>
      </c>
      <c r="D137" s="460" t="s">
        <v>911</v>
      </c>
      <c r="E137" s="446">
        <f>일위대가표!F977</f>
        <v>96234</v>
      </c>
      <c r="F137" s="453">
        <f>일위대가표!H977</f>
        <v>40917</v>
      </c>
      <c r="G137" s="454">
        <f>일위대가표!J977</f>
        <v>55017</v>
      </c>
      <c r="H137" s="446">
        <f>일위대가표!L977</f>
        <v>300</v>
      </c>
      <c r="I137" s="482"/>
      <c r="J137" s="451" t="str">
        <f>"_x0007_`COD|B02860_x0005_`QTY1|1_x0005_`BQC|_x0005_`EQC|_x0005_`JDC|_x0005_`WQC|_x0005_`EDT|_x0005_`ADJ|F_x0005_`DET|"&amp;ROW(일위대가표!A970)&amp;"_x0005_`"</f>
        <v>_x0007_`COD|B02860_x0005_`QTY1|1_x0005_`BQC|_x0005_`EQC|_x0005_`JDC|_x0005_`WQC|_x0005_`EDT|_x0005_`ADJ|F_x0005_`DET|970_x0005_`</v>
      </c>
      <c r="K137" s="433" t="str">
        <f ca="1">HYPERLINK("#"&amp;일위대가표!N2&amp;"!A"&amp;ROW(일위대가표!A970),"B02860 →")</f>
        <v>B02860 →</v>
      </c>
    </row>
    <row r="138" spans="1:11" ht="25.7" customHeight="1">
      <c r="A138" s="460" t="s">
        <v>5178</v>
      </c>
      <c r="B138" s="452" t="s">
        <v>5174</v>
      </c>
      <c r="C138" s="452" t="s">
        <v>1210</v>
      </c>
      <c r="D138" s="460" t="s">
        <v>911</v>
      </c>
      <c r="E138" s="446">
        <f>일위대가표!F985</f>
        <v>113606</v>
      </c>
      <c r="F138" s="453">
        <f>일위대가표!H985</f>
        <v>49100</v>
      </c>
      <c r="G138" s="454">
        <f>일위대가표!J985</f>
        <v>64146</v>
      </c>
      <c r="H138" s="446">
        <f>일위대가표!L985</f>
        <v>360</v>
      </c>
      <c r="I138" s="482"/>
      <c r="J138" s="451" t="str">
        <f>"_x0007_`COD|B02861_x0005_`QTY1|1_x0005_`BQC|_x0005_`EQC|_x0005_`JDC|_x0005_`WQC|_x0005_`EDT|_x0005_`ADJ|F_x0005_`DET|"&amp;ROW(일위대가표!A978)&amp;"_x0005_`"</f>
        <v>_x0007_`COD|B02861_x0005_`QTY1|1_x0005_`BQC|_x0005_`EQC|_x0005_`JDC|_x0005_`WQC|_x0005_`EDT|_x0005_`ADJ|F_x0005_`DET|978_x0005_`</v>
      </c>
      <c r="K138" s="433" t="str">
        <f ca="1">HYPERLINK("#"&amp;일위대가표!N2&amp;"!A"&amp;ROW(일위대가표!A978),"B02861 →")</f>
        <v>B02861 →</v>
      </c>
    </row>
    <row r="139" spans="1:11" ht="25.7" customHeight="1">
      <c r="A139" s="460" t="s">
        <v>5181</v>
      </c>
      <c r="B139" s="452" t="s">
        <v>5174</v>
      </c>
      <c r="C139" s="452" t="s">
        <v>1214</v>
      </c>
      <c r="D139" s="460" t="s">
        <v>911</v>
      </c>
      <c r="E139" s="446">
        <f>일위대가표!F993</f>
        <v>136665</v>
      </c>
      <c r="F139" s="453">
        <f>일위대가표!H993</f>
        <v>61375</v>
      </c>
      <c r="G139" s="454">
        <f>일위대가표!J993</f>
        <v>74840</v>
      </c>
      <c r="H139" s="446">
        <f>일위대가표!L993</f>
        <v>450</v>
      </c>
      <c r="I139" s="482"/>
      <c r="J139" s="451" t="str">
        <f>"_x0007_`COD|B02862_x0005_`QTY1|1_x0005_`BQC|_x0005_`EQC|_x0005_`JDC|_x0005_`WQC|_x0005_`EDT|_x0005_`ADJ|F_x0005_`DET|"&amp;ROW(일위대가표!A986)&amp;"_x0005_`"</f>
        <v>_x0007_`COD|B02862_x0005_`QTY1|1_x0005_`BQC|_x0005_`EQC|_x0005_`JDC|_x0005_`WQC|_x0005_`EDT|_x0005_`ADJ|F_x0005_`DET|986_x0005_`</v>
      </c>
      <c r="K139" s="433" t="str">
        <f ca="1">HYPERLINK("#"&amp;일위대가표!N2&amp;"!A"&amp;ROW(일위대가표!A986),"B02862 →")</f>
        <v>B02862 →</v>
      </c>
    </row>
    <row r="140" spans="1:11" ht="25.7" customHeight="1">
      <c r="A140" s="460" t="s">
        <v>5184</v>
      </c>
      <c r="B140" s="452" t="s">
        <v>5174</v>
      </c>
      <c r="C140" s="452" t="s">
        <v>1218</v>
      </c>
      <c r="D140" s="460" t="s">
        <v>911</v>
      </c>
      <c r="E140" s="446">
        <f>일위대가표!F1001</f>
        <v>178047</v>
      </c>
      <c r="F140" s="453">
        <f>일위대가표!H1001</f>
        <v>76783</v>
      </c>
      <c r="G140" s="454">
        <f>일위대가표!J1001</f>
        <v>100664</v>
      </c>
      <c r="H140" s="446">
        <f>일위대가표!L1001</f>
        <v>600</v>
      </c>
      <c r="I140" s="482"/>
      <c r="J140" s="451" t="str">
        <f>"_x0007_`COD|B02863_x0005_`QTY1|1_x0005_`BQC|_x0005_`EQC|_x0005_`JDC|_x0005_`WQC|_x0005_`EDT|_x0005_`ADJ|F_x0005_`DET|"&amp;ROW(일위대가표!A994)&amp;"_x0005_`"</f>
        <v>_x0007_`COD|B02863_x0005_`QTY1|1_x0005_`BQC|_x0005_`EQC|_x0005_`JDC|_x0005_`WQC|_x0005_`EDT|_x0005_`ADJ|F_x0005_`DET|994_x0005_`</v>
      </c>
      <c r="K140" s="433" t="str">
        <f ca="1">HYPERLINK("#"&amp;일위대가표!N2&amp;"!A"&amp;ROW(일위대가표!A994),"B02863 →")</f>
        <v>B02863 →</v>
      </c>
    </row>
    <row r="141" spans="1:11" ht="25.7" customHeight="1">
      <c r="A141" s="460" t="s">
        <v>1207</v>
      </c>
      <c r="B141" s="452" t="s">
        <v>5187</v>
      </c>
      <c r="C141" s="452" t="s">
        <v>1206</v>
      </c>
      <c r="D141" s="460" t="s">
        <v>911</v>
      </c>
      <c r="E141" s="446">
        <f>일위대가표!F1009</f>
        <v>99792</v>
      </c>
      <c r="F141" s="453">
        <f>일위대가표!H1009</f>
        <v>44475</v>
      </c>
      <c r="G141" s="454">
        <f>일위대가표!J1009</f>
        <v>55017</v>
      </c>
      <c r="H141" s="446">
        <f>일위대가표!L1009</f>
        <v>300</v>
      </c>
      <c r="I141" s="482"/>
      <c r="J141" s="451" t="str">
        <f>"_x0007_`COD|B02677_x0005_`QTY1|1_x0005_`BQC|_x0005_`EQC|_x0005_`JDC|_x0005_`WQC|_x0005_`EDT|_x0005_`ADJ|F_x0005_`DET|"&amp;ROW(일위대가표!A1002)&amp;"_x0005_`"</f>
        <v>_x0007_`COD|B02677_x0005_`QTY1|1_x0005_`BQC|_x0005_`EQC|_x0005_`JDC|_x0005_`WQC|_x0005_`EDT|_x0005_`ADJ|F_x0005_`DET|1002_x0005_`</v>
      </c>
      <c r="K141" s="433" t="str">
        <f ca="1">HYPERLINK("#"&amp;일위대가표!N2&amp;"!A"&amp;ROW(일위대가표!A1002),"B02677 →")</f>
        <v>B02677 →</v>
      </c>
    </row>
    <row r="142" spans="1:11" ht="25.7" customHeight="1">
      <c r="A142" s="460" t="s">
        <v>1211</v>
      </c>
      <c r="B142" s="452" t="s">
        <v>5187</v>
      </c>
      <c r="C142" s="452" t="s">
        <v>1210</v>
      </c>
      <c r="D142" s="460" t="s">
        <v>911</v>
      </c>
      <c r="E142" s="446">
        <f>일위대가표!F1017</f>
        <v>117876</v>
      </c>
      <c r="F142" s="453">
        <f>일위대가표!H1017</f>
        <v>53370</v>
      </c>
      <c r="G142" s="454">
        <f>일위대가표!J1017</f>
        <v>64146</v>
      </c>
      <c r="H142" s="446">
        <f>일위대가표!L1017</f>
        <v>360</v>
      </c>
      <c r="I142" s="482"/>
      <c r="J142" s="451" t="str">
        <f>"_x0007_`COD|B02678_x0005_`QTY1|1_x0005_`BQC|_x0005_`EQC|_x0005_`JDC|_x0005_`WQC|_x0005_`EDT|_x0005_`ADJ|F_x0005_`DET|"&amp;ROW(일위대가표!A1010)&amp;"_x0005_`"</f>
        <v>_x0007_`COD|B02678_x0005_`QTY1|1_x0005_`BQC|_x0005_`EQC|_x0005_`JDC|_x0005_`WQC|_x0005_`EDT|_x0005_`ADJ|F_x0005_`DET|1010_x0005_`</v>
      </c>
      <c r="K142" s="433" t="str">
        <f ca="1">HYPERLINK("#"&amp;일위대가표!N2&amp;"!A"&amp;ROW(일위대가표!A1010),"B02678 →")</f>
        <v>B02678 →</v>
      </c>
    </row>
    <row r="143" spans="1:11" ht="25.7" customHeight="1">
      <c r="A143" s="460" t="s">
        <v>1215</v>
      </c>
      <c r="B143" s="452" t="s">
        <v>5187</v>
      </c>
      <c r="C143" s="452" t="s">
        <v>1214</v>
      </c>
      <c r="D143" s="460" t="s">
        <v>911</v>
      </c>
      <c r="E143" s="446">
        <f>일위대가표!F1025</f>
        <v>142002</v>
      </c>
      <c r="F143" s="453">
        <f>일위대가표!H1025</f>
        <v>66712</v>
      </c>
      <c r="G143" s="454">
        <f>일위대가표!J1025</f>
        <v>74840</v>
      </c>
      <c r="H143" s="446">
        <f>일위대가표!L1025</f>
        <v>450</v>
      </c>
      <c r="I143" s="482"/>
      <c r="J143" s="451" t="str">
        <f>"_x0007_`COD|B02679_x0005_`QTY1|1_x0005_`BQC|_x0005_`EQC|_x0005_`JDC|_x0005_`WQC|_x0005_`EDT|_x0005_`ADJ|F_x0005_`DET|"&amp;ROW(일위대가표!A1018)&amp;"_x0005_`"</f>
        <v>_x0007_`COD|B02679_x0005_`QTY1|1_x0005_`BQC|_x0005_`EQC|_x0005_`JDC|_x0005_`WQC|_x0005_`EDT|_x0005_`ADJ|F_x0005_`DET|1018_x0005_`</v>
      </c>
      <c r="K143" s="433" t="str">
        <f ca="1">HYPERLINK("#"&amp;일위대가표!N2&amp;"!A"&amp;ROW(일위대가표!A1018),"B02679 →")</f>
        <v>B02679 →</v>
      </c>
    </row>
    <row r="144" spans="1:11" ht="25.7" customHeight="1">
      <c r="A144" s="460" t="s">
        <v>1219</v>
      </c>
      <c r="B144" s="452" t="s">
        <v>5187</v>
      </c>
      <c r="C144" s="452" t="s">
        <v>1218</v>
      </c>
      <c r="D144" s="460" t="s">
        <v>911</v>
      </c>
      <c r="E144" s="446">
        <f>일위대가표!F1033</f>
        <v>184724</v>
      </c>
      <c r="F144" s="453">
        <f>일위대가표!H1033</f>
        <v>83460</v>
      </c>
      <c r="G144" s="454">
        <f>일위대가표!J1033</f>
        <v>100664</v>
      </c>
      <c r="H144" s="446">
        <f>일위대가표!L1033</f>
        <v>600</v>
      </c>
      <c r="I144" s="482"/>
      <c r="J144" s="451" t="str">
        <f>"_x0007_`COD|B02680_x0005_`QTY1|1_x0005_`BQC|_x0005_`EQC|_x0005_`JDC|_x0005_`WQC|_x0005_`EDT|_x0005_`ADJ|F_x0005_`DET|"&amp;ROW(일위대가표!A1026)&amp;"_x0005_`"</f>
        <v>_x0007_`COD|B02680_x0005_`QTY1|1_x0005_`BQC|_x0005_`EQC|_x0005_`JDC|_x0005_`WQC|_x0005_`EDT|_x0005_`ADJ|F_x0005_`DET|1026_x0005_`</v>
      </c>
      <c r="K144" s="433" t="str">
        <f ca="1">HYPERLINK("#"&amp;일위대가표!N2&amp;"!A"&amp;ROW(일위대가표!A1026),"B02680 →")</f>
        <v>B02680 →</v>
      </c>
    </row>
    <row r="145" spans="1:11" ht="25.7" customHeight="1">
      <c r="A145" s="460" t="s">
        <v>2309</v>
      </c>
      <c r="B145" s="452" t="s">
        <v>2310</v>
      </c>
      <c r="C145" s="452" t="s">
        <v>2311</v>
      </c>
      <c r="D145" s="460" t="s">
        <v>975</v>
      </c>
      <c r="E145" s="446">
        <f>일위대가표!F1040</f>
        <v>784</v>
      </c>
      <c r="F145" s="453">
        <f>일위대가표!H1040</f>
        <v>677</v>
      </c>
      <c r="G145" s="454">
        <f>일위대가표!J1040</f>
        <v>107</v>
      </c>
      <c r="H145" s="446">
        <f>일위대가표!L1040</f>
        <v>0</v>
      </c>
      <c r="I145" s="482" t="s">
        <v>2312</v>
      </c>
      <c r="J145" s="451" t="str">
        <f>"_x0007_`COD|B01416_x0005_`QTY1|1_x0005_`BQC|서울토목-30_x0005_`EQC|_x0005_`JDC|_x0005_`WQC|_x0005_`EDT|_x0005_`ADJ|F_x0005_`DET|"&amp;ROW(일위대가표!A1034)&amp;"_x0005_`"</f>
        <v>_x0007_`COD|B01416_x0005_`QTY1|1_x0005_`BQC|서울토목-30_x0005_`EQC|_x0005_`JDC|_x0005_`WQC|_x0005_`EDT|_x0005_`ADJ|F_x0005_`DET|1034_x0005_`</v>
      </c>
      <c r="K145" s="433" t="str">
        <f ca="1">HYPERLINK("#"&amp;일위대가표!N2&amp;"!A"&amp;ROW(일위대가표!A1034),"B01416 →")</f>
        <v>B01416 →</v>
      </c>
    </row>
    <row r="146" spans="1:11" ht="25.7" customHeight="1">
      <c r="A146" s="460" t="s">
        <v>1800</v>
      </c>
      <c r="B146" s="452" t="s">
        <v>1797</v>
      </c>
      <c r="C146" s="452" t="s">
        <v>1798</v>
      </c>
      <c r="D146" s="460" t="s">
        <v>1799</v>
      </c>
      <c r="E146" s="446">
        <f>일위대가표!F1045</f>
        <v>295479</v>
      </c>
      <c r="F146" s="453">
        <f>일위대가표!H1045</f>
        <v>107079</v>
      </c>
      <c r="G146" s="454">
        <f>일위대가표!J1045</f>
        <v>188400</v>
      </c>
      <c r="H146" s="446">
        <f>일위대가표!L1045</f>
        <v>0</v>
      </c>
      <c r="I146" s="482"/>
      <c r="J146" s="451" t="str">
        <f>"_x0007_`COD|B02799_x0005_`QTY1|1_x0005_`BQC|_x0005_`EQC|_x0005_`JDC|_x0005_`WQC|_x0005_`EDT|_x0005_`ADJ|F_x0005_`DET|"&amp;ROW(일위대가표!A1041)&amp;"_x0005_`"</f>
        <v>_x0007_`COD|B02799_x0005_`QTY1|1_x0005_`BQC|_x0005_`EQC|_x0005_`JDC|_x0005_`WQC|_x0005_`EDT|_x0005_`ADJ|F_x0005_`DET|1041_x0005_`</v>
      </c>
      <c r="K146" s="433" t="str">
        <f ca="1">HYPERLINK("#"&amp;일위대가표!N2&amp;"!A"&amp;ROW(일위대가표!A1041),"B02799 →")</f>
        <v>B02799 →</v>
      </c>
    </row>
    <row r="147" spans="1:11" ht="25.7" customHeight="1">
      <c r="A147" s="460" t="s">
        <v>5306</v>
      </c>
      <c r="B147" s="452" t="s">
        <v>5305</v>
      </c>
      <c r="C147" s="452" t="s">
        <v>1798</v>
      </c>
      <c r="D147" s="460" t="s">
        <v>1799</v>
      </c>
      <c r="E147" s="446">
        <f>일위대가표!F1050</f>
        <v>311541</v>
      </c>
      <c r="F147" s="453">
        <f>일위대가표!H1050</f>
        <v>123141</v>
      </c>
      <c r="G147" s="454">
        <f>일위대가표!J1050</f>
        <v>188400</v>
      </c>
      <c r="H147" s="446">
        <f>일위대가표!L1050</f>
        <v>0</v>
      </c>
      <c r="I147" s="482"/>
      <c r="J147" s="451" t="str">
        <f>"_x0007_`COD|B02889_x0005_`QTY1|1_x0005_`BQC|_x0005_`EQC|_x0005_`JDC|_x0005_`WQC|_x0005_`EDT|_x0005_`ADJ|F_x0005_`DET|"&amp;ROW(일위대가표!A1046)&amp;"_x0005_`"</f>
        <v>_x0007_`COD|B02889_x0005_`QTY1|1_x0005_`BQC|_x0005_`EQC|_x0005_`JDC|_x0005_`WQC|_x0005_`EDT|_x0005_`ADJ|F_x0005_`DET|1046_x0005_`</v>
      </c>
      <c r="K147" s="433" t="str">
        <f ca="1">HYPERLINK("#"&amp;일위대가표!N2&amp;"!A"&amp;ROW(일위대가표!A1046),"B02889 →")</f>
        <v>B02889 →</v>
      </c>
    </row>
    <row r="148" spans="1:11" ht="25.7" customHeight="1">
      <c r="A148" s="460" t="s">
        <v>5310</v>
      </c>
      <c r="B148" s="452" t="s">
        <v>5309</v>
      </c>
      <c r="C148" s="452" t="s">
        <v>1798</v>
      </c>
      <c r="D148" s="460" t="s">
        <v>1799</v>
      </c>
      <c r="E148" s="446">
        <f>일위대가표!F1055</f>
        <v>322249</v>
      </c>
      <c r="F148" s="453">
        <f>일위대가표!H1055</f>
        <v>133849</v>
      </c>
      <c r="G148" s="454">
        <f>일위대가표!J1055</f>
        <v>188400</v>
      </c>
      <c r="H148" s="446">
        <f>일위대가표!L1055</f>
        <v>0</v>
      </c>
      <c r="I148" s="482"/>
      <c r="J148" s="451" t="str">
        <f>"_x0007_`COD|B02820_x0005_`QTY1|1_x0005_`BQC|_x0005_`EQC|_x0005_`JDC|_x0005_`WQC|_x0005_`EDT|_x0005_`ADJ|F_x0005_`DET|"&amp;ROW(일위대가표!A1051)&amp;"_x0005_`"</f>
        <v>_x0007_`COD|B02820_x0005_`QTY1|1_x0005_`BQC|_x0005_`EQC|_x0005_`JDC|_x0005_`WQC|_x0005_`EDT|_x0005_`ADJ|F_x0005_`DET|1051_x0005_`</v>
      </c>
      <c r="K148" s="433" t="str">
        <f ca="1">HYPERLINK("#"&amp;일위대가표!N2&amp;"!A"&amp;ROW(일위대가표!A1051),"B02820 →")</f>
        <v>B02820 →</v>
      </c>
    </row>
    <row r="149" spans="1:11" ht="25.7" customHeight="1">
      <c r="A149" s="460" t="s">
        <v>1274</v>
      </c>
      <c r="B149" s="452" t="s">
        <v>1268</v>
      </c>
      <c r="C149" s="452" t="s">
        <v>1273</v>
      </c>
      <c r="D149" s="460" t="s">
        <v>595</v>
      </c>
      <c r="E149" s="446">
        <f>일위대가표!F1059</f>
        <v>2925</v>
      </c>
      <c r="F149" s="453">
        <f>일위대가표!H1059</f>
        <v>2925</v>
      </c>
      <c r="G149" s="454">
        <f>일위대가표!J1059</f>
        <v>0</v>
      </c>
      <c r="H149" s="446">
        <f>일위대가표!L1059</f>
        <v>0</v>
      </c>
      <c r="I149" s="482" t="s">
        <v>2313</v>
      </c>
      <c r="J149" s="451" t="str">
        <f>"_x0007_`COD|B02186_x0005_`QTY1|1_x0005_`BQC|산림8-20_x0005_`EQC|_x0005_`JDC|_x0005_`WQC|_x0005_`EDT|_x0005_`ADJ|F_x0005_`DET|"&amp;ROW(일위대가표!A1056)&amp;"_x0005_`"</f>
        <v>_x0007_`COD|B02186_x0005_`QTY1|1_x0005_`BQC|산림8-20_x0005_`EQC|_x0005_`JDC|_x0005_`WQC|_x0005_`EDT|_x0005_`ADJ|F_x0005_`DET|1056_x0005_`</v>
      </c>
      <c r="K149" s="433" t="str">
        <f ca="1">HYPERLINK("#"&amp;일위대가표!N2&amp;"!A"&amp;ROW(일위대가표!A1056),"B02186 →")</f>
        <v>B02186 →</v>
      </c>
    </row>
    <row r="150" spans="1:11" ht="25.7" customHeight="1">
      <c r="A150" s="460" t="s">
        <v>1270</v>
      </c>
      <c r="B150" s="452" t="s">
        <v>1268</v>
      </c>
      <c r="C150" s="452" t="s">
        <v>1269</v>
      </c>
      <c r="D150" s="460" t="s">
        <v>595</v>
      </c>
      <c r="E150" s="446">
        <f>일위대가표!F1063</f>
        <v>3269</v>
      </c>
      <c r="F150" s="453">
        <f>일위대가표!H1063</f>
        <v>3269</v>
      </c>
      <c r="G150" s="454">
        <f>일위대가표!J1063</f>
        <v>0</v>
      </c>
      <c r="H150" s="446">
        <f>일위대가표!L1063</f>
        <v>0</v>
      </c>
      <c r="I150" s="482" t="s">
        <v>2313</v>
      </c>
      <c r="J150" s="451" t="str">
        <f>"_x0007_`COD|B02124_x0005_`QTY1|1_x0005_`BQC|산림8-20_x0005_`EQC|_x0005_`JDC|_x0005_`WQC|_x0005_`EDT|_x0005_`ADJ|F_x0005_`DET|"&amp;ROW(일위대가표!A1060)&amp;"_x0005_`"</f>
        <v>_x0007_`COD|B02124_x0005_`QTY1|1_x0005_`BQC|산림8-20_x0005_`EQC|_x0005_`JDC|_x0005_`WQC|_x0005_`EDT|_x0005_`ADJ|F_x0005_`DET|1060_x0005_`</v>
      </c>
      <c r="K150" s="433" t="str">
        <f ca="1">HYPERLINK("#"&amp;일위대가표!N2&amp;"!A"&amp;ROW(일위대가표!A1060),"B02124 →")</f>
        <v>B02124 →</v>
      </c>
    </row>
    <row r="151" spans="1:11" ht="25.7" customHeight="1">
      <c r="A151" s="460" t="s">
        <v>2012</v>
      </c>
      <c r="B151" s="452" t="s">
        <v>2006</v>
      </c>
      <c r="C151" s="452" t="s">
        <v>2011</v>
      </c>
      <c r="D151" s="460" t="s">
        <v>1799</v>
      </c>
      <c r="E151" s="446">
        <f>일위대가표!F1071</f>
        <v>15483</v>
      </c>
      <c r="F151" s="453">
        <f>일위대가표!H1071</f>
        <v>15064</v>
      </c>
      <c r="G151" s="454">
        <f>일위대가표!J1071</f>
        <v>338</v>
      </c>
      <c r="H151" s="446">
        <f>일위대가표!L1071</f>
        <v>81</v>
      </c>
      <c r="I151" s="482" t="s">
        <v>2280</v>
      </c>
      <c r="J151" s="451" t="str">
        <f>"_x0007_`COD|B02694_x0005_`QTY1|1_x0005_`BQC|25조경설계대가_x0005_`EQC|_x0005_`JDC|_x0005_`WQC|_x0005_`EDT|_x0005_`ADJ|F_x0005_`DET|"&amp;ROW(일위대가표!A1064)&amp;"_x0005_`"</f>
        <v>_x0007_`COD|B02694_x0005_`QTY1|1_x0005_`BQC|25조경설계대가_x0005_`EQC|_x0005_`JDC|_x0005_`WQC|_x0005_`EDT|_x0005_`ADJ|F_x0005_`DET|1064_x0005_`</v>
      </c>
      <c r="K151" s="433" t="str">
        <f ca="1">HYPERLINK("#"&amp;일위대가표!N2&amp;"!A"&amp;ROW(일위대가표!A1064),"B02694 →")</f>
        <v>B02694 →</v>
      </c>
    </row>
    <row r="152" spans="1:11" ht="25.7" customHeight="1">
      <c r="A152" s="460" t="s">
        <v>2016</v>
      </c>
      <c r="B152" s="452" t="s">
        <v>2006</v>
      </c>
      <c r="C152" s="452" t="s">
        <v>2015</v>
      </c>
      <c r="D152" s="460" t="s">
        <v>1799</v>
      </c>
      <c r="E152" s="446">
        <f>일위대가표!F1079</f>
        <v>22228</v>
      </c>
      <c r="F152" s="453">
        <f>일위대가표!H1079</f>
        <v>21654</v>
      </c>
      <c r="G152" s="454">
        <f>일위대가표!J1079</f>
        <v>462</v>
      </c>
      <c r="H152" s="446">
        <f>일위대가표!L1079</f>
        <v>112</v>
      </c>
      <c r="I152" s="482" t="s">
        <v>2280</v>
      </c>
      <c r="J152" s="451" t="str">
        <f>"_x0007_`COD|B02695_x0005_`QTY1|1_x0005_`BQC|25조경설계대가_x0005_`EQC|_x0005_`JDC|_x0005_`WQC|_x0005_`EDT|_x0005_`ADJ|F_x0005_`DET|"&amp;ROW(일위대가표!A1072)&amp;"_x0005_`"</f>
        <v>_x0007_`COD|B02695_x0005_`QTY1|1_x0005_`BQC|25조경설계대가_x0005_`EQC|_x0005_`JDC|_x0005_`WQC|_x0005_`EDT|_x0005_`ADJ|F_x0005_`DET|1072_x0005_`</v>
      </c>
      <c r="K152" s="433" t="str">
        <f ca="1">HYPERLINK("#"&amp;일위대가표!N2&amp;"!A"&amp;ROW(일위대가표!A1072),"B02695 →")</f>
        <v>B02695 →</v>
      </c>
    </row>
    <row r="153" spans="1:11" ht="25.7" customHeight="1">
      <c r="A153" s="460" t="s">
        <v>2020</v>
      </c>
      <c r="B153" s="452" t="s">
        <v>2006</v>
      </c>
      <c r="C153" s="452" t="s">
        <v>2019</v>
      </c>
      <c r="D153" s="460" t="s">
        <v>1799</v>
      </c>
      <c r="E153" s="446">
        <f>일위대가표!F1087</f>
        <v>32875</v>
      </c>
      <c r="F153" s="453">
        <f>일위대가표!H1087</f>
        <v>32011</v>
      </c>
      <c r="G153" s="454">
        <f>일위대가표!J1087</f>
        <v>696</v>
      </c>
      <c r="H153" s="446">
        <f>일위대가표!L1087</f>
        <v>168</v>
      </c>
      <c r="I153" s="482" t="s">
        <v>2280</v>
      </c>
      <c r="J153" s="451" t="str">
        <f>"_x0007_`COD|B02696_x0005_`QTY1|1_x0005_`BQC|25조경설계대가_x0005_`EQC|_x0005_`JDC|_x0005_`WQC|_x0005_`EDT|_x0005_`ADJ|F_x0005_`DET|"&amp;ROW(일위대가표!A1080)&amp;"_x0005_`"</f>
        <v>_x0007_`COD|B02696_x0005_`QTY1|1_x0005_`BQC|25조경설계대가_x0005_`EQC|_x0005_`JDC|_x0005_`WQC|_x0005_`EDT|_x0005_`ADJ|F_x0005_`DET|1080_x0005_`</v>
      </c>
      <c r="K153" s="433" t="str">
        <f ca="1">HYPERLINK("#"&amp;일위대가표!N2&amp;"!A"&amp;ROW(일위대가표!A1080),"B02696 →")</f>
        <v>B02696 →</v>
      </c>
    </row>
    <row r="154" spans="1:11" ht="25.7" customHeight="1">
      <c r="A154" s="460" t="s">
        <v>2024</v>
      </c>
      <c r="B154" s="452" t="s">
        <v>2006</v>
      </c>
      <c r="C154" s="452" t="s">
        <v>2023</v>
      </c>
      <c r="D154" s="460" t="s">
        <v>1799</v>
      </c>
      <c r="E154" s="446">
        <f>일위대가표!F1095</f>
        <v>41565</v>
      </c>
      <c r="F154" s="453">
        <f>일위대가표!H1095</f>
        <v>40485</v>
      </c>
      <c r="G154" s="454">
        <f>일위대가표!J1095</f>
        <v>870</v>
      </c>
      <c r="H154" s="446">
        <f>일위대가표!L1095</f>
        <v>210</v>
      </c>
      <c r="I154" s="482" t="s">
        <v>2280</v>
      </c>
      <c r="J154" s="451" t="str">
        <f>"_x0007_`COD|B02697_x0005_`QTY1|1_x0005_`BQC|25조경설계대가_x0005_`EQC|_x0005_`JDC|_x0005_`WQC|_x0005_`EDT|_x0005_`ADJ|F_x0005_`DET|"&amp;ROW(일위대가표!A1088)&amp;"_x0005_`"</f>
        <v>_x0007_`COD|B02697_x0005_`QTY1|1_x0005_`BQC|25조경설계대가_x0005_`EQC|_x0005_`JDC|_x0005_`WQC|_x0005_`EDT|_x0005_`ADJ|F_x0005_`DET|1088_x0005_`</v>
      </c>
      <c r="K154" s="433" t="str">
        <f ca="1">HYPERLINK("#"&amp;일위대가표!N2&amp;"!A"&amp;ROW(일위대가표!A1088),"B02697 →")</f>
        <v>B02697 →</v>
      </c>
    </row>
    <row r="155" spans="1:11" ht="25.7" customHeight="1">
      <c r="A155" s="460" t="s">
        <v>2028</v>
      </c>
      <c r="B155" s="452" t="s">
        <v>2006</v>
      </c>
      <c r="C155" s="452" t="s">
        <v>2027</v>
      </c>
      <c r="D155" s="460" t="s">
        <v>1799</v>
      </c>
      <c r="E155" s="446">
        <f>일위대가표!F1103</f>
        <v>58973</v>
      </c>
      <c r="F155" s="453">
        <f>일위대가표!H1103</f>
        <v>57432</v>
      </c>
      <c r="G155" s="454">
        <f>일위대가표!J1103</f>
        <v>1242</v>
      </c>
      <c r="H155" s="446">
        <f>일위대가표!L1103</f>
        <v>299</v>
      </c>
      <c r="I155" s="482" t="s">
        <v>2280</v>
      </c>
      <c r="J155" s="451" t="str">
        <f>"_x0007_`COD|B02698_x0005_`QTY1|1_x0005_`BQC|25조경설계대가_x0005_`EQC|_x0005_`JDC|_x0005_`WQC|_x0005_`EDT|_x0005_`ADJ|F_x0005_`DET|"&amp;ROW(일위대가표!A1096)&amp;"_x0005_`"</f>
        <v>_x0007_`COD|B02698_x0005_`QTY1|1_x0005_`BQC|25조경설계대가_x0005_`EQC|_x0005_`JDC|_x0005_`WQC|_x0005_`EDT|_x0005_`ADJ|F_x0005_`DET|1096_x0005_`</v>
      </c>
      <c r="K155" s="433" t="str">
        <f ca="1">HYPERLINK("#"&amp;일위대가표!N2&amp;"!A"&amp;ROW(일위대가표!A1096),"B02698 →")</f>
        <v>B02698 →</v>
      </c>
    </row>
    <row r="156" spans="1:11" ht="25.7" customHeight="1">
      <c r="A156" s="460" t="s">
        <v>2032</v>
      </c>
      <c r="B156" s="452" t="s">
        <v>2006</v>
      </c>
      <c r="C156" s="452" t="s">
        <v>2031</v>
      </c>
      <c r="D156" s="460" t="s">
        <v>1799</v>
      </c>
      <c r="E156" s="446">
        <f>일위대가표!F1111</f>
        <v>70567</v>
      </c>
      <c r="F156" s="453">
        <f>일위대가표!H1111</f>
        <v>68730</v>
      </c>
      <c r="G156" s="454">
        <f>일위대가표!J1111</f>
        <v>1480</v>
      </c>
      <c r="H156" s="446">
        <f>일위대가표!L1111</f>
        <v>357</v>
      </c>
      <c r="I156" s="482" t="s">
        <v>2280</v>
      </c>
      <c r="J156" s="451" t="str">
        <f>"_x0007_`COD|B02699_x0005_`QTY1|1_x0005_`BQC|25조경설계대가_x0005_`EQC|_x0005_`JDC|_x0005_`WQC|_x0005_`EDT|_x0005_`ADJ|F_x0005_`DET|"&amp;ROW(일위대가표!A1104)&amp;"_x0005_`"</f>
        <v>_x0007_`COD|B02699_x0005_`QTY1|1_x0005_`BQC|25조경설계대가_x0005_`EQC|_x0005_`JDC|_x0005_`WQC|_x0005_`EDT|_x0005_`ADJ|F_x0005_`DET|1104_x0005_`</v>
      </c>
      <c r="K156" s="433" t="str">
        <f ca="1">HYPERLINK("#"&amp;일위대가표!N2&amp;"!A"&amp;ROW(일위대가표!A1104),"B02699 →")</f>
        <v>B02699 →</v>
      </c>
    </row>
    <row r="157" spans="1:11" ht="25.7" customHeight="1">
      <c r="A157" s="460" t="s">
        <v>2036</v>
      </c>
      <c r="B157" s="452" t="s">
        <v>2006</v>
      </c>
      <c r="C157" s="452" t="s">
        <v>2035</v>
      </c>
      <c r="D157" s="460" t="s">
        <v>1799</v>
      </c>
      <c r="E157" s="446">
        <f>일위대가표!F1119</f>
        <v>94729</v>
      </c>
      <c r="F157" s="453">
        <f>일위대가표!H1119</f>
        <v>92268</v>
      </c>
      <c r="G157" s="454">
        <f>일위대가표!J1119</f>
        <v>1983</v>
      </c>
      <c r="H157" s="446">
        <f>일위대가표!L1119</f>
        <v>478</v>
      </c>
      <c r="I157" s="482" t="s">
        <v>2280</v>
      </c>
      <c r="J157" s="451" t="str">
        <f>"_x0007_`COD|B02700_x0005_`QTY1|1_x0005_`BQC|25조경설계대가_x0005_`EQC|_x0005_`JDC|_x0005_`WQC|_x0005_`EDT|_x0005_`ADJ|F_x0005_`DET|"&amp;ROW(일위대가표!A1112)&amp;"_x0005_`"</f>
        <v>_x0007_`COD|B02700_x0005_`QTY1|1_x0005_`BQC|25조경설계대가_x0005_`EQC|_x0005_`JDC|_x0005_`WQC|_x0005_`EDT|_x0005_`ADJ|F_x0005_`DET|1112_x0005_`</v>
      </c>
      <c r="K157" s="433" t="str">
        <f ca="1">HYPERLINK("#"&amp;일위대가표!N2&amp;"!A"&amp;ROW(일위대가표!A1112),"B02700 →")</f>
        <v>B02700 →</v>
      </c>
    </row>
    <row r="158" spans="1:11" ht="25.7" customHeight="1">
      <c r="A158" s="460" t="s">
        <v>2040</v>
      </c>
      <c r="B158" s="452" t="s">
        <v>2006</v>
      </c>
      <c r="C158" s="452" t="s">
        <v>2039</v>
      </c>
      <c r="D158" s="460" t="s">
        <v>1799</v>
      </c>
      <c r="E158" s="446">
        <f>일위대가표!F1127</f>
        <v>110183</v>
      </c>
      <c r="F158" s="453">
        <f>일위대가표!H1127</f>
        <v>107332</v>
      </c>
      <c r="G158" s="454">
        <f>일위대가표!J1127</f>
        <v>2297</v>
      </c>
      <c r="H158" s="446">
        <f>일위대가표!L1127</f>
        <v>554</v>
      </c>
      <c r="I158" s="482" t="s">
        <v>2280</v>
      </c>
      <c r="J158" s="451" t="str">
        <f>"_x0007_`COD|B02701_x0005_`QTY1|1_x0005_`BQC|25조경설계대가_x0005_`EQC|_x0005_`JDC|_x0005_`WQC|_x0005_`EDT|_x0005_`ADJ|F_x0005_`DET|"&amp;ROW(일위대가표!A1120)&amp;"_x0005_`"</f>
        <v>_x0007_`COD|B02701_x0005_`QTY1|1_x0005_`BQC|25조경설계대가_x0005_`EQC|_x0005_`JDC|_x0005_`WQC|_x0005_`EDT|_x0005_`ADJ|F_x0005_`DET|1120_x0005_`</v>
      </c>
      <c r="K158" s="433" t="str">
        <f ca="1">HYPERLINK("#"&amp;일위대가표!N2&amp;"!A"&amp;ROW(일위대가표!A1120),"B02701 →")</f>
        <v>B02701 →</v>
      </c>
    </row>
    <row r="159" spans="1:11" ht="25.7" customHeight="1">
      <c r="A159" s="460" t="s">
        <v>2044</v>
      </c>
      <c r="B159" s="452" t="s">
        <v>2006</v>
      </c>
      <c r="C159" s="452" t="s">
        <v>2043</v>
      </c>
      <c r="D159" s="460" t="s">
        <v>1799</v>
      </c>
      <c r="E159" s="446">
        <f>일위대가표!F1135</f>
        <v>141121</v>
      </c>
      <c r="F159" s="453">
        <f>일위대가표!H1135</f>
        <v>137461</v>
      </c>
      <c r="G159" s="454">
        <f>일위대가표!J1135</f>
        <v>2949</v>
      </c>
      <c r="H159" s="446">
        <f>일위대가표!L1135</f>
        <v>711</v>
      </c>
      <c r="I159" s="482" t="s">
        <v>2280</v>
      </c>
      <c r="J159" s="451" t="str">
        <f>"_x0007_`COD|B02702_x0005_`QTY1|1_x0005_`BQC|25조경설계대가_x0005_`EQC|_x0005_`JDC|_x0005_`WQC|_x0005_`EDT|_x0005_`ADJ|F_x0005_`DET|"&amp;ROW(일위대가표!A1128)&amp;"_x0005_`"</f>
        <v>_x0007_`COD|B02702_x0005_`QTY1|1_x0005_`BQC|25조경설계대가_x0005_`EQC|_x0005_`JDC|_x0005_`WQC|_x0005_`EDT|_x0005_`ADJ|F_x0005_`DET|1128_x0005_`</v>
      </c>
      <c r="K159" s="433" t="str">
        <f ca="1">HYPERLINK("#"&amp;일위대가표!N2&amp;"!A"&amp;ROW(일위대가표!A1128),"B02702 →")</f>
        <v>B02702 →</v>
      </c>
    </row>
    <row r="160" spans="1:11" ht="25.7" customHeight="1">
      <c r="A160" s="460" t="s">
        <v>2048</v>
      </c>
      <c r="B160" s="452" t="s">
        <v>2006</v>
      </c>
      <c r="C160" s="452" t="s">
        <v>2047</v>
      </c>
      <c r="D160" s="460" t="s">
        <v>1799</v>
      </c>
      <c r="E160" s="446">
        <f>일위대가표!F1143</f>
        <v>160465</v>
      </c>
      <c r="F160" s="453">
        <f>일위대가표!H1143</f>
        <v>156291</v>
      </c>
      <c r="G160" s="454">
        <f>일위대가표!J1143</f>
        <v>3364</v>
      </c>
      <c r="H160" s="446">
        <f>일위대가표!L1143</f>
        <v>810</v>
      </c>
      <c r="I160" s="482" t="s">
        <v>2280</v>
      </c>
      <c r="J160" s="451" t="str">
        <f>"_x0007_`COD|B02703_x0005_`QTY1|1_x0005_`BQC|25조경설계대가_x0005_`EQC|_x0005_`JDC|_x0005_`WQC|_x0005_`EDT|_x0005_`ADJ|F_x0005_`DET|"&amp;ROW(일위대가표!A1136)&amp;"_x0005_`"</f>
        <v>_x0007_`COD|B02703_x0005_`QTY1|1_x0005_`BQC|25조경설계대가_x0005_`EQC|_x0005_`JDC|_x0005_`WQC|_x0005_`EDT|_x0005_`ADJ|F_x0005_`DET|1136_x0005_`</v>
      </c>
      <c r="K160" s="433" t="str">
        <f ca="1">HYPERLINK("#"&amp;일위대가표!N2&amp;"!A"&amp;ROW(일위대가표!A1136),"B02703 →")</f>
        <v>B02703 →</v>
      </c>
    </row>
    <row r="161" spans="1:11" ht="25.7" customHeight="1">
      <c r="A161" s="460" t="s">
        <v>2052</v>
      </c>
      <c r="B161" s="452" t="s">
        <v>2006</v>
      </c>
      <c r="C161" s="452" t="s">
        <v>2051</v>
      </c>
      <c r="D161" s="460" t="s">
        <v>1799</v>
      </c>
      <c r="E161" s="446">
        <f>일위대가표!F1151</f>
        <v>202971</v>
      </c>
      <c r="F161" s="453">
        <f>일위대가표!H1151</f>
        <v>197718</v>
      </c>
      <c r="G161" s="454">
        <f>일위대가표!J1151</f>
        <v>4234</v>
      </c>
      <c r="H161" s="446">
        <f>일위대가표!L1151</f>
        <v>1019</v>
      </c>
      <c r="I161" s="482" t="s">
        <v>2280</v>
      </c>
      <c r="J161" s="451" t="str">
        <f>"_x0007_`COD|B02704_x0005_`QTY1|1_x0005_`BQC|25조경설계대가_x0005_`EQC|_x0005_`JDC|_x0005_`WQC|_x0005_`EDT|_x0005_`ADJ|F_x0005_`DET|"&amp;ROW(일위대가표!A1144)&amp;"_x0005_`"</f>
        <v>_x0007_`COD|B02704_x0005_`QTY1|1_x0005_`BQC|25조경설계대가_x0005_`EQC|_x0005_`JDC|_x0005_`WQC|_x0005_`EDT|_x0005_`ADJ|F_x0005_`DET|1144_x0005_`</v>
      </c>
      <c r="K161" s="433" t="str">
        <f ca="1">HYPERLINK("#"&amp;일위대가표!N2&amp;"!A"&amp;ROW(일위대가표!A1144),"B02704 →")</f>
        <v>B02704 →</v>
      </c>
    </row>
    <row r="162" spans="1:11" ht="25.7" customHeight="1">
      <c r="A162" s="460" t="s">
        <v>2056</v>
      </c>
      <c r="B162" s="452" t="s">
        <v>2006</v>
      </c>
      <c r="C162" s="452" t="s">
        <v>2055</v>
      </c>
      <c r="D162" s="460" t="s">
        <v>1799</v>
      </c>
      <c r="E162" s="446">
        <f>일위대가표!F1159</f>
        <v>300601</v>
      </c>
      <c r="F162" s="453">
        <f>일위대가표!H1159</f>
        <v>292811</v>
      </c>
      <c r="G162" s="454">
        <f>일위대가표!J1159</f>
        <v>6278</v>
      </c>
      <c r="H162" s="446">
        <f>일위대가표!L1159</f>
        <v>1512</v>
      </c>
      <c r="I162" s="482" t="s">
        <v>2280</v>
      </c>
      <c r="J162" s="451" t="str">
        <f>"_x0007_`COD|B02705_x0005_`QTY1|1_x0005_`BQC|25조경설계대가_x0005_`EQC|_x0005_`JDC|_x0005_`WQC|_x0005_`EDT|_x0005_`ADJ|F_x0005_`DET|"&amp;ROW(일위대가표!A1152)&amp;"_x0005_`"</f>
        <v>_x0007_`COD|B02705_x0005_`QTY1|1_x0005_`BQC|25조경설계대가_x0005_`EQC|_x0005_`JDC|_x0005_`WQC|_x0005_`EDT|_x0005_`ADJ|F_x0005_`DET|1152_x0005_`</v>
      </c>
      <c r="K162" s="433" t="str">
        <f ca="1">HYPERLINK("#"&amp;일위대가표!N2&amp;"!A"&amp;ROW(일위대가표!A1152),"B02705 →")</f>
        <v>B02705 →</v>
      </c>
    </row>
    <row r="163" spans="1:11" ht="25.7" customHeight="1">
      <c r="A163" s="460" t="s">
        <v>2060</v>
      </c>
      <c r="B163" s="452" t="s">
        <v>2006</v>
      </c>
      <c r="C163" s="452" t="s">
        <v>2059</v>
      </c>
      <c r="D163" s="460" t="s">
        <v>1799</v>
      </c>
      <c r="E163" s="446">
        <f>일위대가표!F1167</f>
        <v>504533</v>
      </c>
      <c r="F163" s="453">
        <f>일위대가표!H1167</f>
        <v>491470</v>
      </c>
      <c r="G163" s="454">
        <f>일위대가표!J1167</f>
        <v>10528</v>
      </c>
      <c r="H163" s="446">
        <f>일위대가표!L1167</f>
        <v>2535</v>
      </c>
      <c r="I163" s="482" t="s">
        <v>2280</v>
      </c>
      <c r="J163" s="451" t="str">
        <f>"_x0007_`COD|B02706_x0005_`QTY1|1_x0005_`BQC|25조경설계대가_x0005_`EQC|_x0005_`JDC|_x0005_`WQC|_x0005_`EDT|_x0005_`ADJ|F_x0005_`DET|"&amp;ROW(일위대가표!A1160)&amp;"_x0005_`"</f>
        <v>_x0007_`COD|B02706_x0005_`QTY1|1_x0005_`BQC|25조경설계대가_x0005_`EQC|_x0005_`JDC|_x0005_`WQC|_x0005_`EDT|_x0005_`ADJ|F_x0005_`DET|1160_x0005_`</v>
      </c>
      <c r="K163" s="433" t="str">
        <f ca="1">HYPERLINK("#"&amp;일위대가표!N2&amp;"!A"&amp;ROW(일위대가표!A1160),"B02706 →")</f>
        <v>B02706 →</v>
      </c>
    </row>
    <row r="164" spans="1:11" ht="25.7" customHeight="1">
      <c r="A164" s="460" t="s">
        <v>2064</v>
      </c>
      <c r="B164" s="452" t="s">
        <v>2006</v>
      </c>
      <c r="C164" s="452" t="s">
        <v>2063</v>
      </c>
      <c r="D164" s="460" t="s">
        <v>1799</v>
      </c>
      <c r="E164" s="446">
        <f>일위대가표!F1175</f>
        <v>674645</v>
      </c>
      <c r="F164" s="453">
        <f>일위대가표!H1175</f>
        <v>657177</v>
      </c>
      <c r="G164" s="454">
        <f>일위대가표!J1175</f>
        <v>14078</v>
      </c>
      <c r="H164" s="446">
        <f>일위대가표!L1175</f>
        <v>3390</v>
      </c>
      <c r="I164" s="482" t="s">
        <v>2280</v>
      </c>
      <c r="J164" s="451" t="str">
        <f>"_x0007_`COD|B02707_x0005_`QTY1|1_x0005_`BQC|25조경설계대가_x0005_`EQC|_x0005_`JDC|_x0005_`WQC|_x0005_`EDT|_x0005_`ADJ|F_x0005_`DET|"&amp;ROW(일위대가표!A1168)&amp;"_x0005_`"</f>
        <v>_x0007_`COD|B02707_x0005_`QTY1|1_x0005_`BQC|25조경설계대가_x0005_`EQC|_x0005_`JDC|_x0005_`WQC|_x0005_`EDT|_x0005_`ADJ|F_x0005_`DET|1168_x0005_`</v>
      </c>
      <c r="K164" s="433" t="str">
        <f ca="1">HYPERLINK("#"&amp;일위대가표!N2&amp;"!A"&amp;ROW(일위대가표!A1168),"B02707 →")</f>
        <v>B02707 →</v>
      </c>
    </row>
    <row r="165" spans="1:11" ht="25.7" customHeight="1">
      <c r="A165" s="460" t="s">
        <v>2068</v>
      </c>
      <c r="B165" s="452" t="s">
        <v>2006</v>
      </c>
      <c r="C165" s="452" t="s">
        <v>2067</v>
      </c>
      <c r="D165" s="460" t="s">
        <v>1799</v>
      </c>
      <c r="E165" s="446">
        <f>일위대가표!F1183</f>
        <v>993606</v>
      </c>
      <c r="F165" s="453">
        <f>일위대가표!H1183</f>
        <v>967877</v>
      </c>
      <c r="G165" s="454">
        <f>일위대가표!J1183</f>
        <v>20736</v>
      </c>
      <c r="H165" s="446">
        <f>일위대가표!L1183</f>
        <v>4993</v>
      </c>
      <c r="I165" s="482" t="s">
        <v>2280</v>
      </c>
      <c r="J165" s="451" t="str">
        <f>"_x0007_`COD|B02708_x0005_`QTY1|1_x0005_`BQC|25조경설계대가_x0005_`EQC|_x0005_`JDC|_x0005_`WQC|_x0005_`EDT|_x0005_`ADJ|F_x0005_`DET|"&amp;ROW(일위대가표!A1176)&amp;"_x0005_`"</f>
        <v>_x0007_`COD|B02708_x0005_`QTY1|1_x0005_`BQC|25조경설계대가_x0005_`EQC|_x0005_`JDC|_x0005_`WQC|_x0005_`EDT|_x0005_`ADJ|F_x0005_`DET|1176_x0005_`</v>
      </c>
      <c r="K165" s="433" t="str">
        <f ca="1">HYPERLINK("#"&amp;일위대가표!N2&amp;"!A"&amp;ROW(일위대가표!A1176),"B02708 →")</f>
        <v>B02708 →</v>
      </c>
    </row>
    <row r="166" spans="1:11" ht="25.7" customHeight="1">
      <c r="A166" s="460" t="s">
        <v>2072</v>
      </c>
      <c r="B166" s="452" t="s">
        <v>2006</v>
      </c>
      <c r="C166" s="452" t="s">
        <v>2071</v>
      </c>
      <c r="D166" s="460" t="s">
        <v>1799</v>
      </c>
      <c r="E166" s="446">
        <f>일위대가표!F1191</f>
        <v>1227525</v>
      </c>
      <c r="F166" s="453">
        <f>일위대가표!H1191</f>
        <v>1195724</v>
      </c>
      <c r="G166" s="454">
        <f>일위대가표!J1191</f>
        <v>25630</v>
      </c>
      <c r="H166" s="446">
        <f>일위대가표!L1191</f>
        <v>6171</v>
      </c>
      <c r="I166" s="482" t="s">
        <v>2280</v>
      </c>
      <c r="J166" s="451" t="str">
        <f>"_x0007_`COD|B02709_x0005_`QTY1|1_x0005_`BQC|25조경설계대가_x0005_`EQC|_x0005_`JDC|_x0005_`WQC|_x0005_`EDT|_x0005_`ADJ|F_x0005_`DET|"&amp;ROW(일위대가표!A1184)&amp;"_x0005_`"</f>
        <v>_x0007_`COD|B02709_x0005_`QTY1|1_x0005_`BQC|25조경설계대가_x0005_`EQC|_x0005_`JDC|_x0005_`WQC|_x0005_`EDT|_x0005_`ADJ|F_x0005_`DET|1184_x0005_`</v>
      </c>
      <c r="K166" s="433" t="str">
        <f ca="1">HYPERLINK("#"&amp;일위대가표!N2&amp;"!A"&amp;ROW(일위대가표!A1184),"B02709 →")</f>
        <v>B02709 →</v>
      </c>
    </row>
    <row r="167" spans="1:11" ht="25.7" customHeight="1">
      <c r="A167" s="460" t="s">
        <v>2076</v>
      </c>
      <c r="B167" s="452" t="s">
        <v>2006</v>
      </c>
      <c r="C167" s="452" t="s">
        <v>2075</v>
      </c>
      <c r="D167" s="460" t="s">
        <v>1799</v>
      </c>
      <c r="E167" s="446">
        <f>일위대가표!F1199</f>
        <v>1579342</v>
      </c>
      <c r="F167" s="453">
        <f>일위대가표!H1199</f>
        <v>1538435</v>
      </c>
      <c r="G167" s="454">
        <f>일위대가표!J1199</f>
        <v>32969</v>
      </c>
      <c r="H167" s="446">
        <f>일위대가표!L1199</f>
        <v>7938</v>
      </c>
      <c r="I167" s="482" t="s">
        <v>2280</v>
      </c>
      <c r="J167" s="451" t="str">
        <f>"_x0007_`COD|B02710_x0005_`QTY1|1_x0005_`BQC|25조경설계대가_x0005_`EQC|_x0005_`JDC|_x0005_`WQC|_x0005_`EDT|_x0005_`ADJ|F_x0005_`DET|"&amp;ROW(일위대가표!A1192)&amp;"_x0005_`"</f>
        <v>_x0007_`COD|B02710_x0005_`QTY1|1_x0005_`BQC|25조경설계대가_x0005_`EQC|_x0005_`JDC|_x0005_`WQC|_x0005_`EDT|_x0005_`ADJ|F_x0005_`DET|1192_x0005_`</v>
      </c>
      <c r="K167" s="433" t="str">
        <f ca="1">HYPERLINK("#"&amp;일위대가표!N2&amp;"!A"&amp;ROW(일위대가표!A1192),"B02710 →")</f>
        <v>B02710 →</v>
      </c>
    </row>
    <row r="168" spans="1:11" ht="25.7" customHeight="1">
      <c r="A168" s="460" t="s">
        <v>2080</v>
      </c>
      <c r="B168" s="452" t="s">
        <v>2006</v>
      </c>
      <c r="C168" s="452" t="s">
        <v>2079</v>
      </c>
      <c r="D168" s="460" t="s">
        <v>1799</v>
      </c>
      <c r="E168" s="446">
        <f>일위대가표!F1207</f>
        <v>1842237</v>
      </c>
      <c r="F168" s="453">
        <f>일위대가표!H1207</f>
        <v>1795257</v>
      </c>
      <c r="G168" s="454">
        <f>일위대가표!J1207</f>
        <v>37864</v>
      </c>
      <c r="H168" s="446">
        <f>일위대가표!L1207</f>
        <v>9116</v>
      </c>
      <c r="I168" s="482" t="s">
        <v>2280</v>
      </c>
      <c r="J168" s="451" t="str">
        <f>"_x0007_`COD|B02711_x0005_`QTY1|1_x0005_`BQC|25조경설계대가_x0005_`EQC|_x0005_`JDC|_x0005_`WQC|_x0005_`EDT|_x0005_`ADJ|F_x0005_`DET|"&amp;ROW(일위대가표!A1200)&amp;"_x0005_`"</f>
        <v>_x0007_`COD|B02711_x0005_`QTY1|1_x0005_`BQC|25조경설계대가_x0005_`EQC|_x0005_`JDC|_x0005_`WQC|_x0005_`EDT|_x0005_`ADJ|F_x0005_`DET|1200_x0005_`</v>
      </c>
      <c r="K168" s="433" t="str">
        <f ca="1">HYPERLINK("#"&amp;일위대가표!N2&amp;"!A"&amp;ROW(일위대가표!A1200),"B02711 →")</f>
        <v>B02711 →</v>
      </c>
    </row>
    <row r="169" spans="1:11" ht="25.7" customHeight="1">
      <c r="A169" s="460" t="s">
        <v>2008</v>
      </c>
      <c r="B169" s="452" t="s">
        <v>2006</v>
      </c>
      <c r="C169" s="452" t="s">
        <v>2007</v>
      </c>
      <c r="D169" s="460" t="s">
        <v>1799</v>
      </c>
      <c r="E169" s="446">
        <f>일위대가표!F1215</f>
        <v>10641</v>
      </c>
      <c r="F169" s="453">
        <f>일위대가표!H1215</f>
        <v>10356</v>
      </c>
      <c r="G169" s="454">
        <f>일위대가표!J1215</f>
        <v>229</v>
      </c>
      <c r="H169" s="446">
        <f>일위대가표!L1215</f>
        <v>56</v>
      </c>
      <c r="I169" s="482" t="s">
        <v>2280</v>
      </c>
      <c r="J169" s="451" t="str">
        <f>"_x0007_`COD|B02693_x0005_`QTY1|1_x0005_`BQC|25조경설계대가_x0005_`EQC|_x0005_`JDC|_x0005_`WQC|_x0005_`EDT|_x0005_`ADJ|F_x0005_`DET|"&amp;ROW(일위대가표!A1208)&amp;"_x0005_`"</f>
        <v>_x0007_`COD|B02693_x0005_`QTY1|1_x0005_`BQC|25조경설계대가_x0005_`EQC|_x0005_`JDC|_x0005_`WQC|_x0005_`EDT|_x0005_`ADJ|F_x0005_`DET|1208_x0005_`</v>
      </c>
      <c r="K169" s="433" t="str">
        <f ca="1">HYPERLINK("#"&amp;일위대가표!N2&amp;"!A"&amp;ROW(일위대가표!A1208),"B02693 →")</f>
        <v>B02693 →</v>
      </c>
    </row>
    <row r="170" spans="1:11" ht="25.7" customHeight="1">
      <c r="A170" s="460" t="s">
        <v>1439</v>
      </c>
      <c r="B170" s="452" t="s">
        <v>1437</v>
      </c>
      <c r="C170" s="452" t="s">
        <v>1438</v>
      </c>
      <c r="D170" s="460" t="s">
        <v>975</v>
      </c>
      <c r="E170" s="446">
        <f>일위대가표!F1219</f>
        <v>2436000</v>
      </c>
      <c r="F170" s="453">
        <f>일위대가표!H1219</f>
        <v>0</v>
      </c>
      <c r="G170" s="454">
        <f>일위대가표!J1219</f>
        <v>2436000</v>
      </c>
      <c r="H170" s="446">
        <f>일위대가표!L1219</f>
        <v>0</v>
      </c>
      <c r="I170" s="482"/>
      <c r="J170" s="451" t="str">
        <f>"_x0007_`COD|B02588_x0005_`QTY1|1_x0005_`BQC|_x0005_`EQC|_x0005_`JDC|_x0005_`WQC|_x0005_`EDT|_x0005_`ADJ|F_x0005_`DET|"&amp;ROW(일위대가표!A1216)&amp;"_x0005_`"</f>
        <v>_x0007_`COD|B02588_x0005_`QTY1|1_x0005_`BQC|_x0005_`EQC|_x0005_`JDC|_x0005_`WQC|_x0005_`EDT|_x0005_`ADJ|F_x0005_`DET|1216_x0005_`</v>
      </c>
      <c r="K170" s="433" t="str">
        <f ca="1">HYPERLINK("#"&amp;일위대가표!N2&amp;"!A"&amp;ROW(일위대가표!A1216),"B02588 →")</f>
        <v>B02588 →</v>
      </c>
    </row>
    <row r="171" spans="1:11" ht="25.7" customHeight="1">
      <c r="A171" s="460" t="s">
        <v>1284</v>
      </c>
      <c r="B171" s="452" t="s">
        <v>1282</v>
      </c>
      <c r="C171" s="452" t="s">
        <v>1283</v>
      </c>
      <c r="D171" s="460" t="s">
        <v>595</v>
      </c>
      <c r="E171" s="446">
        <f>일위대가표!F1226</f>
        <v>19215</v>
      </c>
      <c r="F171" s="453">
        <f>일위대가표!H1226</f>
        <v>6371</v>
      </c>
      <c r="G171" s="454">
        <f>일위대가표!J1226</f>
        <v>12118</v>
      </c>
      <c r="H171" s="446">
        <f>일위대가표!L1226</f>
        <v>726</v>
      </c>
      <c r="I171" s="482" t="s">
        <v>2314</v>
      </c>
      <c r="J171" s="451" t="str">
        <f>"_x0007_`COD|B02796_x0005_`QTY1|1_x0005_`BQC|공통4-1-4_x0005_`EQC|_x0005_`JDC|_x0005_`WQC|_x0005_`EDT|_x0005_`ADJ|F_x0005_`DET|"&amp;ROW(일위대가표!A1220)&amp;"_x0005_`"</f>
        <v>_x0007_`COD|B02796_x0005_`QTY1|1_x0005_`BQC|공통4-1-4_x0005_`EQC|_x0005_`JDC|_x0005_`WQC|_x0005_`EDT|_x0005_`ADJ|F_x0005_`DET|1220_x0005_`</v>
      </c>
      <c r="K171" s="433" t="str">
        <f ca="1">HYPERLINK("#"&amp;일위대가표!N2&amp;"!A"&amp;ROW(일위대가표!A1220),"B02796 →")</f>
        <v>B02796 →</v>
      </c>
    </row>
    <row r="172" spans="1:11" ht="25.7" customHeight="1">
      <c r="A172" s="460" t="s">
        <v>1145</v>
      </c>
      <c r="B172" s="452" t="s">
        <v>1144</v>
      </c>
      <c r="C172" s="452" t="s">
        <v>1132</v>
      </c>
      <c r="D172" s="460" t="s">
        <v>911</v>
      </c>
      <c r="E172" s="446">
        <f>일위대가표!F1231</f>
        <v>32721</v>
      </c>
      <c r="F172" s="453">
        <f>일위대가표!H1231</f>
        <v>20346</v>
      </c>
      <c r="G172" s="454">
        <f>일위대가표!J1231</f>
        <v>12375</v>
      </c>
      <c r="H172" s="446">
        <f>일위대가표!L1231</f>
        <v>0</v>
      </c>
      <c r="I172" s="482" t="s">
        <v>2315</v>
      </c>
      <c r="J172" s="451" t="str">
        <f>"_x0007_`COD|B02328_x0005_`QTY1|1_x0005_`BQC|산림12-18_x0005_`EQC|_x0005_`JDC|_x0005_`WQC|_x0005_`EDT|_x0005_`ADJ|F_x0005_`DET|"&amp;ROW(일위대가표!A1227)&amp;"_x0005_`"</f>
        <v>_x0007_`COD|B02328_x0005_`QTY1|1_x0005_`BQC|산림12-18_x0005_`EQC|_x0005_`JDC|_x0005_`WQC|_x0005_`EDT|_x0005_`ADJ|F_x0005_`DET|1227_x0005_`</v>
      </c>
      <c r="K172" s="433" t="str">
        <f ca="1">HYPERLINK("#"&amp;일위대가표!N2&amp;"!A"&amp;ROW(일위대가표!A1227),"B02328 →")</f>
        <v>B02328 →</v>
      </c>
    </row>
    <row r="173" spans="1:11" ht="25.7" customHeight="1">
      <c r="A173" s="460" t="s">
        <v>1148</v>
      </c>
      <c r="B173" s="452" t="s">
        <v>1144</v>
      </c>
      <c r="C173" s="452" t="s">
        <v>1136</v>
      </c>
      <c r="D173" s="460" t="s">
        <v>911</v>
      </c>
      <c r="E173" s="446">
        <f>일위대가표!F1236</f>
        <v>65442</v>
      </c>
      <c r="F173" s="453">
        <f>일위대가표!H1236</f>
        <v>40692</v>
      </c>
      <c r="G173" s="454">
        <f>일위대가표!J1236</f>
        <v>24750</v>
      </c>
      <c r="H173" s="446">
        <f>일위대가표!L1236</f>
        <v>0</v>
      </c>
      <c r="I173" s="482" t="s">
        <v>2315</v>
      </c>
      <c r="J173" s="451" t="str">
        <f>"_x0007_`COD|B02263_x0005_`QTY1|1_x0005_`BQC|산림12-18_x0005_`EQC|_x0005_`JDC|_x0005_`WQC|_x0005_`EDT|_x0005_`ADJ|F_x0005_`DET|"&amp;ROW(일위대가표!A1232)&amp;"_x0005_`"</f>
        <v>_x0007_`COD|B02263_x0005_`QTY1|1_x0005_`BQC|산림12-18_x0005_`EQC|_x0005_`JDC|_x0005_`WQC|_x0005_`EDT|_x0005_`ADJ|F_x0005_`DET|1232_x0005_`</v>
      </c>
      <c r="K173" s="433" t="str">
        <f ca="1">HYPERLINK("#"&amp;일위대가표!N2&amp;"!A"&amp;ROW(일위대가표!A1232),"B02263 →")</f>
        <v>B02263 →</v>
      </c>
    </row>
    <row r="174" spans="1:11" ht="25.7" customHeight="1">
      <c r="A174" s="460" t="s">
        <v>1151</v>
      </c>
      <c r="B174" s="452" t="s">
        <v>1144</v>
      </c>
      <c r="C174" s="452" t="s">
        <v>1140</v>
      </c>
      <c r="D174" s="460" t="s">
        <v>911</v>
      </c>
      <c r="E174" s="446">
        <f>일위대가표!F1241</f>
        <v>98163</v>
      </c>
      <c r="F174" s="453">
        <f>일위대가표!H1241</f>
        <v>61038</v>
      </c>
      <c r="G174" s="454">
        <f>일위대가표!J1241</f>
        <v>37125</v>
      </c>
      <c r="H174" s="446">
        <f>일위대가표!L1241</f>
        <v>0</v>
      </c>
      <c r="I174" s="482" t="s">
        <v>2315</v>
      </c>
      <c r="J174" s="451" t="str">
        <f>"_x0007_`COD|B02273_x0005_`QTY1|1_x0005_`BQC|산림12-18_x0005_`EQC|_x0005_`JDC|_x0005_`WQC|_x0005_`EDT|_x0005_`ADJ|F_x0005_`DET|"&amp;ROW(일위대가표!A1237)&amp;"_x0005_`"</f>
        <v>_x0007_`COD|B02273_x0005_`QTY1|1_x0005_`BQC|산림12-18_x0005_`EQC|_x0005_`JDC|_x0005_`WQC|_x0005_`EDT|_x0005_`ADJ|F_x0005_`DET|1237_x0005_`</v>
      </c>
      <c r="K174" s="433" t="str">
        <f ca="1">HYPERLINK("#"&amp;일위대가표!N2&amp;"!A"&amp;ROW(일위대가표!A1237),"B02273 →")</f>
        <v>B02273 →</v>
      </c>
    </row>
    <row r="175" spans="1:11" ht="25.7" customHeight="1">
      <c r="A175" s="460" t="s">
        <v>5153</v>
      </c>
      <c r="B175" s="452" t="s">
        <v>5152</v>
      </c>
      <c r="C175" s="452" t="s">
        <v>1132</v>
      </c>
      <c r="D175" s="460" t="s">
        <v>911</v>
      </c>
      <c r="E175" s="446">
        <f>일위대가표!F1247</f>
        <v>35773</v>
      </c>
      <c r="F175" s="453">
        <f>일위대가표!H1247</f>
        <v>23398</v>
      </c>
      <c r="G175" s="454">
        <f>일위대가표!J1247</f>
        <v>12375</v>
      </c>
      <c r="H175" s="446">
        <f>일위대가표!L1247</f>
        <v>0</v>
      </c>
      <c r="I175" s="482" t="s">
        <v>2315</v>
      </c>
      <c r="J175" s="451" t="str">
        <f>"_x0007_`COD|B02854_x0005_`QTY1|1_x0005_`BQC|산림12-18_x0005_`EQC|_x0005_`JDC|_x0005_`WQC|_x0005_`EDT|_x0005_`ADJ|F_x0005_`DET|"&amp;ROW(일위대가표!A1242)&amp;"_x0005_`"</f>
        <v>_x0007_`COD|B02854_x0005_`QTY1|1_x0005_`BQC|산림12-18_x0005_`EQC|_x0005_`JDC|_x0005_`WQC|_x0005_`EDT|_x0005_`ADJ|F_x0005_`DET|1242_x0005_`</v>
      </c>
      <c r="K175" s="433" t="str">
        <f ca="1">HYPERLINK("#"&amp;일위대가표!N2&amp;"!A"&amp;ROW(일위대가표!A1242),"B02854 →")</f>
        <v>B02854 →</v>
      </c>
    </row>
    <row r="176" spans="1:11" ht="25.7" customHeight="1">
      <c r="A176" s="460" t="s">
        <v>5156</v>
      </c>
      <c r="B176" s="452" t="s">
        <v>5152</v>
      </c>
      <c r="C176" s="452" t="s">
        <v>1136</v>
      </c>
      <c r="D176" s="460" t="s">
        <v>911</v>
      </c>
      <c r="E176" s="446">
        <f>일위대가표!F1253</f>
        <v>71546</v>
      </c>
      <c r="F176" s="453">
        <f>일위대가표!H1253</f>
        <v>46796</v>
      </c>
      <c r="G176" s="454">
        <f>일위대가표!J1253</f>
        <v>24750</v>
      </c>
      <c r="H176" s="446">
        <f>일위대가표!L1253</f>
        <v>0</v>
      </c>
      <c r="I176" s="482" t="s">
        <v>2315</v>
      </c>
      <c r="J176" s="451" t="str">
        <f>"_x0007_`COD|B02855_x0005_`QTY1|1_x0005_`BQC|산림12-18_x0005_`EQC|_x0005_`JDC|_x0005_`WQC|_x0005_`EDT|_x0005_`ADJ|F_x0005_`DET|"&amp;ROW(일위대가표!A1248)&amp;"_x0005_`"</f>
        <v>_x0007_`COD|B02855_x0005_`QTY1|1_x0005_`BQC|산림12-18_x0005_`EQC|_x0005_`JDC|_x0005_`WQC|_x0005_`EDT|_x0005_`ADJ|F_x0005_`DET|1248_x0005_`</v>
      </c>
      <c r="K176" s="433" t="str">
        <f ca="1">HYPERLINK("#"&amp;일위대가표!N2&amp;"!A"&amp;ROW(일위대가표!A1248),"B02855 →")</f>
        <v>B02855 →</v>
      </c>
    </row>
    <row r="177" spans="1:11" ht="25.7" customHeight="1">
      <c r="A177" s="460" t="s">
        <v>5159</v>
      </c>
      <c r="B177" s="452" t="s">
        <v>5152</v>
      </c>
      <c r="C177" s="452" t="s">
        <v>1140</v>
      </c>
      <c r="D177" s="460" t="s">
        <v>911</v>
      </c>
      <c r="E177" s="446">
        <f>일위대가표!F1259</f>
        <v>107319</v>
      </c>
      <c r="F177" s="453">
        <f>일위대가표!H1259</f>
        <v>70194</v>
      </c>
      <c r="G177" s="454">
        <f>일위대가표!J1259</f>
        <v>37125</v>
      </c>
      <c r="H177" s="446">
        <f>일위대가표!L1259</f>
        <v>0</v>
      </c>
      <c r="I177" s="482" t="s">
        <v>2315</v>
      </c>
      <c r="J177" s="451" t="str">
        <f>"_x0007_`COD|B02856_x0005_`QTY1|1_x0005_`BQC|산림12-18_x0005_`EQC|_x0005_`JDC|_x0005_`WQC|_x0005_`EDT|_x0005_`ADJ|F_x0005_`DET|"&amp;ROW(일위대가표!A1254)&amp;"_x0005_`"</f>
        <v>_x0007_`COD|B02856_x0005_`QTY1|1_x0005_`BQC|산림12-18_x0005_`EQC|_x0005_`JDC|_x0005_`WQC|_x0005_`EDT|_x0005_`ADJ|F_x0005_`DET|1254_x0005_`</v>
      </c>
      <c r="K177" s="433" t="str">
        <f ca="1">HYPERLINK("#"&amp;일위대가표!N2&amp;"!A"&amp;ROW(일위대가표!A1254),"B02856 →")</f>
        <v>B02856 →</v>
      </c>
    </row>
    <row r="178" spans="1:11" ht="25.7" customHeight="1">
      <c r="A178" s="460" t="s">
        <v>1133</v>
      </c>
      <c r="B178" s="452" t="s">
        <v>5162</v>
      </c>
      <c r="C178" s="452" t="s">
        <v>1132</v>
      </c>
      <c r="D178" s="460" t="s">
        <v>911</v>
      </c>
      <c r="E178" s="446">
        <f>일위대가표!F1265</f>
        <v>37807</v>
      </c>
      <c r="F178" s="453">
        <f>일위대가표!H1265</f>
        <v>25432</v>
      </c>
      <c r="G178" s="454">
        <f>일위대가표!J1265</f>
        <v>12375</v>
      </c>
      <c r="H178" s="446">
        <f>일위대가표!L1265</f>
        <v>0</v>
      </c>
      <c r="I178" s="482" t="s">
        <v>2315</v>
      </c>
      <c r="J178" s="451" t="str">
        <f>"_x0007_`COD|B02672_x0005_`QTY1|1_x0005_`BQC|산림12-18_x0005_`EQC|_x0005_`JDC|_x0005_`WQC|_x0005_`EDT|_x0005_`ADJ|F_x0005_`DET|"&amp;ROW(일위대가표!A1260)&amp;"_x0005_`"</f>
        <v>_x0007_`COD|B02672_x0005_`QTY1|1_x0005_`BQC|산림12-18_x0005_`EQC|_x0005_`JDC|_x0005_`WQC|_x0005_`EDT|_x0005_`ADJ|F_x0005_`DET|1260_x0005_`</v>
      </c>
      <c r="K178" s="433" t="str">
        <f ca="1">HYPERLINK("#"&amp;일위대가표!N2&amp;"!A"&amp;ROW(일위대가표!A1260),"B02672 →")</f>
        <v>B02672 →</v>
      </c>
    </row>
    <row r="179" spans="1:11" ht="25.7" customHeight="1">
      <c r="A179" s="460" t="s">
        <v>1137</v>
      </c>
      <c r="B179" s="452" t="s">
        <v>5162</v>
      </c>
      <c r="C179" s="452" t="s">
        <v>1136</v>
      </c>
      <c r="D179" s="460" t="s">
        <v>911</v>
      </c>
      <c r="E179" s="446">
        <f>일위대가표!F1271</f>
        <v>75615</v>
      </c>
      <c r="F179" s="453">
        <f>일위대가표!H1271</f>
        <v>50865</v>
      </c>
      <c r="G179" s="454">
        <f>일위대가표!J1271</f>
        <v>24750</v>
      </c>
      <c r="H179" s="446">
        <f>일위대가표!L1271</f>
        <v>0</v>
      </c>
      <c r="I179" s="482" t="s">
        <v>2315</v>
      </c>
      <c r="J179" s="451" t="str">
        <f>"_x0007_`COD|B02673_x0005_`QTY1|1_x0005_`BQC|산림12-18_x0005_`EQC|_x0005_`JDC|_x0005_`WQC|_x0005_`EDT|_x0005_`ADJ|F_x0005_`DET|"&amp;ROW(일위대가표!A1266)&amp;"_x0005_`"</f>
        <v>_x0007_`COD|B02673_x0005_`QTY1|1_x0005_`BQC|산림12-18_x0005_`EQC|_x0005_`JDC|_x0005_`WQC|_x0005_`EDT|_x0005_`ADJ|F_x0005_`DET|1266_x0005_`</v>
      </c>
      <c r="K179" s="433" t="str">
        <f ca="1">HYPERLINK("#"&amp;일위대가표!N2&amp;"!A"&amp;ROW(일위대가표!A1266),"B02673 →")</f>
        <v>B02673 →</v>
      </c>
    </row>
    <row r="180" spans="1:11" ht="25.7" customHeight="1">
      <c r="A180" s="460" t="s">
        <v>1141</v>
      </c>
      <c r="B180" s="452" t="s">
        <v>5162</v>
      </c>
      <c r="C180" s="452" t="s">
        <v>1140</v>
      </c>
      <c r="D180" s="460" t="s">
        <v>911</v>
      </c>
      <c r="E180" s="446">
        <f>일위대가표!F1277</f>
        <v>113423</v>
      </c>
      <c r="F180" s="453">
        <f>일위대가표!H1277</f>
        <v>76298</v>
      </c>
      <c r="G180" s="454">
        <f>일위대가표!J1277</f>
        <v>37125</v>
      </c>
      <c r="H180" s="446">
        <f>일위대가표!L1277</f>
        <v>0</v>
      </c>
      <c r="I180" s="482" t="s">
        <v>2315</v>
      </c>
      <c r="J180" s="451" t="str">
        <f>"_x0007_`COD|B02674_x0005_`QTY1|1_x0005_`BQC|산림12-18_x0005_`EQC|_x0005_`JDC|_x0005_`WQC|_x0005_`EDT|_x0005_`ADJ|F_x0005_`DET|"&amp;ROW(일위대가표!A1272)&amp;"_x0005_`"</f>
        <v>_x0007_`COD|B02674_x0005_`QTY1|1_x0005_`BQC|산림12-18_x0005_`EQC|_x0005_`JDC|_x0005_`WQC|_x0005_`EDT|_x0005_`ADJ|F_x0005_`DET|1272_x0005_`</v>
      </c>
      <c r="K180" s="433" t="str">
        <f ca="1">HYPERLINK("#"&amp;일위대가표!N2&amp;"!A"&amp;ROW(일위대가표!A1272),"B02674 →")</f>
        <v>B02674 →</v>
      </c>
    </row>
    <row r="181" spans="1:11" ht="25.7" customHeight="1">
      <c r="A181" s="460" t="s">
        <v>1156</v>
      </c>
      <c r="B181" s="452" t="s">
        <v>1154</v>
      </c>
      <c r="C181" s="452" t="s">
        <v>1155</v>
      </c>
      <c r="D181" s="460" t="s">
        <v>911</v>
      </c>
      <c r="E181" s="446">
        <f>일위대가표!F1282</f>
        <v>163606</v>
      </c>
      <c r="F181" s="453">
        <f>일위대가표!H1282</f>
        <v>101731</v>
      </c>
      <c r="G181" s="454">
        <f>일위대가표!J1282</f>
        <v>61875</v>
      </c>
      <c r="H181" s="446">
        <f>일위대가표!L1282</f>
        <v>0</v>
      </c>
      <c r="I181" s="482" t="s">
        <v>2315</v>
      </c>
      <c r="J181" s="451" t="str">
        <f>"_x0007_`COD|B02439_x0005_`QTY1|1_x0005_`BQC|산림12-18_x0005_`EQC|_x0005_`JDC|_x0005_`WQC|_x0005_`EDT|_x0005_`ADJ|F_x0005_`DET|"&amp;ROW(일위대가표!A1278)&amp;"_x0005_`"</f>
        <v>_x0007_`COD|B02439_x0005_`QTY1|1_x0005_`BQC|산림12-18_x0005_`EQC|_x0005_`JDC|_x0005_`WQC|_x0005_`EDT|_x0005_`ADJ|F_x0005_`DET|1278_x0005_`</v>
      </c>
      <c r="K181" s="433" t="str">
        <f ca="1">HYPERLINK("#"&amp;일위대가표!N2&amp;"!A"&amp;ROW(일위대가표!A1278),"B02439 →")</f>
        <v>B02439 →</v>
      </c>
    </row>
    <row r="182" spans="1:11" ht="25.7" customHeight="1">
      <c r="A182" s="460" t="s">
        <v>1744</v>
      </c>
      <c r="B182" s="452" t="s">
        <v>1740</v>
      </c>
      <c r="C182" s="452" t="s">
        <v>1728</v>
      </c>
      <c r="D182" s="460" t="s">
        <v>975</v>
      </c>
      <c r="E182" s="446">
        <f>일위대가표!F1289</f>
        <v>81474</v>
      </c>
      <c r="F182" s="453">
        <f>일위대가표!H1289</f>
        <v>81194</v>
      </c>
      <c r="G182" s="454">
        <f>일위대가표!J1289</f>
        <v>0</v>
      </c>
      <c r="H182" s="446">
        <f>일위대가표!L1289</f>
        <v>280</v>
      </c>
      <c r="I182" s="482"/>
      <c r="J182" s="451" t="str">
        <f>"_x0007_`COD|B02445_x0005_`QTY1|1_x0005_`BQC|_x0005_`EQC|_x0005_`JDC|_x0005_`WQC|_x0005_`EDT|_x0005_`ADJ|F_x0005_`DET|"&amp;ROW(일위대가표!A1283)&amp;"_x0005_`"</f>
        <v>_x0007_`COD|B02445_x0005_`QTY1|1_x0005_`BQC|_x0005_`EQC|_x0005_`JDC|_x0005_`WQC|_x0005_`EDT|_x0005_`ADJ|F_x0005_`DET|1283_x0005_`</v>
      </c>
      <c r="K182" s="433" t="str">
        <f ca="1">HYPERLINK("#"&amp;일위대가표!N2&amp;"!A"&amp;ROW(일위대가표!A1283),"B02445 →")</f>
        <v>B02445 →</v>
      </c>
    </row>
    <row r="183" spans="1:11" ht="25.7" customHeight="1">
      <c r="A183" s="460" t="s">
        <v>1747</v>
      </c>
      <c r="B183" s="452" t="s">
        <v>1740</v>
      </c>
      <c r="C183" s="452" t="s">
        <v>1732</v>
      </c>
      <c r="D183" s="460" t="s">
        <v>975</v>
      </c>
      <c r="E183" s="446">
        <f>일위대가표!F1296</f>
        <v>96572</v>
      </c>
      <c r="F183" s="453">
        <f>일위대가표!H1296</f>
        <v>96292</v>
      </c>
      <c r="G183" s="454">
        <f>일위대가표!J1296</f>
        <v>0</v>
      </c>
      <c r="H183" s="446">
        <f>일위대가표!L1296</f>
        <v>280</v>
      </c>
      <c r="I183" s="482"/>
      <c r="J183" s="451" t="str">
        <f>"_x0007_`COD|B02570_x0005_`QTY1|1_x0005_`BQC|_x0005_`EQC|_x0005_`JDC|_x0005_`WQC|_x0005_`EDT|_x0005_`ADJ|F_x0005_`DET|"&amp;ROW(일위대가표!A1290)&amp;"_x0005_`"</f>
        <v>_x0007_`COD|B02570_x0005_`QTY1|1_x0005_`BQC|_x0005_`EQC|_x0005_`JDC|_x0005_`WQC|_x0005_`EDT|_x0005_`ADJ|F_x0005_`DET|1290_x0005_`</v>
      </c>
      <c r="K183" s="433" t="str">
        <f ca="1">HYPERLINK("#"&amp;일위대가표!N2&amp;"!A"&amp;ROW(일위대가표!A1290),"B02570 →")</f>
        <v>B02570 →</v>
      </c>
    </row>
    <row r="184" spans="1:11" ht="25.7" customHeight="1">
      <c r="A184" s="460" t="s">
        <v>1750</v>
      </c>
      <c r="B184" s="452" t="s">
        <v>1740</v>
      </c>
      <c r="C184" s="452" t="s">
        <v>1736</v>
      </c>
      <c r="D184" s="460" t="s">
        <v>975</v>
      </c>
      <c r="E184" s="446">
        <f>일위대가표!F1303</f>
        <v>247824</v>
      </c>
      <c r="F184" s="453">
        <f>일위대가표!H1303</f>
        <v>247575</v>
      </c>
      <c r="G184" s="454">
        <f>일위대가표!J1303</f>
        <v>0</v>
      </c>
      <c r="H184" s="446">
        <f>일위대가표!L1303</f>
        <v>249</v>
      </c>
      <c r="I184" s="482"/>
      <c r="J184" s="451" t="str">
        <f>"_x0007_`COD|B02465_x0005_`QTY1|1_x0005_`BQC|_x0005_`EQC|_x0005_`JDC|_x0005_`WQC|_x0005_`EDT|_x0005_`ADJ|F_x0005_`DET|"&amp;ROW(일위대가표!A1297)&amp;"_x0005_`"</f>
        <v>_x0007_`COD|B02465_x0005_`QTY1|1_x0005_`BQC|_x0005_`EQC|_x0005_`JDC|_x0005_`WQC|_x0005_`EDT|_x0005_`ADJ|F_x0005_`DET|1297_x0005_`</v>
      </c>
      <c r="K184" s="433" t="str">
        <f ca="1">HYPERLINK("#"&amp;일위대가표!N2&amp;"!A"&amp;ROW(일위대가표!A1297),"B02465 →")</f>
        <v>B02465 →</v>
      </c>
    </row>
    <row r="185" spans="1:11" ht="25.7" customHeight="1">
      <c r="A185" s="460" t="s">
        <v>1741</v>
      </c>
      <c r="B185" s="452" t="s">
        <v>1740</v>
      </c>
      <c r="C185" s="452" t="s">
        <v>1724</v>
      </c>
      <c r="D185" s="460" t="s">
        <v>975</v>
      </c>
      <c r="E185" s="446">
        <f>일위대가표!F1309</f>
        <v>23747</v>
      </c>
      <c r="F185" s="453">
        <f>일위대가표!H1309</f>
        <v>23607</v>
      </c>
      <c r="G185" s="454">
        <f>일위대가표!J1309</f>
        <v>0</v>
      </c>
      <c r="H185" s="446">
        <f>일위대가표!L1309</f>
        <v>140</v>
      </c>
      <c r="I185" s="482"/>
      <c r="J185" s="451" t="str">
        <f>"_x0007_`COD|B02464_x0005_`QTY1|1_x0005_`BQC|_x0005_`EQC|_x0005_`JDC|_x0005_`WQC|_x0005_`EDT|_x0005_`ADJ|F_x0005_`DET|"&amp;ROW(일위대가표!A1304)&amp;"_x0005_`"</f>
        <v>_x0007_`COD|B02464_x0005_`QTY1|1_x0005_`BQC|_x0005_`EQC|_x0005_`JDC|_x0005_`WQC|_x0005_`EDT|_x0005_`ADJ|F_x0005_`DET|1304_x0005_`</v>
      </c>
      <c r="K185" s="433" t="str">
        <f ca="1">HYPERLINK("#"&amp;일위대가표!N2&amp;"!A"&amp;ROW(일위대가표!A1304),"B02464 →")</f>
        <v>B02464 →</v>
      </c>
    </row>
    <row r="186" spans="1:11" ht="25.7" customHeight="1">
      <c r="A186" s="460" t="s">
        <v>5262</v>
      </c>
      <c r="B186" s="452" t="s">
        <v>5258</v>
      </c>
      <c r="C186" s="452" t="s">
        <v>1728</v>
      </c>
      <c r="D186" s="460" t="s">
        <v>975</v>
      </c>
      <c r="E186" s="446">
        <f>일위대가표!F1317</f>
        <v>93653</v>
      </c>
      <c r="F186" s="453">
        <f>일위대가표!H1317</f>
        <v>93373</v>
      </c>
      <c r="G186" s="454">
        <f>일위대가표!J1317</f>
        <v>0</v>
      </c>
      <c r="H186" s="446">
        <f>일위대가표!L1317</f>
        <v>280</v>
      </c>
      <c r="I186" s="482"/>
      <c r="J186" s="451" t="str">
        <f>"_x0007_`COD|B02881_x0005_`QTY1|1_x0005_`BQC|_x0005_`EQC|_x0005_`JDC|_x0005_`WQC|_x0005_`EDT|_x0005_`ADJ|F_x0005_`DET|"&amp;ROW(일위대가표!A1310)&amp;"_x0005_`"</f>
        <v>_x0007_`COD|B02881_x0005_`QTY1|1_x0005_`BQC|_x0005_`EQC|_x0005_`JDC|_x0005_`WQC|_x0005_`EDT|_x0005_`ADJ|F_x0005_`DET|1310_x0005_`</v>
      </c>
      <c r="K186" s="433" t="str">
        <f ca="1">HYPERLINK("#"&amp;일위대가표!N2&amp;"!A"&amp;ROW(일위대가표!A1310),"B02881 →")</f>
        <v>B02881 →</v>
      </c>
    </row>
    <row r="187" spans="1:11" ht="25.7" customHeight="1">
      <c r="A187" s="460" t="s">
        <v>5265</v>
      </c>
      <c r="B187" s="452" t="s">
        <v>5258</v>
      </c>
      <c r="C187" s="452" t="s">
        <v>1732</v>
      </c>
      <c r="D187" s="460" t="s">
        <v>975</v>
      </c>
      <c r="E187" s="446">
        <f>일위대가표!F1325</f>
        <v>111016</v>
      </c>
      <c r="F187" s="453">
        <f>일위대가표!H1325</f>
        <v>110736</v>
      </c>
      <c r="G187" s="454">
        <f>일위대가표!J1325</f>
        <v>0</v>
      </c>
      <c r="H187" s="446">
        <f>일위대가표!L1325</f>
        <v>280</v>
      </c>
      <c r="I187" s="482"/>
      <c r="J187" s="451" t="str">
        <f>"_x0007_`COD|B02882_x0005_`QTY1|1_x0005_`BQC|_x0005_`EQC|_x0005_`JDC|_x0005_`WQC|_x0005_`EDT|_x0005_`ADJ|F_x0005_`DET|"&amp;ROW(일위대가표!A1318)&amp;"_x0005_`"</f>
        <v>_x0007_`COD|B02882_x0005_`QTY1|1_x0005_`BQC|_x0005_`EQC|_x0005_`JDC|_x0005_`WQC|_x0005_`EDT|_x0005_`ADJ|F_x0005_`DET|1318_x0005_`</v>
      </c>
      <c r="K187" s="433" t="str">
        <f ca="1">HYPERLINK("#"&amp;일위대가표!N2&amp;"!A"&amp;ROW(일위대가표!A1318),"B02882 →")</f>
        <v>B02882 →</v>
      </c>
    </row>
    <row r="188" spans="1:11" ht="25.7" customHeight="1">
      <c r="A188" s="460" t="s">
        <v>5268</v>
      </c>
      <c r="B188" s="452" t="s">
        <v>5258</v>
      </c>
      <c r="C188" s="452" t="s">
        <v>1736</v>
      </c>
      <c r="D188" s="460" t="s">
        <v>975</v>
      </c>
      <c r="E188" s="446">
        <f>일위대가표!F1333</f>
        <v>284960</v>
      </c>
      <c r="F188" s="453">
        <f>일위대가표!H1333</f>
        <v>284711</v>
      </c>
      <c r="G188" s="454">
        <f>일위대가표!J1333</f>
        <v>0</v>
      </c>
      <c r="H188" s="446">
        <f>일위대가표!L1333</f>
        <v>249</v>
      </c>
      <c r="I188" s="482"/>
      <c r="J188" s="451" t="str">
        <f>"_x0007_`COD|B02883_x0005_`QTY1|1_x0005_`BQC|_x0005_`EQC|_x0005_`JDC|_x0005_`WQC|_x0005_`EDT|_x0005_`ADJ|F_x0005_`DET|"&amp;ROW(일위대가표!A1326)&amp;"_x0005_`"</f>
        <v>_x0007_`COD|B02883_x0005_`QTY1|1_x0005_`BQC|_x0005_`EQC|_x0005_`JDC|_x0005_`WQC|_x0005_`EDT|_x0005_`ADJ|F_x0005_`DET|1326_x0005_`</v>
      </c>
      <c r="K188" s="433" t="str">
        <f ca="1">HYPERLINK("#"&amp;일위대가표!N2&amp;"!A"&amp;ROW(일위대가표!A1326),"B02883 →")</f>
        <v>B02883 →</v>
      </c>
    </row>
    <row r="189" spans="1:11" ht="25.7" customHeight="1">
      <c r="A189" s="460" t="s">
        <v>5259</v>
      </c>
      <c r="B189" s="452" t="s">
        <v>5258</v>
      </c>
      <c r="C189" s="452" t="s">
        <v>1724</v>
      </c>
      <c r="D189" s="460" t="s">
        <v>975</v>
      </c>
      <c r="E189" s="446">
        <f>일위대가표!F1340</f>
        <v>27288</v>
      </c>
      <c r="F189" s="453">
        <f>일위대가표!H1340</f>
        <v>27148</v>
      </c>
      <c r="G189" s="454">
        <f>일위대가표!J1340</f>
        <v>0</v>
      </c>
      <c r="H189" s="446">
        <f>일위대가표!L1340</f>
        <v>140</v>
      </c>
      <c r="I189" s="482"/>
      <c r="J189" s="451" t="str">
        <f>"_x0007_`COD|B02880_x0005_`QTY1|1_x0005_`BQC|_x0005_`EQC|_x0005_`JDC|_x0005_`WQC|_x0005_`EDT|_x0005_`ADJ|F_x0005_`DET|"&amp;ROW(일위대가표!A1334)&amp;"_x0005_`"</f>
        <v>_x0007_`COD|B02880_x0005_`QTY1|1_x0005_`BQC|_x0005_`EQC|_x0005_`JDC|_x0005_`WQC|_x0005_`EDT|_x0005_`ADJ|F_x0005_`DET|1334_x0005_`</v>
      </c>
      <c r="K189" s="433" t="str">
        <f ca="1">HYPERLINK("#"&amp;일위대가표!N2&amp;"!A"&amp;ROW(일위대가표!A1334),"B02880 →")</f>
        <v>B02880 →</v>
      </c>
    </row>
    <row r="190" spans="1:11" ht="25.7" customHeight="1">
      <c r="A190" s="460" t="s">
        <v>1729</v>
      </c>
      <c r="B190" s="452" t="s">
        <v>5271</v>
      </c>
      <c r="C190" s="452" t="s">
        <v>1728</v>
      </c>
      <c r="D190" s="460" t="s">
        <v>975</v>
      </c>
      <c r="E190" s="446">
        <f>일위대가표!F1348</f>
        <v>101772</v>
      </c>
      <c r="F190" s="453">
        <f>일위대가표!H1348</f>
        <v>101492</v>
      </c>
      <c r="G190" s="454">
        <f>일위대가표!J1348</f>
        <v>0</v>
      </c>
      <c r="H190" s="446">
        <f>일위대가표!L1348</f>
        <v>280</v>
      </c>
      <c r="I190" s="482"/>
      <c r="J190" s="451" t="str">
        <f>"_x0007_`COD|B02639_x0005_`QTY1|1_x0005_`BQC|_x0005_`EQC|_x0005_`JDC|_x0005_`WQC|_x0005_`EDT|_x0005_`ADJ|F_x0005_`DET|"&amp;ROW(일위대가표!A1341)&amp;"_x0005_`"</f>
        <v>_x0007_`COD|B02639_x0005_`QTY1|1_x0005_`BQC|_x0005_`EQC|_x0005_`JDC|_x0005_`WQC|_x0005_`EDT|_x0005_`ADJ|F_x0005_`DET|1341_x0005_`</v>
      </c>
      <c r="K190" s="433" t="str">
        <f ca="1">HYPERLINK("#"&amp;일위대가표!N2&amp;"!A"&amp;ROW(일위대가표!A1341),"B02639 →")</f>
        <v>B02639 →</v>
      </c>
    </row>
    <row r="191" spans="1:11" ht="25.7" customHeight="1">
      <c r="A191" s="460" t="s">
        <v>1733</v>
      </c>
      <c r="B191" s="452" t="s">
        <v>5271</v>
      </c>
      <c r="C191" s="452" t="s">
        <v>1732</v>
      </c>
      <c r="D191" s="460" t="s">
        <v>975</v>
      </c>
      <c r="E191" s="446">
        <f>일위대가표!F1356</f>
        <v>120645</v>
      </c>
      <c r="F191" s="453">
        <f>일위대가표!H1356</f>
        <v>120365</v>
      </c>
      <c r="G191" s="454">
        <f>일위대가표!J1356</f>
        <v>0</v>
      </c>
      <c r="H191" s="446">
        <f>일위대가표!L1356</f>
        <v>280</v>
      </c>
      <c r="I191" s="482"/>
      <c r="J191" s="451" t="str">
        <f>"_x0007_`COD|B02641_x0005_`QTY1|1_x0005_`BQC|_x0005_`EQC|_x0005_`JDC|_x0005_`WQC|_x0005_`EDT|_x0005_`ADJ|F_x0005_`DET|"&amp;ROW(일위대가표!A1349)&amp;"_x0005_`"</f>
        <v>_x0007_`COD|B02641_x0005_`QTY1|1_x0005_`BQC|_x0005_`EQC|_x0005_`JDC|_x0005_`WQC|_x0005_`EDT|_x0005_`ADJ|F_x0005_`DET|1349_x0005_`</v>
      </c>
      <c r="K191" s="433" t="str">
        <f ca="1">HYPERLINK("#"&amp;일위대가표!N2&amp;"!A"&amp;ROW(일위대가표!A1349),"B02641 →")</f>
        <v>B02641 →</v>
      </c>
    </row>
    <row r="192" spans="1:11" ht="25.7" customHeight="1">
      <c r="A192" s="460" t="s">
        <v>1737</v>
      </c>
      <c r="B192" s="452" t="s">
        <v>5271</v>
      </c>
      <c r="C192" s="452" t="s">
        <v>1736</v>
      </c>
      <c r="D192" s="460" t="s">
        <v>975</v>
      </c>
      <c r="E192" s="446">
        <f>일위대가표!F1364</f>
        <v>309717</v>
      </c>
      <c r="F192" s="453">
        <f>일위대가표!H1364</f>
        <v>309468</v>
      </c>
      <c r="G192" s="454">
        <f>일위대가표!J1364</f>
        <v>0</v>
      </c>
      <c r="H192" s="446">
        <f>일위대가표!L1364</f>
        <v>249</v>
      </c>
      <c r="I192" s="482"/>
      <c r="J192" s="451" t="str">
        <f>"_x0007_`COD|B02642_x0005_`QTY1|1_x0005_`BQC|_x0005_`EQC|_x0005_`JDC|_x0005_`WQC|_x0005_`EDT|_x0005_`ADJ|F_x0005_`DET|"&amp;ROW(일위대가표!A1357)&amp;"_x0005_`"</f>
        <v>_x0007_`COD|B02642_x0005_`QTY1|1_x0005_`BQC|_x0005_`EQC|_x0005_`JDC|_x0005_`WQC|_x0005_`EDT|_x0005_`ADJ|F_x0005_`DET|1357_x0005_`</v>
      </c>
      <c r="K192" s="433" t="str">
        <f ca="1">HYPERLINK("#"&amp;일위대가표!N2&amp;"!A"&amp;ROW(일위대가표!A1357),"B02642 →")</f>
        <v>B02642 →</v>
      </c>
    </row>
    <row r="193" spans="1:11" ht="25.7" customHeight="1">
      <c r="A193" s="460" t="s">
        <v>1725</v>
      </c>
      <c r="B193" s="452" t="s">
        <v>5271</v>
      </c>
      <c r="C193" s="452" t="s">
        <v>1724</v>
      </c>
      <c r="D193" s="460" t="s">
        <v>975</v>
      </c>
      <c r="E193" s="446">
        <f>일위대가표!F1371</f>
        <v>29649</v>
      </c>
      <c r="F193" s="453">
        <f>일위대가표!H1371</f>
        <v>29509</v>
      </c>
      <c r="G193" s="454">
        <f>일위대가표!J1371</f>
        <v>0</v>
      </c>
      <c r="H193" s="446">
        <f>일위대가표!L1371</f>
        <v>140</v>
      </c>
      <c r="I193" s="482"/>
      <c r="J193" s="451" t="str">
        <f>"_x0007_`COD|B02640_x0005_`QTY1|1_x0005_`BQC|_x0005_`EQC|_x0005_`JDC|_x0005_`WQC|_x0005_`EDT|_x0005_`ADJ|F_x0005_`DET|"&amp;ROW(일위대가표!A1365)&amp;"_x0005_`"</f>
        <v>_x0007_`COD|B02640_x0005_`QTY1|1_x0005_`BQC|_x0005_`EQC|_x0005_`JDC|_x0005_`WQC|_x0005_`EDT|_x0005_`ADJ|F_x0005_`DET|1365_x0005_`</v>
      </c>
      <c r="K193" s="433" t="str">
        <f ca="1">HYPERLINK("#"&amp;일위대가표!N2&amp;"!A"&amp;ROW(일위대가표!A1365),"B02640 →")</f>
        <v>B02640 →</v>
      </c>
    </row>
    <row r="194" spans="1:11" ht="25.7" customHeight="1">
      <c r="A194" s="460" t="s">
        <v>971</v>
      </c>
      <c r="B194" s="452" t="s">
        <v>970</v>
      </c>
      <c r="C194" s="452" t="s">
        <v>965</v>
      </c>
      <c r="D194" s="460" t="s">
        <v>966</v>
      </c>
      <c r="E194" s="446">
        <f>일위대가표!F1391</f>
        <v>112115</v>
      </c>
      <c r="F194" s="453">
        <f>일위대가표!H1391</f>
        <v>51482</v>
      </c>
      <c r="G194" s="454">
        <f>일위대가표!J1391</f>
        <v>60451</v>
      </c>
      <c r="H194" s="446">
        <f>일위대가표!L1391</f>
        <v>182</v>
      </c>
      <c r="I194" s="482"/>
      <c r="J194" s="451" t="str">
        <f>"_x0007_`COD|B02474_x0005_`QTY1|1_x0005_`BQC|_x0005_`EQC|_x0005_`JDC|_x0005_`WQC|_x0005_`EDT|_x0005_`ADJ|F_x0005_`DET|"&amp;ROW(일위대가표!A1372)&amp;"_x0005_`"</f>
        <v>_x0007_`COD|B02474_x0005_`QTY1|1_x0005_`BQC|_x0005_`EQC|_x0005_`JDC|_x0005_`WQC|_x0005_`EDT|_x0005_`ADJ|F_x0005_`DET|1372_x0005_`</v>
      </c>
      <c r="K194" s="433" t="str">
        <f ca="1">HYPERLINK("#"&amp;일위대가표!N2&amp;"!A"&amp;ROW(일위대가표!A1372),"B02474 →")</f>
        <v>B02474 →</v>
      </c>
    </row>
    <row r="195" spans="1:11" ht="25.7" customHeight="1">
      <c r="A195" s="460" t="s">
        <v>1557</v>
      </c>
      <c r="B195" s="452" t="s">
        <v>1555</v>
      </c>
      <c r="C195" s="452" t="s">
        <v>1556</v>
      </c>
      <c r="D195" s="460" t="s">
        <v>966</v>
      </c>
      <c r="E195" s="446">
        <f>일위대가표!F1396</f>
        <v>9334</v>
      </c>
      <c r="F195" s="453">
        <f>일위대가표!H1396</f>
        <v>8303</v>
      </c>
      <c r="G195" s="454">
        <f>일위대가표!J1396</f>
        <v>850</v>
      </c>
      <c r="H195" s="446">
        <f>일위대가표!L1396</f>
        <v>181</v>
      </c>
      <c r="I195" s="482"/>
      <c r="J195" s="451" t="str">
        <f>"_x0007_`COD|B02722_x0005_`QTY1|1_x0005_`BQC|_x0005_`EQC|_x0005_`JDC|_x0005_`WQC|_x0005_`EDT|_x0005_`ADJ|F_x0005_`DET|"&amp;ROW(일위대가표!A1392)&amp;"_x0005_`"</f>
        <v>_x0007_`COD|B02722_x0005_`QTY1|1_x0005_`BQC|_x0005_`EQC|_x0005_`JDC|_x0005_`WQC|_x0005_`EDT|_x0005_`ADJ|F_x0005_`DET|1392_x0005_`</v>
      </c>
      <c r="K195" s="433" t="str">
        <f ca="1">HYPERLINK("#"&amp;일위대가표!N2&amp;"!A"&amp;ROW(일위대가표!A1392),"B02722 →")</f>
        <v>B02722 →</v>
      </c>
    </row>
    <row r="196" spans="1:11" ht="25.7" customHeight="1">
      <c r="A196" s="460" t="s">
        <v>1572</v>
      </c>
      <c r="B196" s="452" t="s">
        <v>1571</v>
      </c>
      <c r="C196" s="452" t="s">
        <v>1567</v>
      </c>
      <c r="D196" s="460" t="s">
        <v>975</v>
      </c>
      <c r="E196" s="446">
        <f>일위대가표!F1403</f>
        <v>24709</v>
      </c>
      <c r="F196" s="453">
        <f>일위대가표!H1403</f>
        <v>24709</v>
      </c>
      <c r="G196" s="454">
        <f>일위대가표!J1403</f>
        <v>0</v>
      </c>
      <c r="H196" s="446">
        <f>일위대가표!L1403</f>
        <v>0</v>
      </c>
      <c r="I196" s="482"/>
      <c r="J196" s="451" t="str">
        <f>"_x0007_`COD|B02721_x0005_`QTY1|1_x0005_`BQC|_x0005_`EQC|_x0005_`JDC|_x0005_`WQC|_x0005_`EDT|_x0005_`ADJ|F_x0005_`DET|"&amp;ROW(일위대가표!A1397)&amp;"_x0005_`"</f>
        <v>_x0007_`COD|B02721_x0005_`QTY1|1_x0005_`BQC|_x0005_`EQC|_x0005_`JDC|_x0005_`WQC|_x0005_`EDT|_x0005_`ADJ|F_x0005_`DET|1397_x0005_`</v>
      </c>
      <c r="K196" s="433" t="str">
        <f ca="1">HYPERLINK("#"&amp;일위대가표!N2&amp;"!A"&amp;ROW(일위대가표!A1397),"B02721 →")</f>
        <v>B02721 →</v>
      </c>
    </row>
    <row r="197" spans="1:11" ht="25.7" customHeight="1">
      <c r="A197" s="460" t="s">
        <v>5205</v>
      </c>
      <c r="B197" s="452" t="s">
        <v>5204</v>
      </c>
      <c r="C197" s="452" t="s">
        <v>1567</v>
      </c>
      <c r="D197" s="460" t="s">
        <v>975</v>
      </c>
      <c r="E197" s="446">
        <f>일위대가표!F1411</f>
        <v>28415</v>
      </c>
      <c r="F197" s="453">
        <f>일위대가표!H1411</f>
        <v>28415</v>
      </c>
      <c r="G197" s="454">
        <f>일위대가표!J1411</f>
        <v>0</v>
      </c>
      <c r="H197" s="446">
        <f>일위대가표!L1411</f>
        <v>0</v>
      </c>
      <c r="I197" s="482"/>
      <c r="J197" s="451" t="str">
        <f>"_x0007_`COD|B02867_x0005_`QTY1|1_x0005_`BQC|_x0005_`EQC|_x0005_`JDC|_x0005_`WQC|_x0005_`EDT|_x0005_`ADJ|F_x0005_`DET|"&amp;ROW(일위대가표!A1404)&amp;"_x0005_`"</f>
        <v>_x0007_`COD|B02867_x0005_`QTY1|1_x0005_`BQC|_x0005_`EQC|_x0005_`JDC|_x0005_`WQC|_x0005_`EDT|_x0005_`ADJ|F_x0005_`DET|1404_x0005_`</v>
      </c>
      <c r="K197" s="433" t="str">
        <f ca="1">HYPERLINK("#"&amp;일위대가표!N2&amp;"!A"&amp;ROW(일위대가표!A1404),"B02867 →")</f>
        <v>B02867 →</v>
      </c>
    </row>
    <row r="198" spans="1:11" ht="25.7" customHeight="1">
      <c r="A198" s="460" t="s">
        <v>1568</v>
      </c>
      <c r="B198" s="452" t="s">
        <v>5208</v>
      </c>
      <c r="C198" s="452" t="s">
        <v>1567</v>
      </c>
      <c r="D198" s="460" t="s">
        <v>975</v>
      </c>
      <c r="E198" s="446">
        <f>일위대가표!F1419</f>
        <v>30886</v>
      </c>
      <c r="F198" s="453">
        <f>일위대가표!H1419</f>
        <v>30886</v>
      </c>
      <c r="G198" s="454">
        <f>일위대가표!J1419</f>
        <v>0</v>
      </c>
      <c r="H198" s="446">
        <f>일위대가표!L1419</f>
        <v>0</v>
      </c>
      <c r="I198" s="482"/>
      <c r="J198" s="451" t="str">
        <f>"_x0007_`COD|B02725_x0005_`QTY1|1_x0005_`BQC|_x0005_`EQC|_x0005_`JDC|_x0005_`WQC|_x0005_`EDT|_x0005_`ADJ|F_x0005_`DET|"&amp;ROW(일위대가표!A1412)&amp;"_x0005_`"</f>
        <v>_x0007_`COD|B02725_x0005_`QTY1|1_x0005_`BQC|_x0005_`EQC|_x0005_`JDC|_x0005_`WQC|_x0005_`EDT|_x0005_`ADJ|F_x0005_`DET|1412_x0005_`</v>
      </c>
      <c r="K198" s="433" t="str">
        <f ca="1">HYPERLINK("#"&amp;일위대가표!N2&amp;"!A"&amp;ROW(일위대가표!A1412),"B02725 →")</f>
        <v>B02725 →</v>
      </c>
    </row>
    <row r="199" spans="1:11" ht="25.7" customHeight="1">
      <c r="A199" s="460" t="s">
        <v>1579</v>
      </c>
      <c r="B199" s="452" t="s">
        <v>1578</v>
      </c>
      <c r="C199" s="452" t="s">
        <v>5210</v>
      </c>
      <c r="D199" s="460" t="s">
        <v>911</v>
      </c>
      <c r="E199" s="446">
        <f>일위대가표!F1425</f>
        <v>8124</v>
      </c>
      <c r="F199" s="453">
        <f>일위대가표!H1425</f>
        <v>7054</v>
      </c>
      <c r="G199" s="454">
        <f>일위대가표!J1425</f>
        <v>1070</v>
      </c>
      <c r="H199" s="446">
        <f>일위대가표!L1425</f>
        <v>0</v>
      </c>
      <c r="I199" s="482"/>
      <c r="J199" s="451" t="str">
        <f>"_x0007_`COD|B02513_x0005_`QTY1|1_x0005_`BQC|_x0005_`EQC|_x0005_`JDC|_x0005_`WQC|_x0005_`EDT|_x0005_`ADJ|F_x0005_`DET|"&amp;ROW(일위대가표!A1420)&amp;"_x0005_`"</f>
        <v>_x0007_`COD|B02513_x0005_`QTY1|1_x0005_`BQC|_x0005_`EQC|_x0005_`JDC|_x0005_`WQC|_x0005_`EDT|_x0005_`ADJ|F_x0005_`DET|1420_x0005_`</v>
      </c>
      <c r="K199" s="433" t="str">
        <f ca="1">HYPERLINK("#"&amp;일위대가표!N2&amp;"!A"&amp;ROW(일위대가표!A1420),"B02513 →")</f>
        <v>B02513 →</v>
      </c>
    </row>
    <row r="200" spans="1:11" ht="25.7" customHeight="1">
      <c r="A200" s="460" t="s">
        <v>5211</v>
      </c>
      <c r="B200" s="452" t="s">
        <v>5209</v>
      </c>
      <c r="C200" s="452" t="s">
        <v>5210</v>
      </c>
      <c r="D200" s="460" t="s">
        <v>911</v>
      </c>
      <c r="E200" s="446">
        <f>일위대가표!F1432</f>
        <v>9145</v>
      </c>
      <c r="F200" s="453">
        <f>일위대가표!H1432</f>
        <v>8112</v>
      </c>
      <c r="G200" s="454">
        <f>일위대가표!J1432</f>
        <v>1033</v>
      </c>
      <c r="H200" s="446">
        <f>일위대가표!L1432</f>
        <v>0</v>
      </c>
      <c r="I200" s="482"/>
      <c r="J200" s="451" t="str">
        <f>"_x0007_`COD|B02868_x0005_`QTY1|1_x0005_`BQC|_x0005_`EQC|_x0005_`JDC|_x0005_`WQC|_x0005_`EDT|_x0005_`ADJ|F_x0005_`DET|"&amp;ROW(일위대가표!A1426)&amp;"_x0005_`"</f>
        <v>_x0007_`COD|B02868_x0005_`QTY1|1_x0005_`BQC|_x0005_`EQC|_x0005_`JDC|_x0005_`WQC|_x0005_`EDT|_x0005_`ADJ|F_x0005_`DET|1426_x0005_`</v>
      </c>
      <c r="K200" s="433" t="str">
        <f ca="1">HYPERLINK("#"&amp;일위대가표!N2&amp;"!A"&amp;ROW(일위대가표!A1426),"B02868 →")</f>
        <v>B02868 →</v>
      </c>
    </row>
    <row r="201" spans="1:11" ht="25.7" customHeight="1">
      <c r="A201" s="460" t="s">
        <v>1575</v>
      </c>
      <c r="B201" s="452" t="s">
        <v>5214</v>
      </c>
      <c r="C201" s="452" t="s">
        <v>5210</v>
      </c>
      <c r="D201" s="460" t="s">
        <v>911</v>
      </c>
      <c r="E201" s="446">
        <f>일위대가표!F1439</f>
        <v>9850</v>
      </c>
      <c r="F201" s="453">
        <f>일위대가표!H1439</f>
        <v>8817</v>
      </c>
      <c r="G201" s="454">
        <f>일위대가표!J1439</f>
        <v>1033</v>
      </c>
      <c r="H201" s="446">
        <f>일위대가표!L1439</f>
        <v>0</v>
      </c>
      <c r="I201" s="482"/>
      <c r="J201" s="451" t="str">
        <f>"_x0007_`COD|B02720_x0005_`QTY1|1_x0005_`BQC|_x0005_`EQC|_x0005_`JDC|_x0005_`WQC|_x0005_`EDT|_x0005_`ADJ|F_x0005_`DET|"&amp;ROW(일위대가표!A1433)&amp;"_x0005_`"</f>
        <v>_x0007_`COD|B02720_x0005_`QTY1|1_x0005_`BQC|_x0005_`EQC|_x0005_`JDC|_x0005_`WQC|_x0005_`EDT|_x0005_`ADJ|F_x0005_`DET|1433_x0005_`</v>
      </c>
      <c r="K201" s="433" t="str">
        <f ca="1">HYPERLINK("#"&amp;일위대가표!N2&amp;"!A"&amp;ROW(일위대가표!A1433),"B02720 →")</f>
        <v>B02720 →</v>
      </c>
    </row>
    <row r="202" spans="1:11" ht="25.7" customHeight="1">
      <c r="A202" s="460" t="s">
        <v>980</v>
      </c>
      <c r="B202" s="452" t="s">
        <v>979</v>
      </c>
      <c r="C202" s="452" t="s">
        <v>974</v>
      </c>
      <c r="D202" s="460" t="s">
        <v>975</v>
      </c>
      <c r="E202" s="446">
        <f>일위대가표!F1451</f>
        <v>186250</v>
      </c>
      <c r="F202" s="453">
        <f>일위대가표!H1451</f>
        <v>47747</v>
      </c>
      <c r="G202" s="454">
        <f>일위대가표!J1451</f>
        <v>138335</v>
      </c>
      <c r="H202" s="446">
        <f>일위대가표!L1451</f>
        <v>168</v>
      </c>
      <c r="I202" s="482"/>
      <c r="J202" s="451" t="str">
        <f>"_x0007_`COD|B02473_x0005_`QTY1|1_x0005_`BQC|_x0005_`EQC|_x0005_`JDC|_x0005_`WQC|_x0005_`EDT|_x0005_`ADJ|F_x0005_`DET|"&amp;ROW(일위대가표!A1440)&amp;"_x0005_`"</f>
        <v>_x0007_`COD|B02473_x0005_`QTY1|1_x0005_`BQC|_x0005_`EQC|_x0005_`JDC|_x0005_`WQC|_x0005_`EDT|_x0005_`ADJ|F_x0005_`DET|1440_x0005_`</v>
      </c>
      <c r="K202" s="433" t="str">
        <f ca="1">HYPERLINK("#"&amp;일위대가표!N2&amp;"!A"&amp;ROW(일위대가표!A1440),"B02473 →")</f>
        <v>B02473 →</v>
      </c>
    </row>
    <row r="203" spans="1:11" ht="25.7" customHeight="1">
      <c r="A203" s="460" t="s">
        <v>5073</v>
      </c>
      <c r="B203" s="452" t="s">
        <v>5072</v>
      </c>
      <c r="C203" s="452" t="s">
        <v>974</v>
      </c>
      <c r="D203" s="460" t="s">
        <v>975</v>
      </c>
      <c r="E203" s="446">
        <f>일위대가표!F1464</f>
        <v>191989</v>
      </c>
      <c r="F203" s="453">
        <f>일위대가표!H1464</f>
        <v>53486</v>
      </c>
      <c r="G203" s="454">
        <f>일위대가표!J1464</f>
        <v>138335</v>
      </c>
      <c r="H203" s="446">
        <f>일위대가표!L1464</f>
        <v>168</v>
      </c>
      <c r="I203" s="482"/>
      <c r="J203" s="451" t="str">
        <f>"_x0007_`COD|B02832_x0005_`QTY1|1_x0005_`BQC|_x0005_`EQC|_x0005_`JDC|_x0005_`WQC|_x0005_`EDT|_x0005_`ADJ|F_x0005_`DET|"&amp;ROW(일위대가표!A1452)&amp;"_x0005_`"</f>
        <v>_x0007_`COD|B02832_x0005_`QTY1|1_x0005_`BQC|_x0005_`EQC|_x0005_`JDC|_x0005_`WQC|_x0005_`EDT|_x0005_`ADJ|F_x0005_`DET|1452_x0005_`</v>
      </c>
      <c r="K203" s="433" t="str">
        <f ca="1">HYPERLINK("#"&amp;일위대가표!N2&amp;"!A"&amp;ROW(일위대가표!A1452),"B02832 →")</f>
        <v>B02832 →</v>
      </c>
    </row>
    <row r="204" spans="1:11" ht="25.7" customHeight="1">
      <c r="A204" s="460" t="s">
        <v>976</v>
      </c>
      <c r="B204" s="452" t="s">
        <v>5076</v>
      </c>
      <c r="C204" s="452" t="s">
        <v>974</v>
      </c>
      <c r="D204" s="460" t="s">
        <v>975</v>
      </c>
      <c r="E204" s="446">
        <f>일위대가표!F1477</f>
        <v>195815</v>
      </c>
      <c r="F204" s="453">
        <f>일위대가표!H1477</f>
        <v>57312</v>
      </c>
      <c r="G204" s="454">
        <f>일위대가표!J1477</f>
        <v>138335</v>
      </c>
      <c r="H204" s="446">
        <f>일위대가표!L1477</f>
        <v>168</v>
      </c>
      <c r="I204" s="482"/>
      <c r="J204" s="451" t="str">
        <f>"_x0007_`COD|B02086_x0005_`QTY1|1_x0005_`BQC|_x0005_`EQC|_x0005_`JDC|_x0005_`WQC|_x0005_`EDT|_x0005_`ADJ|F_x0005_`DET|"&amp;ROW(일위대가표!A1465)&amp;"_x0005_`"</f>
        <v>_x0007_`COD|B02086_x0005_`QTY1|1_x0005_`BQC|_x0005_`EQC|_x0005_`JDC|_x0005_`WQC|_x0005_`EDT|_x0005_`ADJ|F_x0005_`DET|1465_x0005_`</v>
      </c>
      <c r="K204" s="433" t="str">
        <f ca="1">HYPERLINK("#"&amp;일위대가표!N2&amp;"!A"&amp;ROW(일위대가표!A1465),"B02086 →")</f>
        <v>B02086 →</v>
      </c>
    </row>
    <row r="205" spans="1:11" ht="25.7" customHeight="1">
      <c r="A205" s="460" t="s">
        <v>1564</v>
      </c>
      <c r="B205" s="452" t="s">
        <v>1563</v>
      </c>
      <c r="C205" s="452" t="s">
        <v>965</v>
      </c>
      <c r="D205" s="460" t="s">
        <v>975</v>
      </c>
      <c r="E205" s="446">
        <f>일위대가표!F1484</f>
        <v>67004</v>
      </c>
      <c r="F205" s="453">
        <f>일위대가표!H1484</f>
        <v>67004</v>
      </c>
      <c r="G205" s="454">
        <f>일위대가표!J1484</f>
        <v>0</v>
      </c>
      <c r="H205" s="446">
        <f>일위대가표!L1484</f>
        <v>0</v>
      </c>
      <c r="I205" s="482"/>
      <c r="J205" s="451" t="str">
        <f>"_x0007_`COD|B02247_x0005_`QTY1|1_x0005_`BQC|_x0005_`EQC|_x0005_`JDC|_x0005_`WQC|_x0005_`EDT|_x0005_`ADJ|F_x0005_`DET|"&amp;ROW(일위대가표!A1478)&amp;"_x0005_`"</f>
        <v>_x0007_`COD|B02247_x0005_`QTY1|1_x0005_`BQC|_x0005_`EQC|_x0005_`JDC|_x0005_`WQC|_x0005_`EDT|_x0005_`ADJ|F_x0005_`DET|1478_x0005_`</v>
      </c>
      <c r="K205" s="433" t="str">
        <f ca="1">HYPERLINK("#"&amp;일위대가표!N2&amp;"!A"&amp;ROW(일위대가표!A1478),"B02247 →")</f>
        <v>B02247 →</v>
      </c>
    </row>
    <row r="206" spans="1:11" ht="25.7" customHeight="1">
      <c r="A206" s="460" t="s">
        <v>5200</v>
      </c>
      <c r="B206" s="452" t="s">
        <v>5199</v>
      </c>
      <c r="C206" s="452" t="s">
        <v>965</v>
      </c>
      <c r="D206" s="460" t="s">
        <v>975</v>
      </c>
      <c r="E206" s="446">
        <f>일위대가표!F1492</f>
        <v>25047</v>
      </c>
      <c r="F206" s="453">
        <f>일위대가표!H1492</f>
        <v>25047</v>
      </c>
      <c r="G206" s="454">
        <f>일위대가표!J1492</f>
        <v>0</v>
      </c>
      <c r="H206" s="446">
        <f>일위대가표!L1492</f>
        <v>0</v>
      </c>
      <c r="I206" s="482"/>
      <c r="J206" s="451" t="str">
        <f>"_x0007_`COD|B02866_x0005_`QTY1|1_x0005_`BQC|_x0005_`EQC|_x0005_`JDC|_x0005_`WQC|_x0005_`EDT|_x0005_`ADJ|F_x0005_`DET|"&amp;ROW(일위대가표!A1485)&amp;"_x0005_`"</f>
        <v>_x0007_`COD|B02866_x0005_`QTY1|1_x0005_`BQC|_x0005_`EQC|_x0005_`JDC|_x0005_`WQC|_x0005_`EDT|_x0005_`ADJ|F_x0005_`DET|1485_x0005_`</v>
      </c>
      <c r="K206" s="433" t="str">
        <f ca="1">HYPERLINK("#"&amp;일위대가표!N2&amp;"!A"&amp;ROW(일위대가표!A1485),"B02866 →")</f>
        <v>B02866 →</v>
      </c>
    </row>
    <row r="207" spans="1:11" ht="25.7" customHeight="1">
      <c r="A207" s="460" t="s">
        <v>1560</v>
      </c>
      <c r="B207" s="452" t="s">
        <v>5203</v>
      </c>
      <c r="C207" s="452" t="s">
        <v>965</v>
      </c>
      <c r="D207" s="460" t="s">
        <v>975</v>
      </c>
      <c r="E207" s="446">
        <f>일위대가표!F1500</f>
        <v>27225</v>
      </c>
      <c r="F207" s="453">
        <f>일위대가표!H1500</f>
        <v>27225</v>
      </c>
      <c r="G207" s="454">
        <f>일위대가표!J1500</f>
        <v>0</v>
      </c>
      <c r="H207" s="446">
        <f>일위대가표!L1500</f>
        <v>0</v>
      </c>
      <c r="I207" s="482"/>
      <c r="J207" s="451" t="str">
        <f>"_x0007_`COD|B02629_x0005_`QTY1|1_x0005_`BQC|_x0005_`EQC|_x0005_`JDC|_x0005_`WQC|_x0005_`EDT|_x0005_`ADJ|F_x0005_`DET|"&amp;ROW(일위대가표!A1493)&amp;"_x0005_`"</f>
        <v>_x0007_`COD|B02629_x0005_`QTY1|1_x0005_`BQC|_x0005_`EQC|_x0005_`JDC|_x0005_`WQC|_x0005_`EDT|_x0005_`ADJ|F_x0005_`DET|1493_x0005_`</v>
      </c>
      <c r="K207" s="433" t="str">
        <f ca="1">HYPERLINK("#"&amp;일위대가표!N2&amp;"!A"&amp;ROW(일위대가표!A1493),"B02629 →")</f>
        <v>B02629 →</v>
      </c>
    </row>
    <row r="208" spans="1:11" ht="25.7" customHeight="1">
      <c r="A208" s="460" t="s">
        <v>1773</v>
      </c>
      <c r="B208" s="452" t="s">
        <v>1772</v>
      </c>
      <c r="C208" s="452" t="s">
        <v>965</v>
      </c>
      <c r="D208" s="460" t="s">
        <v>966</v>
      </c>
      <c r="E208" s="446">
        <f>일위대가표!F1507</f>
        <v>14800</v>
      </c>
      <c r="F208" s="453">
        <f>일위대가표!H1507</f>
        <v>14660</v>
      </c>
      <c r="G208" s="454">
        <f>일위대가표!J1507</f>
        <v>0</v>
      </c>
      <c r="H208" s="446">
        <f>일위대가표!L1507</f>
        <v>140</v>
      </c>
      <c r="I208" s="482"/>
      <c r="J208" s="451" t="str">
        <f>"_x0007_`COD|B02637_x0005_`QTY1|1_x0005_`BQC|_x0005_`EQC|_x0005_`JDC|_x0005_`WQC|_x0005_`EDT|_x0005_`ADJ|F_x0005_`DET|"&amp;ROW(일위대가표!A1501)&amp;"_x0005_`"</f>
        <v>_x0007_`COD|B02637_x0005_`QTY1|1_x0005_`BQC|_x0005_`EQC|_x0005_`JDC|_x0005_`WQC|_x0005_`EDT|_x0005_`ADJ|F_x0005_`DET|1501_x0005_`</v>
      </c>
      <c r="K208" s="433" t="str">
        <f ca="1">HYPERLINK("#"&amp;일위대가표!N2&amp;"!A"&amp;ROW(일위대가표!A1501),"B02637 →")</f>
        <v>B02637 →</v>
      </c>
    </row>
    <row r="209" spans="1:11" ht="25.7" customHeight="1">
      <c r="A209" s="460" t="s">
        <v>5283</v>
      </c>
      <c r="B209" s="452" t="s">
        <v>5282</v>
      </c>
      <c r="C209" s="452" t="s">
        <v>965</v>
      </c>
      <c r="D209" s="460" t="s">
        <v>966</v>
      </c>
      <c r="E209" s="446">
        <f>일위대가표!F1515</f>
        <v>16999</v>
      </c>
      <c r="F209" s="453">
        <f>일위대가표!H1515</f>
        <v>16859</v>
      </c>
      <c r="G209" s="454">
        <f>일위대가표!J1515</f>
        <v>0</v>
      </c>
      <c r="H209" s="446">
        <f>일위대가표!L1515</f>
        <v>140</v>
      </c>
      <c r="I209" s="482"/>
      <c r="J209" s="451" t="str">
        <f>"_x0007_`COD|B02886_x0005_`QTY1|1_x0005_`BQC|_x0005_`EQC|_x0005_`JDC|_x0005_`WQC|_x0005_`EDT|_x0005_`ADJ|F_x0005_`DET|"&amp;ROW(일위대가표!A1508)&amp;"_x0005_`"</f>
        <v>_x0007_`COD|B02886_x0005_`QTY1|1_x0005_`BQC|_x0005_`EQC|_x0005_`JDC|_x0005_`WQC|_x0005_`EDT|_x0005_`ADJ|F_x0005_`DET|1508_x0005_`</v>
      </c>
      <c r="K209" s="433" t="str">
        <f ca="1">HYPERLINK("#"&amp;일위대가표!N2&amp;"!A"&amp;ROW(일위대가표!A1508),"B02886 →")</f>
        <v>B02886 →</v>
      </c>
    </row>
    <row r="210" spans="1:11" ht="25.7" customHeight="1">
      <c r="A210" s="460" t="s">
        <v>1769</v>
      </c>
      <c r="B210" s="452" t="s">
        <v>5286</v>
      </c>
      <c r="C210" s="452" t="s">
        <v>965</v>
      </c>
      <c r="D210" s="460" t="s">
        <v>966</v>
      </c>
      <c r="E210" s="446">
        <f>일위대가표!F1523</f>
        <v>18465</v>
      </c>
      <c r="F210" s="453">
        <f>일위대가표!H1523</f>
        <v>18325</v>
      </c>
      <c r="G210" s="454">
        <f>일위대가표!J1523</f>
        <v>0</v>
      </c>
      <c r="H210" s="446">
        <f>일위대가표!L1523</f>
        <v>140</v>
      </c>
      <c r="I210" s="482"/>
      <c r="J210" s="451" t="str">
        <f>"_x0007_`COD|B02384_x0005_`QTY1|1_x0005_`BQC|_x0005_`EQC|_x0005_`JDC|_x0005_`WQC|_x0005_`EDT|_x0005_`ADJ|F_x0005_`DET|"&amp;ROW(일위대가표!A1516)&amp;"_x0005_`"</f>
        <v>_x0007_`COD|B02384_x0005_`QTY1|1_x0005_`BQC|_x0005_`EQC|_x0005_`JDC|_x0005_`WQC|_x0005_`EDT|_x0005_`ADJ|F_x0005_`DET|1516_x0005_`</v>
      </c>
      <c r="K210" s="433" t="str">
        <f ca="1">HYPERLINK("#"&amp;일위대가표!N2&amp;"!A"&amp;ROW(일위대가표!A1516),"B02384 →")</f>
        <v>B02384 →</v>
      </c>
    </row>
    <row r="211" spans="1:11" ht="25.7" customHeight="1">
      <c r="A211" s="460" t="s">
        <v>5068</v>
      </c>
      <c r="B211" s="452" t="s">
        <v>5067</v>
      </c>
      <c r="C211" s="452" t="s">
        <v>965</v>
      </c>
      <c r="D211" s="460" t="s">
        <v>966</v>
      </c>
      <c r="E211" s="446">
        <f>일위대가표!F1544</f>
        <v>119492</v>
      </c>
      <c r="F211" s="453">
        <f>일위대가표!H1544</f>
        <v>59204</v>
      </c>
      <c r="G211" s="454">
        <f>일위대가표!J1544</f>
        <v>60106</v>
      </c>
      <c r="H211" s="446">
        <f>일위대가표!L1544</f>
        <v>182</v>
      </c>
      <c r="I211" s="482"/>
      <c r="J211" s="451" t="str">
        <f>"_x0007_`COD|B02831_x0005_`QTY1|1_x0005_`BQC|_x0005_`EQC|_x0005_`JDC|_x0005_`WQC|_x0005_`EDT|_x0005_`ADJ|F_x0005_`DET|"&amp;ROW(일위대가표!A1524)&amp;"_x0005_`"</f>
        <v>_x0007_`COD|B02831_x0005_`QTY1|1_x0005_`BQC|_x0005_`EQC|_x0005_`JDC|_x0005_`WQC|_x0005_`EDT|_x0005_`ADJ|F_x0005_`DET|1524_x0005_`</v>
      </c>
      <c r="K211" s="433" t="str">
        <f ca="1">HYPERLINK("#"&amp;일위대가표!N2&amp;"!A"&amp;ROW(일위대가표!A1524),"B02831 →")</f>
        <v>B02831 →</v>
      </c>
    </row>
    <row r="212" spans="1:11" ht="25.7" customHeight="1">
      <c r="A212" s="460" t="s">
        <v>967</v>
      </c>
      <c r="B212" s="452" t="s">
        <v>5071</v>
      </c>
      <c r="C212" s="452" t="s">
        <v>965</v>
      </c>
      <c r="D212" s="460" t="s">
        <v>966</v>
      </c>
      <c r="E212" s="446">
        <f>일위대가표!F1565</f>
        <v>124640</v>
      </c>
      <c r="F212" s="453">
        <f>일위대가표!H1565</f>
        <v>64352</v>
      </c>
      <c r="G212" s="454">
        <f>일위대가표!J1565</f>
        <v>60106</v>
      </c>
      <c r="H212" s="446">
        <f>일위대가표!L1565</f>
        <v>182</v>
      </c>
      <c r="I212" s="482"/>
      <c r="J212" s="451" t="str">
        <f>"_x0007_`COD|B02087_x0005_`QTY1|1_x0005_`BQC|_x0005_`EQC|_x0005_`JDC|_x0005_`WQC|_x0005_`EDT|_x0005_`ADJ|F_x0005_`DET|"&amp;ROW(일위대가표!A1545)&amp;"_x0005_`"</f>
        <v>_x0007_`COD|B02087_x0005_`QTY1|1_x0005_`BQC|_x0005_`EQC|_x0005_`JDC|_x0005_`WQC|_x0005_`EDT|_x0005_`ADJ|F_x0005_`DET|1545_x0005_`</v>
      </c>
      <c r="K212" s="433" t="str">
        <f ca="1">HYPERLINK("#"&amp;일위대가표!N2&amp;"!A"&amp;ROW(일위대가표!A1545),"B02087 →")</f>
        <v>B02087 →</v>
      </c>
    </row>
    <row r="213" spans="1:11" ht="25.7" customHeight="1">
      <c r="A213" s="460" t="s">
        <v>1352</v>
      </c>
      <c r="B213" s="452" t="s">
        <v>1351</v>
      </c>
      <c r="C213" s="452" t="s">
        <v>2316</v>
      </c>
      <c r="D213" s="460" t="s">
        <v>975</v>
      </c>
      <c r="E213" s="446">
        <f>일위대가표!F1569</f>
        <v>4470000</v>
      </c>
      <c r="F213" s="453">
        <f>일위대가표!H1569</f>
        <v>0</v>
      </c>
      <c r="G213" s="454">
        <f>일위대가표!J1569</f>
        <v>4470000</v>
      </c>
      <c r="H213" s="446">
        <f>일위대가표!L1569</f>
        <v>0</v>
      </c>
      <c r="I213" s="482"/>
      <c r="J213" s="451" t="str">
        <f>"_x0007_`COD|B02536_x0005_`QTY1|1_x0005_`BQC|_x0005_`EQC|_x0005_`JDC|_x0005_`WQC|_x0005_`EDT|_x0005_`ADJ|F_x0005_`DET|"&amp;ROW(일위대가표!A1566)&amp;"_x0005_`"</f>
        <v>_x0007_`COD|B02536_x0005_`QTY1|1_x0005_`BQC|_x0005_`EQC|_x0005_`JDC|_x0005_`WQC|_x0005_`EDT|_x0005_`ADJ|F_x0005_`DET|1566_x0005_`</v>
      </c>
      <c r="K213" s="433" t="str">
        <f ca="1">HYPERLINK("#"&amp;일위대가표!N2&amp;"!A"&amp;ROW(일위대가표!A1566),"B02536 →")</f>
        <v>B02536 →</v>
      </c>
    </row>
    <row r="214" spans="1:11" ht="25.7" customHeight="1">
      <c r="A214" s="460" t="s">
        <v>1361</v>
      </c>
      <c r="B214" s="452" t="s">
        <v>1359</v>
      </c>
      <c r="C214" s="452" t="s">
        <v>1360</v>
      </c>
      <c r="D214" s="460" t="s">
        <v>975</v>
      </c>
      <c r="E214" s="446">
        <f>일위대가표!F1573</f>
        <v>4335000</v>
      </c>
      <c r="F214" s="453">
        <f>일위대가표!H1573</f>
        <v>0</v>
      </c>
      <c r="G214" s="454">
        <f>일위대가표!J1573</f>
        <v>4335000</v>
      </c>
      <c r="H214" s="446">
        <f>일위대가표!L1573</f>
        <v>0</v>
      </c>
      <c r="I214" s="482"/>
      <c r="J214" s="451" t="str">
        <f>"_x0007_`COD|B02538_x0005_`QTY1|1_x0005_`BQC|_x0005_`EQC|_x0005_`JDC|_x0005_`WQC|_x0005_`EDT|_x0005_`ADJ|F_x0005_`DET|"&amp;ROW(일위대가표!A1570)&amp;"_x0005_`"</f>
        <v>_x0007_`COD|B02538_x0005_`QTY1|1_x0005_`BQC|_x0005_`EQC|_x0005_`JDC|_x0005_`WQC|_x0005_`EDT|_x0005_`ADJ|F_x0005_`DET|1570_x0005_`</v>
      </c>
      <c r="K214" s="433" t="str">
        <f ca="1">HYPERLINK("#"&amp;일위대가표!N2&amp;"!A"&amp;ROW(일위대가표!A1570),"B02538 →")</f>
        <v>B02538 →</v>
      </c>
    </row>
    <row r="215" spans="1:11" ht="25.7" customHeight="1">
      <c r="A215" s="460" t="s">
        <v>1356</v>
      </c>
      <c r="B215" s="452" t="s">
        <v>1354</v>
      </c>
      <c r="C215" s="452" t="s">
        <v>1355</v>
      </c>
      <c r="D215" s="460" t="s">
        <v>975</v>
      </c>
      <c r="E215" s="446">
        <f>일위대가표!F1577</f>
        <v>4335000</v>
      </c>
      <c r="F215" s="453">
        <f>일위대가표!H1577</f>
        <v>0</v>
      </c>
      <c r="G215" s="454">
        <f>일위대가표!J1577</f>
        <v>4335000</v>
      </c>
      <c r="H215" s="446">
        <f>일위대가표!L1577</f>
        <v>0</v>
      </c>
      <c r="I215" s="482"/>
      <c r="J215" s="451" t="str">
        <f>"_x0007_`COD|B02529_x0005_`QTY1|1_x0005_`BQC|_x0005_`EQC|_x0005_`JDC|_x0005_`WQC|_x0005_`EDT|_x0005_`ADJ|F_x0005_`DET|"&amp;ROW(일위대가표!A1574)&amp;"_x0005_`"</f>
        <v>_x0007_`COD|B02529_x0005_`QTY1|1_x0005_`BQC|_x0005_`EQC|_x0005_`JDC|_x0005_`WQC|_x0005_`EDT|_x0005_`ADJ|F_x0005_`DET|1574_x0005_`</v>
      </c>
      <c r="K215" s="433" t="str">
        <f ca="1">HYPERLINK("#"&amp;일위대가표!N2&amp;"!A"&amp;ROW(일위대가표!A1574),"B02529 →")</f>
        <v>B02529 →</v>
      </c>
    </row>
    <row r="216" spans="1:11" ht="25.7" customHeight="1">
      <c r="A216" s="460" t="s">
        <v>1366</v>
      </c>
      <c r="B216" s="452" t="s">
        <v>1364</v>
      </c>
      <c r="C216" s="452" t="s">
        <v>1365</v>
      </c>
      <c r="D216" s="460" t="s">
        <v>975</v>
      </c>
      <c r="E216" s="446">
        <f>일위대가표!F1581</f>
        <v>5540000</v>
      </c>
      <c r="F216" s="453">
        <f>일위대가표!H1581</f>
        <v>0</v>
      </c>
      <c r="G216" s="454">
        <f>일위대가표!J1581</f>
        <v>5540000</v>
      </c>
      <c r="H216" s="446">
        <f>일위대가표!L1581</f>
        <v>0</v>
      </c>
      <c r="I216" s="482"/>
      <c r="J216" s="451" t="str">
        <f>"_x0007_`COD|B02523_x0005_`QTY1|1_x0005_`BQC|_x0005_`EQC|_x0005_`JDC|_x0005_`WQC|_x0005_`EDT|_x0005_`ADJ|F_x0005_`DET|"&amp;ROW(일위대가표!A1578)&amp;"_x0005_`"</f>
        <v>_x0007_`COD|B02523_x0005_`QTY1|1_x0005_`BQC|_x0005_`EQC|_x0005_`JDC|_x0005_`WQC|_x0005_`EDT|_x0005_`ADJ|F_x0005_`DET|1578_x0005_`</v>
      </c>
      <c r="K216" s="433" t="str">
        <f ca="1">HYPERLINK("#"&amp;일위대가표!N2&amp;"!A"&amp;ROW(일위대가표!A1578),"B02523 →")</f>
        <v>B02523 →</v>
      </c>
    </row>
    <row r="217" spans="1:11" ht="25.7" customHeight="1">
      <c r="A217" s="460" t="s">
        <v>1371</v>
      </c>
      <c r="B217" s="452" t="s">
        <v>1369</v>
      </c>
      <c r="C217" s="452" t="s">
        <v>1370</v>
      </c>
      <c r="D217" s="460" t="s">
        <v>975</v>
      </c>
      <c r="E217" s="446">
        <f>일위대가표!F1585</f>
        <v>5850000</v>
      </c>
      <c r="F217" s="453">
        <f>일위대가표!H1585</f>
        <v>0</v>
      </c>
      <c r="G217" s="454">
        <f>일위대가표!J1585</f>
        <v>5850000</v>
      </c>
      <c r="H217" s="446">
        <f>일위대가표!L1585</f>
        <v>0</v>
      </c>
      <c r="I217" s="482"/>
      <c r="J217" s="451" t="str">
        <f>"_x0007_`COD|B02524_x0005_`QTY1|1_x0005_`BQC|_x0005_`EQC|_x0005_`JDC|_x0005_`WQC|_x0005_`EDT|_x0005_`ADJ|F_x0005_`DET|"&amp;ROW(일위대가표!A1582)&amp;"_x0005_`"</f>
        <v>_x0007_`COD|B02524_x0005_`QTY1|1_x0005_`BQC|_x0005_`EQC|_x0005_`JDC|_x0005_`WQC|_x0005_`EDT|_x0005_`ADJ|F_x0005_`DET|1582_x0005_`</v>
      </c>
      <c r="K217" s="433" t="str">
        <f ca="1">HYPERLINK("#"&amp;일위대가표!N2&amp;"!A"&amp;ROW(일위대가표!A1582),"B02524 →")</f>
        <v>B02524 →</v>
      </c>
    </row>
    <row r="218" spans="1:11" ht="25.7" customHeight="1">
      <c r="A218" s="460" t="s">
        <v>1871</v>
      </c>
      <c r="B218" s="452" t="s">
        <v>1869</v>
      </c>
      <c r="C218" s="452" t="s">
        <v>1870</v>
      </c>
      <c r="D218" s="460" t="s">
        <v>1799</v>
      </c>
      <c r="E218" s="446">
        <f>일위대가표!F1590</f>
        <v>5075</v>
      </c>
      <c r="F218" s="453">
        <f>일위대가표!H1590</f>
        <v>2925</v>
      </c>
      <c r="G218" s="454">
        <f>일위대가표!J1590</f>
        <v>2150</v>
      </c>
      <c r="H218" s="446">
        <f>일위대가표!L1590</f>
        <v>0</v>
      </c>
      <c r="I218" s="482"/>
      <c r="J218" s="451" t="str">
        <f>"_x0007_`COD|B02800_x0005_`QTY1|1_x0005_`BQC|_x0005_`EQC|_x0005_`JDC|_x0005_`WQC|_x0005_`EDT|_x0005_`ADJ|F_x0005_`DET|"&amp;ROW(일위대가표!A1586)&amp;"_x0005_`"</f>
        <v>_x0007_`COD|B02800_x0005_`QTY1|1_x0005_`BQC|_x0005_`EQC|_x0005_`JDC|_x0005_`WQC|_x0005_`EDT|_x0005_`ADJ|F_x0005_`DET|1586_x0005_`</v>
      </c>
      <c r="K218" s="433" t="str">
        <f ca="1">HYPERLINK("#"&amp;일위대가표!N2&amp;"!A"&amp;ROW(일위대가표!A1586),"B02800 →")</f>
        <v>B02800 →</v>
      </c>
    </row>
    <row r="219" spans="1:11" ht="25.7" customHeight="1">
      <c r="A219" s="460" t="s">
        <v>5346</v>
      </c>
      <c r="B219" s="452" t="s">
        <v>5345</v>
      </c>
      <c r="C219" s="452" t="s">
        <v>1870</v>
      </c>
      <c r="D219" s="460" t="s">
        <v>1799</v>
      </c>
      <c r="E219" s="446">
        <f>일위대가표!F1595</f>
        <v>5514</v>
      </c>
      <c r="F219" s="453">
        <f>일위대가표!H1595</f>
        <v>3364</v>
      </c>
      <c r="G219" s="454">
        <f>일위대가표!J1595</f>
        <v>2150</v>
      </c>
      <c r="H219" s="446">
        <f>일위대가표!L1595</f>
        <v>0</v>
      </c>
      <c r="I219" s="482"/>
      <c r="J219" s="451" t="str">
        <f>"_x0007_`COD|B02890_x0005_`QTY1|1_x0005_`BQC|_x0005_`EQC|_x0005_`JDC|_x0005_`WQC|_x0005_`EDT|_x0005_`ADJ|F_x0005_`DET|"&amp;ROW(일위대가표!A1591)&amp;"_x0005_`"</f>
        <v>_x0007_`COD|B02890_x0005_`QTY1|1_x0005_`BQC|_x0005_`EQC|_x0005_`JDC|_x0005_`WQC|_x0005_`EDT|_x0005_`ADJ|F_x0005_`DET|1591_x0005_`</v>
      </c>
      <c r="K219" s="433" t="str">
        <f ca="1">HYPERLINK("#"&amp;일위대가표!N2&amp;"!A"&amp;ROW(일위대가표!A1591),"B02890 →")</f>
        <v>B02890 →</v>
      </c>
    </row>
    <row r="220" spans="1:11" ht="25.7" customHeight="1">
      <c r="A220" s="460" t="s">
        <v>5350</v>
      </c>
      <c r="B220" s="452" t="s">
        <v>5349</v>
      </c>
      <c r="C220" s="452" t="s">
        <v>1870</v>
      </c>
      <c r="D220" s="460" t="s">
        <v>1799</v>
      </c>
      <c r="E220" s="446">
        <f>일위대가표!F1600</f>
        <v>5806</v>
      </c>
      <c r="F220" s="453">
        <f>일위대가표!H1600</f>
        <v>3656</v>
      </c>
      <c r="G220" s="454">
        <f>일위대가표!J1600</f>
        <v>2150</v>
      </c>
      <c r="H220" s="446">
        <f>일위대가표!L1600</f>
        <v>0</v>
      </c>
      <c r="I220" s="482"/>
      <c r="J220" s="451" t="str">
        <f>"_x0007_`COD|B02891_x0005_`QTY1|1_x0005_`BQC|_x0005_`EQC|_x0005_`JDC|_x0005_`WQC|_x0005_`EDT|_x0005_`ADJ|F_x0005_`DET|"&amp;ROW(일위대가표!A1596)&amp;"_x0005_`"</f>
        <v>_x0007_`COD|B02891_x0005_`QTY1|1_x0005_`BQC|_x0005_`EQC|_x0005_`JDC|_x0005_`WQC|_x0005_`EDT|_x0005_`ADJ|F_x0005_`DET|1596_x0005_`</v>
      </c>
      <c r="K220" s="433" t="str">
        <f ca="1">HYPERLINK("#"&amp;일위대가표!N2&amp;"!A"&amp;ROW(일위대가표!A1596),"B02891 →")</f>
        <v>B02891 →</v>
      </c>
    </row>
    <row r="221" spans="1:11" ht="25.7" customHeight="1">
      <c r="A221" s="460" t="s">
        <v>1381</v>
      </c>
      <c r="B221" s="452" t="s">
        <v>1379</v>
      </c>
      <c r="C221" s="452" t="s">
        <v>1380</v>
      </c>
      <c r="D221" s="460" t="s">
        <v>975</v>
      </c>
      <c r="E221" s="446">
        <f>일위대가표!F1604</f>
        <v>4880000</v>
      </c>
      <c r="F221" s="453">
        <f>일위대가표!H1604</f>
        <v>0</v>
      </c>
      <c r="G221" s="454">
        <f>일위대가표!J1604</f>
        <v>4880000</v>
      </c>
      <c r="H221" s="446">
        <f>일위대가표!L1604</f>
        <v>0</v>
      </c>
      <c r="I221" s="482"/>
      <c r="J221" s="451" t="str">
        <f>"_x0007_`COD|B02520_x0005_`QTY1|1_x0005_`BQC|_x0005_`EQC|_x0005_`JDC|_x0005_`WQC|_x0005_`EDT|_x0005_`ADJ|F_x0005_`DET|"&amp;ROW(일위대가표!A1601)&amp;"_x0005_`"</f>
        <v>_x0007_`COD|B02520_x0005_`QTY1|1_x0005_`BQC|_x0005_`EQC|_x0005_`JDC|_x0005_`WQC|_x0005_`EDT|_x0005_`ADJ|F_x0005_`DET|1601_x0005_`</v>
      </c>
      <c r="K221" s="433" t="str">
        <f ca="1">HYPERLINK("#"&amp;일위대가표!N2&amp;"!A"&amp;ROW(일위대가표!A1601),"B02520 →")</f>
        <v>B02520 →</v>
      </c>
    </row>
    <row r="222" spans="1:11" ht="25.7" customHeight="1">
      <c r="A222" s="460" t="s">
        <v>1386</v>
      </c>
      <c r="B222" s="452" t="s">
        <v>1384</v>
      </c>
      <c r="C222" s="452" t="s">
        <v>1385</v>
      </c>
      <c r="D222" s="460" t="s">
        <v>975</v>
      </c>
      <c r="E222" s="446">
        <f>일위대가표!F1608</f>
        <v>4810000</v>
      </c>
      <c r="F222" s="453">
        <f>일위대가표!H1608</f>
        <v>0</v>
      </c>
      <c r="G222" s="454">
        <f>일위대가표!J1608</f>
        <v>4810000</v>
      </c>
      <c r="H222" s="446">
        <f>일위대가표!L1608</f>
        <v>0</v>
      </c>
      <c r="I222" s="482"/>
      <c r="J222" s="451" t="str">
        <f>"_x0007_`COD|B02527_x0005_`QTY1|1_x0005_`BQC|_x0005_`EQC|_x0005_`JDC|_x0005_`WQC|_x0005_`EDT|_x0005_`ADJ|F_x0005_`DET|"&amp;ROW(일위대가표!A1605)&amp;"_x0005_`"</f>
        <v>_x0007_`COD|B02527_x0005_`QTY1|1_x0005_`BQC|_x0005_`EQC|_x0005_`JDC|_x0005_`WQC|_x0005_`EDT|_x0005_`ADJ|F_x0005_`DET|1605_x0005_`</v>
      </c>
      <c r="K222" s="433" t="str">
        <f ca="1">HYPERLINK("#"&amp;일위대가표!N2&amp;"!A"&amp;ROW(일위대가표!A1605),"B02527 →")</f>
        <v>B02527 →</v>
      </c>
    </row>
    <row r="223" spans="1:11" ht="25.7" customHeight="1">
      <c r="A223" s="460" t="s">
        <v>1534</v>
      </c>
      <c r="B223" s="452" t="s">
        <v>1532</v>
      </c>
      <c r="C223" s="452" t="s">
        <v>1533</v>
      </c>
      <c r="D223" s="460" t="s">
        <v>595</v>
      </c>
      <c r="E223" s="446">
        <f>일위대가표!F1617</f>
        <v>6465</v>
      </c>
      <c r="F223" s="453">
        <f>일위대가표!H1617</f>
        <v>5513</v>
      </c>
      <c r="G223" s="454">
        <f>일위대가표!J1617</f>
        <v>842</v>
      </c>
      <c r="H223" s="446">
        <f>일위대가표!L1617</f>
        <v>110</v>
      </c>
      <c r="I223" s="482" t="s">
        <v>2317</v>
      </c>
      <c r="J223" s="451" t="str">
        <f>"_x0007_`COD|B02657_x0005_`QTY1|1_x0005_`BQC|건축11-2-7_x0005_`EQC|_x0005_`JDC|_x0005_`WQC|_x0005_`EDT|_x0005_`ADJ|F_x0005_`DET|"&amp;ROW(일위대가표!A1609)&amp;"_x0005_`"</f>
        <v>_x0007_`COD|B02657_x0005_`QTY1|1_x0005_`BQC|건축11-2-7_x0005_`EQC|_x0005_`JDC|_x0005_`WQC|_x0005_`EDT|_x0005_`ADJ|F_x0005_`DET|1609_x0005_`</v>
      </c>
      <c r="K223" s="433" t="str">
        <f ca="1">HYPERLINK("#"&amp;일위대가표!N2&amp;"!A"&amp;ROW(일위대가표!A1609),"B02657 →")</f>
        <v>B02657 →</v>
      </c>
    </row>
    <row r="224" spans="1:11" ht="25.7" customHeight="1">
      <c r="A224" s="460" t="s">
        <v>1538</v>
      </c>
      <c r="B224" s="452" t="s">
        <v>1532</v>
      </c>
      <c r="C224" s="452" t="s">
        <v>1537</v>
      </c>
      <c r="D224" s="460" t="s">
        <v>595</v>
      </c>
      <c r="E224" s="446">
        <f>일위대가표!F1626</f>
        <v>12642</v>
      </c>
      <c r="F224" s="453">
        <f>일위대가표!H1626</f>
        <v>11027</v>
      </c>
      <c r="G224" s="454">
        <f>일위대가표!J1626</f>
        <v>1395</v>
      </c>
      <c r="H224" s="446">
        <f>일위대가표!L1626</f>
        <v>220</v>
      </c>
      <c r="I224" s="482" t="s">
        <v>2317</v>
      </c>
      <c r="J224" s="451" t="str">
        <f>"_x0007_`COD|B01814_x0005_`QTY1|1_x0005_`BQC|건축11-2-7_x0005_`EQC|_x0005_`JDC|_x0005_`WQC|_x0005_`EDT|_x0005_`ADJ|F_x0005_`DET|"&amp;ROW(일위대가표!A1618)&amp;"_x0005_`"</f>
        <v>_x0007_`COD|B01814_x0005_`QTY1|1_x0005_`BQC|건축11-2-7_x0005_`EQC|_x0005_`JDC|_x0005_`WQC|_x0005_`EDT|_x0005_`ADJ|F_x0005_`DET|1618_x0005_`</v>
      </c>
      <c r="K224" s="433" t="str">
        <f ca="1">HYPERLINK("#"&amp;일위대가표!N2&amp;"!A"&amp;ROW(일위대가표!A1618),"B01814 →")</f>
        <v>B01814 →</v>
      </c>
    </row>
    <row r="225" spans="1:11" ht="25.7" customHeight="1">
      <c r="A225" s="460" t="s">
        <v>1391</v>
      </c>
      <c r="B225" s="452" t="s">
        <v>1389</v>
      </c>
      <c r="C225" s="452" t="s">
        <v>1390</v>
      </c>
      <c r="D225" s="460" t="s">
        <v>975</v>
      </c>
      <c r="E225" s="446">
        <f>일위대가표!F1630</f>
        <v>3290000</v>
      </c>
      <c r="F225" s="453">
        <f>일위대가표!H1630</f>
        <v>0</v>
      </c>
      <c r="G225" s="454">
        <f>일위대가표!J1630</f>
        <v>3290000</v>
      </c>
      <c r="H225" s="446">
        <f>일위대가표!L1630</f>
        <v>0</v>
      </c>
      <c r="I225" s="482"/>
      <c r="J225" s="451" t="str">
        <f>"_x0007_`COD|B02521_x0005_`QTY1|1_x0005_`BQC|_x0005_`EQC|_x0005_`JDC|_x0005_`WQC|_x0005_`EDT|_x0005_`ADJ|F_x0005_`DET|"&amp;ROW(일위대가표!A1627)&amp;"_x0005_`"</f>
        <v>_x0007_`COD|B02521_x0005_`QTY1|1_x0005_`BQC|_x0005_`EQC|_x0005_`JDC|_x0005_`WQC|_x0005_`EDT|_x0005_`ADJ|F_x0005_`DET|1627_x0005_`</v>
      </c>
      <c r="K225" s="433" t="str">
        <f ca="1">HYPERLINK("#"&amp;일위대가표!N2&amp;"!A"&amp;ROW(일위대가표!A1627),"B02521 →")</f>
        <v>B02521 →</v>
      </c>
    </row>
    <row r="226" spans="1:11" ht="25.7" customHeight="1">
      <c r="A226" s="460" t="s">
        <v>1376</v>
      </c>
      <c r="B226" s="452" t="s">
        <v>1374</v>
      </c>
      <c r="C226" s="452" t="s">
        <v>1375</v>
      </c>
      <c r="D226" s="460" t="s">
        <v>975</v>
      </c>
      <c r="E226" s="446">
        <f>일위대가표!F1634</f>
        <v>6040000</v>
      </c>
      <c r="F226" s="453">
        <f>일위대가표!H1634</f>
        <v>0</v>
      </c>
      <c r="G226" s="454">
        <f>일위대가표!J1634</f>
        <v>6040000</v>
      </c>
      <c r="H226" s="446">
        <f>일위대가표!L1634</f>
        <v>0</v>
      </c>
      <c r="I226" s="482"/>
      <c r="J226" s="451" t="str">
        <f>"_x0007_`COD|B02518_x0005_`QTY1|1_x0005_`BQC|_x0005_`EQC|_x0005_`JDC|_x0005_`WQC|_x0005_`EDT|_x0005_`ADJ|F_x0005_`DET|"&amp;ROW(일위대가표!A1631)&amp;"_x0005_`"</f>
        <v>_x0007_`COD|B02518_x0005_`QTY1|1_x0005_`BQC|_x0005_`EQC|_x0005_`JDC|_x0005_`WQC|_x0005_`EDT|_x0005_`ADJ|F_x0005_`DET|1631_x0005_`</v>
      </c>
      <c r="K226" s="433" t="str">
        <f ca="1">HYPERLINK("#"&amp;일위대가표!N2&amp;"!A"&amp;ROW(일위대가표!A1631),"B02518 →")</f>
        <v>B02518 →</v>
      </c>
    </row>
    <row r="227" spans="1:11" ht="25.7" customHeight="1">
      <c r="A227" s="460" t="s">
        <v>1627</v>
      </c>
      <c r="B227" s="452" t="s">
        <v>1626</v>
      </c>
      <c r="C227" s="452" t="s">
        <v>1622</v>
      </c>
      <c r="D227" s="460" t="s">
        <v>975</v>
      </c>
      <c r="E227" s="446">
        <f>일위대가표!F1642</f>
        <v>128919</v>
      </c>
      <c r="F227" s="453">
        <f>일위대가표!H1642</f>
        <v>112809</v>
      </c>
      <c r="G227" s="454">
        <f>일위대가표!J1642</f>
        <v>9700</v>
      </c>
      <c r="H227" s="446">
        <f>일위대가표!L1642</f>
        <v>6410</v>
      </c>
      <c r="I227" s="482"/>
      <c r="J227" s="451" t="str">
        <f>"_x0007_`COD|B02646_x0005_`QTY1|1_x0005_`BQC|_x0005_`EQC|_x0005_`JDC|_x0005_`WQC|_x0005_`EDT|_x0005_`ADJ|F_x0005_`DET|"&amp;ROW(일위대가표!A1635)&amp;"_x0005_`"</f>
        <v>_x0007_`COD|B02646_x0005_`QTY1|1_x0005_`BQC|_x0005_`EQC|_x0005_`JDC|_x0005_`WQC|_x0005_`EDT|_x0005_`ADJ|F_x0005_`DET|1635_x0005_`</v>
      </c>
      <c r="K227" s="433" t="str">
        <f ca="1">HYPERLINK("#"&amp;일위대가표!N2&amp;"!A"&amp;ROW(일위대가표!A1635),"B02646 →")</f>
        <v>B02646 →</v>
      </c>
    </row>
    <row r="228" spans="1:11" ht="25.7" customHeight="1">
      <c r="A228" s="460" t="s">
        <v>5216</v>
      </c>
      <c r="B228" s="452" t="s">
        <v>5215</v>
      </c>
      <c r="C228" s="452" t="s">
        <v>1622</v>
      </c>
      <c r="D228" s="460" t="s">
        <v>975</v>
      </c>
      <c r="E228" s="446">
        <f>일위대가표!F1651</f>
        <v>130257</v>
      </c>
      <c r="F228" s="453">
        <f>일위대가표!H1651</f>
        <v>114147</v>
      </c>
      <c r="G228" s="454">
        <f>일위대가표!J1651</f>
        <v>9700</v>
      </c>
      <c r="H228" s="446">
        <f>일위대가표!L1651</f>
        <v>6410</v>
      </c>
      <c r="I228" s="482"/>
      <c r="J228" s="451" t="str">
        <f>"_x0007_`COD|B02869_x0005_`QTY1|1_x0005_`BQC|_x0005_`EQC|_x0005_`JDC|_x0005_`WQC|_x0005_`EDT|_x0005_`ADJ|F_x0005_`DET|"&amp;ROW(일위대가표!A1643)&amp;"_x0005_`"</f>
        <v>_x0007_`COD|B02869_x0005_`QTY1|1_x0005_`BQC|_x0005_`EQC|_x0005_`JDC|_x0005_`WQC|_x0005_`EDT|_x0005_`ADJ|F_x0005_`DET|1643_x0005_`</v>
      </c>
      <c r="K228" s="433" t="str">
        <f ca="1">HYPERLINK("#"&amp;일위대가표!N2&amp;"!A"&amp;ROW(일위대가표!A1643),"B02869 →")</f>
        <v>B02869 →</v>
      </c>
    </row>
    <row r="229" spans="1:11" ht="25.7" customHeight="1">
      <c r="A229" s="460" t="s">
        <v>1623</v>
      </c>
      <c r="B229" s="452" t="s">
        <v>5219</v>
      </c>
      <c r="C229" s="452" t="s">
        <v>1622</v>
      </c>
      <c r="D229" s="460" t="s">
        <v>975</v>
      </c>
      <c r="E229" s="446">
        <f>일위대가표!F1660</f>
        <v>131149</v>
      </c>
      <c r="F229" s="453">
        <f>일위대가표!H1660</f>
        <v>115039</v>
      </c>
      <c r="G229" s="454">
        <f>일위대가표!J1660</f>
        <v>9700</v>
      </c>
      <c r="H229" s="446">
        <f>일위대가표!L1660</f>
        <v>6410</v>
      </c>
      <c r="I229" s="482"/>
      <c r="J229" s="451" t="str">
        <f>"_x0007_`COD|B02647_x0005_`QTY1|1_x0005_`BQC|_x0005_`EQC|_x0005_`JDC|_x0005_`WQC|_x0005_`EDT|_x0005_`ADJ|F_x0005_`DET|"&amp;ROW(일위대가표!A1652)&amp;"_x0005_`"</f>
        <v>_x0007_`COD|B02647_x0005_`QTY1|1_x0005_`BQC|_x0005_`EQC|_x0005_`JDC|_x0005_`WQC|_x0005_`EDT|_x0005_`ADJ|F_x0005_`DET|1652_x0005_`</v>
      </c>
      <c r="K229" s="433" t="str">
        <f ca="1">HYPERLINK("#"&amp;일위대가표!N2&amp;"!A"&amp;ROW(일위대가표!A1652),"B02647 →")</f>
        <v>B02647 →</v>
      </c>
    </row>
    <row r="230" spans="1:11" ht="25.7" customHeight="1">
      <c r="A230" s="460" t="s">
        <v>1048</v>
      </c>
      <c r="B230" s="452" t="s">
        <v>1047</v>
      </c>
      <c r="C230" s="452" t="s">
        <v>1039</v>
      </c>
      <c r="D230" s="460" t="s">
        <v>984</v>
      </c>
      <c r="E230" s="446">
        <f>일위대가표!F1672</f>
        <v>110201</v>
      </c>
      <c r="F230" s="453">
        <f>일위대가표!H1672</f>
        <v>37624</v>
      </c>
      <c r="G230" s="454">
        <f>일위대가표!J1672</f>
        <v>72577</v>
      </c>
      <c r="H230" s="446">
        <f>일위대가표!L1672</f>
        <v>0</v>
      </c>
      <c r="I230" s="482"/>
      <c r="J230" s="451" t="str">
        <f>"_x0007_`COD|B02801_x0005_`QTY1|1_x0005_`BQC|_x0005_`EQC|_x0005_`JDC|_x0005_`WQC|_x0005_`EDT|_x0005_`ADJ|F_x0005_`DET|"&amp;ROW(일위대가표!A1661)&amp;"_x0005_`"</f>
        <v>_x0007_`COD|B02801_x0005_`QTY1|1_x0005_`BQC|_x0005_`EQC|_x0005_`JDC|_x0005_`WQC|_x0005_`EDT|_x0005_`ADJ|F_x0005_`DET|1661_x0005_`</v>
      </c>
      <c r="K230" s="433" t="str">
        <f ca="1">HYPERLINK("#"&amp;일위대가표!N2&amp;"!A"&amp;ROW(일위대가표!A1661),"B02801 →")</f>
        <v>B02801 →</v>
      </c>
    </row>
    <row r="231" spans="1:11" ht="25.7" customHeight="1">
      <c r="A231" s="460" t="s">
        <v>1051</v>
      </c>
      <c r="B231" s="452" t="s">
        <v>1047</v>
      </c>
      <c r="C231" s="452" t="s">
        <v>1043</v>
      </c>
      <c r="D231" s="460" t="s">
        <v>984</v>
      </c>
      <c r="E231" s="446">
        <f>일위대가표!F1684</f>
        <v>122373</v>
      </c>
      <c r="F231" s="453">
        <f>일위대가표!H1684</f>
        <v>42485</v>
      </c>
      <c r="G231" s="454">
        <f>일위대가표!J1684</f>
        <v>79888</v>
      </c>
      <c r="H231" s="446">
        <f>일위대가표!L1684</f>
        <v>0</v>
      </c>
      <c r="I231" s="482"/>
      <c r="J231" s="451" t="str">
        <f>"_x0007_`COD|B02802_x0005_`QTY1|1_x0005_`BQC|_x0005_`EQC|_x0005_`JDC|_x0005_`WQC|_x0005_`EDT|_x0005_`ADJ|F_x0005_`DET|"&amp;ROW(일위대가표!A1673)&amp;"_x0005_`"</f>
        <v>_x0007_`COD|B02802_x0005_`QTY1|1_x0005_`BQC|_x0005_`EQC|_x0005_`JDC|_x0005_`WQC|_x0005_`EDT|_x0005_`ADJ|F_x0005_`DET|1673_x0005_`</v>
      </c>
      <c r="K231" s="433" t="str">
        <f ca="1">HYPERLINK("#"&amp;일위대가표!N2&amp;"!A"&amp;ROW(일위대가표!A1673),"B02802 →")</f>
        <v>B02802 →</v>
      </c>
    </row>
    <row r="232" spans="1:11" ht="25.7" customHeight="1">
      <c r="A232" s="460" t="s">
        <v>1061</v>
      </c>
      <c r="B232" s="452" t="s">
        <v>1060</v>
      </c>
      <c r="C232" s="452" t="s">
        <v>1039</v>
      </c>
      <c r="D232" s="460" t="s">
        <v>984</v>
      </c>
      <c r="E232" s="446">
        <f>일위대가표!F1695</f>
        <v>52503</v>
      </c>
      <c r="F232" s="453">
        <f>일위대가표!H1695</f>
        <v>37624</v>
      </c>
      <c r="G232" s="454">
        <f>일위대가표!J1695</f>
        <v>14879</v>
      </c>
      <c r="H232" s="446">
        <f>일위대가표!L1695</f>
        <v>0</v>
      </c>
      <c r="I232" s="482"/>
      <c r="J232" s="451" t="str">
        <f>"_x0007_`COD|B02803_x0005_`QTY1|1_x0005_`BQC|_x0005_`EQC|_x0005_`JDC|_x0005_`WQC|_x0005_`EDT|_x0005_`ADJ|F_x0005_`DET|"&amp;ROW(일위대가표!A1685)&amp;"_x0005_`"</f>
        <v>_x0007_`COD|B02803_x0005_`QTY1|1_x0005_`BQC|_x0005_`EQC|_x0005_`JDC|_x0005_`WQC|_x0005_`EDT|_x0005_`ADJ|F_x0005_`DET|1685_x0005_`</v>
      </c>
      <c r="K232" s="433" t="str">
        <f ca="1">HYPERLINK("#"&amp;일위대가표!N2&amp;"!A"&amp;ROW(일위대가표!A1685),"B02803 →")</f>
        <v>B02803 →</v>
      </c>
    </row>
    <row r="233" spans="1:11" ht="25.7" customHeight="1">
      <c r="A233" s="460" t="s">
        <v>1064</v>
      </c>
      <c r="B233" s="452" t="s">
        <v>1060</v>
      </c>
      <c r="C233" s="452" t="s">
        <v>1043</v>
      </c>
      <c r="D233" s="460" t="s">
        <v>984</v>
      </c>
      <c r="E233" s="446">
        <f>일위대가표!F1706</f>
        <v>57364</v>
      </c>
      <c r="F233" s="453">
        <f>일위대가표!H1706</f>
        <v>42485</v>
      </c>
      <c r="G233" s="454">
        <f>일위대가표!J1706</f>
        <v>14879</v>
      </c>
      <c r="H233" s="446">
        <f>일위대가표!L1706</f>
        <v>0</v>
      </c>
      <c r="I233" s="482"/>
      <c r="J233" s="451" t="str">
        <f>"_x0007_`COD|B02804_x0005_`QTY1|1_x0005_`BQC|_x0005_`EQC|_x0005_`JDC|_x0005_`WQC|_x0005_`EDT|_x0005_`ADJ|F_x0005_`DET|"&amp;ROW(일위대가표!A1696)&amp;"_x0005_`"</f>
        <v>_x0007_`COD|B02804_x0005_`QTY1|1_x0005_`BQC|_x0005_`EQC|_x0005_`JDC|_x0005_`WQC|_x0005_`EDT|_x0005_`ADJ|F_x0005_`DET|1696_x0005_`</v>
      </c>
      <c r="K233" s="433" t="str">
        <f ca="1">HYPERLINK("#"&amp;일위대가표!N2&amp;"!A"&amp;ROW(일위대가표!A1696),"B02804 →")</f>
        <v>B02804 →</v>
      </c>
    </row>
    <row r="234" spans="1:11" ht="25.7" customHeight="1">
      <c r="A234" s="460" t="s">
        <v>5114</v>
      </c>
      <c r="B234" s="452" t="s">
        <v>5113</v>
      </c>
      <c r="C234" s="452" t="s">
        <v>1039</v>
      </c>
      <c r="D234" s="460" t="s">
        <v>984</v>
      </c>
      <c r="E234" s="446">
        <f>일위대가표!F1718</f>
        <v>58146</v>
      </c>
      <c r="F234" s="453">
        <f>일위대가표!H1718</f>
        <v>43267</v>
      </c>
      <c r="G234" s="454">
        <f>일위대가표!J1718</f>
        <v>14879</v>
      </c>
      <c r="H234" s="446">
        <f>일위대가표!L1718</f>
        <v>0</v>
      </c>
      <c r="I234" s="482"/>
      <c r="J234" s="451" t="str">
        <f>"_x0007_`COD|B02843_x0005_`QTY1|1_x0005_`BQC|_x0005_`EQC|_x0005_`JDC|_x0005_`WQC|_x0005_`EDT|_x0005_`ADJ|F_x0005_`DET|"&amp;ROW(일위대가표!A1707)&amp;"_x0005_`"</f>
        <v>_x0007_`COD|B02843_x0005_`QTY1|1_x0005_`BQC|_x0005_`EQC|_x0005_`JDC|_x0005_`WQC|_x0005_`EDT|_x0005_`ADJ|F_x0005_`DET|1707_x0005_`</v>
      </c>
      <c r="K234" s="433" t="str">
        <f ca="1">HYPERLINK("#"&amp;일위대가표!N2&amp;"!A"&amp;ROW(일위대가표!A1707),"B02843 →")</f>
        <v>B02843 →</v>
      </c>
    </row>
    <row r="235" spans="1:11" ht="25.7" customHeight="1">
      <c r="A235" s="460" t="s">
        <v>5117</v>
      </c>
      <c r="B235" s="452" t="s">
        <v>5113</v>
      </c>
      <c r="C235" s="452" t="s">
        <v>1043</v>
      </c>
      <c r="D235" s="460" t="s">
        <v>984</v>
      </c>
      <c r="E235" s="446">
        <f>일위대가표!F1730</f>
        <v>63737</v>
      </c>
      <c r="F235" s="453">
        <f>일위대가표!H1730</f>
        <v>48858</v>
      </c>
      <c r="G235" s="454">
        <f>일위대가표!J1730</f>
        <v>14879</v>
      </c>
      <c r="H235" s="446">
        <f>일위대가표!L1730</f>
        <v>0</v>
      </c>
      <c r="I235" s="482"/>
      <c r="J235" s="451" t="str">
        <f>"_x0007_`COD|B02844_x0005_`QTY1|1_x0005_`BQC|_x0005_`EQC|_x0005_`JDC|_x0005_`WQC|_x0005_`EDT|_x0005_`ADJ|F_x0005_`DET|"&amp;ROW(일위대가표!A1719)&amp;"_x0005_`"</f>
        <v>_x0007_`COD|B02844_x0005_`QTY1|1_x0005_`BQC|_x0005_`EQC|_x0005_`JDC|_x0005_`WQC|_x0005_`EDT|_x0005_`ADJ|F_x0005_`DET|1719_x0005_`</v>
      </c>
      <c r="K235" s="433" t="str">
        <f ca="1">HYPERLINK("#"&amp;일위대가표!N2&amp;"!A"&amp;ROW(일위대가표!A1719),"B02844 →")</f>
        <v>B02844 →</v>
      </c>
    </row>
    <row r="236" spans="1:11" ht="25.7" customHeight="1">
      <c r="A236" s="460" t="s">
        <v>1054</v>
      </c>
      <c r="B236" s="452" t="s">
        <v>5120</v>
      </c>
      <c r="C236" s="452" t="s">
        <v>1039</v>
      </c>
      <c r="D236" s="460" t="s">
        <v>984</v>
      </c>
      <c r="E236" s="446">
        <f>일위대가표!F1742</f>
        <v>61909</v>
      </c>
      <c r="F236" s="453">
        <f>일위대가표!H1742</f>
        <v>47030</v>
      </c>
      <c r="G236" s="454">
        <f>일위대가표!J1742</f>
        <v>14879</v>
      </c>
      <c r="H236" s="446">
        <f>일위대가표!L1742</f>
        <v>0</v>
      </c>
      <c r="I236" s="482"/>
      <c r="J236" s="451" t="str">
        <f>"_x0007_`COD|B02807_x0005_`QTY1|1_x0005_`BQC|_x0005_`EQC|_x0005_`JDC|_x0005_`WQC|_x0005_`EDT|_x0005_`ADJ|F_x0005_`DET|"&amp;ROW(일위대가표!A1731)&amp;"_x0005_`"</f>
        <v>_x0007_`COD|B02807_x0005_`QTY1|1_x0005_`BQC|_x0005_`EQC|_x0005_`JDC|_x0005_`WQC|_x0005_`EDT|_x0005_`ADJ|F_x0005_`DET|1731_x0005_`</v>
      </c>
      <c r="K236" s="433" t="str">
        <f ca="1">HYPERLINK("#"&amp;일위대가표!N2&amp;"!A"&amp;ROW(일위대가표!A1731),"B02807 →")</f>
        <v>B02807 →</v>
      </c>
    </row>
    <row r="237" spans="1:11" ht="25.7" customHeight="1">
      <c r="A237" s="460" t="s">
        <v>1057</v>
      </c>
      <c r="B237" s="452" t="s">
        <v>5120</v>
      </c>
      <c r="C237" s="452" t="s">
        <v>1043</v>
      </c>
      <c r="D237" s="460" t="s">
        <v>984</v>
      </c>
      <c r="E237" s="446">
        <f>일위대가표!F1754</f>
        <v>67986</v>
      </c>
      <c r="F237" s="453">
        <f>일위대가표!H1754</f>
        <v>53107</v>
      </c>
      <c r="G237" s="454">
        <f>일위대가표!J1754</f>
        <v>14879</v>
      </c>
      <c r="H237" s="446">
        <f>일위대가표!L1754</f>
        <v>0</v>
      </c>
      <c r="I237" s="482"/>
      <c r="J237" s="451" t="str">
        <f>"_x0007_`COD|B02808_x0005_`QTY1|1_x0005_`BQC|_x0005_`EQC|_x0005_`JDC|_x0005_`WQC|_x0005_`EDT|_x0005_`ADJ|F_x0005_`DET|"&amp;ROW(일위대가표!A1743)&amp;"_x0005_`"</f>
        <v>_x0007_`COD|B02808_x0005_`QTY1|1_x0005_`BQC|_x0005_`EQC|_x0005_`JDC|_x0005_`WQC|_x0005_`EDT|_x0005_`ADJ|F_x0005_`DET|1743_x0005_`</v>
      </c>
      <c r="K237" s="433" t="str">
        <f ca="1">HYPERLINK("#"&amp;일위대가표!N2&amp;"!A"&amp;ROW(일위대가표!A1743),"B02808 →")</f>
        <v>B02808 →</v>
      </c>
    </row>
    <row r="238" spans="1:11" ht="25.7" customHeight="1">
      <c r="A238" s="460" t="s">
        <v>1699</v>
      </c>
      <c r="B238" s="452" t="s">
        <v>1698</v>
      </c>
      <c r="C238" s="452" t="s">
        <v>1686</v>
      </c>
      <c r="D238" s="460" t="s">
        <v>984</v>
      </c>
      <c r="E238" s="446">
        <f>일위대가표!F1760</f>
        <v>18529</v>
      </c>
      <c r="F238" s="453">
        <f>일위대가표!H1760</f>
        <v>18529</v>
      </c>
      <c r="G238" s="454">
        <f>일위대가표!J1760</f>
        <v>0</v>
      </c>
      <c r="H238" s="446">
        <f>일위대가표!L1760</f>
        <v>0</v>
      </c>
      <c r="I238" s="482"/>
      <c r="J238" s="451" t="str">
        <f>"_x0007_`COD|B02630_x0005_`QTY1|1_x0005_`BQC|_x0005_`EQC|_x0005_`JDC|_x0005_`WQC|_x0005_`EDT|_x0005_`ADJ|F_x0005_`DET|"&amp;ROW(일위대가표!A1755)&amp;"_x0005_`"</f>
        <v>_x0007_`COD|B02630_x0005_`QTY1|1_x0005_`BQC|_x0005_`EQC|_x0005_`JDC|_x0005_`WQC|_x0005_`EDT|_x0005_`ADJ|F_x0005_`DET|1755_x0005_`</v>
      </c>
      <c r="K238" s="433" t="str">
        <f ca="1">HYPERLINK("#"&amp;일위대가표!N2&amp;"!A"&amp;ROW(일위대가표!A1755),"B02630 →")</f>
        <v>B02630 →</v>
      </c>
    </row>
    <row r="239" spans="1:11" ht="25.7" customHeight="1">
      <c r="A239" s="460" t="s">
        <v>1702</v>
      </c>
      <c r="B239" s="452" t="s">
        <v>1698</v>
      </c>
      <c r="C239" s="452" t="s">
        <v>1690</v>
      </c>
      <c r="D239" s="460" t="s">
        <v>984</v>
      </c>
      <c r="E239" s="446">
        <f>일위대가표!F1766</f>
        <v>21686</v>
      </c>
      <c r="F239" s="453">
        <f>일위대가표!H1766</f>
        <v>21686</v>
      </c>
      <c r="G239" s="454">
        <f>일위대가표!J1766</f>
        <v>0</v>
      </c>
      <c r="H239" s="446">
        <f>일위대가표!L1766</f>
        <v>0</v>
      </c>
      <c r="I239" s="482"/>
      <c r="J239" s="451" t="str">
        <f>"_x0007_`COD|B02441_x0005_`QTY1|1_x0005_`BQC|_x0005_`EQC|_x0005_`JDC|_x0005_`WQC|_x0005_`EDT|_x0005_`ADJ|F_x0005_`DET|"&amp;ROW(일위대가표!A1761)&amp;"_x0005_`"</f>
        <v>_x0007_`COD|B02441_x0005_`QTY1|1_x0005_`BQC|_x0005_`EQC|_x0005_`JDC|_x0005_`WQC|_x0005_`EDT|_x0005_`ADJ|F_x0005_`DET|1761_x0005_`</v>
      </c>
      <c r="K239" s="433" t="str">
        <f ca="1">HYPERLINK("#"&amp;일위대가표!N2&amp;"!A"&amp;ROW(일위대가표!A1761),"B02441 →")</f>
        <v>B02441 →</v>
      </c>
    </row>
    <row r="240" spans="1:11" ht="25.7" customHeight="1">
      <c r="A240" s="460" t="s">
        <v>1705</v>
      </c>
      <c r="B240" s="452" t="s">
        <v>1698</v>
      </c>
      <c r="C240" s="452" t="s">
        <v>1694</v>
      </c>
      <c r="D240" s="460" t="s">
        <v>984</v>
      </c>
      <c r="E240" s="446">
        <f>일위대가표!F1772</f>
        <v>26559</v>
      </c>
      <c r="F240" s="453">
        <f>일위대가표!H1772</f>
        <v>26559</v>
      </c>
      <c r="G240" s="454">
        <f>일위대가표!J1772</f>
        <v>0</v>
      </c>
      <c r="H240" s="446">
        <f>일위대가표!L1772</f>
        <v>0</v>
      </c>
      <c r="I240" s="482"/>
      <c r="J240" s="451" t="str">
        <f>"_x0007_`COD|B02631_x0005_`QTY1|1_x0005_`BQC|_x0005_`EQC|_x0005_`JDC|_x0005_`WQC|_x0005_`EDT|_x0005_`ADJ|F_x0005_`DET|"&amp;ROW(일위대가표!A1767)&amp;"_x0005_`"</f>
        <v>_x0007_`COD|B02631_x0005_`QTY1|1_x0005_`BQC|_x0005_`EQC|_x0005_`JDC|_x0005_`WQC|_x0005_`EDT|_x0005_`ADJ|F_x0005_`DET|1767_x0005_`</v>
      </c>
      <c r="K240" s="433" t="str">
        <f ca="1">HYPERLINK("#"&amp;일위대가표!N2&amp;"!A"&amp;ROW(일위대가표!A1767),"B02631 →")</f>
        <v>B02631 →</v>
      </c>
    </row>
    <row r="241" spans="1:11" ht="25.7" customHeight="1">
      <c r="A241" s="460" t="s">
        <v>5238</v>
      </c>
      <c r="B241" s="452" t="s">
        <v>5237</v>
      </c>
      <c r="C241" s="452" t="s">
        <v>1686</v>
      </c>
      <c r="D241" s="460" t="s">
        <v>984</v>
      </c>
      <c r="E241" s="446">
        <f>일위대가표!F1779</f>
        <v>21309</v>
      </c>
      <c r="F241" s="453">
        <f>일위대가표!H1779</f>
        <v>21309</v>
      </c>
      <c r="G241" s="454">
        <f>일위대가표!J1779</f>
        <v>0</v>
      </c>
      <c r="H241" s="446">
        <f>일위대가표!L1779</f>
        <v>0</v>
      </c>
      <c r="I241" s="482"/>
      <c r="J241" s="451" t="str">
        <f>"_x0007_`COD|B02875_x0005_`QTY1|1_x0005_`BQC|_x0005_`EQC|_x0005_`JDC|_x0005_`WQC|_x0005_`EDT|_x0005_`ADJ|F_x0005_`DET|"&amp;ROW(일위대가표!A1773)&amp;"_x0005_`"</f>
        <v>_x0007_`COD|B02875_x0005_`QTY1|1_x0005_`BQC|_x0005_`EQC|_x0005_`JDC|_x0005_`WQC|_x0005_`EDT|_x0005_`ADJ|F_x0005_`DET|1773_x0005_`</v>
      </c>
      <c r="K241" s="433" t="str">
        <f ca="1">HYPERLINK("#"&amp;일위대가표!N2&amp;"!A"&amp;ROW(일위대가표!A1773),"B02875 →")</f>
        <v>B02875 →</v>
      </c>
    </row>
    <row r="242" spans="1:11" ht="25.7" customHeight="1">
      <c r="A242" s="460" t="s">
        <v>5241</v>
      </c>
      <c r="B242" s="452" t="s">
        <v>5237</v>
      </c>
      <c r="C242" s="452" t="s">
        <v>1690</v>
      </c>
      <c r="D242" s="460" t="s">
        <v>984</v>
      </c>
      <c r="E242" s="446">
        <f>일위대가표!F1786</f>
        <v>24939</v>
      </c>
      <c r="F242" s="453">
        <f>일위대가표!H1786</f>
        <v>24939</v>
      </c>
      <c r="G242" s="454">
        <f>일위대가표!J1786</f>
        <v>0</v>
      </c>
      <c r="H242" s="446">
        <f>일위대가표!L1786</f>
        <v>0</v>
      </c>
      <c r="I242" s="482"/>
      <c r="J242" s="451" t="str">
        <f>"_x0007_`COD|B02876_x0005_`QTY1|1_x0005_`BQC|_x0005_`EQC|_x0005_`JDC|_x0005_`WQC|_x0005_`EDT|_x0005_`ADJ|F_x0005_`DET|"&amp;ROW(일위대가표!A1780)&amp;"_x0005_`"</f>
        <v>_x0007_`COD|B02876_x0005_`QTY1|1_x0005_`BQC|_x0005_`EQC|_x0005_`JDC|_x0005_`WQC|_x0005_`EDT|_x0005_`ADJ|F_x0005_`DET|1780_x0005_`</v>
      </c>
      <c r="K242" s="433" t="str">
        <f ca="1">HYPERLINK("#"&amp;일위대가표!N2&amp;"!A"&amp;ROW(일위대가표!A1780),"B02876 →")</f>
        <v>B02876 →</v>
      </c>
    </row>
    <row r="243" spans="1:11" ht="25.7" customHeight="1">
      <c r="A243" s="460" t="s">
        <v>5244</v>
      </c>
      <c r="B243" s="452" t="s">
        <v>5237</v>
      </c>
      <c r="C243" s="452" t="s">
        <v>1694</v>
      </c>
      <c r="D243" s="460" t="s">
        <v>984</v>
      </c>
      <c r="E243" s="446">
        <f>일위대가표!F1793</f>
        <v>30542</v>
      </c>
      <c r="F243" s="453">
        <f>일위대가표!H1793</f>
        <v>30542</v>
      </c>
      <c r="G243" s="454">
        <f>일위대가표!J1793</f>
        <v>0</v>
      </c>
      <c r="H243" s="446">
        <f>일위대가표!L1793</f>
        <v>0</v>
      </c>
      <c r="I243" s="482"/>
      <c r="J243" s="451" t="str">
        <f>"_x0007_`COD|B02877_x0005_`QTY1|1_x0005_`BQC|_x0005_`EQC|_x0005_`JDC|_x0005_`WQC|_x0005_`EDT|_x0005_`ADJ|F_x0005_`DET|"&amp;ROW(일위대가표!A1787)&amp;"_x0005_`"</f>
        <v>_x0007_`COD|B02877_x0005_`QTY1|1_x0005_`BQC|_x0005_`EQC|_x0005_`JDC|_x0005_`WQC|_x0005_`EDT|_x0005_`ADJ|F_x0005_`DET|1787_x0005_`</v>
      </c>
      <c r="K243" s="433" t="str">
        <f ca="1">HYPERLINK("#"&amp;일위대가표!N2&amp;"!A"&amp;ROW(일위대가표!A1787),"B02877 →")</f>
        <v>B02877 →</v>
      </c>
    </row>
    <row r="244" spans="1:11" ht="25.7" customHeight="1">
      <c r="A244" s="460" t="s">
        <v>1687</v>
      </c>
      <c r="B244" s="452" t="s">
        <v>5247</v>
      </c>
      <c r="C244" s="452" t="s">
        <v>1686</v>
      </c>
      <c r="D244" s="460" t="s">
        <v>984</v>
      </c>
      <c r="E244" s="446">
        <f>일위대가표!F1800</f>
        <v>23162</v>
      </c>
      <c r="F244" s="453">
        <f>일위대가표!H1800</f>
        <v>23162</v>
      </c>
      <c r="G244" s="454">
        <f>일위대가표!J1800</f>
        <v>0</v>
      </c>
      <c r="H244" s="446">
        <f>일위대가표!L1800</f>
        <v>0</v>
      </c>
      <c r="I244" s="482"/>
      <c r="J244" s="451" t="str">
        <f>"_x0007_`COD|B02632_x0005_`QTY1|1_x0005_`BQC|_x0005_`EQC|_x0005_`JDC|_x0005_`WQC|_x0005_`EDT|_x0005_`ADJ|F_x0005_`DET|"&amp;ROW(일위대가표!A1794)&amp;"_x0005_`"</f>
        <v>_x0007_`COD|B02632_x0005_`QTY1|1_x0005_`BQC|_x0005_`EQC|_x0005_`JDC|_x0005_`WQC|_x0005_`EDT|_x0005_`ADJ|F_x0005_`DET|1794_x0005_`</v>
      </c>
      <c r="K244" s="433" t="str">
        <f ca="1">HYPERLINK("#"&amp;일위대가표!N2&amp;"!A"&amp;ROW(일위대가표!A1794),"B02632 →")</f>
        <v>B02632 →</v>
      </c>
    </row>
    <row r="245" spans="1:11" ht="25.7" customHeight="1">
      <c r="A245" s="460" t="s">
        <v>1691</v>
      </c>
      <c r="B245" s="452" t="s">
        <v>5247</v>
      </c>
      <c r="C245" s="452" t="s">
        <v>1690</v>
      </c>
      <c r="D245" s="460" t="s">
        <v>984</v>
      </c>
      <c r="E245" s="446">
        <f>일위대가표!F1807</f>
        <v>27108</v>
      </c>
      <c r="F245" s="453">
        <f>일위대가표!H1807</f>
        <v>27108</v>
      </c>
      <c r="G245" s="454">
        <f>일위대가표!J1807</f>
        <v>0</v>
      </c>
      <c r="H245" s="446">
        <f>일위대가표!L1807</f>
        <v>0</v>
      </c>
      <c r="I245" s="482"/>
      <c r="J245" s="451" t="str">
        <f>"_x0007_`COD|B02634_x0005_`QTY1|1_x0005_`BQC|_x0005_`EQC|_x0005_`JDC|_x0005_`WQC|_x0005_`EDT|_x0005_`ADJ|F_x0005_`DET|"&amp;ROW(일위대가표!A1801)&amp;"_x0005_`"</f>
        <v>_x0007_`COD|B02634_x0005_`QTY1|1_x0005_`BQC|_x0005_`EQC|_x0005_`JDC|_x0005_`WQC|_x0005_`EDT|_x0005_`ADJ|F_x0005_`DET|1801_x0005_`</v>
      </c>
      <c r="K245" s="433" t="str">
        <f ca="1">HYPERLINK("#"&amp;일위대가표!N2&amp;"!A"&amp;ROW(일위대가표!A1801),"B02634 →")</f>
        <v>B02634 →</v>
      </c>
    </row>
    <row r="246" spans="1:11" ht="25.7" customHeight="1">
      <c r="A246" s="460" t="s">
        <v>1695</v>
      </c>
      <c r="B246" s="452" t="s">
        <v>5247</v>
      </c>
      <c r="C246" s="452" t="s">
        <v>1694</v>
      </c>
      <c r="D246" s="460" t="s">
        <v>984</v>
      </c>
      <c r="E246" s="446">
        <f>일위대가표!F1814</f>
        <v>33198</v>
      </c>
      <c r="F246" s="453">
        <f>일위대가표!H1814</f>
        <v>33198</v>
      </c>
      <c r="G246" s="454">
        <f>일위대가표!J1814</f>
        <v>0</v>
      </c>
      <c r="H246" s="446">
        <f>일위대가표!L1814</f>
        <v>0</v>
      </c>
      <c r="I246" s="482"/>
      <c r="J246" s="451" t="str">
        <f>"_x0007_`COD|B02633_x0005_`QTY1|1_x0005_`BQC|_x0005_`EQC|_x0005_`JDC|_x0005_`WQC|_x0005_`EDT|_x0005_`ADJ|F_x0005_`DET|"&amp;ROW(일위대가표!A1808)&amp;"_x0005_`"</f>
        <v>_x0007_`COD|B02633_x0005_`QTY1|1_x0005_`BQC|_x0005_`EQC|_x0005_`JDC|_x0005_`WQC|_x0005_`EDT|_x0005_`ADJ|F_x0005_`DET|1808_x0005_`</v>
      </c>
      <c r="K246" s="433" t="str">
        <f ca="1">HYPERLINK("#"&amp;일위대가표!N2&amp;"!A"&amp;ROW(일위대가표!A1808),"B02633 →")</f>
        <v>B02633 →</v>
      </c>
    </row>
    <row r="247" spans="1:11" ht="25.7" customHeight="1">
      <c r="A247" s="460" t="s">
        <v>5106</v>
      </c>
      <c r="B247" s="452" t="s">
        <v>5105</v>
      </c>
      <c r="C247" s="452" t="s">
        <v>1039</v>
      </c>
      <c r="D247" s="460" t="s">
        <v>984</v>
      </c>
      <c r="E247" s="446">
        <f>일위대가표!F1827</f>
        <v>115844</v>
      </c>
      <c r="F247" s="453">
        <f>일위대가표!H1827</f>
        <v>43267</v>
      </c>
      <c r="G247" s="454">
        <f>일위대가표!J1827</f>
        <v>72577</v>
      </c>
      <c r="H247" s="446">
        <f>일위대가표!L1827</f>
        <v>0</v>
      </c>
      <c r="I247" s="482"/>
      <c r="J247" s="451" t="str">
        <f>"_x0007_`COD|B02841_x0005_`QTY1|1_x0005_`BQC|_x0005_`EQC|_x0005_`JDC|_x0005_`WQC|_x0005_`EDT|_x0005_`ADJ|F_x0005_`DET|"&amp;ROW(일위대가표!A1815)&amp;"_x0005_`"</f>
        <v>_x0007_`COD|B02841_x0005_`QTY1|1_x0005_`BQC|_x0005_`EQC|_x0005_`JDC|_x0005_`WQC|_x0005_`EDT|_x0005_`ADJ|F_x0005_`DET|1815_x0005_`</v>
      </c>
      <c r="K247" s="433" t="str">
        <f ca="1">HYPERLINK("#"&amp;일위대가표!N2&amp;"!A"&amp;ROW(일위대가표!A1815),"B02841 →")</f>
        <v>B02841 →</v>
      </c>
    </row>
    <row r="248" spans="1:11" ht="25.7" customHeight="1">
      <c r="A248" s="460" t="s">
        <v>5109</v>
      </c>
      <c r="B248" s="452" t="s">
        <v>5105</v>
      </c>
      <c r="C248" s="452" t="s">
        <v>1043</v>
      </c>
      <c r="D248" s="460" t="s">
        <v>984</v>
      </c>
      <c r="E248" s="446">
        <f>일위대가표!F1840</f>
        <v>128746</v>
      </c>
      <c r="F248" s="453">
        <f>일위대가표!H1840</f>
        <v>48858</v>
      </c>
      <c r="G248" s="454">
        <f>일위대가표!J1840</f>
        <v>79888</v>
      </c>
      <c r="H248" s="446">
        <f>일위대가표!L1840</f>
        <v>0</v>
      </c>
      <c r="I248" s="482"/>
      <c r="J248" s="451" t="str">
        <f>"_x0007_`COD|B02842_x0005_`QTY1|1_x0005_`BQC|_x0005_`EQC|_x0005_`JDC|_x0005_`WQC|_x0005_`EDT|_x0005_`ADJ|F_x0005_`DET|"&amp;ROW(일위대가표!A1828)&amp;"_x0005_`"</f>
        <v>_x0007_`COD|B02842_x0005_`QTY1|1_x0005_`BQC|_x0005_`EQC|_x0005_`JDC|_x0005_`WQC|_x0005_`EDT|_x0005_`ADJ|F_x0005_`DET|1828_x0005_`</v>
      </c>
      <c r="K248" s="433" t="str">
        <f ca="1">HYPERLINK("#"&amp;일위대가표!N2&amp;"!A"&amp;ROW(일위대가표!A1828),"B02842 →")</f>
        <v>B02842 →</v>
      </c>
    </row>
    <row r="249" spans="1:11" ht="25.7" customHeight="1">
      <c r="A249" s="460" t="s">
        <v>1040</v>
      </c>
      <c r="B249" s="452" t="s">
        <v>5112</v>
      </c>
      <c r="C249" s="452" t="s">
        <v>1039</v>
      </c>
      <c r="D249" s="460" t="s">
        <v>984</v>
      </c>
      <c r="E249" s="446">
        <f>일위대가표!F1853</f>
        <v>119607</v>
      </c>
      <c r="F249" s="453">
        <f>일위대가표!H1853</f>
        <v>47030</v>
      </c>
      <c r="G249" s="454">
        <f>일위대가표!J1853</f>
        <v>72577</v>
      </c>
      <c r="H249" s="446">
        <f>일위대가표!L1853</f>
        <v>0</v>
      </c>
      <c r="I249" s="482"/>
      <c r="J249" s="451" t="str">
        <f>"_x0007_`COD|B02805_x0005_`QTY1|1_x0005_`BQC|_x0005_`EQC|_x0005_`JDC|_x0005_`WQC|_x0005_`EDT|_x0005_`ADJ|F_x0005_`DET|"&amp;ROW(일위대가표!A1841)&amp;"_x0005_`"</f>
        <v>_x0007_`COD|B02805_x0005_`QTY1|1_x0005_`BQC|_x0005_`EQC|_x0005_`JDC|_x0005_`WQC|_x0005_`EDT|_x0005_`ADJ|F_x0005_`DET|1841_x0005_`</v>
      </c>
      <c r="K249" s="433" t="str">
        <f ca="1">HYPERLINK("#"&amp;일위대가표!N2&amp;"!A"&amp;ROW(일위대가표!A1841),"B02805 →")</f>
        <v>B02805 →</v>
      </c>
    </row>
    <row r="250" spans="1:11" ht="25.7" customHeight="1">
      <c r="A250" s="460" t="s">
        <v>1044</v>
      </c>
      <c r="B250" s="452" t="s">
        <v>5112</v>
      </c>
      <c r="C250" s="452" t="s">
        <v>1043</v>
      </c>
      <c r="D250" s="460" t="s">
        <v>984</v>
      </c>
      <c r="E250" s="446">
        <f>일위대가표!F1866</f>
        <v>132995</v>
      </c>
      <c r="F250" s="453">
        <f>일위대가표!H1866</f>
        <v>53107</v>
      </c>
      <c r="G250" s="454">
        <f>일위대가표!J1866</f>
        <v>79888</v>
      </c>
      <c r="H250" s="446">
        <f>일위대가표!L1866</f>
        <v>0</v>
      </c>
      <c r="I250" s="482"/>
      <c r="J250" s="451" t="str">
        <f>"_x0007_`COD|B02806_x0005_`QTY1|1_x0005_`BQC|_x0005_`EQC|_x0005_`JDC|_x0005_`WQC|_x0005_`EDT|_x0005_`ADJ|F_x0005_`DET|"&amp;ROW(일위대가표!A1854)&amp;"_x0005_`"</f>
        <v>_x0007_`COD|B02806_x0005_`QTY1|1_x0005_`BQC|_x0005_`EQC|_x0005_`JDC|_x0005_`WQC|_x0005_`EDT|_x0005_`ADJ|F_x0005_`DET|1854_x0005_`</v>
      </c>
      <c r="K250" s="433" t="str">
        <f ca="1">HYPERLINK("#"&amp;일위대가표!N2&amp;"!A"&amp;ROW(일위대가표!A1854),"B02806 →")</f>
        <v>B02806 →</v>
      </c>
    </row>
    <row r="251" spans="1:11" ht="25.7" customHeight="1">
      <c r="A251" s="460" t="s">
        <v>1396</v>
      </c>
      <c r="B251" s="452" t="s">
        <v>1394</v>
      </c>
      <c r="C251" s="452" t="s">
        <v>1395</v>
      </c>
      <c r="D251" s="460" t="s">
        <v>975</v>
      </c>
      <c r="E251" s="446">
        <f>일위대가표!F1870</f>
        <v>3290000</v>
      </c>
      <c r="F251" s="453">
        <f>일위대가표!H1870</f>
        <v>0</v>
      </c>
      <c r="G251" s="454">
        <f>일위대가표!J1870</f>
        <v>3290000</v>
      </c>
      <c r="H251" s="446">
        <f>일위대가표!L1870</f>
        <v>0</v>
      </c>
      <c r="I251" s="482"/>
      <c r="J251" s="451" t="str">
        <f>"_x0007_`COD|B02534_x0005_`QTY1|1_x0005_`BQC|_x0005_`EQC|_x0005_`JDC|_x0005_`WQC|_x0005_`EDT|_x0005_`ADJ|F_x0005_`DET|"&amp;ROW(일위대가표!A1867)&amp;"_x0005_`"</f>
        <v>_x0007_`COD|B02534_x0005_`QTY1|1_x0005_`BQC|_x0005_`EQC|_x0005_`JDC|_x0005_`WQC|_x0005_`EDT|_x0005_`ADJ|F_x0005_`DET|1867_x0005_`</v>
      </c>
      <c r="K251" s="433" t="str">
        <f ca="1">HYPERLINK("#"&amp;일위대가표!N2&amp;"!A"&amp;ROW(일위대가표!A1867),"B02534 →")</f>
        <v>B02534 →</v>
      </c>
    </row>
    <row r="252" spans="1:11" ht="25.7" customHeight="1">
      <c r="A252" s="460" t="s">
        <v>1632</v>
      </c>
      <c r="B252" s="452" t="s">
        <v>1630</v>
      </c>
      <c r="C252" s="452" t="s">
        <v>1631</v>
      </c>
      <c r="D252" s="460" t="s">
        <v>975</v>
      </c>
      <c r="E252" s="446">
        <f>일위대가표!F1878</f>
        <v>42179</v>
      </c>
      <c r="F252" s="453">
        <f>일위대가표!H1878</f>
        <v>20442</v>
      </c>
      <c r="G252" s="454">
        <f>일위대가표!J1878</f>
        <v>21551</v>
      </c>
      <c r="H252" s="446">
        <f>일위대가표!L1878</f>
        <v>186</v>
      </c>
      <c r="I252" s="482"/>
      <c r="J252" s="451" t="str">
        <f>"_x0007_`COD|B02581_x0005_`QTY1|1_x0005_`BQC|_x0005_`EQC|_x0005_`JDC|_x0005_`WQC|_x0005_`EDT|_x0005_`ADJ|F_x0005_`DET|"&amp;ROW(일위대가표!A1871)&amp;"_x0005_`"</f>
        <v>_x0007_`COD|B02581_x0005_`QTY1|1_x0005_`BQC|_x0005_`EQC|_x0005_`JDC|_x0005_`WQC|_x0005_`EDT|_x0005_`ADJ|F_x0005_`DET|1871_x0005_`</v>
      </c>
      <c r="K252" s="433" t="str">
        <f ca="1">HYPERLINK("#"&amp;일위대가표!N2&amp;"!A"&amp;ROW(일위대가표!A1871),"B02581 →")</f>
        <v>B02581 →</v>
      </c>
    </row>
    <row r="253" spans="1:11" ht="25.7" customHeight="1">
      <c r="A253" s="460" t="s">
        <v>1780</v>
      </c>
      <c r="B253" s="452" t="s">
        <v>1779</v>
      </c>
      <c r="C253" s="452"/>
      <c r="D253" s="460" t="s">
        <v>975</v>
      </c>
      <c r="E253" s="446">
        <f>일위대가표!F1884</f>
        <v>97844</v>
      </c>
      <c r="F253" s="453">
        <f>일위대가표!H1884</f>
        <v>97144</v>
      </c>
      <c r="G253" s="454">
        <f>일위대가표!J1884</f>
        <v>0</v>
      </c>
      <c r="H253" s="446">
        <f>일위대가표!L1884</f>
        <v>700</v>
      </c>
      <c r="I253" s="482"/>
      <c r="J253" s="451" t="str">
        <f>"_x0007_`COD|B02638_x0005_`QTY1|1_x0005_`BQC|_x0005_`EQC|_x0005_`JDC|_x0005_`WQC|_x0005_`EDT|_x0005_`ADJ|F_x0005_`DET|"&amp;ROW(일위대가표!A1879)&amp;"_x0005_`"</f>
        <v>_x0007_`COD|B02638_x0005_`QTY1|1_x0005_`BQC|_x0005_`EQC|_x0005_`JDC|_x0005_`WQC|_x0005_`EDT|_x0005_`ADJ|F_x0005_`DET|1879_x0005_`</v>
      </c>
      <c r="K253" s="433" t="str">
        <f ca="1">HYPERLINK("#"&amp;일위대가표!N2&amp;"!A"&amp;ROW(일위대가표!A1879),"B02638 →")</f>
        <v>B02638 →</v>
      </c>
    </row>
    <row r="254" spans="1:11" ht="25.7" customHeight="1">
      <c r="A254" s="460" t="s">
        <v>5288</v>
      </c>
      <c r="B254" s="452" t="s">
        <v>5287</v>
      </c>
      <c r="C254" s="452"/>
      <c r="D254" s="460" t="s">
        <v>975</v>
      </c>
      <c r="E254" s="446">
        <f>일위대가표!F1891</f>
        <v>112416</v>
      </c>
      <c r="F254" s="453">
        <f>일위대가표!H1891</f>
        <v>111716</v>
      </c>
      <c r="G254" s="454">
        <f>일위대가표!J1891</f>
        <v>0</v>
      </c>
      <c r="H254" s="446">
        <f>일위대가표!L1891</f>
        <v>700</v>
      </c>
      <c r="I254" s="482"/>
      <c r="J254" s="451" t="str">
        <f>"_x0007_`COD|B02887_x0005_`QTY1|1_x0005_`BQC|_x0005_`EQC|_x0005_`JDC|_x0005_`WQC|_x0005_`EDT|_x0005_`ADJ|F_x0005_`DET|"&amp;ROW(일위대가표!A1885)&amp;"_x0005_`"</f>
        <v>_x0007_`COD|B02887_x0005_`QTY1|1_x0005_`BQC|_x0005_`EQC|_x0005_`JDC|_x0005_`WQC|_x0005_`EDT|_x0005_`ADJ|F_x0005_`DET|1885_x0005_`</v>
      </c>
      <c r="K254" s="433" t="str">
        <f ca="1">HYPERLINK("#"&amp;일위대가표!N2&amp;"!A"&amp;ROW(일위대가표!A1885),"B02887 →")</f>
        <v>B02887 →</v>
      </c>
    </row>
    <row r="255" spans="1:11" ht="25.7" customHeight="1">
      <c r="A255" s="460" t="s">
        <v>1776</v>
      </c>
      <c r="B255" s="452" t="s">
        <v>5291</v>
      </c>
      <c r="C255" s="452"/>
      <c r="D255" s="460" t="s">
        <v>975</v>
      </c>
      <c r="E255" s="446">
        <f>일위대가표!F1898</f>
        <v>122131</v>
      </c>
      <c r="F255" s="453">
        <f>일위대가표!H1898</f>
        <v>121431</v>
      </c>
      <c r="G255" s="454">
        <f>일위대가표!J1898</f>
        <v>0</v>
      </c>
      <c r="H255" s="446">
        <f>일위대가표!L1898</f>
        <v>700</v>
      </c>
      <c r="I255" s="482"/>
      <c r="J255" s="451" t="str">
        <f>"_x0007_`COD|B02397_x0005_`QTY1|1_x0005_`BQC|_x0005_`EQC|_x0005_`JDC|_x0005_`WQC|_x0005_`EDT|_x0005_`ADJ|F_x0005_`DET|"&amp;ROW(일위대가표!A1892)&amp;"_x0005_`"</f>
        <v>_x0007_`COD|B02397_x0005_`QTY1|1_x0005_`BQC|_x0005_`EQC|_x0005_`JDC|_x0005_`WQC|_x0005_`EDT|_x0005_`ADJ|F_x0005_`DET|1892_x0005_`</v>
      </c>
      <c r="K255" s="433" t="str">
        <f ca="1">HYPERLINK("#"&amp;일위대가표!N2&amp;"!A"&amp;ROW(일위대가표!A1892),"B02397 →")</f>
        <v>B02397 →</v>
      </c>
    </row>
    <row r="256" spans="1:11" ht="25.7" customHeight="1">
      <c r="A256" s="460" t="s">
        <v>1518</v>
      </c>
      <c r="B256" s="452" t="s">
        <v>1516</v>
      </c>
      <c r="C256" s="452" t="s">
        <v>1517</v>
      </c>
      <c r="D256" s="460" t="s">
        <v>595</v>
      </c>
      <c r="E256" s="446">
        <f>일위대가표!F1906</f>
        <v>6547</v>
      </c>
      <c r="F256" s="453">
        <f>일위대가표!H1906</f>
        <v>5948</v>
      </c>
      <c r="G256" s="454">
        <f>일위대가표!J1906</f>
        <v>481</v>
      </c>
      <c r="H256" s="446">
        <f>일위대가표!L1906</f>
        <v>118</v>
      </c>
      <c r="I256" s="482" t="s">
        <v>2318</v>
      </c>
      <c r="J256" s="451" t="str">
        <f>"_x0007_`COD|B02563_x0005_`QTY1|1_x0005_`BQC|건축11-2-4_x0005_`EQC|_x0005_`JDC|_x0005_`WQC|_x0005_`EDT|_x0005_`ADJ|F_x0005_`DET|"&amp;ROW(일위대가표!A1899)&amp;"_x0005_`"</f>
        <v>_x0007_`COD|B02563_x0005_`QTY1|1_x0005_`BQC|건축11-2-4_x0005_`EQC|_x0005_`JDC|_x0005_`WQC|_x0005_`EDT|_x0005_`ADJ|F_x0005_`DET|1899_x0005_`</v>
      </c>
      <c r="K256" s="433" t="str">
        <f ca="1">HYPERLINK("#"&amp;일위대가표!N2&amp;"!A"&amp;ROW(일위대가표!A1899),"B02563 →")</f>
        <v>B02563 →</v>
      </c>
    </row>
    <row r="257" spans="1:11" ht="25.7" customHeight="1">
      <c r="A257" s="460" t="s">
        <v>1522</v>
      </c>
      <c r="B257" s="452" t="s">
        <v>1516</v>
      </c>
      <c r="C257" s="452" t="s">
        <v>1521</v>
      </c>
      <c r="D257" s="460" t="s">
        <v>595</v>
      </c>
      <c r="E257" s="446">
        <f>일위대가표!F1914</f>
        <v>13131</v>
      </c>
      <c r="F257" s="453">
        <f>일위대가표!H1914</f>
        <v>11897</v>
      </c>
      <c r="G257" s="454">
        <f>일위대가표!J1914</f>
        <v>997</v>
      </c>
      <c r="H257" s="446">
        <f>일위대가표!L1914</f>
        <v>237</v>
      </c>
      <c r="I257" s="482" t="s">
        <v>2318</v>
      </c>
      <c r="J257" s="451" t="str">
        <f>"_x0007_`COD|B02550_x0005_`QTY1|1_x0005_`BQC|건축11-2-4_x0005_`EQC|_x0005_`JDC|_x0005_`WQC|_x0005_`EDT|_x0005_`ADJ|F_x0005_`DET|"&amp;ROW(일위대가표!A1907)&amp;"_x0005_`"</f>
        <v>_x0007_`COD|B02550_x0005_`QTY1|1_x0005_`BQC|건축11-2-4_x0005_`EQC|_x0005_`JDC|_x0005_`WQC|_x0005_`EDT|_x0005_`ADJ|F_x0005_`DET|1907_x0005_`</v>
      </c>
      <c r="K257" s="433" t="str">
        <f ca="1">HYPERLINK("#"&amp;일위대가표!N2&amp;"!A"&amp;ROW(일위대가표!A1907),"B02550 →")</f>
        <v>B02550 →</v>
      </c>
    </row>
    <row r="258" spans="1:11" ht="25.7" customHeight="1">
      <c r="A258" s="460" t="s">
        <v>2319</v>
      </c>
      <c r="B258" s="452" t="s">
        <v>1516</v>
      </c>
      <c r="C258" s="452" t="s">
        <v>1521</v>
      </c>
      <c r="D258" s="460" t="s">
        <v>595</v>
      </c>
      <c r="E258" s="446">
        <f>일위대가표!F1922</f>
        <v>13131</v>
      </c>
      <c r="F258" s="453">
        <f>일위대가표!H1922</f>
        <v>11897</v>
      </c>
      <c r="G258" s="454">
        <f>일위대가표!J1922</f>
        <v>997</v>
      </c>
      <c r="H258" s="446">
        <f>일위대가표!L1922</f>
        <v>237</v>
      </c>
      <c r="I258" s="482" t="s">
        <v>2318</v>
      </c>
      <c r="J258" s="451" t="str">
        <f>"_x0007_`COD|B02733_x0005_`QTY1|1_x0005_`BQC|건축11-2-4_x0005_`EQC|_x0005_`JDC|_x0005_`WQC|_x0005_`EDT|_x0005_`ADJ|F_x0005_`DET|"&amp;ROW(일위대가표!A1915)&amp;"_x0005_`"</f>
        <v>_x0007_`COD|B02733_x0005_`QTY1|1_x0005_`BQC|건축11-2-4_x0005_`EQC|_x0005_`JDC|_x0005_`WQC|_x0005_`EDT|_x0005_`ADJ|F_x0005_`DET|1915_x0005_`</v>
      </c>
      <c r="K258" s="433" t="str">
        <f ca="1">HYPERLINK("#"&amp;일위대가표!N2&amp;"!A"&amp;ROW(일위대가표!A1915),"B02733 →")</f>
        <v>B02733 →</v>
      </c>
    </row>
    <row r="259" spans="1:11" ht="25.7" customHeight="1">
      <c r="A259" s="460" t="s">
        <v>1598</v>
      </c>
      <c r="B259" s="452" t="s">
        <v>1587</v>
      </c>
      <c r="C259" s="452" t="s">
        <v>1597</v>
      </c>
      <c r="D259" s="460" t="s">
        <v>1589</v>
      </c>
      <c r="E259" s="446">
        <f>일위대가표!F1929</f>
        <v>50116</v>
      </c>
      <c r="F259" s="453">
        <f>일위대가표!H1929</f>
        <v>22609</v>
      </c>
      <c r="G259" s="454">
        <f>일위대가표!J1929</f>
        <v>27365</v>
      </c>
      <c r="H259" s="446">
        <f>일위대가표!L1929</f>
        <v>142</v>
      </c>
      <c r="I259" s="482"/>
      <c r="J259" s="451" t="str">
        <f>"_x0007_`COD|B02560_x0005_`QTY1|1_x0005_`BQC|_x0005_`EQC|_x0005_`JDC|_x0005_`WQC|_x0005_`EDT|_x0005_`ADJ|F_x0005_`DET|"&amp;ROW(일위대가표!A1923)&amp;"_x0005_`"</f>
        <v>_x0007_`COD|B02560_x0005_`QTY1|1_x0005_`BQC|_x0005_`EQC|_x0005_`JDC|_x0005_`WQC|_x0005_`EDT|_x0005_`ADJ|F_x0005_`DET|1923_x0005_`</v>
      </c>
      <c r="K259" s="433" t="str">
        <f ca="1">HYPERLINK("#"&amp;일위대가표!N2&amp;"!A"&amp;ROW(일위대가표!A1923),"B02560 →")</f>
        <v>B02560 →</v>
      </c>
    </row>
    <row r="260" spans="1:11" ht="25.7" customHeight="1">
      <c r="A260" s="460" t="s">
        <v>1602</v>
      </c>
      <c r="B260" s="452" t="s">
        <v>1587</v>
      </c>
      <c r="C260" s="452" t="s">
        <v>1601</v>
      </c>
      <c r="D260" s="460" t="s">
        <v>1589</v>
      </c>
      <c r="E260" s="446">
        <f>일위대가표!F1936</f>
        <v>104824</v>
      </c>
      <c r="F260" s="453">
        <f>일위대가표!H1936</f>
        <v>45194</v>
      </c>
      <c r="G260" s="454">
        <f>일위대가표!J1936</f>
        <v>59393</v>
      </c>
      <c r="H260" s="446">
        <f>일위대가표!L1936</f>
        <v>237</v>
      </c>
      <c r="I260" s="482"/>
      <c r="J260" s="451" t="str">
        <f>"_x0007_`COD|B02561_x0005_`QTY1|1_x0005_`BQC|_x0005_`EQC|_x0005_`JDC|_x0005_`WQC|_x0005_`EDT|_x0005_`ADJ|F_x0005_`DET|"&amp;ROW(일위대가표!A1930)&amp;"_x0005_`"</f>
        <v>_x0007_`COD|B02561_x0005_`QTY1|1_x0005_`BQC|_x0005_`EQC|_x0005_`JDC|_x0005_`WQC|_x0005_`EDT|_x0005_`ADJ|F_x0005_`DET|1930_x0005_`</v>
      </c>
      <c r="K260" s="433" t="str">
        <f ca="1">HYPERLINK("#"&amp;일위대가표!N2&amp;"!A"&amp;ROW(일위대가표!A1930),"B02561 →")</f>
        <v>B02561 →</v>
      </c>
    </row>
    <row r="261" spans="1:11" ht="25.7" customHeight="1">
      <c r="A261" s="460" t="s">
        <v>1590</v>
      </c>
      <c r="B261" s="452" t="s">
        <v>1587</v>
      </c>
      <c r="C261" s="452" t="s">
        <v>1588</v>
      </c>
      <c r="D261" s="460" t="s">
        <v>1589</v>
      </c>
      <c r="E261" s="446">
        <f>일위대가표!F1943</f>
        <v>14417</v>
      </c>
      <c r="F261" s="453">
        <f>일위대가표!H1943</f>
        <v>7262</v>
      </c>
      <c r="G261" s="454">
        <f>일위대가표!J1943</f>
        <v>7082</v>
      </c>
      <c r="H261" s="446">
        <f>일위대가표!L1943</f>
        <v>73</v>
      </c>
      <c r="I261" s="482"/>
      <c r="J261" s="451" t="str">
        <f>"_x0007_`COD|B02559_x0005_`QTY1|1_x0005_`BQC|_x0005_`EQC|_x0005_`JDC|_x0005_`WQC|_x0005_`EDT|_x0005_`ADJ|F_x0005_`DET|"&amp;ROW(일위대가표!A1937)&amp;"_x0005_`"</f>
        <v>_x0007_`COD|B02559_x0005_`QTY1|1_x0005_`BQC|_x0005_`EQC|_x0005_`JDC|_x0005_`WQC|_x0005_`EDT|_x0005_`ADJ|F_x0005_`DET|1937_x0005_`</v>
      </c>
      <c r="K261" s="433" t="str">
        <f ca="1">HYPERLINK("#"&amp;일위대가표!N2&amp;"!A"&amp;ROW(일위대가표!A1937),"B02559 →")</f>
        <v>B02559 →</v>
      </c>
    </row>
    <row r="262" spans="1:11" ht="25.7" customHeight="1">
      <c r="A262" s="460" t="s">
        <v>1594</v>
      </c>
      <c r="B262" s="452" t="s">
        <v>1587</v>
      </c>
      <c r="C262" s="452" t="s">
        <v>1593</v>
      </c>
      <c r="D262" s="460" t="s">
        <v>1589</v>
      </c>
      <c r="E262" s="446">
        <f>일위대가표!F1950</f>
        <v>25915</v>
      </c>
      <c r="F262" s="453">
        <f>일위대가표!H1950</f>
        <v>12485</v>
      </c>
      <c r="G262" s="454">
        <f>일위대가표!J1950</f>
        <v>13324</v>
      </c>
      <c r="H262" s="446">
        <f>일위대가표!L1950</f>
        <v>106</v>
      </c>
      <c r="I262" s="482"/>
      <c r="J262" s="451" t="str">
        <f>"_x0007_`COD|B02558_x0005_`QTY1|1_x0005_`BQC|_x0005_`EQC|_x0005_`JDC|_x0005_`WQC|_x0005_`EDT|_x0005_`ADJ|F_x0005_`DET|"&amp;ROW(일위대가표!A1944)&amp;"_x0005_`"</f>
        <v>_x0007_`COD|B02558_x0005_`QTY1|1_x0005_`BQC|_x0005_`EQC|_x0005_`JDC|_x0005_`WQC|_x0005_`EDT|_x0005_`ADJ|F_x0005_`DET|1944_x0005_`</v>
      </c>
      <c r="K262" s="433" t="str">
        <f ca="1">HYPERLINK("#"&amp;일위대가표!N2&amp;"!A"&amp;ROW(일위대가표!A1944),"B02558 →")</f>
        <v>B02558 →</v>
      </c>
    </row>
    <row r="263" spans="1:11" ht="25.7" customHeight="1">
      <c r="A263" s="460" t="s">
        <v>1584</v>
      </c>
      <c r="B263" s="452" t="s">
        <v>1582</v>
      </c>
      <c r="C263" s="452" t="s">
        <v>1583</v>
      </c>
      <c r="D263" s="460" t="s">
        <v>975</v>
      </c>
      <c r="E263" s="446">
        <f>일위대가표!F1959</f>
        <v>30664</v>
      </c>
      <c r="F263" s="453">
        <f>일위대가표!H1959</f>
        <v>25809</v>
      </c>
      <c r="G263" s="454">
        <f>일위대가표!J1959</f>
        <v>4680</v>
      </c>
      <c r="H263" s="446">
        <f>일위대가표!L1959</f>
        <v>175</v>
      </c>
      <c r="I263" s="482"/>
      <c r="J263" s="451" t="str">
        <f>"_x0007_`COD|B02556_x0005_`QTY1|1_x0005_`BQC|_x0005_`EQC|_x0005_`JDC|_x0005_`WQC|_x0005_`EDT|_x0005_`ADJ|F_x0005_`DET|"&amp;ROW(일위대가표!A1951)&amp;"_x0005_`"</f>
        <v>_x0007_`COD|B02556_x0005_`QTY1|1_x0005_`BQC|_x0005_`EQC|_x0005_`JDC|_x0005_`WQC|_x0005_`EDT|_x0005_`ADJ|F_x0005_`DET|1951_x0005_`</v>
      </c>
      <c r="K263" s="433" t="str">
        <f ca="1">HYPERLINK("#"&amp;일위대가표!N2&amp;"!A"&amp;ROW(일위대가표!A1951),"B02556 →")</f>
        <v>B02556 →</v>
      </c>
    </row>
    <row r="264" spans="1:11" ht="25.7" customHeight="1">
      <c r="A264" s="460" t="s">
        <v>1713</v>
      </c>
      <c r="B264" s="452" t="s">
        <v>1712</v>
      </c>
      <c r="C264" s="452" t="s">
        <v>1708</v>
      </c>
      <c r="D264" s="460" t="s">
        <v>975</v>
      </c>
      <c r="E264" s="446">
        <f>일위대가표!F1966</f>
        <v>78252</v>
      </c>
      <c r="F264" s="453">
        <f>일위대가표!H1966</f>
        <v>77926</v>
      </c>
      <c r="G264" s="454">
        <f>일위대가표!J1966</f>
        <v>0</v>
      </c>
      <c r="H264" s="446">
        <f>일위대가표!L1966</f>
        <v>326</v>
      </c>
      <c r="I264" s="482"/>
      <c r="J264" s="451" t="str">
        <f>"_x0007_`COD|B02654_x0005_`QTY1|1_x0005_`BQC|_x0005_`EQC|_x0005_`JDC|_x0005_`WQC|_x0005_`EDT|_x0005_`ADJ|F_x0005_`DET|"&amp;ROW(일위대가표!A1960)&amp;"_x0005_`"</f>
        <v>_x0007_`COD|B02654_x0005_`QTY1|1_x0005_`BQC|_x0005_`EQC|_x0005_`JDC|_x0005_`WQC|_x0005_`EDT|_x0005_`ADJ|F_x0005_`DET|1960_x0005_`</v>
      </c>
      <c r="K264" s="433" t="str">
        <f ca="1">HYPERLINK("#"&amp;일위대가표!N2&amp;"!A"&amp;ROW(일위대가표!A1960),"B02654 →")</f>
        <v>B02654 →</v>
      </c>
    </row>
    <row r="265" spans="1:11" ht="25.7" customHeight="1">
      <c r="A265" s="460" t="s">
        <v>5249</v>
      </c>
      <c r="B265" s="452" t="s">
        <v>5248</v>
      </c>
      <c r="C265" s="452" t="s">
        <v>1708</v>
      </c>
      <c r="D265" s="460" t="s">
        <v>975</v>
      </c>
      <c r="E265" s="446">
        <f>일위대가표!F1974</f>
        <v>89941</v>
      </c>
      <c r="F265" s="453">
        <f>일위대가표!H1974</f>
        <v>89615</v>
      </c>
      <c r="G265" s="454">
        <f>일위대가표!J1974</f>
        <v>0</v>
      </c>
      <c r="H265" s="446">
        <f>일위대가표!L1974</f>
        <v>326</v>
      </c>
      <c r="I265" s="482"/>
      <c r="J265" s="451" t="str">
        <f>"_x0007_`COD|B02878_x0005_`QTY1|1_x0005_`BQC|_x0005_`EQC|_x0005_`JDC|_x0005_`WQC|_x0005_`EDT|_x0005_`ADJ|F_x0005_`DET|"&amp;ROW(일위대가표!A1967)&amp;"_x0005_`"</f>
        <v>_x0007_`COD|B02878_x0005_`QTY1|1_x0005_`BQC|_x0005_`EQC|_x0005_`JDC|_x0005_`WQC|_x0005_`EDT|_x0005_`ADJ|F_x0005_`DET|1967_x0005_`</v>
      </c>
      <c r="K265" s="433" t="str">
        <f ca="1">HYPERLINK("#"&amp;일위대가표!N2&amp;"!A"&amp;ROW(일위대가표!A1967),"B02878 →")</f>
        <v>B02878 →</v>
      </c>
    </row>
    <row r="266" spans="1:11" ht="25.7" customHeight="1">
      <c r="A266" s="460" t="s">
        <v>1709</v>
      </c>
      <c r="B266" s="452" t="s">
        <v>5252</v>
      </c>
      <c r="C266" s="452" t="s">
        <v>1708</v>
      </c>
      <c r="D266" s="460" t="s">
        <v>975</v>
      </c>
      <c r="E266" s="446">
        <f>일위대가표!F1982</f>
        <v>97733</v>
      </c>
      <c r="F266" s="453">
        <f>일위대가표!H1982</f>
        <v>97407</v>
      </c>
      <c r="G266" s="454">
        <f>일위대가표!J1982</f>
        <v>0</v>
      </c>
      <c r="H266" s="446">
        <f>일위대가표!L1982</f>
        <v>326</v>
      </c>
      <c r="I266" s="482"/>
      <c r="J266" s="451" t="str">
        <f>"_x0007_`COD|B02656_x0005_`QTY1|1_x0005_`BQC|_x0005_`EQC|_x0005_`JDC|_x0005_`WQC|_x0005_`EDT|_x0005_`ADJ|F_x0005_`DET|"&amp;ROW(일위대가표!A1975)&amp;"_x0005_`"</f>
        <v>_x0007_`COD|B02656_x0005_`QTY1|1_x0005_`BQC|_x0005_`EQC|_x0005_`JDC|_x0005_`WQC|_x0005_`EDT|_x0005_`ADJ|F_x0005_`DET|1975_x0005_`</v>
      </c>
      <c r="K266" s="433" t="str">
        <f ca="1">HYPERLINK("#"&amp;일위대가표!N2&amp;"!A"&amp;ROW(일위대가표!A1975),"B02656 →")</f>
        <v>B02656 →</v>
      </c>
    </row>
    <row r="267" spans="1:11" ht="25.7" customHeight="1">
      <c r="A267" s="460" t="s">
        <v>1401</v>
      </c>
      <c r="B267" s="452" t="s">
        <v>1399</v>
      </c>
      <c r="C267" s="452" t="s">
        <v>1400</v>
      </c>
      <c r="D267" s="460" t="s">
        <v>975</v>
      </c>
      <c r="E267" s="446">
        <f>일위대가표!F1986</f>
        <v>4600000</v>
      </c>
      <c r="F267" s="453">
        <f>일위대가표!H1986</f>
        <v>0</v>
      </c>
      <c r="G267" s="454">
        <f>일위대가표!J1986</f>
        <v>4600000</v>
      </c>
      <c r="H267" s="446">
        <f>일위대가표!L1986</f>
        <v>0</v>
      </c>
      <c r="I267" s="482"/>
      <c r="J267" s="451" t="str">
        <f>"_x0007_`COD|B02658_x0005_`QTY1|1_x0005_`BQC|_x0005_`EQC|_x0005_`JDC|_x0005_`WQC|_x0005_`EDT|_x0005_`ADJ|F_x0005_`DET|"&amp;ROW(일위대가표!A1983)&amp;"_x0005_`"</f>
        <v>_x0007_`COD|B02658_x0005_`QTY1|1_x0005_`BQC|_x0005_`EQC|_x0005_`JDC|_x0005_`WQC|_x0005_`EDT|_x0005_`ADJ|F_x0005_`DET|1983_x0005_`</v>
      </c>
      <c r="K267" s="433" t="str">
        <f ca="1">HYPERLINK("#"&amp;일위대가표!N2&amp;"!A"&amp;ROW(일위대가표!A1983),"B02658 →")</f>
        <v>B02658 →</v>
      </c>
    </row>
    <row r="268" spans="1:11" ht="25.7" customHeight="1">
      <c r="A268" s="460" t="s">
        <v>1406</v>
      </c>
      <c r="B268" s="452" t="s">
        <v>1404</v>
      </c>
      <c r="C268" s="452" t="s">
        <v>1405</v>
      </c>
      <c r="D268" s="460" t="s">
        <v>975</v>
      </c>
      <c r="E268" s="446">
        <f>일위대가표!F1990</f>
        <v>5180000</v>
      </c>
      <c r="F268" s="453">
        <f>일위대가표!H1990</f>
        <v>0</v>
      </c>
      <c r="G268" s="454">
        <f>일위대가표!J1990</f>
        <v>5180000</v>
      </c>
      <c r="H268" s="446">
        <f>일위대가표!L1990</f>
        <v>0</v>
      </c>
      <c r="I268" s="482"/>
      <c r="J268" s="451" t="str">
        <f>"_x0007_`COD|B02539_x0005_`QTY1|1_x0005_`BQC|_x0005_`EQC|_x0005_`JDC|_x0005_`WQC|_x0005_`EDT|_x0005_`ADJ|F_x0005_`DET|"&amp;ROW(일위대가표!A1987)&amp;"_x0005_`"</f>
        <v>_x0007_`COD|B02539_x0005_`QTY1|1_x0005_`BQC|_x0005_`EQC|_x0005_`JDC|_x0005_`WQC|_x0005_`EDT|_x0005_`ADJ|F_x0005_`DET|1987_x0005_`</v>
      </c>
      <c r="K268" s="433" t="str">
        <f ca="1">HYPERLINK("#"&amp;일위대가표!N2&amp;"!A"&amp;ROW(일위대가표!A1987),"B02539 →")</f>
        <v>B02539 →</v>
      </c>
    </row>
    <row r="269" spans="1:11" ht="25.7" customHeight="1">
      <c r="A269" s="460" t="s">
        <v>1918</v>
      </c>
      <c r="B269" s="452" t="s">
        <v>1912</v>
      </c>
      <c r="C269" s="452" t="s">
        <v>1917</v>
      </c>
      <c r="D269" s="460" t="s">
        <v>595</v>
      </c>
      <c r="E269" s="446">
        <f>일위대가표!F1995</f>
        <v>7081</v>
      </c>
      <c r="F269" s="453">
        <f>일위대가표!H1995</f>
        <v>5432</v>
      </c>
      <c r="G269" s="454">
        <f>일위대가표!J1995</f>
        <v>1649</v>
      </c>
      <c r="H269" s="446">
        <f>일위대가표!L1995</f>
        <v>0</v>
      </c>
      <c r="I269" s="482"/>
      <c r="J269" s="451" t="str">
        <f>"_x0007_`COD|B02690_x0005_`QTY1|1_x0005_`BQC|_x0005_`EQC|_x0005_`JDC|_x0005_`WQC|_x0005_`EDT|_x0005_`ADJ|F_x0005_`DET|"&amp;ROW(일위대가표!A1991)&amp;"_x0005_`"</f>
        <v>_x0007_`COD|B02690_x0005_`QTY1|1_x0005_`BQC|_x0005_`EQC|_x0005_`JDC|_x0005_`WQC|_x0005_`EDT|_x0005_`ADJ|F_x0005_`DET|1991_x0005_`</v>
      </c>
      <c r="K269" s="433" t="str">
        <f ca="1">HYPERLINK("#"&amp;일위대가표!N2&amp;"!A"&amp;ROW(일위대가표!A1991),"B02690 →")</f>
        <v>B02690 →</v>
      </c>
    </row>
    <row r="270" spans="1:11" ht="25.7" customHeight="1">
      <c r="A270" s="460" t="s">
        <v>1914</v>
      </c>
      <c r="B270" s="452" t="s">
        <v>1912</v>
      </c>
      <c r="C270" s="452" t="s">
        <v>1913</v>
      </c>
      <c r="D270" s="460" t="s">
        <v>595</v>
      </c>
      <c r="E270" s="446">
        <f>일위대가표!F2000</f>
        <v>15336</v>
      </c>
      <c r="F270" s="453">
        <f>일위대가표!H2000</f>
        <v>6156</v>
      </c>
      <c r="G270" s="454">
        <f>일위대가표!J2000</f>
        <v>9180</v>
      </c>
      <c r="H270" s="446">
        <f>일위대가표!L2000</f>
        <v>0</v>
      </c>
      <c r="I270" s="482"/>
      <c r="J270" s="451" t="str">
        <f>"_x0007_`COD|B02071_x0005_`QTY1|1_x0005_`BQC|_x0005_`EQC|_x0005_`JDC|_x0005_`WQC|_x0005_`EDT|_x0005_`ADJ|F_x0005_`DET|"&amp;ROW(일위대가표!A1996)&amp;"_x0005_`"</f>
        <v>_x0007_`COD|B02071_x0005_`QTY1|1_x0005_`BQC|_x0005_`EQC|_x0005_`JDC|_x0005_`WQC|_x0005_`EDT|_x0005_`ADJ|F_x0005_`DET|1996_x0005_`</v>
      </c>
      <c r="K270" s="433" t="str">
        <f ca="1">HYPERLINK("#"&amp;일위대가표!N2&amp;"!A"&amp;ROW(일위대가표!A1996),"B02071 →")</f>
        <v>B02071 →</v>
      </c>
    </row>
    <row r="271" spans="1:11" ht="25.7" customHeight="1">
      <c r="A271" s="460" t="s">
        <v>5429</v>
      </c>
      <c r="B271" s="452" t="s">
        <v>5425</v>
      </c>
      <c r="C271" s="452" t="s">
        <v>1917</v>
      </c>
      <c r="D271" s="460" t="s">
        <v>595</v>
      </c>
      <c r="E271" s="446">
        <f>일위대가표!F2006</f>
        <v>7895</v>
      </c>
      <c r="F271" s="453">
        <f>일위대가표!H2006</f>
        <v>6246</v>
      </c>
      <c r="G271" s="454">
        <f>일위대가표!J2006</f>
        <v>1649</v>
      </c>
      <c r="H271" s="446">
        <f>일위대가표!L2006</f>
        <v>0</v>
      </c>
      <c r="I271" s="482"/>
      <c r="J271" s="451" t="str">
        <f>"_x0007_`COD|B02893_x0005_`QTY1|1_x0005_`BQC|_x0005_`EQC|_x0005_`JDC|_x0005_`WQC|_x0005_`EDT|_x0005_`ADJ|F_x0005_`DET|"&amp;ROW(일위대가표!A2001)&amp;"_x0005_`"</f>
        <v>_x0007_`COD|B02893_x0005_`QTY1|1_x0005_`BQC|_x0005_`EQC|_x0005_`JDC|_x0005_`WQC|_x0005_`EDT|_x0005_`ADJ|F_x0005_`DET|2001_x0005_`</v>
      </c>
      <c r="K271" s="433" t="str">
        <f ca="1">HYPERLINK("#"&amp;일위대가표!N2&amp;"!A"&amp;ROW(일위대가표!A2001),"B02893 →")</f>
        <v>B02893 →</v>
      </c>
    </row>
    <row r="272" spans="1:11" ht="25.7" customHeight="1">
      <c r="A272" s="460" t="s">
        <v>5426</v>
      </c>
      <c r="B272" s="452" t="s">
        <v>5425</v>
      </c>
      <c r="C272" s="452" t="s">
        <v>1913</v>
      </c>
      <c r="D272" s="460" t="s">
        <v>595</v>
      </c>
      <c r="E272" s="446">
        <f>일위대가표!F2012</f>
        <v>16259</v>
      </c>
      <c r="F272" s="453">
        <f>일위대가표!H2012</f>
        <v>7079</v>
      </c>
      <c r="G272" s="454">
        <f>일위대가표!J2012</f>
        <v>9180</v>
      </c>
      <c r="H272" s="446">
        <f>일위대가표!L2012</f>
        <v>0</v>
      </c>
      <c r="I272" s="482"/>
      <c r="J272" s="451" t="str">
        <f>"_x0007_`COD|B02892_x0005_`QTY1|1_x0005_`BQC|_x0005_`EQC|_x0005_`JDC|_x0005_`WQC|_x0005_`EDT|_x0005_`ADJ|F_x0005_`DET|"&amp;ROW(일위대가표!A2007)&amp;"_x0005_`"</f>
        <v>_x0007_`COD|B02892_x0005_`QTY1|1_x0005_`BQC|_x0005_`EQC|_x0005_`JDC|_x0005_`WQC|_x0005_`EDT|_x0005_`ADJ|F_x0005_`DET|2007_x0005_`</v>
      </c>
      <c r="K272" s="433" t="str">
        <f ca="1">HYPERLINK("#"&amp;일위대가표!N2&amp;"!A"&amp;ROW(일위대가표!A2007),"B02892 →")</f>
        <v>B02892 →</v>
      </c>
    </row>
    <row r="273" spans="1:11" ht="25.7" customHeight="1">
      <c r="A273" s="460" t="s">
        <v>5436</v>
      </c>
      <c r="B273" s="452" t="s">
        <v>5432</v>
      </c>
      <c r="C273" s="452" t="s">
        <v>1917</v>
      </c>
      <c r="D273" s="460" t="s">
        <v>595</v>
      </c>
      <c r="E273" s="446">
        <f>일위대가표!F2018</f>
        <v>8439</v>
      </c>
      <c r="F273" s="453">
        <f>일위대가표!H2018</f>
        <v>6790</v>
      </c>
      <c r="G273" s="454">
        <f>일위대가표!J2018</f>
        <v>1649</v>
      </c>
      <c r="H273" s="446">
        <f>일위대가표!L2018</f>
        <v>0</v>
      </c>
      <c r="I273" s="482"/>
      <c r="J273" s="451" t="str">
        <f>"_x0007_`COD|B02822_x0005_`QTY1|1_x0005_`BQC|_x0005_`EQC|_x0005_`JDC|_x0005_`WQC|_x0005_`EDT|_x0005_`ADJ|F_x0005_`DET|"&amp;ROW(일위대가표!A2013)&amp;"_x0005_`"</f>
        <v>_x0007_`COD|B02822_x0005_`QTY1|1_x0005_`BQC|_x0005_`EQC|_x0005_`JDC|_x0005_`WQC|_x0005_`EDT|_x0005_`ADJ|F_x0005_`DET|2013_x0005_`</v>
      </c>
      <c r="K273" s="433" t="str">
        <f ca="1">HYPERLINK("#"&amp;일위대가표!N2&amp;"!A"&amp;ROW(일위대가표!A2013),"B02822 →")</f>
        <v>B02822 →</v>
      </c>
    </row>
    <row r="274" spans="1:11" ht="25.7" customHeight="1">
      <c r="A274" s="460" t="s">
        <v>5433</v>
      </c>
      <c r="B274" s="452" t="s">
        <v>5432</v>
      </c>
      <c r="C274" s="452" t="s">
        <v>1913</v>
      </c>
      <c r="D274" s="460" t="s">
        <v>595</v>
      </c>
      <c r="E274" s="446">
        <f>일위대가표!F2024</f>
        <v>16875</v>
      </c>
      <c r="F274" s="453">
        <f>일위대가표!H2024</f>
        <v>7695</v>
      </c>
      <c r="G274" s="454">
        <f>일위대가표!J2024</f>
        <v>9180</v>
      </c>
      <c r="H274" s="446">
        <f>일위대가표!L2024</f>
        <v>0</v>
      </c>
      <c r="I274" s="482"/>
      <c r="J274" s="451" t="str">
        <f>"_x0007_`COD|B02821_x0005_`QTY1|1_x0005_`BQC|_x0005_`EQC|_x0005_`JDC|_x0005_`WQC|_x0005_`EDT|_x0005_`ADJ|F_x0005_`DET|"&amp;ROW(일위대가표!A2019)&amp;"_x0005_`"</f>
        <v>_x0007_`COD|B02821_x0005_`QTY1|1_x0005_`BQC|_x0005_`EQC|_x0005_`JDC|_x0005_`WQC|_x0005_`EDT|_x0005_`ADJ|F_x0005_`DET|2019_x0005_`</v>
      </c>
      <c r="K274" s="433" t="str">
        <f ca="1">HYPERLINK("#"&amp;일위대가표!N2&amp;"!A"&amp;ROW(일위대가표!A2019),"B02821 →")</f>
        <v>B02821 →</v>
      </c>
    </row>
    <row r="275" spans="1:11" ht="25.7" customHeight="1">
      <c r="A275" s="460" t="s">
        <v>2320</v>
      </c>
      <c r="B275" s="452" t="s">
        <v>2321</v>
      </c>
      <c r="C275" s="452" t="s">
        <v>2322</v>
      </c>
      <c r="D275" s="460" t="s">
        <v>8</v>
      </c>
      <c r="E275" s="446">
        <f>일위대가표!F2028</f>
        <v>34413</v>
      </c>
      <c r="F275" s="453">
        <f>일위대가표!H2028</f>
        <v>34413</v>
      </c>
      <c r="G275" s="454">
        <f>일위대가표!J2028</f>
        <v>0</v>
      </c>
      <c r="H275" s="446">
        <f>일위대가표!L2028</f>
        <v>0</v>
      </c>
      <c r="I275" s="482" t="s">
        <v>2323</v>
      </c>
      <c r="J275" s="451" t="str">
        <f>"_x0007_`COD|B01414_x0005_`QTY1|1_x0005_`BQC|공통3-1-2_x0005_`EQC|_x0005_`JDC|_x0005_`WQC|_x0005_`EDT|_x0005_`ADJ|F_x0005_`DET|"&amp;ROW(일위대가표!A2025)&amp;"_x0005_`"</f>
        <v>_x0007_`COD|B01414_x0005_`QTY1|1_x0005_`BQC|공통3-1-2_x0005_`EQC|_x0005_`JDC|_x0005_`WQC|_x0005_`EDT|_x0005_`ADJ|F_x0005_`DET|2025_x0005_`</v>
      </c>
      <c r="K275" s="433" t="str">
        <f ca="1">HYPERLINK("#"&amp;일위대가표!N2&amp;"!A"&amp;ROW(일위대가표!A2025),"B01414 →")</f>
        <v>B01414 →</v>
      </c>
    </row>
    <row r="276" spans="1:11" ht="25.7" customHeight="1">
      <c r="A276" s="460" t="s">
        <v>2324</v>
      </c>
      <c r="B276" s="452" t="s">
        <v>2325</v>
      </c>
      <c r="C276" s="452" t="s">
        <v>2326</v>
      </c>
      <c r="D276" s="460" t="s">
        <v>2132</v>
      </c>
      <c r="E276" s="446">
        <f>일위대가표!F2037</f>
        <v>3316857</v>
      </c>
      <c r="F276" s="453">
        <f>일위대가표!H2037</f>
        <v>3071165</v>
      </c>
      <c r="G276" s="454">
        <f>일위대가표!J2037</f>
        <v>92134</v>
      </c>
      <c r="H276" s="446">
        <f>일위대가표!L2037</f>
        <v>153558</v>
      </c>
      <c r="I276" s="482" t="s">
        <v>2327</v>
      </c>
      <c r="J276" s="451" t="str">
        <f>"_x0007_`COD|B02691_x0005_`QTY1|1_x0005_`BQC|건축8-3_x0005_`EQC|_x0005_`JDC|_x0005_`WQC|_x0005_`EDT|_x0005_`ADJ|F_x0005_`DET|"&amp;ROW(일위대가표!A2029)&amp;"_x0005_`"</f>
        <v>_x0007_`COD|B02691_x0005_`QTY1|1_x0005_`BQC|건축8-3_x0005_`EQC|_x0005_`JDC|_x0005_`WQC|_x0005_`EDT|_x0005_`ADJ|F_x0005_`DET|2029_x0005_`</v>
      </c>
      <c r="K276" s="433" t="str">
        <f ca="1">HYPERLINK("#"&amp;일위대가표!N2&amp;"!A"&amp;ROW(일위대가표!A2029),"B02691 →")</f>
        <v>B02691 →</v>
      </c>
    </row>
    <row r="277" spans="1:11" ht="25.7" customHeight="1">
      <c r="A277" s="460" t="s">
        <v>2328</v>
      </c>
      <c r="B277" s="452" t="s">
        <v>2325</v>
      </c>
      <c r="C277" s="452" t="s">
        <v>2329</v>
      </c>
      <c r="D277" s="460" t="s">
        <v>2132</v>
      </c>
      <c r="E277" s="446">
        <f>일위대가표!F2046</f>
        <v>7341364</v>
      </c>
      <c r="F277" s="453">
        <f>일위대가표!H2046</f>
        <v>6925816</v>
      </c>
      <c r="G277" s="454">
        <f>일위대가표!J2046</f>
        <v>0</v>
      </c>
      <c r="H277" s="446">
        <f>일위대가표!L2046</f>
        <v>415548</v>
      </c>
      <c r="I277" s="482" t="s">
        <v>2330</v>
      </c>
      <c r="J277" s="451" t="str">
        <f>"_x0007_`COD|B02687_x0005_`QTY1|1_x0005_`BQC|건축8-3-1_x0005_`EQC|_x0005_`JDC|_x0005_`WQC|_x0005_`EDT|_x0005_`ADJ|F_x0005_`DET|"&amp;ROW(일위대가표!A2038)&amp;"_x0005_`"</f>
        <v>_x0007_`COD|B02687_x0005_`QTY1|1_x0005_`BQC|건축8-3-1_x0005_`EQC|_x0005_`JDC|_x0005_`WQC|_x0005_`EDT|_x0005_`ADJ|F_x0005_`DET|2038_x0005_`</v>
      </c>
      <c r="K277" s="433" t="str">
        <f ca="1">HYPERLINK("#"&amp;일위대가표!N2&amp;"!A"&amp;ROW(일위대가표!A2038),"B02687 →")</f>
        <v>B02687 →</v>
      </c>
    </row>
    <row r="278" spans="1:11" ht="25.7" customHeight="1">
      <c r="A278" s="460" t="s">
        <v>1257</v>
      </c>
      <c r="B278" s="452" t="s">
        <v>1255</v>
      </c>
      <c r="C278" s="452" t="s">
        <v>1256</v>
      </c>
      <c r="D278" s="460" t="s">
        <v>595</v>
      </c>
      <c r="E278" s="446">
        <f>일위대가표!F2051</f>
        <v>4110</v>
      </c>
      <c r="F278" s="453">
        <f>일위대가표!H2051</f>
        <v>3137</v>
      </c>
      <c r="G278" s="454">
        <f>일위대가표!J2051</f>
        <v>411</v>
      </c>
      <c r="H278" s="446">
        <f>일위대가표!L2051</f>
        <v>562</v>
      </c>
      <c r="I278" s="482" t="s">
        <v>2331</v>
      </c>
      <c r="J278" s="451" t="str">
        <f>"_x0007_`COD|B01959_x0005_`QTY1|1_x0005_`BQC|2024_x0005_`EQC|_x0005_`JDC|_x0005_`WQC|_x0005_`EDT|_x0005_`ADJ|F_x0005_`DET|"&amp;ROW(일위대가표!A2047)&amp;"_x0005_`"</f>
        <v>_x0007_`COD|B01959_x0005_`QTY1|1_x0005_`BQC|2024_x0005_`EQC|_x0005_`JDC|_x0005_`WQC|_x0005_`EDT|_x0005_`ADJ|F_x0005_`DET|2047_x0005_`</v>
      </c>
      <c r="K278" s="433" t="str">
        <f ca="1">HYPERLINK("#"&amp;일위대가표!N2&amp;"!A"&amp;ROW(일위대가표!A2047),"B01959 →")</f>
        <v>B01959 →</v>
      </c>
    </row>
    <row r="279" spans="1:11" ht="25.7" customHeight="1">
      <c r="A279" s="460" t="s">
        <v>1261</v>
      </c>
      <c r="B279" s="452" t="s">
        <v>1255</v>
      </c>
      <c r="C279" s="452" t="s">
        <v>1260</v>
      </c>
      <c r="D279" s="460" t="s">
        <v>595</v>
      </c>
      <c r="E279" s="446">
        <f>일위대가표!F2056</f>
        <v>3712</v>
      </c>
      <c r="F279" s="453">
        <f>일위대가표!H2056</f>
        <v>2788</v>
      </c>
      <c r="G279" s="454">
        <f>일위대가표!J2056</f>
        <v>409</v>
      </c>
      <c r="H279" s="446">
        <f>일위대가표!L2056</f>
        <v>515</v>
      </c>
      <c r="I279" s="482" t="s">
        <v>2313</v>
      </c>
      <c r="J279" s="451" t="str">
        <f>"_x0007_`COD|B02213_x0005_`QTY1|1_x0005_`BQC|산림8-20_x0005_`EQC|_x0005_`JDC|_x0005_`WQC|_x0005_`EDT|_x0005_`ADJ|F_x0005_`DET|"&amp;ROW(일위대가표!A2052)&amp;"_x0005_`"</f>
        <v>_x0007_`COD|B02213_x0005_`QTY1|1_x0005_`BQC|산림8-20_x0005_`EQC|_x0005_`JDC|_x0005_`WQC|_x0005_`EDT|_x0005_`ADJ|F_x0005_`DET|2052_x0005_`</v>
      </c>
      <c r="K279" s="433" t="str">
        <f ca="1">HYPERLINK("#"&amp;일위대가표!N2&amp;"!A"&amp;ROW(일위대가표!A2052),"B02213 →")</f>
        <v>B02213 →</v>
      </c>
    </row>
    <row r="280" spans="1:11" ht="25.7" customHeight="1">
      <c r="A280" s="460" t="s">
        <v>1265</v>
      </c>
      <c r="B280" s="452" t="s">
        <v>1255</v>
      </c>
      <c r="C280" s="452" t="s">
        <v>1264</v>
      </c>
      <c r="D280" s="460" t="s">
        <v>595</v>
      </c>
      <c r="E280" s="446">
        <f>일위대가표!F2061</f>
        <v>7907</v>
      </c>
      <c r="F280" s="453">
        <f>일위대가표!H2061</f>
        <v>5925</v>
      </c>
      <c r="G280" s="454">
        <f>일위대가표!J2061</f>
        <v>878</v>
      </c>
      <c r="H280" s="446">
        <f>일위대가표!L2061</f>
        <v>1104</v>
      </c>
      <c r="I280" s="482" t="s">
        <v>2313</v>
      </c>
      <c r="J280" s="451" t="str">
        <f>"_x0007_`COD|B02295_x0005_`QTY1|1_x0005_`BQC|산림8-20_x0005_`EQC|_x0005_`JDC|_x0005_`WQC|_x0005_`EDT|_x0005_`ADJ|F_x0005_`DET|"&amp;ROW(일위대가표!A2057)&amp;"_x0005_`"</f>
        <v>_x0007_`COD|B02295_x0005_`QTY1|1_x0005_`BQC|산림8-20_x0005_`EQC|_x0005_`JDC|_x0005_`WQC|_x0005_`EDT|_x0005_`ADJ|F_x0005_`DET|2057_x0005_`</v>
      </c>
      <c r="K280" s="433" t="str">
        <f ca="1">HYPERLINK("#"&amp;일위대가표!N2&amp;"!A"&amp;ROW(일위대가표!A2057),"B02295 →")</f>
        <v>B02295 →</v>
      </c>
    </row>
    <row r="281" spans="1:11" ht="25.7" customHeight="1">
      <c r="A281" s="460" t="s">
        <v>1236</v>
      </c>
      <c r="B281" s="452" t="s">
        <v>1234</v>
      </c>
      <c r="C281" s="452" t="s">
        <v>1235</v>
      </c>
      <c r="D281" s="460" t="s">
        <v>595</v>
      </c>
      <c r="E281" s="446">
        <f>일위대가표!F2070</f>
        <v>362030</v>
      </c>
      <c r="F281" s="453">
        <f>일위대가표!H2070</f>
        <v>223095</v>
      </c>
      <c r="G281" s="454">
        <f>일위대가표!J2070</f>
        <v>105217</v>
      </c>
      <c r="H281" s="446">
        <f>일위대가표!L2070</f>
        <v>33718</v>
      </c>
      <c r="I281" s="482"/>
      <c r="J281" s="451" t="str">
        <f>"_x0007_`COD|B02798_x0005_`QTY1|1_x0005_`BQC|_x0005_`EQC|_x0005_`JDC|_x0005_`WQC|_x0005_`EDT|_x0005_`ADJ|F_x0005_`DET|"&amp;ROW(일위대가표!A2062)&amp;"_x0005_`"</f>
        <v>_x0007_`COD|B02798_x0005_`QTY1|1_x0005_`BQC|_x0005_`EQC|_x0005_`JDC|_x0005_`WQC|_x0005_`EDT|_x0005_`ADJ|F_x0005_`DET|2062_x0005_`</v>
      </c>
      <c r="K281" s="433" t="str">
        <f ca="1">HYPERLINK("#"&amp;일위대가표!N2&amp;"!A"&amp;ROW(일위대가표!A2062),"B02798 →")</f>
        <v>B02798 →</v>
      </c>
    </row>
    <row r="282" spans="1:11" ht="25.7" customHeight="1">
      <c r="A282" s="460" t="s">
        <v>1449</v>
      </c>
      <c r="B282" s="452" t="s">
        <v>1447</v>
      </c>
      <c r="C282" s="452" t="s">
        <v>1448</v>
      </c>
      <c r="D282" s="460" t="s">
        <v>975</v>
      </c>
      <c r="E282" s="446">
        <f>일위대가표!F2074</f>
        <v>2508000</v>
      </c>
      <c r="F282" s="453">
        <f>일위대가표!H2074</f>
        <v>0</v>
      </c>
      <c r="G282" s="454">
        <f>일위대가표!J2074</f>
        <v>2508000</v>
      </c>
      <c r="H282" s="446">
        <f>일위대가표!L2074</f>
        <v>0</v>
      </c>
      <c r="I282" s="482"/>
      <c r="J282" s="451" t="str">
        <f>"_x0007_`COD|B02462_x0005_`QTY1|1_x0005_`BQC|_x0005_`EQC|_x0005_`JDC|_x0005_`WQC|_x0005_`EDT|_x0005_`ADJ|F_x0005_`DET|"&amp;ROW(일위대가표!A2071)&amp;"_x0005_`"</f>
        <v>_x0007_`COD|B02462_x0005_`QTY1|1_x0005_`BQC|_x0005_`EQC|_x0005_`JDC|_x0005_`WQC|_x0005_`EDT|_x0005_`ADJ|F_x0005_`DET|2071_x0005_`</v>
      </c>
      <c r="K282" s="433" t="str">
        <f ca="1">HYPERLINK("#"&amp;일위대가표!N2&amp;"!A"&amp;ROW(일위대가표!A2071),"B02462 →")</f>
        <v>B02462 →</v>
      </c>
    </row>
    <row r="283" spans="1:11" ht="25.7" customHeight="1">
      <c r="A283" s="460" t="s">
        <v>1607</v>
      </c>
      <c r="B283" s="452" t="s">
        <v>1605</v>
      </c>
      <c r="C283" s="452" t="s">
        <v>1606</v>
      </c>
      <c r="D283" s="460" t="s">
        <v>911</v>
      </c>
      <c r="E283" s="446">
        <f>일위대가표!F2079</f>
        <v>14262</v>
      </c>
      <c r="F283" s="453">
        <f>일위대가표!H2079</f>
        <v>6184</v>
      </c>
      <c r="G283" s="454">
        <f>일위대가표!J2079</f>
        <v>7707</v>
      </c>
      <c r="H283" s="446">
        <f>일위대가표!L2079</f>
        <v>371</v>
      </c>
      <c r="I283" s="482"/>
      <c r="J283" s="451" t="str">
        <f>"_x0007_`COD|B02565_x0005_`QTY1|1_x0005_`BQC|_x0005_`EQC|_x0005_`JDC|_x0005_`WQC|_x0005_`EDT|_x0005_`ADJ|F_x0005_`DET|"&amp;ROW(일위대가표!A2075)&amp;"_x0005_`"</f>
        <v>_x0007_`COD|B02565_x0005_`QTY1|1_x0005_`BQC|_x0005_`EQC|_x0005_`JDC|_x0005_`WQC|_x0005_`EDT|_x0005_`ADJ|F_x0005_`DET|2075_x0005_`</v>
      </c>
      <c r="K283" s="433" t="str">
        <f ca="1">HYPERLINK("#"&amp;일위대가표!N2&amp;"!A"&amp;ROW(일위대가표!A2075),"B02565 →")</f>
        <v>B02565 →</v>
      </c>
    </row>
    <row r="284" spans="1:11" ht="25.7" customHeight="1">
      <c r="A284" s="460" t="s">
        <v>1611</v>
      </c>
      <c r="B284" s="452" t="s">
        <v>1605</v>
      </c>
      <c r="C284" s="452" t="s">
        <v>1610</v>
      </c>
      <c r="D284" s="460" t="s">
        <v>911</v>
      </c>
      <c r="E284" s="446">
        <f>일위대가표!F2084</f>
        <v>20055</v>
      </c>
      <c r="F284" s="453">
        <f>일위대가표!H2084</f>
        <v>7826</v>
      </c>
      <c r="G284" s="454">
        <f>일위대가표!J2084</f>
        <v>11760</v>
      </c>
      <c r="H284" s="446">
        <f>일위대가표!L2084</f>
        <v>469</v>
      </c>
      <c r="I284" s="482"/>
      <c r="J284" s="451" t="str">
        <f>"_x0007_`COD|B02566_x0005_`QTY1|1_x0005_`BQC|_x0005_`EQC|_x0005_`JDC|_x0005_`WQC|_x0005_`EDT|_x0005_`ADJ|F_x0005_`DET|"&amp;ROW(일위대가표!A2080)&amp;"_x0005_`"</f>
        <v>_x0007_`COD|B02566_x0005_`QTY1|1_x0005_`BQC|_x0005_`EQC|_x0005_`JDC|_x0005_`WQC|_x0005_`EDT|_x0005_`ADJ|F_x0005_`DET|2080_x0005_`</v>
      </c>
      <c r="K284" s="433" t="str">
        <f ca="1">HYPERLINK("#"&amp;일위대가표!N2&amp;"!A"&amp;ROW(일위대가표!A2080),"B02566 →")</f>
        <v>B02566 →</v>
      </c>
    </row>
    <row r="285" spans="1:11" ht="25.7" customHeight="1">
      <c r="A285" s="460" t="s">
        <v>1615</v>
      </c>
      <c r="B285" s="452" t="s">
        <v>1605</v>
      </c>
      <c r="C285" s="452" t="s">
        <v>1614</v>
      </c>
      <c r="D285" s="460" t="s">
        <v>911</v>
      </c>
      <c r="E285" s="446">
        <f>일위대가표!F2089</f>
        <v>29215</v>
      </c>
      <c r="F285" s="453">
        <f>일위대가표!H2089</f>
        <v>12743</v>
      </c>
      <c r="G285" s="454">
        <f>일위대가표!J2089</f>
        <v>15708</v>
      </c>
      <c r="H285" s="446">
        <f>일위대가표!L2089</f>
        <v>764</v>
      </c>
      <c r="I285" s="482"/>
      <c r="J285" s="451" t="str">
        <f>"_x0007_`COD|B02567_x0005_`QTY1|1_x0005_`BQC|_x0005_`EQC|_x0005_`JDC|_x0005_`WQC|_x0005_`EDT|_x0005_`ADJ|F_x0005_`DET|"&amp;ROW(일위대가표!A2085)&amp;"_x0005_`"</f>
        <v>_x0007_`COD|B02567_x0005_`QTY1|1_x0005_`BQC|_x0005_`EQC|_x0005_`JDC|_x0005_`WQC|_x0005_`EDT|_x0005_`ADJ|F_x0005_`DET|2085_x0005_`</v>
      </c>
      <c r="K285" s="433" t="str">
        <f ca="1">HYPERLINK("#"&amp;일위대가표!N2&amp;"!A"&amp;ROW(일위대가표!A2085),"B02567 →")</f>
        <v>B02567 →</v>
      </c>
    </row>
    <row r="286" spans="1:11" ht="25.7" customHeight="1">
      <c r="A286" s="460" t="s">
        <v>1619</v>
      </c>
      <c r="B286" s="452" t="s">
        <v>1605</v>
      </c>
      <c r="C286" s="452" t="s">
        <v>1618</v>
      </c>
      <c r="D286" s="460" t="s">
        <v>911</v>
      </c>
      <c r="E286" s="446">
        <f>일위대가표!F2094</f>
        <v>41773</v>
      </c>
      <c r="F286" s="453">
        <f>일위대가표!H2094</f>
        <v>12743</v>
      </c>
      <c r="G286" s="454">
        <f>일위대가표!J2094</f>
        <v>28266</v>
      </c>
      <c r="H286" s="446">
        <f>일위대가표!L2094</f>
        <v>764</v>
      </c>
      <c r="I286" s="482"/>
      <c r="J286" s="451" t="str">
        <f>"_x0007_`COD|B02568_x0005_`QTY1|1_x0005_`BQC|_x0005_`EQC|_x0005_`JDC|_x0005_`WQC|_x0005_`EDT|_x0005_`ADJ|F_x0005_`DET|"&amp;ROW(일위대가표!A2090)&amp;"_x0005_`"</f>
        <v>_x0007_`COD|B02568_x0005_`QTY1|1_x0005_`BQC|_x0005_`EQC|_x0005_`JDC|_x0005_`WQC|_x0005_`EDT|_x0005_`ADJ|F_x0005_`DET|2090_x0005_`</v>
      </c>
      <c r="K286" s="433" t="str">
        <f ca="1">HYPERLINK("#"&amp;일위대가표!N2&amp;"!A"&amp;ROW(일위대가표!A2090),"B02568 →")</f>
        <v>B02568 →</v>
      </c>
    </row>
    <row r="287" spans="1:11" ht="25.7" customHeight="1">
      <c r="A287" s="460" t="s">
        <v>1504</v>
      </c>
      <c r="B287" s="452" t="s">
        <v>1502</v>
      </c>
      <c r="C287" s="452" t="s">
        <v>1503</v>
      </c>
      <c r="D287" s="460" t="s">
        <v>595</v>
      </c>
      <c r="E287" s="446">
        <f>일위대가표!F2100</f>
        <v>13471</v>
      </c>
      <c r="F287" s="453">
        <f>일위대가표!H2100</f>
        <v>12159</v>
      </c>
      <c r="G287" s="454">
        <f>일위대가표!J2100</f>
        <v>1053</v>
      </c>
      <c r="H287" s="446">
        <f>일위대가표!L2100</f>
        <v>259</v>
      </c>
      <c r="I287" s="482"/>
      <c r="J287" s="451" t="str">
        <f>"_x0007_`COD|B02106_x0005_`QTY1|1_x0005_`BQC|_x0005_`EQC|_x0005_`JDC|_x0005_`WQC|_x0005_`EDT|_x0005_`ADJ|F_x0005_`DET|"&amp;ROW(일위대가표!A2095)&amp;"_x0005_`"</f>
        <v>_x0007_`COD|B02106_x0005_`QTY1|1_x0005_`BQC|_x0005_`EQC|_x0005_`JDC|_x0005_`WQC|_x0005_`EDT|_x0005_`ADJ|F_x0005_`DET|2095_x0005_`</v>
      </c>
      <c r="K287" s="433" t="str">
        <f ca="1">HYPERLINK("#"&amp;일위대가표!N2&amp;"!A"&amp;ROW(일위대가표!A2095),"B02106 →")</f>
        <v>B02106 →</v>
      </c>
    </row>
    <row r="288" spans="1:11" ht="25.7" customHeight="1">
      <c r="A288" s="460" t="s">
        <v>2332</v>
      </c>
      <c r="B288" s="452" t="s">
        <v>2333</v>
      </c>
      <c r="C288" s="452" t="s">
        <v>2334</v>
      </c>
      <c r="D288" s="460" t="s">
        <v>595</v>
      </c>
      <c r="E288" s="446">
        <f>일위대가표!F2106</f>
        <v>1802</v>
      </c>
      <c r="F288" s="453">
        <f>일위대가표!H2106</f>
        <v>1750</v>
      </c>
      <c r="G288" s="454">
        <f>일위대가표!J2106</f>
        <v>0</v>
      </c>
      <c r="H288" s="446">
        <f>일위대가표!L2106</f>
        <v>52</v>
      </c>
      <c r="I288" s="482" t="s">
        <v>2335</v>
      </c>
      <c r="J288" s="451" t="str">
        <f>"_x0007_`COD|B02108_x0005_`QTY1|1_x0005_`BQC|건축11-1-3_x0005_`EQC|_x0005_`JDC|_x0005_`WQC|_x0005_`EDT|_x0005_`ADJ|F_x0005_`DET|"&amp;ROW(일위대가표!A2101)&amp;"_x0005_`"</f>
        <v>_x0007_`COD|B02108_x0005_`QTY1|1_x0005_`BQC|건축11-1-3_x0005_`EQC|_x0005_`JDC|_x0005_`WQC|_x0005_`EDT|_x0005_`ADJ|F_x0005_`DET|2101_x0005_`</v>
      </c>
      <c r="K288" s="433" t="str">
        <f ca="1">HYPERLINK("#"&amp;일위대가표!N2&amp;"!A"&amp;ROW(일위대가표!A2101),"B02108 →")</f>
        <v>B02108 →</v>
      </c>
    </row>
    <row r="289" spans="1:11" ht="25.7" customHeight="1">
      <c r="A289" s="460" t="s">
        <v>1248</v>
      </c>
      <c r="B289" s="452" t="s">
        <v>1247</v>
      </c>
      <c r="C289" s="452" t="s">
        <v>1235</v>
      </c>
      <c r="D289" s="460" t="s">
        <v>595</v>
      </c>
      <c r="E289" s="446">
        <f>일위대가표!F2114</f>
        <v>118117</v>
      </c>
      <c r="F289" s="453">
        <f>일위대가표!H2114</f>
        <v>59568</v>
      </c>
      <c r="G289" s="454">
        <f>일위대가표!J2114</f>
        <v>50756</v>
      </c>
      <c r="H289" s="446">
        <f>일위대가표!L2114</f>
        <v>7793</v>
      </c>
      <c r="I289" s="482"/>
      <c r="J289" s="451" t="str">
        <f>"_x0007_`COD|B02684_x0005_`QTY1|1_x0005_`BQC|_x0005_`EQC|_x0005_`JDC|_x0005_`WQC|_x0005_`EDT|_x0005_`ADJ|F_x0005_`DET|"&amp;ROW(일위대가표!A2107)&amp;"_x0005_`"</f>
        <v>_x0007_`COD|B02684_x0005_`QTY1|1_x0005_`BQC|_x0005_`EQC|_x0005_`JDC|_x0005_`WQC|_x0005_`EDT|_x0005_`ADJ|F_x0005_`DET|2107_x0005_`</v>
      </c>
      <c r="K289" s="433" t="str">
        <f ca="1">HYPERLINK("#"&amp;일위대가표!N2&amp;"!A"&amp;ROW(일위대가표!A2107),"B02684 →")</f>
        <v>B02684 →</v>
      </c>
    </row>
    <row r="290" spans="1:11" ht="25.7" customHeight="1">
      <c r="A290" s="460" t="s">
        <v>1240</v>
      </c>
      <c r="B290" s="452" t="s">
        <v>1239</v>
      </c>
      <c r="C290" s="452" t="s">
        <v>1235</v>
      </c>
      <c r="D290" s="460" t="s">
        <v>595</v>
      </c>
      <c r="E290" s="446">
        <f>일위대가표!F2124</f>
        <v>184512</v>
      </c>
      <c r="F290" s="453">
        <f>일위대가표!H2124</f>
        <v>92138</v>
      </c>
      <c r="G290" s="454">
        <f>일위대가표!J2124</f>
        <v>79919</v>
      </c>
      <c r="H290" s="446">
        <f>일위대가표!L2124</f>
        <v>12455</v>
      </c>
      <c r="I290" s="482"/>
      <c r="J290" s="451" t="str">
        <f>"_x0007_`COD|B02148_x0005_`QTY1|1_x0005_`BQC|_x0005_`EQC|_x0005_`JDC|_x0005_`WQC|_x0005_`EDT|_x0005_`ADJ|F_x0005_`DET|"&amp;ROW(일위대가표!A2115)&amp;"_x0005_`"</f>
        <v>_x0007_`COD|B02148_x0005_`QTY1|1_x0005_`BQC|_x0005_`EQC|_x0005_`JDC|_x0005_`WQC|_x0005_`EDT|_x0005_`ADJ|F_x0005_`DET|2115_x0005_`</v>
      </c>
      <c r="K290" s="433" t="str">
        <f ca="1">HYPERLINK("#"&amp;일위대가표!N2&amp;"!A"&amp;ROW(일위대가표!A2115),"B02148 →")</f>
        <v>B02148 →</v>
      </c>
    </row>
    <row r="291" spans="1:11" ht="25.7" customHeight="1">
      <c r="A291" s="460" t="s">
        <v>1252</v>
      </c>
      <c r="B291" s="452" t="s">
        <v>1251</v>
      </c>
      <c r="C291" s="452" t="s">
        <v>1235</v>
      </c>
      <c r="D291" s="460" t="s">
        <v>595</v>
      </c>
      <c r="E291" s="446">
        <f>일위대가표!F2134</f>
        <v>240742</v>
      </c>
      <c r="F291" s="453">
        <f>일위대가표!H2134</f>
        <v>153441</v>
      </c>
      <c r="G291" s="454">
        <f>일위대가표!J2134</f>
        <v>75278</v>
      </c>
      <c r="H291" s="446">
        <f>일위대가표!L2134</f>
        <v>12023</v>
      </c>
      <c r="I291" s="482" t="s">
        <v>2336</v>
      </c>
      <c r="J291" s="451" t="str">
        <f>"_x0007_`COD|B02683_x0005_`QTY1|1_x0005_`BQC|산림4-5-4_x0005_`EQC|_x0005_`JDC|_x0005_`WQC|_x0005_`EDT|_x0005_`ADJ|F_x0005_`DET|"&amp;ROW(일위대가표!A2125)&amp;"_x0005_`"</f>
        <v>_x0007_`COD|B02683_x0005_`QTY1|1_x0005_`BQC|산림4-5-4_x0005_`EQC|_x0005_`JDC|_x0005_`WQC|_x0005_`EDT|_x0005_`ADJ|F_x0005_`DET|2125_x0005_`</v>
      </c>
      <c r="K291" s="433" t="str">
        <f ca="1">HYPERLINK("#"&amp;일위대가표!N2&amp;"!A"&amp;ROW(일위대가표!A2125),"B02683 →")</f>
        <v>B02683 →</v>
      </c>
    </row>
    <row r="292" spans="1:11" ht="25.7" customHeight="1">
      <c r="A292" s="460" t="s">
        <v>1244</v>
      </c>
      <c r="B292" s="452" t="s">
        <v>1243</v>
      </c>
      <c r="C292" s="452" t="s">
        <v>1235</v>
      </c>
      <c r="D292" s="460" t="s">
        <v>595</v>
      </c>
      <c r="E292" s="446">
        <f>일위대가표!F2147</f>
        <v>308114</v>
      </c>
      <c r="F292" s="453">
        <f>일위대가표!H2147</f>
        <v>183617</v>
      </c>
      <c r="G292" s="454">
        <f>일위대가표!J2147</f>
        <v>101447</v>
      </c>
      <c r="H292" s="446">
        <f>일위대가표!L2147</f>
        <v>23050</v>
      </c>
      <c r="I292" s="482"/>
      <c r="J292" s="451" t="str">
        <f>"_x0007_`COD|B02682_x0005_`QTY1|1_x0005_`BQC|_x0005_`EQC|_x0005_`JDC|_x0005_`WQC|_x0005_`EDT|_x0005_`ADJ|F_x0005_`DET|"&amp;ROW(일위대가표!A2135)&amp;"_x0005_`"</f>
        <v>_x0007_`COD|B02682_x0005_`QTY1|1_x0005_`BQC|_x0005_`EQC|_x0005_`JDC|_x0005_`WQC|_x0005_`EDT|_x0005_`ADJ|F_x0005_`DET|2135_x0005_`</v>
      </c>
      <c r="K292" s="433" t="str">
        <f ca="1">HYPERLINK("#"&amp;일위대가표!N2&amp;"!A"&amp;ROW(일위대가표!A2135),"B02682 →")</f>
        <v>B02682 →</v>
      </c>
    </row>
    <row r="293" spans="1:11" ht="25.7" customHeight="1">
      <c r="A293" s="460" t="s">
        <v>1172</v>
      </c>
      <c r="B293" s="452" t="s">
        <v>1171</v>
      </c>
      <c r="C293" s="452" t="s">
        <v>1159</v>
      </c>
      <c r="D293" s="460" t="s">
        <v>966</v>
      </c>
      <c r="E293" s="446">
        <f>일위대가표!F2166</f>
        <v>942698</v>
      </c>
      <c r="F293" s="453">
        <f>일위대가표!H2166</f>
        <v>403681</v>
      </c>
      <c r="G293" s="454">
        <f>일위대가표!J2166</f>
        <v>535880</v>
      </c>
      <c r="H293" s="446">
        <f>일위대가표!L2166</f>
        <v>3137</v>
      </c>
      <c r="I293" s="482"/>
      <c r="J293" s="451" t="str">
        <f>"_x0007_`COD|B02651_x0005_`QTY1|1_x0005_`BQC|_x0005_`EQC|_x0005_`JDC|_x0005_`WQC|_x0005_`EDT|_x0005_`ADJ|F_x0005_`DET|"&amp;ROW(일위대가표!A2148)&amp;"_x0005_`"</f>
        <v>_x0007_`COD|B02651_x0005_`QTY1|1_x0005_`BQC|_x0005_`EQC|_x0005_`JDC|_x0005_`WQC|_x0005_`EDT|_x0005_`ADJ|F_x0005_`DET|2148_x0005_`</v>
      </c>
      <c r="K293" s="433" t="str">
        <f ca="1">HYPERLINK("#"&amp;일위대가표!N2&amp;"!A"&amp;ROW(일위대가표!A2148),"B02651 →")</f>
        <v>B02651 →</v>
      </c>
    </row>
    <row r="294" spans="1:11" ht="25.7" customHeight="1">
      <c r="A294" s="460" t="s">
        <v>1175</v>
      </c>
      <c r="B294" s="452" t="s">
        <v>1171</v>
      </c>
      <c r="C294" s="452" t="s">
        <v>1163</v>
      </c>
      <c r="D294" s="460" t="s">
        <v>966</v>
      </c>
      <c r="E294" s="446">
        <f>일위대가표!F2185</f>
        <v>953391</v>
      </c>
      <c r="F294" s="453">
        <f>일위대가표!H2185</f>
        <v>410491</v>
      </c>
      <c r="G294" s="454">
        <f>일위대가표!J2185</f>
        <v>539718</v>
      </c>
      <c r="H294" s="446">
        <f>일위대가표!L2185</f>
        <v>3182</v>
      </c>
      <c r="I294" s="482"/>
      <c r="J294" s="451" t="str">
        <f>"_x0007_`COD|B02728_x0005_`QTY1|1_x0005_`BQC|_x0005_`EQC|_x0005_`JDC|_x0005_`WQC|_x0005_`EDT|_x0005_`ADJ|F_x0005_`DET|"&amp;ROW(일위대가표!A2167)&amp;"_x0005_`"</f>
        <v>_x0007_`COD|B02728_x0005_`QTY1|1_x0005_`BQC|_x0005_`EQC|_x0005_`JDC|_x0005_`WQC|_x0005_`EDT|_x0005_`ADJ|F_x0005_`DET|2167_x0005_`</v>
      </c>
      <c r="K294" s="433" t="str">
        <f ca="1">HYPERLINK("#"&amp;일위대가표!N2&amp;"!A"&amp;ROW(일위대가표!A2167),"B02728 →")</f>
        <v>B02728 →</v>
      </c>
    </row>
    <row r="295" spans="1:11" ht="25.7" customHeight="1">
      <c r="A295" s="460" t="s">
        <v>1178</v>
      </c>
      <c r="B295" s="452" t="s">
        <v>1171</v>
      </c>
      <c r="C295" s="452" t="s">
        <v>1167</v>
      </c>
      <c r="D295" s="460" t="s">
        <v>966</v>
      </c>
      <c r="E295" s="446">
        <f>일위대가표!F2204</f>
        <v>1231788</v>
      </c>
      <c r="F295" s="453">
        <f>일위대가표!H2204</f>
        <v>505066</v>
      </c>
      <c r="G295" s="454">
        <f>일위대가표!J2204</f>
        <v>723005</v>
      </c>
      <c r="H295" s="446">
        <f>일위대가표!L2204</f>
        <v>3717</v>
      </c>
      <c r="I295" s="482"/>
      <c r="J295" s="451" t="str">
        <f>"_x0007_`COD|B02727_x0005_`QTY1|1_x0005_`BQC|_x0005_`EQC|_x0005_`JDC|_x0005_`WQC|_x0005_`EDT|_x0005_`ADJ|F_x0005_`DET|"&amp;ROW(일위대가표!A2186)&amp;"_x0005_`"</f>
        <v>_x0007_`COD|B02727_x0005_`QTY1|1_x0005_`BQC|_x0005_`EQC|_x0005_`JDC|_x0005_`WQC|_x0005_`EDT|_x0005_`ADJ|F_x0005_`DET|2186_x0005_`</v>
      </c>
      <c r="K295" s="433" t="str">
        <f ca="1">HYPERLINK("#"&amp;일위대가표!N2&amp;"!A"&amp;ROW(일위대가표!A2186),"B02727 →")</f>
        <v>B02727 →</v>
      </c>
    </row>
    <row r="296" spans="1:11" ht="25.7" customHeight="1">
      <c r="A296" s="460" t="s">
        <v>5164</v>
      </c>
      <c r="B296" s="452" t="s">
        <v>5163</v>
      </c>
      <c r="C296" s="452" t="s">
        <v>1159</v>
      </c>
      <c r="D296" s="460" t="s">
        <v>966</v>
      </c>
      <c r="E296" s="446">
        <f>일위대가표!F2224</f>
        <v>1003251</v>
      </c>
      <c r="F296" s="453">
        <f>일위대가표!H2224</f>
        <v>464234</v>
      </c>
      <c r="G296" s="454">
        <f>일위대가표!J2224</f>
        <v>535880</v>
      </c>
      <c r="H296" s="446">
        <f>일위대가표!L2224</f>
        <v>3137</v>
      </c>
      <c r="I296" s="482"/>
      <c r="J296" s="451" t="str">
        <f>"_x0007_`COD|B02857_x0005_`QTY1|1_x0005_`BQC|_x0005_`EQC|_x0005_`JDC|_x0005_`WQC|_x0005_`EDT|_x0005_`ADJ|F_x0005_`DET|"&amp;ROW(일위대가표!A2205)&amp;"_x0005_`"</f>
        <v>_x0007_`COD|B02857_x0005_`QTY1|1_x0005_`BQC|_x0005_`EQC|_x0005_`JDC|_x0005_`WQC|_x0005_`EDT|_x0005_`ADJ|F_x0005_`DET|2205_x0005_`</v>
      </c>
      <c r="K296" s="433" t="str">
        <f ca="1">HYPERLINK("#"&amp;일위대가표!N2&amp;"!A"&amp;ROW(일위대가표!A2205),"B02857 →")</f>
        <v>B02857 →</v>
      </c>
    </row>
    <row r="297" spans="1:11" ht="25.7" customHeight="1">
      <c r="A297" s="460" t="s">
        <v>5167</v>
      </c>
      <c r="B297" s="452" t="s">
        <v>5163</v>
      </c>
      <c r="C297" s="452" t="s">
        <v>1163</v>
      </c>
      <c r="D297" s="460" t="s">
        <v>966</v>
      </c>
      <c r="E297" s="446">
        <f>일위대가표!F2244</f>
        <v>1014964</v>
      </c>
      <c r="F297" s="453">
        <f>일위대가표!H2244</f>
        <v>472064</v>
      </c>
      <c r="G297" s="454">
        <f>일위대가표!J2244</f>
        <v>539718</v>
      </c>
      <c r="H297" s="446">
        <f>일위대가표!L2244</f>
        <v>3182</v>
      </c>
      <c r="I297" s="482" t="s">
        <v>2337</v>
      </c>
      <c r="J297" s="451" t="str">
        <f>"_x0007_`COD|B02858_x0005_`QTY1|1_x0005_`BQC|2023 태교숲길_x0005_`EQC|_x0005_`JDC|_x0005_`WQC|_x0005_`EDT|_x0005_`ADJ|F_x0005_`DET|"&amp;ROW(일위대가표!A2225)&amp;"_x0005_`"</f>
        <v>_x0007_`COD|B02858_x0005_`QTY1|1_x0005_`BQC|2023 태교숲길_x0005_`EQC|_x0005_`JDC|_x0005_`WQC|_x0005_`EDT|_x0005_`ADJ|F_x0005_`DET|2225_x0005_`</v>
      </c>
      <c r="K297" s="433" t="str">
        <f ca="1">HYPERLINK("#"&amp;일위대가표!N2&amp;"!A"&amp;ROW(일위대가표!A2225),"B02858 →")</f>
        <v>B02858 →</v>
      </c>
    </row>
    <row r="298" spans="1:11" ht="25.7" customHeight="1">
      <c r="A298" s="460" t="s">
        <v>5170</v>
      </c>
      <c r="B298" s="452" t="s">
        <v>5163</v>
      </c>
      <c r="C298" s="452" t="s">
        <v>1167</v>
      </c>
      <c r="D298" s="460" t="s">
        <v>966</v>
      </c>
      <c r="E298" s="446">
        <f>일위대가표!F2264</f>
        <v>1307548</v>
      </c>
      <c r="F298" s="453">
        <f>일위대가표!H2264</f>
        <v>580826</v>
      </c>
      <c r="G298" s="454">
        <f>일위대가표!J2264</f>
        <v>723005</v>
      </c>
      <c r="H298" s="446">
        <f>일위대가표!L2264</f>
        <v>3717</v>
      </c>
      <c r="I298" s="482" t="s">
        <v>2337</v>
      </c>
      <c r="J298" s="451" t="str">
        <f>"_x0007_`COD|B02859_x0005_`QTY1|1_x0005_`BQC|2023 태교숲길_x0005_`EQC|_x0005_`JDC|_x0005_`WQC|_x0005_`EDT|_x0005_`ADJ|F_x0005_`DET|"&amp;ROW(일위대가표!A2245)&amp;"_x0005_`"</f>
        <v>_x0007_`COD|B02859_x0005_`QTY1|1_x0005_`BQC|2023 태교숲길_x0005_`EQC|_x0005_`JDC|_x0005_`WQC|_x0005_`EDT|_x0005_`ADJ|F_x0005_`DET|2245_x0005_`</v>
      </c>
      <c r="K298" s="433" t="str">
        <f ca="1">HYPERLINK("#"&amp;일위대가표!N2&amp;"!A"&amp;ROW(일위대가표!A2245),"B02859 →")</f>
        <v>B02859 →</v>
      </c>
    </row>
    <row r="299" spans="1:11" ht="25.7" customHeight="1">
      <c r="A299" s="460" t="s">
        <v>1160</v>
      </c>
      <c r="B299" s="452" t="s">
        <v>5173</v>
      </c>
      <c r="C299" s="452" t="s">
        <v>1159</v>
      </c>
      <c r="D299" s="460" t="s">
        <v>966</v>
      </c>
      <c r="E299" s="446">
        <f>일위대가표!F2284</f>
        <v>1043619</v>
      </c>
      <c r="F299" s="453">
        <f>일위대가표!H2284</f>
        <v>504602</v>
      </c>
      <c r="G299" s="454">
        <f>일위대가표!J2284</f>
        <v>535880</v>
      </c>
      <c r="H299" s="446">
        <f>일위대가표!L2284</f>
        <v>3137</v>
      </c>
      <c r="I299" s="482"/>
      <c r="J299" s="451" t="str">
        <f>"_x0007_`COD|B02650_x0005_`QTY1|1_x0005_`BQC|_x0005_`EQC|_x0005_`JDC|_x0005_`WQC|_x0005_`EDT|_x0005_`ADJ|F_x0005_`DET|"&amp;ROW(일위대가표!A2265)&amp;"_x0005_`"</f>
        <v>_x0007_`COD|B02650_x0005_`QTY1|1_x0005_`BQC|_x0005_`EQC|_x0005_`JDC|_x0005_`WQC|_x0005_`EDT|_x0005_`ADJ|F_x0005_`DET|2265_x0005_`</v>
      </c>
      <c r="K299" s="433" t="str">
        <f ca="1">HYPERLINK("#"&amp;일위대가표!N2&amp;"!A"&amp;ROW(일위대가표!A2265),"B02650 →")</f>
        <v>B02650 →</v>
      </c>
    </row>
    <row r="300" spans="1:11" ht="25.7" customHeight="1">
      <c r="A300" s="460" t="s">
        <v>1164</v>
      </c>
      <c r="B300" s="452" t="s">
        <v>5173</v>
      </c>
      <c r="C300" s="452" t="s">
        <v>1163</v>
      </c>
      <c r="D300" s="460" t="s">
        <v>966</v>
      </c>
      <c r="E300" s="446">
        <f>일위대가표!F2304</f>
        <v>1056014</v>
      </c>
      <c r="F300" s="453">
        <f>일위대가표!H2304</f>
        <v>513114</v>
      </c>
      <c r="G300" s="454">
        <f>일위대가표!J2304</f>
        <v>539718</v>
      </c>
      <c r="H300" s="446">
        <f>일위대가표!L2304</f>
        <v>3182</v>
      </c>
      <c r="I300" s="482" t="s">
        <v>2337</v>
      </c>
      <c r="J300" s="451" t="str">
        <f>"_x0007_`COD|B02729_x0005_`QTY1|1_x0005_`BQC|2023 태교숲길_x0005_`EQC|_x0005_`JDC|_x0005_`WQC|_x0005_`EDT|_x0005_`ADJ|F_x0005_`DET|"&amp;ROW(일위대가표!A2285)&amp;"_x0005_`"</f>
        <v>_x0007_`COD|B02729_x0005_`QTY1|1_x0005_`BQC|2023 태교숲길_x0005_`EQC|_x0005_`JDC|_x0005_`WQC|_x0005_`EDT|_x0005_`ADJ|F_x0005_`DET|2285_x0005_`</v>
      </c>
      <c r="K300" s="433" t="str">
        <f ca="1">HYPERLINK("#"&amp;일위대가표!N2&amp;"!A"&amp;ROW(일위대가표!A2285),"B02729 →")</f>
        <v>B02729 →</v>
      </c>
    </row>
    <row r="301" spans="1:11" ht="25.7" customHeight="1">
      <c r="A301" s="460" t="s">
        <v>1168</v>
      </c>
      <c r="B301" s="452" t="s">
        <v>5173</v>
      </c>
      <c r="C301" s="452" t="s">
        <v>1167</v>
      </c>
      <c r="D301" s="460" t="s">
        <v>966</v>
      </c>
      <c r="E301" s="446">
        <f>일위대가표!F2324</f>
        <v>1358055</v>
      </c>
      <c r="F301" s="453">
        <f>일위대가표!H2324</f>
        <v>631333</v>
      </c>
      <c r="G301" s="454">
        <f>일위대가표!J2324</f>
        <v>723005</v>
      </c>
      <c r="H301" s="446">
        <f>일위대가표!L2324</f>
        <v>3717</v>
      </c>
      <c r="I301" s="482" t="s">
        <v>2337</v>
      </c>
      <c r="J301" s="451" t="str">
        <f>"_x0007_`COD|B02730_x0005_`QTY1|1_x0005_`BQC|2023 태교숲길_x0005_`EQC|_x0005_`JDC|_x0005_`WQC|_x0005_`EDT|_x0005_`ADJ|F_x0005_`DET|"&amp;ROW(일위대가표!A2305)&amp;"_x0005_`"</f>
        <v>_x0007_`COD|B02730_x0005_`QTY1|1_x0005_`BQC|2023 태교숲길_x0005_`EQC|_x0005_`JDC|_x0005_`WQC|_x0005_`EDT|_x0005_`ADJ|F_x0005_`DET|2305_x0005_`</v>
      </c>
      <c r="K301" s="433" t="str">
        <f ca="1">HYPERLINK("#"&amp;일위대가표!N2&amp;"!A"&amp;ROW(일위대가표!A2305),"B02730 →")</f>
        <v>B02730 →</v>
      </c>
    </row>
    <row r="302" spans="1:11" ht="25.7" customHeight="1">
      <c r="A302" s="460" t="s">
        <v>1088</v>
      </c>
      <c r="B302" s="452" t="s">
        <v>1087</v>
      </c>
      <c r="C302" s="452" t="s">
        <v>1067</v>
      </c>
      <c r="D302" s="460" t="s">
        <v>975</v>
      </c>
      <c r="E302" s="446">
        <f>일위대가표!F2333</f>
        <v>89313</v>
      </c>
      <c r="F302" s="453">
        <f>일위대가표!H2333</f>
        <v>27805</v>
      </c>
      <c r="G302" s="454">
        <f>일위대가표!J2333</f>
        <v>61508</v>
      </c>
      <c r="H302" s="446">
        <f>일위대가표!L2333</f>
        <v>0</v>
      </c>
      <c r="I302" s="482"/>
      <c r="J302" s="451" t="str">
        <f>"_x0007_`COD|B02496_x0005_`QTY1|1_x0005_`BQC|_x0005_`EQC|_x0005_`JDC|_x0005_`WQC|_x0005_`EDT|_x0005_`ADJ|F_x0005_`DET|"&amp;ROW(일위대가표!A2325)&amp;"_x0005_`"</f>
        <v>_x0007_`COD|B02496_x0005_`QTY1|1_x0005_`BQC|_x0005_`EQC|_x0005_`JDC|_x0005_`WQC|_x0005_`EDT|_x0005_`ADJ|F_x0005_`DET|2325_x0005_`</v>
      </c>
      <c r="K302" s="433" t="str">
        <f ca="1">HYPERLINK("#"&amp;일위대가표!N2&amp;"!A"&amp;ROW(일위대가표!A2325),"B02496 →")</f>
        <v>B02496 →</v>
      </c>
    </row>
    <row r="303" spans="1:11" ht="25.7" customHeight="1">
      <c r="A303" s="460" t="s">
        <v>1091</v>
      </c>
      <c r="B303" s="452" t="s">
        <v>1087</v>
      </c>
      <c r="C303" s="452" t="s">
        <v>1071</v>
      </c>
      <c r="D303" s="460" t="s">
        <v>975</v>
      </c>
      <c r="E303" s="446">
        <f>일위대가표!F2342</f>
        <v>106054</v>
      </c>
      <c r="F303" s="453">
        <f>일위대가표!H2342</f>
        <v>32759</v>
      </c>
      <c r="G303" s="454">
        <f>일위대가표!J2342</f>
        <v>73295</v>
      </c>
      <c r="H303" s="446">
        <f>일위대가표!L2342</f>
        <v>0</v>
      </c>
      <c r="I303" s="482"/>
      <c r="J303" s="451" t="str">
        <f>"_x0007_`COD|B02497_x0005_`QTY1|1_x0005_`BQC|_x0005_`EQC|_x0005_`JDC|_x0005_`WQC|_x0005_`EDT|_x0005_`ADJ|F_x0005_`DET|"&amp;ROW(일위대가표!A2334)&amp;"_x0005_`"</f>
        <v>_x0007_`COD|B02497_x0005_`QTY1|1_x0005_`BQC|_x0005_`EQC|_x0005_`JDC|_x0005_`WQC|_x0005_`EDT|_x0005_`ADJ|F_x0005_`DET|2334_x0005_`</v>
      </c>
      <c r="K303" s="433" t="str">
        <f ca="1">HYPERLINK("#"&amp;일위대가표!N2&amp;"!A"&amp;ROW(일위대가표!A2334),"B02497 →")</f>
        <v>B02497 →</v>
      </c>
    </row>
    <row r="304" spans="1:11" ht="25.7" customHeight="1">
      <c r="A304" s="460" t="s">
        <v>1094</v>
      </c>
      <c r="B304" s="452" t="s">
        <v>1087</v>
      </c>
      <c r="C304" s="452" t="s">
        <v>1075</v>
      </c>
      <c r="D304" s="460" t="s">
        <v>975</v>
      </c>
      <c r="E304" s="446">
        <f>일위대가표!F2351</f>
        <v>142694</v>
      </c>
      <c r="F304" s="453">
        <f>일위대가표!H2351</f>
        <v>44594</v>
      </c>
      <c r="G304" s="454">
        <f>일위대가표!J2351</f>
        <v>98100</v>
      </c>
      <c r="H304" s="446">
        <f>일위대가표!L2351</f>
        <v>0</v>
      </c>
      <c r="I304" s="482"/>
      <c r="J304" s="451" t="str">
        <f>"_x0007_`COD|B02498_x0005_`QTY1|1_x0005_`BQC|_x0005_`EQC|_x0005_`JDC|_x0005_`WQC|_x0005_`EDT|_x0005_`ADJ|F_x0005_`DET|"&amp;ROW(일위대가표!A2343)&amp;"_x0005_`"</f>
        <v>_x0007_`COD|B02498_x0005_`QTY1|1_x0005_`BQC|_x0005_`EQC|_x0005_`JDC|_x0005_`WQC|_x0005_`EDT|_x0005_`ADJ|F_x0005_`DET|2343_x0005_`</v>
      </c>
      <c r="K304" s="433" t="str">
        <f ca="1">HYPERLINK("#"&amp;일위대가표!N2&amp;"!A"&amp;ROW(일위대가표!A2343),"B02498 →")</f>
        <v>B02498 →</v>
      </c>
    </row>
    <row r="305" spans="1:11" ht="25.7" customHeight="1">
      <c r="A305" s="460" t="s">
        <v>1097</v>
      </c>
      <c r="B305" s="452" t="s">
        <v>1087</v>
      </c>
      <c r="C305" s="452" t="s">
        <v>1079</v>
      </c>
      <c r="D305" s="460" t="s">
        <v>975</v>
      </c>
      <c r="E305" s="446">
        <f>일위대가표!F2360</f>
        <v>177095</v>
      </c>
      <c r="F305" s="453">
        <f>일위대가표!H2360</f>
        <v>55514</v>
      </c>
      <c r="G305" s="454">
        <f>일위대가표!J2360</f>
        <v>121581</v>
      </c>
      <c r="H305" s="446">
        <f>일위대가표!L2360</f>
        <v>0</v>
      </c>
      <c r="I305" s="482"/>
      <c r="J305" s="451" t="str">
        <f>"_x0007_`COD|B02499_x0005_`QTY1|1_x0005_`BQC|_x0005_`EQC|_x0005_`JDC|_x0005_`WQC|_x0005_`EDT|_x0005_`ADJ|F_x0005_`DET|"&amp;ROW(일위대가표!A2352)&amp;"_x0005_`"</f>
        <v>_x0007_`COD|B02499_x0005_`QTY1|1_x0005_`BQC|_x0005_`EQC|_x0005_`JDC|_x0005_`WQC|_x0005_`EDT|_x0005_`ADJ|F_x0005_`DET|2352_x0005_`</v>
      </c>
      <c r="K305" s="433" t="str">
        <f ca="1">HYPERLINK("#"&amp;일위대가표!N2&amp;"!A"&amp;ROW(일위대가표!A2352),"B02499 →")</f>
        <v>B02499 →</v>
      </c>
    </row>
    <row r="306" spans="1:11" ht="25.7" customHeight="1">
      <c r="A306" s="460" t="s">
        <v>1100</v>
      </c>
      <c r="B306" s="452" t="s">
        <v>1087</v>
      </c>
      <c r="C306" s="452" t="s">
        <v>1083</v>
      </c>
      <c r="D306" s="460" t="s">
        <v>975</v>
      </c>
      <c r="E306" s="446">
        <f>일위대가표!F2369</f>
        <v>211487</v>
      </c>
      <c r="F306" s="453">
        <f>일위대가표!H2369</f>
        <v>66434</v>
      </c>
      <c r="G306" s="454">
        <f>일위대가표!J2369</f>
        <v>145053</v>
      </c>
      <c r="H306" s="446">
        <f>일위대가표!L2369</f>
        <v>0</v>
      </c>
      <c r="I306" s="482"/>
      <c r="J306" s="451" t="str">
        <f>"_x0007_`COD|B02500_x0005_`QTY1|1_x0005_`BQC|_x0005_`EQC|_x0005_`JDC|_x0005_`WQC|_x0005_`EDT|_x0005_`ADJ|F_x0005_`DET|"&amp;ROW(일위대가표!A2361)&amp;"_x0005_`"</f>
        <v>_x0007_`COD|B02500_x0005_`QTY1|1_x0005_`BQC|_x0005_`EQC|_x0005_`JDC|_x0005_`WQC|_x0005_`EDT|_x0005_`ADJ|F_x0005_`DET|2361_x0005_`</v>
      </c>
      <c r="K306" s="433" t="str">
        <f ca="1">HYPERLINK("#"&amp;일위대가표!N2&amp;"!A"&amp;ROW(일위대가표!A2361),"B02500 →")</f>
        <v>B02500 →</v>
      </c>
    </row>
    <row r="307" spans="1:11" ht="25.7" customHeight="1">
      <c r="A307" s="460" t="s">
        <v>5122</v>
      </c>
      <c r="B307" s="452" t="s">
        <v>5121</v>
      </c>
      <c r="C307" s="452" t="s">
        <v>1067</v>
      </c>
      <c r="D307" s="460" t="s">
        <v>975</v>
      </c>
      <c r="E307" s="446">
        <f>일위대가표!F2379</f>
        <v>93484</v>
      </c>
      <c r="F307" s="453">
        <f>일위대가표!H2379</f>
        <v>31976</v>
      </c>
      <c r="G307" s="454">
        <f>일위대가표!J2379</f>
        <v>61508</v>
      </c>
      <c r="H307" s="446">
        <f>일위대가표!L2379</f>
        <v>0</v>
      </c>
      <c r="I307" s="482"/>
      <c r="J307" s="451" t="str">
        <f>"_x0007_`COD|B02845_x0005_`QTY1|1_x0005_`BQC|_x0005_`EQC|_x0005_`JDC|_x0005_`WQC|_x0005_`EDT|_x0005_`ADJ|F_x0005_`DET|"&amp;ROW(일위대가표!A2370)&amp;"_x0005_`"</f>
        <v>_x0007_`COD|B02845_x0005_`QTY1|1_x0005_`BQC|_x0005_`EQC|_x0005_`JDC|_x0005_`WQC|_x0005_`EDT|_x0005_`ADJ|F_x0005_`DET|2370_x0005_`</v>
      </c>
      <c r="K307" s="433" t="str">
        <f ca="1">HYPERLINK("#"&amp;일위대가표!N2&amp;"!A"&amp;ROW(일위대가표!A2370),"B02845 →")</f>
        <v>B02845 →</v>
      </c>
    </row>
    <row r="308" spans="1:11" ht="25.7" customHeight="1">
      <c r="A308" s="460" t="s">
        <v>5125</v>
      </c>
      <c r="B308" s="452" t="s">
        <v>5121</v>
      </c>
      <c r="C308" s="452" t="s">
        <v>1071</v>
      </c>
      <c r="D308" s="460" t="s">
        <v>975</v>
      </c>
      <c r="E308" s="446">
        <f>일위대가표!F2389</f>
        <v>110886</v>
      </c>
      <c r="F308" s="453">
        <f>일위대가표!H2389</f>
        <v>37673</v>
      </c>
      <c r="G308" s="454">
        <f>일위대가표!J2389</f>
        <v>73213</v>
      </c>
      <c r="H308" s="446">
        <f>일위대가표!L2389</f>
        <v>0</v>
      </c>
      <c r="I308" s="482"/>
      <c r="J308" s="451" t="str">
        <f>"_x0007_`COD|B02847_x0005_`QTY1|1_x0005_`BQC|_x0005_`EQC|_x0005_`JDC|_x0005_`WQC|_x0005_`EDT|_x0005_`ADJ|F_x0005_`DET|"&amp;ROW(일위대가표!A2380)&amp;"_x0005_`"</f>
        <v>_x0007_`COD|B02847_x0005_`QTY1|1_x0005_`BQC|_x0005_`EQC|_x0005_`JDC|_x0005_`WQC|_x0005_`EDT|_x0005_`ADJ|F_x0005_`DET|2380_x0005_`</v>
      </c>
      <c r="K308" s="433" t="str">
        <f ca="1">HYPERLINK("#"&amp;일위대가표!N2&amp;"!A"&amp;ROW(일위대가표!A2380),"B02847 →")</f>
        <v>B02847 →</v>
      </c>
    </row>
    <row r="309" spans="1:11" ht="25.7" customHeight="1">
      <c r="A309" s="460" t="s">
        <v>5128</v>
      </c>
      <c r="B309" s="452" t="s">
        <v>5121</v>
      </c>
      <c r="C309" s="452" t="s">
        <v>1075</v>
      </c>
      <c r="D309" s="460" t="s">
        <v>975</v>
      </c>
      <c r="E309" s="446">
        <f>일위대가표!F2399</f>
        <v>149383</v>
      </c>
      <c r="F309" s="453">
        <f>일위대가표!H2399</f>
        <v>51283</v>
      </c>
      <c r="G309" s="454">
        <f>일위대가표!J2399</f>
        <v>98100</v>
      </c>
      <c r="H309" s="446">
        <f>일위대가표!L2399</f>
        <v>0</v>
      </c>
      <c r="I309" s="482"/>
      <c r="J309" s="451" t="str">
        <f>"_x0007_`COD|B02846_x0005_`QTY1|1_x0005_`BQC|_x0005_`EQC|_x0005_`JDC|_x0005_`WQC|_x0005_`EDT|_x0005_`ADJ|F_x0005_`DET|"&amp;ROW(일위대가표!A2390)&amp;"_x0005_`"</f>
        <v>_x0007_`COD|B02846_x0005_`QTY1|1_x0005_`BQC|_x0005_`EQC|_x0005_`JDC|_x0005_`WQC|_x0005_`EDT|_x0005_`ADJ|F_x0005_`DET|2390_x0005_`</v>
      </c>
      <c r="K309" s="433" t="str">
        <f ca="1">HYPERLINK("#"&amp;일위대가표!N2&amp;"!A"&amp;ROW(일위대가표!A2390),"B02846 →")</f>
        <v>B02846 →</v>
      </c>
    </row>
    <row r="310" spans="1:11" ht="25.7" customHeight="1">
      <c r="A310" s="460" t="s">
        <v>5131</v>
      </c>
      <c r="B310" s="452" t="s">
        <v>5121</v>
      </c>
      <c r="C310" s="452" t="s">
        <v>1079</v>
      </c>
      <c r="D310" s="460" t="s">
        <v>975</v>
      </c>
      <c r="E310" s="446">
        <f>일위대가표!F2409</f>
        <v>185422</v>
      </c>
      <c r="F310" s="453">
        <f>일위대가표!H2409</f>
        <v>63841</v>
      </c>
      <c r="G310" s="454">
        <f>일위대가표!J2409</f>
        <v>121581</v>
      </c>
      <c r="H310" s="446">
        <f>일위대가표!L2409</f>
        <v>0</v>
      </c>
      <c r="I310" s="482"/>
      <c r="J310" s="451" t="str">
        <f>"_x0007_`COD|B02848_x0005_`QTY1|1_x0005_`BQC|_x0005_`EQC|_x0005_`JDC|_x0005_`WQC|_x0005_`EDT|_x0005_`ADJ|F_x0005_`DET|"&amp;ROW(일위대가표!A2400)&amp;"_x0005_`"</f>
        <v>_x0007_`COD|B02848_x0005_`QTY1|1_x0005_`BQC|_x0005_`EQC|_x0005_`JDC|_x0005_`WQC|_x0005_`EDT|_x0005_`ADJ|F_x0005_`DET|2400_x0005_`</v>
      </c>
      <c r="K310" s="433" t="str">
        <f ca="1">HYPERLINK("#"&amp;일위대가표!N2&amp;"!A"&amp;ROW(일위대가표!A2400),"B02848 →")</f>
        <v>B02848 →</v>
      </c>
    </row>
    <row r="311" spans="1:11" ht="25.7" customHeight="1">
      <c r="A311" s="460" t="s">
        <v>5134</v>
      </c>
      <c r="B311" s="452" t="s">
        <v>5121</v>
      </c>
      <c r="C311" s="452" t="s">
        <v>1083</v>
      </c>
      <c r="D311" s="460" t="s">
        <v>975</v>
      </c>
      <c r="E311" s="446">
        <f>일위대가표!F2419</f>
        <v>221452</v>
      </c>
      <c r="F311" s="453">
        <f>일위대가표!H2419</f>
        <v>76399</v>
      </c>
      <c r="G311" s="454">
        <f>일위대가표!J2419</f>
        <v>145053</v>
      </c>
      <c r="H311" s="446">
        <f>일위대가표!L2419</f>
        <v>0</v>
      </c>
      <c r="I311" s="482"/>
      <c r="J311" s="451" t="str">
        <f>"_x0007_`COD|B02849_x0005_`QTY1|1_x0005_`BQC|_x0005_`EQC|_x0005_`JDC|_x0005_`WQC|_x0005_`EDT|_x0005_`ADJ|F_x0005_`DET|"&amp;ROW(일위대가표!A2410)&amp;"_x0005_`"</f>
        <v>_x0007_`COD|B02849_x0005_`QTY1|1_x0005_`BQC|_x0005_`EQC|_x0005_`JDC|_x0005_`WQC|_x0005_`EDT|_x0005_`ADJ|F_x0005_`DET|2410_x0005_`</v>
      </c>
      <c r="K311" s="433" t="str">
        <f ca="1">HYPERLINK("#"&amp;일위대가표!N2&amp;"!A"&amp;ROW(일위대가표!A2410),"B02849 →")</f>
        <v>B02849 →</v>
      </c>
    </row>
    <row r="312" spans="1:11" ht="25.7" customHeight="1">
      <c r="A312" s="460" t="s">
        <v>1068</v>
      </c>
      <c r="B312" s="452" t="s">
        <v>5137</v>
      </c>
      <c r="C312" s="452" t="s">
        <v>1067</v>
      </c>
      <c r="D312" s="460" t="s">
        <v>975</v>
      </c>
      <c r="E312" s="446">
        <f>일위대가표!F2429</f>
        <v>96265</v>
      </c>
      <c r="F312" s="453">
        <f>일위대가표!H2429</f>
        <v>34757</v>
      </c>
      <c r="G312" s="454">
        <f>일위대가표!J2429</f>
        <v>61508</v>
      </c>
      <c r="H312" s="446">
        <f>일위대가표!L2429</f>
        <v>0</v>
      </c>
      <c r="I312" s="482"/>
      <c r="J312" s="451" t="str">
        <f>"_x0007_`COD|B01839_x0005_`QTY1|1_x0005_`BQC|_x0005_`EQC|_x0005_`JDC|_x0005_`WQC|_x0005_`EDT|_x0005_`ADJ|F_x0005_`DET|"&amp;ROW(일위대가표!A2420)&amp;"_x0005_`"</f>
        <v>_x0007_`COD|B01839_x0005_`QTY1|1_x0005_`BQC|_x0005_`EQC|_x0005_`JDC|_x0005_`WQC|_x0005_`EDT|_x0005_`ADJ|F_x0005_`DET|2420_x0005_`</v>
      </c>
      <c r="K312" s="433" t="str">
        <f ca="1">HYPERLINK("#"&amp;일위대가표!N2&amp;"!A"&amp;ROW(일위대가표!A2420),"B01839 →")</f>
        <v>B01839 →</v>
      </c>
    </row>
    <row r="313" spans="1:11" ht="25.7" customHeight="1">
      <c r="A313" s="460" t="s">
        <v>1072</v>
      </c>
      <c r="B313" s="452" t="s">
        <v>5137</v>
      </c>
      <c r="C313" s="452" t="s">
        <v>1071</v>
      </c>
      <c r="D313" s="460" t="s">
        <v>975</v>
      </c>
      <c r="E313" s="446">
        <f>일위대가표!F2439</f>
        <v>114162</v>
      </c>
      <c r="F313" s="453">
        <f>일위대가표!H2439</f>
        <v>40949</v>
      </c>
      <c r="G313" s="454">
        <f>일위대가표!J2439</f>
        <v>73213</v>
      </c>
      <c r="H313" s="446">
        <f>일위대가표!L2439</f>
        <v>0</v>
      </c>
      <c r="I313" s="482"/>
      <c r="J313" s="451" t="str">
        <f>"_x0007_`COD|B01840_x0005_`QTY1|1_x0005_`BQC|_x0005_`EQC|_x0005_`JDC|_x0005_`WQC|_x0005_`EDT|_x0005_`ADJ|F_x0005_`DET|"&amp;ROW(일위대가표!A2430)&amp;"_x0005_`"</f>
        <v>_x0007_`COD|B01840_x0005_`QTY1|1_x0005_`BQC|_x0005_`EQC|_x0005_`JDC|_x0005_`WQC|_x0005_`EDT|_x0005_`ADJ|F_x0005_`DET|2430_x0005_`</v>
      </c>
      <c r="K313" s="433" t="str">
        <f ca="1">HYPERLINK("#"&amp;일위대가표!N2&amp;"!A"&amp;ROW(일위대가표!A2430),"B01840 →")</f>
        <v>B01840 →</v>
      </c>
    </row>
    <row r="314" spans="1:11" ht="25.7" customHeight="1">
      <c r="A314" s="460" t="s">
        <v>1076</v>
      </c>
      <c r="B314" s="452" t="s">
        <v>5137</v>
      </c>
      <c r="C314" s="452" t="s">
        <v>1075</v>
      </c>
      <c r="D314" s="460" t="s">
        <v>975</v>
      </c>
      <c r="E314" s="446">
        <f>일위대가표!F2449</f>
        <v>153843</v>
      </c>
      <c r="F314" s="453">
        <f>일위대가표!H2449</f>
        <v>55743</v>
      </c>
      <c r="G314" s="454">
        <f>일위대가표!J2449</f>
        <v>98100</v>
      </c>
      <c r="H314" s="446">
        <f>일위대가표!L2449</f>
        <v>0</v>
      </c>
      <c r="I314" s="482"/>
      <c r="J314" s="451" t="str">
        <f>"_x0007_`COD|B02243_x0005_`QTY1|1_x0005_`BQC|_x0005_`EQC|_x0005_`JDC|_x0005_`WQC|_x0005_`EDT|_x0005_`ADJ|F_x0005_`DET|"&amp;ROW(일위대가표!A2440)&amp;"_x0005_`"</f>
        <v>_x0007_`COD|B02243_x0005_`QTY1|1_x0005_`BQC|_x0005_`EQC|_x0005_`JDC|_x0005_`WQC|_x0005_`EDT|_x0005_`ADJ|F_x0005_`DET|2440_x0005_`</v>
      </c>
      <c r="K314" s="433" t="str">
        <f ca="1">HYPERLINK("#"&amp;일위대가표!N2&amp;"!A"&amp;ROW(일위대가표!A2440),"B02243 →")</f>
        <v>B02243 →</v>
      </c>
    </row>
    <row r="315" spans="1:11" ht="25.7" customHeight="1">
      <c r="A315" s="460" t="s">
        <v>1080</v>
      </c>
      <c r="B315" s="452" t="s">
        <v>5137</v>
      </c>
      <c r="C315" s="452" t="s">
        <v>1079</v>
      </c>
      <c r="D315" s="460" t="s">
        <v>975</v>
      </c>
      <c r="E315" s="446">
        <f>일위대가표!F2459</f>
        <v>190974</v>
      </c>
      <c r="F315" s="453">
        <f>일위대가표!H2459</f>
        <v>69393</v>
      </c>
      <c r="G315" s="454">
        <f>일위대가표!J2459</f>
        <v>121581</v>
      </c>
      <c r="H315" s="446">
        <f>일위대가표!L2459</f>
        <v>0</v>
      </c>
      <c r="I315" s="482"/>
      <c r="J315" s="451" t="str">
        <f>"_x0007_`COD|B02244_x0005_`QTY1|1_x0005_`BQC|_x0005_`EQC|_x0005_`JDC|_x0005_`WQC|_x0005_`EDT|_x0005_`ADJ|F_x0005_`DET|"&amp;ROW(일위대가표!A2450)&amp;"_x0005_`"</f>
        <v>_x0007_`COD|B02244_x0005_`QTY1|1_x0005_`BQC|_x0005_`EQC|_x0005_`JDC|_x0005_`WQC|_x0005_`EDT|_x0005_`ADJ|F_x0005_`DET|2450_x0005_`</v>
      </c>
      <c r="K315" s="433" t="str">
        <f ca="1">HYPERLINK("#"&amp;일위대가표!N2&amp;"!A"&amp;ROW(일위대가표!A2450),"B02244 →")</f>
        <v>B02244 →</v>
      </c>
    </row>
    <row r="316" spans="1:11" ht="25.7" customHeight="1">
      <c r="A316" s="460" t="s">
        <v>1084</v>
      </c>
      <c r="B316" s="452" t="s">
        <v>5137</v>
      </c>
      <c r="C316" s="452" t="s">
        <v>1083</v>
      </c>
      <c r="D316" s="460" t="s">
        <v>975</v>
      </c>
      <c r="E316" s="446">
        <f>일위대가표!F2469</f>
        <v>228096</v>
      </c>
      <c r="F316" s="453">
        <f>일위대가표!H2469</f>
        <v>83043</v>
      </c>
      <c r="G316" s="454">
        <f>일위대가표!J2469</f>
        <v>145053</v>
      </c>
      <c r="H316" s="446">
        <f>일위대가표!L2469</f>
        <v>0</v>
      </c>
      <c r="I316" s="482"/>
      <c r="J316" s="451" t="str">
        <f>"_x0007_`COD|B02245_x0005_`QTY1|1_x0005_`BQC|_x0005_`EQC|_x0005_`JDC|_x0005_`WQC|_x0005_`EDT|_x0005_`ADJ|F_x0005_`DET|"&amp;ROW(일위대가표!A2460)&amp;"_x0005_`"</f>
        <v>_x0007_`COD|B02245_x0005_`QTY1|1_x0005_`BQC|_x0005_`EQC|_x0005_`JDC|_x0005_`WQC|_x0005_`EDT|_x0005_`ADJ|F_x0005_`DET|2460_x0005_`</v>
      </c>
      <c r="K316" s="433" t="str">
        <f ca="1">HYPERLINK("#"&amp;일위대가표!N2&amp;"!A"&amp;ROW(일위대가표!A2460),"B02245 →")</f>
        <v>B02245 →</v>
      </c>
    </row>
    <row r="317" spans="1:11" ht="25.7" customHeight="1">
      <c r="A317" s="460" t="s">
        <v>1786</v>
      </c>
      <c r="B317" s="452" t="s">
        <v>1783</v>
      </c>
      <c r="C317" s="452" t="s">
        <v>1784</v>
      </c>
      <c r="D317" s="460" t="s">
        <v>1785</v>
      </c>
      <c r="E317" s="446">
        <f>일위대가표!F2475</f>
        <v>247119</v>
      </c>
      <c r="F317" s="453">
        <f>일위대가표!H2475</f>
        <v>246549</v>
      </c>
      <c r="G317" s="454">
        <f>일위대가표!J2475</f>
        <v>0</v>
      </c>
      <c r="H317" s="446">
        <f>일위대가표!L2475</f>
        <v>570</v>
      </c>
      <c r="I317" s="482"/>
      <c r="J317" s="451" t="str">
        <f>"_x0007_`COD|B02653_x0005_`QTY1|1_x0005_`BQC|_x0005_`EQC|_x0005_`JDC|_x0005_`WQC|_x0005_`EDT|_x0005_`ADJ|F_x0005_`DET|"&amp;ROW(일위대가표!A2470)&amp;"_x0005_`"</f>
        <v>_x0007_`COD|B02653_x0005_`QTY1|1_x0005_`BQC|_x0005_`EQC|_x0005_`JDC|_x0005_`WQC|_x0005_`EDT|_x0005_`ADJ|F_x0005_`DET|2470_x0005_`</v>
      </c>
      <c r="K317" s="433" t="str">
        <f ca="1">HYPERLINK("#"&amp;일위대가표!N2&amp;"!A"&amp;ROW(일위대가표!A2470),"B02653 →")</f>
        <v>B02653 →</v>
      </c>
    </row>
    <row r="318" spans="1:11" ht="25.7" customHeight="1">
      <c r="A318" s="460" t="s">
        <v>5293</v>
      </c>
      <c r="B318" s="452" t="s">
        <v>5292</v>
      </c>
      <c r="C318" s="452" t="s">
        <v>1784</v>
      </c>
      <c r="D318" s="460" t="s">
        <v>1785</v>
      </c>
      <c r="E318" s="446">
        <f>일위대가표!F2482</f>
        <v>284101</v>
      </c>
      <c r="F318" s="453">
        <f>일위대가표!H2482</f>
        <v>283531</v>
      </c>
      <c r="G318" s="454">
        <f>일위대가표!J2482</f>
        <v>0</v>
      </c>
      <c r="H318" s="446">
        <f>일위대가표!L2482</f>
        <v>570</v>
      </c>
      <c r="I318" s="482"/>
      <c r="J318" s="451" t="str">
        <f>"_x0007_`COD|B02888_x0005_`QTY1|1_x0005_`BQC|_x0005_`EQC|_x0005_`JDC|_x0005_`WQC|_x0005_`EDT|_x0005_`ADJ|F_x0005_`DET|"&amp;ROW(일위대가표!A2476)&amp;"_x0005_`"</f>
        <v>_x0007_`COD|B02888_x0005_`QTY1|1_x0005_`BQC|_x0005_`EQC|_x0005_`JDC|_x0005_`WQC|_x0005_`EDT|_x0005_`ADJ|F_x0005_`DET|2476_x0005_`</v>
      </c>
      <c r="K318" s="433" t="str">
        <f ca="1">HYPERLINK("#"&amp;일위대가표!N2&amp;"!A"&amp;ROW(일위대가표!A2476),"B02888 →")</f>
        <v>B02888 →</v>
      </c>
    </row>
    <row r="319" spans="1:11" ht="25.7" customHeight="1">
      <c r="A319" s="460" t="s">
        <v>5297</v>
      </c>
      <c r="B319" s="452" t="s">
        <v>5296</v>
      </c>
      <c r="C319" s="452" t="s">
        <v>1784</v>
      </c>
      <c r="D319" s="460" t="s">
        <v>1785</v>
      </c>
      <c r="E319" s="446">
        <f>일위대가표!F2489</f>
        <v>308756</v>
      </c>
      <c r="F319" s="453">
        <f>일위대가표!H2489</f>
        <v>308186</v>
      </c>
      <c r="G319" s="454">
        <f>일위대가표!J2489</f>
        <v>0</v>
      </c>
      <c r="H319" s="446">
        <f>일위대가표!L2489</f>
        <v>570</v>
      </c>
      <c r="I319" s="482"/>
      <c r="J319" s="451" t="str">
        <f>"_x0007_`COD|B02819_x0005_`QTY1|1_x0005_`BQC|_x0005_`EQC|_x0005_`JDC|_x0005_`WQC|_x0005_`EDT|_x0005_`ADJ|F_x0005_`DET|"&amp;ROW(일위대가표!A2483)&amp;"_x0005_`"</f>
        <v>_x0007_`COD|B02819_x0005_`QTY1|1_x0005_`BQC|_x0005_`EQC|_x0005_`JDC|_x0005_`WQC|_x0005_`EDT|_x0005_`ADJ|F_x0005_`DET|2483_x0005_`</v>
      </c>
      <c r="K319" s="433" t="str">
        <f ca="1">HYPERLINK("#"&amp;일위대가표!N2&amp;"!A"&amp;ROW(일위대가표!A2483),"B02819 →")</f>
        <v>B02819 →</v>
      </c>
    </row>
    <row r="320" spans="1:11" ht="25.7" customHeight="1">
      <c r="A320" s="460" t="s">
        <v>1310</v>
      </c>
      <c r="B320" s="452" t="s">
        <v>1309</v>
      </c>
      <c r="C320" s="452" t="s">
        <v>1305</v>
      </c>
      <c r="D320" s="460" t="s">
        <v>975</v>
      </c>
      <c r="E320" s="446">
        <f>일위대가표!F2500</f>
        <v>434701</v>
      </c>
      <c r="F320" s="453">
        <f>일위대가표!H2500</f>
        <v>81497</v>
      </c>
      <c r="G320" s="454">
        <f>일위대가표!J2500</f>
        <v>352957</v>
      </c>
      <c r="H320" s="446">
        <f>일위대가표!L2500</f>
        <v>247</v>
      </c>
      <c r="I320" s="482"/>
      <c r="J320" s="451" t="str">
        <f>"_x0007_`COD|B01853_x0005_`QTY1|1_x0005_`BQC|_x0005_`EQC|_x0005_`JDC|_x0005_`WQC|_x0005_`EDT|_x0005_`ADJ|F_x0005_`DET|"&amp;ROW(일위대가표!A2490)&amp;"_x0005_`"</f>
        <v>_x0007_`COD|B01853_x0005_`QTY1|1_x0005_`BQC|_x0005_`EQC|_x0005_`JDC|_x0005_`WQC|_x0005_`EDT|_x0005_`ADJ|F_x0005_`DET|2490_x0005_`</v>
      </c>
      <c r="K320" s="433" t="str">
        <f ca="1">HYPERLINK("#"&amp;일위대가표!N2&amp;"!A"&amp;ROW(일위대가표!A2490),"B01853 →")</f>
        <v>B01853 →</v>
      </c>
    </row>
    <row r="321" spans="1:11" ht="25.7" customHeight="1">
      <c r="A321" s="460" t="s">
        <v>5189</v>
      </c>
      <c r="B321" s="452" t="s">
        <v>5188</v>
      </c>
      <c r="C321" s="452" t="s">
        <v>1305</v>
      </c>
      <c r="D321" s="460" t="s">
        <v>975</v>
      </c>
      <c r="E321" s="446">
        <f>일위대가표!F2512</f>
        <v>446926</v>
      </c>
      <c r="F321" s="453">
        <f>일위대가표!H2512</f>
        <v>93722</v>
      </c>
      <c r="G321" s="454">
        <f>일위대가표!J2512</f>
        <v>352957</v>
      </c>
      <c r="H321" s="446">
        <f>일위대가표!L2512</f>
        <v>247</v>
      </c>
      <c r="I321" s="482"/>
      <c r="J321" s="451" t="str">
        <f>"_x0007_`COD|B02864_x0005_`QTY1|1_x0005_`BQC|_x0005_`EQC|_x0005_`JDC|_x0005_`WQC|_x0005_`EDT|_x0005_`ADJ|F_x0005_`DET|"&amp;ROW(일위대가표!A2501)&amp;"_x0005_`"</f>
        <v>_x0007_`COD|B02864_x0005_`QTY1|1_x0005_`BQC|_x0005_`EQC|_x0005_`JDC|_x0005_`WQC|_x0005_`EDT|_x0005_`ADJ|F_x0005_`DET|2501_x0005_`</v>
      </c>
      <c r="K321" s="433" t="str">
        <f ca="1">HYPERLINK("#"&amp;일위대가표!N2&amp;"!A"&amp;ROW(일위대가표!A2501),"B02864 →")</f>
        <v>B02864 →</v>
      </c>
    </row>
    <row r="322" spans="1:11" ht="25.7" customHeight="1">
      <c r="A322" s="460" t="s">
        <v>1306</v>
      </c>
      <c r="B322" s="452" t="s">
        <v>5192</v>
      </c>
      <c r="C322" s="452" t="s">
        <v>1305</v>
      </c>
      <c r="D322" s="460" t="s">
        <v>975</v>
      </c>
      <c r="E322" s="446">
        <f>일위대가표!F2524</f>
        <v>455076</v>
      </c>
      <c r="F322" s="453">
        <f>일위대가표!H2524</f>
        <v>101872</v>
      </c>
      <c r="G322" s="454">
        <f>일위대가표!J2524</f>
        <v>352957</v>
      </c>
      <c r="H322" s="446">
        <f>일위대가표!L2524</f>
        <v>247</v>
      </c>
      <c r="I322" s="482"/>
      <c r="J322" s="451" t="str">
        <f>"_x0007_`COD|B02623_x0005_`QTY1|1_x0005_`BQC|_x0005_`EQC|_x0005_`JDC|_x0005_`WQC|_x0005_`EDT|_x0005_`ADJ|F_x0005_`DET|"&amp;ROW(일위대가표!A2513)&amp;"_x0005_`"</f>
        <v>_x0007_`COD|B02623_x0005_`QTY1|1_x0005_`BQC|_x0005_`EQC|_x0005_`JDC|_x0005_`WQC|_x0005_`EDT|_x0005_`ADJ|F_x0005_`DET|2513_x0005_`</v>
      </c>
      <c r="K322" s="433" t="str">
        <f ca="1">HYPERLINK("#"&amp;일위대가표!N2&amp;"!A"&amp;ROW(일위대가표!A2513),"B02623 →")</f>
        <v>B02623 →</v>
      </c>
    </row>
    <row r="323" spans="1:11" ht="25.7" customHeight="1">
      <c r="A323" s="460" t="s">
        <v>1758</v>
      </c>
      <c r="B323" s="452" t="s">
        <v>1757</v>
      </c>
      <c r="C323" s="452" t="s">
        <v>1753</v>
      </c>
      <c r="D323" s="460" t="s">
        <v>975</v>
      </c>
      <c r="E323" s="446">
        <f>일위대가표!F2530</f>
        <v>38542</v>
      </c>
      <c r="F323" s="453">
        <f>일위대가표!H2530</f>
        <v>38418</v>
      </c>
      <c r="G323" s="454">
        <f>일위대가표!J2530</f>
        <v>0</v>
      </c>
      <c r="H323" s="446">
        <f>일위대가표!L2530</f>
        <v>124</v>
      </c>
      <c r="I323" s="482"/>
      <c r="J323" s="451" t="str">
        <f>"_x0007_`COD|B02635_x0005_`QTY1|1_x0005_`BQC|_x0005_`EQC|_x0005_`JDC|_x0005_`WQC|_x0005_`EDT|_x0005_`ADJ|F_x0005_`DET|"&amp;ROW(일위대가표!A2525)&amp;"_x0005_`"</f>
        <v>_x0007_`COD|B02635_x0005_`QTY1|1_x0005_`BQC|_x0005_`EQC|_x0005_`JDC|_x0005_`WQC|_x0005_`EDT|_x0005_`ADJ|F_x0005_`DET|2525_x0005_`</v>
      </c>
      <c r="K323" s="433" t="str">
        <f ca="1">HYPERLINK("#"&amp;일위대가표!N2&amp;"!A"&amp;ROW(일위대가표!A2525),"B02635 →")</f>
        <v>B02635 →</v>
      </c>
    </row>
    <row r="324" spans="1:11" ht="25.7" customHeight="1">
      <c r="A324" s="460" t="s">
        <v>5273</v>
      </c>
      <c r="B324" s="452" t="s">
        <v>5272</v>
      </c>
      <c r="C324" s="452" t="s">
        <v>1753</v>
      </c>
      <c r="D324" s="460" t="s">
        <v>975</v>
      </c>
      <c r="E324" s="446">
        <f>일위대가표!F2537</f>
        <v>44305</v>
      </c>
      <c r="F324" s="453">
        <f>일위대가표!H2537</f>
        <v>44181</v>
      </c>
      <c r="G324" s="454">
        <f>일위대가표!J2537</f>
        <v>0</v>
      </c>
      <c r="H324" s="446">
        <f>일위대가표!L2537</f>
        <v>124</v>
      </c>
      <c r="I324" s="482"/>
      <c r="J324" s="451" t="str">
        <f>"_x0007_`COD|B02884_x0005_`QTY1|1_x0005_`BQC|_x0005_`EQC|_x0005_`JDC|_x0005_`WQC|_x0005_`EDT|_x0005_`ADJ|F_x0005_`DET|"&amp;ROW(일위대가표!A2531)&amp;"_x0005_`"</f>
        <v>_x0007_`COD|B02884_x0005_`QTY1|1_x0005_`BQC|_x0005_`EQC|_x0005_`JDC|_x0005_`WQC|_x0005_`EDT|_x0005_`ADJ|F_x0005_`DET|2531_x0005_`</v>
      </c>
      <c r="K324" s="433" t="str">
        <f ca="1">HYPERLINK("#"&amp;일위대가표!N2&amp;"!A"&amp;ROW(일위대가표!A2531),"B02884 →")</f>
        <v>B02884 →</v>
      </c>
    </row>
    <row r="325" spans="1:11" ht="25.7" customHeight="1">
      <c r="A325" s="460" t="s">
        <v>1754</v>
      </c>
      <c r="B325" s="452" t="s">
        <v>5276</v>
      </c>
      <c r="C325" s="452" t="s">
        <v>1753</v>
      </c>
      <c r="D325" s="460" t="s">
        <v>975</v>
      </c>
      <c r="E325" s="446">
        <f>일위대가표!F2544</f>
        <v>48147</v>
      </c>
      <c r="F325" s="453">
        <f>일위대가표!H2544</f>
        <v>48023</v>
      </c>
      <c r="G325" s="454">
        <f>일위대가표!J2544</f>
        <v>0</v>
      </c>
      <c r="H325" s="446">
        <f>일위대가표!L2544</f>
        <v>124</v>
      </c>
      <c r="I325" s="482"/>
      <c r="J325" s="451" t="str">
        <f>"_x0007_`COD|B02615_x0005_`QTY1|1_x0005_`BQC|_x0005_`EQC|_x0005_`JDC|_x0005_`WQC|_x0005_`EDT|_x0005_`ADJ|F_x0005_`DET|"&amp;ROW(일위대가표!A2538)&amp;"_x0005_`"</f>
        <v>_x0007_`COD|B02615_x0005_`QTY1|1_x0005_`BQC|_x0005_`EQC|_x0005_`JDC|_x0005_`WQC|_x0005_`EDT|_x0005_`ADJ|F_x0005_`DET|2538_x0005_`</v>
      </c>
      <c r="K325" s="433" t="str">
        <f ca="1">HYPERLINK("#"&amp;일위대가표!N2&amp;"!A"&amp;ROW(일위대가표!A2538),"B02615 →")</f>
        <v>B02615 →</v>
      </c>
    </row>
    <row r="326" spans="1:11" ht="25.7" customHeight="1">
      <c r="A326" s="460" t="s">
        <v>1488</v>
      </c>
      <c r="B326" s="452" t="s">
        <v>1486</v>
      </c>
      <c r="C326" s="452" t="s">
        <v>1487</v>
      </c>
      <c r="D326" s="460" t="s">
        <v>975</v>
      </c>
      <c r="E326" s="446">
        <f>일위대가표!F2549</f>
        <v>9791</v>
      </c>
      <c r="F326" s="453">
        <f>일위대가표!H2549</f>
        <v>8682</v>
      </c>
      <c r="G326" s="454">
        <f>일위대가표!J2549</f>
        <v>920</v>
      </c>
      <c r="H326" s="446">
        <f>일위대가표!L2549</f>
        <v>189</v>
      </c>
      <c r="I326" s="482"/>
      <c r="J326" s="451" t="str">
        <f>"_x0007_`COD|B02552_x0005_`QTY1|1_x0005_`BQC|_x0005_`EQC|_x0005_`JDC|_x0005_`WQC|_x0005_`EDT|_x0005_`ADJ|F_x0005_`DET|"&amp;ROW(일위대가표!A2545)&amp;"_x0005_`"</f>
        <v>_x0007_`COD|B02552_x0005_`QTY1|1_x0005_`BQC|_x0005_`EQC|_x0005_`JDC|_x0005_`WQC|_x0005_`EDT|_x0005_`ADJ|F_x0005_`DET|2545_x0005_`</v>
      </c>
      <c r="K326" s="433" t="str">
        <f ca="1">HYPERLINK("#"&amp;일위대가표!N2&amp;"!A"&amp;ROW(일위대가표!A2545),"B02552 →")</f>
        <v>B02552 →</v>
      </c>
    </row>
    <row r="327" spans="1:11" ht="25.7" customHeight="1">
      <c r="A327" s="460" t="s">
        <v>1492</v>
      </c>
      <c r="B327" s="452" t="s">
        <v>1486</v>
      </c>
      <c r="C327" s="452" t="s">
        <v>1491</v>
      </c>
      <c r="D327" s="460" t="s">
        <v>975</v>
      </c>
      <c r="E327" s="446">
        <f>일위대가표!F2554</f>
        <v>11015</v>
      </c>
      <c r="F327" s="453">
        <f>일위대가표!H2554</f>
        <v>9767</v>
      </c>
      <c r="G327" s="454">
        <f>일위대가표!J2554</f>
        <v>1035</v>
      </c>
      <c r="H327" s="446">
        <f>일위대가표!L2554</f>
        <v>213</v>
      </c>
      <c r="I327" s="482"/>
      <c r="J327" s="451" t="str">
        <f>"_x0007_`COD|B02553_x0005_`QTY1|1_x0005_`BQC|_x0005_`EQC|_x0005_`JDC|_x0005_`WQC|_x0005_`EDT|_x0005_`ADJ|F_x0005_`DET|"&amp;ROW(일위대가표!A2550)&amp;"_x0005_`"</f>
        <v>_x0007_`COD|B02553_x0005_`QTY1|1_x0005_`BQC|_x0005_`EQC|_x0005_`JDC|_x0005_`WQC|_x0005_`EDT|_x0005_`ADJ|F_x0005_`DET|2550_x0005_`</v>
      </c>
      <c r="K327" s="433" t="str">
        <f ca="1">HYPERLINK("#"&amp;일위대가표!N2&amp;"!A"&amp;ROW(일위대가표!A2550),"B02553 →")</f>
        <v>B02553 →</v>
      </c>
    </row>
    <row r="328" spans="1:11" ht="25.7" customHeight="1">
      <c r="A328" s="460" t="s">
        <v>2338</v>
      </c>
      <c r="B328" s="452" t="s">
        <v>2339</v>
      </c>
      <c r="C328" s="452" t="s">
        <v>2340</v>
      </c>
      <c r="D328" s="460" t="s">
        <v>595</v>
      </c>
      <c r="E328" s="446">
        <f>일위대가표!F2561</f>
        <v>6190</v>
      </c>
      <c r="F328" s="453">
        <f>일위대가표!H2561</f>
        <v>5948</v>
      </c>
      <c r="G328" s="454">
        <f>일위대가표!J2561</f>
        <v>124</v>
      </c>
      <c r="H328" s="446">
        <f>일위대가표!L2561</f>
        <v>118</v>
      </c>
      <c r="I328" s="482" t="s">
        <v>2318</v>
      </c>
      <c r="J328" s="451" t="str">
        <f>"_x0007_`COD|B01452_x0005_`QTY1|1_x0005_`BQC|건축11-2-4_x0005_`EQC|_x0005_`JDC|_x0005_`WQC|_x0005_`EDT|_x0005_`ADJ|F_x0005_`DET|"&amp;ROW(일위대가표!A2555)&amp;"_x0005_`"</f>
        <v>_x0007_`COD|B01452_x0005_`QTY1|1_x0005_`BQC|건축11-2-4_x0005_`EQC|_x0005_`JDC|_x0005_`WQC|_x0005_`EDT|_x0005_`ADJ|F_x0005_`DET|2555_x0005_`</v>
      </c>
      <c r="K328" s="433" t="str">
        <f ca="1">HYPERLINK("#"&amp;일위대가표!N2&amp;"!A"&amp;ROW(일위대가표!A2555),"B01452 →")</f>
        <v>B01452 →</v>
      </c>
    </row>
    <row r="329" spans="1:11" ht="25.7" customHeight="1">
      <c r="A329" s="460" t="s">
        <v>1411</v>
      </c>
      <c r="B329" s="452" t="s">
        <v>1409</v>
      </c>
      <c r="C329" s="452" t="s">
        <v>1410</v>
      </c>
      <c r="D329" s="460" t="s">
        <v>975</v>
      </c>
      <c r="E329" s="446">
        <f>일위대가표!F2565</f>
        <v>3415000</v>
      </c>
      <c r="F329" s="453">
        <f>일위대가표!H2565</f>
        <v>0</v>
      </c>
      <c r="G329" s="454">
        <f>일위대가표!J2565</f>
        <v>3415000</v>
      </c>
      <c r="H329" s="446">
        <f>일위대가표!L2565</f>
        <v>0</v>
      </c>
      <c r="I329" s="482"/>
      <c r="J329" s="451" t="str">
        <f>"_x0007_`COD|B02525_x0005_`QTY1|1_x0005_`BQC|_x0005_`EQC|_x0005_`JDC|_x0005_`WQC|_x0005_`EDT|_x0005_`ADJ|F_x0005_`DET|"&amp;ROW(일위대가표!A2562)&amp;"_x0005_`"</f>
        <v>_x0007_`COD|B02525_x0005_`QTY1|1_x0005_`BQC|_x0005_`EQC|_x0005_`JDC|_x0005_`WQC|_x0005_`EDT|_x0005_`ADJ|F_x0005_`DET|2562_x0005_`</v>
      </c>
      <c r="K329" s="433" t="str">
        <f ca="1">HYPERLINK("#"&amp;일위대가표!N2&amp;"!A"&amp;ROW(일위대가표!A2562),"B02525 →")</f>
        <v>B02525 →</v>
      </c>
    </row>
    <row r="330" spans="1:11" ht="25.7" customHeight="1">
      <c r="A330" s="460" t="s">
        <v>2341</v>
      </c>
      <c r="B330" s="452" t="s">
        <v>2342</v>
      </c>
      <c r="C330" s="452" t="s">
        <v>2343</v>
      </c>
      <c r="D330" s="460" t="s">
        <v>8</v>
      </c>
      <c r="E330" s="446">
        <f>일위대가표!F2573</f>
        <v>477254</v>
      </c>
      <c r="F330" s="453">
        <f>일위대가표!H2573</f>
        <v>373604</v>
      </c>
      <c r="G330" s="454">
        <f>일위대가표!J2573</f>
        <v>103650</v>
      </c>
      <c r="H330" s="446">
        <f>일위대가표!L2573</f>
        <v>0</v>
      </c>
      <c r="I330" s="482" t="s">
        <v>2344</v>
      </c>
      <c r="J330" s="451" t="str">
        <f>"_x0007_`COD|B01936_x0005_`QTY1|1_x0005_`BQC|공통6-1-2_x0005_`EQC|_x0005_`JDC|_x0005_`WQC|_x0005_`EDT|_x0005_`ADJ|F_x0005_`DET|"&amp;ROW(일위대가표!A2566)&amp;"_x0005_`"</f>
        <v>_x0007_`COD|B01936_x0005_`QTY1|1_x0005_`BQC|공통6-1-2_x0005_`EQC|_x0005_`JDC|_x0005_`WQC|_x0005_`EDT|_x0005_`ADJ|F_x0005_`DET|2566_x0005_`</v>
      </c>
      <c r="K330" s="433" t="str">
        <f ca="1">HYPERLINK("#"&amp;일위대가표!N2&amp;"!A"&amp;ROW(일위대가표!A2566),"B01936 →")</f>
        <v>B01936 →</v>
      </c>
    </row>
    <row r="331" spans="1:11" ht="25.7" customHeight="1">
      <c r="A331" s="460" t="s">
        <v>2345</v>
      </c>
      <c r="B331" s="452" t="s">
        <v>2342</v>
      </c>
      <c r="C331" s="452" t="s">
        <v>2346</v>
      </c>
      <c r="D331" s="460" t="s">
        <v>8</v>
      </c>
      <c r="E331" s="446">
        <f>일위대가표!F2581</f>
        <v>690529</v>
      </c>
      <c r="F331" s="453">
        <f>일위대가표!H2581</f>
        <v>586879</v>
      </c>
      <c r="G331" s="454">
        <f>일위대가표!J2581</f>
        <v>103650</v>
      </c>
      <c r="H331" s="446">
        <f>일위대가표!L2581</f>
        <v>0</v>
      </c>
      <c r="I331" s="482" t="s">
        <v>2344</v>
      </c>
      <c r="J331" s="451" t="str">
        <f>"_x0007_`COD|B01758_x0005_`QTY1|1_x0005_`BQC|공통6-1-2_x0005_`EQC|_x0005_`JDC|_x0005_`WQC|_x0005_`EDT|_x0005_`ADJ|F_x0005_`DET|"&amp;ROW(일위대가표!A2574)&amp;"_x0005_`"</f>
        <v>_x0007_`COD|B01758_x0005_`QTY1|1_x0005_`BQC|공통6-1-2_x0005_`EQC|_x0005_`JDC|_x0005_`WQC|_x0005_`EDT|_x0005_`ADJ|F_x0005_`DET|2574_x0005_`</v>
      </c>
      <c r="K331" s="433" t="str">
        <f ca="1">HYPERLINK("#"&amp;일위대가표!N2&amp;"!A"&amp;ROW(일위대가표!A2574),"B01758 →")</f>
        <v>B01758 →</v>
      </c>
    </row>
    <row r="332" spans="1:11" ht="25.7" customHeight="1">
      <c r="A332" s="460" t="s">
        <v>1120</v>
      </c>
      <c r="B332" s="452" t="s">
        <v>1119</v>
      </c>
      <c r="C332" s="452" t="s">
        <v>1103</v>
      </c>
      <c r="D332" s="460" t="s">
        <v>975</v>
      </c>
      <c r="E332" s="446">
        <f>일위대가표!F2589</f>
        <v>541704</v>
      </c>
      <c r="F332" s="453">
        <f>일위대가표!H2589</f>
        <v>188043</v>
      </c>
      <c r="G332" s="454">
        <f>일위대가표!J2589</f>
        <v>353661</v>
      </c>
      <c r="H332" s="446">
        <f>일위대가표!L2589</f>
        <v>0</v>
      </c>
      <c r="I332" s="482"/>
      <c r="J332" s="451" t="str">
        <f>"_x0007_`COD|B02508_x0005_`QTY1|1_x0005_`BQC|_x0005_`EQC|_x0005_`JDC|_x0005_`WQC|_x0005_`EDT|_x0005_`ADJ|F_x0005_`DET|"&amp;ROW(일위대가표!A2582)&amp;"_x0005_`"</f>
        <v>_x0007_`COD|B02508_x0005_`QTY1|1_x0005_`BQC|_x0005_`EQC|_x0005_`JDC|_x0005_`WQC|_x0005_`EDT|_x0005_`ADJ|F_x0005_`DET|2582_x0005_`</v>
      </c>
      <c r="K332" s="433" t="str">
        <f ca="1">HYPERLINK("#"&amp;일위대가표!N2&amp;"!A"&amp;ROW(일위대가표!A2582),"B02508 →")</f>
        <v>B02508 →</v>
      </c>
    </row>
    <row r="333" spans="1:11" ht="25.7" customHeight="1">
      <c r="A333" s="460" t="s">
        <v>1123</v>
      </c>
      <c r="B333" s="452" t="s">
        <v>1119</v>
      </c>
      <c r="C333" s="452" t="s">
        <v>1107</v>
      </c>
      <c r="D333" s="460" t="s">
        <v>975</v>
      </c>
      <c r="E333" s="446">
        <f>일위대가표!F2597</f>
        <v>721329</v>
      </c>
      <c r="F333" s="453">
        <f>일위대가표!H2597</f>
        <v>250724</v>
      </c>
      <c r="G333" s="454">
        <f>일위대가표!J2597</f>
        <v>470605</v>
      </c>
      <c r="H333" s="446">
        <f>일위대가표!L2597</f>
        <v>0</v>
      </c>
      <c r="I333" s="482"/>
      <c r="J333" s="451" t="str">
        <f>"_x0007_`COD|B02509_x0005_`QTY1|1_x0005_`BQC|_x0005_`EQC|_x0005_`JDC|_x0005_`WQC|_x0005_`EDT|_x0005_`ADJ|F_x0005_`DET|"&amp;ROW(일위대가표!A2590)&amp;"_x0005_`"</f>
        <v>_x0007_`COD|B02509_x0005_`QTY1|1_x0005_`BQC|_x0005_`EQC|_x0005_`JDC|_x0005_`WQC|_x0005_`EDT|_x0005_`ADJ|F_x0005_`DET|2590_x0005_`</v>
      </c>
      <c r="K333" s="433" t="str">
        <f ca="1">HYPERLINK("#"&amp;일위대가표!N2&amp;"!A"&amp;ROW(일위대가표!A2590),"B02509 →")</f>
        <v>B02509 →</v>
      </c>
    </row>
    <row r="334" spans="1:11" ht="25.7" customHeight="1">
      <c r="A334" s="460" t="s">
        <v>1126</v>
      </c>
      <c r="B334" s="452" t="s">
        <v>1119</v>
      </c>
      <c r="C334" s="452" t="s">
        <v>1111</v>
      </c>
      <c r="D334" s="460" t="s">
        <v>975</v>
      </c>
      <c r="E334" s="446">
        <f>일위대가표!F2605</f>
        <v>900949</v>
      </c>
      <c r="F334" s="453">
        <f>일위대가표!H2605</f>
        <v>313405</v>
      </c>
      <c r="G334" s="454">
        <f>일위대가표!J2605</f>
        <v>587544</v>
      </c>
      <c r="H334" s="446">
        <f>일위대가표!L2605</f>
        <v>0</v>
      </c>
      <c r="I334" s="482"/>
      <c r="J334" s="451" t="str">
        <f>"_x0007_`COD|B02510_x0005_`QTY1|1_x0005_`BQC|_x0005_`EQC|_x0005_`JDC|_x0005_`WQC|_x0005_`EDT|_x0005_`ADJ|F_x0005_`DET|"&amp;ROW(일위대가표!A2598)&amp;"_x0005_`"</f>
        <v>_x0007_`COD|B02510_x0005_`QTY1|1_x0005_`BQC|_x0005_`EQC|_x0005_`JDC|_x0005_`WQC|_x0005_`EDT|_x0005_`ADJ|F_x0005_`DET|2598_x0005_`</v>
      </c>
      <c r="K334" s="433" t="str">
        <f ca="1">HYPERLINK("#"&amp;일위대가표!N2&amp;"!A"&amp;ROW(일위대가표!A2598),"B02510 →")</f>
        <v>B02510 →</v>
      </c>
    </row>
    <row r="335" spans="1:11" ht="25.7" customHeight="1">
      <c r="A335" s="460" t="s">
        <v>1129</v>
      </c>
      <c r="B335" s="452" t="s">
        <v>1119</v>
      </c>
      <c r="C335" s="452" t="s">
        <v>1115</v>
      </c>
      <c r="D335" s="460" t="s">
        <v>975</v>
      </c>
      <c r="E335" s="446">
        <f>일위대가표!F2613</f>
        <v>1092229</v>
      </c>
      <c r="F335" s="453">
        <f>일위대가표!H2613</f>
        <v>387753</v>
      </c>
      <c r="G335" s="454">
        <f>일위대가표!J2613</f>
        <v>704476</v>
      </c>
      <c r="H335" s="446">
        <f>일위대가표!L2613</f>
        <v>0</v>
      </c>
      <c r="I335" s="482"/>
      <c r="J335" s="451" t="str">
        <f>"_x0007_`COD|B02511_x0005_`QTY1|1_x0005_`BQC|_x0005_`EQC|_x0005_`JDC|_x0005_`WQC|_x0005_`EDT|_x0005_`ADJ|F_x0005_`DET|"&amp;ROW(일위대가표!A2606)&amp;"_x0005_`"</f>
        <v>_x0007_`COD|B02511_x0005_`QTY1|1_x0005_`BQC|_x0005_`EQC|_x0005_`JDC|_x0005_`WQC|_x0005_`EDT|_x0005_`ADJ|F_x0005_`DET|2606_x0005_`</v>
      </c>
      <c r="K335" s="433" t="str">
        <f ca="1">HYPERLINK("#"&amp;일위대가표!N2&amp;"!A"&amp;ROW(일위대가표!A2606),"B02511 →")</f>
        <v>B02511 →</v>
      </c>
    </row>
    <row r="336" spans="1:11" ht="25.7" customHeight="1">
      <c r="A336" s="460" t="s">
        <v>5139</v>
      </c>
      <c r="B336" s="452" t="s">
        <v>5138</v>
      </c>
      <c r="C336" s="452" t="s">
        <v>1103</v>
      </c>
      <c r="D336" s="460" t="s">
        <v>975</v>
      </c>
      <c r="E336" s="446">
        <f>일위대가표!F2622</f>
        <v>569910</v>
      </c>
      <c r="F336" s="453">
        <f>일위대가표!H2622</f>
        <v>216249</v>
      </c>
      <c r="G336" s="454">
        <f>일위대가표!J2622</f>
        <v>353661</v>
      </c>
      <c r="H336" s="446">
        <f>일위대가표!L2622</f>
        <v>0</v>
      </c>
      <c r="I336" s="482"/>
      <c r="J336" s="451" t="str">
        <f>"_x0007_`COD|B02850_x0005_`QTY1|1_x0005_`BQC|_x0005_`EQC|_x0005_`JDC|_x0005_`WQC|_x0005_`EDT|_x0005_`ADJ|F_x0005_`DET|"&amp;ROW(일위대가표!A2614)&amp;"_x0005_`"</f>
        <v>_x0007_`COD|B02850_x0005_`QTY1|1_x0005_`BQC|_x0005_`EQC|_x0005_`JDC|_x0005_`WQC|_x0005_`EDT|_x0005_`ADJ|F_x0005_`DET|2614_x0005_`</v>
      </c>
      <c r="K336" s="433" t="str">
        <f ca="1">HYPERLINK("#"&amp;일위대가표!N2&amp;"!A"&amp;ROW(일위대가표!A2614),"B02850 →")</f>
        <v>B02850 →</v>
      </c>
    </row>
    <row r="337" spans="1:11" ht="25.7" customHeight="1">
      <c r="A337" s="460" t="s">
        <v>5142</v>
      </c>
      <c r="B337" s="452" t="s">
        <v>5138</v>
      </c>
      <c r="C337" s="452" t="s">
        <v>1107</v>
      </c>
      <c r="D337" s="460" t="s">
        <v>975</v>
      </c>
      <c r="E337" s="446">
        <f>일위대가표!F2631</f>
        <v>758937</v>
      </c>
      <c r="F337" s="453">
        <f>일위대가표!H2631</f>
        <v>288332</v>
      </c>
      <c r="G337" s="454">
        <f>일위대가표!J2631</f>
        <v>470605</v>
      </c>
      <c r="H337" s="446">
        <f>일위대가표!L2631</f>
        <v>0</v>
      </c>
      <c r="I337" s="482"/>
      <c r="J337" s="451" t="str">
        <f>"_x0007_`COD|B02851_x0005_`QTY1|1_x0005_`BQC|_x0005_`EQC|_x0005_`JDC|_x0005_`WQC|_x0005_`EDT|_x0005_`ADJ|F_x0005_`DET|"&amp;ROW(일위대가표!A2623)&amp;"_x0005_`"</f>
        <v>_x0007_`COD|B02851_x0005_`QTY1|1_x0005_`BQC|_x0005_`EQC|_x0005_`JDC|_x0005_`WQC|_x0005_`EDT|_x0005_`ADJ|F_x0005_`DET|2623_x0005_`</v>
      </c>
      <c r="K337" s="433" t="str">
        <f ca="1">HYPERLINK("#"&amp;일위대가표!N2&amp;"!A"&amp;ROW(일위대가표!A2623),"B02851 →")</f>
        <v>B02851 →</v>
      </c>
    </row>
    <row r="338" spans="1:11" ht="25.7" customHeight="1">
      <c r="A338" s="460" t="s">
        <v>5145</v>
      </c>
      <c r="B338" s="452" t="s">
        <v>5138</v>
      </c>
      <c r="C338" s="452" t="s">
        <v>1111</v>
      </c>
      <c r="D338" s="460" t="s">
        <v>975</v>
      </c>
      <c r="E338" s="446">
        <f>일위대가표!F2640</f>
        <v>947959</v>
      </c>
      <c r="F338" s="453">
        <f>일위대가표!H2640</f>
        <v>360415</v>
      </c>
      <c r="G338" s="454">
        <f>일위대가표!J2640</f>
        <v>587544</v>
      </c>
      <c r="H338" s="446">
        <f>일위대가표!L2640</f>
        <v>0</v>
      </c>
      <c r="I338" s="482"/>
      <c r="J338" s="451" t="str">
        <f>"_x0007_`COD|B02852_x0005_`QTY1|1_x0005_`BQC|_x0005_`EQC|_x0005_`JDC|_x0005_`WQC|_x0005_`EDT|_x0005_`ADJ|F_x0005_`DET|"&amp;ROW(일위대가표!A2632)&amp;"_x0005_`"</f>
        <v>_x0007_`COD|B02852_x0005_`QTY1|1_x0005_`BQC|_x0005_`EQC|_x0005_`JDC|_x0005_`WQC|_x0005_`EDT|_x0005_`ADJ|F_x0005_`DET|2632_x0005_`</v>
      </c>
      <c r="K338" s="433" t="str">
        <f ca="1">HYPERLINK("#"&amp;일위대가표!N2&amp;"!A"&amp;ROW(일위대가표!A2632),"B02852 →")</f>
        <v>B02852 →</v>
      </c>
    </row>
    <row r="339" spans="1:11" ht="25.7" customHeight="1">
      <c r="A339" s="460" t="s">
        <v>5148</v>
      </c>
      <c r="B339" s="452" t="s">
        <v>5138</v>
      </c>
      <c r="C339" s="452" t="s">
        <v>1115</v>
      </c>
      <c r="D339" s="460" t="s">
        <v>975</v>
      </c>
      <c r="E339" s="446">
        <f>일위대가표!F2649</f>
        <v>1150392</v>
      </c>
      <c r="F339" s="453">
        <f>일위대가표!H2649</f>
        <v>445916</v>
      </c>
      <c r="G339" s="454">
        <f>일위대가표!J2649</f>
        <v>704476</v>
      </c>
      <c r="H339" s="446">
        <f>일위대가표!L2649</f>
        <v>0</v>
      </c>
      <c r="I339" s="482"/>
      <c r="J339" s="451" t="str">
        <f>"_x0007_`COD|B02853_x0005_`QTY1|1_x0005_`BQC|_x0005_`EQC|_x0005_`JDC|_x0005_`WQC|_x0005_`EDT|_x0005_`ADJ|F_x0005_`DET|"&amp;ROW(일위대가표!A2641)&amp;"_x0005_`"</f>
        <v>_x0007_`COD|B02853_x0005_`QTY1|1_x0005_`BQC|_x0005_`EQC|_x0005_`JDC|_x0005_`WQC|_x0005_`EDT|_x0005_`ADJ|F_x0005_`DET|2641_x0005_`</v>
      </c>
      <c r="K339" s="433" t="str">
        <f ca="1">HYPERLINK("#"&amp;일위대가표!N2&amp;"!A"&amp;ROW(일위대가표!A2641),"B02853 →")</f>
        <v>B02853 →</v>
      </c>
    </row>
    <row r="340" spans="1:11" ht="25.7" customHeight="1">
      <c r="A340" s="460" t="s">
        <v>1104</v>
      </c>
      <c r="B340" s="452" t="s">
        <v>5151</v>
      </c>
      <c r="C340" s="452" t="s">
        <v>1103</v>
      </c>
      <c r="D340" s="460" t="s">
        <v>975</v>
      </c>
      <c r="E340" s="446">
        <f>일위대가표!F2658</f>
        <v>588714</v>
      </c>
      <c r="F340" s="453">
        <f>일위대가표!H2658</f>
        <v>235053</v>
      </c>
      <c r="G340" s="454">
        <f>일위대가표!J2658</f>
        <v>353661</v>
      </c>
      <c r="H340" s="446">
        <f>일위대가표!L2658</f>
        <v>0</v>
      </c>
      <c r="I340" s="482"/>
      <c r="J340" s="451" t="str">
        <f>"_x0007_`COD|B02507_x0005_`QTY1|1_x0005_`BQC|_x0005_`EQC|_x0005_`JDC|_x0005_`WQC|_x0005_`EDT|_x0005_`ADJ|F_x0005_`DET|"&amp;ROW(일위대가표!A2650)&amp;"_x0005_`"</f>
        <v>_x0007_`COD|B02507_x0005_`QTY1|1_x0005_`BQC|_x0005_`EQC|_x0005_`JDC|_x0005_`WQC|_x0005_`EDT|_x0005_`ADJ|F_x0005_`DET|2650_x0005_`</v>
      </c>
      <c r="K340" s="433" t="str">
        <f ca="1">HYPERLINK("#"&amp;일위대가표!N2&amp;"!A"&amp;ROW(일위대가표!A2650),"B02507 →")</f>
        <v>B02507 →</v>
      </c>
    </row>
    <row r="341" spans="1:11" ht="25.7" customHeight="1">
      <c r="A341" s="460" t="s">
        <v>1108</v>
      </c>
      <c r="B341" s="452" t="s">
        <v>5151</v>
      </c>
      <c r="C341" s="452" t="s">
        <v>1107</v>
      </c>
      <c r="D341" s="460" t="s">
        <v>975</v>
      </c>
      <c r="E341" s="446">
        <f>일위대가표!F2667</f>
        <v>784010</v>
      </c>
      <c r="F341" s="453">
        <f>일위대가표!H2667</f>
        <v>313405</v>
      </c>
      <c r="G341" s="454">
        <f>일위대가표!J2667</f>
        <v>470605</v>
      </c>
      <c r="H341" s="446">
        <f>일위대가표!L2667</f>
        <v>0</v>
      </c>
      <c r="I341" s="482"/>
      <c r="J341" s="451" t="str">
        <f>"_x0007_`COD|B02448_x0005_`QTY1|1_x0005_`BQC|_x0005_`EQC|_x0005_`JDC|_x0005_`WQC|_x0005_`EDT|_x0005_`ADJ|F_x0005_`DET|"&amp;ROW(일위대가표!A2659)&amp;"_x0005_`"</f>
        <v>_x0007_`COD|B02448_x0005_`QTY1|1_x0005_`BQC|_x0005_`EQC|_x0005_`JDC|_x0005_`WQC|_x0005_`EDT|_x0005_`ADJ|F_x0005_`DET|2659_x0005_`</v>
      </c>
      <c r="K341" s="433" t="str">
        <f ca="1">HYPERLINK("#"&amp;일위대가표!N2&amp;"!A"&amp;ROW(일위대가표!A2659),"B02448 →")</f>
        <v>B02448 →</v>
      </c>
    </row>
    <row r="342" spans="1:11" ht="25.7" customHeight="1">
      <c r="A342" s="460" t="s">
        <v>1112</v>
      </c>
      <c r="B342" s="452" t="s">
        <v>5151</v>
      </c>
      <c r="C342" s="452" t="s">
        <v>1111</v>
      </c>
      <c r="D342" s="460" t="s">
        <v>975</v>
      </c>
      <c r="E342" s="446">
        <f>일위대가표!F2676</f>
        <v>979300</v>
      </c>
      <c r="F342" s="453">
        <f>일위대가표!H2676</f>
        <v>391756</v>
      </c>
      <c r="G342" s="454">
        <f>일위대가표!J2676</f>
        <v>587544</v>
      </c>
      <c r="H342" s="446">
        <f>일위대가표!L2676</f>
        <v>0</v>
      </c>
      <c r="I342" s="482"/>
      <c r="J342" s="451" t="str">
        <f>"_x0007_`COD|B02373_x0005_`QTY1|1_x0005_`BQC|_x0005_`EQC|_x0005_`JDC|_x0005_`WQC|_x0005_`EDT|_x0005_`ADJ|F_x0005_`DET|"&amp;ROW(일위대가표!A2668)&amp;"_x0005_`"</f>
        <v>_x0007_`COD|B02373_x0005_`QTY1|1_x0005_`BQC|_x0005_`EQC|_x0005_`JDC|_x0005_`WQC|_x0005_`EDT|_x0005_`ADJ|F_x0005_`DET|2668_x0005_`</v>
      </c>
      <c r="K342" s="433" t="str">
        <f ca="1">HYPERLINK("#"&amp;일위대가표!N2&amp;"!A"&amp;ROW(일위대가표!A2668),"B02373 →")</f>
        <v>B02373 →</v>
      </c>
    </row>
    <row r="343" spans="1:11" ht="25.7" customHeight="1">
      <c r="A343" s="460" t="s">
        <v>1116</v>
      </c>
      <c r="B343" s="452" t="s">
        <v>5151</v>
      </c>
      <c r="C343" s="452" t="s">
        <v>1115</v>
      </c>
      <c r="D343" s="460" t="s">
        <v>975</v>
      </c>
      <c r="E343" s="446">
        <f>일위대가표!F2685</f>
        <v>1189167</v>
      </c>
      <c r="F343" s="453">
        <f>일위대가표!H2685</f>
        <v>484691</v>
      </c>
      <c r="G343" s="454">
        <f>일위대가표!J2685</f>
        <v>704476</v>
      </c>
      <c r="H343" s="446">
        <f>일위대가표!L2685</f>
        <v>0</v>
      </c>
      <c r="I343" s="482"/>
      <c r="J343" s="451" t="str">
        <f>"_x0007_`COD|B02405_x0005_`QTY1|1_x0005_`BQC|_x0005_`EQC|_x0005_`JDC|_x0005_`WQC|_x0005_`EDT|_x0005_`ADJ|F_x0005_`DET|"&amp;ROW(일위대가표!A2677)&amp;"_x0005_`"</f>
        <v>_x0007_`COD|B02405_x0005_`QTY1|1_x0005_`BQC|_x0005_`EQC|_x0005_`JDC|_x0005_`WQC|_x0005_`EDT|_x0005_`ADJ|F_x0005_`DET|2677_x0005_`</v>
      </c>
      <c r="K343" s="433" t="str">
        <f ca="1">HYPERLINK("#"&amp;일위대가표!N2&amp;"!A"&amp;ROW(일위대가표!A2677),"B02405 →")</f>
        <v>B02405 →</v>
      </c>
    </row>
    <row r="344" spans="1:11" ht="25.7" customHeight="1">
      <c r="A344" s="460" t="s">
        <v>1323</v>
      </c>
      <c r="B344" s="452" t="s">
        <v>1321</v>
      </c>
      <c r="C344" s="452" t="s">
        <v>1322</v>
      </c>
      <c r="D344" s="460" t="s">
        <v>975</v>
      </c>
      <c r="E344" s="446">
        <f>일위대가표!F2689</f>
        <v>34540000</v>
      </c>
      <c r="F344" s="453">
        <f>일위대가표!H2689</f>
        <v>0</v>
      </c>
      <c r="G344" s="454">
        <f>일위대가표!J2689</f>
        <v>34540000</v>
      </c>
      <c r="H344" s="446">
        <f>일위대가표!L2689</f>
        <v>0</v>
      </c>
      <c r="I344" s="482"/>
      <c r="J344" s="451" t="str">
        <f>"_x0007_`COD|B02528_x0005_`QTY1|1_x0005_`BQC|_x0005_`EQC|_x0005_`JDC|_x0005_`WQC|_x0005_`EDT|_x0005_`ADJ|F_x0005_`DET|"&amp;ROW(일위대가표!A2686)&amp;"_x0005_`"</f>
        <v>_x0007_`COD|B02528_x0005_`QTY1|1_x0005_`BQC|_x0005_`EQC|_x0005_`JDC|_x0005_`WQC|_x0005_`EDT|_x0005_`ADJ|F_x0005_`DET|2686_x0005_`</v>
      </c>
      <c r="K344" s="433" t="str">
        <f ca="1">HYPERLINK("#"&amp;일위대가표!N2&amp;"!A"&amp;ROW(일위대가표!A2686),"B02528 →")</f>
        <v>B02528 →</v>
      </c>
    </row>
  </sheetData>
  <mergeCells count="1">
    <mergeCell ref="A1:I1"/>
  </mergeCells>
  <phoneticPr fontId="13" type="noConversion"/>
  <hyperlinks>
    <hyperlink ref="K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B00-000000000000}"/>
    <hyperlink ref="J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B00-000001000000}"/>
  </hyperlinks>
  <printOptions horizontalCentered="1"/>
  <pageMargins left="0.78740157480314965" right="0.78740157480314965" top="0.59055118110236215" bottom="0.55118110236220474" header="0" footer="0.35433070866141736"/>
  <pageSetup paperSize="9" scale="98" fitToWidth="0" fitToHeight="0" orientation="landscape" r:id="rId3"/>
  <headerFooter alignWithMargins="0"/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1:Z2689"/>
  <sheetViews>
    <sheetView workbookViewId="0">
      <pane ySplit="4" topLeftCell="A32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2" width="21.5546875" style="428" customWidth="1"/>
    <col min="3" max="3" width="8.88671875" style="428" customWidth="1"/>
    <col min="4" max="4" width="4.88671875" style="428" customWidth="1"/>
    <col min="5" max="5" width="8.88671875" style="428" customWidth="1"/>
    <col min="6" max="6" width="10.21875" style="428" customWidth="1"/>
    <col min="7" max="7" width="8.88671875" style="428" customWidth="1"/>
    <col min="8" max="8" width="10.21875" style="428" customWidth="1"/>
    <col min="9" max="9" width="8.88671875" style="428" customWidth="1"/>
    <col min="10" max="10" width="10.21875" style="428" customWidth="1"/>
    <col min="11" max="11" width="8.88671875" style="428" customWidth="1"/>
    <col min="12" max="13" width="10.21875" style="428" customWidth="1"/>
    <col min="14" max="14" width="8.109375" style="483" hidden="1" customWidth="1"/>
    <col min="15" max="25" width="1.88671875" style="428" customWidth="1"/>
    <col min="26" max="26" width="8.109375" style="432" customWidth="1"/>
    <col min="27" max="16384" width="8.109375" style="428"/>
  </cols>
  <sheetData>
    <row r="1" spans="1:26" ht="24.95" customHeight="1">
      <c r="A1" s="597" t="s">
        <v>2347</v>
      </c>
      <c r="B1" s="598"/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426" t="s">
        <v>807</v>
      </c>
      <c r="Z1" s="427" t="s">
        <v>807</v>
      </c>
    </row>
    <row r="2" spans="1:26" ht="33.200000000000003" customHeight="1">
      <c r="A2" s="429" t="s">
        <v>5655</v>
      </c>
      <c r="N2" s="431" t="str">
        <f ca="1">MID(CELL("filename",$A$1),FIND("]",CELL("filename",$A$1))+1,LEN(CELL("filename",$A$1)))</f>
        <v>일위대가표</v>
      </c>
    </row>
    <row r="3" spans="1:26" ht="33.200000000000003" customHeight="1">
      <c r="A3" s="613" t="s">
        <v>840</v>
      </c>
      <c r="B3" s="613" t="s">
        <v>841</v>
      </c>
      <c r="C3" s="613" t="s">
        <v>903</v>
      </c>
      <c r="D3" s="613" t="s">
        <v>904</v>
      </c>
      <c r="E3" s="601" t="s">
        <v>842</v>
      </c>
      <c r="F3" s="614"/>
      <c r="G3" s="601" t="s">
        <v>819</v>
      </c>
      <c r="H3" s="614"/>
      <c r="I3" s="601" t="s">
        <v>814</v>
      </c>
      <c r="J3" s="614"/>
      <c r="K3" s="601" t="s">
        <v>843</v>
      </c>
      <c r="L3" s="614"/>
      <c r="M3" s="601" t="s">
        <v>905</v>
      </c>
    </row>
    <row r="4" spans="1:26" ht="33.200000000000003" customHeight="1">
      <c r="A4" s="614"/>
      <c r="B4" s="614"/>
      <c r="C4" s="614"/>
      <c r="D4" s="614"/>
      <c r="E4" s="460" t="s">
        <v>906</v>
      </c>
      <c r="F4" s="460" t="s">
        <v>809</v>
      </c>
      <c r="G4" s="460" t="s">
        <v>906</v>
      </c>
      <c r="H4" s="460" t="s">
        <v>809</v>
      </c>
      <c r="I4" s="460" t="s">
        <v>906</v>
      </c>
      <c r="J4" s="460" t="s">
        <v>809</v>
      </c>
      <c r="K4" s="460" t="s">
        <v>906</v>
      </c>
      <c r="L4" s="460" t="s">
        <v>809</v>
      </c>
      <c r="M4" s="602"/>
      <c r="Z4" s="433" t="str">
        <f>HYPERLINK("#'〓 목 차 〓'!B2","목차 →")</f>
        <v>목차 →</v>
      </c>
    </row>
    <row r="5" spans="1:26" ht="33.200000000000003" customHeight="1">
      <c r="A5" s="484" t="s">
        <v>2348</v>
      </c>
      <c r="B5" s="484"/>
      <c r="C5" s="485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6" t="str">
        <f>HYPERLINK("#N"&amp;ROW(N11),"_x0005_`BDCOD|B02797_x0007_`POSS|"&amp;ROW(N7)&amp;"_x0007_`POSE|"&amp;ROW(N11)&amp;"_x0007_`")</f>
        <v>_x0005_`BDCOD|B02797_x0007_`POSS|7_x0007_`POSE|11_x0007_`</v>
      </c>
    </row>
    <row r="6" spans="1:26" ht="33.200000000000003" customHeight="1">
      <c r="A6" s="469" t="s">
        <v>1287</v>
      </c>
      <c r="B6" s="469" t="s">
        <v>1283</v>
      </c>
      <c r="C6" s="487"/>
      <c r="D6" s="488" t="s">
        <v>595</v>
      </c>
      <c r="E6" s="487"/>
      <c r="F6" s="487"/>
      <c r="G6" s="487"/>
      <c r="H6" s="487"/>
      <c r="I6" s="487"/>
      <c r="J6" s="487"/>
      <c r="K6" s="487"/>
      <c r="L6" s="487"/>
      <c r="M6" s="488" t="s">
        <v>1288</v>
      </c>
      <c r="O6" s="468" t="s">
        <v>1288</v>
      </c>
    </row>
    <row r="7" spans="1:26" ht="33.200000000000003" customHeight="1">
      <c r="A7" s="452" t="s">
        <v>2349</v>
      </c>
      <c r="B7" s="452" t="s">
        <v>2350</v>
      </c>
      <c r="C7" s="489">
        <v>1.1000000000000001</v>
      </c>
      <c r="D7" s="480" t="s">
        <v>595</v>
      </c>
      <c r="E7" s="490">
        <f t="shared" ref="E7:F11" si="0">I7+G7+K7</f>
        <v>600</v>
      </c>
      <c r="F7" s="491">
        <f t="shared" si="0"/>
        <v>660</v>
      </c>
      <c r="G7" s="492">
        <v>0</v>
      </c>
      <c r="H7" s="493">
        <f>IF(C7=0,0,ROUNDDOWN(G7*C7,1))</f>
        <v>0</v>
      </c>
      <c r="I7" s="494">
        <f>재료비목록표!E39</f>
        <v>600</v>
      </c>
      <c r="J7" s="495">
        <f>IF(C7=0,0,ROUNDDOWN(I7*C7,1))</f>
        <v>660</v>
      </c>
      <c r="K7" s="492">
        <v>0</v>
      </c>
      <c r="L7" s="493">
        <f>IF(C7=0,0,ROUNDDOWN(K7*C7,1))</f>
        <v>0</v>
      </c>
      <c r="M7" s="463" t="s">
        <v>2351</v>
      </c>
      <c r="N7" s="451" t="s">
        <v>2352</v>
      </c>
      <c r="O7" s="468" t="s">
        <v>2353</v>
      </c>
      <c r="P7" s="468" t="s">
        <v>2354</v>
      </c>
      <c r="Q7" s="468" t="s">
        <v>2355</v>
      </c>
      <c r="Z7" s="433" t="str">
        <f ca="1">HYPERLINK("#"&amp;재료비목록표!G2&amp;"!A"&amp;ROW(재료비목록표!A39),"M08845 →")</f>
        <v>M08845 →</v>
      </c>
    </row>
    <row r="8" spans="1:26" ht="33.200000000000003" customHeight="1">
      <c r="A8" s="452" t="s">
        <v>2356</v>
      </c>
      <c r="B8" s="452"/>
      <c r="C8" s="489">
        <v>2E-3</v>
      </c>
      <c r="D8" s="480" t="s">
        <v>585</v>
      </c>
      <c r="E8" s="490">
        <f t="shared" si="0"/>
        <v>235204</v>
      </c>
      <c r="F8" s="493">
        <f t="shared" si="0"/>
        <v>470.4</v>
      </c>
      <c r="G8" s="494">
        <f>노무비목록표!E15</f>
        <v>235204</v>
      </c>
      <c r="H8" s="495">
        <f>IF(C8=0,0,ROUNDDOWN(G8*C8,1))</f>
        <v>470.4</v>
      </c>
      <c r="I8" s="492">
        <v>0</v>
      </c>
      <c r="J8" s="491">
        <f>IF(C8=0,0,ROUNDDOWN(I8*C8,1))</f>
        <v>0</v>
      </c>
      <c r="K8" s="492">
        <v>0</v>
      </c>
      <c r="L8" s="493">
        <f>IF(C8=0,0,ROUNDDOWN(K8*C8,1))</f>
        <v>0</v>
      </c>
      <c r="M8" s="463" t="s">
        <v>2357</v>
      </c>
      <c r="N8" s="451" t="s">
        <v>2358</v>
      </c>
      <c r="O8" s="468" t="s">
        <v>2359</v>
      </c>
      <c r="P8" s="468" t="s">
        <v>2354</v>
      </c>
      <c r="Z8" s="433" t="str">
        <f ca="1">HYPERLINK("#"&amp;노무비목록표!G2&amp;"!A"&amp;ROW(노무비목록표!A15),"L00184 →")</f>
        <v>L00184 →</v>
      </c>
    </row>
    <row r="9" spans="1:26" ht="33.200000000000003" customHeight="1">
      <c r="A9" s="452" t="s">
        <v>2360</v>
      </c>
      <c r="B9" s="452"/>
      <c r="C9" s="489">
        <v>6.9999999999999999E-4</v>
      </c>
      <c r="D9" s="480" t="s">
        <v>585</v>
      </c>
      <c r="E9" s="490">
        <f t="shared" si="0"/>
        <v>172068</v>
      </c>
      <c r="F9" s="493">
        <f t="shared" si="0"/>
        <v>120.4</v>
      </c>
      <c r="G9" s="494">
        <f>노무비목록표!E10</f>
        <v>172068</v>
      </c>
      <c r="H9" s="495">
        <f>IF(C9=0,0,ROUNDDOWN(G9*C9,1))</f>
        <v>120.4</v>
      </c>
      <c r="I9" s="492">
        <v>0</v>
      </c>
      <c r="J9" s="491">
        <f>IF(C9=0,0,ROUNDDOWN(I9*C9,1))</f>
        <v>0</v>
      </c>
      <c r="K9" s="492">
        <v>0</v>
      </c>
      <c r="L9" s="493">
        <f>IF(C9=0,0,ROUNDDOWN(K9*C9,1))</f>
        <v>0</v>
      </c>
      <c r="M9" s="463" t="s">
        <v>2361</v>
      </c>
      <c r="N9" s="451" t="s">
        <v>2362</v>
      </c>
      <c r="O9" s="468" t="s">
        <v>2363</v>
      </c>
      <c r="P9" s="468" t="s">
        <v>2354</v>
      </c>
      <c r="Z9" s="433" t="str">
        <f ca="1">HYPERLINK("#"&amp;노무비목록표!G2&amp;"!A"&amp;ROW(노무비목록표!A10),"L00017 →")</f>
        <v>L00017 →</v>
      </c>
    </row>
    <row r="10" spans="1:26" ht="33.200000000000003" customHeight="1">
      <c r="A10" s="452" t="s">
        <v>2364</v>
      </c>
      <c r="B10" s="452" t="s">
        <v>2365</v>
      </c>
      <c r="C10" s="489">
        <v>3</v>
      </c>
      <c r="D10" s="480" t="s">
        <v>1589</v>
      </c>
      <c r="E10" s="490">
        <f t="shared" si="0"/>
        <v>1000</v>
      </c>
      <c r="F10" s="491">
        <f t="shared" si="0"/>
        <v>3000</v>
      </c>
      <c r="G10" s="492">
        <v>0</v>
      </c>
      <c r="H10" s="493">
        <f>IF(C10=0,0,ROUNDDOWN(G10*C10,1))</f>
        <v>0</v>
      </c>
      <c r="I10" s="494">
        <f>재료비목록표!E12</f>
        <v>1000</v>
      </c>
      <c r="J10" s="495">
        <f>IF(C10=0,0,ROUNDDOWN(I10*C10,1))</f>
        <v>3000</v>
      </c>
      <c r="K10" s="492">
        <v>0</v>
      </c>
      <c r="L10" s="493">
        <f>IF(C10=0,0,ROUNDDOWN(K10*C10,1))</f>
        <v>0</v>
      </c>
      <c r="M10" s="463" t="s">
        <v>2366</v>
      </c>
      <c r="N10" s="451" t="s">
        <v>2367</v>
      </c>
      <c r="O10" s="468" t="s">
        <v>2368</v>
      </c>
      <c r="P10" s="468" t="s">
        <v>2354</v>
      </c>
      <c r="Q10" s="468" t="s">
        <v>2355</v>
      </c>
      <c r="Z10" s="433" t="str">
        <f ca="1">HYPERLINK("#"&amp;재료비목록표!G2&amp;"!A"&amp;ROW(재료비목록표!A12),"M08843 →")</f>
        <v>M08843 →</v>
      </c>
    </row>
    <row r="11" spans="1:26" ht="33.200000000000003" customHeight="1">
      <c r="A11" s="452" t="s">
        <v>2369</v>
      </c>
      <c r="B11" s="452" t="s">
        <v>2370</v>
      </c>
      <c r="C11" s="489">
        <v>3</v>
      </c>
      <c r="D11" s="480" t="s">
        <v>2371</v>
      </c>
      <c r="E11" s="490">
        <f t="shared" si="0"/>
        <v>3660</v>
      </c>
      <c r="F11" s="491">
        <f t="shared" si="0"/>
        <v>109.8</v>
      </c>
      <c r="G11" s="465">
        <v>0</v>
      </c>
      <c r="H11" s="491">
        <f>IF(C11=0,0,ROUNDDOWN(G11*C11/100,1))</f>
        <v>0</v>
      </c>
      <c r="I11" s="496">
        <f>J7+J10</f>
        <v>3660</v>
      </c>
      <c r="J11" s="493">
        <f>IF(C11=0,0,ROUNDDOWN(I11*C11/100,1))</f>
        <v>109.8</v>
      </c>
      <c r="K11" s="467">
        <v>0</v>
      </c>
      <c r="L11" s="493">
        <f>IF(C11=0,0,ROUNDDOWN(K11*C11/100,1))</f>
        <v>0</v>
      </c>
      <c r="M11" s="463"/>
      <c r="N11" s="451" t="s">
        <v>2372</v>
      </c>
      <c r="O11" s="468" t="s">
        <v>2373</v>
      </c>
      <c r="P11" s="468" t="s">
        <v>2354</v>
      </c>
      <c r="Q11" s="468" t="s">
        <v>2355</v>
      </c>
    </row>
    <row r="12" spans="1:26" ht="33.200000000000003" customHeight="1">
      <c r="A12" s="463" t="s">
        <v>842</v>
      </c>
      <c r="B12" s="497"/>
      <c r="C12" s="497"/>
      <c r="D12" s="497"/>
      <c r="E12" s="497"/>
      <c r="F12" s="446">
        <f>J12+H12+L12</f>
        <v>4359</v>
      </c>
      <c r="G12" s="497"/>
      <c r="H12" s="446">
        <f>ROUNDDOWN(SUMIF(P7:P11,O12,H7:H11),0)</f>
        <v>590</v>
      </c>
      <c r="I12" s="497"/>
      <c r="J12" s="446">
        <f>ROUNDDOWN(SUMIF(P7:P11,O12,J7:J11),0)</f>
        <v>3769</v>
      </c>
      <c r="K12" s="497"/>
      <c r="L12" s="446">
        <f>ROUNDDOWN(SUMIF(P7:P11,O12,L7:L11),0)</f>
        <v>0</v>
      </c>
      <c r="M12" s="497"/>
      <c r="O12" s="468" t="s">
        <v>2354</v>
      </c>
    </row>
    <row r="13" spans="1:26" ht="33.200000000000003" customHeight="1">
      <c r="A13" s="484" t="s">
        <v>2374</v>
      </c>
      <c r="B13" s="484"/>
      <c r="C13" s="485"/>
      <c r="D13" s="485"/>
      <c r="E13" s="485"/>
      <c r="F13" s="485"/>
      <c r="G13" s="485"/>
      <c r="H13" s="485"/>
      <c r="I13" s="485"/>
      <c r="J13" s="485"/>
      <c r="K13" s="485"/>
      <c r="L13" s="485"/>
      <c r="M13" s="485"/>
      <c r="N13" s="486" t="str">
        <f>HYPERLINK("#N"&amp;ROW(N15),"_x0005_`BDCOD|B02589_x0007_`POSS|"&amp;ROW(N15)&amp;"_x0007_`POSE|"&amp;ROW(N15)&amp;"_x0007_`")</f>
        <v>_x0005_`BDCOD|B02589_x0007_`POSS|15_x0007_`POSE|15_x0007_`</v>
      </c>
    </row>
    <row r="14" spans="1:26" ht="33.200000000000003" customHeight="1">
      <c r="A14" s="469" t="s">
        <v>1442</v>
      </c>
      <c r="B14" s="469" t="s">
        <v>1443</v>
      </c>
      <c r="C14" s="487"/>
      <c r="D14" s="488" t="s">
        <v>975</v>
      </c>
      <c r="E14" s="487"/>
      <c r="F14" s="487"/>
      <c r="G14" s="487"/>
      <c r="H14" s="487"/>
      <c r="I14" s="487"/>
      <c r="J14" s="487"/>
      <c r="K14" s="487"/>
      <c r="L14" s="487"/>
      <c r="M14" s="488" t="s">
        <v>1444</v>
      </c>
      <c r="O14" s="468" t="s">
        <v>1444</v>
      </c>
    </row>
    <row r="15" spans="1:26" ht="33.200000000000003" customHeight="1">
      <c r="A15" s="452" t="s">
        <v>2375</v>
      </c>
      <c r="B15" s="452" t="s">
        <v>2376</v>
      </c>
      <c r="C15" s="489">
        <v>1</v>
      </c>
      <c r="D15" s="480" t="s">
        <v>2377</v>
      </c>
      <c r="E15" s="490">
        <f>I15+G15+K15</f>
        <v>2376000</v>
      </c>
      <c r="F15" s="491">
        <f>J15+H15+L15</f>
        <v>2376000</v>
      </c>
      <c r="G15" s="492">
        <v>0</v>
      </c>
      <c r="H15" s="493">
        <f>IF(C15=0,0,ROUNDDOWN(G15*C15,1))</f>
        <v>0</v>
      </c>
      <c r="I15" s="494">
        <f>재료비목록표!E13</f>
        <v>2376000</v>
      </c>
      <c r="J15" s="495">
        <f>IF(C15=0,0,ROUNDDOWN(I15*C15,1))</f>
        <v>2376000</v>
      </c>
      <c r="K15" s="492">
        <v>0</v>
      </c>
      <c r="L15" s="493">
        <f>IF(C15=0,0,ROUNDDOWN(K15*C15,1))</f>
        <v>0</v>
      </c>
      <c r="M15" s="463" t="s">
        <v>2378</v>
      </c>
      <c r="N15" s="451" t="s">
        <v>2379</v>
      </c>
      <c r="O15" s="468" t="s">
        <v>2380</v>
      </c>
      <c r="P15" s="468" t="s">
        <v>2354</v>
      </c>
      <c r="Z15" s="433" t="str">
        <f ca="1">HYPERLINK("#"&amp;재료비목록표!G2&amp;"!A"&amp;ROW(재료비목록표!A13),"M01608 →")</f>
        <v>M01608 →</v>
      </c>
    </row>
    <row r="16" spans="1:26" ht="33.200000000000003" customHeight="1">
      <c r="A16" s="463" t="s">
        <v>842</v>
      </c>
      <c r="B16" s="497"/>
      <c r="C16" s="497"/>
      <c r="D16" s="497"/>
      <c r="E16" s="497"/>
      <c r="F16" s="446">
        <f>J16+H16+L16</f>
        <v>2376000</v>
      </c>
      <c r="G16" s="497"/>
      <c r="H16" s="446">
        <f>ROUNDDOWN(SUMIF(P15:P15,O16,H15:H15),0)</f>
        <v>0</v>
      </c>
      <c r="I16" s="497"/>
      <c r="J16" s="446">
        <f>ROUNDDOWN(SUMIF(P15:P15,O16,J15:J15),0)</f>
        <v>2376000</v>
      </c>
      <c r="K16" s="497"/>
      <c r="L16" s="446">
        <f>ROUNDDOWN(SUMIF(P15:P15,O16,L15:L15),0)</f>
        <v>0</v>
      </c>
      <c r="M16" s="497"/>
      <c r="O16" s="468" t="s">
        <v>2354</v>
      </c>
    </row>
    <row r="17" spans="1:26" ht="33.200000000000003" customHeight="1">
      <c r="A17" s="484" t="s">
        <v>2381</v>
      </c>
      <c r="B17" s="484"/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6" t="str">
        <f>HYPERLINK("#N"&amp;ROW(N19),"_x0005_`BDCOD|B02590_x0007_`POSS|"&amp;ROW(N19)&amp;"_x0007_`POSE|"&amp;ROW(N19)&amp;"_x0007_`")</f>
        <v>_x0005_`BDCOD|B02590_x0007_`POSS|19_x0007_`POSE|19_x0007_`</v>
      </c>
    </row>
    <row r="18" spans="1:26" ht="33.200000000000003" customHeight="1">
      <c r="A18" s="469" t="s">
        <v>1452</v>
      </c>
      <c r="B18" s="469" t="s">
        <v>1453</v>
      </c>
      <c r="C18" s="487"/>
      <c r="D18" s="488" t="s">
        <v>975</v>
      </c>
      <c r="E18" s="487"/>
      <c r="F18" s="487"/>
      <c r="G18" s="487"/>
      <c r="H18" s="487"/>
      <c r="I18" s="487"/>
      <c r="J18" s="487"/>
      <c r="K18" s="487"/>
      <c r="L18" s="487"/>
      <c r="M18" s="488" t="s">
        <v>1454</v>
      </c>
      <c r="O18" s="468" t="s">
        <v>1454</v>
      </c>
    </row>
    <row r="19" spans="1:26" ht="33.200000000000003" customHeight="1">
      <c r="A19" s="452" t="s">
        <v>2382</v>
      </c>
      <c r="B19" s="452" t="s">
        <v>2383</v>
      </c>
      <c r="C19" s="489">
        <v>1</v>
      </c>
      <c r="D19" s="480" t="s">
        <v>2377</v>
      </c>
      <c r="E19" s="490">
        <f>I19+G19+K19</f>
        <v>6648000</v>
      </c>
      <c r="F19" s="491">
        <f>J19+H19+L19</f>
        <v>6648000</v>
      </c>
      <c r="G19" s="492">
        <v>0</v>
      </c>
      <c r="H19" s="493">
        <f>IF(C19=0,0,ROUNDDOWN(G19*C19,1))</f>
        <v>0</v>
      </c>
      <c r="I19" s="494">
        <f>재료비목록표!E14</f>
        <v>6648000</v>
      </c>
      <c r="J19" s="495">
        <f>IF(C19=0,0,ROUNDDOWN(I19*C19,1))</f>
        <v>6648000</v>
      </c>
      <c r="K19" s="492">
        <v>0</v>
      </c>
      <c r="L19" s="493">
        <f>IF(C19=0,0,ROUNDDOWN(K19*C19,1))</f>
        <v>0</v>
      </c>
      <c r="M19" s="463" t="s">
        <v>2384</v>
      </c>
      <c r="N19" s="451" t="s">
        <v>2385</v>
      </c>
      <c r="O19" s="468" t="s">
        <v>2386</v>
      </c>
      <c r="P19" s="468" t="s">
        <v>2354</v>
      </c>
      <c r="Z19" s="433" t="str">
        <f ca="1">HYPERLINK("#"&amp;재료비목록표!G2&amp;"!A"&amp;ROW(재료비목록표!A14),"M01609 →")</f>
        <v>M01609 →</v>
      </c>
    </row>
    <row r="20" spans="1:26" ht="33.200000000000003" customHeight="1">
      <c r="A20" s="463" t="s">
        <v>842</v>
      </c>
      <c r="B20" s="497"/>
      <c r="C20" s="497"/>
      <c r="D20" s="497"/>
      <c r="E20" s="497"/>
      <c r="F20" s="446">
        <f>J20+H20+L20</f>
        <v>6648000</v>
      </c>
      <c r="G20" s="497"/>
      <c r="H20" s="446">
        <f>ROUNDDOWN(SUMIF(P19:P19,O20,H19:H19),0)</f>
        <v>0</v>
      </c>
      <c r="I20" s="497"/>
      <c r="J20" s="446">
        <f>ROUNDDOWN(SUMIF(P19:P19,O20,J19:J19),0)</f>
        <v>6648000</v>
      </c>
      <c r="K20" s="497"/>
      <c r="L20" s="446">
        <f>ROUNDDOWN(SUMIF(P19:P19,O20,L19:L19),0)</f>
        <v>0</v>
      </c>
      <c r="M20" s="497"/>
      <c r="O20" s="468" t="s">
        <v>2354</v>
      </c>
    </row>
    <row r="21" spans="1:26" ht="33.200000000000003" customHeight="1">
      <c r="A21" s="484" t="s">
        <v>2387</v>
      </c>
      <c r="B21" s="484"/>
      <c r="C21" s="485"/>
      <c r="D21" s="485"/>
      <c r="E21" s="485"/>
      <c r="F21" s="485"/>
      <c r="G21" s="485"/>
      <c r="H21" s="485"/>
      <c r="I21" s="485"/>
      <c r="J21" s="485"/>
      <c r="K21" s="485"/>
      <c r="L21" s="485"/>
      <c r="M21" s="485"/>
      <c r="N21" s="486" t="str">
        <f>HYPERLINK("#N"&amp;ROW(N23),"_x0005_`BDCOD|B02713_x0007_`POSS|"&amp;ROW(N23)&amp;"_x0007_`POSE|"&amp;ROW(N23)&amp;"_x0007_`")</f>
        <v>_x0005_`BDCOD|B02713_x0007_`POSS|23_x0007_`POSE|23_x0007_`</v>
      </c>
    </row>
    <row r="22" spans="1:26" ht="33.200000000000003" customHeight="1">
      <c r="A22" s="469" t="s">
        <v>2083</v>
      </c>
      <c r="B22" s="469" t="s">
        <v>2088</v>
      </c>
      <c r="C22" s="487"/>
      <c r="D22" s="488" t="s">
        <v>1799</v>
      </c>
      <c r="E22" s="487"/>
      <c r="F22" s="487"/>
      <c r="G22" s="487"/>
      <c r="H22" s="487"/>
      <c r="I22" s="487"/>
      <c r="J22" s="487"/>
      <c r="K22" s="487"/>
      <c r="L22" s="487"/>
      <c r="M22" s="488" t="s">
        <v>2089</v>
      </c>
      <c r="O22" s="468" t="s">
        <v>2089</v>
      </c>
    </row>
    <row r="23" spans="1:26" ht="33.200000000000003" customHeight="1">
      <c r="A23" s="452" t="s">
        <v>2360</v>
      </c>
      <c r="B23" s="452" t="s">
        <v>2388</v>
      </c>
      <c r="C23" s="489">
        <v>3.0000000000000001E-3</v>
      </c>
      <c r="D23" s="480" t="s">
        <v>585</v>
      </c>
      <c r="E23" s="490">
        <f>I23+G23+K23</f>
        <v>172068</v>
      </c>
      <c r="F23" s="493">
        <f>J23+H23+L23</f>
        <v>516.20000000000005</v>
      </c>
      <c r="G23" s="494">
        <f>노무비목록표!E10</f>
        <v>172068</v>
      </c>
      <c r="H23" s="495">
        <f>IF(C23=0,0,ROUNDDOWN(G23*C23,1))</f>
        <v>516.20000000000005</v>
      </c>
      <c r="I23" s="492">
        <v>0</v>
      </c>
      <c r="J23" s="491">
        <f>IF(C23=0,0,ROUNDDOWN(I23*C23,1))</f>
        <v>0</v>
      </c>
      <c r="K23" s="492">
        <v>0</v>
      </c>
      <c r="L23" s="493">
        <f>IF(C23=0,0,ROUNDDOWN(K23*C23,1))</f>
        <v>0</v>
      </c>
      <c r="M23" s="463" t="s">
        <v>2361</v>
      </c>
      <c r="N23" s="451" t="s">
        <v>2389</v>
      </c>
      <c r="O23" s="468" t="s">
        <v>2363</v>
      </c>
      <c r="P23" s="468" t="s">
        <v>2354</v>
      </c>
      <c r="Z23" s="433" t="str">
        <f ca="1">HYPERLINK("#"&amp;노무비목록표!G2&amp;"!A"&amp;ROW(노무비목록표!A10),"L00017 →")</f>
        <v>L00017 →</v>
      </c>
    </row>
    <row r="24" spans="1:26" ht="33.200000000000003" customHeight="1">
      <c r="A24" s="463" t="s">
        <v>842</v>
      </c>
      <c r="B24" s="497"/>
      <c r="C24" s="497"/>
      <c r="D24" s="497"/>
      <c r="E24" s="497"/>
      <c r="F24" s="446">
        <f>J24+H24+L24</f>
        <v>516</v>
      </c>
      <c r="G24" s="497"/>
      <c r="H24" s="446">
        <f>ROUNDDOWN(SUMIF(P23:P23,O24,H23:H23),0)</f>
        <v>516</v>
      </c>
      <c r="I24" s="497"/>
      <c r="J24" s="446">
        <f>ROUNDDOWN(SUMIF(P23:P23,O24,J23:J23),0)</f>
        <v>0</v>
      </c>
      <c r="K24" s="497"/>
      <c r="L24" s="446">
        <f>ROUNDDOWN(SUMIF(P23:P23,O24,L23:L23),0)</f>
        <v>0</v>
      </c>
      <c r="M24" s="497"/>
      <c r="O24" s="468" t="s">
        <v>2354</v>
      </c>
    </row>
    <row r="25" spans="1:26" ht="33.200000000000003" customHeight="1">
      <c r="A25" s="484" t="s">
        <v>2390</v>
      </c>
      <c r="B25" s="484"/>
      <c r="C25" s="485"/>
      <c r="D25" s="485"/>
      <c r="E25" s="485"/>
      <c r="F25" s="485"/>
      <c r="G25" s="485"/>
      <c r="H25" s="485"/>
      <c r="I25" s="485"/>
      <c r="J25" s="485"/>
      <c r="K25" s="485"/>
      <c r="L25" s="485"/>
      <c r="M25" s="485"/>
      <c r="N25" s="486" t="str">
        <f>HYPERLINK("#N"&amp;ROW(N27),"_x0005_`BDCOD|B02712_x0007_`POSS|"&amp;ROW(N27)&amp;"_x0007_`POSE|"&amp;ROW(N27)&amp;"_x0007_`")</f>
        <v>_x0005_`BDCOD|B02712_x0007_`POSS|27_x0007_`POSE|27_x0007_`</v>
      </c>
    </row>
    <row r="26" spans="1:26" ht="33.200000000000003" customHeight="1">
      <c r="A26" s="469" t="s">
        <v>2083</v>
      </c>
      <c r="B26" s="469" t="s">
        <v>2084</v>
      </c>
      <c r="C26" s="487"/>
      <c r="D26" s="488" t="s">
        <v>1799</v>
      </c>
      <c r="E26" s="487"/>
      <c r="F26" s="487"/>
      <c r="G26" s="487"/>
      <c r="H26" s="487"/>
      <c r="I26" s="487"/>
      <c r="J26" s="487"/>
      <c r="K26" s="487"/>
      <c r="L26" s="487"/>
      <c r="M26" s="488" t="s">
        <v>2085</v>
      </c>
      <c r="O26" s="468" t="s">
        <v>2085</v>
      </c>
    </row>
    <row r="27" spans="1:26" ht="33.200000000000003" customHeight="1">
      <c r="A27" s="452" t="s">
        <v>2360</v>
      </c>
      <c r="B27" s="452" t="s">
        <v>2388</v>
      </c>
      <c r="C27" s="489">
        <v>1E-3</v>
      </c>
      <c r="D27" s="480" t="s">
        <v>585</v>
      </c>
      <c r="E27" s="490">
        <f>I27+G27+K27</f>
        <v>172068</v>
      </c>
      <c r="F27" s="493">
        <f>J27+H27+L27</f>
        <v>172</v>
      </c>
      <c r="G27" s="494">
        <f>노무비목록표!E10</f>
        <v>172068</v>
      </c>
      <c r="H27" s="495">
        <f>IF(C27=0,0,ROUNDDOWN(G27*C27,1))</f>
        <v>172</v>
      </c>
      <c r="I27" s="492">
        <v>0</v>
      </c>
      <c r="J27" s="491">
        <f>IF(C27=0,0,ROUNDDOWN(I27*C27,1))</f>
        <v>0</v>
      </c>
      <c r="K27" s="492">
        <v>0</v>
      </c>
      <c r="L27" s="493">
        <f>IF(C27=0,0,ROUNDDOWN(K27*C27,1))</f>
        <v>0</v>
      </c>
      <c r="M27" s="463" t="s">
        <v>2361</v>
      </c>
      <c r="N27" s="451" t="s">
        <v>2389</v>
      </c>
      <c r="O27" s="468" t="s">
        <v>2363</v>
      </c>
      <c r="P27" s="468" t="s">
        <v>2354</v>
      </c>
      <c r="Z27" s="433" t="str">
        <f ca="1">HYPERLINK("#"&amp;노무비목록표!G2&amp;"!A"&amp;ROW(노무비목록표!A10),"L00017 →")</f>
        <v>L00017 →</v>
      </c>
    </row>
    <row r="28" spans="1:26" ht="33.200000000000003" customHeight="1">
      <c r="A28" s="463" t="s">
        <v>842</v>
      </c>
      <c r="B28" s="497"/>
      <c r="C28" s="497"/>
      <c r="D28" s="497"/>
      <c r="E28" s="497"/>
      <c r="F28" s="446">
        <f>J28+H28+L28</f>
        <v>172</v>
      </c>
      <c r="G28" s="497"/>
      <c r="H28" s="446">
        <f>ROUNDDOWN(SUMIF(P27:P27,O28,H27:H27),0)</f>
        <v>172</v>
      </c>
      <c r="I28" s="497"/>
      <c r="J28" s="446">
        <f>ROUNDDOWN(SUMIF(P27:P27,O28,J27:J27),0)</f>
        <v>0</v>
      </c>
      <c r="K28" s="497"/>
      <c r="L28" s="446">
        <f>ROUNDDOWN(SUMIF(P27:P27,O28,L27:L27),0)</f>
        <v>0</v>
      </c>
      <c r="M28" s="497"/>
      <c r="O28" s="468" t="s">
        <v>2354</v>
      </c>
    </row>
    <row r="29" spans="1:26" ht="33.200000000000003" customHeight="1">
      <c r="A29" s="484" t="s">
        <v>2391</v>
      </c>
      <c r="B29" s="484"/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6" t="str">
        <f>HYPERLINK("#N"&amp;ROW(N31),"_x0005_`BDCOD|B02714_x0007_`POSS|"&amp;ROW(N31)&amp;"_x0007_`POSE|"&amp;ROW(N31)&amp;"_x0007_`")</f>
        <v>_x0005_`BDCOD|B02714_x0007_`POSS|31_x0007_`POSE|31_x0007_`</v>
      </c>
    </row>
    <row r="30" spans="1:26" ht="33.200000000000003" customHeight="1">
      <c r="A30" s="469" t="s">
        <v>2083</v>
      </c>
      <c r="B30" s="469" t="s">
        <v>2092</v>
      </c>
      <c r="C30" s="487"/>
      <c r="D30" s="488" t="s">
        <v>1799</v>
      </c>
      <c r="E30" s="487"/>
      <c r="F30" s="487"/>
      <c r="G30" s="487"/>
      <c r="H30" s="487"/>
      <c r="I30" s="487"/>
      <c r="J30" s="487"/>
      <c r="K30" s="487"/>
      <c r="L30" s="487"/>
      <c r="M30" s="488" t="s">
        <v>2093</v>
      </c>
      <c r="O30" s="468" t="s">
        <v>2093</v>
      </c>
    </row>
    <row r="31" spans="1:26" ht="33.200000000000003" customHeight="1">
      <c r="A31" s="452" t="s">
        <v>2360</v>
      </c>
      <c r="B31" s="452" t="s">
        <v>2388</v>
      </c>
      <c r="C31" s="489">
        <v>4.0000000000000001E-3</v>
      </c>
      <c r="D31" s="480" t="s">
        <v>585</v>
      </c>
      <c r="E31" s="490">
        <f>I31+G31+K31</f>
        <v>172068</v>
      </c>
      <c r="F31" s="493">
        <f>J31+H31+L31</f>
        <v>688.2</v>
      </c>
      <c r="G31" s="494">
        <f>노무비목록표!E10</f>
        <v>172068</v>
      </c>
      <c r="H31" s="495">
        <f>IF(C31=0,0,ROUNDDOWN(G31*C31,1))</f>
        <v>688.2</v>
      </c>
      <c r="I31" s="492">
        <v>0</v>
      </c>
      <c r="J31" s="491">
        <f>IF(C31=0,0,ROUNDDOWN(I31*C31,1))</f>
        <v>0</v>
      </c>
      <c r="K31" s="492">
        <v>0</v>
      </c>
      <c r="L31" s="493">
        <f>IF(C31=0,0,ROUNDDOWN(K31*C31,1))</f>
        <v>0</v>
      </c>
      <c r="M31" s="463" t="s">
        <v>2361</v>
      </c>
      <c r="N31" s="451" t="s">
        <v>2389</v>
      </c>
      <c r="O31" s="468" t="s">
        <v>2363</v>
      </c>
      <c r="P31" s="468" t="s">
        <v>2354</v>
      </c>
      <c r="Z31" s="433" t="str">
        <f ca="1">HYPERLINK("#"&amp;노무비목록표!G2&amp;"!A"&amp;ROW(노무비목록표!A10),"L00017 →")</f>
        <v>L00017 →</v>
      </c>
    </row>
    <row r="32" spans="1:26" ht="33.200000000000003" customHeight="1">
      <c r="A32" s="463" t="s">
        <v>842</v>
      </c>
      <c r="B32" s="497"/>
      <c r="C32" s="497"/>
      <c r="D32" s="497"/>
      <c r="E32" s="497"/>
      <c r="F32" s="446">
        <f>J32+H32+L32</f>
        <v>688</v>
      </c>
      <c r="G32" s="497"/>
      <c r="H32" s="446">
        <f>ROUNDDOWN(SUMIF(P31:P31,O32,H31:H31),0)</f>
        <v>688</v>
      </c>
      <c r="I32" s="497"/>
      <c r="J32" s="446">
        <f>ROUNDDOWN(SUMIF(P31:P31,O32,J31:J31),0)</f>
        <v>0</v>
      </c>
      <c r="K32" s="497"/>
      <c r="L32" s="446">
        <f>ROUNDDOWN(SUMIF(P31:P31,O32,L31:L31),0)</f>
        <v>0</v>
      </c>
      <c r="M32" s="497"/>
      <c r="O32" s="468" t="s">
        <v>2354</v>
      </c>
    </row>
    <row r="33" spans="1:26" ht="33.200000000000003" customHeight="1">
      <c r="A33" s="484" t="s">
        <v>2392</v>
      </c>
      <c r="B33" s="484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6" t="str">
        <f>HYPERLINK("#N"&amp;ROW(N35),"_x0005_`BDCOD|B02715_x0007_`POSS|"&amp;ROW(N35)&amp;"_x0007_`POSE|"&amp;ROW(N35)&amp;"_x0007_`")</f>
        <v>_x0005_`BDCOD|B02715_x0007_`POSS|35_x0007_`POSE|35_x0007_`</v>
      </c>
    </row>
    <row r="34" spans="1:26" ht="33.200000000000003" customHeight="1">
      <c r="A34" s="469" t="s">
        <v>2083</v>
      </c>
      <c r="B34" s="469" t="s">
        <v>2096</v>
      </c>
      <c r="C34" s="487"/>
      <c r="D34" s="488" t="s">
        <v>1799</v>
      </c>
      <c r="E34" s="487"/>
      <c r="F34" s="487"/>
      <c r="G34" s="487"/>
      <c r="H34" s="487"/>
      <c r="I34" s="487"/>
      <c r="J34" s="487"/>
      <c r="K34" s="487"/>
      <c r="L34" s="487"/>
      <c r="M34" s="488" t="s">
        <v>2097</v>
      </c>
      <c r="O34" s="468" t="s">
        <v>2097</v>
      </c>
    </row>
    <row r="35" spans="1:26" ht="33.200000000000003" customHeight="1">
      <c r="A35" s="452" t="s">
        <v>2360</v>
      </c>
      <c r="B35" s="452" t="s">
        <v>2388</v>
      </c>
      <c r="C35" s="489">
        <v>6.0000000000000001E-3</v>
      </c>
      <c r="D35" s="480" t="s">
        <v>585</v>
      </c>
      <c r="E35" s="490">
        <f>I35+G35+K35</f>
        <v>172068</v>
      </c>
      <c r="F35" s="493">
        <f>J35+H35+L35</f>
        <v>1032.4000000000001</v>
      </c>
      <c r="G35" s="494">
        <f>노무비목록표!E10</f>
        <v>172068</v>
      </c>
      <c r="H35" s="495">
        <f>IF(C35=0,0,ROUNDDOWN(G35*C35,1))</f>
        <v>1032.4000000000001</v>
      </c>
      <c r="I35" s="492">
        <v>0</v>
      </c>
      <c r="J35" s="491">
        <f>IF(C35=0,0,ROUNDDOWN(I35*C35,1))</f>
        <v>0</v>
      </c>
      <c r="K35" s="492">
        <v>0</v>
      </c>
      <c r="L35" s="493">
        <f>IF(C35=0,0,ROUNDDOWN(K35*C35,1))</f>
        <v>0</v>
      </c>
      <c r="M35" s="463" t="s">
        <v>2361</v>
      </c>
      <c r="N35" s="451" t="s">
        <v>2389</v>
      </c>
      <c r="O35" s="468" t="s">
        <v>2363</v>
      </c>
      <c r="P35" s="468" t="s">
        <v>2354</v>
      </c>
      <c r="Z35" s="433" t="str">
        <f ca="1">HYPERLINK("#"&amp;노무비목록표!G2&amp;"!A"&amp;ROW(노무비목록표!A10),"L00017 →")</f>
        <v>L00017 →</v>
      </c>
    </row>
    <row r="36" spans="1:26" ht="33.200000000000003" customHeight="1">
      <c r="A36" s="463" t="s">
        <v>842</v>
      </c>
      <c r="B36" s="497"/>
      <c r="C36" s="497"/>
      <c r="D36" s="497"/>
      <c r="E36" s="497"/>
      <c r="F36" s="446">
        <f>J36+H36+L36</f>
        <v>1032</v>
      </c>
      <c r="G36" s="497"/>
      <c r="H36" s="446">
        <f>ROUNDDOWN(SUMIF(P35:P35,O36,H35:H35),0)</f>
        <v>1032</v>
      </c>
      <c r="I36" s="497"/>
      <c r="J36" s="446">
        <f>ROUNDDOWN(SUMIF(P35:P35,O36,J35:J35),0)</f>
        <v>0</v>
      </c>
      <c r="K36" s="497"/>
      <c r="L36" s="446">
        <f>ROUNDDOWN(SUMIF(P35:P35,O36,L35:L35),0)</f>
        <v>0</v>
      </c>
      <c r="M36" s="497"/>
      <c r="O36" s="468" t="s">
        <v>2354</v>
      </c>
    </row>
    <row r="37" spans="1:26" ht="33.200000000000003" customHeight="1">
      <c r="A37" s="484" t="s">
        <v>2393</v>
      </c>
      <c r="B37" s="484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6" t="str">
        <f>HYPERLINK("#N"&amp;ROW(N39),"_x0005_`BDCOD|B02716_x0007_`POSS|"&amp;ROW(N39)&amp;"_x0007_`POSE|"&amp;ROW(N39)&amp;"_x0007_`")</f>
        <v>_x0005_`BDCOD|B02716_x0007_`POSS|39_x0007_`POSE|39_x0007_`</v>
      </c>
    </row>
    <row r="38" spans="1:26" ht="33.200000000000003" customHeight="1">
      <c r="A38" s="469" t="s">
        <v>2083</v>
      </c>
      <c r="B38" s="469" t="s">
        <v>2100</v>
      </c>
      <c r="C38" s="487"/>
      <c r="D38" s="488" t="s">
        <v>1799</v>
      </c>
      <c r="E38" s="487"/>
      <c r="F38" s="487"/>
      <c r="G38" s="487"/>
      <c r="H38" s="487"/>
      <c r="I38" s="487"/>
      <c r="J38" s="487"/>
      <c r="K38" s="487"/>
      <c r="L38" s="487"/>
      <c r="M38" s="488" t="s">
        <v>2101</v>
      </c>
      <c r="O38" s="468" t="s">
        <v>2101</v>
      </c>
    </row>
    <row r="39" spans="1:26" ht="33.200000000000003" customHeight="1">
      <c r="A39" s="452" t="s">
        <v>2360</v>
      </c>
      <c r="B39" s="452" t="s">
        <v>2388</v>
      </c>
      <c r="C39" s="489">
        <v>8.0000000000000002E-3</v>
      </c>
      <c r="D39" s="480" t="s">
        <v>585</v>
      </c>
      <c r="E39" s="490">
        <f>I39+G39+K39</f>
        <v>172068</v>
      </c>
      <c r="F39" s="493">
        <f>J39+H39+L39</f>
        <v>1376.5</v>
      </c>
      <c r="G39" s="494">
        <f>노무비목록표!E10</f>
        <v>172068</v>
      </c>
      <c r="H39" s="495">
        <f>IF(C39=0,0,ROUNDDOWN(G39*C39,1))</f>
        <v>1376.5</v>
      </c>
      <c r="I39" s="492">
        <v>0</v>
      </c>
      <c r="J39" s="491">
        <f>IF(C39=0,0,ROUNDDOWN(I39*C39,1))</f>
        <v>0</v>
      </c>
      <c r="K39" s="492">
        <v>0</v>
      </c>
      <c r="L39" s="493">
        <f>IF(C39=0,0,ROUNDDOWN(K39*C39,1))</f>
        <v>0</v>
      </c>
      <c r="M39" s="463" t="s">
        <v>2361</v>
      </c>
      <c r="N39" s="451" t="s">
        <v>2389</v>
      </c>
      <c r="O39" s="468" t="s">
        <v>2363</v>
      </c>
      <c r="P39" s="468" t="s">
        <v>2354</v>
      </c>
      <c r="Z39" s="433" t="str">
        <f ca="1">HYPERLINK("#"&amp;노무비목록표!G2&amp;"!A"&amp;ROW(노무비목록표!A10),"L00017 →")</f>
        <v>L00017 →</v>
      </c>
    </row>
    <row r="40" spans="1:26" ht="33.200000000000003" customHeight="1">
      <c r="A40" s="463" t="s">
        <v>842</v>
      </c>
      <c r="B40" s="497"/>
      <c r="C40" s="497"/>
      <c r="D40" s="497"/>
      <c r="E40" s="497"/>
      <c r="F40" s="446">
        <f>J40+H40+L40</f>
        <v>1376</v>
      </c>
      <c r="G40" s="497"/>
      <c r="H40" s="446">
        <f>ROUNDDOWN(SUMIF(P39:P39,O40,H39:H39),0)</f>
        <v>1376</v>
      </c>
      <c r="I40" s="497"/>
      <c r="J40" s="446">
        <f>ROUNDDOWN(SUMIF(P39:P39,O40,J39:J39),0)</f>
        <v>0</v>
      </c>
      <c r="K40" s="497"/>
      <c r="L40" s="446">
        <f>ROUNDDOWN(SUMIF(P39:P39,O40,L39:L39),0)</f>
        <v>0</v>
      </c>
      <c r="M40" s="497"/>
      <c r="O40" s="468" t="s">
        <v>2354</v>
      </c>
    </row>
    <row r="41" spans="1:26" ht="33.200000000000003" customHeight="1">
      <c r="A41" s="484" t="s">
        <v>2394</v>
      </c>
      <c r="B41" s="484"/>
      <c r="C41" s="485"/>
      <c r="D41" s="485"/>
      <c r="E41" s="485"/>
      <c r="F41" s="485"/>
      <c r="G41" s="485"/>
      <c r="H41" s="485"/>
      <c r="I41" s="485"/>
      <c r="J41" s="485"/>
      <c r="K41" s="485"/>
      <c r="L41" s="485"/>
      <c r="M41" s="485"/>
      <c r="N41" s="486" t="str">
        <f>HYPERLINK("#N"&amp;ROW(N43),"_x0005_`BDCOD|B02717_x0007_`POSS|"&amp;ROW(N43)&amp;"_x0007_`POSE|"&amp;ROW(N43)&amp;"_x0007_`")</f>
        <v>_x0005_`BDCOD|B02717_x0007_`POSS|43_x0007_`POSE|43_x0007_`</v>
      </c>
    </row>
    <row r="42" spans="1:26" ht="33.200000000000003" customHeight="1">
      <c r="A42" s="469" t="s">
        <v>2083</v>
      </c>
      <c r="B42" s="469" t="s">
        <v>2104</v>
      </c>
      <c r="C42" s="487"/>
      <c r="D42" s="488" t="s">
        <v>1799</v>
      </c>
      <c r="E42" s="487"/>
      <c r="F42" s="487"/>
      <c r="G42" s="487"/>
      <c r="H42" s="487"/>
      <c r="I42" s="487"/>
      <c r="J42" s="487"/>
      <c r="K42" s="487"/>
      <c r="L42" s="487"/>
      <c r="M42" s="488" t="s">
        <v>2105</v>
      </c>
      <c r="O42" s="468" t="s">
        <v>2105</v>
      </c>
    </row>
    <row r="43" spans="1:26" ht="33.200000000000003" customHeight="1">
      <c r="A43" s="452" t="s">
        <v>2360</v>
      </c>
      <c r="B43" s="452" t="s">
        <v>2388</v>
      </c>
      <c r="C43" s="489">
        <v>0.01</v>
      </c>
      <c r="D43" s="480" t="s">
        <v>585</v>
      </c>
      <c r="E43" s="490">
        <f>I43+G43+K43</f>
        <v>172068</v>
      </c>
      <c r="F43" s="493">
        <f>J43+H43+L43</f>
        <v>1720.6</v>
      </c>
      <c r="G43" s="494">
        <f>노무비목록표!E10</f>
        <v>172068</v>
      </c>
      <c r="H43" s="495">
        <f>IF(C43=0,0,ROUNDDOWN(G43*C43,1))</f>
        <v>1720.6</v>
      </c>
      <c r="I43" s="492">
        <v>0</v>
      </c>
      <c r="J43" s="491">
        <f>IF(C43=0,0,ROUNDDOWN(I43*C43,1))</f>
        <v>0</v>
      </c>
      <c r="K43" s="492">
        <v>0</v>
      </c>
      <c r="L43" s="493">
        <f>IF(C43=0,0,ROUNDDOWN(K43*C43,1))</f>
        <v>0</v>
      </c>
      <c r="M43" s="463" t="s">
        <v>2361</v>
      </c>
      <c r="N43" s="451" t="s">
        <v>2389</v>
      </c>
      <c r="O43" s="468" t="s">
        <v>2363</v>
      </c>
      <c r="P43" s="468" t="s">
        <v>2354</v>
      </c>
      <c r="Z43" s="433" t="str">
        <f ca="1">HYPERLINK("#"&amp;노무비목록표!G2&amp;"!A"&amp;ROW(노무비목록표!A10),"L00017 →")</f>
        <v>L00017 →</v>
      </c>
    </row>
    <row r="44" spans="1:26" ht="33.200000000000003" customHeight="1">
      <c r="A44" s="463" t="s">
        <v>842</v>
      </c>
      <c r="B44" s="497"/>
      <c r="C44" s="497"/>
      <c r="D44" s="497"/>
      <c r="E44" s="497"/>
      <c r="F44" s="446">
        <f>J44+H44+L44</f>
        <v>1720</v>
      </c>
      <c r="G44" s="497"/>
      <c r="H44" s="446">
        <f>ROUNDDOWN(SUMIF(P43:P43,O44,H43:H43),0)</f>
        <v>1720</v>
      </c>
      <c r="I44" s="497"/>
      <c r="J44" s="446">
        <f>ROUNDDOWN(SUMIF(P43:P43,O44,J43:J43),0)</f>
        <v>0</v>
      </c>
      <c r="K44" s="497"/>
      <c r="L44" s="446">
        <f>ROUNDDOWN(SUMIF(P43:P43,O44,L43:L43),0)</f>
        <v>0</v>
      </c>
      <c r="M44" s="497"/>
      <c r="O44" s="468" t="s">
        <v>2354</v>
      </c>
    </row>
    <row r="45" spans="1:26" ht="33.200000000000003" customHeight="1">
      <c r="A45" s="484" t="s">
        <v>2395</v>
      </c>
      <c r="B45" s="484"/>
      <c r="C45" s="485"/>
      <c r="D45" s="485"/>
      <c r="E45" s="485"/>
      <c r="F45" s="485"/>
      <c r="G45" s="485"/>
      <c r="H45" s="485"/>
      <c r="I45" s="485"/>
      <c r="J45" s="485"/>
      <c r="K45" s="485"/>
      <c r="L45" s="485"/>
      <c r="M45" s="485"/>
      <c r="N45" s="486" t="str">
        <f>HYPERLINK("#N"&amp;ROW(N47),"_x0005_`BDCOD|B02645_x0007_`POSS|"&amp;ROW(N47)&amp;"_x0007_`POSE|"&amp;ROW(N47)&amp;"_x0007_`")</f>
        <v>_x0005_`BDCOD|B02645_x0007_`POSS|47_x0007_`POSE|47_x0007_`</v>
      </c>
    </row>
    <row r="46" spans="1:26" ht="33.200000000000003" customHeight="1">
      <c r="A46" s="469" t="s">
        <v>1326</v>
      </c>
      <c r="B46" s="469" t="s">
        <v>1327</v>
      </c>
      <c r="C46" s="487"/>
      <c r="D46" s="488" t="s">
        <v>975</v>
      </c>
      <c r="E46" s="487"/>
      <c r="F46" s="487"/>
      <c r="G46" s="487"/>
      <c r="H46" s="487"/>
      <c r="I46" s="487"/>
      <c r="J46" s="487"/>
      <c r="K46" s="487"/>
      <c r="L46" s="487"/>
      <c r="M46" s="488" t="s">
        <v>1328</v>
      </c>
      <c r="O46" s="468" t="s">
        <v>1328</v>
      </c>
    </row>
    <row r="47" spans="1:26" ht="33.200000000000003" customHeight="1">
      <c r="A47" s="452" t="s">
        <v>1326</v>
      </c>
      <c r="B47" s="452" t="s">
        <v>2396</v>
      </c>
      <c r="C47" s="489">
        <v>1</v>
      </c>
      <c r="D47" s="480" t="s">
        <v>1589</v>
      </c>
      <c r="E47" s="490">
        <f>I47+G47+K47</f>
        <v>3950000</v>
      </c>
      <c r="F47" s="491">
        <f>J47+H47+L47</f>
        <v>3950000</v>
      </c>
      <c r="G47" s="492">
        <v>0</v>
      </c>
      <c r="H47" s="493">
        <f>IF(C47=0,0,ROUNDDOWN(G47*C47,1))</f>
        <v>0</v>
      </c>
      <c r="I47" s="494">
        <f>재료비목록표!E15</f>
        <v>3950000</v>
      </c>
      <c r="J47" s="495">
        <f>IF(C47=0,0,ROUNDDOWN(I47*C47,1))</f>
        <v>3950000</v>
      </c>
      <c r="K47" s="492">
        <v>0</v>
      </c>
      <c r="L47" s="493">
        <f>IF(C47=0,0,ROUNDDOWN(K47*C47,1))</f>
        <v>0</v>
      </c>
      <c r="M47" s="463" t="s">
        <v>2397</v>
      </c>
      <c r="N47" s="451" t="s">
        <v>2398</v>
      </c>
      <c r="O47" s="468" t="s">
        <v>2399</v>
      </c>
      <c r="P47" s="468" t="s">
        <v>2354</v>
      </c>
      <c r="Z47" s="433" t="str">
        <f ca="1">HYPERLINK("#"&amp;재료비목록표!G2&amp;"!A"&amp;ROW(재료비목록표!A15),"M01612 →")</f>
        <v>M01612 →</v>
      </c>
    </row>
    <row r="48" spans="1:26" ht="33.200000000000003" customHeight="1">
      <c r="A48" s="463" t="s">
        <v>842</v>
      </c>
      <c r="B48" s="497"/>
      <c r="C48" s="497"/>
      <c r="D48" s="497"/>
      <c r="E48" s="497"/>
      <c r="F48" s="446">
        <f>J48+H48+L48</f>
        <v>3950000</v>
      </c>
      <c r="G48" s="497"/>
      <c r="H48" s="446">
        <f>ROUNDDOWN(SUMIF(P47:P47,O48,H47:H47),0)</f>
        <v>0</v>
      </c>
      <c r="I48" s="497"/>
      <c r="J48" s="446">
        <f>ROUNDDOWN(SUMIF(P47:P47,O48,J47:J47),0)</f>
        <v>3950000</v>
      </c>
      <c r="K48" s="497"/>
      <c r="L48" s="446">
        <f>ROUNDDOWN(SUMIF(P47:P47,O48,L47:L47),0)</f>
        <v>0</v>
      </c>
      <c r="M48" s="497"/>
      <c r="O48" s="468" t="s">
        <v>2354</v>
      </c>
    </row>
    <row r="49" spans="1:26" ht="33.200000000000003" customHeight="1">
      <c r="A49" s="484" t="s">
        <v>2400</v>
      </c>
      <c r="B49" s="484"/>
      <c r="C49" s="485"/>
      <c r="D49" s="485"/>
      <c r="E49" s="485"/>
      <c r="F49" s="485"/>
      <c r="G49" s="485"/>
      <c r="H49" s="485"/>
      <c r="I49" s="485"/>
      <c r="J49" s="485"/>
      <c r="K49" s="485"/>
      <c r="L49" s="485"/>
      <c r="M49" s="485"/>
      <c r="N49" s="486" t="str">
        <f>HYPERLINK("#N"&amp;ROW(N51),"_x0005_`BDCOD|B02587_x0007_`POSS|"&amp;ROW(N51)&amp;"_x0007_`POSE|"&amp;ROW(N51)&amp;"_x0007_`")</f>
        <v>_x0005_`BDCOD|B02587_x0007_`POSS|51_x0007_`POSE|51_x0007_`</v>
      </c>
    </row>
    <row r="50" spans="1:26" ht="33.200000000000003" customHeight="1">
      <c r="A50" s="469" t="s">
        <v>1432</v>
      </c>
      <c r="B50" s="469" t="s">
        <v>1433</v>
      </c>
      <c r="C50" s="487"/>
      <c r="D50" s="488" t="s">
        <v>975</v>
      </c>
      <c r="E50" s="487"/>
      <c r="F50" s="487"/>
      <c r="G50" s="487"/>
      <c r="H50" s="487"/>
      <c r="I50" s="487"/>
      <c r="J50" s="487"/>
      <c r="K50" s="487"/>
      <c r="L50" s="487"/>
      <c r="M50" s="488" t="s">
        <v>1434</v>
      </c>
      <c r="O50" s="468" t="s">
        <v>1434</v>
      </c>
    </row>
    <row r="51" spans="1:26" ht="33.200000000000003" customHeight="1">
      <c r="A51" s="452" t="s">
        <v>2401</v>
      </c>
      <c r="B51" s="452" t="s">
        <v>2402</v>
      </c>
      <c r="C51" s="489">
        <v>1</v>
      </c>
      <c r="D51" s="480" t="s">
        <v>2377</v>
      </c>
      <c r="E51" s="490">
        <f>I51+G51+K51</f>
        <v>2004000</v>
      </c>
      <c r="F51" s="491">
        <f>J51+H51+L51</f>
        <v>2004000</v>
      </c>
      <c r="G51" s="492">
        <v>0</v>
      </c>
      <c r="H51" s="493">
        <f>IF(C51=0,0,ROUNDDOWN(G51*C51,1))</f>
        <v>0</v>
      </c>
      <c r="I51" s="494">
        <f>재료비목록표!E24</f>
        <v>2004000</v>
      </c>
      <c r="J51" s="495">
        <f>IF(C51=0,0,ROUNDDOWN(I51*C51,1))</f>
        <v>2004000</v>
      </c>
      <c r="K51" s="492">
        <v>0</v>
      </c>
      <c r="L51" s="493">
        <f>IF(C51=0,0,ROUNDDOWN(K51*C51,1))</f>
        <v>0</v>
      </c>
      <c r="M51" s="463" t="s">
        <v>2403</v>
      </c>
      <c r="N51" s="451" t="s">
        <v>2404</v>
      </c>
      <c r="O51" s="468" t="s">
        <v>2405</v>
      </c>
      <c r="P51" s="468" t="s">
        <v>2354</v>
      </c>
      <c r="Z51" s="433" t="str">
        <f ca="1">HYPERLINK("#"&amp;재료비목록표!G2&amp;"!A"&amp;ROW(재료비목록표!A24),"M01605 →")</f>
        <v>M01605 →</v>
      </c>
    </row>
    <row r="52" spans="1:26" ht="33.200000000000003" customHeight="1">
      <c r="A52" s="463" t="s">
        <v>842</v>
      </c>
      <c r="B52" s="497"/>
      <c r="C52" s="497"/>
      <c r="D52" s="497"/>
      <c r="E52" s="497"/>
      <c r="F52" s="446">
        <f>J52+H52+L52</f>
        <v>2004000</v>
      </c>
      <c r="G52" s="497"/>
      <c r="H52" s="446">
        <f>ROUNDDOWN(SUMIF(P51:P51,O52,H51:H51),0)</f>
        <v>0</v>
      </c>
      <c r="I52" s="497"/>
      <c r="J52" s="446">
        <f>ROUNDDOWN(SUMIF(P51:P51,O52,J51:J51),0)</f>
        <v>2004000</v>
      </c>
      <c r="K52" s="497"/>
      <c r="L52" s="446">
        <f>ROUNDDOWN(SUMIF(P51:P51,O52,L51:L51),0)</f>
        <v>0</v>
      </c>
      <c r="M52" s="497"/>
      <c r="O52" s="468" t="s">
        <v>2354</v>
      </c>
    </row>
    <row r="53" spans="1:26" ht="33.200000000000003" customHeight="1">
      <c r="A53" s="484" t="s">
        <v>2406</v>
      </c>
      <c r="B53" s="484"/>
      <c r="C53" s="485"/>
      <c r="D53" s="485"/>
      <c r="E53" s="485"/>
      <c r="F53" s="485"/>
      <c r="G53" s="485"/>
      <c r="H53" s="485"/>
      <c r="I53" s="485"/>
      <c r="J53" s="485"/>
      <c r="K53" s="485"/>
      <c r="L53" s="485"/>
      <c r="M53" s="485"/>
      <c r="N53" s="486" t="str">
        <f>HYPERLINK("#N"&amp;ROW(N58),"_x0005_`BDCOD|B02299_x0007_`POSS|"&amp;ROW(N55)&amp;"_x0007_`POSE|"&amp;ROW(N58)&amp;"_x0007_`")</f>
        <v>_x0005_`BDCOD|B02299_x0007_`POSS|55_x0007_`POSE|58_x0007_`</v>
      </c>
    </row>
    <row r="54" spans="1:26" ht="33.200000000000003" customHeight="1">
      <c r="A54" s="469" t="s">
        <v>2282</v>
      </c>
      <c r="B54" s="469" t="s">
        <v>2283</v>
      </c>
      <c r="C54" s="487"/>
      <c r="D54" s="488" t="s">
        <v>8</v>
      </c>
      <c r="E54" s="487"/>
      <c r="F54" s="487"/>
      <c r="G54" s="487"/>
      <c r="H54" s="487"/>
      <c r="I54" s="487"/>
      <c r="J54" s="487"/>
      <c r="K54" s="487"/>
      <c r="L54" s="487"/>
      <c r="M54" s="488" t="s">
        <v>2281</v>
      </c>
      <c r="O54" s="468" t="s">
        <v>2281</v>
      </c>
    </row>
    <row r="55" spans="1:26" ht="33.200000000000003" customHeight="1">
      <c r="A55" s="452" t="s">
        <v>2360</v>
      </c>
      <c r="B55" s="452"/>
      <c r="C55" s="489">
        <v>1.9E-2</v>
      </c>
      <c r="D55" s="480" t="s">
        <v>585</v>
      </c>
      <c r="E55" s="490">
        <f t="shared" ref="E55:F58" si="1">I55+G55+K55</f>
        <v>172068</v>
      </c>
      <c r="F55" s="493">
        <f t="shared" si="1"/>
        <v>3269.2</v>
      </c>
      <c r="G55" s="494">
        <f>노무비목록표!E10</f>
        <v>172068</v>
      </c>
      <c r="H55" s="495">
        <f>IF(C55=0,0,ROUNDDOWN(G55*C55,1))</f>
        <v>3269.2</v>
      </c>
      <c r="I55" s="492">
        <v>0</v>
      </c>
      <c r="J55" s="491">
        <f>IF(C55=0,0,ROUNDDOWN(I55*C55,1))</f>
        <v>0</v>
      </c>
      <c r="K55" s="492">
        <v>0</v>
      </c>
      <c r="L55" s="493">
        <f>IF(C55=0,0,ROUNDDOWN(K55*C55,1))</f>
        <v>0</v>
      </c>
      <c r="M55" s="463" t="s">
        <v>2361</v>
      </c>
      <c r="N55" s="451" t="s">
        <v>2362</v>
      </c>
      <c r="O55" s="468" t="s">
        <v>2363</v>
      </c>
      <c r="P55" s="468" t="s">
        <v>2354</v>
      </c>
      <c r="Z55" s="433" t="str">
        <f ca="1">HYPERLINK("#"&amp;노무비목록표!G2&amp;"!A"&amp;ROW(노무비목록표!A10),"L00017 →")</f>
        <v>L00017 →</v>
      </c>
    </row>
    <row r="56" spans="1:26" ht="33.200000000000003" customHeight="1">
      <c r="A56" s="452" t="s">
        <v>2407</v>
      </c>
      <c r="B56" s="452" t="s">
        <v>2408</v>
      </c>
      <c r="C56" s="489">
        <v>7.5999999999999998E-2</v>
      </c>
      <c r="D56" s="480" t="s">
        <v>2409</v>
      </c>
      <c r="E56" s="490">
        <f t="shared" si="1"/>
        <v>81235</v>
      </c>
      <c r="F56" s="493">
        <f t="shared" si="1"/>
        <v>6173.7</v>
      </c>
      <c r="G56" s="494">
        <f>중기목록표!F5</f>
        <v>59020</v>
      </c>
      <c r="H56" s="498">
        <f>IF(C56=0,0,ROUNDDOWN(G56*C56,1))</f>
        <v>4485.5</v>
      </c>
      <c r="I56" s="494">
        <f>중기목록표!G5</f>
        <v>8342</v>
      </c>
      <c r="J56" s="498">
        <f>IF(C56=0,0,ROUNDDOWN(I56*C56,1))</f>
        <v>633.9</v>
      </c>
      <c r="K56" s="494">
        <f>중기목록표!H5</f>
        <v>13873</v>
      </c>
      <c r="L56" s="498">
        <f>IF(C56=0,0,ROUNDDOWN(K56*C56,1))</f>
        <v>1054.3</v>
      </c>
      <c r="M56" s="463" t="s">
        <v>2410</v>
      </c>
      <c r="N56" s="451" t="s">
        <v>2411</v>
      </c>
      <c r="O56" s="468" t="s">
        <v>2412</v>
      </c>
      <c r="P56" s="468" t="s">
        <v>2354</v>
      </c>
      <c r="Z56" s="433" t="str">
        <f ca="1">HYPERLINK("#"&amp;중기목록표!J2&amp;"!A"&amp;ROW(중기목록표!A5),"X00273 →")</f>
        <v>X00273 →</v>
      </c>
    </row>
    <row r="57" spans="1:26" ht="33.200000000000003" customHeight="1">
      <c r="A57" s="452" t="s">
        <v>2413</v>
      </c>
      <c r="B57" s="452" t="s">
        <v>2414</v>
      </c>
      <c r="C57" s="489">
        <v>1.9E-2</v>
      </c>
      <c r="D57" s="480" t="s">
        <v>2409</v>
      </c>
      <c r="E57" s="490">
        <f t="shared" si="1"/>
        <v>76436</v>
      </c>
      <c r="F57" s="493">
        <f t="shared" si="1"/>
        <v>1452.1000000000001</v>
      </c>
      <c r="G57" s="494">
        <f>중기목록표!F15</f>
        <v>49778</v>
      </c>
      <c r="H57" s="498">
        <f>IF(C57=0,0,ROUNDDOWN(G57*C57,1))</f>
        <v>945.7</v>
      </c>
      <c r="I57" s="494">
        <f>중기목록표!G15</f>
        <v>16672</v>
      </c>
      <c r="J57" s="498">
        <f>IF(C57=0,0,ROUNDDOWN(I57*C57,1))</f>
        <v>316.7</v>
      </c>
      <c r="K57" s="494">
        <f>중기목록표!H15</f>
        <v>9986</v>
      </c>
      <c r="L57" s="498">
        <f>IF(C57=0,0,ROUNDDOWN(K57*C57,1))</f>
        <v>189.7</v>
      </c>
      <c r="M57" s="463" t="s">
        <v>2415</v>
      </c>
      <c r="N57" s="451" t="s">
        <v>2416</v>
      </c>
      <c r="O57" s="468" t="s">
        <v>2417</v>
      </c>
      <c r="P57" s="468" t="s">
        <v>2354</v>
      </c>
      <c r="Z57" s="433" t="str">
        <f ca="1">HYPERLINK("#"&amp;중기목록표!J2&amp;"!A"&amp;ROW(중기목록표!A15),"X00271 →")</f>
        <v>X00271 →</v>
      </c>
    </row>
    <row r="58" spans="1:26" ht="33.200000000000003" customHeight="1">
      <c r="A58" s="452" t="s">
        <v>2418</v>
      </c>
      <c r="B58" s="452" t="s">
        <v>2419</v>
      </c>
      <c r="C58" s="489">
        <v>0.115</v>
      </c>
      <c r="D58" s="480" t="s">
        <v>2409</v>
      </c>
      <c r="E58" s="490">
        <f t="shared" si="1"/>
        <v>38634</v>
      </c>
      <c r="F58" s="493">
        <f t="shared" si="1"/>
        <v>4442.8</v>
      </c>
      <c r="G58" s="494">
        <f>중기목록표!F21</f>
        <v>36248</v>
      </c>
      <c r="H58" s="498">
        <f>IF(C58=0,0,ROUNDDOWN(G58*C58,1))</f>
        <v>4168.5</v>
      </c>
      <c r="I58" s="494">
        <f>중기목록표!G21</f>
        <v>1766</v>
      </c>
      <c r="J58" s="498">
        <f>IF(C58=0,0,ROUNDDOWN(I58*C58,1))</f>
        <v>203</v>
      </c>
      <c r="K58" s="494">
        <f>중기목록표!H21</f>
        <v>620</v>
      </c>
      <c r="L58" s="498">
        <f>IF(C58=0,0,ROUNDDOWN(K58*C58,1))</f>
        <v>71.3</v>
      </c>
      <c r="M58" s="463" t="s">
        <v>2420</v>
      </c>
      <c r="N58" s="451" t="s">
        <v>2421</v>
      </c>
      <c r="O58" s="468" t="s">
        <v>2422</v>
      </c>
      <c r="P58" s="468" t="s">
        <v>2354</v>
      </c>
      <c r="Z58" s="433" t="str">
        <f ca="1">HYPERLINK("#"&amp;중기목록표!J2&amp;"!A"&amp;ROW(중기목록표!A21),"X00272 →")</f>
        <v>X00272 →</v>
      </c>
    </row>
    <row r="59" spans="1:26" ht="33.200000000000003" customHeight="1">
      <c r="A59" s="463" t="s">
        <v>842</v>
      </c>
      <c r="B59" s="497"/>
      <c r="C59" s="497"/>
      <c r="D59" s="497"/>
      <c r="E59" s="497"/>
      <c r="F59" s="446">
        <f>J59+H59+L59</f>
        <v>15336</v>
      </c>
      <c r="G59" s="497"/>
      <c r="H59" s="446">
        <f>ROUNDDOWN(SUMIF(P55:P58,O59,H55:H58),0)</f>
        <v>12868</v>
      </c>
      <c r="I59" s="497"/>
      <c r="J59" s="446">
        <f>ROUNDDOWN(SUMIF(P55:P58,O59,J55:J58),0)</f>
        <v>1153</v>
      </c>
      <c r="K59" s="497"/>
      <c r="L59" s="446">
        <f>ROUNDDOWN(SUMIF(P55:P58,O59,L55:L58),0)</f>
        <v>1315</v>
      </c>
      <c r="M59" s="497"/>
      <c r="O59" s="468" t="s">
        <v>2354</v>
      </c>
    </row>
    <row r="60" spans="1:26" ht="33.200000000000003" customHeight="1">
      <c r="A60" s="484" t="s">
        <v>2423</v>
      </c>
      <c r="B60" s="484"/>
      <c r="C60" s="485"/>
      <c r="D60" s="485"/>
      <c r="E60" s="485"/>
      <c r="F60" s="485"/>
      <c r="G60" s="485"/>
      <c r="H60" s="485"/>
      <c r="I60" s="485"/>
      <c r="J60" s="485"/>
      <c r="K60" s="485"/>
      <c r="L60" s="485"/>
      <c r="M60" s="485"/>
      <c r="N60" s="486" t="str">
        <f>HYPERLINK("#N"&amp;ROW(N66),"_x0005_`BDCOD|B02562_x0007_`POSS|"&amp;ROW(N62)&amp;"_x0007_`POSE|"&amp;ROW(N66)&amp;"_x0007_`")</f>
        <v>_x0005_`BDCOD|B02562_x0007_`POSS|62_x0007_`POSE|66_x0007_`</v>
      </c>
    </row>
    <row r="61" spans="1:26" ht="33.200000000000003" customHeight="1">
      <c r="A61" s="469" t="s">
        <v>1525</v>
      </c>
      <c r="B61" s="469" t="s">
        <v>1517</v>
      </c>
      <c r="C61" s="487"/>
      <c r="D61" s="488" t="s">
        <v>595</v>
      </c>
      <c r="E61" s="487"/>
      <c r="F61" s="487"/>
      <c r="G61" s="487"/>
      <c r="H61" s="487"/>
      <c r="I61" s="487"/>
      <c r="J61" s="487"/>
      <c r="K61" s="487"/>
      <c r="L61" s="487"/>
      <c r="M61" s="488" t="s">
        <v>1526</v>
      </c>
      <c r="O61" s="468" t="s">
        <v>1526</v>
      </c>
    </row>
    <row r="62" spans="1:26" ht="33.200000000000003" customHeight="1">
      <c r="A62" s="452" t="s">
        <v>2424</v>
      </c>
      <c r="B62" s="452"/>
      <c r="C62" s="489">
        <v>1.4999999999999999E-2</v>
      </c>
      <c r="D62" s="480" t="s">
        <v>585</v>
      </c>
      <c r="E62" s="490">
        <f t="shared" ref="E62:F66" si="2">I62+G62+K62</f>
        <v>263017</v>
      </c>
      <c r="F62" s="493">
        <f t="shared" si="2"/>
        <v>3945.2</v>
      </c>
      <c r="G62" s="494">
        <f>노무비목록표!E7</f>
        <v>263017</v>
      </c>
      <c r="H62" s="495">
        <f>IF(C62=0,0,ROUNDDOWN(G62*C62,1))</f>
        <v>3945.2</v>
      </c>
      <c r="I62" s="492">
        <v>0</v>
      </c>
      <c r="J62" s="491">
        <f>IF(C62=0,0,ROUNDDOWN(I62*C62,1))</f>
        <v>0</v>
      </c>
      <c r="K62" s="492">
        <v>0</v>
      </c>
      <c r="L62" s="493">
        <f>IF(C62=0,0,ROUNDDOWN(K62*C62,1))</f>
        <v>0</v>
      </c>
      <c r="M62" s="463" t="s">
        <v>2425</v>
      </c>
      <c r="N62" s="451" t="s">
        <v>2426</v>
      </c>
      <c r="O62" s="468" t="s">
        <v>2427</v>
      </c>
      <c r="P62" s="468" t="s">
        <v>2354</v>
      </c>
      <c r="Q62" s="468" t="s">
        <v>2355</v>
      </c>
      <c r="Z62" s="433" t="str">
        <f ca="1">HYPERLINK("#"&amp;노무비목록표!G2&amp;"!A"&amp;ROW(노무비목록표!A7),"L00010 →")</f>
        <v>L00010 →</v>
      </c>
    </row>
    <row r="63" spans="1:26" ht="33.200000000000003" customHeight="1">
      <c r="A63" s="452" t="s">
        <v>2360</v>
      </c>
      <c r="B63" s="452"/>
      <c r="C63" s="489">
        <v>3.0000000000000001E-3</v>
      </c>
      <c r="D63" s="480" t="s">
        <v>585</v>
      </c>
      <c r="E63" s="490">
        <f t="shared" si="2"/>
        <v>172068</v>
      </c>
      <c r="F63" s="493">
        <f t="shared" si="2"/>
        <v>516.20000000000005</v>
      </c>
      <c r="G63" s="494">
        <f>노무비목록표!E10</f>
        <v>172068</v>
      </c>
      <c r="H63" s="495">
        <f>IF(C63=0,0,ROUNDDOWN(G63*C63,1))</f>
        <v>516.20000000000005</v>
      </c>
      <c r="I63" s="492">
        <v>0</v>
      </c>
      <c r="J63" s="491">
        <f>IF(C63=0,0,ROUNDDOWN(I63*C63,1))</f>
        <v>0</v>
      </c>
      <c r="K63" s="492">
        <v>0</v>
      </c>
      <c r="L63" s="493">
        <f>IF(C63=0,0,ROUNDDOWN(K63*C63,1))</f>
        <v>0</v>
      </c>
      <c r="M63" s="463" t="s">
        <v>2361</v>
      </c>
      <c r="N63" s="451" t="s">
        <v>2428</v>
      </c>
      <c r="O63" s="468" t="s">
        <v>2363</v>
      </c>
      <c r="P63" s="468" t="s">
        <v>2354</v>
      </c>
      <c r="Q63" s="468" t="s">
        <v>2355</v>
      </c>
      <c r="Z63" s="433" t="str">
        <f ca="1">HYPERLINK("#"&amp;노무비목록표!G2&amp;"!A"&amp;ROW(노무비목록표!A10),"L00017 →")</f>
        <v>L00017 →</v>
      </c>
    </row>
    <row r="64" spans="1:26" ht="33.200000000000003" customHeight="1">
      <c r="A64" s="452" t="s">
        <v>2429</v>
      </c>
      <c r="B64" s="452" t="s">
        <v>2430</v>
      </c>
      <c r="C64" s="489">
        <v>0.08</v>
      </c>
      <c r="D64" s="480" t="s">
        <v>2431</v>
      </c>
      <c r="E64" s="490">
        <f t="shared" si="2"/>
        <v>7027</v>
      </c>
      <c r="F64" s="491">
        <f t="shared" si="2"/>
        <v>562.1</v>
      </c>
      <c r="G64" s="492">
        <v>0</v>
      </c>
      <c r="H64" s="493">
        <f>IF(C64=0,0,ROUNDDOWN(G64*C64,1))</f>
        <v>0</v>
      </c>
      <c r="I64" s="494">
        <f>재료비목록표!E27</f>
        <v>7027</v>
      </c>
      <c r="J64" s="495">
        <f>IF(C64=0,0,ROUNDDOWN(I64*C64,1))</f>
        <v>562.1</v>
      </c>
      <c r="K64" s="492">
        <v>0</v>
      </c>
      <c r="L64" s="493">
        <f>IF(C64=0,0,ROUNDDOWN(K64*C64,1))</f>
        <v>0</v>
      </c>
      <c r="M64" s="463" t="s">
        <v>2432</v>
      </c>
      <c r="N64" s="451" t="s">
        <v>2433</v>
      </c>
      <c r="O64" s="468" t="s">
        <v>2434</v>
      </c>
      <c r="P64" s="468" t="s">
        <v>2354</v>
      </c>
      <c r="Z64" s="433" t="str">
        <f ca="1">HYPERLINK("#"&amp;재료비목록표!G2&amp;"!A"&amp;ROW(재료비목록표!A27),"M00990 →")</f>
        <v>M00990 →</v>
      </c>
    </row>
    <row r="65" spans="1:26" ht="33.200000000000003" customHeight="1">
      <c r="A65" s="452" t="s">
        <v>2435</v>
      </c>
      <c r="B65" s="452" t="s">
        <v>2436</v>
      </c>
      <c r="C65" s="489">
        <v>4.0000000000000001E-3</v>
      </c>
      <c r="D65" s="480" t="s">
        <v>2431</v>
      </c>
      <c r="E65" s="490">
        <f t="shared" si="2"/>
        <v>2500</v>
      </c>
      <c r="F65" s="491">
        <f t="shared" si="2"/>
        <v>10</v>
      </c>
      <c r="G65" s="492">
        <v>0</v>
      </c>
      <c r="H65" s="493">
        <f>IF(C65=0,0,ROUNDDOWN(G65*C65,1))</f>
        <v>0</v>
      </c>
      <c r="I65" s="494">
        <f>재료비목록표!E61</f>
        <v>2500</v>
      </c>
      <c r="J65" s="495">
        <f>IF(C65=0,0,ROUNDDOWN(I65*C65,1))</f>
        <v>10</v>
      </c>
      <c r="K65" s="492">
        <v>0</v>
      </c>
      <c r="L65" s="493">
        <f>IF(C65=0,0,ROUNDDOWN(K65*C65,1))</f>
        <v>0</v>
      </c>
      <c r="M65" s="463" t="s">
        <v>2437</v>
      </c>
      <c r="N65" s="451" t="s">
        <v>2438</v>
      </c>
      <c r="O65" s="468" t="s">
        <v>2439</v>
      </c>
      <c r="P65" s="468" t="s">
        <v>2354</v>
      </c>
      <c r="Z65" s="433" t="str">
        <f ca="1">HYPERLINK("#"&amp;재료비목록표!G2&amp;"!A"&amp;ROW(재료비목록표!A61),"M00167 →")</f>
        <v>M00167 →</v>
      </c>
    </row>
    <row r="66" spans="1:26" ht="33.200000000000003" customHeight="1">
      <c r="A66" s="452" t="s">
        <v>2440</v>
      </c>
      <c r="B66" s="452" t="s">
        <v>2441</v>
      </c>
      <c r="C66" s="489">
        <v>2</v>
      </c>
      <c r="D66" s="480" t="s">
        <v>2371</v>
      </c>
      <c r="E66" s="490">
        <f t="shared" si="2"/>
        <v>4461.3999999999996</v>
      </c>
      <c r="F66" s="491">
        <f t="shared" si="2"/>
        <v>89.2</v>
      </c>
      <c r="G66" s="465">
        <v>0</v>
      </c>
      <c r="H66" s="491">
        <f>IF(C66=0,0,ROUNDDOWN(G66*C66/100,1))</f>
        <v>0</v>
      </c>
      <c r="I66" s="465">
        <v>0</v>
      </c>
      <c r="J66" s="493">
        <f>IF(C66=0,0,ROUNDDOWN(I66*C66/100,1))</f>
        <v>0</v>
      </c>
      <c r="K66" s="499">
        <f>H62+H63</f>
        <v>4461.3999999999996</v>
      </c>
      <c r="L66" s="493">
        <f>IF(C66=0,0,ROUNDDOWN(K66*C66/100,1))</f>
        <v>89.2</v>
      </c>
      <c r="M66" s="463"/>
      <c r="N66" s="451" t="s">
        <v>2442</v>
      </c>
      <c r="O66" s="468" t="s">
        <v>2373</v>
      </c>
      <c r="P66" s="468" t="s">
        <v>2354</v>
      </c>
    </row>
    <row r="67" spans="1:26" ht="33.200000000000003" customHeight="1">
      <c r="A67" s="463" t="s">
        <v>842</v>
      </c>
      <c r="B67" s="497"/>
      <c r="C67" s="497"/>
      <c r="D67" s="497"/>
      <c r="E67" s="497"/>
      <c r="F67" s="446">
        <f>J67+H67+L67</f>
        <v>5122</v>
      </c>
      <c r="G67" s="497"/>
      <c r="H67" s="446">
        <f>ROUNDDOWN(SUMIF(P62:P66,O67,H62:H66),0)</f>
        <v>4461</v>
      </c>
      <c r="I67" s="497"/>
      <c r="J67" s="446">
        <f>ROUNDDOWN(SUMIF(P62:P66,O67,J62:J66),0)</f>
        <v>572</v>
      </c>
      <c r="K67" s="497"/>
      <c r="L67" s="446">
        <f>ROUNDDOWN(SUMIF(P62:P66,O67,L62:L66),0)</f>
        <v>89</v>
      </c>
      <c r="M67" s="497"/>
      <c r="O67" s="468" t="s">
        <v>2354</v>
      </c>
    </row>
    <row r="68" spans="1:26" ht="33.200000000000003" customHeight="1">
      <c r="A68" s="484" t="s">
        <v>2443</v>
      </c>
      <c r="B68" s="484"/>
      <c r="C68" s="485"/>
      <c r="D68" s="485"/>
      <c r="E68" s="485"/>
      <c r="F68" s="485"/>
      <c r="G68" s="485"/>
      <c r="H68" s="485"/>
      <c r="I68" s="485"/>
      <c r="J68" s="485"/>
      <c r="K68" s="485"/>
      <c r="L68" s="485"/>
      <c r="M68" s="485"/>
      <c r="N68" s="486" t="str">
        <f>HYPERLINK("#N"&amp;ROW(N74),"_x0005_`BDCOD|B02107_x0007_`POSS|"&amp;ROW(N70)&amp;"_x0007_`POSE|"&amp;ROW(N74)&amp;"_x0007_`")</f>
        <v>_x0005_`BDCOD|B02107_x0007_`POSS|70_x0007_`POSE|74_x0007_`</v>
      </c>
    </row>
    <row r="69" spans="1:26" ht="33.200000000000003" customHeight="1">
      <c r="A69" s="469" t="s">
        <v>1525</v>
      </c>
      <c r="B69" s="469" t="s">
        <v>1521</v>
      </c>
      <c r="C69" s="487"/>
      <c r="D69" s="488" t="s">
        <v>595</v>
      </c>
      <c r="E69" s="487"/>
      <c r="F69" s="487"/>
      <c r="G69" s="487"/>
      <c r="H69" s="487"/>
      <c r="I69" s="487"/>
      <c r="J69" s="487"/>
      <c r="K69" s="487"/>
      <c r="L69" s="487"/>
      <c r="M69" s="488" t="s">
        <v>1529</v>
      </c>
      <c r="O69" s="468" t="s">
        <v>1529</v>
      </c>
    </row>
    <row r="70" spans="1:26" ht="33.200000000000003" customHeight="1">
      <c r="A70" s="452" t="s">
        <v>2424</v>
      </c>
      <c r="B70" s="452"/>
      <c r="C70" s="489">
        <v>0.03</v>
      </c>
      <c r="D70" s="480" t="s">
        <v>585</v>
      </c>
      <c r="E70" s="490">
        <f t="shared" ref="E70:F74" si="3">I70+G70+K70</f>
        <v>263017</v>
      </c>
      <c r="F70" s="493">
        <f t="shared" si="3"/>
        <v>7890.5</v>
      </c>
      <c r="G70" s="494">
        <f>노무비목록표!E7</f>
        <v>263017</v>
      </c>
      <c r="H70" s="495">
        <f>IF(C70=0,0,ROUNDDOWN(G70*C70,1))</f>
        <v>7890.5</v>
      </c>
      <c r="I70" s="492">
        <v>0</v>
      </c>
      <c r="J70" s="491">
        <f>IF(C70=0,0,ROUNDDOWN(I70*C70,1))</f>
        <v>0</v>
      </c>
      <c r="K70" s="492">
        <v>0</v>
      </c>
      <c r="L70" s="493">
        <f>IF(C70=0,0,ROUNDDOWN(K70*C70,1))</f>
        <v>0</v>
      </c>
      <c r="M70" s="463" t="s">
        <v>2425</v>
      </c>
      <c r="N70" s="451" t="s">
        <v>2426</v>
      </c>
      <c r="O70" s="468" t="s">
        <v>2427</v>
      </c>
      <c r="P70" s="468" t="s">
        <v>2354</v>
      </c>
      <c r="Q70" s="468" t="s">
        <v>2355</v>
      </c>
      <c r="Z70" s="433" t="str">
        <f ca="1">HYPERLINK("#"&amp;노무비목록표!G2&amp;"!A"&amp;ROW(노무비목록표!A7),"L00010 →")</f>
        <v>L00010 →</v>
      </c>
    </row>
    <row r="71" spans="1:26" ht="33.200000000000003" customHeight="1">
      <c r="A71" s="452" t="s">
        <v>2360</v>
      </c>
      <c r="B71" s="452"/>
      <c r="C71" s="489">
        <v>6.0000000000000001E-3</v>
      </c>
      <c r="D71" s="480" t="s">
        <v>585</v>
      </c>
      <c r="E71" s="490">
        <f t="shared" si="3"/>
        <v>172068</v>
      </c>
      <c r="F71" s="493">
        <f t="shared" si="3"/>
        <v>1032.4000000000001</v>
      </c>
      <c r="G71" s="494">
        <f>노무비목록표!E10</f>
        <v>172068</v>
      </c>
      <c r="H71" s="495">
        <f>IF(C71=0,0,ROUNDDOWN(G71*C71,1))</f>
        <v>1032.4000000000001</v>
      </c>
      <c r="I71" s="492">
        <v>0</v>
      </c>
      <c r="J71" s="491">
        <f>IF(C71=0,0,ROUNDDOWN(I71*C71,1))</f>
        <v>0</v>
      </c>
      <c r="K71" s="492">
        <v>0</v>
      </c>
      <c r="L71" s="493">
        <f>IF(C71=0,0,ROUNDDOWN(K71*C71,1))</f>
        <v>0</v>
      </c>
      <c r="M71" s="463" t="s">
        <v>2361</v>
      </c>
      <c r="N71" s="451" t="s">
        <v>2428</v>
      </c>
      <c r="O71" s="468" t="s">
        <v>2363</v>
      </c>
      <c r="P71" s="468" t="s">
        <v>2354</v>
      </c>
      <c r="Q71" s="468" t="s">
        <v>2355</v>
      </c>
      <c r="Z71" s="433" t="str">
        <f ca="1">HYPERLINK("#"&amp;노무비목록표!G2&amp;"!A"&amp;ROW(노무비목록표!A10),"L00017 →")</f>
        <v>L00017 →</v>
      </c>
    </row>
    <row r="72" spans="1:26" ht="33.200000000000003" customHeight="1">
      <c r="A72" s="452" t="s">
        <v>2429</v>
      </c>
      <c r="B72" s="452" t="s">
        <v>2430</v>
      </c>
      <c r="C72" s="489">
        <v>0.161</v>
      </c>
      <c r="D72" s="480" t="s">
        <v>2431</v>
      </c>
      <c r="E72" s="490">
        <f t="shared" si="3"/>
        <v>7027</v>
      </c>
      <c r="F72" s="491">
        <f t="shared" si="3"/>
        <v>1131.3</v>
      </c>
      <c r="G72" s="492">
        <v>0</v>
      </c>
      <c r="H72" s="493">
        <f>IF(C72=0,0,ROUNDDOWN(G72*C72,1))</f>
        <v>0</v>
      </c>
      <c r="I72" s="494">
        <f>재료비목록표!E27</f>
        <v>7027</v>
      </c>
      <c r="J72" s="495">
        <f>IF(C72=0,0,ROUNDDOWN(I72*C72,1))</f>
        <v>1131.3</v>
      </c>
      <c r="K72" s="492">
        <v>0</v>
      </c>
      <c r="L72" s="493">
        <f>IF(C72=0,0,ROUNDDOWN(K72*C72,1))</f>
        <v>0</v>
      </c>
      <c r="M72" s="463" t="s">
        <v>2432</v>
      </c>
      <c r="N72" s="451" t="s">
        <v>2433</v>
      </c>
      <c r="O72" s="468" t="s">
        <v>2434</v>
      </c>
      <c r="P72" s="468" t="s">
        <v>2354</v>
      </c>
      <c r="Z72" s="433" t="str">
        <f ca="1">HYPERLINK("#"&amp;재료비목록표!G2&amp;"!A"&amp;ROW(재료비목록표!A27),"M00990 →")</f>
        <v>M00990 →</v>
      </c>
    </row>
    <row r="73" spans="1:26" ht="33.200000000000003" customHeight="1">
      <c r="A73" s="452" t="s">
        <v>2435</v>
      </c>
      <c r="B73" s="452" t="s">
        <v>2436</v>
      </c>
      <c r="C73" s="489">
        <v>8.0000000000000002E-3</v>
      </c>
      <c r="D73" s="480" t="s">
        <v>2431</v>
      </c>
      <c r="E73" s="490">
        <f t="shared" si="3"/>
        <v>2500</v>
      </c>
      <c r="F73" s="491">
        <f t="shared" si="3"/>
        <v>20</v>
      </c>
      <c r="G73" s="492">
        <v>0</v>
      </c>
      <c r="H73" s="493">
        <f>IF(C73=0,0,ROUNDDOWN(G73*C73,1))</f>
        <v>0</v>
      </c>
      <c r="I73" s="494">
        <f>재료비목록표!E61</f>
        <v>2500</v>
      </c>
      <c r="J73" s="495">
        <f>IF(C73=0,0,ROUNDDOWN(I73*C73,1))</f>
        <v>20</v>
      </c>
      <c r="K73" s="492">
        <v>0</v>
      </c>
      <c r="L73" s="493">
        <f>IF(C73=0,0,ROUNDDOWN(K73*C73,1))</f>
        <v>0</v>
      </c>
      <c r="M73" s="463" t="s">
        <v>2437</v>
      </c>
      <c r="N73" s="451" t="s">
        <v>2438</v>
      </c>
      <c r="O73" s="468" t="s">
        <v>2439</v>
      </c>
      <c r="P73" s="468" t="s">
        <v>2354</v>
      </c>
      <c r="Z73" s="433" t="str">
        <f ca="1">HYPERLINK("#"&amp;재료비목록표!G2&amp;"!A"&amp;ROW(재료비목록표!A61),"M00167 →")</f>
        <v>M00167 →</v>
      </c>
    </row>
    <row r="74" spans="1:26" ht="33.200000000000003" customHeight="1">
      <c r="A74" s="452" t="s">
        <v>2440</v>
      </c>
      <c r="B74" s="452" t="s">
        <v>2441</v>
      </c>
      <c r="C74" s="489">
        <v>2</v>
      </c>
      <c r="D74" s="480" t="s">
        <v>2371</v>
      </c>
      <c r="E74" s="490">
        <f t="shared" si="3"/>
        <v>8922.9</v>
      </c>
      <c r="F74" s="491">
        <f t="shared" si="3"/>
        <v>178.4</v>
      </c>
      <c r="G74" s="465">
        <v>0</v>
      </c>
      <c r="H74" s="491">
        <f>IF(C74=0,0,ROUNDDOWN(G74*C74/100,1))</f>
        <v>0</v>
      </c>
      <c r="I74" s="465">
        <v>0</v>
      </c>
      <c r="J74" s="493">
        <f>IF(C74=0,0,ROUNDDOWN(I74*C74/100,1))</f>
        <v>0</v>
      </c>
      <c r="K74" s="499">
        <f>H70+H71</f>
        <v>8922.9</v>
      </c>
      <c r="L74" s="493">
        <f>IF(C74=0,0,ROUNDDOWN(K74*C74/100,1))</f>
        <v>178.4</v>
      </c>
      <c r="M74" s="463"/>
      <c r="N74" s="451" t="s">
        <v>2442</v>
      </c>
      <c r="O74" s="468" t="s">
        <v>2373</v>
      </c>
      <c r="P74" s="468" t="s">
        <v>2354</v>
      </c>
    </row>
    <row r="75" spans="1:26" ht="33.200000000000003" customHeight="1">
      <c r="A75" s="463" t="s">
        <v>842</v>
      </c>
      <c r="B75" s="497"/>
      <c r="C75" s="497"/>
      <c r="D75" s="497"/>
      <c r="E75" s="497"/>
      <c r="F75" s="446">
        <f>J75+H75+L75</f>
        <v>10251</v>
      </c>
      <c r="G75" s="497"/>
      <c r="H75" s="446">
        <f>ROUNDDOWN(SUMIF(P70:P74,O75,H70:H74),0)</f>
        <v>8922</v>
      </c>
      <c r="I75" s="497"/>
      <c r="J75" s="446">
        <f>ROUNDDOWN(SUMIF(P70:P74,O75,J70:J74),0)</f>
        <v>1151</v>
      </c>
      <c r="K75" s="497"/>
      <c r="L75" s="446">
        <f>ROUNDDOWN(SUMIF(P70:P74,O75,L70:L74),0)</f>
        <v>178</v>
      </c>
      <c r="M75" s="497"/>
      <c r="O75" s="468" t="s">
        <v>2354</v>
      </c>
    </row>
    <row r="76" spans="1:26" ht="33.200000000000003" customHeight="1">
      <c r="A76" s="484" t="s">
        <v>2444</v>
      </c>
      <c r="B76" s="484"/>
      <c r="C76" s="485"/>
      <c r="D76" s="485"/>
      <c r="E76" s="485"/>
      <c r="F76" s="485"/>
      <c r="G76" s="485"/>
      <c r="H76" s="485"/>
      <c r="I76" s="485"/>
      <c r="J76" s="485"/>
      <c r="K76" s="485"/>
      <c r="L76" s="485"/>
      <c r="M76" s="485"/>
      <c r="N76" s="486" t="str">
        <f>HYPERLINK("#N"&amp;ROW(N78),"_x0005_`BDCOD|B02531_x0007_`POSS|"&amp;ROW(N78)&amp;"_x0007_`POSE|"&amp;ROW(N78)&amp;"_x0007_`")</f>
        <v>_x0005_`BDCOD|B02531_x0007_`POSS|78_x0007_`POSE|78_x0007_`</v>
      </c>
    </row>
    <row r="77" spans="1:26" ht="33.200000000000003" customHeight="1">
      <c r="A77" s="469" t="s">
        <v>1331</v>
      </c>
      <c r="B77" s="469" t="s">
        <v>1332</v>
      </c>
      <c r="C77" s="487"/>
      <c r="D77" s="488" t="s">
        <v>975</v>
      </c>
      <c r="E77" s="487"/>
      <c r="F77" s="487"/>
      <c r="G77" s="487"/>
      <c r="H77" s="487"/>
      <c r="I77" s="487"/>
      <c r="J77" s="487"/>
      <c r="K77" s="487"/>
      <c r="L77" s="487"/>
      <c r="M77" s="488" t="s">
        <v>1333</v>
      </c>
      <c r="O77" s="468" t="s">
        <v>1333</v>
      </c>
    </row>
    <row r="78" spans="1:26" ht="33.200000000000003" customHeight="1">
      <c r="A78" s="452" t="s">
        <v>1331</v>
      </c>
      <c r="B78" s="452" t="s">
        <v>2445</v>
      </c>
      <c r="C78" s="489">
        <v>1</v>
      </c>
      <c r="D78" s="480" t="s">
        <v>1589</v>
      </c>
      <c r="E78" s="490">
        <f>I78+G78+K78</f>
        <v>5450000</v>
      </c>
      <c r="F78" s="491">
        <f>J78+H78+L78</f>
        <v>5450000</v>
      </c>
      <c r="G78" s="492">
        <v>0</v>
      </c>
      <c r="H78" s="493">
        <f>IF(C78=0,0,ROUNDDOWN(G78*C78,1))</f>
        <v>0</v>
      </c>
      <c r="I78" s="494">
        <f>재료비목록표!E28</f>
        <v>5450000</v>
      </c>
      <c r="J78" s="495">
        <f>IF(C78=0,0,ROUNDDOWN(I78*C78,1))</f>
        <v>5450000</v>
      </c>
      <c r="K78" s="492">
        <v>0</v>
      </c>
      <c r="L78" s="493">
        <f>IF(C78=0,0,ROUNDDOWN(K78*C78,1))</f>
        <v>0</v>
      </c>
      <c r="M78" s="463" t="s">
        <v>2446</v>
      </c>
      <c r="N78" s="451" t="s">
        <v>2447</v>
      </c>
      <c r="O78" s="468" t="s">
        <v>2448</v>
      </c>
      <c r="P78" s="468" t="s">
        <v>2354</v>
      </c>
      <c r="Z78" s="433" t="str">
        <f ca="1">HYPERLINK("#"&amp;재료비목록표!G2&amp;"!A"&amp;ROW(재료비목록표!A28),"M01538 →")</f>
        <v>M01538 →</v>
      </c>
    </row>
    <row r="79" spans="1:26" ht="33.200000000000003" customHeight="1">
      <c r="A79" s="463" t="s">
        <v>842</v>
      </c>
      <c r="B79" s="497"/>
      <c r="C79" s="497"/>
      <c r="D79" s="497"/>
      <c r="E79" s="497"/>
      <c r="F79" s="446">
        <f>J79+H79+L79</f>
        <v>5450000</v>
      </c>
      <c r="G79" s="497"/>
      <c r="H79" s="446">
        <f>ROUNDDOWN(SUMIF(P78:P78,O79,H78:H78),0)</f>
        <v>0</v>
      </c>
      <c r="I79" s="497"/>
      <c r="J79" s="446">
        <f>ROUNDDOWN(SUMIF(P78:P78,O79,J78:J78),0)</f>
        <v>5450000</v>
      </c>
      <c r="K79" s="497"/>
      <c r="L79" s="446">
        <f>ROUNDDOWN(SUMIF(P78:P78,O79,L78:L78),0)</f>
        <v>0</v>
      </c>
      <c r="M79" s="497"/>
      <c r="O79" s="468" t="s">
        <v>2354</v>
      </c>
    </row>
    <row r="80" spans="1:26" ht="33.200000000000003" customHeight="1">
      <c r="A80" s="484" t="s">
        <v>2449</v>
      </c>
      <c r="B80" s="484"/>
      <c r="C80" s="485"/>
      <c r="D80" s="485"/>
      <c r="E80" s="485"/>
      <c r="F80" s="485"/>
      <c r="G80" s="485"/>
      <c r="H80" s="485"/>
      <c r="I80" s="485"/>
      <c r="J80" s="485"/>
      <c r="K80" s="485"/>
      <c r="L80" s="485"/>
      <c r="M80" s="485"/>
      <c r="N80" s="486" t="str">
        <f>HYPERLINK("#N"&amp;ROW(N82),"_x0005_`BDCOD|B02537_x0007_`POSS|"&amp;ROW(N82)&amp;"_x0007_`POSE|"&amp;ROW(N82)&amp;"_x0007_`")</f>
        <v>_x0005_`BDCOD|B02537_x0007_`POSS|82_x0007_`POSE|82_x0007_`</v>
      </c>
    </row>
    <row r="81" spans="1:26" ht="33.200000000000003" customHeight="1">
      <c r="A81" s="469" t="s">
        <v>1336</v>
      </c>
      <c r="B81" s="469" t="s">
        <v>1337</v>
      </c>
      <c r="C81" s="487"/>
      <c r="D81" s="488" t="s">
        <v>975</v>
      </c>
      <c r="E81" s="487"/>
      <c r="F81" s="487"/>
      <c r="G81" s="487"/>
      <c r="H81" s="487"/>
      <c r="I81" s="487"/>
      <c r="J81" s="487"/>
      <c r="K81" s="487"/>
      <c r="L81" s="487"/>
      <c r="M81" s="488" t="s">
        <v>1338</v>
      </c>
      <c r="O81" s="468" t="s">
        <v>1338</v>
      </c>
    </row>
    <row r="82" spans="1:26" ht="33.200000000000003" customHeight="1">
      <c r="A82" s="452" t="s">
        <v>1336</v>
      </c>
      <c r="B82" s="452" t="s">
        <v>2450</v>
      </c>
      <c r="C82" s="489">
        <v>1</v>
      </c>
      <c r="D82" s="480" t="s">
        <v>1589</v>
      </c>
      <c r="E82" s="490">
        <f>I82+G82+K82</f>
        <v>6110000</v>
      </c>
      <c r="F82" s="491">
        <f>J82+H82+L82</f>
        <v>6110000</v>
      </c>
      <c r="G82" s="492">
        <v>0</v>
      </c>
      <c r="H82" s="493">
        <f>IF(C82=0,0,ROUNDDOWN(G82*C82,1))</f>
        <v>0</v>
      </c>
      <c r="I82" s="494">
        <f>재료비목록표!E29</f>
        <v>6110000</v>
      </c>
      <c r="J82" s="495">
        <f>IF(C82=0,0,ROUNDDOWN(I82*C82,1))</f>
        <v>6110000</v>
      </c>
      <c r="K82" s="492">
        <v>0</v>
      </c>
      <c r="L82" s="493">
        <f>IF(C82=0,0,ROUNDDOWN(K82*C82,1))</f>
        <v>0</v>
      </c>
      <c r="M82" s="463" t="s">
        <v>2451</v>
      </c>
      <c r="N82" s="451" t="s">
        <v>2452</v>
      </c>
      <c r="O82" s="468" t="s">
        <v>2453</v>
      </c>
      <c r="P82" s="468" t="s">
        <v>2354</v>
      </c>
      <c r="Z82" s="433" t="str">
        <f ca="1">HYPERLINK("#"&amp;재료비목록표!G2&amp;"!A"&amp;ROW(재료비목록표!A29),"M01543 →")</f>
        <v>M01543 →</v>
      </c>
    </row>
    <row r="83" spans="1:26" ht="33.200000000000003" customHeight="1">
      <c r="A83" s="463" t="s">
        <v>842</v>
      </c>
      <c r="B83" s="497"/>
      <c r="C83" s="497"/>
      <c r="D83" s="497"/>
      <c r="E83" s="497"/>
      <c r="F83" s="446">
        <f>J83+H83+L83</f>
        <v>6110000</v>
      </c>
      <c r="G83" s="497"/>
      <c r="H83" s="446">
        <f>ROUNDDOWN(SUMIF(P82:P82,O83,H82:H82),0)</f>
        <v>0</v>
      </c>
      <c r="I83" s="497"/>
      <c r="J83" s="446">
        <f>ROUNDDOWN(SUMIF(P82:P82,O83,J82:J82),0)</f>
        <v>6110000</v>
      </c>
      <c r="K83" s="497"/>
      <c r="L83" s="446">
        <f>ROUNDDOWN(SUMIF(P82:P82,O83,L82:L82),0)</f>
        <v>0</v>
      </c>
      <c r="M83" s="497"/>
      <c r="O83" s="468" t="s">
        <v>2354</v>
      </c>
    </row>
    <row r="84" spans="1:26" ht="33.200000000000003" customHeight="1">
      <c r="A84" s="484" t="s">
        <v>2454</v>
      </c>
      <c r="B84" s="484"/>
      <c r="C84" s="485"/>
      <c r="D84" s="485"/>
      <c r="E84" s="485"/>
      <c r="F84" s="485"/>
      <c r="G84" s="485"/>
      <c r="H84" s="485"/>
      <c r="I84" s="485"/>
      <c r="J84" s="485"/>
      <c r="K84" s="485"/>
      <c r="L84" s="485"/>
      <c r="M84" s="485"/>
      <c r="N84" s="486" t="str">
        <f>HYPERLINK("#N"&amp;ROW(N86),"_x0005_`BDCOD|B02533_x0007_`POSS|"&amp;ROW(N86)&amp;"_x0007_`POSE|"&amp;ROW(N86)&amp;"_x0007_`")</f>
        <v>_x0005_`BDCOD|B02533_x0007_`POSS|86_x0007_`POSE|86_x0007_`</v>
      </c>
    </row>
    <row r="85" spans="1:26" ht="33.200000000000003" customHeight="1">
      <c r="A85" s="469" t="s">
        <v>1341</v>
      </c>
      <c r="B85" s="469" t="s">
        <v>1342</v>
      </c>
      <c r="C85" s="487"/>
      <c r="D85" s="488" t="s">
        <v>975</v>
      </c>
      <c r="E85" s="487"/>
      <c r="F85" s="487"/>
      <c r="G85" s="487"/>
      <c r="H85" s="487"/>
      <c r="I85" s="487"/>
      <c r="J85" s="487"/>
      <c r="K85" s="487"/>
      <c r="L85" s="487"/>
      <c r="M85" s="488" t="s">
        <v>1343</v>
      </c>
      <c r="O85" s="468" t="s">
        <v>1343</v>
      </c>
    </row>
    <row r="86" spans="1:26" ht="33.200000000000003" customHeight="1">
      <c r="A86" s="452" t="s">
        <v>1341</v>
      </c>
      <c r="B86" s="452" t="s">
        <v>2455</v>
      </c>
      <c r="C86" s="489">
        <v>1</v>
      </c>
      <c r="D86" s="480" t="s">
        <v>1589</v>
      </c>
      <c r="E86" s="490">
        <f>I86+G86+K86</f>
        <v>4335000</v>
      </c>
      <c r="F86" s="491">
        <f>J86+H86+L86</f>
        <v>4335000</v>
      </c>
      <c r="G86" s="492">
        <v>0</v>
      </c>
      <c r="H86" s="493">
        <f>IF(C86=0,0,ROUNDDOWN(G86*C86,1))</f>
        <v>0</v>
      </c>
      <c r="I86" s="494">
        <f>재료비목록표!E30</f>
        <v>4335000</v>
      </c>
      <c r="J86" s="495">
        <f>IF(C86=0,0,ROUNDDOWN(I86*C86,1))</f>
        <v>4335000</v>
      </c>
      <c r="K86" s="492">
        <v>0</v>
      </c>
      <c r="L86" s="493">
        <f>IF(C86=0,0,ROUNDDOWN(K86*C86,1))</f>
        <v>0</v>
      </c>
      <c r="M86" s="463" t="s">
        <v>2456</v>
      </c>
      <c r="N86" s="451" t="s">
        <v>2457</v>
      </c>
      <c r="O86" s="468" t="s">
        <v>2458</v>
      </c>
      <c r="P86" s="468" t="s">
        <v>2354</v>
      </c>
      <c r="Z86" s="433" t="str">
        <f ca="1">HYPERLINK("#"&amp;재료비목록표!G2&amp;"!A"&amp;ROW(재료비목록표!A30),"M01540 →")</f>
        <v>M01540 →</v>
      </c>
    </row>
    <row r="87" spans="1:26" ht="33.200000000000003" customHeight="1">
      <c r="A87" s="463" t="s">
        <v>842</v>
      </c>
      <c r="B87" s="497"/>
      <c r="C87" s="497"/>
      <c r="D87" s="497"/>
      <c r="E87" s="497"/>
      <c r="F87" s="446">
        <f>J87+H87+L87</f>
        <v>4335000</v>
      </c>
      <c r="G87" s="497"/>
      <c r="H87" s="446">
        <f>ROUNDDOWN(SUMIF(P86:P86,O87,H86:H86),0)</f>
        <v>0</v>
      </c>
      <c r="I87" s="497"/>
      <c r="J87" s="446">
        <f>ROUNDDOWN(SUMIF(P86:P86,O87,J86:J86),0)</f>
        <v>4335000</v>
      </c>
      <c r="K87" s="497"/>
      <c r="L87" s="446">
        <f>ROUNDDOWN(SUMIF(P86:P86,O87,L86:L86),0)</f>
        <v>0</v>
      </c>
      <c r="M87" s="497"/>
      <c r="O87" s="468" t="s">
        <v>2354</v>
      </c>
    </row>
    <row r="88" spans="1:26" ht="33.200000000000003" customHeight="1">
      <c r="A88" s="484" t="s">
        <v>2459</v>
      </c>
      <c r="B88" s="484"/>
      <c r="C88" s="485"/>
      <c r="D88" s="485"/>
      <c r="E88" s="485"/>
      <c r="F88" s="485"/>
      <c r="G88" s="485"/>
      <c r="H88" s="485"/>
      <c r="I88" s="485"/>
      <c r="J88" s="485"/>
      <c r="K88" s="485"/>
      <c r="L88" s="485"/>
      <c r="M88" s="485"/>
      <c r="N88" s="486" t="str">
        <f>HYPERLINK("#N"&amp;ROW(N91),"_x0005_`BDCOD|B02655_x0007_`POSS|"&amp;ROW(N90)&amp;"_x0007_`POSE|"&amp;ROW(N91)&amp;"_x0007_`")</f>
        <v>_x0005_`BDCOD|B02655_x0007_`POSS|90_x0007_`POSE|91_x0007_`</v>
      </c>
    </row>
    <row r="89" spans="1:26" ht="33.200000000000003" customHeight="1">
      <c r="A89" s="469" t="s">
        <v>1481</v>
      </c>
      <c r="B89" s="469" t="s">
        <v>1482</v>
      </c>
      <c r="C89" s="487"/>
      <c r="D89" s="488" t="s">
        <v>911</v>
      </c>
      <c r="E89" s="487"/>
      <c r="F89" s="487"/>
      <c r="G89" s="487"/>
      <c r="H89" s="487"/>
      <c r="I89" s="487"/>
      <c r="J89" s="487"/>
      <c r="K89" s="487"/>
      <c r="L89" s="487"/>
      <c r="M89" s="488" t="s">
        <v>1483</v>
      </c>
      <c r="O89" s="468" t="s">
        <v>1483</v>
      </c>
    </row>
    <row r="90" spans="1:26" ht="33.200000000000003" customHeight="1">
      <c r="A90" s="452" t="s">
        <v>1507</v>
      </c>
      <c r="B90" s="452" t="s">
        <v>2306</v>
      </c>
      <c r="C90" s="489">
        <v>5.24</v>
      </c>
      <c r="D90" s="480" t="s">
        <v>595</v>
      </c>
      <c r="E90" s="490">
        <f>I90+G90+K90</f>
        <v>1802</v>
      </c>
      <c r="F90" s="493">
        <f>J90+H90+L90</f>
        <v>9442.4</v>
      </c>
      <c r="G90" s="494">
        <f>일위대가목록표!F113</f>
        <v>1750</v>
      </c>
      <c r="H90" s="498">
        <f>IF(C90=0,0,ROUNDDOWN(G90*C90,1))</f>
        <v>9170</v>
      </c>
      <c r="I90" s="494">
        <f>일위대가목록표!G113</f>
        <v>0</v>
      </c>
      <c r="J90" s="498">
        <f>IF(C90=0,0,ROUNDDOWN(I90*C90,1))</f>
        <v>0</v>
      </c>
      <c r="K90" s="494">
        <f>일위대가목록표!H113</f>
        <v>52</v>
      </c>
      <c r="L90" s="498">
        <f>IF(C90=0,0,ROUNDDOWN(K90*C90,1))</f>
        <v>272.39999999999998</v>
      </c>
      <c r="M90" s="463" t="s">
        <v>2460</v>
      </c>
      <c r="N90" s="451" t="s">
        <v>2461</v>
      </c>
      <c r="O90" s="468" t="s">
        <v>2462</v>
      </c>
      <c r="P90" s="468" t="s">
        <v>2354</v>
      </c>
      <c r="Z90" s="433" t="str">
        <f ca="1">HYPERLINK("#"&amp;일위대가목록표!J2&amp;"!A"&amp;ROW(일위대가목록표!A113),"B02719 →")</f>
        <v>B02719 →</v>
      </c>
    </row>
    <row r="91" spans="1:26" ht="33.200000000000003" customHeight="1">
      <c r="A91" s="452" t="s">
        <v>1532</v>
      </c>
      <c r="B91" s="452" t="s">
        <v>1533</v>
      </c>
      <c r="C91" s="489">
        <v>2.2400000000000002</v>
      </c>
      <c r="D91" s="480" t="s">
        <v>595</v>
      </c>
      <c r="E91" s="490">
        <f>I91+G91+K91</f>
        <v>6465</v>
      </c>
      <c r="F91" s="493">
        <f>J91+H91+L91</f>
        <v>14481.5</v>
      </c>
      <c r="G91" s="494">
        <f>일위대가목록표!F223</f>
        <v>5513</v>
      </c>
      <c r="H91" s="498">
        <f>IF(C91=0,0,ROUNDDOWN(G91*C91,1))</f>
        <v>12349.1</v>
      </c>
      <c r="I91" s="494">
        <f>일위대가목록표!G223</f>
        <v>842</v>
      </c>
      <c r="J91" s="498">
        <f>IF(C91=0,0,ROUNDDOWN(I91*C91,1))</f>
        <v>1886</v>
      </c>
      <c r="K91" s="494">
        <f>일위대가목록표!H223</f>
        <v>110</v>
      </c>
      <c r="L91" s="498">
        <f>IF(C91=0,0,ROUNDDOWN(K91*C91,1))</f>
        <v>246.4</v>
      </c>
      <c r="M91" s="463" t="s">
        <v>2463</v>
      </c>
      <c r="N91" s="451" t="s">
        <v>2464</v>
      </c>
      <c r="O91" s="468" t="s">
        <v>1536</v>
      </c>
      <c r="P91" s="468" t="s">
        <v>2354</v>
      </c>
      <c r="Z91" s="433" t="str">
        <f ca="1">HYPERLINK("#"&amp;일위대가목록표!J2&amp;"!A"&amp;ROW(일위대가목록표!A223),"B02657 →")</f>
        <v>B02657 →</v>
      </c>
    </row>
    <row r="92" spans="1:26" ht="33.200000000000003" customHeight="1">
      <c r="A92" s="463" t="s">
        <v>842</v>
      </c>
      <c r="B92" s="497"/>
      <c r="C92" s="497"/>
      <c r="D92" s="497"/>
      <c r="E92" s="497"/>
      <c r="F92" s="446">
        <f>J92+H92+L92</f>
        <v>23923</v>
      </c>
      <c r="G92" s="497"/>
      <c r="H92" s="446">
        <f>ROUNDDOWN(SUMIF(P90:P91,O92,H90:H91),0)</f>
        <v>21519</v>
      </c>
      <c r="I92" s="497"/>
      <c r="J92" s="446">
        <f>ROUNDDOWN(SUMIF(P90:P91,O92,J90:J91),0)</f>
        <v>1886</v>
      </c>
      <c r="K92" s="497"/>
      <c r="L92" s="446">
        <f>ROUNDDOWN(SUMIF(P90:P91,O92,L90:L91),0)</f>
        <v>518</v>
      </c>
      <c r="M92" s="497"/>
      <c r="O92" s="468" t="s">
        <v>2354</v>
      </c>
    </row>
    <row r="93" spans="1:26" ht="33.200000000000003" customHeight="1">
      <c r="A93" s="484" t="s">
        <v>2465</v>
      </c>
      <c r="B93" s="484"/>
      <c r="C93" s="485"/>
      <c r="D93" s="485"/>
      <c r="E93" s="485"/>
      <c r="F93" s="485"/>
      <c r="G93" s="485"/>
      <c r="H93" s="485"/>
      <c r="I93" s="485"/>
      <c r="J93" s="485"/>
      <c r="K93" s="485"/>
      <c r="L93" s="485"/>
      <c r="M93" s="485"/>
      <c r="N93" s="486" t="str">
        <f>HYPERLINK("#N"&amp;ROW(N98),"_x0005_`BDCOD|B02732_x0007_`POSS|"&amp;ROW(N95)&amp;"_x0007_`POSE|"&amp;ROW(N98)&amp;"_x0007_`")</f>
        <v>_x0005_`BDCOD|B02732_x0007_`POSS|95_x0007_`POSE|98_x0007_`</v>
      </c>
    </row>
    <row r="94" spans="1:26" ht="33.200000000000003" customHeight="1">
      <c r="A94" s="469" t="s">
        <v>1476</v>
      </c>
      <c r="B94" s="469" t="s">
        <v>1477</v>
      </c>
      <c r="C94" s="487"/>
      <c r="D94" s="488" t="s">
        <v>975</v>
      </c>
      <c r="E94" s="487"/>
      <c r="F94" s="487"/>
      <c r="G94" s="487"/>
      <c r="H94" s="487"/>
      <c r="I94" s="487"/>
      <c r="J94" s="487"/>
      <c r="K94" s="487"/>
      <c r="L94" s="487"/>
      <c r="M94" s="488" t="s">
        <v>1478</v>
      </c>
      <c r="O94" s="468" t="s">
        <v>1478</v>
      </c>
    </row>
    <row r="95" spans="1:26" ht="33.200000000000003" customHeight="1">
      <c r="A95" s="452" t="s">
        <v>2466</v>
      </c>
      <c r="B95" s="452" t="s">
        <v>2467</v>
      </c>
      <c r="C95" s="489">
        <v>0.28000000000000003</v>
      </c>
      <c r="D95" s="480" t="s">
        <v>595</v>
      </c>
      <c r="E95" s="490">
        <f t="shared" ref="E95:F98" si="4">I95+G95+K95</f>
        <v>50600</v>
      </c>
      <c r="F95" s="491">
        <f t="shared" si="4"/>
        <v>14168</v>
      </c>
      <c r="G95" s="492">
        <v>0</v>
      </c>
      <c r="H95" s="493">
        <f>IF(C95=0,0,ROUNDDOWN(G95*C95,1))</f>
        <v>0</v>
      </c>
      <c r="I95" s="494">
        <f>재료비목록표!E96</f>
        <v>50600</v>
      </c>
      <c r="J95" s="495">
        <f>IF(C95=0,0,ROUNDDOWN(I95*C95,1))</f>
        <v>14168</v>
      </c>
      <c r="K95" s="492">
        <v>0</v>
      </c>
      <c r="L95" s="493">
        <f>IF(C95=0,0,ROUNDDOWN(K95*C95,1))</f>
        <v>0</v>
      </c>
      <c r="M95" s="463" t="s">
        <v>2468</v>
      </c>
      <c r="N95" s="451" t="s">
        <v>2469</v>
      </c>
      <c r="O95" s="468" t="s">
        <v>2470</v>
      </c>
      <c r="P95" s="468" t="s">
        <v>2354</v>
      </c>
      <c r="Z95" s="433" t="str">
        <f ca="1">HYPERLINK("#"&amp;재료비목록표!G2&amp;"!A"&amp;ROW(재료비목록표!A96),"M08842 →")</f>
        <v>M08842 →</v>
      </c>
    </row>
    <row r="96" spans="1:26" ht="33.200000000000003" customHeight="1">
      <c r="A96" s="452" t="s">
        <v>1461</v>
      </c>
      <c r="B96" s="452" t="s">
        <v>1462</v>
      </c>
      <c r="C96" s="489">
        <v>0.02</v>
      </c>
      <c r="D96" s="480" t="s">
        <v>8</v>
      </c>
      <c r="E96" s="490">
        <f t="shared" si="4"/>
        <v>915052</v>
      </c>
      <c r="F96" s="493">
        <f t="shared" si="4"/>
        <v>18301</v>
      </c>
      <c r="G96" s="494">
        <f>일위대가목록표!F72</f>
        <v>915052</v>
      </c>
      <c r="H96" s="498">
        <f>IF(C96=0,0,ROUNDDOWN(G96*C96,1))</f>
        <v>18301</v>
      </c>
      <c r="I96" s="494">
        <f>일위대가목록표!G72</f>
        <v>0</v>
      </c>
      <c r="J96" s="498">
        <f>IF(C96=0,0,ROUNDDOWN(I96*C96,1))</f>
        <v>0</v>
      </c>
      <c r="K96" s="494">
        <f>일위대가목록표!H72</f>
        <v>0</v>
      </c>
      <c r="L96" s="498">
        <f>IF(C96=0,0,ROUNDDOWN(K96*C96,1))</f>
        <v>0</v>
      </c>
      <c r="M96" s="463" t="s">
        <v>2471</v>
      </c>
      <c r="N96" s="451" t="s">
        <v>2472</v>
      </c>
      <c r="O96" s="468" t="s">
        <v>1465</v>
      </c>
      <c r="P96" s="468" t="s">
        <v>2354</v>
      </c>
      <c r="Q96" s="468" t="s">
        <v>2355</v>
      </c>
      <c r="Z96" s="433" t="str">
        <f ca="1">HYPERLINK("#"&amp;일위대가목록표!J2&amp;"!A"&amp;ROW(일위대가목록표!A72),"B01822 →")</f>
        <v>B01822 →</v>
      </c>
    </row>
    <row r="97" spans="1:26" ht="33.200000000000003" customHeight="1">
      <c r="A97" s="452" t="s">
        <v>1532</v>
      </c>
      <c r="B97" s="452" t="s">
        <v>1537</v>
      </c>
      <c r="C97" s="489">
        <v>1.512</v>
      </c>
      <c r="D97" s="480" t="s">
        <v>595</v>
      </c>
      <c r="E97" s="490">
        <f t="shared" si="4"/>
        <v>12642</v>
      </c>
      <c r="F97" s="493">
        <f t="shared" si="4"/>
        <v>19114.599999999999</v>
      </c>
      <c r="G97" s="494">
        <f>일위대가목록표!F224</f>
        <v>11027</v>
      </c>
      <c r="H97" s="498">
        <f>IF(C97=0,0,ROUNDDOWN(G97*C97,1))</f>
        <v>16672.8</v>
      </c>
      <c r="I97" s="494">
        <f>일위대가목록표!G224</f>
        <v>1395</v>
      </c>
      <c r="J97" s="498">
        <f>IF(C97=0,0,ROUNDDOWN(I97*C97,1))</f>
        <v>2109.1999999999998</v>
      </c>
      <c r="K97" s="494">
        <f>일위대가목록표!H224</f>
        <v>220</v>
      </c>
      <c r="L97" s="498">
        <f>IF(C97=0,0,ROUNDDOWN(K97*C97,1))</f>
        <v>332.6</v>
      </c>
      <c r="M97" s="463" t="s">
        <v>2473</v>
      </c>
      <c r="N97" s="451" t="s">
        <v>2474</v>
      </c>
      <c r="O97" s="468" t="s">
        <v>1540</v>
      </c>
      <c r="P97" s="468" t="s">
        <v>2354</v>
      </c>
      <c r="Q97" s="468" t="s">
        <v>2355</v>
      </c>
      <c r="Z97" s="433" t="str">
        <f ca="1">HYPERLINK("#"&amp;일위대가목록표!J2&amp;"!A"&amp;ROW(일위대가목록표!A224),"B01814 →")</f>
        <v>B01814 →</v>
      </c>
    </row>
    <row r="98" spans="1:26" ht="33.200000000000003" customHeight="1">
      <c r="A98" s="452" t="s">
        <v>2475</v>
      </c>
      <c r="B98" s="452"/>
      <c r="C98" s="489">
        <v>4</v>
      </c>
      <c r="D98" s="480" t="s">
        <v>2476</v>
      </c>
      <c r="E98" s="490">
        <f t="shared" si="4"/>
        <v>21850</v>
      </c>
      <c r="F98" s="491">
        <f t="shared" si="4"/>
        <v>87400</v>
      </c>
      <c r="G98" s="492">
        <v>0</v>
      </c>
      <c r="H98" s="493">
        <f>IF(C98=0,0,ROUNDDOWN(G98*C98,1))</f>
        <v>0</v>
      </c>
      <c r="I98" s="494">
        <f>재료비목록표!E79</f>
        <v>21850</v>
      </c>
      <c r="J98" s="495">
        <f>IF(C98=0,0,ROUNDDOWN(I98*C98,1))</f>
        <v>87400</v>
      </c>
      <c r="K98" s="492">
        <v>0</v>
      </c>
      <c r="L98" s="493">
        <f>IF(C98=0,0,ROUNDDOWN(K98*C98,1))</f>
        <v>0</v>
      </c>
      <c r="M98" s="463" t="s">
        <v>2477</v>
      </c>
      <c r="N98" s="451" t="s">
        <v>2478</v>
      </c>
      <c r="O98" s="468" t="s">
        <v>2479</v>
      </c>
      <c r="P98" s="468" t="s">
        <v>2354</v>
      </c>
      <c r="Z98" s="433" t="str">
        <f ca="1">HYPERLINK("#"&amp;재료비목록표!G2&amp;"!A"&amp;ROW(재료비목록표!A79),"M08803 →")</f>
        <v>M08803 →</v>
      </c>
    </row>
    <row r="99" spans="1:26" ht="33.200000000000003" customHeight="1">
      <c r="A99" s="463" t="s">
        <v>842</v>
      </c>
      <c r="B99" s="497"/>
      <c r="C99" s="497"/>
      <c r="D99" s="497"/>
      <c r="E99" s="497"/>
      <c r="F99" s="446">
        <f>J99+H99+L99</f>
        <v>138982</v>
      </c>
      <c r="G99" s="497"/>
      <c r="H99" s="446">
        <f>ROUNDDOWN(SUMIF(P95:P98,O99,H95:H98),0)</f>
        <v>34973</v>
      </c>
      <c r="I99" s="497"/>
      <c r="J99" s="446">
        <f>ROUNDDOWN(SUMIF(P95:P98,O99,J95:J98),0)</f>
        <v>103677</v>
      </c>
      <c r="K99" s="497"/>
      <c r="L99" s="446">
        <f>ROUNDDOWN(SUMIF(P95:P98,O99,L95:L98),0)</f>
        <v>332</v>
      </c>
      <c r="M99" s="497"/>
      <c r="O99" s="468" t="s">
        <v>2354</v>
      </c>
    </row>
    <row r="100" spans="1:26" ht="33.200000000000003" customHeight="1">
      <c r="A100" s="484" t="s">
        <v>2480</v>
      </c>
      <c r="B100" s="484"/>
      <c r="C100" s="485"/>
      <c r="D100" s="485"/>
      <c r="E100" s="485"/>
      <c r="F100" s="485"/>
      <c r="G100" s="485"/>
      <c r="H100" s="485"/>
      <c r="I100" s="485"/>
      <c r="J100" s="485"/>
      <c r="K100" s="485"/>
      <c r="L100" s="485"/>
      <c r="M100" s="485"/>
      <c r="N100" s="486" t="str">
        <f>HYPERLINK("#N"&amp;ROW(N103),"_x0005_`BDCOD|B02723_x0007_`POSS|"&amp;ROW(N102)&amp;"_x0007_`POSE|"&amp;ROW(N103)&amp;"_x0007_`")</f>
        <v>_x0005_`BDCOD|B02723_x0007_`POSS|102_x0007_`POSE|103_x0007_`</v>
      </c>
    </row>
    <row r="101" spans="1:26" ht="33.200000000000003" customHeight="1">
      <c r="A101" s="469" t="s">
        <v>1550</v>
      </c>
      <c r="B101" s="469" t="s">
        <v>1551</v>
      </c>
      <c r="C101" s="487"/>
      <c r="D101" s="488" t="s">
        <v>975</v>
      </c>
      <c r="E101" s="487"/>
      <c r="F101" s="487"/>
      <c r="G101" s="487"/>
      <c r="H101" s="487"/>
      <c r="I101" s="487"/>
      <c r="J101" s="487"/>
      <c r="K101" s="487"/>
      <c r="L101" s="487"/>
      <c r="M101" s="488" t="s">
        <v>1552</v>
      </c>
      <c r="O101" s="468" t="s">
        <v>1552</v>
      </c>
    </row>
    <row r="102" spans="1:26" ht="33.200000000000003" customHeight="1">
      <c r="A102" s="452" t="s">
        <v>1541</v>
      </c>
      <c r="B102" s="452" t="s">
        <v>1546</v>
      </c>
      <c r="C102" s="489">
        <v>11.8</v>
      </c>
      <c r="D102" s="480" t="s">
        <v>595</v>
      </c>
      <c r="E102" s="490">
        <f>I102+G102+K102</f>
        <v>2662</v>
      </c>
      <c r="F102" s="493">
        <f>J102+H102+L102</f>
        <v>31411.599999999999</v>
      </c>
      <c r="G102" s="494">
        <f>단가산출근거목록표!F132</f>
        <v>2585</v>
      </c>
      <c r="H102" s="498">
        <f>IF(C102=0,0,ROUNDDOWN(G102*C102,1))</f>
        <v>30503</v>
      </c>
      <c r="I102" s="494">
        <f>단가산출근거목록표!G132</f>
        <v>0</v>
      </c>
      <c r="J102" s="498">
        <f>IF(C102=0,0,ROUNDDOWN(I102*C102,1))</f>
        <v>0</v>
      </c>
      <c r="K102" s="494">
        <f>단가산출근거목록표!H132</f>
        <v>77</v>
      </c>
      <c r="L102" s="498">
        <f>IF(C102=0,0,ROUNDDOWN(K102*C102,1))</f>
        <v>908.6</v>
      </c>
      <c r="M102" s="463" t="s">
        <v>2481</v>
      </c>
      <c r="N102" s="451" t="s">
        <v>2482</v>
      </c>
      <c r="O102" s="468" t="s">
        <v>1549</v>
      </c>
      <c r="P102" s="468" t="s">
        <v>2354</v>
      </c>
      <c r="Q102" s="468" t="s">
        <v>2355</v>
      </c>
      <c r="Z102" s="433" t="str">
        <f ca="1">HYPERLINK("#"&amp;단가산출근거목록표!J2&amp;"!A"&amp;ROW(단가산출근거목록표!A132),"D01276 →")</f>
        <v>D01276 →</v>
      </c>
    </row>
    <row r="103" spans="1:26" ht="33.200000000000003" customHeight="1">
      <c r="A103" s="452" t="s">
        <v>1532</v>
      </c>
      <c r="B103" s="452" t="s">
        <v>1537</v>
      </c>
      <c r="C103" s="489">
        <v>11.8</v>
      </c>
      <c r="D103" s="480" t="s">
        <v>595</v>
      </c>
      <c r="E103" s="490">
        <f>I103+G103+K103</f>
        <v>12642</v>
      </c>
      <c r="F103" s="493">
        <f>J103+H103+L103</f>
        <v>149175.6</v>
      </c>
      <c r="G103" s="494">
        <f>일위대가목록표!F224</f>
        <v>11027</v>
      </c>
      <c r="H103" s="498">
        <f>IF(C103=0,0,ROUNDDOWN(G103*C103,1))</f>
        <v>130118.6</v>
      </c>
      <c r="I103" s="494">
        <f>일위대가목록표!G224</f>
        <v>1395</v>
      </c>
      <c r="J103" s="498">
        <f>IF(C103=0,0,ROUNDDOWN(I103*C103,1))</f>
        <v>16461</v>
      </c>
      <c r="K103" s="494">
        <f>일위대가목록표!H224</f>
        <v>220</v>
      </c>
      <c r="L103" s="498">
        <f>IF(C103=0,0,ROUNDDOWN(K103*C103,1))</f>
        <v>2596</v>
      </c>
      <c r="M103" s="463" t="s">
        <v>2473</v>
      </c>
      <c r="N103" s="451" t="s">
        <v>2474</v>
      </c>
      <c r="O103" s="468" t="s">
        <v>1540</v>
      </c>
      <c r="P103" s="468" t="s">
        <v>2354</v>
      </c>
      <c r="Q103" s="468" t="s">
        <v>2355</v>
      </c>
      <c r="Z103" s="433" t="str">
        <f ca="1">HYPERLINK("#"&amp;일위대가목록표!J2&amp;"!A"&amp;ROW(일위대가목록표!A224),"B01814 →")</f>
        <v>B01814 →</v>
      </c>
    </row>
    <row r="104" spans="1:26" ht="33.200000000000003" customHeight="1">
      <c r="A104" s="463" t="s">
        <v>842</v>
      </c>
      <c r="B104" s="497"/>
      <c r="C104" s="497"/>
      <c r="D104" s="497"/>
      <c r="E104" s="497"/>
      <c r="F104" s="446">
        <f>J104+H104+L104</f>
        <v>180586</v>
      </c>
      <c r="G104" s="497"/>
      <c r="H104" s="446">
        <f>ROUNDDOWN(SUMIF(P102:P103,O104,H102:H103),0)</f>
        <v>160621</v>
      </c>
      <c r="I104" s="497"/>
      <c r="J104" s="446">
        <f>ROUNDDOWN(SUMIF(P102:P103,O104,J102:J103),0)</f>
        <v>16461</v>
      </c>
      <c r="K104" s="497"/>
      <c r="L104" s="446">
        <f>ROUNDDOWN(SUMIF(P102:P103,O104,L102:L103),0)</f>
        <v>3504</v>
      </c>
      <c r="M104" s="497"/>
      <c r="O104" s="468" t="s">
        <v>2354</v>
      </c>
    </row>
    <row r="105" spans="1:26" ht="33.200000000000003" customHeight="1">
      <c r="A105" s="484" t="s">
        <v>2483</v>
      </c>
      <c r="B105" s="484"/>
      <c r="C105" s="485"/>
      <c r="D105" s="485"/>
      <c r="E105" s="485"/>
      <c r="F105" s="485"/>
      <c r="G105" s="485"/>
      <c r="H105" s="485"/>
      <c r="I105" s="485"/>
      <c r="J105" s="485"/>
      <c r="K105" s="485"/>
      <c r="L105" s="485"/>
      <c r="M105" s="485"/>
      <c r="N105" s="486" t="str">
        <f>HYPERLINK("#N"&amp;ROW(N111),"_x0005_`BDCOD|B02619_x0007_`POSS|"&amp;ROW(N107)&amp;"_x0007_`POSE|"&amp;ROW(N111)&amp;"_x0007_`")</f>
        <v>_x0005_`BDCOD|B02619_x0007_`POSS|107_x0007_`POSE|111_x0007_`</v>
      </c>
    </row>
    <row r="106" spans="1:26" ht="33.200000000000003" customHeight="1">
      <c r="A106" s="469" t="s">
        <v>2120</v>
      </c>
      <c r="B106" s="469" t="s">
        <v>2108</v>
      </c>
      <c r="C106" s="487"/>
      <c r="D106" s="488" t="s">
        <v>975</v>
      </c>
      <c r="E106" s="487"/>
      <c r="F106" s="487"/>
      <c r="G106" s="487"/>
      <c r="H106" s="487"/>
      <c r="I106" s="487"/>
      <c r="J106" s="487"/>
      <c r="K106" s="487"/>
      <c r="L106" s="487"/>
      <c r="M106" s="488" t="s">
        <v>2121</v>
      </c>
      <c r="O106" s="468" t="s">
        <v>2121</v>
      </c>
    </row>
    <row r="107" spans="1:26" ht="33.200000000000003" customHeight="1">
      <c r="A107" s="452" t="s">
        <v>2484</v>
      </c>
      <c r="B107" s="452" t="s">
        <v>2485</v>
      </c>
      <c r="C107" s="489">
        <v>0.1</v>
      </c>
      <c r="D107" s="480" t="s">
        <v>8</v>
      </c>
      <c r="E107" s="490">
        <f t="shared" ref="E107:F111" si="5">I107+G107+K107</f>
        <v>62811</v>
      </c>
      <c r="F107" s="493">
        <f t="shared" si="5"/>
        <v>6281.1</v>
      </c>
      <c r="G107" s="494">
        <f>단가산출근거목록표!F157</f>
        <v>62811</v>
      </c>
      <c r="H107" s="498">
        <f>IF(C107=0,0,ROUNDDOWN(G107*C107,1))</f>
        <v>6281.1</v>
      </c>
      <c r="I107" s="494">
        <f>단가산출근거목록표!G157</f>
        <v>0</v>
      </c>
      <c r="J107" s="498">
        <f>IF(C107=0,0,ROUNDDOWN(I107*C107,1))</f>
        <v>0</v>
      </c>
      <c r="K107" s="494">
        <f>단가산출근거목록표!H157</f>
        <v>0</v>
      </c>
      <c r="L107" s="498">
        <f>IF(C107=0,0,ROUNDDOWN(K107*C107,1))</f>
        <v>0</v>
      </c>
      <c r="M107" s="463" t="s">
        <v>2486</v>
      </c>
      <c r="N107" s="451" t="s">
        <v>2487</v>
      </c>
      <c r="O107" s="468" t="s">
        <v>2488</v>
      </c>
      <c r="P107" s="468" t="s">
        <v>2354</v>
      </c>
      <c r="Q107" s="468" t="s">
        <v>2355</v>
      </c>
      <c r="Z107" s="433" t="str">
        <f ca="1">HYPERLINK("#"&amp;단가산출근거목록표!J2&amp;"!A"&amp;ROW(단가산출근거목록표!A157),"D01241 →")</f>
        <v>D01241 →</v>
      </c>
    </row>
    <row r="108" spans="1:26" ht="33.200000000000003" customHeight="1">
      <c r="A108" s="452" t="s">
        <v>2321</v>
      </c>
      <c r="B108" s="452" t="s">
        <v>2322</v>
      </c>
      <c r="C108" s="489">
        <v>2.7E-2</v>
      </c>
      <c r="D108" s="480" t="s">
        <v>8</v>
      </c>
      <c r="E108" s="490">
        <f t="shared" si="5"/>
        <v>34413</v>
      </c>
      <c r="F108" s="493">
        <f t="shared" si="5"/>
        <v>929.1</v>
      </c>
      <c r="G108" s="494">
        <f>일위대가목록표!F275</f>
        <v>34413</v>
      </c>
      <c r="H108" s="498">
        <f>IF(C108=0,0,ROUNDDOWN(G108*C108,1))</f>
        <v>929.1</v>
      </c>
      <c r="I108" s="494">
        <f>일위대가목록표!G275</f>
        <v>0</v>
      </c>
      <c r="J108" s="498">
        <f>IF(C108=0,0,ROUNDDOWN(I108*C108,1))</f>
        <v>0</v>
      </c>
      <c r="K108" s="494">
        <f>일위대가목록표!H275</f>
        <v>0</v>
      </c>
      <c r="L108" s="498">
        <f>IF(C108=0,0,ROUNDDOWN(K108*C108,1))</f>
        <v>0</v>
      </c>
      <c r="M108" s="463" t="s">
        <v>2489</v>
      </c>
      <c r="N108" s="451" t="s">
        <v>2490</v>
      </c>
      <c r="O108" s="468" t="s">
        <v>2491</v>
      </c>
      <c r="P108" s="468" t="s">
        <v>2354</v>
      </c>
      <c r="Q108" s="468" t="s">
        <v>2355</v>
      </c>
      <c r="Z108" s="433" t="str">
        <f ca="1">HYPERLINK("#"&amp;일위대가목록표!J2&amp;"!A"&amp;ROW(일위대가목록표!A275),"B01414 →")</f>
        <v>B01414 →</v>
      </c>
    </row>
    <row r="109" spans="1:26" ht="33.200000000000003" customHeight="1">
      <c r="A109" s="452" t="s">
        <v>2298</v>
      </c>
      <c r="B109" s="452" t="s">
        <v>2299</v>
      </c>
      <c r="C109" s="489">
        <v>7.2999999999999995E-2</v>
      </c>
      <c r="D109" s="480" t="s">
        <v>8</v>
      </c>
      <c r="E109" s="490">
        <f t="shared" si="5"/>
        <v>24089</v>
      </c>
      <c r="F109" s="493">
        <f t="shared" si="5"/>
        <v>1758.4</v>
      </c>
      <c r="G109" s="494">
        <f>일위대가목록표!F37</f>
        <v>24089</v>
      </c>
      <c r="H109" s="498">
        <f>IF(C109=0,0,ROUNDDOWN(G109*C109,1))</f>
        <v>1758.4</v>
      </c>
      <c r="I109" s="494">
        <f>일위대가목록표!G37</f>
        <v>0</v>
      </c>
      <c r="J109" s="498">
        <f>IF(C109=0,0,ROUNDDOWN(I109*C109,1))</f>
        <v>0</v>
      </c>
      <c r="K109" s="494">
        <f>일위대가목록표!H37</f>
        <v>0</v>
      </c>
      <c r="L109" s="498">
        <f>IF(C109=0,0,ROUNDDOWN(K109*C109,1))</f>
        <v>0</v>
      </c>
      <c r="M109" s="463" t="s">
        <v>2492</v>
      </c>
      <c r="N109" s="451" t="s">
        <v>2493</v>
      </c>
      <c r="O109" s="468" t="s">
        <v>2494</v>
      </c>
      <c r="P109" s="468" t="s">
        <v>2354</v>
      </c>
      <c r="Q109" s="468" t="s">
        <v>2355</v>
      </c>
      <c r="Z109" s="433" t="str">
        <f ca="1">HYPERLINK("#"&amp;일위대가목록표!J2&amp;"!A"&amp;ROW(일위대가목록표!A37),"B01447 →")</f>
        <v>B01447 →</v>
      </c>
    </row>
    <row r="110" spans="1:26" ht="33.200000000000003" customHeight="1">
      <c r="A110" s="452" t="s">
        <v>2495</v>
      </c>
      <c r="B110" s="452" t="s">
        <v>2496</v>
      </c>
      <c r="C110" s="489">
        <v>0.27</v>
      </c>
      <c r="D110" s="480" t="s">
        <v>595</v>
      </c>
      <c r="E110" s="490">
        <f t="shared" si="5"/>
        <v>46533</v>
      </c>
      <c r="F110" s="493">
        <f t="shared" si="5"/>
        <v>12563.699999999999</v>
      </c>
      <c r="G110" s="494">
        <f>단가산출근거목록표!F169</f>
        <v>34461</v>
      </c>
      <c r="H110" s="498">
        <f>IF(C110=0,0,ROUNDDOWN(G110*C110,1))</f>
        <v>9304.4</v>
      </c>
      <c r="I110" s="494">
        <f>단가산출근거목록표!G169</f>
        <v>11728</v>
      </c>
      <c r="J110" s="498">
        <f>IF(C110=0,0,ROUNDDOWN(I110*C110,1))</f>
        <v>3166.5</v>
      </c>
      <c r="K110" s="494">
        <f>단가산출근거목록표!H169</f>
        <v>344</v>
      </c>
      <c r="L110" s="498">
        <f>IF(C110=0,0,ROUNDDOWN(K110*C110,1))</f>
        <v>92.8</v>
      </c>
      <c r="M110" s="463" t="s">
        <v>2497</v>
      </c>
      <c r="N110" s="451" t="s">
        <v>2498</v>
      </c>
      <c r="O110" s="468" t="s">
        <v>2499</v>
      </c>
      <c r="P110" s="468" t="s">
        <v>2354</v>
      </c>
      <c r="Q110" s="468" t="s">
        <v>2355</v>
      </c>
      <c r="Z110" s="433" t="str">
        <f ca="1">HYPERLINK("#"&amp;단가산출근거목록표!J2&amp;"!A"&amp;ROW(단가산출근거목록표!A169),"D01231 →")</f>
        <v>D01231 →</v>
      </c>
    </row>
    <row r="111" spans="1:26" ht="33.200000000000003" customHeight="1">
      <c r="A111" s="452" t="s">
        <v>2342</v>
      </c>
      <c r="B111" s="452" t="s">
        <v>2343</v>
      </c>
      <c r="C111" s="489">
        <v>2.7E-2</v>
      </c>
      <c r="D111" s="480" t="s">
        <v>8</v>
      </c>
      <c r="E111" s="490">
        <f t="shared" si="5"/>
        <v>477254</v>
      </c>
      <c r="F111" s="493">
        <f t="shared" si="5"/>
        <v>12885.8</v>
      </c>
      <c r="G111" s="494">
        <f>일위대가목록표!F330</f>
        <v>373604</v>
      </c>
      <c r="H111" s="498">
        <f>IF(C111=0,0,ROUNDDOWN(G111*C111,1))</f>
        <v>10087.299999999999</v>
      </c>
      <c r="I111" s="494">
        <f>일위대가목록표!G330</f>
        <v>103650</v>
      </c>
      <c r="J111" s="498">
        <f>IF(C111=0,0,ROUNDDOWN(I111*C111,1))</f>
        <v>2798.5</v>
      </c>
      <c r="K111" s="494">
        <f>일위대가목록표!H330</f>
        <v>0</v>
      </c>
      <c r="L111" s="498">
        <f>IF(C111=0,0,ROUNDDOWN(K111*C111,1))</f>
        <v>0</v>
      </c>
      <c r="M111" s="463" t="s">
        <v>2500</v>
      </c>
      <c r="N111" s="451" t="s">
        <v>2501</v>
      </c>
      <c r="O111" s="468" t="s">
        <v>2502</v>
      </c>
      <c r="P111" s="468" t="s">
        <v>2354</v>
      </c>
      <c r="Q111" s="468" t="s">
        <v>2355</v>
      </c>
      <c r="Z111" s="433" t="str">
        <f ca="1">HYPERLINK("#"&amp;일위대가목록표!J2&amp;"!A"&amp;ROW(일위대가목록표!A330),"B01936 →")</f>
        <v>B01936 →</v>
      </c>
    </row>
    <row r="112" spans="1:26" ht="33.200000000000003" customHeight="1">
      <c r="A112" s="463" t="s">
        <v>842</v>
      </c>
      <c r="B112" s="497"/>
      <c r="C112" s="497"/>
      <c r="D112" s="497"/>
      <c r="E112" s="497"/>
      <c r="F112" s="446">
        <f>J112+H112+L112</f>
        <v>34417</v>
      </c>
      <c r="G112" s="497"/>
      <c r="H112" s="446">
        <f>ROUNDDOWN(SUMIF(P107:P111,O112,H107:H111),0)</f>
        <v>28360</v>
      </c>
      <c r="I112" s="497"/>
      <c r="J112" s="446">
        <f>ROUNDDOWN(SUMIF(P107:P111,O112,J107:J111),0)</f>
        <v>5965</v>
      </c>
      <c r="K112" s="497"/>
      <c r="L112" s="446">
        <f>ROUNDDOWN(SUMIF(P107:P111,O112,L107:L111),0)</f>
        <v>92</v>
      </c>
      <c r="M112" s="497"/>
      <c r="O112" s="468" t="s">
        <v>2354</v>
      </c>
    </row>
    <row r="113" spans="1:26" ht="33.200000000000003" customHeight="1">
      <c r="A113" s="484" t="s">
        <v>2503</v>
      </c>
      <c r="B113" s="484"/>
      <c r="C113" s="485"/>
      <c r="D113" s="485"/>
      <c r="E113" s="485"/>
      <c r="F113" s="485"/>
      <c r="G113" s="485"/>
      <c r="H113" s="485"/>
      <c r="I113" s="485"/>
      <c r="J113" s="485"/>
      <c r="K113" s="485"/>
      <c r="L113" s="485"/>
      <c r="M113" s="485"/>
      <c r="N113" s="486" t="str">
        <f>HYPERLINK("#N"&amp;ROW(N119),"_x0005_`BDCOD|B02620_x0007_`POSS|"&amp;ROW(N115)&amp;"_x0007_`POSE|"&amp;ROW(N119)&amp;"_x0007_`")</f>
        <v>_x0005_`BDCOD|B02620_x0007_`POSS|115_x0007_`POSE|119_x0007_`</v>
      </c>
    </row>
    <row r="114" spans="1:26" ht="33.200000000000003" customHeight="1">
      <c r="A114" s="469" t="s">
        <v>2120</v>
      </c>
      <c r="B114" s="469" t="s">
        <v>2112</v>
      </c>
      <c r="C114" s="487"/>
      <c r="D114" s="488" t="s">
        <v>975</v>
      </c>
      <c r="E114" s="487"/>
      <c r="F114" s="487"/>
      <c r="G114" s="487"/>
      <c r="H114" s="487"/>
      <c r="I114" s="487"/>
      <c r="J114" s="487"/>
      <c r="K114" s="487"/>
      <c r="L114" s="487"/>
      <c r="M114" s="488" t="s">
        <v>2124</v>
      </c>
      <c r="O114" s="468" t="s">
        <v>2124</v>
      </c>
    </row>
    <row r="115" spans="1:26" ht="33.200000000000003" customHeight="1">
      <c r="A115" s="452" t="s">
        <v>2484</v>
      </c>
      <c r="B115" s="452" t="s">
        <v>2485</v>
      </c>
      <c r="C115" s="489">
        <v>0.18</v>
      </c>
      <c r="D115" s="480" t="s">
        <v>8</v>
      </c>
      <c r="E115" s="490">
        <f t="shared" ref="E115:F119" si="6">I115+G115+K115</f>
        <v>62811</v>
      </c>
      <c r="F115" s="493">
        <f t="shared" si="6"/>
        <v>11305.9</v>
      </c>
      <c r="G115" s="494">
        <f>단가산출근거목록표!F157</f>
        <v>62811</v>
      </c>
      <c r="H115" s="498">
        <f>IF(C115=0,0,ROUNDDOWN(G115*C115,1))</f>
        <v>11305.9</v>
      </c>
      <c r="I115" s="494">
        <f>단가산출근거목록표!G157</f>
        <v>0</v>
      </c>
      <c r="J115" s="498">
        <f>IF(C115=0,0,ROUNDDOWN(I115*C115,1))</f>
        <v>0</v>
      </c>
      <c r="K115" s="494">
        <f>단가산출근거목록표!H157</f>
        <v>0</v>
      </c>
      <c r="L115" s="498">
        <f>IF(C115=0,0,ROUNDDOWN(K115*C115,1))</f>
        <v>0</v>
      </c>
      <c r="M115" s="463" t="s">
        <v>2486</v>
      </c>
      <c r="N115" s="451" t="s">
        <v>2504</v>
      </c>
      <c r="O115" s="468" t="s">
        <v>2488</v>
      </c>
      <c r="P115" s="468" t="s">
        <v>2354</v>
      </c>
      <c r="Z115" s="433" t="str">
        <f ca="1">HYPERLINK("#"&amp;단가산출근거목록표!J2&amp;"!A"&amp;ROW(단가산출근거목록표!A157),"D01241 →")</f>
        <v>D01241 →</v>
      </c>
    </row>
    <row r="116" spans="1:26" ht="33.200000000000003" customHeight="1">
      <c r="A116" s="452" t="s">
        <v>2321</v>
      </c>
      <c r="B116" s="452" t="s">
        <v>2322</v>
      </c>
      <c r="C116" s="489">
        <v>6.4000000000000001E-2</v>
      </c>
      <c r="D116" s="480" t="s">
        <v>8</v>
      </c>
      <c r="E116" s="490">
        <f t="shared" si="6"/>
        <v>34413</v>
      </c>
      <c r="F116" s="493">
        <f t="shared" si="6"/>
        <v>2202.4</v>
      </c>
      <c r="G116" s="494">
        <f>일위대가목록표!F275</f>
        <v>34413</v>
      </c>
      <c r="H116" s="498">
        <f>IF(C116=0,0,ROUNDDOWN(G116*C116,1))</f>
        <v>2202.4</v>
      </c>
      <c r="I116" s="494">
        <f>일위대가목록표!G275</f>
        <v>0</v>
      </c>
      <c r="J116" s="498">
        <f>IF(C116=0,0,ROUNDDOWN(I116*C116,1))</f>
        <v>0</v>
      </c>
      <c r="K116" s="494">
        <f>일위대가목록표!H275</f>
        <v>0</v>
      </c>
      <c r="L116" s="498">
        <f>IF(C116=0,0,ROUNDDOWN(K116*C116,1))</f>
        <v>0</v>
      </c>
      <c r="M116" s="463" t="s">
        <v>2489</v>
      </c>
      <c r="N116" s="451" t="s">
        <v>2490</v>
      </c>
      <c r="O116" s="468" t="s">
        <v>2491</v>
      </c>
      <c r="P116" s="468" t="s">
        <v>2354</v>
      </c>
      <c r="Q116" s="468" t="s">
        <v>2355</v>
      </c>
      <c r="Z116" s="433" t="str">
        <f ca="1">HYPERLINK("#"&amp;일위대가목록표!J2&amp;"!A"&amp;ROW(일위대가목록표!A275),"B01414 →")</f>
        <v>B01414 →</v>
      </c>
    </row>
    <row r="117" spans="1:26" ht="33.200000000000003" customHeight="1">
      <c r="A117" s="452" t="s">
        <v>2298</v>
      </c>
      <c r="B117" s="452" t="s">
        <v>2299</v>
      </c>
      <c r="C117" s="489">
        <v>0.11600000000000001</v>
      </c>
      <c r="D117" s="480" t="s">
        <v>8</v>
      </c>
      <c r="E117" s="490">
        <f t="shared" si="6"/>
        <v>24089</v>
      </c>
      <c r="F117" s="493">
        <f t="shared" si="6"/>
        <v>2794.3</v>
      </c>
      <c r="G117" s="494">
        <f>일위대가목록표!F37</f>
        <v>24089</v>
      </c>
      <c r="H117" s="498">
        <f>IF(C117=0,0,ROUNDDOWN(G117*C117,1))</f>
        <v>2794.3</v>
      </c>
      <c r="I117" s="494">
        <f>일위대가목록표!G37</f>
        <v>0</v>
      </c>
      <c r="J117" s="498">
        <f>IF(C117=0,0,ROUNDDOWN(I117*C117,1))</f>
        <v>0</v>
      </c>
      <c r="K117" s="494">
        <f>일위대가목록표!H37</f>
        <v>0</v>
      </c>
      <c r="L117" s="498">
        <f>IF(C117=0,0,ROUNDDOWN(K117*C117,1))</f>
        <v>0</v>
      </c>
      <c r="M117" s="463" t="s">
        <v>2492</v>
      </c>
      <c r="N117" s="451" t="s">
        <v>2493</v>
      </c>
      <c r="O117" s="468" t="s">
        <v>2494</v>
      </c>
      <c r="P117" s="468" t="s">
        <v>2354</v>
      </c>
      <c r="Q117" s="468" t="s">
        <v>2355</v>
      </c>
      <c r="Z117" s="433" t="str">
        <f ca="1">HYPERLINK("#"&amp;일위대가목록표!J2&amp;"!A"&amp;ROW(일위대가목록표!A37),"B01447 →")</f>
        <v>B01447 →</v>
      </c>
    </row>
    <row r="118" spans="1:26" ht="33.200000000000003" customHeight="1">
      <c r="A118" s="452" t="s">
        <v>2495</v>
      </c>
      <c r="B118" s="452" t="s">
        <v>2496</v>
      </c>
      <c r="C118" s="489">
        <v>0.64</v>
      </c>
      <c r="D118" s="480" t="s">
        <v>595</v>
      </c>
      <c r="E118" s="490">
        <f t="shared" si="6"/>
        <v>46533</v>
      </c>
      <c r="F118" s="493">
        <f t="shared" si="6"/>
        <v>29781</v>
      </c>
      <c r="G118" s="494">
        <f>단가산출근거목록표!F169</f>
        <v>34461</v>
      </c>
      <c r="H118" s="498">
        <f>IF(C118=0,0,ROUNDDOWN(G118*C118,1))</f>
        <v>22055</v>
      </c>
      <c r="I118" s="494">
        <f>단가산출근거목록표!G169</f>
        <v>11728</v>
      </c>
      <c r="J118" s="498">
        <f>IF(C118=0,0,ROUNDDOWN(I118*C118,1))</f>
        <v>7505.9</v>
      </c>
      <c r="K118" s="494">
        <f>단가산출근거목록표!H169</f>
        <v>344</v>
      </c>
      <c r="L118" s="498">
        <f>IF(C118=0,0,ROUNDDOWN(K118*C118,1))</f>
        <v>220.1</v>
      </c>
      <c r="M118" s="463" t="s">
        <v>2497</v>
      </c>
      <c r="N118" s="451" t="s">
        <v>2498</v>
      </c>
      <c r="O118" s="468" t="s">
        <v>2499</v>
      </c>
      <c r="P118" s="468" t="s">
        <v>2354</v>
      </c>
      <c r="Q118" s="468" t="s">
        <v>2355</v>
      </c>
      <c r="Z118" s="433" t="str">
        <f ca="1">HYPERLINK("#"&amp;단가산출근거목록표!J2&amp;"!A"&amp;ROW(단가산출근거목록표!A169),"D01231 →")</f>
        <v>D01231 →</v>
      </c>
    </row>
    <row r="119" spans="1:26" ht="33.200000000000003" customHeight="1">
      <c r="A119" s="452" t="s">
        <v>2342</v>
      </c>
      <c r="B119" s="452" t="s">
        <v>2343</v>
      </c>
      <c r="C119" s="489">
        <v>6.4000000000000001E-2</v>
      </c>
      <c r="D119" s="480" t="s">
        <v>8</v>
      </c>
      <c r="E119" s="490">
        <f t="shared" si="6"/>
        <v>477254</v>
      </c>
      <c r="F119" s="493">
        <f t="shared" si="6"/>
        <v>30544.199999999997</v>
      </c>
      <c r="G119" s="494">
        <f>일위대가목록표!F330</f>
        <v>373604</v>
      </c>
      <c r="H119" s="498">
        <f>IF(C119=0,0,ROUNDDOWN(G119*C119,1))</f>
        <v>23910.6</v>
      </c>
      <c r="I119" s="494">
        <f>일위대가목록표!G330</f>
        <v>103650</v>
      </c>
      <c r="J119" s="498">
        <f>IF(C119=0,0,ROUNDDOWN(I119*C119,1))</f>
        <v>6633.6</v>
      </c>
      <c r="K119" s="494">
        <f>일위대가목록표!H330</f>
        <v>0</v>
      </c>
      <c r="L119" s="498">
        <f>IF(C119=0,0,ROUNDDOWN(K119*C119,1))</f>
        <v>0</v>
      </c>
      <c r="M119" s="463" t="s">
        <v>2500</v>
      </c>
      <c r="N119" s="451" t="s">
        <v>2501</v>
      </c>
      <c r="O119" s="468" t="s">
        <v>2502</v>
      </c>
      <c r="P119" s="468" t="s">
        <v>2354</v>
      </c>
      <c r="Q119" s="468" t="s">
        <v>2355</v>
      </c>
      <c r="Z119" s="433" t="str">
        <f ca="1">HYPERLINK("#"&amp;일위대가목록표!J2&amp;"!A"&amp;ROW(일위대가목록표!A330),"B01936 →")</f>
        <v>B01936 →</v>
      </c>
    </row>
    <row r="120" spans="1:26" ht="33.200000000000003" customHeight="1">
      <c r="A120" s="463" t="s">
        <v>842</v>
      </c>
      <c r="B120" s="497"/>
      <c r="C120" s="497"/>
      <c r="D120" s="497"/>
      <c r="E120" s="497"/>
      <c r="F120" s="446">
        <f>J120+H120+L120</f>
        <v>76627</v>
      </c>
      <c r="G120" s="497"/>
      <c r="H120" s="446">
        <f>ROUNDDOWN(SUMIF(P115:P119,O120,H115:H119),0)</f>
        <v>62268</v>
      </c>
      <c r="I120" s="497"/>
      <c r="J120" s="446">
        <f>ROUNDDOWN(SUMIF(P115:P119,O120,J115:J119),0)</f>
        <v>14139</v>
      </c>
      <c r="K120" s="497"/>
      <c r="L120" s="446">
        <f>ROUNDDOWN(SUMIF(P115:P119,O120,L115:L119),0)</f>
        <v>220</v>
      </c>
      <c r="M120" s="497"/>
      <c r="O120" s="468" t="s">
        <v>2354</v>
      </c>
    </row>
    <row r="121" spans="1:26" ht="33.200000000000003" customHeight="1">
      <c r="A121" s="484" t="s">
        <v>2505</v>
      </c>
      <c r="B121" s="484"/>
      <c r="C121" s="485"/>
      <c r="D121" s="485"/>
      <c r="E121" s="485"/>
      <c r="F121" s="485"/>
      <c r="G121" s="485"/>
      <c r="H121" s="485"/>
      <c r="I121" s="485"/>
      <c r="J121" s="485"/>
      <c r="K121" s="485"/>
      <c r="L121" s="485"/>
      <c r="M121" s="485"/>
      <c r="N121" s="486" t="str">
        <f>HYPERLINK("#N"&amp;ROW(N127),"_x0005_`BDCOD|B02621_x0007_`POSS|"&amp;ROW(N123)&amp;"_x0007_`POSE|"&amp;ROW(N127)&amp;"_x0007_`")</f>
        <v>_x0005_`BDCOD|B02621_x0007_`POSS|123_x0007_`POSE|127_x0007_`</v>
      </c>
    </row>
    <row r="122" spans="1:26" ht="33.200000000000003" customHeight="1">
      <c r="A122" s="469" t="s">
        <v>2120</v>
      </c>
      <c r="B122" s="469" t="s">
        <v>2116</v>
      </c>
      <c r="C122" s="487"/>
      <c r="D122" s="488" t="s">
        <v>975</v>
      </c>
      <c r="E122" s="487"/>
      <c r="F122" s="487"/>
      <c r="G122" s="487"/>
      <c r="H122" s="487"/>
      <c r="I122" s="487"/>
      <c r="J122" s="487"/>
      <c r="K122" s="487"/>
      <c r="L122" s="487"/>
      <c r="M122" s="488" t="s">
        <v>2127</v>
      </c>
      <c r="O122" s="468" t="s">
        <v>2127</v>
      </c>
    </row>
    <row r="123" spans="1:26" ht="33.200000000000003" customHeight="1">
      <c r="A123" s="452" t="s">
        <v>2484</v>
      </c>
      <c r="B123" s="452" t="s">
        <v>2485</v>
      </c>
      <c r="C123" s="489">
        <v>0.29399999999999998</v>
      </c>
      <c r="D123" s="480" t="s">
        <v>8</v>
      </c>
      <c r="E123" s="490">
        <f t="shared" ref="E123:F127" si="7">I123+G123+K123</f>
        <v>62811</v>
      </c>
      <c r="F123" s="493">
        <f t="shared" si="7"/>
        <v>18466.400000000001</v>
      </c>
      <c r="G123" s="494">
        <f>단가산출근거목록표!F157</f>
        <v>62811</v>
      </c>
      <c r="H123" s="498">
        <f>IF(C123=0,0,ROUNDDOWN(G123*C123,1))</f>
        <v>18466.400000000001</v>
      </c>
      <c r="I123" s="494">
        <f>단가산출근거목록표!G157</f>
        <v>0</v>
      </c>
      <c r="J123" s="498">
        <f>IF(C123=0,0,ROUNDDOWN(I123*C123,1))</f>
        <v>0</v>
      </c>
      <c r="K123" s="494">
        <f>단가산출근거목록표!H157</f>
        <v>0</v>
      </c>
      <c r="L123" s="498">
        <f>IF(C123=0,0,ROUNDDOWN(K123*C123,1))</f>
        <v>0</v>
      </c>
      <c r="M123" s="463" t="s">
        <v>2486</v>
      </c>
      <c r="N123" s="451" t="s">
        <v>2504</v>
      </c>
      <c r="O123" s="468" t="s">
        <v>2488</v>
      </c>
      <c r="P123" s="468" t="s">
        <v>2354</v>
      </c>
      <c r="Z123" s="433" t="str">
        <f ca="1">HYPERLINK("#"&amp;단가산출근거목록표!J2&amp;"!A"&amp;ROW(단가산출근거목록표!A157),"D01241 →")</f>
        <v>D01241 →</v>
      </c>
    </row>
    <row r="124" spans="1:26" ht="33.200000000000003" customHeight="1">
      <c r="A124" s="452" t="s">
        <v>2321</v>
      </c>
      <c r="B124" s="452" t="s">
        <v>2322</v>
      </c>
      <c r="C124" s="489">
        <v>0.125</v>
      </c>
      <c r="D124" s="480" t="s">
        <v>8</v>
      </c>
      <c r="E124" s="490">
        <f t="shared" si="7"/>
        <v>34413</v>
      </c>
      <c r="F124" s="493">
        <f t="shared" si="7"/>
        <v>4301.6000000000004</v>
      </c>
      <c r="G124" s="494">
        <f>일위대가목록표!F275</f>
        <v>34413</v>
      </c>
      <c r="H124" s="498">
        <f>IF(C124=0,0,ROUNDDOWN(G124*C124,1))</f>
        <v>4301.6000000000004</v>
      </c>
      <c r="I124" s="494">
        <f>일위대가목록표!G275</f>
        <v>0</v>
      </c>
      <c r="J124" s="498">
        <f>IF(C124=0,0,ROUNDDOWN(I124*C124,1))</f>
        <v>0</v>
      </c>
      <c r="K124" s="494">
        <f>일위대가목록표!H275</f>
        <v>0</v>
      </c>
      <c r="L124" s="498">
        <f>IF(C124=0,0,ROUNDDOWN(K124*C124,1))</f>
        <v>0</v>
      </c>
      <c r="M124" s="463" t="s">
        <v>2489</v>
      </c>
      <c r="N124" s="451" t="s">
        <v>2490</v>
      </c>
      <c r="O124" s="468" t="s">
        <v>2491</v>
      </c>
      <c r="P124" s="468" t="s">
        <v>2354</v>
      </c>
      <c r="Q124" s="468" t="s">
        <v>2355</v>
      </c>
      <c r="Z124" s="433" t="str">
        <f ca="1">HYPERLINK("#"&amp;일위대가목록표!J2&amp;"!A"&amp;ROW(일위대가목록표!A275),"B01414 →")</f>
        <v>B01414 →</v>
      </c>
    </row>
    <row r="125" spans="1:26" ht="33.200000000000003" customHeight="1">
      <c r="A125" s="452" t="s">
        <v>2298</v>
      </c>
      <c r="B125" s="452" t="s">
        <v>2299</v>
      </c>
      <c r="C125" s="489">
        <v>0.16900000000000001</v>
      </c>
      <c r="D125" s="480" t="s">
        <v>8</v>
      </c>
      <c r="E125" s="490">
        <f t="shared" si="7"/>
        <v>24089</v>
      </c>
      <c r="F125" s="493">
        <f t="shared" si="7"/>
        <v>4071</v>
      </c>
      <c r="G125" s="494">
        <f>일위대가목록표!F37</f>
        <v>24089</v>
      </c>
      <c r="H125" s="498">
        <f>IF(C125=0,0,ROUNDDOWN(G125*C125,1))</f>
        <v>4071</v>
      </c>
      <c r="I125" s="494">
        <f>일위대가목록표!G37</f>
        <v>0</v>
      </c>
      <c r="J125" s="498">
        <f>IF(C125=0,0,ROUNDDOWN(I125*C125,1))</f>
        <v>0</v>
      </c>
      <c r="K125" s="494">
        <f>일위대가목록표!H37</f>
        <v>0</v>
      </c>
      <c r="L125" s="498">
        <f>IF(C125=0,0,ROUNDDOWN(K125*C125,1))</f>
        <v>0</v>
      </c>
      <c r="M125" s="463" t="s">
        <v>2492</v>
      </c>
      <c r="N125" s="451" t="s">
        <v>2493</v>
      </c>
      <c r="O125" s="468" t="s">
        <v>2494</v>
      </c>
      <c r="P125" s="468" t="s">
        <v>2354</v>
      </c>
      <c r="Q125" s="468" t="s">
        <v>2355</v>
      </c>
      <c r="Z125" s="433" t="str">
        <f ca="1">HYPERLINK("#"&amp;일위대가목록표!J2&amp;"!A"&amp;ROW(일위대가목록표!A37),"B01447 →")</f>
        <v>B01447 →</v>
      </c>
    </row>
    <row r="126" spans="1:26" ht="33.200000000000003" customHeight="1">
      <c r="A126" s="452" t="s">
        <v>2495</v>
      </c>
      <c r="B126" s="452" t="s">
        <v>2496</v>
      </c>
      <c r="C126" s="489">
        <v>1</v>
      </c>
      <c r="D126" s="480" t="s">
        <v>595</v>
      </c>
      <c r="E126" s="490">
        <f t="shared" si="7"/>
        <v>46533</v>
      </c>
      <c r="F126" s="493">
        <f t="shared" si="7"/>
        <v>46533</v>
      </c>
      <c r="G126" s="494">
        <f>단가산출근거목록표!F169</f>
        <v>34461</v>
      </c>
      <c r="H126" s="498">
        <f>IF(C126=0,0,ROUNDDOWN(G126*C126,1))</f>
        <v>34461</v>
      </c>
      <c r="I126" s="494">
        <f>단가산출근거목록표!G169</f>
        <v>11728</v>
      </c>
      <c r="J126" s="498">
        <f>IF(C126=0,0,ROUNDDOWN(I126*C126,1))</f>
        <v>11728</v>
      </c>
      <c r="K126" s="494">
        <f>단가산출근거목록표!H169</f>
        <v>344</v>
      </c>
      <c r="L126" s="498">
        <f>IF(C126=0,0,ROUNDDOWN(K126*C126,1))</f>
        <v>344</v>
      </c>
      <c r="M126" s="463" t="s">
        <v>2497</v>
      </c>
      <c r="N126" s="451" t="s">
        <v>2498</v>
      </c>
      <c r="O126" s="468" t="s">
        <v>2499</v>
      </c>
      <c r="P126" s="468" t="s">
        <v>2354</v>
      </c>
      <c r="Q126" s="468" t="s">
        <v>2355</v>
      </c>
      <c r="Z126" s="433" t="str">
        <f ca="1">HYPERLINK("#"&amp;단가산출근거목록표!J2&amp;"!A"&amp;ROW(단가산출근거목록표!A169),"D01231 →")</f>
        <v>D01231 →</v>
      </c>
    </row>
    <row r="127" spans="1:26" ht="33.200000000000003" customHeight="1">
      <c r="A127" s="452" t="s">
        <v>2342</v>
      </c>
      <c r="B127" s="452" t="s">
        <v>2343</v>
      </c>
      <c r="C127" s="489">
        <v>0.125</v>
      </c>
      <c r="D127" s="480" t="s">
        <v>8</v>
      </c>
      <c r="E127" s="490">
        <f t="shared" si="7"/>
        <v>477254</v>
      </c>
      <c r="F127" s="493">
        <f t="shared" si="7"/>
        <v>59656.7</v>
      </c>
      <c r="G127" s="494">
        <f>일위대가목록표!F330</f>
        <v>373604</v>
      </c>
      <c r="H127" s="498">
        <f>IF(C127=0,0,ROUNDDOWN(G127*C127,1))</f>
        <v>46700.5</v>
      </c>
      <c r="I127" s="494">
        <f>일위대가목록표!G330</f>
        <v>103650</v>
      </c>
      <c r="J127" s="498">
        <f>IF(C127=0,0,ROUNDDOWN(I127*C127,1))</f>
        <v>12956.2</v>
      </c>
      <c r="K127" s="494">
        <f>일위대가목록표!H330</f>
        <v>0</v>
      </c>
      <c r="L127" s="498">
        <f>IF(C127=0,0,ROUNDDOWN(K127*C127,1))</f>
        <v>0</v>
      </c>
      <c r="M127" s="463" t="s">
        <v>2500</v>
      </c>
      <c r="N127" s="451" t="s">
        <v>2501</v>
      </c>
      <c r="O127" s="468" t="s">
        <v>2502</v>
      </c>
      <c r="P127" s="468" t="s">
        <v>2354</v>
      </c>
      <c r="Q127" s="468" t="s">
        <v>2355</v>
      </c>
      <c r="Z127" s="433" t="str">
        <f ca="1">HYPERLINK("#"&amp;일위대가목록표!J2&amp;"!A"&amp;ROW(일위대가목록표!A330),"B01936 →")</f>
        <v>B01936 →</v>
      </c>
    </row>
    <row r="128" spans="1:26" ht="33.200000000000003" customHeight="1">
      <c r="A128" s="463" t="s">
        <v>842</v>
      </c>
      <c r="B128" s="497"/>
      <c r="C128" s="497"/>
      <c r="D128" s="497"/>
      <c r="E128" s="497"/>
      <c r="F128" s="446">
        <f>J128+H128+L128</f>
        <v>133028</v>
      </c>
      <c r="G128" s="497"/>
      <c r="H128" s="446">
        <f>ROUNDDOWN(SUMIF(P123:P127,O128,H123:H127),0)</f>
        <v>108000</v>
      </c>
      <c r="I128" s="497"/>
      <c r="J128" s="446">
        <f>ROUNDDOWN(SUMIF(P123:P127,O128,J123:J127),0)</f>
        <v>24684</v>
      </c>
      <c r="K128" s="497"/>
      <c r="L128" s="446">
        <f>ROUNDDOWN(SUMIF(P123:P127,O128,L123:L127),0)</f>
        <v>344</v>
      </c>
      <c r="M128" s="497"/>
      <c r="O128" s="468" t="s">
        <v>2354</v>
      </c>
    </row>
    <row r="129" spans="1:26" ht="33.200000000000003" customHeight="1">
      <c r="A129" s="484" t="s">
        <v>2506</v>
      </c>
      <c r="B129" s="484"/>
      <c r="C129" s="485"/>
      <c r="D129" s="485"/>
      <c r="E129" s="485"/>
      <c r="F129" s="485"/>
      <c r="G129" s="485"/>
      <c r="H129" s="485"/>
      <c r="I129" s="485"/>
      <c r="J129" s="485"/>
      <c r="K129" s="485"/>
      <c r="L129" s="485"/>
      <c r="M129" s="485"/>
      <c r="N129" s="486" t="str">
        <f>HYPERLINK("#N"&amp;ROW(N136),"_x0005_`BDCOD|B02894_x0007_`POSS|"&amp;ROW(N131)&amp;"_x0007_`POSE|"&amp;ROW(N136)&amp;"_x0007_`")</f>
        <v>_x0005_`BDCOD|B02894_x0007_`POSS|131_x0007_`POSE|136_x0007_`</v>
      </c>
    </row>
    <row r="130" spans="1:26" ht="33.200000000000003" customHeight="1">
      <c r="A130" s="469" t="s">
        <v>5487</v>
      </c>
      <c r="B130" s="469" t="s">
        <v>2108</v>
      </c>
      <c r="C130" s="487"/>
      <c r="D130" s="488" t="s">
        <v>975</v>
      </c>
      <c r="E130" s="487"/>
      <c r="F130" s="487"/>
      <c r="G130" s="487"/>
      <c r="H130" s="487"/>
      <c r="I130" s="487"/>
      <c r="J130" s="487"/>
      <c r="K130" s="487"/>
      <c r="L130" s="487"/>
      <c r="M130" s="488" t="s">
        <v>5488</v>
      </c>
      <c r="O130" s="468" t="s">
        <v>5488</v>
      </c>
    </row>
    <row r="131" spans="1:26" ht="33.200000000000003" customHeight="1">
      <c r="A131" s="452" t="s">
        <v>2484</v>
      </c>
      <c r="B131" s="452" t="s">
        <v>2485</v>
      </c>
      <c r="C131" s="489">
        <v>0.1</v>
      </c>
      <c r="D131" s="480" t="s">
        <v>8</v>
      </c>
      <c r="E131" s="490">
        <f t="shared" ref="E131:F136" si="8">I131+G131+K131</f>
        <v>62811</v>
      </c>
      <c r="F131" s="493">
        <f t="shared" si="8"/>
        <v>6281.1</v>
      </c>
      <c r="G131" s="494">
        <f>단가산출근거목록표!F157</f>
        <v>62811</v>
      </c>
      <c r="H131" s="498">
        <f>IF(C131=0,0,ROUNDDOWN(G131*C131,1))</f>
        <v>6281.1</v>
      </c>
      <c r="I131" s="494">
        <f>단가산출근거목록표!G157</f>
        <v>0</v>
      </c>
      <c r="J131" s="498">
        <f>IF(C131=0,0,ROUNDDOWN(I131*C131,1))</f>
        <v>0</v>
      </c>
      <c r="K131" s="494">
        <f>단가산출근거목록표!H157</f>
        <v>0</v>
      </c>
      <c r="L131" s="498">
        <f>IF(C131=0,0,ROUNDDOWN(K131*C131,1))</f>
        <v>0</v>
      </c>
      <c r="M131" s="463" t="s">
        <v>2486</v>
      </c>
      <c r="N131" s="451" t="s">
        <v>2487</v>
      </c>
      <c r="O131" s="468" t="s">
        <v>2488</v>
      </c>
      <c r="P131" s="468" t="s">
        <v>2354</v>
      </c>
      <c r="Q131" s="468" t="s">
        <v>2355</v>
      </c>
      <c r="Z131" s="433" t="str">
        <f ca="1">HYPERLINK("#"&amp;단가산출근거목록표!J2&amp;"!A"&amp;ROW(단가산출근거목록표!A157),"D01241 →")</f>
        <v>D01241 →</v>
      </c>
    </row>
    <row r="132" spans="1:26" ht="33.200000000000003" customHeight="1">
      <c r="A132" s="452" t="s">
        <v>2321</v>
      </c>
      <c r="B132" s="452" t="s">
        <v>2322</v>
      </c>
      <c r="C132" s="489">
        <v>2.7E-2</v>
      </c>
      <c r="D132" s="480" t="s">
        <v>8</v>
      </c>
      <c r="E132" s="490">
        <f t="shared" si="8"/>
        <v>34413</v>
      </c>
      <c r="F132" s="493">
        <f t="shared" si="8"/>
        <v>929.1</v>
      </c>
      <c r="G132" s="494">
        <f>일위대가목록표!F275</f>
        <v>34413</v>
      </c>
      <c r="H132" s="498">
        <f>IF(C132=0,0,ROUNDDOWN(G132*C132,1))</f>
        <v>929.1</v>
      </c>
      <c r="I132" s="494">
        <f>일위대가목록표!G275</f>
        <v>0</v>
      </c>
      <c r="J132" s="498">
        <f>IF(C132=0,0,ROUNDDOWN(I132*C132,1))</f>
        <v>0</v>
      </c>
      <c r="K132" s="494">
        <f>일위대가목록표!H275</f>
        <v>0</v>
      </c>
      <c r="L132" s="498">
        <f>IF(C132=0,0,ROUNDDOWN(K132*C132,1))</f>
        <v>0</v>
      </c>
      <c r="M132" s="463" t="s">
        <v>2489</v>
      </c>
      <c r="N132" s="451" t="s">
        <v>2490</v>
      </c>
      <c r="O132" s="468" t="s">
        <v>2491</v>
      </c>
      <c r="P132" s="468" t="s">
        <v>2354</v>
      </c>
      <c r="Q132" s="468" t="s">
        <v>2355</v>
      </c>
      <c r="Z132" s="433" t="str">
        <f ca="1">HYPERLINK("#"&amp;일위대가목록표!J2&amp;"!A"&amp;ROW(일위대가목록표!A275),"B01414 →")</f>
        <v>B01414 →</v>
      </c>
    </row>
    <row r="133" spans="1:26" ht="33.200000000000003" customHeight="1">
      <c r="A133" s="452" t="s">
        <v>2298</v>
      </c>
      <c r="B133" s="452" t="s">
        <v>2299</v>
      </c>
      <c r="C133" s="489">
        <v>7.2999999999999995E-2</v>
      </c>
      <c r="D133" s="480" t="s">
        <v>8</v>
      </c>
      <c r="E133" s="490">
        <f t="shared" si="8"/>
        <v>24089</v>
      </c>
      <c r="F133" s="493">
        <f t="shared" si="8"/>
        <v>1758.4</v>
      </c>
      <c r="G133" s="494">
        <f>일위대가목록표!F37</f>
        <v>24089</v>
      </c>
      <c r="H133" s="498">
        <f>IF(C133=0,0,ROUNDDOWN(G133*C133,1))</f>
        <v>1758.4</v>
      </c>
      <c r="I133" s="494">
        <f>일위대가목록표!G37</f>
        <v>0</v>
      </c>
      <c r="J133" s="498">
        <f>IF(C133=0,0,ROUNDDOWN(I133*C133,1))</f>
        <v>0</v>
      </c>
      <c r="K133" s="494">
        <f>일위대가목록표!H37</f>
        <v>0</v>
      </c>
      <c r="L133" s="498">
        <f>IF(C133=0,0,ROUNDDOWN(K133*C133,1))</f>
        <v>0</v>
      </c>
      <c r="M133" s="463" t="s">
        <v>2492</v>
      </c>
      <c r="N133" s="451" t="s">
        <v>2493</v>
      </c>
      <c r="O133" s="468" t="s">
        <v>2494</v>
      </c>
      <c r="P133" s="468" t="s">
        <v>2354</v>
      </c>
      <c r="Q133" s="468" t="s">
        <v>2355</v>
      </c>
      <c r="Z133" s="433" t="str">
        <f ca="1">HYPERLINK("#"&amp;일위대가목록표!J2&amp;"!A"&amp;ROW(일위대가목록표!A37),"B01447 →")</f>
        <v>B01447 →</v>
      </c>
    </row>
    <row r="134" spans="1:26" ht="33.200000000000003" customHeight="1">
      <c r="A134" s="452" t="s">
        <v>2495</v>
      </c>
      <c r="B134" s="452" t="s">
        <v>2496</v>
      </c>
      <c r="C134" s="489">
        <v>0.27</v>
      </c>
      <c r="D134" s="480" t="s">
        <v>595</v>
      </c>
      <c r="E134" s="490">
        <f t="shared" si="8"/>
        <v>46533</v>
      </c>
      <c r="F134" s="493">
        <f t="shared" si="8"/>
        <v>12563.699999999999</v>
      </c>
      <c r="G134" s="494">
        <f>단가산출근거목록표!F169</f>
        <v>34461</v>
      </c>
      <c r="H134" s="498">
        <f>IF(C134=0,0,ROUNDDOWN(G134*C134,1))</f>
        <v>9304.4</v>
      </c>
      <c r="I134" s="494">
        <f>단가산출근거목록표!G169</f>
        <v>11728</v>
      </c>
      <c r="J134" s="498">
        <f>IF(C134=0,0,ROUNDDOWN(I134*C134,1))</f>
        <v>3166.5</v>
      </c>
      <c r="K134" s="494">
        <f>단가산출근거목록표!H169</f>
        <v>344</v>
      </c>
      <c r="L134" s="498">
        <f>IF(C134=0,0,ROUNDDOWN(K134*C134,1))</f>
        <v>92.8</v>
      </c>
      <c r="M134" s="463" t="s">
        <v>2497</v>
      </c>
      <c r="N134" s="451" t="s">
        <v>2498</v>
      </c>
      <c r="O134" s="468" t="s">
        <v>2499</v>
      </c>
      <c r="P134" s="468" t="s">
        <v>2354</v>
      </c>
      <c r="Q134" s="468" t="s">
        <v>2355</v>
      </c>
      <c r="Z134" s="433" t="str">
        <f ca="1">HYPERLINK("#"&amp;단가산출근거목록표!J2&amp;"!A"&amp;ROW(단가산출근거목록표!A169),"D01231 →")</f>
        <v>D01231 →</v>
      </c>
    </row>
    <row r="135" spans="1:26" ht="33.200000000000003" customHeight="1">
      <c r="A135" s="452" t="s">
        <v>2342</v>
      </c>
      <c r="B135" s="452" t="s">
        <v>2343</v>
      </c>
      <c r="C135" s="489">
        <v>2.7E-2</v>
      </c>
      <c r="D135" s="480" t="s">
        <v>8</v>
      </c>
      <c r="E135" s="490">
        <f t="shared" si="8"/>
        <v>477254</v>
      </c>
      <c r="F135" s="493">
        <f t="shared" si="8"/>
        <v>12885.8</v>
      </c>
      <c r="G135" s="494">
        <f>일위대가목록표!F330</f>
        <v>373604</v>
      </c>
      <c r="H135" s="498">
        <f>IF(C135=0,0,ROUNDDOWN(G135*C135,1))</f>
        <v>10087.299999999999</v>
      </c>
      <c r="I135" s="494">
        <f>일위대가목록표!G330</f>
        <v>103650</v>
      </c>
      <c r="J135" s="498">
        <f>IF(C135=0,0,ROUNDDOWN(I135*C135,1))</f>
        <v>2798.5</v>
      </c>
      <c r="K135" s="494">
        <f>일위대가목록표!H330</f>
        <v>0</v>
      </c>
      <c r="L135" s="498">
        <f>IF(C135=0,0,ROUNDDOWN(K135*C135,1))</f>
        <v>0</v>
      </c>
      <c r="M135" s="463" t="s">
        <v>2500</v>
      </c>
      <c r="N135" s="451" t="s">
        <v>2501</v>
      </c>
      <c r="O135" s="468" t="s">
        <v>2502</v>
      </c>
      <c r="P135" s="468" t="s">
        <v>2354</v>
      </c>
      <c r="Q135" s="468" t="s">
        <v>2355</v>
      </c>
      <c r="Z135" s="433" t="str">
        <f ca="1">HYPERLINK("#"&amp;일위대가목록표!J2&amp;"!A"&amp;ROW(일위대가목록표!A330),"B01936 →")</f>
        <v>B01936 →</v>
      </c>
    </row>
    <row r="136" spans="1:26" ht="33.200000000000003" customHeight="1">
      <c r="A136" s="452" t="s">
        <v>2507</v>
      </c>
      <c r="B136" s="452" t="s">
        <v>2441</v>
      </c>
      <c r="C136" s="489">
        <v>15</v>
      </c>
      <c r="D136" s="480" t="s">
        <v>2371</v>
      </c>
      <c r="E136" s="490">
        <f t="shared" si="8"/>
        <v>28360.3</v>
      </c>
      <c r="F136" s="491">
        <f t="shared" si="8"/>
        <v>4254</v>
      </c>
      <c r="G136" s="496">
        <f>H131+H132+H133+H134+H135</f>
        <v>28360.3</v>
      </c>
      <c r="H136" s="491">
        <f>IF(C136=0,0,ROUNDDOWN(G136*C136/100,1))</f>
        <v>4254</v>
      </c>
      <c r="I136" s="465">
        <v>0</v>
      </c>
      <c r="J136" s="493">
        <f>IF(C136=0,0,ROUNDDOWN(I136*C136/100,1))</f>
        <v>0</v>
      </c>
      <c r="K136" s="467">
        <v>0</v>
      </c>
      <c r="L136" s="493">
        <f>IF(C136=0,0,ROUNDDOWN(K136*C136/100,1))</f>
        <v>0</v>
      </c>
      <c r="M136" s="463"/>
      <c r="N136" s="451" t="s">
        <v>2508</v>
      </c>
      <c r="O136" s="468" t="s">
        <v>2373</v>
      </c>
      <c r="P136" s="468" t="s">
        <v>2354</v>
      </c>
    </row>
    <row r="137" spans="1:26" ht="33.200000000000003" customHeight="1">
      <c r="A137" s="463" t="s">
        <v>842</v>
      </c>
      <c r="B137" s="497"/>
      <c r="C137" s="497"/>
      <c r="D137" s="497"/>
      <c r="E137" s="497"/>
      <c r="F137" s="446">
        <f>J137+H137+L137</f>
        <v>38671</v>
      </c>
      <c r="G137" s="497"/>
      <c r="H137" s="446">
        <f>ROUNDDOWN(SUMIF(P131:P136,O137,H131:H136),0)</f>
        <v>32614</v>
      </c>
      <c r="I137" s="497"/>
      <c r="J137" s="446">
        <f>ROUNDDOWN(SUMIF(P131:P136,O137,J131:J136),0)</f>
        <v>5965</v>
      </c>
      <c r="K137" s="497"/>
      <c r="L137" s="446">
        <f>ROUNDDOWN(SUMIF(P131:P136,O137,L131:L136),0)</f>
        <v>92</v>
      </c>
      <c r="M137" s="497"/>
      <c r="O137" s="468" t="s">
        <v>2354</v>
      </c>
    </row>
    <row r="138" spans="1:26" ht="33.200000000000003" customHeight="1">
      <c r="A138" s="484" t="s">
        <v>2509</v>
      </c>
      <c r="B138" s="484"/>
      <c r="C138" s="485"/>
      <c r="D138" s="485"/>
      <c r="E138" s="485"/>
      <c r="F138" s="485"/>
      <c r="G138" s="485"/>
      <c r="H138" s="485"/>
      <c r="I138" s="485"/>
      <c r="J138" s="485"/>
      <c r="K138" s="485"/>
      <c r="L138" s="485"/>
      <c r="M138" s="485"/>
      <c r="N138" s="486" t="str">
        <f>HYPERLINK("#N"&amp;ROW(N145),"_x0005_`BDCOD|B02895_x0007_`POSS|"&amp;ROW(N140)&amp;"_x0007_`POSE|"&amp;ROW(N145)&amp;"_x0007_`")</f>
        <v>_x0005_`BDCOD|B02895_x0007_`POSS|140_x0007_`POSE|145_x0007_`</v>
      </c>
    </row>
    <row r="139" spans="1:26" ht="33.200000000000003" customHeight="1">
      <c r="A139" s="469" t="s">
        <v>5487</v>
      </c>
      <c r="B139" s="469" t="s">
        <v>2112</v>
      </c>
      <c r="C139" s="487"/>
      <c r="D139" s="488" t="s">
        <v>975</v>
      </c>
      <c r="E139" s="487"/>
      <c r="F139" s="487"/>
      <c r="G139" s="487"/>
      <c r="H139" s="487"/>
      <c r="I139" s="487"/>
      <c r="J139" s="487"/>
      <c r="K139" s="487"/>
      <c r="L139" s="487"/>
      <c r="M139" s="488" t="s">
        <v>5491</v>
      </c>
      <c r="O139" s="468" t="s">
        <v>5491</v>
      </c>
    </row>
    <row r="140" spans="1:26" ht="33.200000000000003" customHeight="1">
      <c r="A140" s="452" t="s">
        <v>2484</v>
      </c>
      <c r="B140" s="452" t="s">
        <v>2485</v>
      </c>
      <c r="C140" s="489">
        <v>0.18</v>
      </c>
      <c r="D140" s="480" t="s">
        <v>8</v>
      </c>
      <c r="E140" s="490">
        <f t="shared" ref="E140:F145" si="9">I140+G140+K140</f>
        <v>62811</v>
      </c>
      <c r="F140" s="493">
        <f t="shared" si="9"/>
        <v>11305.9</v>
      </c>
      <c r="G140" s="494">
        <f>단가산출근거목록표!F157</f>
        <v>62811</v>
      </c>
      <c r="H140" s="498">
        <f>IF(C140=0,0,ROUNDDOWN(G140*C140,1))</f>
        <v>11305.9</v>
      </c>
      <c r="I140" s="494">
        <f>단가산출근거목록표!G157</f>
        <v>0</v>
      </c>
      <c r="J140" s="498">
        <f>IF(C140=0,0,ROUNDDOWN(I140*C140,1))</f>
        <v>0</v>
      </c>
      <c r="K140" s="494">
        <f>단가산출근거목록표!H157</f>
        <v>0</v>
      </c>
      <c r="L140" s="498">
        <f>IF(C140=0,0,ROUNDDOWN(K140*C140,1))</f>
        <v>0</v>
      </c>
      <c r="M140" s="463" t="s">
        <v>2486</v>
      </c>
      <c r="N140" s="451" t="s">
        <v>2487</v>
      </c>
      <c r="O140" s="468" t="s">
        <v>2488</v>
      </c>
      <c r="P140" s="468" t="s">
        <v>2354</v>
      </c>
      <c r="Q140" s="468" t="s">
        <v>2355</v>
      </c>
      <c r="Z140" s="433" t="str">
        <f ca="1">HYPERLINK("#"&amp;단가산출근거목록표!J2&amp;"!A"&amp;ROW(단가산출근거목록표!A157),"D01241 →")</f>
        <v>D01241 →</v>
      </c>
    </row>
    <row r="141" spans="1:26" ht="33.200000000000003" customHeight="1">
      <c r="A141" s="452" t="s">
        <v>2321</v>
      </c>
      <c r="B141" s="452" t="s">
        <v>2322</v>
      </c>
      <c r="C141" s="489">
        <v>6.4000000000000001E-2</v>
      </c>
      <c r="D141" s="480" t="s">
        <v>8</v>
      </c>
      <c r="E141" s="490">
        <f t="shared" si="9"/>
        <v>34413</v>
      </c>
      <c r="F141" s="493">
        <f t="shared" si="9"/>
        <v>2202.4</v>
      </c>
      <c r="G141" s="494">
        <f>일위대가목록표!F275</f>
        <v>34413</v>
      </c>
      <c r="H141" s="498">
        <f>IF(C141=0,0,ROUNDDOWN(G141*C141,1))</f>
        <v>2202.4</v>
      </c>
      <c r="I141" s="494">
        <f>일위대가목록표!G275</f>
        <v>0</v>
      </c>
      <c r="J141" s="498">
        <f>IF(C141=0,0,ROUNDDOWN(I141*C141,1))</f>
        <v>0</v>
      </c>
      <c r="K141" s="494">
        <f>일위대가목록표!H275</f>
        <v>0</v>
      </c>
      <c r="L141" s="498">
        <f>IF(C141=0,0,ROUNDDOWN(K141*C141,1))</f>
        <v>0</v>
      </c>
      <c r="M141" s="463" t="s">
        <v>2489</v>
      </c>
      <c r="N141" s="451" t="s">
        <v>2490</v>
      </c>
      <c r="O141" s="468" t="s">
        <v>2491</v>
      </c>
      <c r="P141" s="468" t="s">
        <v>2354</v>
      </c>
      <c r="Q141" s="468" t="s">
        <v>2355</v>
      </c>
      <c r="Z141" s="433" t="str">
        <f ca="1">HYPERLINK("#"&amp;일위대가목록표!J2&amp;"!A"&amp;ROW(일위대가목록표!A275),"B01414 →")</f>
        <v>B01414 →</v>
      </c>
    </row>
    <row r="142" spans="1:26" ht="33.200000000000003" customHeight="1">
      <c r="A142" s="452" t="s">
        <v>2298</v>
      </c>
      <c r="B142" s="452" t="s">
        <v>2299</v>
      </c>
      <c r="C142" s="489">
        <v>0.11600000000000001</v>
      </c>
      <c r="D142" s="480" t="s">
        <v>8</v>
      </c>
      <c r="E142" s="490">
        <f t="shared" si="9"/>
        <v>24089</v>
      </c>
      <c r="F142" s="493">
        <f t="shared" si="9"/>
        <v>2794.3</v>
      </c>
      <c r="G142" s="494">
        <f>일위대가목록표!F37</f>
        <v>24089</v>
      </c>
      <c r="H142" s="498">
        <f>IF(C142=0,0,ROUNDDOWN(G142*C142,1))</f>
        <v>2794.3</v>
      </c>
      <c r="I142" s="494">
        <f>일위대가목록표!G37</f>
        <v>0</v>
      </c>
      <c r="J142" s="498">
        <f>IF(C142=0,0,ROUNDDOWN(I142*C142,1))</f>
        <v>0</v>
      </c>
      <c r="K142" s="494">
        <f>일위대가목록표!H37</f>
        <v>0</v>
      </c>
      <c r="L142" s="498">
        <f>IF(C142=0,0,ROUNDDOWN(K142*C142,1))</f>
        <v>0</v>
      </c>
      <c r="M142" s="463" t="s">
        <v>2492</v>
      </c>
      <c r="N142" s="451" t="s">
        <v>2493</v>
      </c>
      <c r="O142" s="468" t="s">
        <v>2494</v>
      </c>
      <c r="P142" s="468" t="s">
        <v>2354</v>
      </c>
      <c r="Q142" s="468" t="s">
        <v>2355</v>
      </c>
      <c r="Z142" s="433" t="str">
        <f ca="1">HYPERLINK("#"&amp;일위대가목록표!J2&amp;"!A"&amp;ROW(일위대가목록표!A37),"B01447 →")</f>
        <v>B01447 →</v>
      </c>
    </row>
    <row r="143" spans="1:26" ht="33.200000000000003" customHeight="1">
      <c r="A143" s="452" t="s">
        <v>2495</v>
      </c>
      <c r="B143" s="452" t="s">
        <v>2496</v>
      </c>
      <c r="C143" s="489">
        <v>0.64</v>
      </c>
      <c r="D143" s="480" t="s">
        <v>595</v>
      </c>
      <c r="E143" s="490">
        <f t="shared" si="9"/>
        <v>46533</v>
      </c>
      <c r="F143" s="493">
        <f t="shared" si="9"/>
        <v>29781</v>
      </c>
      <c r="G143" s="494">
        <f>단가산출근거목록표!F169</f>
        <v>34461</v>
      </c>
      <c r="H143" s="498">
        <f>IF(C143=0,0,ROUNDDOWN(G143*C143,1))</f>
        <v>22055</v>
      </c>
      <c r="I143" s="494">
        <f>단가산출근거목록표!G169</f>
        <v>11728</v>
      </c>
      <c r="J143" s="498">
        <f>IF(C143=0,0,ROUNDDOWN(I143*C143,1))</f>
        <v>7505.9</v>
      </c>
      <c r="K143" s="494">
        <f>단가산출근거목록표!H169</f>
        <v>344</v>
      </c>
      <c r="L143" s="498">
        <f>IF(C143=0,0,ROUNDDOWN(K143*C143,1))</f>
        <v>220.1</v>
      </c>
      <c r="M143" s="463" t="s">
        <v>2497</v>
      </c>
      <c r="N143" s="451" t="s">
        <v>2498</v>
      </c>
      <c r="O143" s="468" t="s">
        <v>2499</v>
      </c>
      <c r="P143" s="468" t="s">
        <v>2354</v>
      </c>
      <c r="Q143" s="468" t="s">
        <v>2355</v>
      </c>
      <c r="Z143" s="433" t="str">
        <f ca="1">HYPERLINK("#"&amp;단가산출근거목록표!J2&amp;"!A"&amp;ROW(단가산출근거목록표!A169),"D01231 →")</f>
        <v>D01231 →</v>
      </c>
    </row>
    <row r="144" spans="1:26" ht="33.200000000000003" customHeight="1">
      <c r="A144" s="452" t="s">
        <v>2342</v>
      </c>
      <c r="B144" s="452" t="s">
        <v>2343</v>
      </c>
      <c r="C144" s="489">
        <v>6.4000000000000001E-2</v>
      </c>
      <c r="D144" s="480" t="s">
        <v>8</v>
      </c>
      <c r="E144" s="490">
        <f t="shared" si="9"/>
        <v>477254</v>
      </c>
      <c r="F144" s="493">
        <f t="shared" si="9"/>
        <v>30544.199999999997</v>
      </c>
      <c r="G144" s="494">
        <f>일위대가목록표!F330</f>
        <v>373604</v>
      </c>
      <c r="H144" s="498">
        <f>IF(C144=0,0,ROUNDDOWN(G144*C144,1))</f>
        <v>23910.6</v>
      </c>
      <c r="I144" s="494">
        <f>일위대가목록표!G330</f>
        <v>103650</v>
      </c>
      <c r="J144" s="498">
        <f>IF(C144=0,0,ROUNDDOWN(I144*C144,1))</f>
        <v>6633.6</v>
      </c>
      <c r="K144" s="494">
        <f>일위대가목록표!H330</f>
        <v>0</v>
      </c>
      <c r="L144" s="498">
        <f>IF(C144=0,0,ROUNDDOWN(K144*C144,1))</f>
        <v>0</v>
      </c>
      <c r="M144" s="463" t="s">
        <v>2500</v>
      </c>
      <c r="N144" s="451" t="s">
        <v>2501</v>
      </c>
      <c r="O144" s="468" t="s">
        <v>2502</v>
      </c>
      <c r="P144" s="468" t="s">
        <v>2354</v>
      </c>
      <c r="Q144" s="468" t="s">
        <v>2355</v>
      </c>
      <c r="Z144" s="433" t="str">
        <f ca="1">HYPERLINK("#"&amp;일위대가목록표!J2&amp;"!A"&amp;ROW(일위대가목록표!A330),"B01936 →")</f>
        <v>B01936 →</v>
      </c>
    </row>
    <row r="145" spans="1:26" ht="33.200000000000003" customHeight="1">
      <c r="A145" s="452" t="s">
        <v>2507</v>
      </c>
      <c r="B145" s="452" t="s">
        <v>2441</v>
      </c>
      <c r="C145" s="489">
        <v>15</v>
      </c>
      <c r="D145" s="480" t="s">
        <v>2371</v>
      </c>
      <c r="E145" s="490">
        <f t="shared" si="9"/>
        <v>62268.2</v>
      </c>
      <c r="F145" s="491">
        <f t="shared" si="9"/>
        <v>9340.2000000000007</v>
      </c>
      <c r="G145" s="496">
        <f>H140+H141+H142+H143+H144</f>
        <v>62268.2</v>
      </c>
      <c r="H145" s="491">
        <f>IF(C145=0,0,ROUNDDOWN(G145*C145/100,1))</f>
        <v>9340.2000000000007</v>
      </c>
      <c r="I145" s="465">
        <v>0</v>
      </c>
      <c r="J145" s="493">
        <f>IF(C145=0,0,ROUNDDOWN(I145*C145/100,1))</f>
        <v>0</v>
      </c>
      <c r="K145" s="467">
        <v>0</v>
      </c>
      <c r="L145" s="493">
        <f>IF(C145=0,0,ROUNDDOWN(K145*C145/100,1))</f>
        <v>0</v>
      </c>
      <c r="M145" s="463"/>
      <c r="N145" s="451" t="s">
        <v>2508</v>
      </c>
      <c r="O145" s="468" t="s">
        <v>2373</v>
      </c>
      <c r="P145" s="468" t="s">
        <v>2354</v>
      </c>
    </row>
    <row r="146" spans="1:26" ht="33.200000000000003" customHeight="1">
      <c r="A146" s="463" t="s">
        <v>842</v>
      </c>
      <c r="B146" s="497"/>
      <c r="C146" s="497"/>
      <c r="D146" s="497"/>
      <c r="E146" s="497"/>
      <c r="F146" s="446">
        <f>J146+H146+L146</f>
        <v>85967</v>
      </c>
      <c r="G146" s="497"/>
      <c r="H146" s="446">
        <f>ROUNDDOWN(SUMIF(P140:P145,O146,H140:H145),0)</f>
        <v>71608</v>
      </c>
      <c r="I146" s="497"/>
      <c r="J146" s="446">
        <f>ROUNDDOWN(SUMIF(P140:P145,O146,J140:J145),0)</f>
        <v>14139</v>
      </c>
      <c r="K146" s="497"/>
      <c r="L146" s="446">
        <f>ROUNDDOWN(SUMIF(P140:P145,O146,L140:L145),0)</f>
        <v>220</v>
      </c>
      <c r="M146" s="497"/>
      <c r="O146" s="468" t="s">
        <v>2354</v>
      </c>
    </row>
    <row r="147" spans="1:26" ht="33.200000000000003" customHeight="1">
      <c r="A147" s="484" t="s">
        <v>2510</v>
      </c>
      <c r="B147" s="484"/>
      <c r="C147" s="485"/>
      <c r="D147" s="485"/>
      <c r="E147" s="485"/>
      <c r="F147" s="485"/>
      <c r="G147" s="485"/>
      <c r="H147" s="485"/>
      <c r="I147" s="485"/>
      <c r="J147" s="485"/>
      <c r="K147" s="485"/>
      <c r="L147" s="485"/>
      <c r="M147" s="485"/>
      <c r="N147" s="486" t="str">
        <f>HYPERLINK("#N"&amp;ROW(N154),"_x0005_`BDCOD|B02896_x0007_`POSS|"&amp;ROW(N149)&amp;"_x0007_`POSE|"&amp;ROW(N154)&amp;"_x0007_`")</f>
        <v>_x0005_`BDCOD|B02896_x0007_`POSS|149_x0007_`POSE|154_x0007_`</v>
      </c>
    </row>
    <row r="148" spans="1:26" ht="33.200000000000003" customHeight="1">
      <c r="A148" s="469" t="s">
        <v>5487</v>
      </c>
      <c r="B148" s="469" t="s">
        <v>2116</v>
      </c>
      <c r="C148" s="487"/>
      <c r="D148" s="488" t="s">
        <v>975</v>
      </c>
      <c r="E148" s="487"/>
      <c r="F148" s="487"/>
      <c r="G148" s="487"/>
      <c r="H148" s="487"/>
      <c r="I148" s="487"/>
      <c r="J148" s="487"/>
      <c r="K148" s="487"/>
      <c r="L148" s="487"/>
      <c r="M148" s="488" t="s">
        <v>5494</v>
      </c>
      <c r="O148" s="468" t="s">
        <v>5494</v>
      </c>
    </row>
    <row r="149" spans="1:26" ht="33.200000000000003" customHeight="1">
      <c r="A149" s="452" t="s">
        <v>2484</v>
      </c>
      <c r="B149" s="452" t="s">
        <v>2485</v>
      </c>
      <c r="C149" s="489">
        <v>0.29399999999999998</v>
      </c>
      <c r="D149" s="480" t="s">
        <v>8</v>
      </c>
      <c r="E149" s="490">
        <f t="shared" ref="E149:F154" si="10">I149+G149+K149</f>
        <v>62811</v>
      </c>
      <c r="F149" s="493">
        <f t="shared" si="10"/>
        <v>18466.400000000001</v>
      </c>
      <c r="G149" s="494">
        <f>단가산출근거목록표!F157</f>
        <v>62811</v>
      </c>
      <c r="H149" s="498">
        <f>IF(C149=0,0,ROUNDDOWN(G149*C149,1))</f>
        <v>18466.400000000001</v>
      </c>
      <c r="I149" s="494">
        <f>단가산출근거목록표!G157</f>
        <v>0</v>
      </c>
      <c r="J149" s="498">
        <f>IF(C149=0,0,ROUNDDOWN(I149*C149,1))</f>
        <v>0</v>
      </c>
      <c r="K149" s="494">
        <f>단가산출근거목록표!H157</f>
        <v>0</v>
      </c>
      <c r="L149" s="498">
        <f>IF(C149=0,0,ROUNDDOWN(K149*C149,1))</f>
        <v>0</v>
      </c>
      <c r="M149" s="463" t="s">
        <v>2486</v>
      </c>
      <c r="N149" s="451" t="s">
        <v>2487</v>
      </c>
      <c r="O149" s="468" t="s">
        <v>2488</v>
      </c>
      <c r="P149" s="468" t="s">
        <v>2354</v>
      </c>
      <c r="Q149" s="468" t="s">
        <v>2355</v>
      </c>
      <c r="Z149" s="433" t="str">
        <f ca="1">HYPERLINK("#"&amp;단가산출근거목록표!J2&amp;"!A"&amp;ROW(단가산출근거목록표!A157),"D01241 →")</f>
        <v>D01241 →</v>
      </c>
    </row>
    <row r="150" spans="1:26" ht="33.200000000000003" customHeight="1">
      <c r="A150" s="452" t="s">
        <v>2321</v>
      </c>
      <c r="B150" s="452" t="s">
        <v>2322</v>
      </c>
      <c r="C150" s="489">
        <v>0.125</v>
      </c>
      <c r="D150" s="480" t="s">
        <v>8</v>
      </c>
      <c r="E150" s="490">
        <f t="shared" si="10"/>
        <v>34413</v>
      </c>
      <c r="F150" s="493">
        <f t="shared" si="10"/>
        <v>4301.6000000000004</v>
      </c>
      <c r="G150" s="494">
        <f>일위대가목록표!F275</f>
        <v>34413</v>
      </c>
      <c r="H150" s="498">
        <f>IF(C150=0,0,ROUNDDOWN(G150*C150,1))</f>
        <v>4301.6000000000004</v>
      </c>
      <c r="I150" s="494">
        <f>일위대가목록표!G275</f>
        <v>0</v>
      </c>
      <c r="J150" s="498">
        <f>IF(C150=0,0,ROUNDDOWN(I150*C150,1))</f>
        <v>0</v>
      </c>
      <c r="K150" s="494">
        <f>일위대가목록표!H275</f>
        <v>0</v>
      </c>
      <c r="L150" s="498">
        <f>IF(C150=0,0,ROUNDDOWN(K150*C150,1))</f>
        <v>0</v>
      </c>
      <c r="M150" s="463" t="s">
        <v>2489</v>
      </c>
      <c r="N150" s="451" t="s">
        <v>2490</v>
      </c>
      <c r="O150" s="468" t="s">
        <v>2491</v>
      </c>
      <c r="P150" s="468" t="s">
        <v>2354</v>
      </c>
      <c r="Q150" s="468" t="s">
        <v>2355</v>
      </c>
      <c r="Z150" s="433" t="str">
        <f ca="1">HYPERLINK("#"&amp;일위대가목록표!J2&amp;"!A"&amp;ROW(일위대가목록표!A275),"B01414 →")</f>
        <v>B01414 →</v>
      </c>
    </row>
    <row r="151" spans="1:26" ht="33.200000000000003" customHeight="1">
      <c r="A151" s="452" t="s">
        <v>2298</v>
      </c>
      <c r="B151" s="452" t="s">
        <v>2299</v>
      </c>
      <c r="C151" s="489">
        <v>0.16900000000000001</v>
      </c>
      <c r="D151" s="480" t="s">
        <v>8</v>
      </c>
      <c r="E151" s="490">
        <f t="shared" si="10"/>
        <v>24089</v>
      </c>
      <c r="F151" s="493">
        <f t="shared" si="10"/>
        <v>4071</v>
      </c>
      <c r="G151" s="494">
        <f>일위대가목록표!F37</f>
        <v>24089</v>
      </c>
      <c r="H151" s="498">
        <f>IF(C151=0,0,ROUNDDOWN(G151*C151,1))</f>
        <v>4071</v>
      </c>
      <c r="I151" s="494">
        <f>일위대가목록표!G37</f>
        <v>0</v>
      </c>
      <c r="J151" s="498">
        <f>IF(C151=0,0,ROUNDDOWN(I151*C151,1))</f>
        <v>0</v>
      </c>
      <c r="K151" s="494">
        <f>일위대가목록표!H37</f>
        <v>0</v>
      </c>
      <c r="L151" s="498">
        <f>IF(C151=0,0,ROUNDDOWN(K151*C151,1))</f>
        <v>0</v>
      </c>
      <c r="M151" s="463" t="s">
        <v>2492</v>
      </c>
      <c r="N151" s="451" t="s">
        <v>2493</v>
      </c>
      <c r="O151" s="468" t="s">
        <v>2494</v>
      </c>
      <c r="P151" s="468" t="s">
        <v>2354</v>
      </c>
      <c r="Q151" s="468" t="s">
        <v>2355</v>
      </c>
      <c r="Z151" s="433" t="str">
        <f ca="1">HYPERLINK("#"&amp;일위대가목록표!J2&amp;"!A"&amp;ROW(일위대가목록표!A37),"B01447 →")</f>
        <v>B01447 →</v>
      </c>
    </row>
    <row r="152" spans="1:26" ht="33.200000000000003" customHeight="1">
      <c r="A152" s="452" t="s">
        <v>2495</v>
      </c>
      <c r="B152" s="452" t="s">
        <v>2496</v>
      </c>
      <c r="C152" s="489">
        <v>1</v>
      </c>
      <c r="D152" s="480" t="s">
        <v>595</v>
      </c>
      <c r="E152" s="490">
        <f t="shared" si="10"/>
        <v>46533</v>
      </c>
      <c r="F152" s="493">
        <f t="shared" si="10"/>
        <v>46533</v>
      </c>
      <c r="G152" s="494">
        <f>단가산출근거목록표!F169</f>
        <v>34461</v>
      </c>
      <c r="H152" s="498">
        <f>IF(C152=0,0,ROUNDDOWN(G152*C152,1))</f>
        <v>34461</v>
      </c>
      <c r="I152" s="494">
        <f>단가산출근거목록표!G169</f>
        <v>11728</v>
      </c>
      <c r="J152" s="498">
        <f>IF(C152=0,0,ROUNDDOWN(I152*C152,1))</f>
        <v>11728</v>
      </c>
      <c r="K152" s="494">
        <f>단가산출근거목록표!H169</f>
        <v>344</v>
      </c>
      <c r="L152" s="498">
        <f>IF(C152=0,0,ROUNDDOWN(K152*C152,1))</f>
        <v>344</v>
      </c>
      <c r="M152" s="463" t="s">
        <v>2497</v>
      </c>
      <c r="N152" s="451" t="s">
        <v>2498</v>
      </c>
      <c r="O152" s="468" t="s">
        <v>2499</v>
      </c>
      <c r="P152" s="468" t="s">
        <v>2354</v>
      </c>
      <c r="Q152" s="468" t="s">
        <v>2355</v>
      </c>
      <c r="Z152" s="433" t="str">
        <f ca="1">HYPERLINK("#"&amp;단가산출근거목록표!J2&amp;"!A"&amp;ROW(단가산출근거목록표!A169),"D01231 →")</f>
        <v>D01231 →</v>
      </c>
    </row>
    <row r="153" spans="1:26" ht="33.200000000000003" customHeight="1">
      <c r="A153" s="452" t="s">
        <v>2342</v>
      </c>
      <c r="B153" s="452" t="s">
        <v>2343</v>
      </c>
      <c r="C153" s="489">
        <v>0.125</v>
      </c>
      <c r="D153" s="480" t="s">
        <v>8</v>
      </c>
      <c r="E153" s="490">
        <f t="shared" si="10"/>
        <v>477254</v>
      </c>
      <c r="F153" s="493">
        <f t="shared" si="10"/>
        <v>59656.7</v>
      </c>
      <c r="G153" s="494">
        <f>일위대가목록표!F330</f>
        <v>373604</v>
      </c>
      <c r="H153" s="498">
        <f>IF(C153=0,0,ROUNDDOWN(G153*C153,1))</f>
        <v>46700.5</v>
      </c>
      <c r="I153" s="494">
        <f>일위대가목록표!G330</f>
        <v>103650</v>
      </c>
      <c r="J153" s="498">
        <f>IF(C153=0,0,ROUNDDOWN(I153*C153,1))</f>
        <v>12956.2</v>
      </c>
      <c r="K153" s="494">
        <f>일위대가목록표!H330</f>
        <v>0</v>
      </c>
      <c r="L153" s="498">
        <f>IF(C153=0,0,ROUNDDOWN(K153*C153,1))</f>
        <v>0</v>
      </c>
      <c r="M153" s="463" t="s">
        <v>2500</v>
      </c>
      <c r="N153" s="451" t="s">
        <v>2501</v>
      </c>
      <c r="O153" s="468" t="s">
        <v>2502</v>
      </c>
      <c r="P153" s="468" t="s">
        <v>2354</v>
      </c>
      <c r="Q153" s="468" t="s">
        <v>2355</v>
      </c>
      <c r="Z153" s="433" t="str">
        <f ca="1">HYPERLINK("#"&amp;일위대가목록표!J2&amp;"!A"&amp;ROW(일위대가목록표!A330),"B01936 →")</f>
        <v>B01936 →</v>
      </c>
    </row>
    <row r="154" spans="1:26" ht="33.200000000000003" customHeight="1">
      <c r="A154" s="452" t="s">
        <v>2507</v>
      </c>
      <c r="B154" s="452" t="s">
        <v>2441</v>
      </c>
      <c r="C154" s="489">
        <v>15</v>
      </c>
      <c r="D154" s="480" t="s">
        <v>2371</v>
      </c>
      <c r="E154" s="490">
        <f t="shared" si="10"/>
        <v>108000.5</v>
      </c>
      <c r="F154" s="491">
        <f t="shared" si="10"/>
        <v>16200</v>
      </c>
      <c r="G154" s="496">
        <f>H149+H150+H151+H152+H153</f>
        <v>108000.5</v>
      </c>
      <c r="H154" s="491">
        <f>IF(C154=0,0,ROUNDDOWN(G154*C154/100,1))</f>
        <v>16200</v>
      </c>
      <c r="I154" s="465">
        <v>0</v>
      </c>
      <c r="J154" s="493">
        <f>IF(C154=0,0,ROUNDDOWN(I154*C154/100,1))</f>
        <v>0</v>
      </c>
      <c r="K154" s="467">
        <v>0</v>
      </c>
      <c r="L154" s="493">
        <f>IF(C154=0,0,ROUNDDOWN(K154*C154/100,1))</f>
        <v>0</v>
      </c>
      <c r="M154" s="463"/>
      <c r="N154" s="451" t="s">
        <v>2508</v>
      </c>
      <c r="O154" s="468" t="s">
        <v>2373</v>
      </c>
      <c r="P154" s="468" t="s">
        <v>2354</v>
      </c>
    </row>
    <row r="155" spans="1:26" ht="33.200000000000003" customHeight="1">
      <c r="A155" s="463" t="s">
        <v>842</v>
      </c>
      <c r="B155" s="497"/>
      <c r="C155" s="497"/>
      <c r="D155" s="497"/>
      <c r="E155" s="497"/>
      <c r="F155" s="446">
        <f>J155+H155+L155</f>
        <v>149228</v>
      </c>
      <c r="G155" s="497"/>
      <c r="H155" s="446">
        <f>ROUNDDOWN(SUMIF(P149:P154,O155,H149:H154),0)</f>
        <v>124200</v>
      </c>
      <c r="I155" s="497"/>
      <c r="J155" s="446">
        <f>ROUNDDOWN(SUMIF(P149:P154,O155,J149:J154),0)</f>
        <v>24684</v>
      </c>
      <c r="K155" s="497"/>
      <c r="L155" s="446">
        <f>ROUNDDOWN(SUMIF(P149:P154,O155,L149:L154),0)</f>
        <v>344</v>
      </c>
      <c r="M155" s="497"/>
      <c r="O155" s="468" t="s">
        <v>2354</v>
      </c>
    </row>
    <row r="156" spans="1:26" ht="33.200000000000003" customHeight="1">
      <c r="A156" s="484" t="s">
        <v>2511</v>
      </c>
      <c r="B156" s="484"/>
      <c r="C156" s="485"/>
      <c r="D156" s="485"/>
      <c r="E156" s="485"/>
      <c r="F156" s="485"/>
      <c r="G156" s="485"/>
      <c r="H156" s="485"/>
      <c r="I156" s="485"/>
      <c r="J156" s="485"/>
      <c r="K156" s="485"/>
      <c r="L156" s="485"/>
      <c r="M156" s="485"/>
      <c r="N156" s="486" t="str">
        <f>HYPERLINK("#N"&amp;ROW(N163),"_x0005_`BDCOD|B02618_x0007_`POSS|"&amp;ROW(N158)&amp;"_x0007_`POSE|"&amp;ROW(N163)&amp;"_x0007_`")</f>
        <v>_x0005_`BDCOD|B02618_x0007_`POSS|158_x0007_`POSE|163_x0007_`</v>
      </c>
    </row>
    <row r="157" spans="1:26" ht="33.200000000000003" customHeight="1">
      <c r="A157" s="469" t="s">
        <v>5497</v>
      </c>
      <c r="B157" s="469" t="s">
        <v>2108</v>
      </c>
      <c r="C157" s="487"/>
      <c r="D157" s="488" t="s">
        <v>975</v>
      </c>
      <c r="E157" s="487"/>
      <c r="F157" s="487"/>
      <c r="G157" s="487"/>
      <c r="H157" s="487"/>
      <c r="I157" s="487"/>
      <c r="J157" s="487"/>
      <c r="K157" s="487"/>
      <c r="L157" s="487"/>
      <c r="M157" s="488" t="s">
        <v>2109</v>
      </c>
      <c r="O157" s="468" t="s">
        <v>2109</v>
      </c>
    </row>
    <row r="158" spans="1:26" ht="33.200000000000003" customHeight="1">
      <c r="A158" s="452" t="s">
        <v>2484</v>
      </c>
      <c r="B158" s="452" t="s">
        <v>2485</v>
      </c>
      <c r="C158" s="489">
        <v>0.1</v>
      </c>
      <c r="D158" s="480" t="s">
        <v>8</v>
      </c>
      <c r="E158" s="490">
        <f t="shared" ref="E158:F163" si="11">I158+G158+K158</f>
        <v>62811</v>
      </c>
      <c r="F158" s="493">
        <f t="shared" si="11"/>
        <v>6281.1</v>
      </c>
      <c r="G158" s="494">
        <f>단가산출근거목록표!F157</f>
        <v>62811</v>
      </c>
      <c r="H158" s="498">
        <f>IF(C158=0,0,ROUNDDOWN(G158*C158,1))</f>
        <v>6281.1</v>
      </c>
      <c r="I158" s="494">
        <f>단가산출근거목록표!G157</f>
        <v>0</v>
      </c>
      <c r="J158" s="498">
        <f>IF(C158=0,0,ROUNDDOWN(I158*C158,1))</f>
        <v>0</v>
      </c>
      <c r="K158" s="494">
        <f>단가산출근거목록표!H157</f>
        <v>0</v>
      </c>
      <c r="L158" s="498">
        <f>IF(C158=0,0,ROUNDDOWN(K158*C158,1))</f>
        <v>0</v>
      </c>
      <c r="M158" s="463" t="s">
        <v>2486</v>
      </c>
      <c r="N158" s="451" t="s">
        <v>2487</v>
      </c>
      <c r="O158" s="468" t="s">
        <v>2488</v>
      </c>
      <c r="P158" s="468" t="s">
        <v>2354</v>
      </c>
      <c r="Q158" s="468" t="s">
        <v>2355</v>
      </c>
      <c r="Z158" s="433" t="str">
        <f ca="1">HYPERLINK("#"&amp;단가산출근거목록표!J2&amp;"!A"&amp;ROW(단가산출근거목록표!A157),"D01241 →")</f>
        <v>D01241 →</v>
      </c>
    </row>
    <row r="159" spans="1:26" ht="33.200000000000003" customHeight="1">
      <c r="A159" s="452" t="s">
        <v>2321</v>
      </c>
      <c r="B159" s="452" t="s">
        <v>2322</v>
      </c>
      <c r="C159" s="489">
        <v>2.7E-2</v>
      </c>
      <c r="D159" s="480" t="s">
        <v>8</v>
      </c>
      <c r="E159" s="490">
        <f t="shared" si="11"/>
        <v>34413</v>
      </c>
      <c r="F159" s="493">
        <f t="shared" si="11"/>
        <v>929.1</v>
      </c>
      <c r="G159" s="494">
        <f>일위대가목록표!F275</f>
        <v>34413</v>
      </c>
      <c r="H159" s="498">
        <f>IF(C159=0,0,ROUNDDOWN(G159*C159,1))</f>
        <v>929.1</v>
      </c>
      <c r="I159" s="494">
        <f>일위대가목록표!G275</f>
        <v>0</v>
      </c>
      <c r="J159" s="498">
        <f>IF(C159=0,0,ROUNDDOWN(I159*C159,1))</f>
        <v>0</v>
      </c>
      <c r="K159" s="494">
        <f>일위대가목록표!H275</f>
        <v>0</v>
      </c>
      <c r="L159" s="498">
        <f>IF(C159=0,0,ROUNDDOWN(K159*C159,1))</f>
        <v>0</v>
      </c>
      <c r="M159" s="463" t="s">
        <v>2489</v>
      </c>
      <c r="N159" s="451" t="s">
        <v>2490</v>
      </c>
      <c r="O159" s="468" t="s">
        <v>2491</v>
      </c>
      <c r="P159" s="468" t="s">
        <v>2354</v>
      </c>
      <c r="Q159" s="468" t="s">
        <v>2355</v>
      </c>
      <c r="Z159" s="433" t="str">
        <f ca="1">HYPERLINK("#"&amp;일위대가목록표!J2&amp;"!A"&amp;ROW(일위대가목록표!A275),"B01414 →")</f>
        <v>B01414 →</v>
      </c>
    </row>
    <row r="160" spans="1:26" ht="33.200000000000003" customHeight="1">
      <c r="A160" s="452" t="s">
        <v>2298</v>
      </c>
      <c r="B160" s="452" t="s">
        <v>2299</v>
      </c>
      <c r="C160" s="489">
        <v>7.2999999999999995E-2</v>
      </c>
      <c r="D160" s="480" t="s">
        <v>8</v>
      </c>
      <c r="E160" s="490">
        <f t="shared" si="11"/>
        <v>24089</v>
      </c>
      <c r="F160" s="493">
        <f t="shared" si="11"/>
        <v>1758.4</v>
      </c>
      <c r="G160" s="494">
        <f>일위대가목록표!F37</f>
        <v>24089</v>
      </c>
      <c r="H160" s="498">
        <f>IF(C160=0,0,ROUNDDOWN(G160*C160,1))</f>
        <v>1758.4</v>
      </c>
      <c r="I160" s="494">
        <f>일위대가목록표!G37</f>
        <v>0</v>
      </c>
      <c r="J160" s="498">
        <f>IF(C160=0,0,ROUNDDOWN(I160*C160,1))</f>
        <v>0</v>
      </c>
      <c r="K160" s="494">
        <f>일위대가목록표!H37</f>
        <v>0</v>
      </c>
      <c r="L160" s="498">
        <f>IF(C160=0,0,ROUNDDOWN(K160*C160,1))</f>
        <v>0</v>
      </c>
      <c r="M160" s="463" t="s">
        <v>2492</v>
      </c>
      <c r="N160" s="451" t="s">
        <v>2493</v>
      </c>
      <c r="O160" s="468" t="s">
        <v>2494</v>
      </c>
      <c r="P160" s="468" t="s">
        <v>2354</v>
      </c>
      <c r="Q160" s="468" t="s">
        <v>2355</v>
      </c>
      <c r="Z160" s="433" t="str">
        <f ca="1">HYPERLINK("#"&amp;일위대가목록표!J2&amp;"!A"&amp;ROW(일위대가목록표!A37),"B01447 →")</f>
        <v>B01447 →</v>
      </c>
    </row>
    <row r="161" spans="1:26" ht="33.200000000000003" customHeight="1">
      <c r="A161" s="452" t="s">
        <v>2495</v>
      </c>
      <c r="B161" s="452" t="s">
        <v>2496</v>
      </c>
      <c r="C161" s="489">
        <v>0.27</v>
      </c>
      <c r="D161" s="480" t="s">
        <v>595</v>
      </c>
      <c r="E161" s="490">
        <f t="shared" si="11"/>
        <v>46533</v>
      </c>
      <c r="F161" s="493">
        <f t="shared" si="11"/>
        <v>12563.699999999999</v>
      </c>
      <c r="G161" s="494">
        <f>단가산출근거목록표!F169</f>
        <v>34461</v>
      </c>
      <c r="H161" s="498">
        <f>IF(C161=0,0,ROUNDDOWN(G161*C161,1))</f>
        <v>9304.4</v>
      </c>
      <c r="I161" s="494">
        <f>단가산출근거목록표!G169</f>
        <v>11728</v>
      </c>
      <c r="J161" s="498">
        <f>IF(C161=0,0,ROUNDDOWN(I161*C161,1))</f>
        <v>3166.5</v>
      </c>
      <c r="K161" s="494">
        <f>단가산출근거목록표!H169</f>
        <v>344</v>
      </c>
      <c r="L161" s="498">
        <f>IF(C161=0,0,ROUNDDOWN(K161*C161,1))</f>
        <v>92.8</v>
      </c>
      <c r="M161" s="463" t="s">
        <v>2497</v>
      </c>
      <c r="N161" s="451" t="s">
        <v>2498</v>
      </c>
      <c r="O161" s="468" t="s">
        <v>2499</v>
      </c>
      <c r="P161" s="468" t="s">
        <v>2354</v>
      </c>
      <c r="Q161" s="468" t="s">
        <v>2355</v>
      </c>
      <c r="Z161" s="433" t="str">
        <f ca="1">HYPERLINK("#"&amp;단가산출근거목록표!J2&amp;"!A"&amp;ROW(단가산출근거목록표!A169),"D01231 →")</f>
        <v>D01231 →</v>
      </c>
    </row>
    <row r="162" spans="1:26" ht="33.200000000000003" customHeight="1">
      <c r="A162" s="452" t="s">
        <v>2342</v>
      </c>
      <c r="B162" s="452" t="s">
        <v>2343</v>
      </c>
      <c r="C162" s="489">
        <v>2.7E-2</v>
      </c>
      <c r="D162" s="480" t="s">
        <v>8</v>
      </c>
      <c r="E162" s="490">
        <f t="shared" si="11"/>
        <v>477254</v>
      </c>
      <c r="F162" s="493">
        <f t="shared" si="11"/>
        <v>12885.8</v>
      </c>
      <c r="G162" s="494">
        <f>일위대가목록표!F330</f>
        <v>373604</v>
      </c>
      <c r="H162" s="498">
        <f>IF(C162=0,0,ROUNDDOWN(G162*C162,1))</f>
        <v>10087.299999999999</v>
      </c>
      <c r="I162" s="494">
        <f>일위대가목록표!G330</f>
        <v>103650</v>
      </c>
      <c r="J162" s="498">
        <f>IF(C162=0,0,ROUNDDOWN(I162*C162,1))</f>
        <v>2798.5</v>
      </c>
      <c r="K162" s="494">
        <f>일위대가목록표!H330</f>
        <v>0</v>
      </c>
      <c r="L162" s="498">
        <f>IF(C162=0,0,ROUNDDOWN(K162*C162,1))</f>
        <v>0</v>
      </c>
      <c r="M162" s="463" t="s">
        <v>2500</v>
      </c>
      <c r="N162" s="451" t="s">
        <v>2501</v>
      </c>
      <c r="O162" s="468" t="s">
        <v>2502</v>
      </c>
      <c r="P162" s="468" t="s">
        <v>2354</v>
      </c>
      <c r="Q162" s="468" t="s">
        <v>2355</v>
      </c>
      <c r="Z162" s="433" t="str">
        <f ca="1">HYPERLINK("#"&amp;일위대가목록표!J2&amp;"!A"&amp;ROW(일위대가목록표!A330),"B01936 →")</f>
        <v>B01936 →</v>
      </c>
    </row>
    <row r="163" spans="1:26" ht="33.200000000000003" customHeight="1">
      <c r="A163" s="452" t="s">
        <v>2507</v>
      </c>
      <c r="B163" s="452" t="s">
        <v>2441</v>
      </c>
      <c r="C163" s="489">
        <v>25</v>
      </c>
      <c r="D163" s="480" t="s">
        <v>2371</v>
      </c>
      <c r="E163" s="490">
        <f t="shared" si="11"/>
        <v>28360.3</v>
      </c>
      <c r="F163" s="491">
        <f t="shared" si="11"/>
        <v>7090</v>
      </c>
      <c r="G163" s="496">
        <f>H158+H159+H160+H161+H162</f>
        <v>28360.3</v>
      </c>
      <c r="H163" s="491">
        <f>IF(C163=0,0,ROUNDDOWN(G163*C163/100,1))</f>
        <v>7090</v>
      </c>
      <c r="I163" s="465">
        <v>0</v>
      </c>
      <c r="J163" s="493">
        <f>IF(C163=0,0,ROUNDDOWN(I163*C163/100,1))</f>
        <v>0</v>
      </c>
      <c r="K163" s="467">
        <v>0</v>
      </c>
      <c r="L163" s="493">
        <f>IF(C163=0,0,ROUNDDOWN(K163*C163/100,1))</f>
        <v>0</v>
      </c>
      <c r="M163" s="463"/>
      <c r="N163" s="451" t="s">
        <v>2508</v>
      </c>
      <c r="O163" s="468" t="s">
        <v>2373</v>
      </c>
      <c r="P163" s="468" t="s">
        <v>2354</v>
      </c>
    </row>
    <row r="164" spans="1:26" ht="33.200000000000003" customHeight="1">
      <c r="A164" s="463" t="s">
        <v>842</v>
      </c>
      <c r="B164" s="497"/>
      <c r="C164" s="497"/>
      <c r="D164" s="497"/>
      <c r="E164" s="497"/>
      <c r="F164" s="446">
        <f>J164+H164+L164</f>
        <v>41507</v>
      </c>
      <c r="G164" s="497"/>
      <c r="H164" s="446">
        <f>ROUNDDOWN(SUMIF(P158:P163,O164,H158:H163),0)</f>
        <v>35450</v>
      </c>
      <c r="I164" s="497"/>
      <c r="J164" s="446">
        <f>ROUNDDOWN(SUMIF(P158:P163,O164,J158:J163),0)</f>
        <v>5965</v>
      </c>
      <c r="K164" s="497"/>
      <c r="L164" s="446">
        <f>ROUNDDOWN(SUMIF(P158:P163,O164,L158:L163),0)</f>
        <v>92</v>
      </c>
      <c r="M164" s="497"/>
      <c r="O164" s="468" t="s">
        <v>2354</v>
      </c>
    </row>
    <row r="165" spans="1:26" ht="33.200000000000003" customHeight="1">
      <c r="A165" s="484" t="s">
        <v>2525</v>
      </c>
      <c r="B165" s="484"/>
      <c r="C165" s="485"/>
      <c r="D165" s="485"/>
      <c r="E165" s="485"/>
      <c r="F165" s="485"/>
      <c r="G165" s="485"/>
      <c r="H165" s="485"/>
      <c r="I165" s="485"/>
      <c r="J165" s="485"/>
      <c r="K165" s="485"/>
      <c r="L165" s="485"/>
      <c r="M165" s="485"/>
      <c r="N165" s="486" t="str">
        <f>HYPERLINK("#N"&amp;ROW(N172),"_x0005_`BDCOD|B02617_x0007_`POSS|"&amp;ROW(N167)&amp;"_x0007_`POSE|"&amp;ROW(N172)&amp;"_x0007_`")</f>
        <v>_x0005_`BDCOD|B02617_x0007_`POSS|167_x0007_`POSE|172_x0007_`</v>
      </c>
    </row>
    <row r="166" spans="1:26" ht="33.200000000000003" customHeight="1">
      <c r="A166" s="469" t="s">
        <v>5497</v>
      </c>
      <c r="B166" s="469" t="s">
        <v>2112</v>
      </c>
      <c r="C166" s="487"/>
      <c r="D166" s="488" t="s">
        <v>975</v>
      </c>
      <c r="E166" s="487"/>
      <c r="F166" s="487"/>
      <c r="G166" s="487"/>
      <c r="H166" s="487"/>
      <c r="I166" s="487"/>
      <c r="J166" s="487"/>
      <c r="K166" s="487"/>
      <c r="L166" s="487"/>
      <c r="M166" s="488" t="s">
        <v>2113</v>
      </c>
      <c r="O166" s="468" t="s">
        <v>2113</v>
      </c>
    </row>
    <row r="167" spans="1:26" ht="33.200000000000003" customHeight="1">
      <c r="A167" s="452" t="s">
        <v>2484</v>
      </c>
      <c r="B167" s="452" t="s">
        <v>2485</v>
      </c>
      <c r="C167" s="489">
        <v>0.18</v>
      </c>
      <c r="D167" s="480" t="s">
        <v>8</v>
      </c>
      <c r="E167" s="490">
        <f t="shared" ref="E167:F172" si="12">I167+G167+K167</f>
        <v>62811</v>
      </c>
      <c r="F167" s="493">
        <f t="shared" si="12"/>
        <v>11305.9</v>
      </c>
      <c r="G167" s="494">
        <f>단가산출근거목록표!F157</f>
        <v>62811</v>
      </c>
      <c r="H167" s="498">
        <f>IF(C167=0,0,ROUNDDOWN(G167*C167,1))</f>
        <v>11305.9</v>
      </c>
      <c r="I167" s="494">
        <f>단가산출근거목록표!G157</f>
        <v>0</v>
      </c>
      <c r="J167" s="498">
        <f>IF(C167=0,0,ROUNDDOWN(I167*C167,1))</f>
        <v>0</v>
      </c>
      <c r="K167" s="494">
        <f>단가산출근거목록표!H157</f>
        <v>0</v>
      </c>
      <c r="L167" s="498">
        <f>IF(C167=0,0,ROUNDDOWN(K167*C167,1))</f>
        <v>0</v>
      </c>
      <c r="M167" s="463" t="s">
        <v>2486</v>
      </c>
      <c r="N167" s="451" t="s">
        <v>2487</v>
      </c>
      <c r="O167" s="468" t="s">
        <v>2488</v>
      </c>
      <c r="P167" s="468" t="s">
        <v>2354</v>
      </c>
      <c r="Q167" s="468" t="s">
        <v>2355</v>
      </c>
      <c r="Z167" s="433" t="str">
        <f ca="1">HYPERLINK("#"&amp;단가산출근거목록표!J2&amp;"!A"&amp;ROW(단가산출근거목록표!A157),"D01241 →")</f>
        <v>D01241 →</v>
      </c>
    </row>
    <row r="168" spans="1:26" ht="33.200000000000003" customHeight="1">
      <c r="A168" s="452" t="s">
        <v>2321</v>
      </c>
      <c r="B168" s="452" t="s">
        <v>2322</v>
      </c>
      <c r="C168" s="489">
        <v>6.4000000000000001E-2</v>
      </c>
      <c r="D168" s="480" t="s">
        <v>8</v>
      </c>
      <c r="E168" s="490">
        <f t="shared" si="12"/>
        <v>34413</v>
      </c>
      <c r="F168" s="493">
        <f t="shared" si="12"/>
        <v>2202.4</v>
      </c>
      <c r="G168" s="494">
        <f>일위대가목록표!F275</f>
        <v>34413</v>
      </c>
      <c r="H168" s="498">
        <f>IF(C168=0,0,ROUNDDOWN(G168*C168,1))</f>
        <v>2202.4</v>
      </c>
      <c r="I168" s="494">
        <f>일위대가목록표!G275</f>
        <v>0</v>
      </c>
      <c r="J168" s="498">
        <f>IF(C168=0,0,ROUNDDOWN(I168*C168,1))</f>
        <v>0</v>
      </c>
      <c r="K168" s="494">
        <f>일위대가목록표!H275</f>
        <v>0</v>
      </c>
      <c r="L168" s="498">
        <f>IF(C168=0,0,ROUNDDOWN(K168*C168,1))</f>
        <v>0</v>
      </c>
      <c r="M168" s="463" t="s">
        <v>2489</v>
      </c>
      <c r="N168" s="451" t="s">
        <v>2490</v>
      </c>
      <c r="O168" s="468" t="s">
        <v>2491</v>
      </c>
      <c r="P168" s="468" t="s">
        <v>2354</v>
      </c>
      <c r="Q168" s="468" t="s">
        <v>2355</v>
      </c>
      <c r="Z168" s="433" t="str">
        <f ca="1">HYPERLINK("#"&amp;일위대가목록표!J2&amp;"!A"&amp;ROW(일위대가목록표!A275),"B01414 →")</f>
        <v>B01414 →</v>
      </c>
    </row>
    <row r="169" spans="1:26" ht="33.200000000000003" customHeight="1">
      <c r="A169" s="452" t="s">
        <v>2298</v>
      </c>
      <c r="B169" s="452" t="s">
        <v>2299</v>
      </c>
      <c r="C169" s="489">
        <v>0.11600000000000001</v>
      </c>
      <c r="D169" s="480" t="s">
        <v>8</v>
      </c>
      <c r="E169" s="490">
        <f t="shared" si="12"/>
        <v>24089</v>
      </c>
      <c r="F169" s="493">
        <f t="shared" si="12"/>
        <v>2794.3</v>
      </c>
      <c r="G169" s="494">
        <f>일위대가목록표!F37</f>
        <v>24089</v>
      </c>
      <c r="H169" s="498">
        <f>IF(C169=0,0,ROUNDDOWN(G169*C169,1))</f>
        <v>2794.3</v>
      </c>
      <c r="I169" s="494">
        <f>일위대가목록표!G37</f>
        <v>0</v>
      </c>
      <c r="J169" s="498">
        <f>IF(C169=0,0,ROUNDDOWN(I169*C169,1))</f>
        <v>0</v>
      </c>
      <c r="K169" s="494">
        <f>일위대가목록표!H37</f>
        <v>0</v>
      </c>
      <c r="L169" s="498">
        <f>IF(C169=0,0,ROUNDDOWN(K169*C169,1))</f>
        <v>0</v>
      </c>
      <c r="M169" s="463" t="s">
        <v>2492</v>
      </c>
      <c r="N169" s="451" t="s">
        <v>2493</v>
      </c>
      <c r="O169" s="468" t="s">
        <v>2494</v>
      </c>
      <c r="P169" s="468" t="s">
        <v>2354</v>
      </c>
      <c r="Q169" s="468" t="s">
        <v>2355</v>
      </c>
      <c r="Z169" s="433" t="str">
        <f ca="1">HYPERLINK("#"&amp;일위대가목록표!J2&amp;"!A"&amp;ROW(일위대가목록표!A37),"B01447 →")</f>
        <v>B01447 →</v>
      </c>
    </row>
    <row r="170" spans="1:26" ht="33.200000000000003" customHeight="1">
      <c r="A170" s="452" t="s">
        <v>2495</v>
      </c>
      <c r="B170" s="452" t="s">
        <v>2496</v>
      </c>
      <c r="C170" s="489">
        <v>0.64</v>
      </c>
      <c r="D170" s="480" t="s">
        <v>595</v>
      </c>
      <c r="E170" s="490">
        <f t="shared" si="12"/>
        <v>46533</v>
      </c>
      <c r="F170" s="493">
        <f t="shared" si="12"/>
        <v>29781</v>
      </c>
      <c r="G170" s="494">
        <f>단가산출근거목록표!F169</f>
        <v>34461</v>
      </c>
      <c r="H170" s="498">
        <f>IF(C170=0,0,ROUNDDOWN(G170*C170,1))</f>
        <v>22055</v>
      </c>
      <c r="I170" s="494">
        <f>단가산출근거목록표!G169</f>
        <v>11728</v>
      </c>
      <c r="J170" s="498">
        <f>IF(C170=0,0,ROUNDDOWN(I170*C170,1))</f>
        <v>7505.9</v>
      </c>
      <c r="K170" s="494">
        <f>단가산출근거목록표!H169</f>
        <v>344</v>
      </c>
      <c r="L170" s="498">
        <f>IF(C170=0,0,ROUNDDOWN(K170*C170,1))</f>
        <v>220.1</v>
      </c>
      <c r="M170" s="463" t="s">
        <v>2497</v>
      </c>
      <c r="N170" s="451" t="s">
        <v>2498</v>
      </c>
      <c r="O170" s="468" t="s">
        <v>2499</v>
      </c>
      <c r="P170" s="468" t="s">
        <v>2354</v>
      </c>
      <c r="Q170" s="468" t="s">
        <v>2355</v>
      </c>
      <c r="Z170" s="433" t="str">
        <f ca="1">HYPERLINK("#"&amp;단가산출근거목록표!J2&amp;"!A"&amp;ROW(단가산출근거목록표!A169),"D01231 →")</f>
        <v>D01231 →</v>
      </c>
    </row>
    <row r="171" spans="1:26" ht="33.200000000000003" customHeight="1">
      <c r="A171" s="452" t="s">
        <v>2342</v>
      </c>
      <c r="B171" s="452" t="s">
        <v>2343</v>
      </c>
      <c r="C171" s="489">
        <v>6.4000000000000001E-2</v>
      </c>
      <c r="D171" s="480" t="s">
        <v>8</v>
      </c>
      <c r="E171" s="490">
        <f t="shared" si="12"/>
        <v>477254</v>
      </c>
      <c r="F171" s="493">
        <f t="shared" si="12"/>
        <v>30544.199999999997</v>
      </c>
      <c r="G171" s="494">
        <f>일위대가목록표!F330</f>
        <v>373604</v>
      </c>
      <c r="H171" s="498">
        <f>IF(C171=0,0,ROUNDDOWN(G171*C171,1))</f>
        <v>23910.6</v>
      </c>
      <c r="I171" s="494">
        <f>일위대가목록표!G330</f>
        <v>103650</v>
      </c>
      <c r="J171" s="498">
        <f>IF(C171=0,0,ROUNDDOWN(I171*C171,1))</f>
        <v>6633.6</v>
      </c>
      <c r="K171" s="494">
        <f>일위대가목록표!H330</f>
        <v>0</v>
      </c>
      <c r="L171" s="498">
        <f>IF(C171=0,0,ROUNDDOWN(K171*C171,1))</f>
        <v>0</v>
      </c>
      <c r="M171" s="463" t="s">
        <v>2500</v>
      </c>
      <c r="N171" s="451" t="s">
        <v>2501</v>
      </c>
      <c r="O171" s="468" t="s">
        <v>2502</v>
      </c>
      <c r="P171" s="468" t="s">
        <v>2354</v>
      </c>
      <c r="Q171" s="468" t="s">
        <v>2355</v>
      </c>
      <c r="Z171" s="433" t="str">
        <f ca="1">HYPERLINK("#"&amp;일위대가목록표!J2&amp;"!A"&amp;ROW(일위대가목록표!A330),"B01936 →")</f>
        <v>B01936 →</v>
      </c>
    </row>
    <row r="172" spans="1:26" ht="33.200000000000003" customHeight="1">
      <c r="A172" s="452" t="s">
        <v>2507</v>
      </c>
      <c r="B172" s="452" t="s">
        <v>2441</v>
      </c>
      <c r="C172" s="489">
        <v>25</v>
      </c>
      <c r="D172" s="480" t="s">
        <v>2371</v>
      </c>
      <c r="E172" s="490">
        <f t="shared" si="12"/>
        <v>62268.2</v>
      </c>
      <c r="F172" s="491">
        <f t="shared" si="12"/>
        <v>15567</v>
      </c>
      <c r="G172" s="496">
        <f>H167+H168+H169+H170+H171</f>
        <v>62268.2</v>
      </c>
      <c r="H172" s="491">
        <f>IF(C172=0,0,ROUNDDOWN(G172*C172/100,1))</f>
        <v>15567</v>
      </c>
      <c r="I172" s="465">
        <v>0</v>
      </c>
      <c r="J172" s="493">
        <f>IF(C172=0,0,ROUNDDOWN(I172*C172/100,1))</f>
        <v>0</v>
      </c>
      <c r="K172" s="467">
        <v>0</v>
      </c>
      <c r="L172" s="493">
        <f>IF(C172=0,0,ROUNDDOWN(K172*C172/100,1))</f>
        <v>0</v>
      </c>
      <c r="M172" s="463"/>
      <c r="N172" s="451" t="s">
        <v>2508</v>
      </c>
      <c r="O172" s="468" t="s">
        <v>2373</v>
      </c>
      <c r="P172" s="468" t="s">
        <v>2354</v>
      </c>
    </row>
    <row r="173" spans="1:26" ht="33.200000000000003" customHeight="1">
      <c r="A173" s="463" t="s">
        <v>842</v>
      </c>
      <c r="B173" s="497"/>
      <c r="C173" s="497"/>
      <c r="D173" s="497"/>
      <c r="E173" s="497"/>
      <c r="F173" s="446">
        <f>J173+H173+L173</f>
        <v>92194</v>
      </c>
      <c r="G173" s="497"/>
      <c r="H173" s="446">
        <f>ROUNDDOWN(SUMIF(P167:P172,O173,H167:H172),0)</f>
        <v>77835</v>
      </c>
      <c r="I173" s="497"/>
      <c r="J173" s="446">
        <f>ROUNDDOWN(SUMIF(P167:P172,O173,J167:J172),0)</f>
        <v>14139</v>
      </c>
      <c r="K173" s="497"/>
      <c r="L173" s="446">
        <f>ROUNDDOWN(SUMIF(P167:P172,O173,L167:L172),0)</f>
        <v>220</v>
      </c>
      <c r="M173" s="497"/>
      <c r="O173" s="468" t="s">
        <v>2354</v>
      </c>
    </row>
    <row r="174" spans="1:26" ht="33.200000000000003" customHeight="1">
      <c r="A174" s="484" t="s">
        <v>2526</v>
      </c>
      <c r="B174" s="484"/>
      <c r="C174" s="485"/>
      <c r="D174" s="485"/>
      <c r="E174" s="485"/>
      <c r="F174" s="485"/>
      <c r="G174" s="485"/>
      <c r="H174" s="485"/>
      <c r="I174" s="485"/>
      <c r="J174" s="485"/>
      <c r="K174" s="485"/>
      <c r="L174" s="485"/>
      <c r="M174" s="485"/>
      <c r="N174" s="486" t="str">
        <f>HYPERLINK("#N"&amp;ROW(N181),"_x0005_`BDCOD|B02616_x0007_`POSS|"&amp;ROW(N176)&amp;"_x0007_`POSE|"&amp;ROW(N181)&amp;"_x0007_`")</f>
        <v>_x0005_`BDCOD|B02616_x0007_`POSS|176_x0007_`POSE|181_x0007_`</v>
      </c>
    </row>
    <row r="175" spans="1:26" ht="33.200000000000003" customHeight="1">
      <c r="A175" s="469" t="s">
        <v>5497</v>
      </c>
      <c r="B175" s="469" t="s">
        <v>2116</v>
      </c>
      <c r="C175" s="487"/>
      <c r="D175" s="488" t="s">
        <v>975</v>
      </c>
      <c r="E175" s="487"/>
      <c r="F175" s="487"/>
      <c r="G175" s="487"/>
      <c r="H175" s="487"/>
      <c r="I175" s="487"/>
      <c r="J175" s="487"/>
      <c r="K175" s="487"/>
      <c r="L175" s="487"/>
      <c r="M175" s="488" t="s">
        <v>2117</v>
      </c>
      <c r="O175" s="468" t="s">
        <v>2117</v>
      </c>
    </row>
    <row r="176" spans="1:26" ht="33.200000000000003" customHeight="1">
      <c r="A176" s="452" t="s">
        <v>2484</v>
      </c>
      <c r="B176" s="452" t="s">
        <v>2485</v>
      </c>
      <c r="C176" s="489">
        <v>0.29399999999999998</v>
      </c>
      <c r="D176" s="480" t="s">
        <v>8</v>
      </c>
      <c r="E176" s="490">
        <f t="shared" ref="E176:F181" si="13">I176+G176+K176</f>
        <v>62811</v>
      </c>
      <c r="F176" s="493">
        <f t="shared" si="13"/>
        <v>18466.400000000001</v>
      </c>
      <c r="G176" s="494">
        <f>단가산출근거목록표!F157</f>
        <v>62811</v>
      </c>
      <c r="H176" s="498">
        <f>IF(C176=0,0,ROUNDDOWN(G176*C176,1))</f>
        <v>18466.400000000001</v>
      </c>
      <c r="I176" s="494">
        <f>단가산출근거목록표!G157</f>
        <v>0</v>
      </c>
      <c r="J176" s="498">
        <f>IF(C176=0,0,ROUNDDOWN(I176*C176,1))</f>
        <v>0</v>
      </c>
      <c r="K176" s="494">
        <f>단가산출근거목록표!H157</f>
        <v>0</v>
      </c>
      <c r="L176" s="498">
        <f>IF(C176=0,0,ROUNDDOWN(K176*C176,1))</f>
        <v>0</v>
      </c>
      <c r="M176" s="463" t="s">
        <v>2486</v>
      </c>
      <c r="N176" s="451" t="s">
        <v>2487</v>
      </c>
      <c r="O176" s="468" t="s">
        <v>2488</v>
      </c>
      <c r="P176" s="468" t="s">
        <v>2354</v>
      </c>
      <c r="Q176" s="468" t="s">
        <v>2355</v>
      </c>
      <c r="Z176" s="433" t="str">
        <f ca="1">HYPERLINK("#"&amp;단가산출근거목록표!J2&amp;"!A"&amp;ROW(단가산출근거목록표!A157),"D01241 →")</f>
        <v>D01241 →</v>
      </c>
    </row>
    <row r="177" spans="1:26" ht="33.200000000000003" customHeight="1">
      <c r="A177" s="452" t="s">
        <v>2321</v>
      </c>
      <c r="B177" s="452" t="s">
        <v>2322</v>
      </c>
      <c r="C177" s="489">
        <v>0.125</v>
      </c>
      <c r="D177" s="480" t="s">
        <v>8</v>
      </c>
      <c r="E177" s="490">
        <f t="shared" si="13"/>
        <v>34413</v>
      </c>
      <c r="F177" s="493">
        <f t="shared" si="13"/>
        <v>4301.6000000000004</v>
      </c>
      <c r="G177" s="494">
        <f>일위대가목록표!F275</f>
        <v>34413</v>
      </c>
      <c r="H177" s="498">
        <f>IF(C177=0,0,ROUNDDOWN(G177*C177,1))</f>
        <v>4301.6000000000004</v>
      </c>
      <c r="I177" s="494">
        <f>일위대가목록표!G275</f>
        <v>0</v>
      </c>
      <c r="J177" s="498">
        <f>IF(C177=0,0,ROUNDDOWN(I177*C177,1))</f>
        <v>0</v>
      </c>
      <c r="K177" s="494">
        <f>일위대가목록표!H275</f>
        <v>0</v>
      </c>
      <c r="L177" s="498">
        <f>IF(C177=0,0,ROUNDDOWN(K177*C177,1))</f>
        <v>0</v>
      </c>
      <c r="M177" s="463" t="s">
        <v>2489</v>
      </c>
      <c r="N177" s="451" t="s">
        <v>2490</v>
      </c>
      <c r="O177" s="468" t="s">
        <v>2491</v>
      </c>
      <c r="P177" s="468" t="s">
        <v>2354</v>
      </c>
      <c r="Q177" s="468" t="s">
        <v>2355</v>
      </c>
      <c r="Z177" s="433" t="str">
        <f ca="1">HYPERLINK("#"&amp;일위대가목록표!J2&amp;"!A"&amp;ROW(일위대가목록표!A275),"B01414 →")</f>
        <v>B01414 →</v>
      </c>
    </row>
    <row r="178" spans="1:26" ht="33.200000000000003" customHeight="1">
      <c r="A178" s="452" t="s">
        <v>2298</v>
      </c>
      <c r="B178" s="452" t="s">
        <v>2299</v>
      </c>
      <c r="C178" s="489">
        <v>0.16900000000000001</v>
      </c>
      <c r="D178" s="480" t="s">
        <v>8</v>
      </c>
      <c r="E178" s="490">
        <f t="shared" si="13"/>
        <v>24089</v>
      </c>
      <c r="F178" s="493">
        <f t="shared" si="13"/>
        <v>4071</v>
      </c>
      <c r="G178" s="494">
        <f>일위대가목록표!F37</f>
        <v>24089</v>
      </c>
      <c r="H178" s="498">
        <f>IF(C178=0,0,ROUNDDOWN(G178*C178,1))</f>
        <v>4071</v>
      </c>
      <c r="I178" s="494">
        <f>일위대가목록표!G37</f>
        <v>0</v>
      </c>
      <c r="J178" s="498">
        <f>IF(C178=0,0,ROUNDDOWN(I178*C178,1))</f>
        <v>0</v>
      </c>
      <c r="K178" s="494">
        <f>일위대가목록표!H37</f>
        <v>0</v>
      </c>
      <c r="L178" s="498">
        <f>IF(C178=0,0,ROUNDDOWN(K178*C178,1))</f>
        <v>0</v>
      </c>
      <c r="M178" s="463" t="s">
        <v>2492</v>
      </c>
      <c r="N178" s="451" t="s">
        <v>2493</v>
      </c>
      <c r="O178" s="468" t="s">
        <v>2494</v>
      </c>
      <c r="P178" s="468" t="s">
        <v>2354</v>
      </c>
      <c r="Q178" s="468" t="s">
        <v>2355</v>
      </c>
      <c r="Z178" s="433" t="str">
        <f ca="1">HYPERLINK("#"&amp;일위대가목록표!J2&amp;"!A"&amp;ROW(일위대가목록표!A37),"B01447 →")</f>
        <v>B01447 →</v>
      </c>
    </row>
    <row r="179" spans="1:26" ht="33.200000000000003" customHeight="1">
      <c r="A179" s="452" t="s">
        <v>2495</v>
      </c>
      <c r="B179" s="452" t="s">
        <v>2496</v>
      </c>
      <c r="C179" s="489">
        <v>1</v>
      </c>
      <c r="D179" s="480" t="s">
        <v>595</v>
      </c>
      <c r="E179" s="490">
        <f t="shared" si="13"/>
        <v>46533</v>
      </c>
      <c r="F179" s="493">
        <f t="shared" si="13"/>
        <v>46533</v>
      </c>
      <c r="G179" s="494">
        <f>단가산출근거목록표!F169</f>
        <v>34461</v>
      </c>
      <c r="H179" s="498">
        <f>IF(C179=0,0,ROUNDDOWN(G179*C179,1))</f>
        <v>34461</v>
      </c>
      <c r="I179" s="494">
        <f>단가산출근거목록표!G169</f>
        <v>11728</v>
      </c>
      <c r="J179" s="498">
        <f>IF(C179=0,0,ROUNDDOWN(I179*C179,1))</f>
        <v>11728</v>
      </c>
      <c r="K179" s="494">
        <f>단가산출근거목록표!H169</f>
        <v>344</v>
      </c>
      <c r="L179" s="498">
        <f>IF(C179=0,0,ROUNDDOWN(K179*C179,1))</f>
        <v>344</v>
      </c>
      <c r="M179" s="463" t="s">
        <v>2497</v>
      </c>
      <c r="N179" s="451" t="s">
        <v>2498</v>
      </c>
      <c r="O179" s="468" t="s">
        <v>2499</v>
      </c>
      <c r="P179" s="468" t="s">
        <v>2354</v>
      </c>
      <c r="Q179" s="468" t="s">
        <v>2355</v>
      </c>
      <c r="Z179" s="433" t="str">
        <f ca="1">HYPERLINK("#"&amp;단가산출근거목록표!J2&amp;"!A"&amp;ROW(단가산출근거목록표!A169),"D01231 →")</f>
        <v>D01231 →</v>
      </c>
    </row>
    <row r="180" spans="1:26" ht="33.200000000000003" customHeight="1">
      <c r="A180" s="452" t="s">
        <v>2342</v>
      </c>
      <c r="B180" s="452" t="s">
        <v>2343</v>
      </c>
      <c r="C180" s="489">
        <v>0.125</v>
      </c>
      <c r="D180" s="480" t="s">
        <v>8</v>
      </c>
      <c r="E180" s="490">
        <f t="shared" si="13"/>
        <v>477254</v>
      </c>
      <c r="F180" s="493">
        <f t="shared" si="13"/>
        <v>59656.7</v>
      </c>
      <c r="G180" s="494">
        <f>일위대가목록표!F330</f>
        <v>373604</v>
      </c>
      <c r="H180" s="498">
        <f>IF(C180=0,0,ROUNDDOWN(G180*C180,1))</f>
        <v>46700.5</v>
      </c>
      <c r="I180" s="494">
        <f>일위대가목록표!G330</f>
        <v>103650</v>
      </c>
      <c r="J180" s="498">
        <f>IF(C180=0,0,ROUNDDOWN(I180*C180,1))</f>
        <v>12956.2</v>
      </c>
      <c r="K180" s="494">
        <f>일위대가목록표!H330</f>
        <v>0</v>
      </c>
      <c r="L180" s="498">
        <f>IF(C180=0,0,ROUNDDOWN(K180*C180,1))</f>
        <v>0</v>
      </c>
      <c r="M180" s="463" t="s">
        <v>2500</v>
      </c>
      <c r="N180" s="451" t="s">
        <v>2501</v>
      </c>
      <c r="O180" s="468" t="s">
        <v>2502</v>
      </c>
      <c r="P180" s="468" t="s">
        <v>2354</v>
      </c>
      <c r="Q180" s="468" t="s">
        <v>2355</v>
      </c>
      <c r="Z180" s="433" t="str">
        <f ca="1">HYPERLINK("#"&amp;일위대가목록표!J2&amp;"!A"&amp;ROW(일위대가목록표!A330),"B01936 →")</f>
        <v>B01936 →</v>
      </c>
    </row>
    <row r="181" spans="1:26" ht="33.200000000000003" customHeight="1">
      <c r="A181" s="452" t="s">
        <v>2507</v>
      </c>
      <c r="B181" s="452" t="s">
        <v>2441</v>
      </c>
      <c r="C181" s="489">
        <v>25</v>
      </c>
      <c r="D181" s="480" t="s">
        <v>2371</v>
      </c>
      <c r="E181" s="490">
        <f t="shared" si="13"/>
        <v>108000.5</v>
      </c>
      <c r="F181" s="491">
        <f t="shared" si="13"/>
        <v>27000.1</v>
      </c>
      <c r="G181" s="496">
        <f>H176+H177+H178+H179+H180</f>
        <v>108000.5</v>
      </c>
      <c r="H181" s="491">
        <f>IF(C181=0,0,ROUNDDOWN(G181*C181/100,1))</f>
        <v>27000.1</v>
      </c>
      <c r="I181" s="465">
        <v>0</v>
      </c>
      <c r="J181" s="493">
        <f>IF(C181=0,0,ROUNDDOWN(I181*C181/100,1))</f>
        <v>0</v>
      </c>
      <c r="K181" s="467">
        <v>0</v>
      </c>
      <c r="L181" s="493">
        <f>IF(C181=0,0,ROUNDDOWN(K181*C181/100,1))</f>
        <v>0</v>
      </c>
      <c r="M181" s="463"/>
      <c r="N181" s="451" t="s">
        <v>2508</v>
      </c>
      <c r="O181" s="468" t="s">
        <v>2373</v>
      </c>
      <c r="P181" s="468" t="s">
        <v>2354</v>
      </c>
    </row>
    <row r="182" spans="1:26" ht="33.200000000000003" customHeight="1">
      <c r="A182" s="463" t="s">
        <v>842</v>
      </c>
      <c r="B182" s="497"/>
      <c r="C182" s="497"/>
      <c r="D182" s="497"/>
      <c r="E182" s="497"/>
      <c r="F182" s="446">
        <f>J182+H182+L182</f>
        <v>160028</v>
      </c>
      <c r="G182" s="497"/>
      <c r="H182" s="446">
        <f>ROUNDDOWN(SUMIF(P176:P181,O182,H176:H181),0)</f>
        <v>135000</v>
      </c>
      <c r="I182" s="497"/>
      <c r="J182" s="446">
        <f>ROUNDDOWN(SUMIF(P176:P181,O182,J176:J181),0)</f>
        <v>24684</v>
      </c>
      <c r="K182" s="497"/>
      <c r="L182" s="446">
        <f>ROUNDDOWN(SUMIF(P176:P181,O182,L176:L181),0)</f>
        <v>344</v>
      </c>
      <c r="M182" s="497"/>
      <c r="O182" s="468" t="s">
        <v>2354</v>
      </c>
    </row>
    <row r="183" spans="1:26" ht="33.200000000000003" customHeight="1">
      <c r="A183" s="484" t="s">
        <v>2529</v>
      </c>
      <c r="B183" s="484"/>
      <c r="C183" s="485"/>
      <c r="D183" s="485"/>
      <c r="E183" s="485"/>
      <c r="F183" s="485"/>
      <c r="G183" s="485"/>
      <c r="H183" s="485"/>
      <c r="I183" s="485"/>
      <c r="J183" s="485"/>
      <c r="K183" s="485"/>
      <c r="L183" s="485"/>
      <c r="M183" s="485"/>
      <c r="N183" s="486" t="str">
        <f>HYPERLINK("#N"&amp;ROW(N189),"_x0005_`BDCOD|B02685_x0007_`POSS|"&amp;ROW(N185)&amp;"_x0007_`POSE|"&amp;ROW(N189)&amp;"_x0007_`")</f>
        <v>_x0005_`BDCOD|B02685_x0007_`POSS|185_x0007_`POSE|189_x0007_`</v>
      </c>
    </row>
    <row r="184" spans="1:26" ht="33.200000000000003" customHeight="1">
      <c r="A184" s="469" t="s">
        <v>2287</v>
      </c>
      <c r="B184" s="469" t="s">
        <v>2288</v>
      </c>
      <c r="C184" s="487"/>
      <c r="D184" s="488" t="s">
        <v>595</v>
      </c>
      <c r="E184" s="487"/>
      <c r="F184" s="487"/>
      <c r="G184" s="487"/>
      <c r="H184" s="487"/>
      <c r="I184" s="487"/>
      <c r="J184" s="487"/>
      <c r="K184" s="487"/>
      <c r="L184" s="487"/>
      <c r="M184" s="488" t="s">
        <v>2286</v>
      </c>
      <c r="O184" s="468" t="s">
        <v>2286</v>
      </c>
    </row>
    <row r="185" spans="1:26" ht="33.200000000000003" customHeight="1">
      <c r="A185" s="452" t="s">
        <v>2512</v>
      </c>
      <c r="B185" s="452"/>
      <c r="C185" s="489">
        <v>5.8000000000000003E-2</v>
      </c>
      <c r="D185" s="480" t="s">
        <v>585</v>
      </c>
      <c r="E185" s="490">
        <f t="shared" ref="E185:F189" si="14">I185+G185+K185</f>
        <v>215907</v>
      </c>
      <c r="F185" s="493">
        <f t="shared" si="14"/>
        <v>12522.6</v>
      </c>
      <c r="G185" s="494">
        <f>노무비목록표!E14</f>
        <v>215907</v>
      </c>
      <c r="H185" s="495">
        <f>IF(C185=0,0,ROUNDDOWN(G185*C185,1))</f>
        <v>12522.6</v>
      </c>
      <c r="I185" s="492">
        <v>0</v>
      </c>
      <c r="J185" s="491">
        <f>IF(C185=0,0,ROUNDDOWN(I185*C185,1))</f>
        <v>0</v>
      </c>
      <c r="K185" s="492">
        <v>0</v>
      </c>
      <c r="L185" s="493">
        <f>IF(C185=0,0,ROUNDDOWN(K185*C185,1))</f>
        <v>0</v>
      </c>
      <c r="M185" s="463" t="s">
        <v>2513</v>
      </c>
      <c r="N185" s="451" t="s">
        <v>2514</v>
      </c>
      <c r="O185" s="468" t="s">
        <v>2515</v>
      </c>
      <c r="P185" s="468" t="s">
        <v>2354</v>
      </c>
      <c r="Q185" s="468" t="s">
        <v>2355</v>
      </c>
      <c r="Z185" s="433" t="str">
        <f ca="1">HYPERLINK("#"&amp;노무비목록표!G2&amp;"!A"&amp;ROW(노무비목록표!A14),"L00193 →")</f>
        <v>L00193 →</v>
      </c>
    </row>
    <row r="186" spans="1:26" ht="33.200000000000003" customHeight="1">
      <c r="A186" s="452" t="s">
        <v>2516</v>
      </c>
      <c r="B186" s="452"/>
      <c r="C186" s="489">
        <v>5.8000000000000003E-2</v>
      </c>
      <c r="D186" s="480" t="s">
        <v>585</v>
      </c>
      <c r="E186" s="490">
        <f t="shared" si="14"/>
        <v>226122</v>
      </c>
      <c r="F186" s="493">
        <f t="shared" si="14"/>
        <v>13115</v>
      </c>
      <c r="G186" s="494">
        <f>노무비목록표!E21</f>
        <v>226122</v>
      </c>
      <c r="H186" s="495">
        <f>IF(C186=0,0,ROUNDDOWN(G186*C186,1))</f>
        <v>13115</v>
      </c>
      <c r="I186" s="492">
        <v>0</v>
      </c>
      <c r="J186" s="491">
        <f>IF(C186=0,0,ROUNDDOWN(I186*C186,1))</f>
        <v>0</v>
      </c>
      <c r="K186" s="492">
        <v>0</v>
      </c>
      <c r="L186" s="493">
        <f>IF(C186=0,0,ROUNDDOWN(K186*C186,1))</f>
        <v>0</v>
      </c>
      <c r="M186" s="463" t="s">
        <v>2517</v>
      </c>
      <c r="N186" s="451" t="s">
        <v>2518</v>
      </c>
      <c r="O186" s="468" t="s">
        <v>2519</v>
      </c>
      <c r="P186" s="468" t="s">
        <v>2354</v>
      </c>
      <c r="Q186" s="468" t="s">
        <v>2355</v>
      </c>
      <c r="Z186" s="433" t="str">
        <f ca="1">HYPERLINK("#"&amp;노무비목록표!G2&amp;"!A"&amp;ROW(노무비목록표!A21),"L00016 →")</f>
        <v>L00016 →</v>
      </c>
    </row>
    <row r="187" spans="1:26" ht="33.200000000000003" customHeight="1">
      <c r="A187" s="452" t="s">
        <v>2360</v>
      </c>
      <c r="B187" s="452"/>
      <c r="C187" s="489">
        <v>8.3000000000000004E-2</v>
      </c>
      <c r="D187" s="480" t="s">
        <v>585</v>
      </c>
      <c r="E187" s="490">
        <f t="shared" si="14"/>
        <v>172068</v>
      </c>
      <c r="F187" s="493">
        <f t="shared" si="14"/>
        <v>14281.6</v>
      </c>
      <c r="G187" s="494">
        <f>노무비목록표!E10</f>
        <v>172068</v>
      </c>
      <c r="H187" s="495">
        <f>IF(C187=0,0,ROUNDDOWN(G187*C187,1))</f>
        <v>14281.6</v>
      </c>
      <c r="I187" s="492">
        <v>0</v>
      </c>
      <c r="J187" s="491">
        <f>IF(C187=0,0,ROUNDDOWN(I187*C187,1))</f>
        <v>0</v>
      </c>
      <c r="K187" s="492">
        <v>0</v>
      </c>
      <c r="L187" s="493">
        <f>IF(C187=0,0,ROUNDDOWN(K187*C187,1))</f>
        <v>0</v>
      </c>
      <c r="M187" s="463" t="s">
        <v>2361</v>
      </c>
      <c r="N187" s="451" t="s">
        <v>2428</v>
      </c>
      <c r="O187" s="468" t="s">
        <v>2363</v>
      </c>
      <c r="P187" s="468" t="s">
        <v>2354</v>
      </c>
      <c r="Q187" s="468" t="s">
        <v>2355</v>
      </c>
      <c r="Z187" s="433" t="str">
        <f ca="1">HYPERLINK("#"&amp;노무비목록표!G2&amp;"!A"&amp;ROW(노무비목록표!A10),"L00017 →")</f>
        <v>L00017 →</v>
      </c>
    </row>
    <row r="188" spans="1:26" ht="33.200000000000003" customHeight="1">
      <c r="A188" s="452" t="s">
        <v>2407</v>
      </c>
      <c r="B188" s="452" t="s">
        <v>2520</v>
      </c>
      <c r="C188" s="489">
        <v>0.24</v>
      </c>
      <c r="D188" s="480" t="s">
        <v>2409</v>
      </c>
      <c r="E188" s="490">
        <f t="shared" si="14"/>
        <v>111778</v>
      </c>
      <c r="F188" s="493">
        <f t="shared" si="14"/>
        <v>26826.7</v>
      </c>
      <c r="G188" s="494">
        <f>중기목록표!F11</f>
        <v>59020</v>
      </c>
      <c r="H188" s="498">
        <f>IF(C188=0,0,ROUNDDOWN(G188*C188,1))</f>
        <v>14164.8</v>
      </c>
      <c r="I188" s="494">
        <f>중기목록표!G11</f>
        <v>25740</v>
      </c>
      <c r="J188" s="498">
        <f>IF(C188=0,0,ROUNDDOWN(I188*C188,1))</f>
        <v>6177.6</v>
      </c>
      <c r="K188" s="494">
        <f>중기목록표!H11</f>
        <v>27018</v>
      </c>
      <c r="L188" s="498">
        <f>IF(C188=0,0,ROUNDDOWN(K188*C188,1))</f>
        <v>6484.3</v>
      </c>
      <c r="M188" s="463" t="s">
        <v>2521</v>
      </c>
      <c r="N188" s="451" t="s">
        <v>2522</v>
      </c>
      <c r="O188" s="468" t="s">
        <v>2523</v>
      </c>
      <c r="P188" s="468" t="s">
        <v>2354</v>
      </c>
      <c r="Q188" s="468" t="s">
        <v>2355</v>
      </c>
      <c r="Z188" s="433" t="str">
        <f ca="1">HYPERLINK("#"&amp;중기목록표!J2&amp;"!A"&amp;ROW(중기목록표!A11),"X00292 →")</f>
        <v>X00292 →</v>
      </c>
    </row>
    <row r="189" spans="1:26" ht="33.200000000000003" customHeight="1">
      <c r="A189" s="452" t="s">
        <v>2524</v>
      </c>
      <c r="B189" s="452" t="s">
        <v>2441</v>
      </c>
      <c r="C189" s="489">
        <v>1</v>
      </c>
      <c r="D189" s="480" t="s">
        <v>2371</v>
      </c>
      <c r="E189" s="490">
        <f t="shared" si="14"/>
        <v>54084</v>
      </c>
      <c r="F189" s="491">
        <f t="shared" si="14"/>
        <v>540.79999999999995</v>
      </c>
      <c r="G189" s="465">
        <v>0</v>
      </c>
      <c r="H189" s="491">
        <f>IF(C189=0,0,ROUNDDOWN(G189*C189/100,1))</f>
        <v>0</v>
      </c>
      <c r="I189" s="465">
        <v>0</v>
      </c>
      <c r="J189" s="493">
        <f>IF(C189=0,0,ROUNDDOWN(I189*C189/100,1))</f>
        <v>0</v>
      </c>
      <c r="K189" s="499">
        <f>H185+H186+H187+H188</f>
        <v>54084</v>
      </c>
      <c r="L189" s="493">
        <f>IF(C189=0,0,ROUNDDOWN(K189*C189/100,1))</f>
        <v>540.79999999999995</v>
      </c>
      <c r="M189" s="463"/>
      <c r="N189" s="451" t="s">
        <v>2442</v>
      </c>
      <c r="O189" s="468" t="s">
        <v>2373</v>
      </c>
      <c r="P189" s="468" t="s">
        <v>2354</v>
      </c>
    </row>
    <row r="190" spans="1:26" ht="33.200000000000003" customHeight="1">
      <c r="A190" s="463" t="s">
        <v>842</v>
      </c>
      <c r="B190" s="497"/>
      <c r="C190" s="497"/>
      <c r="D190" s="497"/>
      <c r="E190" s="497"/>
      <c r="F190" s="446">
        <f>J190+H190+L190</f>
        <v>67286</v>
      </c>
      <c r="G190" s="497"/>
      <c r="H190" s="446">
        <f>ROUNDDOWN(SUMIF(P185:P189,O190,H185:H189),0)</f>
        <v>54084</v>
      </c>
      <c r="I190" s="497"/>
      <c r="J190" s="446">
        <f>ROUNDDOWN(SUMIF(P185:P189,O190,J185:J189),0)</f>
        <v>6177</v>
      </c>
      <c r="K190" s="497"/>
      <c r="L190" s="446">
        <f>ROUNDDOWN(SUMIF(P185:P189,O190,L185:L189),0)</f>
        <v>7025</v>
      </c>
      <c r="M190" s="497"/>
      <c r="O190" s="468" t="s">
        <v>2354</v>
      </c>
    </row>
    <row r="191" spans="1:26" ht="33.200000000000003" customHeight="1">
      <c r="A191" s="484" t="s">
        <v>2531</v>
      </c>
      <c r="B191" s="484"/>
      <c r="C191" s="485"/>
      <c r="D191" s="485"/>
      <c r="E191" s="485"/>
      <c r="F191" s="485"/>
      <c r="G191" s="485"/>
      <c r="H191" s="485"/>
      <c r="I191" s="485"/>
      <c r="J191" s="485"/>
      <c r="K191" s="485"/>
      <c r="L191" s="485"/>
      <c r="M191" s="485"/>
      <c r="N191" s="486" t="str">
        <f>HYPERLINK("#N"&amp;ROW(N197),"_x0005_`BDCOD|B02145_x0007_`POSS|"&amp;ROW(N193)&amp;"_x0007_`POSE|"&amp;ROW(N197)&amp;"_x0007_`")</f>
        <v>_x0005_`BDCOD|B02145_x0007_`POSS|193_x0007_`POSE|197_x0007_`</v>
      </c>
    </row>
    <row r="192" spans="1:26" ht="33.200000000000003" customHeight="1">
      <c r="A192" s="469" t="s">
        <v>2287</v>
      </c>
      <c r="B192" s="469" t="s">
        <v>2291</v>
      </c>
      <c r="C192" s="487"/>
      <c r="D192" s="488" t="s">
        <v>595</v>
      </c>
      <c r="E192" s="487"/>
      <c r="F192" s="487"/>
      <c r="G192" s="487"/>
      <c r="H192" s="487"/>
      <c r="I192" s="487"/>
      <c r="J192" s="487"/>
      <c r="K192" s="487"/>
      <c r="L192" s="487"/>
      <c r="M192" s="488" t="s">
        <v>2290</v>
      </c>
      <c r="O192" s="468" t="s">
        <v>2290</v>
      </c>
    </row>
    <row r="193" spans="1:26" ht="33.200000000000003" customHeight="1">
      <c r="A193" s="452" t="s">
        <v>2512</v>
      </c>
      <c r="B193" s="452"/>
      <c r="C193" s="489">
        <v>5.8000000000000003E-2</v>
      </c>
      <c r="D193" s="480" t="s">
        <v>585</v>
      </c>
      <c r="E193" s="490">
        <f t="shared" ref="E193:F197" si="15">I193+G193+K193</f>
        <v>215907</v>
      </c>
      <c r="F193" s="493">
        <f t="shared" si="15"/>
        <v>12522.6</v>
      </c>
      <c r="G193" s="494">
        <f>노무비목록표!E14</f>
        <v>215907</v>
      </c>
      <c r="H193" s="495">
        <f>IF(C193=0,0,ROUNDDOWN(G193*C193,1))</f>
        <v>12522.6</v>
      </c>
      <c r="I193" s="492">
        <v>0</v>
      </c>
      <c r="J193" s="491">
        <f>IF(C193=0,0,ROUNDDOWN(I193*C193,1))</f>
        <v>0</v>
      </c>
      <c r="K193" s="492">
        <v>0</v>
      </c>
      <c r="L193" s="493">
        <f>IF(C193=0,0,ROUNDDOWN(K193*C193,1))</f>
        <v>0</v>
      </c>
      <c r="M193" s="463" t="s">
        <v>2513</v>
      </c>
      <c r="N193" s="451" t="s">
        <v>2514</v>
      </c>
      <c r="O193" s="468" t="s">
        <v>2515</v>
      </c>
      <c r="P193" s="468" t="s">
        <v>2354</v>
      </c>
      <c r="Q193" s="468" t="s">
        <v>2355</v>
      </c>
      <c r="Z193" s="433" t="str">
        <f ca="1">HYPERLINK("#"&amp;노무비목록표!G2&amp;"!A"&amp;ROW(노무비목록표!A14),"L00193 →")</f>
        <v>L00193 →</v>
      </c>
    </row>
    <row r="194" spans="1:26" ht="33.200000000000003" customHeight="1">
      <c r="A194" s="452" t="s">
        <v>2516</v>
      </c>
      <c r="B194" s="452"/>
      <c r="C194" s="489">
        <v>0.10100000000000001</v>
      </c>
      <c r="D194" s="480" t="s">
        <v>585</v>
      </c>
      <c r="E194" s="490">
        <f t="shared" si="15"/>
        <v>226122</v>
      </c>
      <c r="F194" s="493">
        <f t="shared" si="15"/>
        <v>22838.3</v>
      </c>
      <c r="G194" s="494">
        <f>노무비목록표!E21</f>
        <v>226122</v>
      </c>
      <c r="H194" s="495">
        <f>IF(C194=0,0,ROUNDDOWN(G194*C194,1))</f>
        <v>22838.3</v>
      </c>
      <c r="I194" s="492">
        <v>0</v>
      </c>
      <c r="J194" s="491">
        <f>IF(C194=0,0,ROUNDDOWN(I194*C194,1))</f>
        <v>0</v>
      </c>
      <c r="K194" s="492">
        <v>0</v>
      </c>
      <c r="L194" s="493">
        <f>IF(C194=0,0,ROUNDDOWN(K194*C194,1))</f>
        <v>0</v>
      </c>
      <c r="M194" s="463" t="s">
        <v>2517</v>
      </c>
      <c r="N194" s="451" t="s">
        <v>2518</v>
      </c>
      <c r="O194" s="468" t="s">
        <v>2519</v>
      </c>
      <c r="P194" s="468" t="s">
        <v>2354</v>
      </c>
      <c r="Q194" s="468" t="s">
        <v>2355</v>
      </c>
      <c r="Z194" s="433" t="str">
        <f ca="1">HYPERLINK("#"&amp;노무비목록표!G2&amp;"!A"&amp;ROW(노무비목록표!A21),"L00016 →")</f>
        <v>L00016 →</v>
      </c>
    </row>
    <row r="195" spans="1:26" ht="33.200000000000003" customHeight="1">
      <c r="A195" s="452" t="s">
        <v>2360</v>
      </c>
      <c r="B195" s="452"/>
      <c r="C195" s="489">
        <v>0.10100000000000001</v>
      </c>
      <c r="D195" s="480" t="s">
        <v>585</v>
      </c>
      <c r="E195" s="490">
        <f t="shared" si="15"/>
        <v>172068</v>
      </c>
      <c r="F195" s="493">
        <f t="shared" si="15"/>
        <v>17378.8</v>
      </c>
      <c r="G195" s="494">
        <f>노무비목록표!E10</f>
        <v>172068</v>
      </c>
      <c r="H195" s="495">
        <f>IF(C195=0,0,ROUNDDOWN(G195*C195,1))</f>
        <v>17378.8</v>
      </c>
      <c r="I195" s="492">
        <v>0</v>
      </c>
      <c r="J195" s="491">
        <f>IF(C195=0,0,ROUNDDOWN(I195*C195,1))</f>
        <v>0</v>
      </c>
      <c r="K195" s="492">
        <v>0</v>
      </c>
      <c r="L195" s="493">
        <f>IF(C195=0,0,ROUNDDOWN(K195*C195,1))</f>
        <v>0</v>
      </c>
      <c r="M195" s="463" t="s">
        <v>2361</v>
      </c>
      <c r="N195" s="451" t="s">
        <v>2428</v>
      </c>
      <c r="O195" s="468" t="s">
        <v>2363</v>
      </c>
      <c r="P195" s="468" t="s">
        <v>2354</v>
      </c>
      <c r="Q195" s="468" t="s">
        <v>2355</v>
      </c>
      <c r="Z195" s="433" t="str">
        <f ca="1">HYPERLINK("#"&amp;노무비목록표!G2&amp;"!A"&amp;ROW(노무비목록표!A10),"L00017 →")</f>
        <v>L00017 →</v>
      </c>
    </row>
    <row r="196" spans="1:26" ht="33.200000000000003" customHeight="1">
      <c r="A196" s="452" t="s">
        <v>2407</v>
      </c>
      <c r="B196" s="452" t="s">
        <v>2520</v>
      </c>
      <c r="C196" s="489">
        <v>0.33600000000000002</v>
      </c>
      <c r="D196" s="480" t="s">
        <v>2409</v>
      </c>
      <c r="E196" s="490">
        <f t="shared" si="15"/>
        <v>111778</v>
      </c>
      <c r="F196" s="493">
        <f t="shared" si="15"/>
        <v>37557.300000000003</v>
      </c>
      <c r="G196" s="494">
        <f>중기목록표!F11</f>
        <v>59020</v>
      </c>
      <c r="H196" s="498">
        <f>IF(C196=0,0,ROUNDDOWN(G196*C196,1))</f>
        <v>19830.7</v>
      </c>
      <c r="I196" s="494">
        <f>중기목록표!G11</f>
        <v>25740</v>
      </c>
      <c r="J196" s="498">
        <f>IF(C196=0,0,ROUNDDOWN(I196*C196,1))</f>
        <v>8648.6</v>
      </c>
      <c r="K196" s="494">
        <f>중기목록표!H11</f>
        <v>27018</v>
      </c>
      <c r="L196" s="498">
        <f>IF(C196=0,0,ROUNDDOWN(K196*C196,1))</f>
        <v>9078</v>
      </c>
      <c r="M196" s="463" t="s">
        <v>2521</v>
      </c>
      <c r="N196" s="451" t="s">
        <v>2522</v>
      </c>
      <c r="O196" s="468" t="s">
        <v>2523</v>
      </c>
      <c r="P196" s="468" t="s">
        <v>2354</v>
      </c>
      <c r="Q196" s="468" t="s">
        <v>2355</v>
      </c>
      <c r="Z196" s="433" t="str">
        <f ca="1">HYPERLINK("#"&amp;중기목록표!J2&amp;"!A"&amp;ROW(중기목록표!A11),"X00292 →")</f>
        <v>X00292 →</v>
      </c>
    </row>
    <row r="197" spans="1:26" ht="33.200000000000003" customHeight="1">
      <c r="A197" s="452" t="s">
        <v>2524</v>
      </c>
      <c r="B197" s="452" t="s">
        <v>2441</v>
      </c>
      <c r="C197" s="489">
        <v>3</v>
      </c>
      <c r="D197" s="480" t="s">
        <v>2371</v>
      </c>
      <c r="E197" s="490">
        <f t="shared" si="15"/>
        <v>72570.399999999994</v>
      </c>
      <c r="F197" s="491">
        <f t="shared" si="15"/>
        <v>2177.1</v>
      </c>
      <c r="G197" s="465">
        <v>0</v>
      </c>
      <c r="H197" s="491">
        <f>IF(C197=0,0,ROUNDDOWN(G197*C197/100,1))</f>
        <v>0</v>
      </c>
      <c r="I197" s="465">
        <v>0</v>
      </c>
      <c r="J197" s="493">
        <f>IF(C197=0,0,ROUNDDOWN(I197*C197/100,1))</f>
        <v>0</v>
      </c>
      <c r="K197" s="499">
        <f>H193+H194+H195+H196</f>
        <v>72570.399999999994</v>
      </c>
      <c r="L197" s="493">
        <f>IF(C197=0,0,ROUNDDOWN(K197*C197/100,1))</f>
        <v>2177.1</v>
      </c>
      <c r="M197" s="463"/>
      <c r="N197" s="451" t="s">
        <v>2442</v>
      </c>
      <c r="O197" s="468" t="s">
        <v>2373</v>
      </c>
      <c r="P197" s="468" t="s">
        <v>2354</v>
      </c>
    </row>
    <row r="198" spans="1:26" ht="33.200000000000003" customHeight="1">
      <c r="A198" s="463" t="s">
        <v>842</v>
      </c>
      <c r="B198" s="497"/>
      <c r="C198" s="497"/>
      <c r="D198" s="497"/>
      <c r="E198" s="497"/>
      <c r="F198" s="446">
        <f>J198+H198+L198</f>
        <v>92473</v>
      </c>
      <c r="G198" s="497"/>
      <c r="H198" s="446">
        <f>ROUNDDOWN(SUMIF(P193:P197,O198,H193:H197),0)</f>
        <v>72570</v>
      </c>
      <c r="I198" s="497"/>
      <c r="J198" s="446">
        <f>ROUNDDOWN(SUMIF(P193:P197,O198,J193:J197),0)</f>
        <v>8648</v>
      </c>
      <c r="K198" s="497"/>
      <c r="L198" s="446">
        <f>ROUNDDOWN(SUMIF(P193:P197,O198,L193:L197),0)</f>
        <v>11255</v>
      </c>
      <c r="M198" s="497"/>
      <c r="O198" s="468" t="s">
        <v>2354</v>
      </c>
    </row>
    <row r="199" spans="1:26" ht="33.200000000000003" customHeight="1">
      <c r="A199" s="484" t="s">
        <v>2532</v>
      </c>
      <c r="B199" s="484"/>
      <c r="C199" s="485"/>
      <c r="D199" s="485"/>
      <c r="E199" s="485"/>
      <c r="F199" s="485"/>
      <c r="G199" s="485"/>
      <c r="H199" s="485"/>
      <c r="I199" s="485"/>
      <c r="J199" s="485"/>
      <c r="K199" s="485"/>
      <c r="L199" s="485"/>
      <c r="M199" s="485"/>
      <c r="N199" s="486" t="str">
        <f>HYPERLINK("#N"&amp;ROW(N205),"_x0005_`BDCOD|B02146_x0007_`POSS|"&amp;ROW(N201)&amp;"_x0007_`POSE|"&amp;ROW(N205)&amp;"_x0007_`")</f>
        <v>_x0005_`BDCOD|B02146_x0007_`POSS|201_x0007_`POSE|205_x0007_`</v>
      </c>
    </row>
    <row r="200" spans="1:26" ht="33.200000000000003" customHeight="1">
      <c r="A200" s="469" t="s">
        <v>2293</v>
      </c>
      <c r="B200" s="469" t="s">
        <v>2294</v>
      </c>
      <c r="C200" s="487"/>
      <c r="D200" s="488" t="s">
        <v>595</v>
      </c>
      <c r="E200" s="487"/>
      <c r="F200" s="487"/>
      <c r="G200" s="487"/>
      <c r="H200" s="487"/>
      <c r="I200" s="487"/>
      <c r="J200" s="487"/>
      <c r="K200" s="487"/>
      <c r="L200" s="487"/>
      <c r="M200" s="488" t="s">
        <v>2292</v>
      </c>
      <c r="O200" s="468" t="s">
        <v>2292</v>
      </c>
    </row>
    <row r="201" spans="1:26" ht="33.200000000000003" customHeight="1">
      <c r="A201" s="452" t="s">
        <v>2512</v>
      </c>
      <c r="B201" s="452"/>
      <c r="C201" s="489">
        <v>8.3000000000000004E-2</v>
      </c>
      <c r="D201" s="480" t="s">
        <v>585</v>
      </c>
      <c r="E201" s="490">
        <f t="shared" ref="E201:F205" si="16">I201+G201+K201</f>
        <v>215907</v>
      </c>
      <c r="F201" s="493">
        <f t="shared" si="16"/>
        <v>17920.2</v>
      </c>
      <c r="G201" s="494">
        <f>노무비목록표!E14</f>
        <v>215907</v>
      </c>
      <c r="H201" s="495">
        <f>IF(C201=0,0,ROUNDDOWN(G201*C201,1))</f>
        <v>17920.2</v>
      </c>
      <c r="I201" s="492">
        <v>0</v>
      </c>
      <c r="J201" s="491">
        <f>IF(C201=0,0,ROUNDDOWN(I201*C201,1))</f>
        <v>0</v>
      </c>
      <c r="K201" s="492">
        <v>0</v>
      </c>
      <c r="L201" s="493">
        <f>IF(C201=0,0,ROUNDDOWN(K201*C201,1))</f>
        <v>0</v>
      </c>
      <c r="M201" s="463" t="s">
        <v>2513</v>
      </c>
      <c r="N201" s="451" t="s">
        <v>2514</v>
      </c>
      <c r="O201" s="468" t="s">
        <v>2515</v>
      </c>
      <c r="P201" s="468" t="s">
        <v>2354</v>
      </c>
      <c r="Q201" s="468" t="s">
        <v>2355</v>
      </c>
      <c r="Z201" s="433" t="str">
        <f ca="1">HYPERLINK("#"&amp;노무비목록표!G2&amp;"!A"&amp;ROW(노무비목록표!A14),"L00193 →")</f>
        <v>L00193 →</v>
      </c>
    </row>
    <row r="202" spans="1:26" ht="33.200000000000003" customHeight="1">
      <c r="A202" s="452" t="s">
        <v>2516</v>
      </c>
      <c r="B202" s="452"/>
      <c r="C202" s="489">
        <v>0.104</v>
      </c>
      <c r="D202" s="480" t="s">
        <v>585</v>
      </c>
      <c r="E202" s="490">
        <f t="shared" si="16"/>
        <v>226122</v>
      </c>
      <c r="F202" s="493">
        <f t="shared" si="16"/>
        <v>23516.6</v>
      </c>
      <c r="G202" s="494">
        <f>노무비목록표!E21</f>
        <v>226122</v>
      </c>
      <c r="H202" s="495">
        <f>IF(C202=0,0,ROUNDDOWN(G202*C202,1))</f>
        <v>23516.6</v>
      </c>
      <c r="I202" s="492">
        <v>0</v>
      </c>
      <c r="J202" s="491">
        <f>IF(C202=0,0,ROUNDDOWN(I202*C202,1))</f>
        <v>0</v>
      </c>
      <c r="K202" s="492">
        <v>0</v>
      </c>
      <c r="L202" s="493">
        <f>IF(C202=0,0,ROUNDDOWN(K202*C202,1))</f>
        <v>0</v>
      </c>
      <c r="M202" s="463" t="s">
        <v>2517</v>
      </c>
      <c r="N202" s="451" t="s">
        <v>2518</v>
      </c>
      <c r="O202" s="468" t="s">
        <v>2519</v>
      </c>
      <c r="P202" s="468" t="s">
        <v>2354</v>
      </c>
      <c r="Q202" s="468" t="s">
        <v>2355</v>
      </c>
      <c r="Z202" s="433" t="str">
        <f ca="1">HYPERLINK("#"&amp;노무비목록표!G2&amp;"!A"&amp;ROW(노무비목록표!A21),"L00016 →")</f>
        <v>L00016 →</v>
      </c>
    </row>
    <row r="203" spans="1:26" ht="33.200000000000003" customHeight="1">
      <c r="A203" s="452" t="s">
        <v>2360</v>
      </c>
      <c r="B203" s="452"/>
      <c r="C203" s="489">
        <v>0.104</v>
      </c>
      <c r="D203" s="480" t="s">
        <v>585</v>
      </c>
      <c r="E203" s="490">
        <f t="shared" si="16"/>
        <v>172068</v>
      </c>
      <c r="F203" s="493">
        <f t="shared" si="16"/>
        <v>17895</v>
      </c>
      <c r="G203" s="494">
        <f>노무비목록표!E10</f>
        <v>172068</v>
      </c>
      <c r="H203" s="495">
        <f>IF(C203=0,0,ROUNDDOWN(G203*C203,1))</f>
        <v>17895</v>
      </c>
      <c r="I203" s="492">
        <v>0</v>
      </c>
      <c r="J203" s="491">
        <f>IF(C203=0,0,ROUNDDOWN(I203*C203,1))</f>
        <v>0</v>
      </c>
      <c r="K203" s="492">
        <v>0</v>
      </c>
      <c r="L203" s="493">
        <f>IF(C203=0,0,ROUNDDOWN(K203*C203,1))</f>
        <v>0</v>
      </c>
      <c r="M203" s="463" t="s">
        <v>2361</v>
      </c>
      <c r="N203" s="451" t="s">
        <v>2428</v>
      </c>
      <c r="O203" s="468" t="s">
        <v>2363</v>
      </c>
      <c r="P203" s="468" t="s">
        <v>2354</v>
      </c>
      <c r="Q203" s="468" t="s">
        <v>2355</v>
      </c>
      <c r="Z203" s="433" t="str">
        <f ca="1">HYPERLINK("#"&amp;노무비목록표!G2&amp;"!A"&amp;ROW(노무비목록표!A10),"L00017 →")</f>
        <v>L00017 →</v>
      </c>
    </row>
    <row r="204" spans="1:26" ht="33.200000000000003" customHeight="1">
      <c r="A204" s="452" t="s">
        <v>2407</v>
      </c>
      <c r="B204" s="452" t="s">
        <v>2520</v>
      </c>
      <c r="C204" s="489">
        <v>0.38400000000000001</v>
      </c>
      <c r="D204" s="480" t="s">
        <v>2409</v>
      </c>
      <c r="E204" s="490">
        <f t="shared" si="16"/>
        <v>111778</v>
      </c>
      <c r="F204" s="493">
        <f t="shared" si="16"/>
        <v>42922.6</v>
      </c>
      <c r="G204" s="494">
        <f>중기목록표!F11</f>
        <v>59020</v>
      </c>
      <c r="H204" s="498">
        <f>IF(C204=0,0,ROUNDDOWN(G204*C204,1))</f>
        <v>22663.599999999999</v>
      </c>
      <c r="I204" s="494">
        <f>중기목록표!G11</f>
        <v>25740</v>
      </c>
      <c r="J204" s="498">
        <f>IF(C204=0,0,ROUNDDOWN(I204*C204,1))</f>
        <v>9884.1</v>
      </c>
      <c r="K204" s="494">
        <f>중기목록표!H11</f>
        <v>27018</v>
      </c>
      <c r="L204" s="498">
        <f>IF(C204=0,0,ROUNDDOWN(K204*C204,1))</f>
        <v>10374.9</v>
      </c>
      <c r="M204" s="463" t="s">
        <v>2521</v>
      </c>
      <c r="N204" s="451" t="s">
        <v>2527</v>
      </c>
      <c r="O204" s="468" t="s">
        <v>2523</v>
      </c>
      <c r="P204" s="468" t="s">
        <v>2354</v>
      </c>
      <c r="Q204" s="468" t="s">
        <v>2355</v>
      </c>
      <c r="Z204" s="433" t="str">
        <f ca="1">HYPERLINK("#"&amp;중기목록표!J2&amp;"!A"&amp;ROW(중기목록표!A11),"X00292 →")</f>
        <v>X00292 →</v>
      </c>
    </row>
    <row r="205" spans="1:26" ht="33.200000000000003" customHeight="1">
      <c r="A205" s="452" t="s">
        <v>2528</v>
      </c>
      <c r="B205" s="452" t="s">
        <v>2441</v>
      </c>
      <c r="C205" s="489">
        <v>1</v>
      </c>
      <c r="D205" s="480" t="s">
        <v>2371</v>
      </c>
      <c r="E205" s="490">
        <f t="shared" si="16"/>
        <v>81995.399999999994</v>
      </c>
      <c r="F205" s="491">
        <f t="shared" si="16"/>
        <v>819.9</v>
      </c>
      <c r="G205" s="465">
        <v>0</v>
      </c>
      <c r="H205" s="491">
        <f>IF(C205=0,0,ROUNDDOWN(G205*C205/100,1))</f>
        <v>0</v>
      </c>
      <c r="I205" s="465">
        <v>0</v>
      </c>
      <c r="J205" s="493">
        <f>IF(C205=0,0,ROUNDDOWN(I205*C205/100,1))</f>
        <v>0</v>
      </c>
      <c r="K205" s="499">
        <f>H201+H202+H203+H204</f>
        <v>81995.399999999994</v>
      </c>
      <c r="L205" s="493">
        <f>IF(C205=0,0,ROUNDDOWN(K205*C205/100,1))</f>
        <v>819.9</v>
      </c>
      <c r="M205" s="463"/>
      <c r="N205" s="451" t="s">
        <v>2442</v>
      </c>
      <c r="O205" s="468" t="s">
        <v>2373</v>
      </c>
      <c r="P205" s="468" t="s">
        <v>2354</v>
      </c>
    </row>
    <row r="206" spans="1:26" ht="33.200000000000003" customHeight="1">
      <c r="A206" s="463" t="s">
        <v>842</v>
      </c>
      <c r="B206" s="497"/>
      <c r="C206" s="497"/>
      <c r="D206" s="497"/>
      <c r="E206" s="497"/>
      <c r="F206" s="446">
        <f>J206+H206+L206</f>
        <v>103073</v>
      </c>
      <c r="G206" s="497"/>
      <c r="H206" s="446">
        <f>ROUNDDOWN(SUMIF(P201:P205,O206,H201:H205),0)</f>
        <v>81995</v>
      </c>
      <c r="I206" s="497"/>
      <c r="J206" s="446">
        <f>ROUNDDOWN(SUMIF(P201:P205,O206,J201:J205),0)</f>
        <v>9884</v>
      </c>
      <c r="K206" s="497"/>
      <c r="L206" s="446">
        <f>ROUNDDOWN(SUMIF(P201:P205,O206,L201:L205),0)</f>
        <v>11194</v>
      </c>
      <c r="M206" s="497"/>
      <c r="O206" s="468" t="s">
        <v>2354</v>
      </c>
    </row>
    <row r="207" spans="1:26" ht="33.200000000000003" customHeight="1">
      <c r="A207" s="484" t="s">
        <v>2543</v>
      </c>
      <c r="B207" s="484"/>
      <c r="C207" s="485"/>
      <c r="D207" s="485"/>
      <c r="E207" s="485"/>
      <c r="F207" s="485"/>
      <c r="G207" s="485"/>
      <c r="H207" s="485"/>
      <c r="I207" s="485"/>
      <c r="J207" s="485"/>
      <c r="K207" s="485"/>
      <c r="L207" s="485"/>
      <c r="M207" s="485"/>
      <c r="N207" s="486" t="str">
        <f>HYPERLINK("#N"&amp;ROW(N213),"_x0005_`BDCOD|B02144_x0007_`POSS|"&amp;ROW(N209)&amp;"_x0007_`POSE|"&amp;ROW(N213)&amp;"_x0007_`")</f>
        <v>_x0005_`BDCOD|B02144_x0007_`POSS|209_x0007_`POSE|213_x0007_`</v>
      </c>
    </row>
    <row r="208" spans="1:26" ht="33.200000000000003" customHeight="1">
      <c r="A208" s="469" t="s">
        <v>2293</v>
      </c>
      <c r="B208" s="469" t="s">
        <v>2296</v>
      </c>
      <c r="C208" s="487"/>
      <c r="D208" s="488" t="s">
        <v>595</v>
      </c>
      <c r="E208" s="487"/>
      <c r="F208" s="487"/>
      <c r="G208" s="487"/>
      <c r="H208" s="487"/>
      <c r="I208" s="487"/>
      <c r="J208" s="487"/>
      <c r="K208" s="487"/>
      <c r="L208" s="487"/>
      <c r="M208" s="488" t="s">
        <v>2295</v>
      </c>
      <c r="O208" s="468" t="s">
        <v>2295</v>
      </c>
    </row>
    <row r="209" spans="1:26" ht="33.200000000000003" customHeight="1">
      <c r="A209" s="452" t="s">
        <v>2512</v>
      </c>
      <c r="B209" s="452"/>
      <c r="C209" s="489">
        <v>8.3000000000000004E-2</v>
      </c>
      <c r="D209" s="480" t="s">
        <v>585</v>
      </c>
      <c r="E209" s="490">
        <f t="shared" ref="E209:F213" si="17">I209+G209+K209</f>
        <v>215907</v>
      </c>
      <c r="F209" s="493">
        <f t="shared" si="17"/>
        <v>17920.2</v>
      </c>
      <c r="G209" s="494">
        <f>노무비목록표!E14</f>
        <v>215907</v>
      </c>
      <c r="H209" s="495">
        <f>IF(C209=0,0,ROUNDDOWN(G209*C209,1))</f>
        <v>17920.2</v>
      </c>
      <c r="I209" s="492">
        <v>0</v>
      </c>
      <c r="J209" s="491">
        <f>IF(C209=0,0,ROUNDDOWN(I209*C209,1))</f>
        <v>0</v>
      </c>
      <c r="K209" s="492">
        <v>0</v>
      </c>
      <c r="L209" s="493">
        <f>IF(C209=0,0,ROUNDDOWN(K209*C209,1))</f>
        <v>0</v>
      </c>
      <c r="M209" s="463" t="s">
        <v>2513</v>
      </c>
      <c r="N209" s="451" t="s">
        <v>2514</v>
      </c>
      <c r="O209" s="468" t="s">
        <v>2515</v>
      </c>
      <c r="P209" s="468" t="s">
        <v>2354</v>
      </c>
      <c r="Q209" s="468" t="s">
        <v>2355</v>
      </c>
      <c r="Z209" s="433" t="str">
        <f ca="1">HYPERLINK("#"&amp;노무비목록표!G2&amp;"!A"&amp;ROW(노무비목록표!A14),"L00193 →")</f>
        <v>L00193 →</v>
      </c>
    </row>
    <row r="210" spans="1:26" ht="33.200000000000003" customHeight="1">
      <c r="A210" s="452" t="s">
        <v>2516</v>
      </c>
      <c r="B210" s="452"/>
      <c r="C210" s="489">
        <v>0.13</v>
      </c>
      <c r="D210" s="480" t="s">
        <v>585</v>
      </c>
      <c r="E210" s="490">
        <f t="shared" si="17"/>
        <v>226122</v>
      </c>
      <c r="F210" s="493">
        <f t="shared" si="17"/>
        <v>29395.8</v>
      </c>
      <c r="G210" s="494">
        <f>노무비목록표!E21</f>
        <v>226122</v>
      </c>
      <c r="H210" s="495">
        <f>IF(C210=0,0,ROUNDDOWN(G210*C210,1))</f>
        <v>29395.8</v>
      </c>
      <c r="I210" s="492">
        <v>0</v>
      </c>
      <c r="J210" s="491">
        <f>IF(C210=0,0,ROUNDDOWN(I210*C210,1))</f>
        <v>0</v>
      </c>
      <c r="K210" s="492">
        <v>0</v>
      </c>
      <c r="L210" s="493">
        <f>IF(C210=0,0,ROUNDDOWN(K210*C210,1))</f>
        <v>0</v>
      </c>
      <c r="M210" s="463" t="s">
        <v>2517</v>
      </c>
      <c r="N210" s="451" t="s">
        <v>2518</v>
      </c>
      <c r="O210" s="468" t="s">
        <v>2519</v>
      </c>
      <c r="P210" s="468" t="s">
        <v>2354</v>
      </c>
      <c r="Q210" s="468" t="s">
        <v>2355</v>
      </c>
      <c r="Z210" s="433" t="str">
        <f ca="1">HYPERLINK("#"&amp;노무비목록표!G2&amp;"!A"&amp;ROW(노무비목록표!A21),"L00016 →")</f>
        <v>L00016 →</v>
      </c>
    </row>
    <row r="211" spans="1:26" ht="33.200000000000003" customHeight="1">
      <c r="A211" s="452" t="s">
        <v>2360</v>
      </c>
      <c r="B211" s="452"/>
      <c r="C211" s="489">
        <v>0.13</v>
      </c>
      <c r="D211" s="480" t="s">
        <v>585</v>
      </c>
      <c r="E211" s="490">
        <f t="shared" si="17"/>
        <v>172068</v>
      </c>
      <c r="F211" s="493">
        <f t="shared" si="17"/>
        <v>22368.799999999999</v>
      </c>
      <c r="G211" s="494">
        <f>노무비목록표!E10</f>
        <v>172068</v>
      </c>
      <c r="H211" s="495">
        <f>IF(C211=0,0,ROUNDDOWN(G211*C211,1))</f>
        <v>22368.799999999999</v>
      </c>
      <c r="I211" s="492">
        <v>0</v>
      </c>
      <c r="J211" s="491">
        <f>IF(C211=0,0,ROUNDDOWN(I211*C211,1))</f>
        <v>0</v>
      </c>
      <c r="K211" s="492">
        <v>0</v>
      </c>
      <c r="L211" s="493">
        <f>IF(C211=0,0,ROUNDDOWN(K211*C211,1))</f>
        <v>0</v>
      </c>
      <c r="M211" s="463" t="s">
        <v>2361</v>
      </c>
      <c r="N211" s="451" t="s">
        <v>2428</v>
      </c>
      <c r="O211" s="468" t="s">
        <v>2363</v>
      </c>
      <c r="P211" s="468" t="s">
        <v>2354</v>
      </c>
      <c r="Q211" s="468" t="s">
        <v>2355</v>
      </c>
      <c r="Z211" s="433" t="str">
        <f ca="1">HYPERLINK("#"&amp;노무비목록표!G2&amp;"!A"&amp;ROW(노무비목록표!A10),"L00017 →")</f>
        <v>L00017 →</v>
      </c>
    </row>
    <row r="212" spans="1:26" ht="33.200000000000003" customHeight="1">
      <c r="A212" s="452" t="s">
        <v>2407</v>
      </c>
      <c r="B212" s="452" t="s">
        <v>2520</v>
      </c>
      <c r="C212" s="489">
        <v>0.48</v>
      </c>
      <c r="D212" s="480" t="s">
        <v>2409</v>
      </c>
      <c r="E212" s="490">
        <f t="shared" si="17"/>
        <v>111778</v>
      </c>
      <c r="F212" s="493">
        <f t="shared" si="17"/>
        <v>53653.4</v>
      </c>
      <c r="G212" s="494">
        <f>중기목록표!F11</f>
        <v>59020</v>
      </c>
      <c r="H212" s="498">
        <f>IF(C212=0,0,ROUNDDOWN(G212*C212,1))</f>
        <v>28329.599999999999</v>
      </c>
      <c r="I212" s="494">
        <f>중기목록표!G11</f>
        <v>25740</v>
      </c>
      <c r="J212" s="498">
        <f>IF(C212=0,0,ROUNDDOWN(I212*C212,1))</f>
        <v>12355.2</v>
      </c>
      <c r="K212" s="494">
        <f>중기목록표!H11</f>
        <v>27018</v>
      </c>
      <c r="L212" s="498">
        <f>IF(C212=0,0,ROUNDDOWN(K212*C212,1))</f>
        <v>12968.6</v>
      </c>
      <c r="M212" s="463" t="s">
        <v>2521</v>
      </c>
      <c r="N212" s="451" t="s">
        <v>2527</v>
      </c>
      <c r="O212" s="468" t="s">
        <v>2523</v>
      </c>
      <c r="P212" s="468" t="s">
        <v>2354</v>
      </c>
      <c r="Q212" s="468" t="s">
        <v>2355</v>
      </c>
      <c r="Z212" s="433" t="str">
        <f ca="1">HYPERLINK("#"&amp;중기목록표!J2&amp;"!A"&amp;ROW(중기목록표!A11),"X00292 →")</f>
        <v>X00292 →</v>
      </c>
    </row>
    <row r="213" spans="1:26" ht="33.200000000000003" customHeight="1">
      <c r="A213" s="452" t="s">
        <v>2530</v>
      </c>
      <c r="B213" s="452" t="s">
        <v>2441</v>
      </c>
      <c r="C213" s="489">
        <v>9</v>
      </c>
      <c r="D213" s="480" t="s">
        <v>2371</v>
      </c>
      <c r="E213" s="490">
        <f t="shared" si="17"/>
        <v>98014.399999999994</v>
      </c>
      <c r="F213" s="491">
        <f t="shared" si="17"/>
        <v>8821.2000000000007</v>
      </c>
      <c r="G213" s="465">
        <v>0</v>
      </c>
      <c r="H213" s="491">
        <f>IF(C213=0,0,ROUNDDOWN(G213*C213/100,1))</f>
        <v>0</v>
      </c>
      <c r="I213" s="465">
        <v>0</v>
      </c>
      <c r="J213" s="493">
        <f>IF(C213=0,0,ROUNDDOWN(I213*C213/100,1))</f>
        <v>0</v>
      </c>
      <c r="K213" s="499">
        <f>H209+H210+H211+H212</f>
        <v>98014.399999999994</v>
      </c>
      <c r="L213" s="493">
        <f>IF(C213=0,0,ROUNDDOWN(K213*C213/100,1))</f>
        <v>8821.2000000000007</v>
      </c>
      <c r="M213" s="463"/>
      <c r="N213" s="451" t="s">
        <v>2442</v>
      </c>
      <c r="O213" s="468" t="s">
        <v>2373</v>
      </c>
      <c r="P213" s="468" t="s">
        <v>2354</v>
      </c>
    </row>
    <row r="214" spans="1:26" ht="33.200000000000003" customHeight="1">
      <c r="A214" s="463" t="s">
        <v>842</v>
      </c>
      <c r="B214" s="497"/>
      <c r="C214" s="497"/>
      <c r="D214" s="497"/>
      <c r="E214" s="497"/>
      <c r="F214" s="446">
        <f>J214+H214+L214</f>
        <v>132158</v>
      </c>
      <c r="G214" s="497"/>
      <c r="H214" s="446">
        <f>ROUNDDOWN(SUMIF(P209:P213,O214,H209:H213),0)</f>
        <v>98014</v>
      </c>
      <c r="I214" s="497"/>
      <c r="J214" s="446">
        <f>ROUNDDOWN(SUMIF(P209:P213,O214,J209:J213),0)</f>
        <v>12355</v>
      </c>
      <c r="K214" s="497"/>
      <c r="L214" s="446">
        <f>ROUNDDOWN(SUMIF(P209:P213,O214,L209:L213),0)</f>
        <v>21789</v>
      </c>
      <c r="M214" s="497"/>
      <c r="O214" s="468" t="s">
        <v>2354</v>
      </c>
    </row>
    <row r="215" spans="1:26" ht="33.200000000000003" customHeight="1">
      <c r="A215" s="484" t="s">
        <v>2544</v>
      </c>
      <c r="B215" s="484"/>
      <c r="C215" s="485"/>
      <c r="D215" s="485"/>
      <c r="E215" s="485"/>
      <c r="F215" s="485"/>
      <c r="G215" s="485"/>
      <c r="H215" s="485"/>
      <c r="I215" s="485"/>
      <c r="J215" s="485"/>
      <c r="K215" s="485"/>
      <c r="L215" s="485"/>
      <c r="M215" s="485"/>
      <c r="N215" s="486" t="str">
        <f>HYPERLINK("#N"&amp;ROW(N217),"_x0005_`BDCOD|B01447_x0007_`POSS|"&amp;ROW(N217)&amp;"_x0007_`POSE|"&amp;ROW(N217)&amp;"_x0007_`")</f>
        <v>_x0005_`BDCOD|B01447_x0007_`POSS|217_x0007_`POSE|217_x0007_`</v>
      </c>
    </row>
    <row r="216" spans="1:26" ht="33.200000000000003" customHeight="1">
      <c r="A216" s="469" t="s">
        <v>2298</v>
      </c>
      <c r="B216" s="469" t="s">
        <v>2299</v>
      </c>
      <c r="C216" s="487"/>
      <c r="D216" s="488" t="s">
        <v>8</v>
      </c>
      <c r="E216" s="487"/>
      <c r="F216" s="487"/>
      <c r="G216" s="487"/>
      <c r="H216" s="487"/>
      <c r="I216" s="487"/>
      <c r="J216" s="487"/>
      <c r="K216" s="487"/>
      <c r="L216" s="487"/>
      <c r="M216" s="488" t="s">
        <v>2297</v>
      </c>
      <c r="O216" s="468" t="s">
        <v>2297</v>
      </c>
    </row>
    <row r="217" spans="1:26" ht="33.200000000000003" customHeight="1">
      <c r="A217" s="452" t="s">
        <v>2360</v>
      </c>
      <c r="B217" s="452"/>
      <c r="C217" s="489">
        <v>0.14000000000000001</v>
      </c>
      <c r="D217" s="480" t="s">
        <v>585</v>
      </c>
      <c r="E217" s="490">
        <f>I217+G217+K217</f>
        <v>172068</v>
      </c>
      <c r="F217" s="493">
        <f>J217+H217+L217</f>
        <v>24089.5</v>
      </c>
      <c r="G217" s="494">
        <f>노무비목록표!E10</f>
        <v>172068</v>
      </c>
      <c r="H217" s="495">
        <f>IF(C217=0,0,ROUNDDOWN(G217*C217,1))</f>
        <v>24089.5</v>
      </c>
      <c r="I217" s="492">
        <v>0</v>
      </c>
      <c r="J217" s="491">
        <f>IF(C217=0,0,ROUNDDOWN(I217*C217,1))</f>
        <v>0</v>
      </c>
      <c r="K217" s="492">
        <v>0</v>
      </c>
      <c r="L217" s="493">
        <f>IF(C217=0,0,ROUNDDOWN(K217*C217,1))</f>
        <v>0</v>
      </c>
      <c r="M217" s="463" t="s">
        <v>2361</v>
      </c>
      <c r="N217" s="451" t="s">
        <v>2362</v>
      </c>
      <c r="O217" s="468" t="s">
        <v>2363</v>
      </c>
      <c r="P217" s="468" t="s">
        <v>2354</v>
      </c>
      <c r="Z217" s="433" t="str">
        <f ca="1">HYPERLINK("#"&amp;노무비목록표!G2&amp;"!A"&amp;ROW(노무비목록표!A10),"L00017 →")</f>
        <v>L00017 →</v>
      </c>
    </row>
    <row r="218" spans="1:26" ht="33.200000000000003" customHeight="1">
      <c r="A218" s="463" t="s">
        <v>842</v>
      </c>
      <c r="B218" s="497"/>
      <c r="C218" s="497"/>
      <c r="D218" s="497"/>
      <c r="E218" s="497"/>
      <c r="F218" s="446">
        <f>J218+H218+L218</f>
        <v>24089</v>
      </c>
      <c r="G218" s="497"/>
      <c r="H218" s="446">
        <f>ROUNDDOWN(SUMIF(P217:P217,O218,H217:H217),0)</f>
        <v>24089</v>
      </c>
      <c r="I218" s="497"/>
      <c r="J218" s="446">
        <f>ROUNDDOWN(SUMIF(P217:P217,O218,J217:J217),0)</f>
        <v>0</v>
      </c>
      <c r="K218" s="497"/>
      <c r="L218" s="446">
        <f>ROUNDDOWN(SUMIF(P217:P217,O218,L217:L217),0)</f>
        <v>0</v>
      </c>
      <c r="M218" s="497"/>
      <c r="O218" s="468" t="s">
        <v>2354</v>
      </c>
    </row>
    <row r="219" spans="1:26" ht="33.200000000000003" customHeight="1">
      <c r="A219" s="484" t="s">
        <v>2545</v>
      </c>
      <c r="B219" s="484"/>
      <c r="C219" s="485"/>
      <c r="D219" s="485"/>
      <c r="E219" s="485"/>
      <c r="F219" s="485"/>
      <c r="G219" s="485"/>
      <c r="H219" s="485"/>
      <c r="I219" s="485"/>
      <c r="J219" s="485"/>
      <c r="K219" s="485"/>
      <c r="L219" s="485"/>
      <c r="M219" s="485"/>
      <c r="N219" s="486" t="str">
        <f>HYPERLINK("#N"&amp;ROW(N224),"_x0005_`BDCOD|B02660_x0007_`POSS|"&amp;ROW(N221)&amp;"_x0007_`POSE|"&amp;ROW(N224)&amp;"_x0007_`")</f>
        <v>_x0005_`BDCOD|B02660_x0007_`POSS|221_x0007_`POSE|224_x0007_`</v>
      </c>
    </row>
    <row r="220" spans="1:26" ht="33.200000000000003" customHeight="1">
      <c r="A220" s="469" t="s">
        <v>952</v>
      </c>
      <c r="B220" s="469" t="s">
        <v>910</v>
      </c>
      <c r="C220" s="487"/>
      <c r="D220" s="488" t="s">
        <v>911</v>
      </c>
      <c r="E220" s="487"/>
      <c r="F220" s="487"/>
      <c r="G220" s="487"/>
      <c r="H220" s="487"/>
      <c r="I220" s="487"/>
      <c r="J220" s="487"/>
      <c r="K220" s="487"/>
      <c r="L220" s="487"/>
      <c r="M220" s="488" t="s">
        <v>953</v>
      </c>
      <c r="O220" s="468" t="s">
        <v>953</v>
      </c>
    </row>
    <row r="221" spans="1:26" ht="33.200000000000003" customHeight="1">
      <c r="A221" s="452" t="s">
        <v>2484</v>
      </c>
      <c r="B221" s="452" t="s">
        <v>2533</v>
      </c>
      <c r="C221" s="489">
        <v>0.1</v>
      </c>
      <c r="D221" s="480" t="s">
        <v>8</v>
      </c>
      <c r="E221" s="490">
        <f t="shared" ref="E221:F224" si="18">I221+G221+K221</f>
        <v>93246</v>
      </c>
      <c r="F221" s="493">
        <f t="shared" si="18"/>
        <v>9324.6</v>
      </c>
      <c r="G221" s="494">
        <f>단가산출근거목록표!F158</f>
        <v>93246</v>
      </c>
      <c r="H221" s="498">
        <f>IF(C221=0,0,ROUNDDOWN(G221*C221,1))</f>
        <v>9324.6</v>
      </c>
      <c r="I221" s="494">
        <f>단가산출근거목록표!G158</f>
        <v>0</v>
      </c>
      <c r="J221" s="498">
        <f>IF(C221=0,0,ROUNDDOWN(I221*C221,1))</f>
        <v>0</v>
      </c>
      <c r="K221" s="494">
        <f>단가산출근거목록표!H158</f>
        <v>0</v>
      </c>
      <c r="L221" s="498">
        <f>IF(C221=0,0,ROUNDDOWN(K221*C221,1))</f>
        <v>0</v>
      </c>
      <c r="M221" s="463" t="s">
        <v>2534</v>
      </c>
      <c r="N221" s="451" t="s">
        <v>2535</v>
      </c>
      <c r="O221" s="468" t="s">
        <v>2536</v>
      </c>
      <c r="P221" s="468" t="s">
        <v>2354</v>
      </c>
      <c r="Z221" s="433" t="str">
        <f ca="1">HYPERLINK("#"&amp;단가산출근거목록표!J2&amp;"!A"&amp;ROW(단가산출근거목록표!A158),"D01267 →")</f>
        <v>D01267 →</v>
      </c>
    </row>
    <row r="222" spans="1:26" ht="33.200000000000003" customHeight="1">
      <c r="A222" s="452" t="s">
        <v>2298</v>
      </c>
      <c r="B222" s="452" t="s">
        <v>2299</v>
      </c>
      <c r="C222" s="489">
        <v>7.4999999999999997E-2</v>
      </c>
      <c r="D222" s="480" t="s">
        <v>8</v>
      </c>
      <c r="E222" s="490">
        <f t="shared" si="18"/>
        <v>24089</v>
      </c>
      <c r="F222" s="493">
        <f t="shared" si="18"/>
        <v>1806.6</v>
      </c>
      <c r="G222" s="494">
        <f>일위대가목록표!F37</f>
        <v>24089</v>
      </c>
      <c r="H222" s="498">
        <f>IF(C222=0,0,ROUNDDOWN(G222*C222,1))</f>
        <v>1806.6</v>
      </c>
      <c r="I222" s="494">
        <f>일위대가목록표!G37</f>
        <v>0</v>
      </c>
      <c r="J222" s="498">
        <f>IF(C222=0,0,ROUNDDOWN(I222*C222,1))</f>
        <v>0</v>
      </c>
      <c r="K222" s="494">
        <f>일위대가목록표!H37</f>
        <v>0</v>
      </c>
      <c r="L222" s="498">
        <f>IF(C222=0,0,ROUNDDOWN(K222*C222,1))</f>
        <v>0</v>
      </c>
      <c r="M222" s="463" t="s">
        <v>2492</v>
      </c>
      <c r="N222" s="451" t="s">
        <v>2537</v>
      </c>
      <c r="O222" s="468" t="s">
        <v>2494</v>
      </c>
      <c r="P222" s="468" t="s">
        <v>2354</v>
      </c>
      <c r="Z222" s="433" t="str">
        <f ca="1">HYPERLINK("#"&amp;일위대가목록표!J2&amp;"!A"&amp;ROW(일위대가목록표!A37),"B01447 →")</f>
        <v>B01447 →</v>
      </c>
    </row>
    <row r="223" spans="1:26" ht="33.200000000000003" customHeight="1">
      <c r="A223" s="452" t="s">
        <v>2321</v>
      </c>
      <c r="B223" s="452" t="s">
        <v>2322</v>
      </c>
      <c r="C223" s="489">
        <v>2.5000000000000001E-2</v>
      </c>
      <c r="D223" s="480" t="s">
        <v>8</v>
      </c>
      <c r="E223" s="490">
        <f t="shared" si="18"/>
        <v>34413</v>
      </c>
      <c r="F223" s="493">
        <f t="shared" si="18"/>
        <v>860.3</v>
      </c>
      <c r="G223" s="494">
        <f>일위대가목록표!F275</f>
        <v>34413</v>
      </c>
      <c r="H223" s="498">
        <f>IF(C223=0,0,ROUNDDOWN(G223*C223,1))</f>
        <v>860.3</v>
      </c>
      <c r="I223" s="494">
        <f>일위대가목록표!G275</f>
        <v>0</v>
      </c>
      <c r="J223" s="498">
        <f>IF(C223=0,0,ROUNDDOWN(I223*C223,1))</f>
        <v>0</v>
      </c>
      <c r="K223" s="494">
        <f>일위대가목록표!H275</f>
        <v>0</v>
      </c>
      <c r="L223" s="498">
        <f>IF(C223=0,0,ROUNDDOWN(K223*C223,1))</f>
        <v>0</v>
      </c>
      <c r="M223" s="463" t="s">
        <v>2489</v>
      </c>
      <c r="N223" s="451" t="s">
        <v>2538</v>
      </c>
      <c r="O223" s="468" t="s">
        <v>2491</v>
      </c>
      <c r="P223" s="468" t="s">
        <v>2354</v>
      </c>
      <c r="Z223" s="433" t="str">
        <f ca="1">HYPERLINK("#"&amp;일위대가목록표!J2&amp;"!A"&amp;ROW(일위대가목록표!A275),"B01414 →")</f>
        <v>B01414 →</v>
      </c>
    </row>
    <row r="224" spans="1:26" ht="33.200000000000003" customHeight="1">
      <c r="A224" s="452" t="s">
        <v>1997</v>
      </c>
      <c r="B224" s="452" t="s">
        <v>2539</v>
      </c>
      <c r="C224" s="489">
        <v>0.5</v>
      </c>
      <c r="D224" s="480" t="s">
        <v>595</v>
      </c>
      <c r="E224" s="490">
        <f t="shared" si="18"/>
        <v>921</v>
      </c>
      <c r="F224" s="493">
        <f t="shared" si="18"/>
        <v>460.5</v>
      </c>
      <c r="G224" s="494">
        <f>단가산출근거목록표!F140</f>
        <v>789</v>
      </c>
      <c r="H224" s="498">
        <f>IF(C224=0,0,ROUNDDOWN(G224*C224,1))</f>
        <v>394.5</v>
      </c>
      <c r="I224" s="494">
        <f>단가산출근거목록표!G140</f>
        <v>22</v>
      </c>
      <c r="J224" s="498">
        <f>IF(C224=0,0,ROUNDDOWN(I224*C224,1))</f>
        <v>11</v>
      </c>
      <c r="K224" s="494">
        <f>단가산출근거목록표!H140</f>
        <v>110</v>
      </c>
      <c r="L224" s="498">
        <f>IF(C224=0,0,ROUNDDOWN(K224*C224,1))</f>
        <v>55</v>
      </c>
      <c r="M224" s="463" t="s">
        <v>2540</v>
      </c>
      <c r="N224" s="451" t="s">
        <v>2541</v>
      </c>
      <c r="O224" s="468" t="s">
        <v>2542</v>
      </c>
      <c r="P224" s="468" t="s">
        <v>2354</v>
      </c>
      <c r="Z224" s="433" t="str">
        <f ca="1">HYPERLINK("#"&amp;단가산출근거목록표!J2&amp;"!A"&amp;ROW(단가산출근거목록표!A140),"D01217 →")</f>
        <v>D01217 →</v>
      </c>
    </row>
    <row r="225" spans="1:26" ht="33.200000000000003" customHeight="1">
      <c r="A225" s="463" t="s">
        <v>842</v>
      </c>
      <c r="B225" s="497"/>
      <c r="C225" s="497"/>
      <c r="D225" s="497"/>
      <c r="E225" s="497"/>
      <c r="F225" s="446">
        <f>J225+H225+L225</f>
        <v>12452</v>
      </c>
      <c r="G225" s="497"/>
      <c r="H225" s="446">
        <f>ROUNDDOWN(SUMIF(P221:P224,O225,H221:H224),0)</f>
        <v>12386</v>
      </c>
      <c r="I225" s="497"/>
      <c r="J225" s="446">
        <f>ROUNDDOWN(SUMIF(P221:P224,O225,J221:J224),0)</f>
        <v>11</v>
      </c>
      <c r="K225" s="497"/>
      <c r="L225" s="446">
        <f>ROUNDDOWN(SUMIF(P221:P224,O225,L221:L224),0)</f>
        <v>55</v>
      </c>
      <c r="M225" s="497"/>
      <c r="O225" s="468" t="s">
        <v>2354</v>
      </c>
    </row>
    <row r="226" spans="1:26" ht="33.200000000000003" customHeight="1">
      <c r="A226" s="484" t="s">
        <v>2546</v>
      </c>
      <c r="B226" s="484"/>
      <c r="C226" s="485"/>
      <c r="D226" s="485"/>
      <c r="E226" s="485"/>
      <c r="F226" s="485"/>
      <c r="G226" s="485"/>
      <c r="H226" s="485"/>
      <c r="I226" s="485"/>
      <c r="J226" s="485"/>
      <c r="K226" s="485"/>
      <c r="L226" s="485"/>
      <c r="M226" s="485"/>
      <c r="N226" s="486" t="str">
        <f>HYPERLINK("#N"&amp;ROW(N231),"_x0005_`BDCOD|B02661_x0007_`POSS|"&amp;ROW(N228)&amp;"_x0007_`POSE|"&amp;ROW(N231)&amp;"_x0007_`")</f>
        <v>_x0005_`BDCOD|B02661_x0007_`POSS|228_x0007_`POSE|231_x0007_`</v>
      </c>
    </row>
    <row r="227" spans="1:26" ht="33.200000000000003" customHeight="1">
      <c r="A227" s="469" t="s">
        <v>952</v>
      </c>
      <c r="B227" s="469" t="s">
        <v>915</v>
      </c>
      <c r="C227" s="487"/>
      <c r="D227" s="488" t="s">
        <v>911</v>
      </c>
      <c r="E227" s="487"/>
      <c r="F227" s="487"/>
      <c r="G227" s="487"/>
      <c r="H227" s="487"/>
      <c r="I227" s="487"/>
      <c r="J227" s="487"/>
      <c r="K227" s="487"/>
      <c r="L227" s="487"/>
      <c r="M227" s="488" t="s">
        <v>956</v>
      </c>
      <c r="O227" s="468" t="s">
        <v>956</v>
      </c>
    </row>
    <row r="228" spans="1:26" ht="33.200000000000003" customHeight="1">
      <c r="A228" s="452" t="s">
        <v>2484</v>
      </c>
      <c r="B228" s="452" t="s">
        <v>2533</v>
      </c>
      <c r="C228" s="489">
        <v>0.12</v>
      </c>
      <c r="D228" s="480" t="s">
        <v>8</v>
      </c>
      <c r="E228" s="490">
        <f t="shared" ref="E228:F231" si="19">I228+G228+K228</f>
        <v>93246</v>
      </c>
      <c r="F228" s="493">
        <f t="shared" si="19"/>
        <v>11189.5</v>
      </c>
      <c r="G228" s="494">
        <f>단가산출근거목록표!F158</f>
        <v>93246</v>
      </c>
      <c r="H228" s="498">
        <f>IF(C228=0,0,ROUNDDOWN(G228*C228,1))</f>
        <v>11189.5</v>
      </c>
      <c r="I228" s="494">
        <f>단가산출근거목록표!G158</f>
        <v>0</v>
      </c>
      <c r="J228" s="498">
        <f>IF(C228=0,0,ROUNDDOWN(I228*C228,1))</f>
        <v>0</v>
      </c>
      <c r="K228" s="494">
        <f>단가산출근거목록표!H158</f>
        <v>0</v>
      </c>
      <c r="L228" s="498">
        <f>IF(C228=0,0,ROUNDDOWN(K228*C228,1))</f>
        <v>0</v>
      </c>
      <c r="M228" s="463" t="s">
        <v>2534</v>
      </c>
      <c r="N228" s="451" t="s">
        <v>2535</v>
      </c>
      <c r="O228" s="468" t="s">
        <v>2536</v>
      </c>
      <c r="P228" s="468" t="s">
        <v>2354</v>
      </c>
      <c r="Z228" s="433" t="str">
        <f ca="1">HYPERLINK("#"&amp;단가산출근거목록표!J2&amp;"!A"&amp;ROW(단가산출근거목록표!A158),"D01267 →")</f>
        <v>D01267 →</v>
      </c>
    </row>
    <row r="229" spans="1:26" ht="33.200000000000003" customHeight="1">
      <c r="A229" s="452" t="s">
        <v>2298</v>
      </c>
      <c r="B229" s="452" t="s">
        <v>2299</v>
      </c>
      <c r="C229" s="489">
        <v>0.09</v>
      </c>
      <c r="D229" s="480" t="s">
        <v>8</v>
      </c>
      <c r="E229" s="490">
        <f t="shared" si="19"/>
        <v>24089</v>
      </c>
      <c r="F229" s="493">
        <f t="shared" si="19"/>
        <v>2168</v>
      </c>
      <c r="G229" s="494">
        <f>일위대가목록표!F37</f>
        <v>24089</v>
      </c>
      <c r="H229" s="498">
        <f>IF(C229=0,0,ROUNDDOWN(G229*C229,1))</f>
        <v>2168</v>
      </c>
      <c r="I229" s="494">
        <f>일위대가목록표!G37</f>
        <v>0</v>
      </c>
      <c r="J229" s="498">
        <f>IF(C229=0,0,ROUNDDOWN(I229*C229,1))</f>
        <v>0</v>
      </c>
      <c r="K229" s="494">
        <f>일위대가목록표!H37</f>
        <v>0</v>
      </c>
      <c r="L229" s="498">
        <f>IF(C229=0,0,ROUNDDOWN(K229*C229,1))</f>
        <v>0</v>
      </c>
      <c r="M229" s="463" t="s">
        <v>2492</v>
      </c>
      <c r="N229" s="451" t="s">
        <v>2537</v>
      </c>
      <c r="O229" s="468" t="s">
        <v>2494</v>
      </c>
      <c r="P229" s="468" t="s">
        <v>2354</v>
      </c>
      <c r="Z229" s="433" t="str">
        <f ca="1">HYPERLINK("#"&amp;일위대가목록표!J2&amp;"!A"&amp;ROW(일위대가목록표!A37),"B01447 →")</f>
        <v>B01447 →</v>
      </c>
    </row>
    <row r="230" spans="1:26" ht="33.200000000000003" customHeight="1">
      <c r="A230" s="452" t="s">
        <v>2321</v>
      </c>
      <c r="B230" s="452" t="s">
        <v>2322</v>
      </c>
      <c r="C230" s="489">
        <v>0.03</v>
      </c>
      <c r="D230" s="480" t="s">
        <v>8</v>
      </c>
      <c r="E230" s="490">
        <f t="shared" si="19"/>
        <v>34413</v>
      </c>
      <c r="F230" s="493">
        <f t="shared" si="19"/>
        <v>1032.3</v>
      </c>
      <c r="G230" s="494">
        <f>일위대가목록표!F275</f>
        <v>34413</v>
      </c>
      <c r="H230" s="498">
        <f>IF(C230=0,0,ROUNDDOWN(G230*C230,1))</f>
        <v>1032.3</v>
      </c>
      <c r="I230" s="494">
        <f>일위대가목록표!G275</f>
        <v>0</v>
      </c>
      <c r="J230" s="498">
        <f>IF(C230=0,0,ROUNDDOWN(I230*C230,1))</f>
        <v>0</v>
      </c>
      <c r="K230" s="494">
        <f>일위대가목록표!H275</f>
        <v>0</v>
      </c>
      <c r="L230" s="498">
        <f>IF(C230=0,0,ROUNDDOWN(K230*C230,1))</f>
        <v>0</v>
      </c>
      <c r="M230" s="463" t="s">
        <v>2489</v>
      </c>
      <c r="N230" s="451" t="s">
        <v>2538</v>
      </c>
      <c r="O230" s="468" t="s">
        <v>2491</v>
      </c>
      <c r="P230" s="468" t="s">
        <v>2354</v>
      </c>
      <c r="Z230" s="433" t="str">
        <f ca="1">HYPERLINK("#"&amp;일위대가목록표!J2&amp;"!A"&amp;ROW(일위대가목록표!A275),"B01414 →")</f>
        <v>B01414 →</v>
      </c>
    </row>
    <row r="231" spans="1:26" ht="33.200000000000003" customHeight="1">
      <c r="A231" s="452" t="s">
        <v>1997</v>
      </c>
      <c r="B231" s="452" t="s">
        <v>2539</v>
      </c>
      <c r="C231" s="489">
        <v>0.6</v>
      </c>
      <c r="D231" s="480" t="s">
        <v>595</v>
      </c>
      <c r="E231" s="490">
        <f t="shared" si="19"/>
        <v>921</v>
      </c>
      <c r="F231" s="493">
        <f t="shared" si="19"/>
        <v>552.59999999999991</v>
      </c>
      <c r="G231" s="494">
        <f>단가산출근거목록표!F140</f>
        <v>789</v>
      </c>
      <c r="H231" s="498">
        <f>IF(C231=0,0,ROUNDDOWN(G231*C231,1))</f>
        <v>473.4</v>
      </c>
      <c r="I231" s="494">
        <f>단가산출근거목록표!G140</f>
        <v>22</v>
      </c>
      <c r="J231" s="498">
        <f>IF(C231=0,0,ROUNDDOWN(I231*C231,1))</f>
        <v>13.2</v>
      </c>
      <c r="K231" s="494">
        <f>단가산출근거목록표!H140</f>
        <v>110</v>
      </c>
      <c r="L231" s="498">
        <f>IF(C231=0,0,ROUNDDOWN(K231*C231,1))</f>
        <v>66</v>
      </c>
      <c r="M231" s="463" t="s">
        <v>2540</v>
      </c>
      <c r="N231" s="451" t="s">
        <v>2541</v>
      </c>
      <c r="O231" s="468" t="s">
        <v>2542</v>
      </c>
      <c r="P231" s="468" t="s">
        <v>2354</v>
      </c>
      <c r="Z231" s="433" t="str">
        <f ca="1">HYPERLINK("#"&amp;단가산출근거목록표!J2&amp;"!A"&amp;ROW(단가산출근거목록표!A140),"D01217 →")</f>
        <v>D01217 →</v>
      </c>
    </row>
    <row r="232" spans="1:26" ht="33.200000000000003" customHeight="1">
      <c r="A232" s="463" t="s">
        <v>842</v>
      </c>
      <c r="B232" s="497"/>
      <c r="C232" s="497"/>
      <c r="D232" s="497"/>
      <c r="E232" s="497"/>
      <c r="F232" s="446">
        <f>J232+H232+L232</f>
        <v>14942</v>
      </c>
      <c r="G232" s="497"/>
      <c r="H232" s="446">
        <f>ROUNDDOWN(SUMIF(P228:P231,O232,H228:H231),0)</f>
        <v>14863</v>
      </c>
      <c r="I232" s="497"/>
      <c r="J232" s="446">
        <f>ROUNDDOWN(SUMIF(P228:P231,O232,J228:J231),0)</f>
        <v>13</v>
      </c>
      <c r="K232" s="497"/>
      <c r="L232" s="446">
        <f>ROUNDDOWN(SUMIF(P228:P231,O232,L228:L231),0)</f>
        <v>66</v>
      </c>
      <c r="M232" s="497"/>
      <c r="O232" s="468" t="s">
        <v>2354</v>
      </c>
    </row>
    <row r="233" spans="1:26" ht="33.200000000000003" customHeight="1">
      <c r="A233" s="484" t="s">
        <v>2549</v>
      </c>
      <c r="B233" s="484"/>
      <c r="C233" s="485"/>
      <c r="D233" s="485"/>
      <c r="E233" s="485"/>
      <c r="F233" s="485"/>
      <c r="G233" s="485"/>
      <c r="H233" s="485"/>
      <c r="I233" s="485"/>
      <c r="J233" s="485"/>
      <c r="K233" s="485"/>
      <c r="L233" s="485"/>
      <c r="M233" s="485"/>
      <c r="N233" s="486" t="str">
        <f>HYPERLINK("#N"&amp;ROW(N238),"_x0005_`BDCOD|B02662_x0007_`POSS|"&amp;ROW(N235)&amp;"_x0007_`POSE|"&amp;ROW(N238)&amp;"_x0007_`")</f>
        <v>_x0005_`BDCOD|B02662_x0007_`POSS|235_x0007_`POSE|238_x0007_`</v>
      </c>
    </row>
    <row r="234" spans="1:26" ht="33.200000000000003" customHeight="1">
      <c r="A234" s="469" t="s">
        <v>952</v>
      </c>
      <c r="B234" s="469" t="s">
        <v>919</v>
      </c>
      <c r="C234" s="487"/>
      <c r="D234" s="488" t="s">
        <v>911</v>
      </c>
      <c r="E234" s="487"/>
      <c r="F234" s="487"/>
      <c r="G234" s="487"/>
      <c r="H234" s="487"/>
      <c r="I234" s="487"/>
      <c r="J234" s="487"/>
      <c r="K234" s="487"/>
      <c r="L234" s="487"/>
      <c r="M234" s="488" t="s">
        <v>959</v>
      </c>
      <c r="O234" s="468" t="s">
        <v>959</v>
      </c>
    </row>
    <row r="235" spans="1:26" ht="33.200000000000003" customHeight="1">
      <c r="A235" s="452" t="s">
        <v>2484</v>
      </c>
      <c r="B235" s="452" t="s">
        <v>2533</v>
      </c>
      <c r="C235" s="489">
        <v>0.15</v>
      </c>
      <c r="D235" s="480" t="s">
        <v>8</v>
      </c>
      <c r="E235" s="490">
        <f t="shared" ref="E235:F238" si="20">I235+G235+K235</f>
        <v>93246</v>
      </c>
      <c r="F235" s="493">
        <f t="shared" si="20"/>
        <v>13986.9</v>
      </c>
      <c r="G235" s="494">
        <f>단가산출근거목록표!F158</f>
        <v>93246</v>
      </c>
      <c r="H235" s="498">
        <f>IF(C235=0,0,ROUNDDOWN(G235*C235,1))</f>
        <v>13986.9</v>
      </c>
      <c r="I235" s="494">
        <f>단가산출근거목록표!G158</f>
        <v>0</v>
      </c>
      <c r="J235" s="498">
        <f>IF(C235=0,0,ROUNDDOWN(I235*C235,1))</f>
        <v>0</v>
      </c>
      <c r="K235" s="494">
        <f>단가산출근거목록표!H158</f>
        <v>0</v>
      </c>
      <c r="L235" s="498">
        <f>IF(C235=0,0,ROUNDDOWN(K235*C235,1))</f>
        <v>0</v>
      </c>
      <c r="M235" s="463" t="s">
        <v>2534</v>
      </c>
      <c r="N235" s="451" t="s">
        <v>2535</v>
      </c>
      <c r="O235" s="468" t="s">
        <v>2536</v>
      </c>
      <c r="P235" s="468" t="s">
        <v>2354</v>
      </c>
      <c r="Z235" s="433" t="str">
        <f ca="1">HYPERLINK("#"&amp;단가산출근거목록표!J2&amp;"!A"&amp;ROW(단가산출근거목록표!A158),"D01267 →")</f>
        <v>D01267 →</v>
      </c>
    </row>
    <row r="236" spans="1:26" ht="33.200000000000003" customHeight="1">
      <c r="A236" s="452" t="s">
        <v>2298</v>
      </c>
      <c r="B236" s="452" t="s">
        <v>2299</v>
      </c>
      <c r="C236" s="489">
        <v>0.1125</v>
      </c>
      <c r="D236" s="480" t="s">
        <v>8</v>
      </c>
      <c r="E236" s="490">
        <f t="shared" si="20"/>
        <v>24089</v>
      </c>
      <c r="F236" s="493">
        <f t="shared" si="20"/>
        <v>2710</v>
      </c>
      <c r="G236" s="494">
        <f>일위대가목록표!F37</f>
        <v>24089</v>
      </c>
      <c r="H236" s="498">
        <f>IF(C236=0,0,ROUNDDOWN(G236*C236,1))</f>
        <v>2710</v>
      </c>
      <c r="I236" s="494">
        <f>일위대가목록표!G37</f>
        <v>0</v>
      </c>
      <c r="J236" s="498">
        <f>IF(C236=0,0,ROUNDDOWN(I236*C236,1))</f>
        <v>0</v>
      </c>
      <c r="K236" s="494">
        <f>일위대가목록표!H37</f>
        <v>0</v>
      </c>
      <c r="L236" s="498">
        <f>IF(C236=0,0,ROUNDDOWN(K236*C236,1))</f>
        <v>0</v>
      </c>
      <c r="M236" s="463" t="s">
        <v>2492</v>
      </c>
      <c r="N236" s="451" t="s">
        <v>2537</v>
      </c>
      <c r="O236" s="468" t="s">
        <v>2494</v>
      </c>
      <c r="P236" s="468" t="s">
        <v>2354</v>
      </c>
      <c r="Z236" s="433" t="str">
        <f ca="1">HYPERLINK("#"&amp;일위대가목록표!J2&amp;"!A"&amp;ROW(일위대가목록표!A37),"B01447 →")</f>
        <v>B01447 →</v>
      </c>
    </row>
    <row r="237" spans="1:26" ht="33.200000000000003" customHeight="1">
      <c r="A237" s="452" t="s">
        <v>2321</v>
      </c>
      <c r="B237" s="452" t="s">
        <v>2322</v>
      </c>
      <c r="C237" s="489">
        <v>3.7499999999999999E-2</v>
      </c>
      <c r="D237" s="480" t="s">
        <v>8</v>
      </c>
      <c r="E237" s="490">
        <f t="shared" si="20"/>
        <v>34413</v>
      </c>
      <c r="F237" s="493">
        <f t="shared" si="20"/>
        <v>1290.4000000000001</v>
      </c>
      <c r="G237" s="494">
        <f>일위대가목록표!F275</f>
        <v>34413</v>
      </c>
      <c r="H237" s="498">
        <f>IF(C237=0,0,ROUNDDOWN(G237*C237,1))</f>
        <v>1290.4000000000001</v>
      </c>
      <c r="I237" s="494">
        <f>일위대가목록표!G275</f>
        <v>0</v>
      </c>
      <c r="J237" s="498">
        <f>IF(C237=0,0,ROUNDDOWN(I237*C237,1))</f>
        <v>0</v>
      </c>
      <c r="K237" s="494">
        <f>일위대가목록표!H275</f>
        <v>0</v>
      </c>
      <c r="L237" s="498">
        <f>IF(C237=0,0,ROUNDDOWN(K237*C237,1))</f>
        <v>0</v>
      </c>
      <c r="M237" s="463" t="s">
        <v>2489</v>
      </c>
      <c r="N237" s="451" t="s">
        <v>2538</v>
      </c>
      <c r="O237" s="468" t="s">
        <v>2491</v>
      </c>
      <c r="P237" s="468" t="s">
        <v>2354</v>
      </c>
      <c r="Z237" s="433" t="str">
        <f ca="1">HYPERLINK("#"&amp;일위대가목록표!J2&amp;"!A"&amp;ROW(일위대가목록표!A275),"B01414 →")</f>
        <v>B01414 →</v>
      </c>
    </row>
    <row r="238" spans="1:26" ht="33.200000000000003" customHeight="1">
      <c r="A238" s="452" t="s">
        <v>1997</v>
      </c>
      <c r="B238" s="452" t="s">
        <v>2539</v>
      </c>
      <c r="C238" s="489">
        <v>0.75</v>
      </c>
      <c r="D238" s="480" t="s">
        <v>595</v>
      </c>
      <c r="E238" s="490">
        <f t="shared" si="20"/>
        <v>921</v>
      </c>
      <c r="F238" s="493">
        <f t="shared" si="20"/>
        <v>690.7</v>
      </c>
      <c r="G238" s="494">
        <f>단가산출근거목록표!F140</f>
        <v>789</v>
      </c>
      <c r="H238" s="498">
        <f>IF(C238=0,0,ROUNDDOWN(G238*C238,1))</f>
        <v>591.70000000000005</v>
      </c>
      <c r="I238" s="494">
        <f>단가산출근거목록표!G140</f>
        <v>22</v>
      </c>
      <c r="J238" s="498">
        <f>IF(C238=0,0,ROUNDDOWN(I238*C238,1))</f>
        <v>16.5</v>
      </c>
      <c r="K238" s="494">
        <f>단가산출근거목록표!H140</f>
        <v>110</v>
      </c>
      <c r="L238" s="498">
        <f>IF(C238=0,0,ROUNDDOWN(K238*C238,1))</f>
        <v>82.5</v>
      </c>
      <c r="M238" s="463" t="s">
        <v>2540</v>
      </c>
      <c r="N238" s="451" t="s">
        <v>2541</v>
      </c>
      <c r="O238" s="468" t="s">
        <v>2542</v>
      </c>
      <c r="P238" s="468" t="s">
        <v>2354</v>
      </c>
      <c r="Z238" s="433" t="str">
        <f ca="1">HYPERLINK("#"&amp;단가산출근거목록표!J2&amp;"!A"&amp;ROW(단가산출근거목록표!A140),"D01217 →")</f>
        <v>D01217 →</v>
      </c>
    </row>
    <row r="239" spans="1:26" ht="33.200000000000003" customHeight="1">
      <c r="A239" s="463" t="s">
        <v>842</v>
      </c>
      <c r="B239" s="497"/>
      <c r="C239" s="497"/>
      <c r="D239" s="497"/>
      <c r="E239" s="497"/>
      <c r="F239" s="446">
        <f>J239+H239+L239</f>
        <v>18677</v>
      </c>
      <c r="G239" s="497"/>
      <c r="H239" s="446">
        <f>ROUNDDOWN(SUMIF(P235:P238,O239,H235:H238),0)</f>
        <v>18579</v>
      </c>
      <c r="I239" s="497"/>
      <c r="J239" s="446">
        <f>ROUNDDOWN(SUMIF(P235:P238,O239,J235:J238),0)</f>
        <v>16</v>
      </c>
      <c r="K239" s="497"/>
      <c r="L239" s="446">
        <f>ROUNDDOWN(SUMIF(P235:P238,O239,L235:L238),0)</f>
        <v>82</v>
      </c>
      <c r="M239" s="497"/>
      <c r="O239" s="468" t="s">
        <v>2354</v>
      </c>
    </row>
    <row r="240" spans="1:26" ht="33.200000000000003" customHeight="1">
      <c r="A240" s="484" t="s">
        <v>2550</v>
      </c>
      <c r="B240" s="484"/>
      <c r="C240" s="485"/>
      <c r="D240" s="485"/>
      <c r="E240" s="485"/>
      <c r="F240" s="485"/>
      <c r="G240" s="485"/>
      <c r="H240" s="485"/>
      <c r="I240" s="485"/>
      <c r="J240" s="485"/>
      <c r="K240" s="485"/>
      <c r="L240" s="485"/>
      <c r="M240" s="485"/>
      <c r="N240" s="486" t="str">
        <f>HYPERLINK("#N"&amp;ROW(N245),"_x0005_`BDCOD|B02663_x0007_`POSS|"&amp;ROW(N242)&amp;"_x0007_`POSE|"&amp;ROW(N245)&amp;"_x0007_`")</f>
        <v>_x0005_`BDCOD|B02663_x0007_`POSS|242_x0007_`POSE|245_x0007_`</v>
      </c>
    </row>
    <row r="241" spans="1:26" ht="33.200000000000003" customHeight="1">
      <c r="A241" s="469" t="s">
        <v>952</v>
      </c>
      <c r="B241" s="469" t="s">
        <v>923</v>
      </c>
      <c r="C241" s="487"/>
      <c r="D241" s="488" t="s">
        <v>911</v>
      </c>
      <c r="E241" s="487"/>
      <c r="F241" s="487"/>
      <c r="G241" s="487"/>
      <c r="H241" s="487"/>
      <c r="I241" s="487"/>
      <c r="J241" s="487"/>
      <c r="K241" s="487"/>
      <c r="L241" s="487"/>
      <c r="M241" s="488" t="s">
        <v>962</v>
      </c>
      <c r="O241" s="468" t="s">
        <v>962</v>
      </c>
    </row>
    <row r="242" spans="1:26" ht="33.200000000000003" customHeight="1">
      <c r="A242" s="452" t="s">
        <v>2484</v>
      </c>
      <c r="B242" s="452" t="s">
        <v>2533</v>
      </c>
      <c r="C242" s="489">
        <v>0.2</v>
      </c>
      <c r="D242" s="480" t="s">
        <v>8</v>
      </c>
      <c r="E242" s="490">
        <f t="shared" ref="E242:F245" si="21">I242+G242+K242</f>
        <v>93246</v>
      </c>
      <c r="F242" s="493">
        <f t="shared" si="21"/>
        <v>18649.2</v>
      </c>
      <c r="G242" s="494">
        <f>단가산출근거목록표!F158</f>
        <v>93246</v>
      </c>
      <c r="H242" s="498">
        <f>IF(C242=0,0,ROUNDDOWN(G242*C242,1))</f>
        <v>18649.2</v>
      </c>
      <c r="I242" s="494">
        <f>단가산출근거목록표!G158</f>
        <v>0</v>
      </c>
      <c r="J242" s="498">
        <f>IF(C242=0,0,ROUNDDOWN(I242*C242,1))</f>
        <v>0</v>
      </c>
      <c r="K242" s="494">
        <f>단가산출근거목록표!H158</f>
        <v>0</v>
      </c>
      <c r="L242" s="498">
        <f>IF(C242=0,0,ROUNDDOWN(K242*C242,1))</f>
        <v>0</v>
      </c>
      <c r="M242" s="463" t="s">
        <v>2534</v>
      </c>
      <c r="N242" s="451" t="s">
        <v>2535</v>
      </c>
      <c r="O242" s="468" t="s">
        <v>2536</v>
      </c>
      <c r="P242" s="468" t="s">
        <v>2354</v>
      </c>
      <c r="Z242" s="433" t="str">
        <f ca="1">HYPERLINK("#"&amp;단가산출근거목록표!J2&amp;"!A"&amp;ROW(단가산출근거목록표!A158),"D01267 →")</f>
        <v>D01267 →</v>
      </c>
    </row>
    <row r="243" spans="1:26" ht="33.200000000000003" customHeight="1">
      <c r="A243" s="452" t="s">
        <v>2298</v>
      </c>
      <c r="B243" s="452" t="s">
        <v>2299</v>
      </c>
      <c r="C243" s="489">
        <v>0.15</v>
      </c>
      <c r="D243" s="480" t="s">
        <v>8</v>
      </c>
      <c r="E243" s="490">
        <f t="shared" si="21"/>
        <v>24089</v>
      </c>
      <c r="F243" s="493">
        <f t="shared" si="21"/>
        <v>3613.3</v>
      </c>
      <c r="G243" s="494">
        <f>일위대가목록표!F37</f>
        <v>24089</v>
      </c>
      <c r="H243" s="498">
        <f>IF(C243=0,0,ROUNDDOWN(G243*C243,1))</f>
        <v>3613.3</v>
      </c>
      <c r="I243" s="494">
        <f>일위대가목록표!G37</f>
        <v>0</v>
      </c>
      <c r="J243" s="498">
        <f>IF(C243=0,0,ROUNDDOWN(I243*C243,1))</f>
        <v>0</v>
      </c>
      <c r="K243" s="494">
        <f>일위대가목록표!H37</f>
        <v>0</v>
      </c>
      <c r="L243" s="498">
        <f>IF(C243=0,0,ROUNDDOWN(K243*C243,1))</f>
        <v>0</v>
      </c>
      <c r="M243" s="463" t="s">
        <v>2492</v>
      </c>
      <c r="N243" s="451" t="s">
        <v>2537</v>
      </c>
      <c r="O243" s="468" t="s">
        <v>2494</v>
      </c>
      <c r="P243" s="468" t="s">
        <v>2354</v>
      </c>
      <c r="Z243" s="433" t="str">
        <f ca="1">HYPERLINK("#"&amp;일위대가목록표!J2&amp;"!A"&amp;ROW(일위대가목록표!A37),"B01447 →")</f>
        <v>B01447 →</v>
      </c>
    </row>
    <row r="244" spans="1:26" ht="33.200000000000003" customHeight="1">
      <c r="A244" s="452" t="s">
        <v>2321</v>
      </c>
      <c r="B244" s="452" t="s">
        <v>2322</v>
      </c>
      <c r="C244" s="489">
        <v>0.05</v>
      </c>
      <c r="D244" s="480" t="s">
        <v>8</v>
      </c>
      <c r="E244" s="490">
        <f t="shared" si="21"/>
        <v>34413</v>
      </c>
      <c r="F244" s="493">
        <f t="shared" si="21"/>
        <v>1720.6</v>
      </c>
      <c r="G244" s="494">
        <f>일위대가목록표!F275</f>
        <v>34413</v>
      </c>
      <c r="H244" s="498">
        <f>IF(C244=0,0,ROUNDDOWN(G244*C244,1))</f>
        <v>1720.6</v>
      </c>
      <c r="I244" s="494">
        <f>일위대가목록표!G275</f>
        <v>0</v>
      </c>
      <c r="J244" s="498">
        <f>IF(C244=0,0,ROUNDDOWN(I244*C244,1))</f>
        <v>0</v>
      </c>
      <c r="K244" s="494">
        <f>일위대가목록표!H275</f>
        <v>0</v>
      </c>
      <c r="L244" s="498">
        <f>IF(C244=0,0,ROUNDDOWN(K244*C244,1))</f>
        <v>0</v>
      </c>
      <c r="M244" s="463" t="s">
        <v>2489</v>
      </c>
      <c r="N244" s="451" t="s">
        <v>2538</v>
      </c>
      <c r="O244" s="468" t="s">
        <v>2491</v>
      </c>
      <c r="P244" s="468" t="s">
        <v>2354</v>
      </c>
      <c r="Z244" s="433" t="str">
        <f ca="1">HYPERLINK("#"&amp;일위대가목록표!J2&amp;"!A"&amp;ROW(일위대가목록표!A275),"B01414 →")</f>
        <v>B01414 →</v>
      </c>
    </row>
    <row r="245" spans="1:26" ht="33.200000000000003" customHeight="1">
      <c r="A245" s="452" t="s">
        <v>1997</v>
      </c>
      <c r="B245" s="452" t="s">
        <v>2539</v>
      </c>
      <c r="C245" s="489">
        <v>1</v>
      </c>
      <c r="D245" s="480" t="s">
        <v>595</v>
      </c>
      <c r="E245" s="490">
        <f t="shared" si="21"/>
        <v>921</v>
      </c>
      <c r="F245" s="493">
        <f t="shared" si="21"/>
        <v>921</v>
      </c>
      <c r="G245" s="494">
        <f>단가산출근거목록표!F140</f>
        <v>789</v>
      </c>
      <c r="H245" s="498">
        <f>IF(C245=0,0,ROUNDDOWN(G245*C245,1))</f>
        <v>789</v>
      </c>
      <c r="I245" s="494">
        <f>단가산출근거목록표!G140</f>
        <v>22</v>
      </c>
      <c r="J245" s="498">
        <f>IF(C245=0,0,ROUNDDOWN(I245*C245,1))</f>
        <v>22</v>
      </c>
      <c r="K245" s="494">
        <f>단가산출근거목록표!H140</f>
        <v>110</v>
      </c>
      <c r="L245" s="498">
        <f>IF(C245=0,0,ROUNDDOWN(K245*C245,1))</f>
        <v>110</v>
      </c>
      <c r="M245" s="463" t="s">
        <v>2540</v>
      </c>
      <c r="N245" s="451" t="s">
        <v>2541</v>
      </c>
      <c r="O245" s="468" t="s">
        <v>2542</v>
      </c>
      <c r="P245" s="468" t="s">
        <v>2354</v>
      </c>
      <c r="Z245" s="433" t="str">
        <f ca="1">HYPERLINK("#"&amp;단가산출근거목록표!J2&amp;"!A"&amp;ROW(단가산출근거목록표!A140),"D01217 →")</f>
        <v>D01217 →</v>
      </c>
    </row>
    <row r="246" spans="1:26" ht="33.200000000000003" customHeight="1">
      <c r="A246" s="463" t="s">
        <v>842</v>
      </c>
      <c r="B246" s="497"/>
      <c r="C246" s="497"/>
      <c r="D246" s="497"/>
      <c r="E246" s="497"/>
      <c r="F246" s="446">
        <f>J246+H246+L246</f>
        <v>24904</v>
      </c>
      <c r="G246" s="497"/>
      <c r="H246" s="446">
        <f>ROUNDDOWN(SUMIF(P242:P245,O246,H242:H245),0)</f>
        <v>24772</v>
      </c>
      <c r="I246" s="497"/>
      <c r="J246" s="446">
        <f>ROUNDDOWN(SUMIF(P242:P245,O246,J242:J245),0)</f>
        <v>22</v>
      </c>
      <c r="K246" s="497"/>
      <c r="L246" s="446">
        <f>ROUNDDOWN(SUMIF(P242:P245,O246,L242:L245),0)</f>
        <v>110</v>
      </c>
      <c r="M246" s="497"/>
      <c r="O246" s="468" t="s">
        <v>2354</v>
      </c>
    </row>
    <row r="247" spans="1:26" ht="33.200000000000003" customHeight="1">
      <c r="A247" s="484" t="s">
        <v>2551</v>
      </c>
      <c r="B247" s="484"/>
      <c r="C247" s="485"/>
      <c r="D247" s="485"/>
      <c r="E247" s="485"/>
      <c r="F247" s="485"/>
      <c r="G247" s="485"/>
      <c r="H247" s="485"/>
      <c r="I247" s="485"/>
      <c r="J247" s="485"/>
      <c r="K247" s="485"/>
      <c r="L247" s="485"/>
      <c r="M247" s="485"/>
      <c r="N247" s="486" t="str">
        <f>HYPERLINK("#N"&amp;ROW(N253),"_x0005_`BDCOD|B02827_x0007_`POSS|"&amp;ROW(N249)&amp;"_x0007_`POSE|"&amp;ROW(N253)&amp;"_x0007_`")</f>
        <v>_x0005_`BDCOD|B02827_x0007_`POSS|249_x0007_`POSE|253_x0007_`</v>
      </c>
    </row>
    <row r="248" spans="1:26" ht="33.200000000000003" customHeight="1">
      <c r="A248" s="469" t="s">
        <v>5053</v>
      </c>
      <c r="B248" s="469" t="s">
        <v>910</v>
      </c>
      <c r="C248" s="487"/>
      <c r="D248" s="488" t="s">
        <v>911</v>
      </c>
      <c r="E248" s="487"/>
      <c r="F248" s="487"/>
      <c r="G248" s="487"/>
      <c r="H248" s="487"/>
      <c r="I248" s="487"/>
      <c r="J248" s="487"/>
      <c r="K248" s="487"/>
      <c r="L248" s="487"/>
      <c r="M248" s="488" t="s">
        <v>5054</v>
      </c>
      <c r="O248" s="468" t="s">
        <v>5054</v>
      </c>
    </row>
    <row r="249" spans="1:26" ht="33.200000000000003" customHeight="1">
      <c r="A249" s="452" t="s">
        <v>2484</v>
      </c>
      <c r="B249" s="452" t="s">
        <v>2533</v>
      </c>
      <c r="C249" s="489">
        <v>0.1</v>
      </c>
      <c r="D249" s="480" t="s">
        <v>8</v>
      </c>
      <c r="E249" s="490">
        <f t="shared" ref="E249:F253" si="22">I249+G249+K249</f>
        <v>93246</v>
      </c>
      <c r="F249" s="493">
        <f t="shared" si="22"/>
        <v>9324.6</v>
      </c>
      <c r="G249" s="494">
        <f>단가산출근거목록표!F158</f>
        <v>93246</v>
      </c>
      <c r="H249" s="498">
        <f>IF(C249=0,0,ROUNDDOWN(G249*C249,1))</f>
        <v>9324.6</v>
      </c>
      <c r="I249" s="494">
        <f>단가산출근거목록표!G158</f>
        <v>0</v>
      </c>
      <c r="J249" s="498">
        <f>IF(C249=0,0,ROUNDDOWN(I249*C249,1))</f>
        <v>0</v>
      </c>
      <c r="K249" s="494">
        <f>단가산출근거목록표!H158</f>
        <v>0</v>
      </c>
      <c r="L249" s="498">
        <f>IF(C249=0,0,ROUNDDOWN(K249*C249,1))</f>
        <v>0</v>
      </c>
      <c r="M249" s="463" t="s">
        <v>2534</v>
      </c>
      <c r="N249" s="451" t="s">
        <v>2547</v>
      </c>
      <c r="O249" s="468" t="s">
        <v>2536</v>
      </c>
      <c r="P249" s="468" t="s">
        <v>2354</v>
      </c>
      <c r="Q249" s="468" t="s">
        <v>2355</v>
      </c>
      <c r="Z249" s="433" t="str">
        <f ca="1">HYPERLINK("#"&amp;단가산출근거목록표!J2&amp;"!A"&amp;ROW(단가산출근거목록표!A158),"D01267 →")</f>
        <v>D01267 →</v>
      </c>
    </row>
    <row r="250" spans="1:26" ht="33.200000000000003" customHeight="1">
      <c r="A250" s="452" t="s">
        <v>2298</v>
      </c>
      <c r="B250" s="452" t="s">
        <v>2299</v>
      </c>
      <c r="C250" s="489">
        <v>7.4999999999999997E-2</v>
      </c>
      <c r="D250" s="480" t="s">
        <v>8</v>
      </c>
      <c r="E250" s="490">
        <f t="shared" si="22"/>
        <v>24089</v>
      </c>
      <c r="F250" s="493">
        <f t="shared" si="22"/>
        <v>1806.6</v>
      </c>
      <c r="G250" s="494">
        <f>일위대가목록표!F37</f>
        <v>24089</v>
      </c>
      <c r="H250" s="498">
        <f>IF(C250=0,0,ROUNDDOWN(G250*C250,1))</f>
        <v>1806.6</v>
      </c>
      <c r="I250" s="494">
        <f>일위대가목록표!G37</f>
        <v>0</v>
      </c>
      <c r="J250" s="498">
        <f>IF(C250=0,0,ROUNDDOWN(I250*C250,1))</f>
        <v>0</v>
      </c>
      <c r="K250" s="494">
        <f>일위대가목록표!H37</f>
        <v>0</v>
      </c>
      <c r="L250" s="498">
        <f>IF(C250=0,0,ROUNDDOWN(K250*C250,1))</f>
        <v>0</v>
      </c>
      <c r="M250" s="463" t="s">
        <v>2492</v>
      </c>
      <c r="N250" s="451" t="s">
        <v>2493</v>
      </c>
      <c r="O250" s="468" t="s">
        <v>2494</v>
      </c>
      <c r="P250" s="468" t="s">
        <v>2354</v>
      </c>
      <c r="Q250" s="468" t="s">
        <v>2355</v>
      </c>
      <c r="Z250" s="433" t="str">
        <f ca="1">HYPERLINK("#"&amp;일위대가목록표!J2&amp;"!A"&amp;ROW(일위대가목록표!A37),"B01447 →")</f>
        <v>B01447 →</v>
      </c>
    </row>
    <row r="251" spans="1:26" ht="33.200000000000003" customHeight="1">
      <c r="A251" s="452" t="s">
        <v>2321</v>
      </c>
      <c r="B251" s="452" t="s">
        <v>2322</v>
      </c>
      <c r="C251" s="489">
        <v>2.5000000000000001E-2</v>
      </c>
      <c r="D251" s="480" t="s">
        <v>8</v>
      </c>
      <c r="E251" s="490">
        <f t="shared" si="22"/>
        <v>34413</v>
      </c>
      <c r="F251" s="493">
        <f t="shared" si="22"/>
        <v>860.3</v>
      </c>
      <c r="G251" s="494">
        <f>일위대가목록표!F275</f>
        <v>34413</v>
      </c>
      <c r="H251" s="498">
        <f>IF(C251=0,0,ROUNDDOWN(G251*C251,1))</f>
        <v>860.3</v>
      </c>
      <c r="I251" s="494">
        <f>일위대가목록표!G275</f>
        <v>0</v>
      </c>
      <c r="J251" s="498">
        <f>IF(C251=0,0,ROUNDDOWN(I251*C251,1))</f>
        <v>0</v>
      </c>
      <c r="K251" s="494">
        <f>일위대가목록표!H275</f>
        <v>0</v>
      </c>
      <c r="L251" s="498">
        <f>IF(C251=0,0,ROUNDDOWN(K251*C251,1))</f>
        <v>0</v>
      </c>
      <c r="M251" s="463" t="s">
        <v>2489</v>
      </c>
      <c r="N251" s="451" t="s">
        <v>2490</v>
      </c>
      <c r="O251" s="468" t="s">
        <v>2491</v>
      </c>
      <c r="P251" s="468" t="s">
        <v>2354</v>
      </c>
      <c r="Q251" s="468" t="s">
        <v>2355</v>
      </c>
      <c r="Z251" s="433" t="str">
        <f ca="1">HYPERLINK("#"&amp;일위대가목록표!J2&amp;"!A"&amp;ROW(일위대가목록표!A275),"B01414 →")</f>
        <v>B01414 →</v>
      </c>
    </row>
    <row r="252" spans="1:26" ht="33.200000000000003" customHeight="1">
      <c r="A252" s="452" t="s">
        <v>1997</v>
      </c>
      <c r="B252" s="452" t="s">
        <v>2539</v>
      </c>
      <c r="C252" s="489">
        <v>0.5</v>
      </c>
      <c r="D252" s="480" t="s">
        <v>595</v>
      </c>
      <c r="E252" s="490">
        <f t="shared" si="22"/>
        <v>921</v>
      </c>
      <c r="F252" s="493">
        <f t="shared" si="22"/>
        <v>460.5</v>
      </c>
      <c r="G252" s="494">
        <f>단가산출근거목록표!F140</f>
        <v>789</v>
      </c>
      <c r="H252" s="498">
        <f>IF(C252=0,0,ROUNDDOWN(G252*C252,1))</f>
        <v>394.5</v>
      </c>
      <c r="I252" s="494">
        <f>단가산출근거목록표!G140</f>
        <v>22</v>
      </c>
      <c r="J252" s="498">
        <f>IF(C252=0,0,ROUNDDOWN(I252*C252,1))</f>
        <v>11</v>
      </c>
      <c r="K252" s="494">
        <f>단가산출근거목록표!H140</f>
        <v>110</v>
      </c>
      <c r="L252" s="498">
        <f>IF(C252=0,0,ROUNDDOWN(K252*C252,1))</f>
        <v>55</v>
      </c>
      <c r="M252" s="463" t="s">
        <v>2540</v>
      </c>
      <c r="N252" s="451" t="s">
        <v>2548</v>
      </c>
      <c r="O252" s="468" t="s">
        <v>2542</v>
      </c>
      <c r="P252" s="468" t="s">
        <v>2354</v>
      </c>
      <c r="Q252" s="468" t="s">
        <v>2355</v>
      </c>
      <c r="Z252" s="433" t="str">
        <f ca="1">HYPERLINK("#"&amp;단가산출근거목록표!J2&amp;"!A"&amp;ROW(단가산출근거목록표!A140),"D01217 →")</f>
        <v>D01217 →</v>
      </c>
    </row>
    <row r="253" spans="1:26" ht="33.200000000000003" customHeight="1">
      <c r="A253" s="452" t="s">
        <v>2507</v>
      </c>
      <c r="B253" s="452" t="s">
        <v>2441</v>
      </c>
      <c r="C253" s="489">
        <v>15</v>
      </c>
      <c r="D253" s="480" t="s">
        <v>2371</v>
      </c>
      <c r="E253" s="490">
        <f t="shared" si="22"/>
        <v>12386</v>
      </c>
      <c r="F253" s="491">
        <f t="shared" si="22"/>
        <v>1857.9</v>
      </c>
      <c r="G253" s="496">
        <f>H249+H250+H251+H252</f>
        <v>12386</v>
      </c>
      <c r="H253" s="491">
        <f>IF(C253=0,0,ROUNDDOWN(G253*C253/100,1))</f>
        <v>1857.9</v>
      </c>
      <c r="I253" s="465">
        <v>0</v>
      </c>
      <c r="J253" s="493">
        <f>IF(C253=0,0,ROUNDDOWN(I253*C253/100,1))</f>
        <v>0</v>
      </c>
      <c r="K253" s="467">
        <v>0</v>
      </c>
      <c r="L253" s="493">
        <f>IF(C253=0,0,ROUNDDOWN(K253*C253/100,1))</f>
        <v>0</v>
      </c>
      <c r="M253" s="463"/>
      <c r="N253" s="451" t="s">
        <v>2508</v>
      </c>
      <c r="O253" s="468" t="s">
        <v>2373</v>
      </c>
      <c r="P253" s="468" t="s">
        <v>2354</v>
      </c>
    </row>
    <row r="254" spans="1:26" ht="33.200000000000003" customHeight="1">
      <c r="A254" s="463" t="s">
        <v>842</v>
      </c>
      <c r="B254" s="497"/>
      <c r="C254" s="497"/>
      <c r="D254" s="497"/>
      <c r="E254" s="497"/>
      <c r="F254" s="446">
        <f>J254+H254+L254</f>
        <v>14309</v>
      </c>
      <c r="G254" s="497"/>
      <c r="H254" s="446">
        <f>ROUNDDOWN(SUMIF(P249:P253,O254,H249:H253),0)</f>
        <v>14243</v>
      </c>
      <c r="I254" s="497"/>
      <c r="J254" s="446">
        <f>ROUNDDOWN(SUMIF(P249:P253,O254,J249:J253),0)</f>
        <v>11</v>
      </c>
      <c r="K254" s="497"/>
      <c r="L254" s="446">
        <f>ROUNDDOWN(SUMIF(P249:P253,O254,L249:L253),0)</f>
        <v>55</v>
      </c>
      <c r="M254" s="497"/>
      <c r="O254" s="468" t="s">
        <v>2354</v>
      </c>
    </row>
    <row r="255" spans="1:26" ht="33.200000000000003" customHeight="1">
      <c r="A255" s="484" t="s">
        <v>2552</v>
      </c>
      <c r="B255" s="484"/>
      <c r="C255" s="485"/>
      <c r="D255" s="485"/>
      <c r="E255" s="485"/>
      <c r="F255" s="485"/>
      <c r="G255" s="485"/>
      <c r="H255" s="485"/>
      <c r="I255" s="485"/>
      <c r="J255" s="485"/>
      <c r="K255" s="485"/>
      <c r="L255" s="485"/>
      <c r="M255" s="485"/>
      <c r="N255" s="486" t="str">
        <f>HYPERLINK("#N"&amp;ROW(N261),"_x0005_`BDCOD|B02828_x0007_`POSS|"&amp;ROW(N257)&amp;"_x0007_`POSE|"&amp;ROW(N261)&amp;"_x0007_`")</f>
        <v>_x0005_`BDCOD|B02828_x0007_`POSS|257_x0007_`POSE|261_x0007_`</v>
      </c>
    </row>
    <row r="256" spans="1:26" ht="33.200000000000003" customHeight="1">
      <c r="A256" s="469" t="s">
        <v>5053</v>
      </c>
      <c r="B256" s="469" t="s">
        <v>915</v>
      </c>
      <c r="C256" s="487"/>
      <c r="D256" s="488" t="s">
        <v>911</v>
      </c>
      <c r="E256" s="487"/>
      <c r="F256" s="487"/>
      <c r="G256" s="487"/>
      <c r="H256" s="487"/>
      <c r="I256" s="487"/>
      <c r="J256" s="487"/>
      <c r="K256" s="487"/>
      <c r="L256" s="487"/>
      <c r="M256" s="488" t="s">
        <v>5057</v>
      </c>
      <c r="O256" s="468" t="s">
        <v>5057</v>
      </c>
    </row>
    <row r="257" spans="1:26" ht="33.200000000000003" customHeight="1">
      <c r="A257" s="452" t="s">
        <v>2484</v>
      </c>
      <c r="B257" s="452" t="s">
        <v>2533</v>
      </c>
      <c r="C257" s="489">
        <v>0.12</v>
      </c>
      <c r="D257" s="480" t="s">
        <v>8</v>
      </c>
      <c r="E257" s="490">
        <f t="shared" ref="E257:F261" si="23">I257+G257+K257</f>
        <v>93246</v>
      </c>
      <c r="F257" s="493">
        <f t="shared" si="23"/>
        <v>11189.5</v>
      </c>
      <c r="G257" s="494">
        <f>단가산출근거목록표!F158</f>
        <v>93246</v>
      </c>
      <c r="H257" s="498">
        <f>IF(C257=0,0,ROUNDDOWN(G257*C257,1))</f>
        <v>11189.5</v>
      </c>
      <c r="I257" s="494">
        <f>단가산출근거목록표!G158</f>
        <v>0</v>
      </c>
      <c r="J257" s="498">
        <f>IF(C257=0,0,ROUNDDOWN(I257*C257,1))</f>
        <v>0</v>
      </c>
      <c r="K257" s="494">
        <f>단가산출근거목록표!H158</f>
        <v>0</v>
      </c>
      <c r="L257" s="498">
        <f>IF(C257=0,0,ROUNDDOWN(K257*C257,1))</f>
        <v>0</v>
      </c>
      <c r="M257" s="463" t="s">
        <v>2534</v>
      </c>
      <c r="N257" s="451" t="s">
        <v>2547</v>
      </c>
      <c r="O257" s="468" t="s">
        <v>2536</v>
      </c>
      <c r="P257" s="468" t="s">
        <v>2354</v>
      </c>
      <c r="Q257" s="468" t="s">
        <v>2355</v>
      </c>
      <c r="Z257" s="433" t="str">
        <f ca="1">HYPERLINK("#"&amp;단가산출근거목록표!J2&amp;"!A"&amp;ROW(단가산출근거목록표!A158),"D01267 →")</f>
        <v>D01267 →</v>
      </c>
    </row>
    <row r="258" spans="1:26" ht="33.200000000000003" customHeight="1">
      <c r="A258" s="452" t="s">
        <v>2298</v>
      </c>
      <c r="B258" s="452" t="s">
        <v>2299</v>
      </c>
      <c r="C258" s="489">
        <v>0.09</v>
      </c>
      <c r="D258" s="480" t="s">
        <v>8</v>
      </c>
      <c r="E258" s="490">
        <f t="shared" si="23"/>
        <v>24089</v>
      </c>
      <c r="F258" s="493">
        <f t="shared" si="23"/>
        <v>2168</v>
      </c>
      <c r="G258" s="494">
        <f>일위대가목록표!F37</f>
        <v>24089</v>
      </c>
      <c r="H258" s="498">
        <f>IF(C258=0,0,ROUNDDOWN(G258*C258,1))</f>
        <v>2168</v>
      </c>
      <c r="I258" s="494">
        <f>일위대가목록표!G37</f>
        <v>0</v>
      </c>
      <c r="J258" s="498">
        <f>IF(C258=0,0,ROUNDDOWN(I258*C258,1))</f>
        <v>0</v>
      </c>
      <c r="K258" s="494">
        <f>일위대가목록표!H37</f>
        <v>0</v>
      </c>
      <c r="L258" s="498">
        <f>IF(C258=0,0,ROUNDDOWN(K258*C258,1))</f>
        <v>0</v>
      </c>
      <c r="M258" s="463" t="s">
        <v>2492</v>
      </c>
      <c r="N258" s="451" t="s">
        <v>2493</v>
      </c>
      <c r="O258" s="468" t="s">
        <v>2494</v>
      </c>
      <c r="P258" s="468" t="s">
        <v>2354</v>
      </c>
      <c r="Q258" s="468" t="s">
        <v>2355</v>
      </c>
      <c r="Z258" s="433" t="str">
        <f ca="1">HYPERLINK("#"&amp;일위대가목록표!J2&amp;"!A"&amp;ROW(일위대가목록표!A37),"B01447 →")</f>
        <v>B01447 →</v>
      </c>
    </row>
    <row r="259" spans="1:26" ht="33.200000000000003" customHeight="1">
      <c r="A259" s="452" t="s">
        <v>2321</v>
      </c>
      <c r="B259" s="452" t="s">
        <v>2322</v>
      </c>
      <c r="C259" s="489">
        <v>0.03</v>
      </c>
      <c r="D259" s="480" t="s">
        <v>8</v>
      </c>
      <c r="E259" s="490">
        <f t="shared" si="23"/>
        <v>34413</v>
      </c>
      <c r="F259" s="493">
        <f t="shared" si="23"/>
        <v>1032.3</v>
      </c>
      <c r="G259" s="494">
        <f>일위대가목록표!F275</f>
        <v>34413</v>
      </c>
      <c r="H259" s="498">
        <f>IF(C259=0,0,ROUNDDOWN(G259*C259,1))</f>
        <v>1032.3</v>
      </c>
      <c r="I259" s="494">
        <f>일위대가목록표!G275</f>
        <v>0</v>
      </c>
      <c r="J259" s="498">
        <f>IF(C259=0,0,ROUNDDOWN(I259*C259,1))</f>
        <v>0</v>
      </c>
      <c r="K259" s="494">
        <f>일위대가목록표!H275</f>
        <v>0</v>
      </c>
      <c r="L259" s="498">
        <f>IF(C259=0,0,ROUNDDOWN(K259*C259,1))</f>
        <v>0</v>
      </c>
      <c r="M259" s="463" t="s">
        <v>2489</v>
      </c>
      <c r="N259" s="451" t="s">
        <v>2490</v>
      </c>
      <c r="O259" s="468" t="s">
        <v>2491</v>
      </c>
      <c r="P259" s="468" t="s">
        <v>2354</v>
      </c>
      <c r="Q259" s="468" t="s">
        <v>2355</v>
      </c>
      <c r="Z259" s="433" t="str">
        <f ca="1">HYPERLINK("#"&amp;일위대가목록표!J2&amp;"!A"&amp;ROW(일위대가목록표!A275),"B01414 →")</f>
        <v>B01414 →</v>
      </c>
    </row>
    <row r="260" spans="1:26" ht="33.200000000000003" customHeight="1">
      <c r="A260" s="452" t="s">
        <v>1997</v>
      </c>
      <c r="B260" s="452" t="s">
        <v>2539</v>
      </c>
      <c r="C260" s="489">
        <v>0.6</v>
      </c>
      <c r="D260" s="480" t="s">
        <v>595</v>
      </c>
      <c r="E260" s="490">
        <f t="shared" si="23"/>
        <v>921</v>
      </c>
      <c r="F260" s="493">
        <f t="shared" si="23"/>
        <v>552.59999999999991</v>
      </c>
      <c r="G260" s="494">
        <f>단가산출근거목록표!F140</f>
        <v>789</v>
      </c>
      <c r="H260" s="498">
        <f>IF(C260=0,0,ROUNDDOWN(G260*C260,1))</f>
        <v>473.4</v>
      </c>
      <c r="I260" s="494">
        <f>단가산출근거목록표!G140</f>
        <v>22</v>
      </c>
      <c r="J260" s="498">
        <f>IF(C260=0,0,ROUNDDOWN(I260*C260,1))</f>
        <v>13.2</v>
      </c>
      <c r="K260" s="494">
        <f>단가산출근거목록표!H140</f>
        <v>110</v>
      </c>
      <c r="L260" s="498">
        <f>IF(C260=0,0,ROUNDDOWN(K260*C260,1))</f>
        <v>66</v>
      </c>
      <c r="M260" s="463" t="s">
        <v>2540</v>
      </c>
      <c r="N260" s="451" t="s">
        <v>2548</v>
      </c>
      <c r="O260" s="468" t="s">
        <v>2542</v>
      </c>
      <c r="P260" s="468" t="s">
        <v>2354</v>
      </c>
      <c r="Q260" s="468" t="s">
        <v>2355</v>
      </c>
      <c r="Z260" s="433" t="str">
        <f ca="1">HYPERLINK("#"&amp;단가산출근거목록표!J2&amp;"!A"&amp;ROW(단가산출근거목록표!A140),"D01217 →")</f>
        <v>D01217 →</v>
      </c>
    </row>
    <row r="261" spans="1:26" ht="33.200000000000003" customHeight="1">
      <c r="A261" s="452" t="s">
        <v>2507</v>
      </c>
      <c r="B261" s="452" t="s">
        <v>2441</v>
      </c>
      <c r="C261" s="489">
        <v>15</v>
      </c>
      <c r="D261" s="480" t="s">
        <v>2371</v>
      </c>
      <c r="E261" s="490">
        <f t="shared" si="23"/>
        <v>14863.199999999999</v>
      </c>
      <c r="F261" s="491">
        <f t="shared" si="23"/>
        <v>2229.4</v>
      </c>
      <c r="G261" s="496">
        <f>H257+H258+H259+H260</f>
        <v>14863.199999999999</v>
      </c>
      <c r="H261" s="491">
        <f>IF(C261=0,0,ROUNDDOWN(G261*C261/100,1))</f>
        <v>2229.4</v>
      </c>
      <c r="I261" s="465">
        <v>0</v>
      </c>
      <c r="J261" s="493">
        <f>IF(C261=0,0,ROUNDDOWN(I261*C261/100,1))</f>
        <v>0</v>
      </c>
      <c r="K261" s="467">
        <v>0</v>
      </c>
      <c r="L261" s="493">
        <f>IF(C261=0,0,ROUNDDOWN(K261*C261/100,1))</f>
        <v>0</v>
      </c>
      <c r="M261" s="463"/>
      <c r="N261" s="451" t="s">
        <v>2508</v>
      </c>
      <c r="O261" s="468" t="s">
        <v>2373</v>
      </c>
      <c r="P261" s="468" t="s">
        <v>2354</v>
      </c>
    </row>
    <row r="262" spans="1:26" ht="33.200000000000003" customHeight="1">
      <c r="A262" s="463" t="s">
        <v>842</v>
      </c>
      <c r="B262" s="497"/>
      <c r="C262" s="497"/>
      <c r="D262" s="497"/>
      <c r="E262" s="497"/>
      <c r="F262" s="446">
        <f>J262+H262+L262</f>
        <v>17171</v>
      </c>
      <c r="G262" s="497"/>
      <c r="H262" s="446">
        <f>ROUNDDOWN(SUMIF(P257:P261,O262,H257:H261),0)</f>
        <v>17092</v>
      </c>
      <c r="I262" s="497"/>
      <c r="J262" s="446">
        <f>ROUNDDOWN(SUMIF(P257:P261,O262,J257:J261),0)</f>
        <v>13</v>
      </c>
      <c r="K262" s="497"/>
      <c r="L262" s="446">
        <f>ROUNDDOWN(SUMIF(P257:P261,O262,L257:L261),0)</f>
        <v>66</v>
      </c>
      <c r="M262" s="497"/>
      <c r="O262" s="468" t="s">
        <v>2354</v>
      </c>
    </row>
    <row r="263" spans="1:26" ht="33.200000000000003" customHeight="1">
      <c r="A263" s="484" t="s">
        <v>2553</v>
      </c>
      <c r="B263" s="484"/>
      <c r="C263" s="485"/>
      <c r="D263" s="485"/>
      <c r="E263" s="485"/>
      <c r="F263" s="485"/>
      <c r="G263" s="485"/>
      <c r="H263" s="485"/>
      <c r="I263" s="485"/>
      <c r="J263" s="485"/>
      <c r="K263" s="485"/>
      <c r="L263" s="485"/>
      <c r="M263" s="485"/>
      <c r="N263" s="486" t="str">
        <f>HYPERLINK("#N"&amp;ROW(N269),"_x0005_`BDCOD|B02829_x0007_`POSS|"&amp;ROW(N265)&amp;"_x0007_`POSE|"&amp;ROW(N269)&amp;"_x0007_`")</f>
        <v>_x0005_`BDCOD|B02829_x0007_`POSS|265_x0007_`POSE|269_x0007_`</v>
      </c>
    </row>
    <row r="264" spans="1:26" ht="33.200000000000003" customHeight="1">
      <c r="A264" s="469" t="s">
        <v>5053</v>
      </c>
      <c r="B264" s="469" t="s">
        <v>919</v>
      </c>
      <c r="C264" s="487"/>
      <c r="D264" s="488" t="s">
        <v>911</v>
      </c>
      <c r="E264" s="487"/>
      <c r="F264" s="487"/>
      <c r="G264" s="487"/>
      <c r="H264" s="487"/>
      <c r="I264" s="487"/>
      <c r="J264" s="487"/>
      <c r="K264" s="487"/>
      <c r="L264" s="487"/>
      <c r="M264" s="488" t="s">
        <v>5060</v>
      </c>
      <c r="O264" s="468" t="s">
        <v>5060</v>
      </c>
    </row>
    <row r="265" spans="1:26" ht="33.200000000000003" customHeight="1">
      <c r="A265" s="452" t="s">
        <v>2484</v>
      </c>
      <c r="B265" s="452" t="s">
        <v>2533</v>
      </c>
      <c r="C265" s="489">
        <v>0.15</v>
      </c>
      <c r="D265" s="480" t="s">
        <v>8</v>
      </c>
      <c r="E265" s="490">
        <f t="shared" ref="E265:F269" si="24">I265+G265+K265</f>
        <v>93246</v>
      </c>
      <c r="F265" s="493">
        <f t="shared" si="24"/>
        <v>13986.9</v>
      </c>
      <c r="G265" s="494">
        <f>단가산출근거목록표!F158</f>
        <v>93246</v>
      </c>
      <c r="H265" s="498">
        <f>IF(C265=0,0,ROUNDDOWN(G265*C265,1))</f>
        <v>13986.9</v>
      </c>
      <c r="I265" s="494">
        <f>단가산출근거목록표!G158</f>
        <v>0</v>
      </c>
      <c r="J265" s="498">
        <f>IF(C265=0,0,ROUNDDOWN(I265*C265,1))</f>
        <v>0</v>
      </c>
      <c r="K265" s="494">
        <f>단가산출근거목록표!H158</f>
        <v>0</v>
      </c>
      <c r="L265" s="498">
        <f>IF(C265=0,0,ROUNDDOWN(K265*C265,1))</f>
        <v>0</v>
      </c>
      <c r="M265" s="463" t="s">
        <v>2534</v>
      </c>
      <c r="N265" s="451" t="s">
        <v>2547</v>
      </c>
      <c r="O265" s="468" t="s">
        <v>2536</v>
      </c>
      <c r="P265" s="468" t="s">
        <v>2354</v>
      </c>
      <c r="Q265" s="468" t="s">
        <v>2355</v>
      </c>
      <c r="Z265" s="433" t="str">
        <f ca="1">HYPERLINK("#"&amp;단가산출근거목록표!J2&amp;"!A"&amp;ROW(단가산출근거목록표!A158),"D01267 →")</f>
        <v>D01267 →</v>
      </c>
    </row>
    <row r="266" spans="1:26" ht="33.200000000000003" customHeight="1">
      <c r="A266" s="452" t="s">
        <v>2298</v>
      </c>
      <c r="B266" s="452" t="s">
        <v>2299</v>
      </c>
      <c r="C266" s="489">
        <v>0.1125</v>
      </c>
      <c r="D266" s="480" t="s">
        <v>8</v>
      </c>
      <c r="E266" s="490">
        <f t="shared" si="24"/>
        <v>24089</v>
      </c>
      <c r="F266" s="493">
        <f t="shared" si="24"/>
        <v>2710</v>
      </c>
      <c r="G266" s="494">
        <f>일위대가목록표!F37</f>
        <v>24089</v>
      </c>
      <c r="H266" s="498">
        <f>IF(C266=0,0,ROUNDDOWN(G266*C266,1))</f>
        <v>2710</v>
      </c>
      <c r="I266" s="494">
        <f>일위대가목록표!G37</f>
        <v>0</v>
      </c>
      <c r="J266" s="498">
        <f>IF(C266=0,0,ROUNDDOWN(I266*C266,1))</f>
        <v>0</v>
      </c>
      <c r="K266" s="494">
        <f>일위대가목록표!H37</f>
        <v>0</v>
      </c>
      <c r="L266" s="498">
        <f>IF(C266=0,0,ROUNDDOWN(K266*C266,1))</f>
        <v>0</v>
      </c>
      <c r="M266" s="463" t="s">
        <v>2492</v>
      </c>
      <c r="N266" s="451" t="s">
        <v>2493</v>
      </c>
      <c r="O266" s="468" t="s">
        <v>2494</v>
      </c>
      <c r="P266" s="468" t="s">
        <v>2354</v>
      </c>
      <c r="Q266" s="468" t="s">
        <v>2355</v>
      </c>
      <c r="Z266" s="433" t="str">
        <f ca="1">HYPERLINK("#"&amp;일위대가목록표!J2&amp;"!A"&amp;ROW(일위대가목록표!A37),"B01447 →")</f>
        <v>B01447 →</v>
      </c>
    </row>
    <row r="267" spans="1:26" ht="33.200000000000003" customHeight="1">
      <c r="A267" s="452" t="s">
        <v>2321</v>
      </c>
      <c r="B267" s="452" t="s">
        <v>2322</v>
      </c>
      <c r="C267" s="489">
        <v>3.7499999999999999E-2</v>
      </c>
      <c r="D267" s="480" t="s">
        <v>8</v>
      </c>
      <c r="E267" s="490">
        <f t="shared" si="24"/>
        <v>34413</v>
      </c>
      <c r="F267" s="493">
        <f t="shared" si="24"/>
        <v>1290.4000000000001</v>
      </c>
      <c r="G267" s="494">
        <f>일위대가목록표!F275</f>
        <v>34413</v>
      </c>
      <c r="H267" s="498">
        <f>IF(C267=0,0,ROUNDDOWN(G267*C267,1))</f>
        <v>1290.4000000000001</v>
      </c>
      <c r="I267" s="494">
        <f>일위대가목록표!G275</f>
        <v>0</v>
      </c>
      <c r="J267" s="498">
        <f>IF(C267=0,0,ROUNDDOWN(I267*C267,1))</f>
        <v>0</v>
      </c>
      <c r="K267" s="494">
        <f>일위대가목록표!H275</f>
        <v>0</v>
      </c>
      <c r="L267" s="498">
        <f>IF(C267=0,0,ROUNDDOWN(K267*C267,1))</f>
        <v>0</v>
      </c>
      <c r="M267" s="463" t="s">
        <v>2489</v>
      </c>
      <c r="N267" s="451" t="s">
        <v>2490</v>
      </c>
      <c r="O267" s="468" t="s">
        <v>2491</v>
      </c>
      <c r="P267" s="468" t="s">
        <v>2354</v>
      </c>
      <c r="Q267" s="468" t="s">
        <v>2355</v>
      </c>
      <c r="Z267" s="433" t="str">
        <f ca="1">HYPERLINK("#"&amp;일위대가목록표!J2&amp;"!A"&amp;ROW(일위대가목록표!A275),"B01414 →")</f>
        <v>B01414 →</v>
      </c>
    </row>
    <row r="268" spans="1:26" ht="33.200000000000003" customHeight="1">
      <c r="A268" s="452" t="s">
        <v>1997</v>
      </c>
      <c r="B268" s="452" t="s">
        <v>2539</v>
      </c>
      <c r="C268" s="489">
        <v>0.75</v>
      </c>
      <c r="D268" s="480" t="s">
        <v>595</v>
      </c>
      <c r="E268" s="490">
        <f t="shared" si="24"/>
        <v>921</v>
      </c>
      <c r="F268" s="493">
        <f t="shared" si="24"/>
        <v>690.7</v>
      </c>
      <c r="G268" s="494">
        <f>단가산출근거목록표!F140</f>
        <v>789</v>
      </c>
      <c r="H268" s="498">
        <f>IF(C268=0,0,ROUNDDOWN(G268*C268,1))</f>
        <v>591.70000000000005</v>
      </c>
      <c r="I268" s="494">
        <f>단가산출근거목록표!G140</f>
        <v>22</v>
      </c>
      <c r="J268" s="498">
        <f>IF(C268=0,0,ROUNDDOWN(I268*C268,1))</f>
        <v>16.5</v>
      </c>
      <c r="K268" s="494">
        <f>단가산출근거목록표!H140</f>
        <v>110</v>
      </c>
      <c r="L268" s="498">
        <f>IF(C268=0,0,ROUNDDOWN(K268*C268,1))</f>
        <v>82.5</v>
      </c>
      <c r="M268" s="463" t="s">
        <v>2540</v>
      </c>
      <c r="N268" s="451" t="s">
        <v>2548</v>
      </c>
      <c r="O268" s="468" t="s">
        <v>2542</v>
      </c>
      <c r="P268" s="468" t="s">
        <v>2354</v>
      </c>
      <c r="Q268" s="468" t="s">
        <v>2355</v>
      </c>
      <c r="Z268" s="433" t="str">
        <f ca="1">HYPERLINK("#"&amp;단가산출근거목록표!J2&amp;"!A"&amp;ROW(단가산출근거목록표!A140),"D01217 →")</f>
        <v>D01217 →</v>
      </c>
    </row>
    <row r="269" spans="1:26" ht="33.200000000000003" customHeight="1">
      <c r="A269" s="452" t="s">
        <v>2507</v>
      </c>
      <c r="B269" s="452" t="s">
        <v>2441</v>
      </c>
      <c r="C269" s="489">
        <v>15</v>
      </c>
      <c r="D269" s="480" t="s">
        <v>2371</v>
      </c>
      <c r="E269" s="490">
        <f t="shared" si="24"/>
        <v>18579.000000000004</v>
      </c>
      <c r="F269" s="491">
        <f t="shared" si="24"/>
        <v>2786.8</v>
      </c>
      <c r="G269" s="496">
        <f>H265+H266+H267+H268</f>
        <v>18579.000000000004</v>
      </c>
      <c r="H269" s="491">
        <f>IF(C269=0,0,ROUNDDOWN(G269*C269/100,1))</f>
        <v>2786.8</v>
      </c>
      <c r="I269" s="465">
        <v>0</v>
      </c>
      <c r="J269" s="493">
        <f>IF(C269=0,0,ROUNDDOWN(I269*C269/100,1))</f>
        <v>0</v>
      </c>
      <c r="K269" s="467">
        <v>0</v>
      </c>
      <c r="L269" s="493">
        <f>IF(C269=0,0,ROUNDDOWN(K269*C269/100,1))</f>
        <v>0</v>
      </c>
      <c r="M269" s="463"/>
      <c r="N269" s="451" t="s">
        <v>2508</v>
      </c>
      <c r="O269" s="468" t="s">
        <v>2373</v>
      </c>
      <c r="P269" s="468" t="s">
        <v>2354</v>
      </c>
    </row>
    <row r="270" spans="1:26" ht="33.200000000000003" customHeight="1">
      <c r="A270" s="463" t="s">
        <v>842</v>
      </c>
      <c r="B270" s="497"/>
      <c r="C270" s="497"/>
      <c r="D270" s="497"/>
      <c r="E270" s="497"/>
      <c r="F270" s="446">
        <f>J270+H270+L270</f>
        <v>21463</v>
      </c>
      <c r="G270" s="497"/>
      <c r="H270" s="446">
        <f>ROUNDDOWN(SUMIF(P265:P269,O270,H265:H269),0)</f>
        <v>21365</v>
      </c>
      <c r="I270" s="497"/>
      <c r="J270" s="446">
        <f>ROUNDDOWN(SUMIF(P265:P269,O270,J265:J269),0)</f>
        <v>16</v>
      </c>
      <c r="K270" s="497"/>
      <c r="L270" s="446">
        <f>ROUNDDOWN(SUMIF(P265:P269,O270,L265:L269),0)</f>
        <v>82</v>
      </c>
      <c r="M270" s="497"/>
      <c r="O270" s="468" t="s">
        <v>2354</v>
      </c>
    </row>
    <row r="271" spans="1:26" ht="33.200000000000003" customHeight="1">
      <c r="A271" s="484" t="s">
        <v>2554</v>
      </c>
      <c r="B271" s="484"/>
      <c r="C271" s="485"/>
      <c r="D271" s="485"/>
      <c r="E271" s="485"/>
      <c r="F271" s="485"/>
      <c r="G271" s="485"/>
      <c r="H271" s="485"/>
      <c r="I271" s="485"/>
      <c r="J271" s="485"/>
      <c r="K271" s="485"/>
      <c r="L271" s="485"/>
      <c r="M271" s="485"/>
      <c r="N271" s="486" t="str">
        <f>HYPERLINK("#N"&amp;ROW(N277),"_x0005_`BDCOD|B02830_x0007_`POSS|"&amp;ROW(N273)&amp;"_x0007_`POSE|"&amp;ROW(N277)&amp;"_x0007_`")</f>
        <v>_x0005_`BDCOD|B02830_x0007_`POSS|273_x0007_`POSE|277_x0007_`</v>
      </c>
    </row>
    <row r="272" spans="1:26" ht="33.200000000000003" customHeight="1">
      <c r="A272" s="469" t="s">
        <v>5053</v>
      </c>
      <c r="B272" s="469" t="s">
        <v>923</v>
      </c>
      <c r="C272" s="487"/>
      <c r="D272" s="488" t="s">
        <v>911</v>
      </c>
      <c r="E272" s="487"/>
      <c r="F272" s="487"/>
      <c r="G272" s="487"/>
      <c r="H272" s="487"/>
      <c r="I272" s="487"/>
      <c r="J272" s="487"/>
      <c r="K272" s="487"/>
      <c r="L272" s="487"/>
      <c r="M272" s="488" t="s">
        <v>5063</v>
      </c>
      <c r="O272" s="468" t="s">
        <v>5063</v>
      </c>
    </row>
    <row r="273" spans="1:26" ht="33.200000000000003" customHeight="1">
      <c r="A273" s="452" t="s">
        <v>2484</v>
      </c>
      <c r="B273" s="452" t="s">
        <v>2533</v>
      </c>
      <c r="C273" s="489">
        <v>0.2</v>
      </c>
      <c r="D273" s="480" t="s">
        <v>8</v>
      </c>
      <c r="E273" s="490">
        <f t="shared" ref="E273:F277" si="25">I273+G273+K273</f>
        <v>93246</v>
      </c>
      <c r="F273" s="493">
        <f t="shared" si="25"/>
        <v>18649.2</v>
      </c>
      <c r="G273" s="494">
        <f>단가산출근거목록표!F158</f>
        <v>93246</v>
      </c>
      <c r="H273" s="498">
        <f>IF(C273=0,0,ROUNDDOWN(G273*C273,1))</f>
        <v>18649.2</v>
      </c>
      <c r="I273" s="494">
        <f>단가산출근거목록표!G158</f>
        <v>0</v>
      </c>
      <c r="J273" s="498">
        <f>IF(C273=0,0,ROUNDDOWN(I273*C273,1))</f>
        <v>0</v>
      </c>
      <c r="K273" s="494">
        <f>단가산출근거목록표!H158</f>
        <v>0</v>
      </c>
      <c r="L273" s="498">
        <f>IF(C273=0,0,ROUNDDOWN(K273*C273,1))</f>
        <v>0</v>
      </c>
      <c r="M273" s="463" t="s">
        <v>2534</v>
      </c>
      <c r="N273" s="451" t="s">
        <v>2547</v>
      </c>
      <c r="O273" s="468" t="s">
        <v>2536</v>
      </c>
      <c r="P273" s="468" t="s">
        <v>2354</v>
      </c>
      <c r="Q273" s="468" t="s">
        <v>2355</v>
      </c>
      <c r="Z273" s="433" t="str">
        <f ca="1">HYPERLINK("#"&amp;단가산출근거목록표!J2&amp;"!A"&amp;ROW(단가산출근거목록표!A158),"D01267 →")</f>
        <v>D01267 →</v>
      </c>
    </row>
    <row r="274" spans="1:26" ht="33.200000000000003" customHeight="1">
      <c r="A274" s="452" t="s">
        <v>2298</v>
      </c>
      <c r="B274" s="452" t="s">
        <v>2299</v>
      </c>
      <c r="C274" s="489">
        <v>0.15</v>
      </c>
      <c r="D274" s="480" t="s">
        <v>8</v>
      </c>
      <c r="E274" s="490">
        <f t="shared" si="25"/>
        <v>24089</v>
      </c>
      <c r="F274" s="493">
        <f t="shared" si="25"/>
        <v>3613.3</v>
      </c>
      <c r="G274" s="494">
        <f>일위대가목록표!F37</f>
        <v>24089</v>
      </c>
      <c r="H274" s="498">
        <f>IF(C274=0,0,ROUNDDOWN(G274*C274,1))</f>
        <v>3613.3</v>
      </c>
      <c r="I274" s="494">
        <f>일위대가목록표!G37</f>
        <v>0</v>
      </c>
      <c r="J274" s="498">
        <f>IF(C274=0,0,ROUNDDOWN(I274*C274,1))</f>
        <v>0</v>
      </c>
      <c r="K274" s="494">
        <f>일위대가목록표!H37</f>
        <v>0</v>
      </c>
      <c r="L274" s="498">
        <f>IF(C274=0,0,ROUNDDOWN(K274*C274,1))</f>
        <v>0</v>
      </c>
      <c r="M274" s="463" t="s">
        <v>2492</v>
      </c>
      <c r="N274" s="451" t="s">
        <v>2493</v>
      </c>
      <c r="O274" s="468" t="s">
        <v>2494</v>
      </c>
      <c r="P274" s="468" t="s">
        <v>2354</v>
      </c>
      <c r="Q274" s="468" t="s">
        <v>2355</v>
      </c>
      <c r="Z274" s="433" t="str">
        <f ca="1">HYPERLINK("#"&amp;일위대가목록표!J2&amp;"!A"&amp;ROW(일위대가목록표!A37),"B01447 →")</f>
        <v>B01447 →</v>
      </c>
    </row>
    <row r="275" spans="1:26" ht="33.200000000000003" customHeight="1">
      <c r="A275" s="452" t="s">
        <v>2321</v>
      </c>
      <c r="B275" s="452" t="s">
        <v>2322</v>
      </c>
      <c r="C275" s="489">
        <v>0.05</v>
      </c>
      <c r="D275" s="480" t="s">
        <v>8</v>
      </c>
      <c r="E275" s="490">
        <f t="shared" si="25"/>
        <v>34413</v>
      </c>
      <c r="F275" s="493">
        <f t="shared" si="25"/>
        <v>1720.6</v>
      </c>
      <c r="G275" s="494">
        <f>일위대가목록표!F275</f>
        <v>34413</v>
      </c>
      <c r="H275" s="498">
        <f>IF(C275=0,0,ROUNDDOWN(G275*C275,1))</f>
        <v>1720.6</v>
      </c>
      <c r="I275" s="494">
        <f>일위대가목록표!G275</f>
        <v>0</v>
      </c>
      <c r="J275" s="498">
        <f>IF(C275=0,0,ROUNDDOWN(I275*C275,1))</f>
        <v>0</v>
      </c>
      <c r="K275" s="494">
        <f>일위대가목록표!H275</f>
        <v>0</v>
      </c>
      <c r="L275" s="498">
        <f>IF(C275=0,0,ROUNDDOWN(K275*C275,1))</f>
        <v>0</v>
      </c>
      <c r="M275" s="463" t="s">
        <v>2489</v>
      </c>
      <c r="N275" s="451" t="s">
        <v>2490</v>
      </c>
      <c r="O275" s="468" t="s">
        <v>2491</v>
      </c>
      <c r="P275" s="468" t="s">
        <v>2354</v>
      </c>
      <c r="Q275" s="468" t="s">
        <v>2355</v>
      </c>
      <c r="Z275" s="433" t="str">
        <f ca="1">HYPERLINK("#"&amp;일위대가목록표!J2&amp;"!A"&amp;ROW(일위대가목록표!A275),"B01414 →")</f>
        <v>B01414 →</v>
      </c>
    </row>
    <row r="276" spans="1:26" ht="33.200000000000003" customHeight="1">
      <c r="A276" s="452" t="s">
        <v>1997</v>
      </c>
      <c r="B276" s="452" t="s">
        <v>2539</v>
      </c>
      <c r="C276" s="489">
        <v>1</v>
      </c>
      <c r="D276" s="480" t="s">
        <v>595</v>
      </c>
      <c r="E276" s="490">
        <f t="shared" si="25"/>
        <v>921</v>
      </c>
      <c r="F276" s="493">
        <f t="shared" si="25"/>
        <v>921</v>
      </c>
      <c r="G276" s="494">
        <f>단가산출근거목록표!F140</f>
        <v>789</v>
      </c>
      <c r="H276" s="498">
        <f>IF(C276=0,0,ROUNDDOWN(G276*C276,1))</f>
        <v>789</v>
      </c>
      <c r="I276" s="494">
        <f>단가산출근거목록표!G140</f>
        <v>22</v>
      </c>
      <c r="J276" s="498">
        <f>IF(C276=0,0,ROUNDDOWN(I276*C276,1))</f>
        <v>22</v>
      </c>
      <c r="K276" s="494">
        <f>단가산출근거목록표!H140</f>
        <v>110</v>
      </c>
      <c r="L276" s="498">
        <f>IF(C276=0,0,ROUNDDOWN(K276*C276,1))</f>
        <v>110</v>
      </c>
      <c r="M276" s="463" t="s">
        <v>2540</v>
      </c>
      <c r="N276" s="451" t="s">
        <v>2548</v>
      </c>
      <c r="O276" s="468" t="s">
        <v>2542</v>
      </c>
      <c r="P276" s="468" t="s">
        <v>2354</v>
      </c>
      <c r="Q276" s="468" t="s">
        <v>2355</v>
      </c>
      <c r="Z276" s="433" t="str">
        <f ca="1">HYPERLINK("#"&amp;단가산출근거목록표!J2&amp;"!A"&amp;ROW(단가산출근거목록표!A140),"D01217 →")</f>
        <v>D01217 →</v>
      </c>
    </row>
    <row r="277" spans="1:26" ht="33.200000000000003" customHeight="1">
      <c r="A277" s="452" t="s">
        <v>2507</v>
      </c>
      <c r="B277" s="452" t="s">
        <v>2441</v>
      </c>
      <c r="C277" s="489">
        <v>15</v>
      </c>
      <c r="D277" s="480" t="s">
        <v>2371</v>
      </c>
      <c r="E277" s="490">
        <f t="shared" si="25"/>
        <v>24772.1</v>
      </c>
      <c r="F277" s="491">
        <f t="shared" si="25"/>
        <v>3715.8</v>
      </c>
      <c r="G277" s="496">
        <f>H273+H274+H275+H276</f>
        <v>24772.1</v>
      </c>
      <c r="H277" s="491">
        <f>IF(C277=0,0,ROUNDDOWN(G277*C277/100,1))</f>
        <v>3715.8</v>
      </c>
      <c r="I277" s="465">
        <v>0</v>
      </c>
      <c r="J277" s="493">
        <f>IF(C277=0,0,ROUNDDOWN(I277*C277/100,1))</f>
        <v>0</v>
      </c>
      <c r="K277" s="467">
        <v>0</v>
      </c>
      <c r="L277" s="493">
        <f>IF(C277=0,0,ROUNDDOWN(K277*C277/100,1))</f>
        <v>0</v>
      </c>
      <c r="M277" s="463"/>
      <c r="N277" s="451" t="s">
        <v>2508</v>
      </c>
      <c r="O277" s="468" t="s">
        <v>2373</v>
      </c>
      <c r="P277" s="468" t="s">
        <v>2354</v>
      </c>
    </row>
    <row r="278" spans="1:26" ht="33.200000000000003" customHeight="1">
      <c r="A278" s="463" t="s">
        <v>842</v>
      </c>
      <c r="B278" s="497"/>
      <c r="C278" s="497"/>
      <c r="D278" s="497"/>
      <c r="E278" s="497"/>
      <c r="F278" s="446">
        <f>J278+H278+L278</f>
        <v>28619</v>
      </c>
      <c r="G278" s="497"/>
      <c r="H278" s="446">
        <f>ROUNDDOWN(SUMIF(P273:P277,O278,H273:H277),0)</f>
        <v>28487</v>
      </c>
      <c r="I278" s="497"/>
      <c r="J278" s="446">
        <f>ROUNDDOWN(SUMIF(P273:P277,O278,J273:J277),0)</f>
        <v>22</v>
      </c>
      <c r="K278" s="497"/>
      <c r="L278" s="446">
        <f>ROUNDDOWN(SUMIF(P273:P277,O278,L273:L277),0)</f>
        <v>110</v>
      </c>
      <c r="M278" s="497"/>
      <c r="O278" s="468" t="s">
        <v>2354</v>
      </c>
    </row>
    <row r="279" spans="1:26" ht="33.200000000000003" customHeight="1">
      <c r="A279" s="484" t="s">
        <v>2555</v>
      </c>
      <c r="B279" s="484"/>
      <c r="C279" s="485"/>
      <c r="D279" s="485"/>
      <c r="E279" s="485"/>
      <c r="F279" s="485"/>
      <c r="G279" s="485"/>
      <c r="H279" s="485"/>
      <c r="I279" s="485"/>
      <c r="J279" s="485"/>
      <c r="K279" s="485"/>
      <c r="L279" s="485"/>
      <c r="M279" s="485"/>
      <c r="N279" s="486" t="str">
        <f>HYPERLINK("#N"&amp;ROW(N285),"_x0005_`BDCOD|B02664_x0007_`POSS|"&amp;ROW(N281)&amp;"_x0007_`POSE|"&amp;ROW(N285)&amp;"_x0007_`")</f>
        <v>_x0005_`BDCOD|B02664_x0007_`POSS|281_x0007_`POSE|285_x0007_`</v>
      </c>
    </row>
    <row r="280" spans="1:26" ht="33.200000000000003" customHeight="1">
      <c r="A280" s="469" t="s">
        <v>5066</v>
      </c>
      <c r="B280" s="469" t="s">
        <v>910</v>
      </c>
      <c r="C280" s="487"/>
      <c r="D280" s="488" t="s">
        <v>911</v>
      </c>
      <c r="E280" s="487"/>
      <c r="F280" s="487"/>
      <c r="G280" s="487"/>
      <c r="H280" s="487"/>
      <c r="I280" s="487"/>
      <c r="J280" s="487"/>
      <c r="K280" s="487"/>
      <c r="L280" s="487"/>
      <c r="M280" s="488" t="s">
        <v>940</v>
      </c>
      <c r="O280" s="468" t="s">
        <v>940</v>
      </c>
    </row>
    <row r="281" spans="1:26" ht="33.200000000000003" customHeight="1">
      <c r="A281" s="452" t="s">
        <v>2484</v>
      </c>
      <c r="B281" s="452" t="s">
        <v>2533</v>
      </c>
      <c r="C281" s="489">
        <v>0.1</v>
      </c>
      <c r="D281" s="480" t="s">
        <v>8</v>
      </c>
      <c r="E281" s="490">
        <f t="shared" ref="E281:F285" si="26">I281+G281+K281</f>
        <v>93246</v>
      </c>
      <c r="F281" s="493">
        <f t="shared" si="26"/>
        <v>9324.6</v>
      </c>
      <c r="G281" s="494">
        <f>단가산출근거목록표!F158</f>
        <v>93246</v>
      </c>
      <c r="H281" s="498">
        <f>IF(C281=0,0,ROUNDDOWN(G281*C281,1))</f>
        <v>9324.6</v>
      </c>
      <c r="I281" s="494">
        <f>단가산출근거목록표!G158</f>
        <v>0</v>
      </c>
      <c r="J281" s="498">
        <f>IF(C281=0,0,ROUNDDOWN(I281*C281,1))</f>
        <v>0</v>
      </c>
      <c r="K281" s="494">
        <f>단가산출근거목록표!H158</f>
        <v>0</v>
      </c>
      <c r="L281" s="498">
        <f>IF(C281=0,0,ROUNDDOWN(K281*C281,1))</f>
        <v>0</v>
      </c>
      <c r="M281" s="463" t="s">
        <v>2534</v>
      </c>
      <c r="N281" s="451" t="s">
        <v>2547</v>
      </c>
      <c r="O281" s="468" t="s">
        <v>2536</v>
      </c>
      <c r="P281" s="468" t="s">
        <v>2354</v>
      </c>
      <c r="Q281" s="468" t="s">
        <v>2355</v>
      </c>
      <c r="Z281" s="433" t="str">
        <f ca="1">HYPERLINK("#"&amp;단가산출근거목록표!J2&amp;"!A"&amp;ROW(단가산출근거목록표!A158),"D01267 →")</f>
        <v>D01267 →</v>
      </c>
    </row>
    <row r="282" spans="1:26" ht="33.200000000000003" customHeight="1">
      <c r="A282" s="452" t="s">
        <v>2298</v>
      </c>
      <c r="B282" s="452" t="s">
        <v>2299</v>
      </c>
      <c r="C282" s="489">
        <v>7.4999999999999997E-2</v>
      </c>
      <c r="D282" s="480" t="s">
        <v>8</v>
      </c>
      <c r="E282" s="490">
        <f t="shared" si="26"/>
        <v>24089</v>
      </c>
      <c r="F282" s="493">
        <f t="shared" si="26"/>
        <v>1806.6</v>
      </c>
      <c r="G282" s="494">
        <f>일위대가목록표!F37</f>
        <v>24089</v>
      </c>
      <c r="H282" s="498">
        <f>IF(C282=0,0,ROUNDDOWN(G282*C282,1))</f>
        <v>1806.6</v>
      </c>
      <c r="I282" s="494">
        <f>일위대가목록표!G37</f>
        <v>0</v>
      </c>
      <c r="J282" s="498">
        <f>IF(C282=0,0,ROUNDDOWN(I282*C282,1))</f>
        <v>0</v>
      </c>
      <c r="K282" s="494">
        <f>일위대가목록표!H37</f>
        <v>0</v>
      </c>
      <c r="L282" s="498">
        <f>IF(C282=0,0,ROUNDDOWN(K282*C282,1))</f>
        <v>0</v>
      </c>
      <c r="M282" s="463" t="s">
        <v>2492</v>
      </c>
      <c r="N282" s="451" t="s">
        <v>2493</v>
      </c>
      <c r="O282" s="468" t="s">
        <v>2494</v>
      </c>
      <c r="P282" s="468" t="s">
        <v>2354</v>
      </c>
      <c r="Q282" s="468" t="s">
        <v>2355</v>
      </c>
      <c r="Z282" s="433" t="str">
        <f ca="1">HYPERLINK("#"&amp;일위대가목록표!J2&amp;"!A"&amp;ROW(일위대가목록표!A37),"B01447 →")</f>
        <v>B01447 →</v>
      </c>
    </row>
    <row r="283" spans="1:26" ht="33.200000000000003" customHeight="1">
      <c r="A283" s="452" t="s">
        <v>2321</v>
      </c>
      <c r="B283" s="452" t="s">
        <v>2322</v>
      </c>
      <c r="C283" s="489">
        <v>2.5000000000000001E-2</v>
      </c>
      <c r="D283" s="480" t="s">
        <v>8</v>
      </c>
      <c r="E283" s="490">
        <f t="shared" si="26"/>
        <v>34413</v>
      </c>
      <c r="F283" s="493">
        <f t="shared" si="26"/>
        <v>860.3</v>
      </c>
      <c r="G283" s="494">
        <f>일위대가목록표!F275</f>
        <v>34413</v>
      </c>
      <c r="H283" s="498">
        <f>IF(C283=0,0,ROUNDDOWN(G283*C283,1))</f>
        <v>860.3</v>
      </c>
      <c r="I283" s="494">
        <f>일위대가목록표!G275</f>
        <v>0</v>
      </c>
      <c r="J283" s="498">
        <f>IF(C283=0,0,ROUNDDOWN(I283*C283,1))</f>
        <v>0</v>
      </c>
      <c r="K283" s="494">
        <f>일위대가목록표!H275</f>
        <v>0</v>
      </c>
      <c r="L283" s="498">
        <f>IF(C283=0,0,ROUNDDOWN(K283*C283,1))</f>
        <v>0</v>
      </c>
      <c r="M283" s="463" t="s">
        <v>2489</v>
      </c>
      <c r="N283" s="451" t="s">
        <v>2490</v>
      </c>
      <c r="O283" s="468" t="s">
        <v>2491</v>
      </c>
      <c r="P283" s="468" t="s">
        <v>2354</v>
      </c>
      <c r="Q283" s="468" t="s">
        <v>2355</v>
      </c>
      <c r="Z283" s="433" t="str">
        <f ca="1">HYPERLINK("#"&amp;일위대가목록표!J2&amp;"!A"&amp;ROW(일위대가목록표!A275),"B01414 →")</f>
        <v>B01414 →</v>
      </c>
    </row>
    <row r="284" spans="1:26" ht="33.200000000000003" customHeight="1">
      <c r="A284" s="452" t="s">
        <v>1997</v>
      </c>
      <c r="B284" s="452" t="s">
        <v>2539</v>
      </c>
      <c r="C284" s="489">
        <v>0.5</v>
      </c>
      <c r="D284" s="480" t="s">
        <v>595</v>
      </c>
      <c r="E284" s="490">
        <f t="shared" si="26"/>
        <v>921</v>
      </c>
      <c r="F284" s="493">
        <f t="shared" si="26"/>
        <v>460.5</v>
      </c>
      <c r="G284" s="494">
        <f>단가산출근거목록표!F140</f>
        <v>789</v>
      </c>
      <c r="H284" s="498">
        <f>IF(C284=0,0,ROUNDDOWN(G284*C284,1))</f>
        <v>394.5</v>
      </c>
      <c r="I284" s="494">
        <f>단가산출근거목록표!G140</f>
        <v>22</v>
      </c>
      <c r="J284" s="498">
        <f>IF(C284=0,0,ROUNDDOWN(I284*C284,1))</f>
        <v>11</v>
      </c>
      <c r="K284" s="494">
        <f>단가산출근거목록표!H140</f>
        <v>110</v>
      </c>
      <c r="L284" s="498">
        <f>IF(C284=0,0,ROUNDDOWN(K284*C284,1))</f>
        <v>55</v>
      </c>
      <c r="M284" s="463" t="s">
        <v>2540</v>
      </c>
      <c r="N284" s="451" t="s">
        <v>2548</v>
      </c>
      <c r="O284" s="468" t="s">
        <v>2542</v>
      </c>
      <c r="P284" s="468" t="s">
        <v>2354</v>
      </c>
      <c r="Q284" s="468" t="s">
        <v>2355</v>
      </c>
      <c r="Z284" s="433" t="str">
        <f ca="1">HYPERLINK("#"&amp;단가산출근거목록표!J2&amp;"!A"&amp;ROW(단가산출근거목록표!A140),"D01217 →")</f>
        <v>D01217 →</v>
      </c>
    </row>
    <row r="285" spans="1:26" ht="33.200000000000003" customHeight="1">
      <c r="A285" s="452" t="s">
        <v>2507</v>
      </c>
      <c r="B285" s="452" t="s">
        <v>2441</v>
      </c>
      <c r="C285" s="489">
        <v>25</v>
      </c>
      <c r="D285" s="480" t="s">
        <v>2371</v>
      </c>
      <c r="E285" s="490">
        <f t="shared" si="26"/>
        <v>12386</v>
      </c>
      <c r="F285" s="491">
        <f t="shared" si="26"/>
        <v>3096.5</v>
      </c>
      <c r="G285" s="496">
        <f>H281+H282+H283+H284</f>
        <v>12386</v>
      </c>
      <c r="H285" s="491">
        <f>IF(C285=0,0,ROUNDDOWN(G285*C285/100,1))</f>
        <v>3096.5</v>
      </c>
      <c r="I285" s="465">
        <v>0</v>
      </c>
      <c r="J285" s="493">
        <f>IF(C285=0,0,ROUNDDOWN(I285*C285/100,1))</f>
        <v>0</v>
      </c>
      <c r="K285" s="467">
        <v>0</v>
      </c>
      <c r="L285" s="493">
        <f>IF(C285=0,0,ROUNDDOWN(K285*C285/100,1))</f>
        <v>0</v>
      </c>
      <c r="M285" s="463"/>
      <c r="N285" s="451" t="s">
        <v>2508</v>
      </c>
      <c r="O285" s="468" t="s">
        <v>2373</v>
      </c>
      <c r="P285" s="468" t="s">
        <v>2354</v>
      </c>
    </row>
    <row r="286" spans="1:26" ht="33.200000000000003" customHeight="1">
      <c r="A286" s="463" t="s">
        <v>842</v>
      </c>
      <c r="B286" s="497"/>
      <c r="C286" s="497"/>
      <c r="D286" s="497"/>
      <c r="E286" s="497"/>
      <c r="F286" s="446">
        <f>J286+H286+L286</f>
        <v>15548</v>
      </c>
      <c r="G286" s="497"/>
      <c r="H286" s="446">
        <f>ROUNDDOWN(SUMIF(P281:P285,O286,H281:H285),0)</f>
        <v>15482</v>
      </c>
      <c r="I286" s="497"/>
      <c r="J286" s="446">
        <f>ROUNDDOWN(SUMIF(P281:P285,O286,J281:J285),0)</f>
        <v>11</v>
      </c>
      <c r="K286" s="497"/>
      <c r="L286" s="446">
        <f>ROUNDDOWN(SUMIF(P281:P285,O286,L281:L285),0)</f>
        <v>55</v>
      </c>
      <c r="M286" s="497"/>
      <c r="O286" s="468" t="s">
        <v>2354</v>
      </c>
    </row>
    <row r="287" spans="1:26" ht="33.200000000000003" customHeight="1">
      <c r="A287" s="484" t="s">
        <v>2556</v>
      </c>
      <c r="B287" s="484"/>
      <c r="C287" s="485"/>
      <c r="D287" s="485"/>
      <c r="E287" s="485"/>
      <c r="F287" s="485"/>
      <c r="G287" s="485"/>
      <c r="H287" s="485"/>
      <c r="I287" s="485"/>
      <c r="J287" s="485"/>
      <c r="K287" s="485"/>
      <c r="L287" s="485"/>
      <c r="M287" s="485"/>
      <c r="N287" s="486" t="str">
        <f>HYPERLINK("#N"&amp;ROW(N293),"_x0005_`BDCOD|B02665_x0007_`POSS|"&amp;ROW(N289)&amp;"_x0007_`POSE|"&amp;ROW(N293)&amp;"_x0007_`")</f>
        <v>_x0005_`BDCOD|B02665_x0007_`POSS|289_x0007_`POSE|293_x0007_`</v>
      </c>
    </row>
    <row r="288" spans="1:26" ht="33.200000000000003" customHeight="1">
      <c r="A288" s="469" t="s">
        <v>5066</v>
      </c>
      <c r="B288" s="469" t="s">
        <v>915</v>
      </c>
      <c r="C288" s="487"/>
      <c r="D288" s="488" t="s">
        <v>911</v>
      </c>
      <c r="E288" s="487"/>
      <c r="F288" s="487"/>
      <c r="G288" s="487"/>
      <c r="H288" s="487"/>
      <c r="I288" s="487"/>
      <c r="J288" s="487"/>
      <c r="K288" s="487"/>
      <c r="L288" s="487"/>
      <c r="M288" s="488" t="s">
        <v>943</v>
      </c>
      <c r="O288" s="468" t="s">
        <v>943</v>
      </c>
    </row>
    <row r="289" spans="1:26" ht="33.200000000000003" customHeight="1">
      <c r="A289" s="452" t="s">
        <v>2484</v>
      </c>
      <c r="B289" s="452" t="s">
        <v>2533</v>
      </c>
      <c r="C289" s="489">
        <v>0.12</v>
      </c>
      <c r="D289" s="480" t="s">
        <v>8</v>
      </c>
      <c r="E289" s="490">
        <f t="shared" ref="E289:F293" si="27">I289+G289+K289</f>
        <v>93246</v>
      </c>
      <c r="F289" s="493">
        <f t="shared" si="27"/>
        <v>11189.5</v>
      </c>
      <c r="G289" s="494">
        <f>단가산출근거목록표!F158</f>
        <v>93246</v>
      </c>
      <c r="H289" s="498">
        <f>IF(C289=0,0,ROUNDDOWN(G289*C289,1))</f>
        <v>11189.5</v>
      </c>
      <c r="I289" s="494">
        <f>단가산출근거목록표!G158</f>
        <v>0</v>
      </c>
      <c r="J289" s="498">
        <f>IF(C289=0,0,ROUNDDOWN(I289*C289,1))</f>
        <v>0</v>
      </c>
      <c r="K289" s="494">
        <f>단가산출근거목록표!H158</f>
        <v>0</v>
      </c>
      <c r="L289" s="498">
        <f>IF(C289=0,0,ROUNDDOWN(K289*C289,1))</f>
        <v>0</v>
      </c>
      <c r="M289" s="463" t="s">
        <v>2534</v>
      </c>
      <c r="N289" s="451" t="s">
        <v>2547</v>
      </c>
      <c r="O289" s="468" t="s">
        <v>2536</v>
      </c>
      <c r="P289" s="468" t="s">
        <v>2354</v>
      </c>
      <c r="Q289" s="468" t="s">
        <v>2355</v>
      </c>
      <c r="Z289" s="433" t="str">
        <f ca="1">HYPERLINK("#"&amp;단가산출근거목록표!J2&amp;"!A"&amp;ROW(단가산출근거목록표!A158),"D01267 →")</f>
        <v>D01267 →</v>
      </c>
    </row>
    <row r="290" spans="1:26" ht="33.200000000000003" customHeight="1">
      <c r="A290" s="452" t="s">
        <v>2298</v>
      </c>
      <c r="B290" s="452" t="s">
        <v>2299</v>
      </c>
      <c r="C290" s="489">
        <v>0.09</v>
      </c>
      <c r="D290" s="480" t="s">
        <v>8</v>
      </c>
      <c r="E290" s="490">
        <f t="shared" si="27"/>
        <v>24089</v>
      </c>
      <c r="F290" s="493">
        <f t="shared" si="27"/>
        <v>2168</v>
      </c>
      <c r="G290" s="494">
        <f>일위대가목록표!F37</f>
        <v>24089</v>
      </c>
      <c r="H290" s="498">
        <f>IF(C290=0,0,ROUNDDOWN(G290*C290,1))</f>
        <v>2168</v>
      </c>
      <c r="I290" s="494">
        <f>일위대가목록표!G37</f>
        <v>0</v>
      </c>
      <c r="J290" s="498">
        <f>IF(C290=0,0,ROUNDDOWN(I290*C290,1))</f>
        <v>0</v>
      </c>
      <c r="K290" s="494">
        <f>일위대가목록표!H37</f>
        <v>0</v>
      </c>
      <c r="L290" s="498">
        <f>IF(C290=0,0,ROUNDDOWN(K290*C290,1))</f>
        <v>0</v>
      </c>
      <c r="M290" s="463" t="s">
        <v>2492</v>
      </c>
      <c r="N290" s="451" t="s">
        <v>2493</v>
      </c>
      <c r="O290" s="468" t="s">
        <v>2494</v>
      </c>
      <c r="P290" s="468" t="s">
        <v>2354</v>
      </c>
      <c r="Q290" s="468" t="s">
        <v>2355</v>
      </c>
      <c r="Z290" s="433" t="str">
        <f ca="1">HYPERLINK("#"&amp;일위대가목록표!J2&amp;"!A"&amp;ROW(일위대가목록표!A37),"B01447 →")</f>
        <v>B01447 →</v>
      </c>
    </row>
    <row r="291" spans="1:26" ht="33.200000000000003" customHeight="1">
      <c r="A291" s="452" t="s">
        <v>2321</v>
      </c>
      <c r="B291" s="452" t="s">
        <v>2322</v>
      </c>
      <c r="C291" s="489">
        <v>0.03</v>
      </c>
      <c r="D291" s="480" t="s">
        <v>8</v>
      </c>
      <c r="E291" s="490">
        <f t="shared" si="27"/>
        <v>34413</v>
      </c>
      <c r="F291" s="493">
        <f t="shared" si="27"/>
        <v>1032.3</v>
      </c>
      <c r="G291" s="494">
        <f>일위대가목록표!F275</f>
        <v>34413</v>
      </c>
      <c r="H291" s="498">
        <f>IF(C291=0,0,ROUNDDOWN(G291*C291,1))</f>
        <v>1032.3</v>
      </c>
      <c r="I291" s="494">
        <f>일위대가목록표!G275</f>
        <v>0</v>
      </c>
      <c r="J291" s="498">
        <f>IF(C291=0,0,ROUNDDOWN(I291*C291,1))</f>
        <v>0</v>
      </c>
      <c r="K291" s="494">
        <f>일위대가목록표!H275</f>
        <v>0</v>
      </c>
      <c r="L291" s="498">
        <f>IF(C291=0,0,ROUNDDOWN(K291*C291,1))</f>
        <v>0</v>
      </c>
      <c r="M291" s="463" t="s">
        <v>2489</v>
      </c>
      <c r="N291" s="451" t="s">
        <v>2490</v>
      </c>
      <c r="O291" s="468" t="s">
        <v>2491</v>
      </c>
      <c r="P291" s="468" t="s">
        <v>2354</v>
      </c>
      <c r="Q291" s="468" t="s">
        <v>2355</v>
      </c>
      <c r="Z291" s="433" t="str">
        <f ca="1">HYPERLINK("#"&amp;일위대가목록표!J2&amp;"!A"&amp;ROW(일위대가목록표!A275),"B01414 →")</f>
        <v>B01414 →</v>
      </c>
    </row>
    <row r="292" spans="1:26" ht="33.200000000000003" customHeight="1">
      <c r="A292" s="452" t="s">
        <v>1997</v>
      </c>
      <c r="B292" s="452" t="s">
        <v>2539</v>
      </c>
      <c r="C292" s="489">
        <v>0.6</v>
      </c>
      <c r="D292" s="480" t="s">
        <v>595</v>
      </c>
      <c r="E292" s="490">
        <f t="shared" si="27"/>
        <v>921</v>
      </c>
      <c r="F292" s="493">
        <f t="shared" si="27"/>
        <v>552.59999999999991</v>
      </c>
      <c r="G292" s="494">
        <f>단가산출근거목록표!F140</f>
        <v>789</v>
      </c>
      <c r="H292" s="498">
        <f>IF(C292=0,0,ROUNDDOWN(G292*C292,1))</f>
        <v>473.4</v>
      </c>
      <c r="I292" s="494">
        <f>단가산출근거목록표!G140</f>
        <v>22</v>
      </c>
      <c r="J292" s="498">
        <f>IF(C292=0,0,ROUNDDOWN(I292*C292,1))</f>
        <v>13.2</v>
      </c>
      <c r="K292" s="494">
        <f>단가산출근거목록표!H140</f>
        <v>110</v>
      </c>
      <c r="L292" s="498">
        <f>IF(C292=0,0,ROUNDDOWN(K292*C292,1))</f>
        <v>66</v>
      </c>
      <c r="M292" s="463" t="s">
        <v>2540</v>
      </c>
      <c r="N292" s="451" t="s">
        <v>2548</v>
      </c>
      <c r="O292" s="468" t="s">
        <v>2542</v>
      </c>
      <c r="P292" s="468" t="s">
        <v>2354</v>
      </c>
      <c r="Q292" s="468" t="s">
        <v>2355</v>
      </c>
      <c r="Z292" s="433" t="str">
        <f ca="1">HYPERLINK("#"&amp;단가산출근거목록표!J2&amp;"!A"&amp;ROW(단가산출근거목록표!A140),"D01217 →")</f>
        <v>D01217 →</v>
      </c>
    </row>
    <row r="293" spans="1:26" ht="33.200000000000003" customHeight="1">
      <c r="A293" s="452" t="s">
        <v>2507</v>
      </c>
      <c r="B293" s="452" t="s">
        <v>2441</v>
      </c>
      <c r="C293" s="489">
        <v>25</v>
      </c>
      <c r="D293" s="480" t="s">
        <v>2371</v>
      </c>
      <c r="E293" s="490">
        <f t="shared" si="27"/>
        <v>14863.199999999999</v>
      </c>
      <c r="F293" s="491">
        <f t="shared" si="27"/>
        <v>3715.8</v>
      </c>
      <c r="G293" s="496">
        <f>H289+H290+H291+H292</f>
        <v>14863.199999999999</v>
      </c>
      <c r="H293" s="491">
        <f>IF(C293=0,0,ROUNDDOWN(G293*C293/100,1))</f>
        <v>3715.8</v>
      </c>
      <c r="I293" s="465">
        <v>0</v>
      </c>
      <c r="J293" s="493">
        <f>IF(C293=0,0,ROUNDDOWN(I293*C293/100,1))</f>
        <v>0</v>
      </c>
      <c r="K293" s="467">
        <v>0</v>
      </c>
      <c r="L293" s="493">
        <f>IF(C293=0,0,ROUNDDOWN(K293*C293/100,1))</f>
        <v>0</v>
      </c>
      <c r="M293" s="463"/>
      <c r="N293" s="451" t="s">
        <v>2508</v>
      </c>
      <c r="O293" s="468" t="s">
        <v>2373</v>
      </c>
      <c r="P293" s="468" t="s">
        <v>2354</v>
      </c>
    </row>
    <row r="294" spans="1:26" ht="33.200000000000003" customHeight="1">
      <c r="A294" s="463" t="s">
        <v>842</v>
      </c>
      <c r="B294" s="497"/>
      <c r="C294" s="497"/>
      <c r="D294" s="497"/>
      <c r="E294" s="497"/>
      <c r="F294" s="446">
        <f>J294+H294+L294</f>
        <v>18658</v>
      </c>
      <c r="G294" s="497"/>
      <c r="H294" s="446">
        <f>ROUNDDOWN(SUMIF(P289:P293,O294,H289:H293),0)</f>
        <v>18579</v>
      </c>
      <c r="I294" s="497"/>
      <c r="J294" s="446">
        <f>ROUNDDOWN(SUMIF(P289:P293,O294,J289:J293),0)</f>
        <v>13</v>
      </c>
      <c r="K294" s="497"/>
      <c r="L294" s="446">
        <f>ROUNDDOWN(SUMIF(P289:P293,O294,L289:L293),0)</f>
        <v>66</v>
      </c>
      <c r="M294" s="497"/>
      <c r="O294" s="468" t="s">
        <v>2354</v>
      </c>
    </row>
    <row r="295" spans="1:26" ht="33.200000000000003" customHeight="1">
      <c r="A295" s="484" t="s">
        <v>2557</v>
      </c>
      <c r="B295" s="484"/>
      <c r="C295" s="485"/>
      <c r="D295" s="485"/>
      <c r="E295" s="485"/>
      <c r="F295" s="485"/>
      <c r="G295" s="485"/>
      <c r="H295" s="485"/>
      <c r="I295" s="485"/>
      <c r="J295" s="485"/>
      <c r="K295" s="485"/>
      <c r="L295" s="485"/>
      <c r="M295" s="485"/>
      <c r="N295" s="486" t="str">
        <f>HYPERLINK("#N"&amp;ROW(N301),"_x0005_`BDCOD|B02666_x0007_`POSS|"&amp;ROW(N297)&amp;"_x0007_`POSE|"&amp;ROW(N301)&amp;"_x0007_`")</f>
        <v>_x0005_`BDCOD|B02666_x0007_`POSS|297_x0007_`POSE|301_x0007_`</v>
      </c>
    </row>
    <row r="296" spans="1:26" ht="33.200000000000003" customHeight="1">
      <c r="A296" s="469" t="s">
        <v>5066</v>
      </c>
      <c r="B296" s="469" t="s">
        <v>919</v>
      </c>
      <c r="C296" s="487"/>
      <c r="D296" s="488" t="s">
        <v>911</v>
      </c>
      <c r="E296" s="487"/>
      <c r="F296" s="487"/>
      <c r="G296" s="487"/>
      <c r="H296" s="487"/>
      <c r="I296" s="487"/>
      <c r="J296" s="487"/>
      <c r="K296" s="487"/>
      <c r="L296" s="487"/>
      <c r="M296" s="488" t="s">
        <v>946</v>
      </c>
      <c r="O296" s="468" t="s">
        <v>946</v>
      </c>
    </row>
    <row r="297" spans="1:26" ht="33.200000000000003" customHeight="1">
      <c r="A297" s="452" t="s">
        <v>2484</v>
      </c>
      <c r="B297" s="452" t="s">
        <v>2533</v>
      </c>
      <c r="C297" s="489">
        <v>0.15</v>
      </c>
      <c r="D297" s="480" t="s">
        <v>8</v>
      </c>
      <c r="E297" s="490">
        <f t="shared" ref="E297:F301" si="28">I297+G297+K297</f>
        <v>93246</v>
      </c>
      <c r="F297" s="493">
        <f t="shared" si="28"/>
        <v>13986.9</v>
      </c>
      <c r="G297" s="494">
        <f>단가산출근거목록표!F158</f>
        <v>93246</v>
      </c>
      <c r="H297" s="498">
        <f>IF(C297=0,0,ROUNDDOWN(G297*C297,1))</f>
        <v>13986.9</v>
      </c>
      <c r="I297" s="494">
        <f>단가산출근거목록표!G158</f>
        <v>0</v>
      </c>
      <c r="J297" s="498">
        <f>IF(C297=0,0,ROUNDDOWN(I297*C297,1))</f>
        <v>0</v>
      </c>
      <c r="K297" s="494">
        <f>단가산출근거목록표!H158</f>
        <v>0</v>
      </c>
      <c r="L297" s="498">
        <f>IF(C297=0,0,ROUNDDOWN(K297*C297,1))</f>
        <v>0</v>
      </c>
      <c r="M297" s="463" t="s">
        <v>2534</v>
      </c>
      <c r="N297" s="451" t="s">
        <v>2547</v>
      </c>
      <c r="O297" s="468" t="s">
        <v>2536</v>
      </c>
      <c r="P297" s="468" t="s">
        <v>2354</v>
      </c>
      <c r="Q297" s="468" t="s">
        <v>2355</v>
      </c>
      <c r="Z297" s="433" t="str">
        <f ca="1">HYPERLINK("#"&amp;단가산출근거목록표!J2&amp;"!A"&amp;ROW(단가산출근거목록표!A158),"D01267 →")</f>
        <v>D01267 →</v>
      </c>
    </row>
    <row r="298" spans="1:26" ht="33.200000000000003" customHeight="1">
      <c r="A298" s="452" t="s">
        <v>2298</v>
      </c>
      <c r="B298" s="452" t="s">
        <v>2299</v>
      </c>
      <c r="C298" s="489">
        <v>0.1125</v>
      </c>
      <c r="D298" s="480" t="s">
        <v>8</v>
      </c>
      <c r="E298" s="490">
        <f t="shared" si="28"/>
        <v>24089</v>
      </c>
      <c r="F298" s="493">
        <f t="shared" si="28"/>
        <v>2710</v>
      </c>
      <c r="G298" s="494">
        <f>일위대가목록표!F37</f>
        <v>24089</v>
      </c>
      <c r="H298" s="498">
        <f>IF(C298=0,0,ROUNDDOWN(G298*C298,1))</f>
        <v>2710</v>
      </c>
      <c r="I298" s="494">
        <f>일위대가목록표!G37</f>
        <v>0</v>
      </c>
      <c r="J298" s="498">
        <f>IF(C298=0,0,ROUNDDOWN(I298*C298,1))</f>
        <v>0</v>
      </c>
      <c r="K298" s="494">
        <f>일위대가목록표!H37</f>
        <v>0</v>
      </c>
      <c r="L298" s="498">
        <f>IF(C298=0,0,ROUNDDOWN(K298*C298,1))</f>
        <v>0</v>
      </c>
      <c r="M298" s="463" t="s">
        <v>2492</v>
      </c>
      <c r="N298" s="451" t="s">
        <v>2493</v>
      </c>
      <c r="O298" s="468" t="s">
        <v>2494</v>
      </c>
      <c r="P298" s="468" t="s">
        <v>2354</v>
      </c>
      <c r="Q298" s="468" t="s">
        <v>2355</v>
      </c>
      <c r="Z298" s="433" t="str">
        <f ca="1">HYPERLINK("#"&amp;일위대가목록표!J2&amp;"!A"&amp;ROW(일위대가목록표!A37),"B01447 →")</f>
        <v>B01447 →</v>
      </c>
    </row>
    <row r="299" spans="1:26" ht="33.200000000000003" customHeight="1">
      <c r="A299" s="452" t="s">
        <v>2321</v>
      </c>
      <c r="B299" s="452" t="s">
        <v>2322</v>
      </c>
      <c r="C299" s="489">
        <v>3.7499999999999999E-2</v>
      </c>
      <c r="D299" s="480" t="s">
        <v>8</v>
      </c>
      <c r="E299" s="490">
        <f t="shared" si="28"/>
        <v>34413</v>
      </c>
      <c r="F299" s="493">
        <f t="shared" si="28"/>
        <v>1290.4000000000001</v>
      </c>
      <c r="G299" s="494">
        <f>일위대가목록표!F275</f>
        <v>34413</v>
      </c>
      <c r="H299" s="498">
        <f>IF(C299=0,0,ROUNDDOWN(G299*C299,1))</f>
        <v>1290.4000000000001</v>
      </c>
      <c r="I299" s="494">
        <f>일위대가목록표!G275</f>
        <v>0</v>
      </c>
      <c r="J299" s="498">
        <f>IF(C299=0,0,ROUNDDOWN(I299*C299,1))</f>
        <v>0</v>
      </c>
      <c r="K299" s="494">
        <f>일위대가목록표!H275</f>
        <v>0</v>
      </c>
      <c r="L299" s="498">
        <f>IF(C299=0,0,ROUNDDOWN(K299*C299,1))</f>
        <v>0</v>
      </c>
      <c r="M299" s="463" t="s">
        <v>2489</v>
      </c>
      <c r="N299" s="451" t="s">
        <v>2490</v>
      </c>
      <c r="O299" s="468" t="s">
        <v>2491</v>
      </c>
      <c r="P299" s="468" t="s">
        <v>2354</v>
      </c>
      <c r="Q299" s="468" t="s">
        <v>2355</v>
      </c>
      <c r="Z299" s="433" t="str">
        <f ca="1">HYPERLINK("#"&amp;일위대가목록표!J2&amp;"!A"&amp;ROW(일위대가목록표!A275),"B01414 →")</f>
        <v>B01414 →</v>
      </c>
    </row>
    <row r="300" spans="1:26" ht="33.200000000000003" customHeight="1">
      <c r="A300" s="452" t="s">
        <v>1997</v>
      </c>
      <c r="B300" s="452" t="s">
        <v>2539</v>
      </c>
      <c r="C300" s="489">
        <v>0.75</v>
      </c>
      <c r="D300" s="480" t="s">
        <v>595</v>
      </c>
      <c r="E300" s="490">
        <f t="shared" si="28"/>
        <v>921</v>
      </c>
      <c r="F300" s="493">
        <f t="shared" si="28"/>
        <v>690.7</v>
      </c>
      <c r="G300" s="494">
        <f>단가산출근거목록표!F140</f>
        <v>789</v>
      </c>
      <c r="H300" s="498">
        <f>IF(C300=0,0,ROUNDDOWN(G300*C300,1))</f>
        <v>591.70000000000005</v>
      </c>
      <c r="I300" s="494">
        <f>단가산출근거목록표!G140</f>
        <v>22</v>
      </c>
      <c r="J300" s="498">
        <f>IF(C300=0,0,ROUNDDOWN(I300*C300,1))</f>
        <v>16.5</v>
      </c>
      <c r="K300" s="494">
        <f>단가산출근거목록표!H140</f>
        <v>110</v>
      </c>
      <c r="L300" s="498">
        <f>IF(C300=0,0,ROUNDDOWN(K300*C300,1))</f>
        <v>82.5</v>
      </c>
      <c r="M300" s="463" t="s">
        <v>2540</v>
      </c>
      <c r="N300" s="451" t="s">
        <v>2548</v>
      </c>
      <c r="O300" s="468" t="s">
        <v>2542</v>
      </c>
      <c r="P300" s="468" t="s">
        <v>2354</v>
      </c>
      <c r="Q300" s="468" t="s">
        <v>2355</v>
      </c>
      <c r="Z300" s="433" t="str">
        <f ca="1">HYPERLINK("#"&amp;단가산출근거목록표!J2&amp;"!A"&amp;ROW(단가산출근거목록표!A140),"D01217 →")</f>
        <v>D01217 →</v>
      </c>
    </row>
    <row r="301" spans="1:26" ht="33.200000000000003" customHeight="1">
      <c r="A301" s="452" t="s">
        <v>2507</v>
      </c>
      <c r="B301" s="452" t="s">
        <v>2441</v>
      </c>
      <c r="C301" s="489">
        <v>25</v>
      </c>
      <c r="D301" s="480" t="s">
        <v>2371</v>
      </c>
      <c r="E301" s="490">
        <f t="shared" si="28"/>
        <v>18579.000000000004</v>
      </c>
      <c r="F301" s="491">
        <f t="shared" si="28"/>
        <v>4644.7</v>
      </c>
      <c r="G301" s="496">
        <f>H297+H298+H299+H300</f>
        <v>18579.000000000004</v>
      </c>
      <c r="H301" s="491">
        <f>IF(C301=0,0,ROUNDDOWN(G301*C301/100,1))</f>
        <v>4644.7</v>
      </c>
      <c r="I301" s="465">
        <v>0</v>
      </c>
      <c r="J301" s="493">
        <f>IF(C301=0,0,ROUNDDOWN(I301*C301/100,1))</f>
        <v>0</v>
      </c>
      <c r="K301" s="467">
        <v>0</v>
      </c>
      <c r="L301" s="493">
        <f>IF(C301=0,0,ROUNDDOWN(K301*C301/100,1))</f>
        <v>0</v>
      </c>
      <c r="M301" s="463"/>
      <c r="N301" s="451" t="s">
        <v>2508</v>
      </c>
      <c r="O301" s="468" t="s">
        <v>2373</v>
      </c>
      <c r="P301" s="468" t="s">
        <v>2354</v>
      </c>
    </row>
    <row r="302" spans="1:26" ht="33.200000000000003" customHeight="1">
      <c r="A302" s="463" t="s">
        <v>842</v>
      </c>
      <c r="B302" s="497"/>
      <c r="C302" s="497"/>
      <c r="D302" s="497"/>
      <c r="E302" s="497"/>
      <c r="F302" s="446">
        <f>J302+H302+L302</f>
        <v>23321</v>
      </c>
      <c r="G302" s="497"/>
      <c r="H302" s="446">
        <f>ROUNDDOWN(SUMIF(P297:P301,O302,H297:H301),0)</f>
        <v>23223</v>
      </c>
      <c r="I302" s="497"/>
      <c r="J302" s="446">
        <f>ROUNDDOWN(SUMIF(P297:P301,O302,J297:J301),0)</f>
        <v>16</v>
      </c>
      <c r="K302" s="497"/>
      <c r="L302" s="446">
        <f>ROUNDDOWN(SUMIF(P297:P301,O302,L297:L301),0)</f>
        <v>82</v>
      </c>
      <c r="M302" s="497"/>
      <c r="O302" s="468" t="s">
        <v>2354</v>
      </c>
    </row>
    <row r="303" spans="1:26" ht="33.200000000000003" customHeight="1">
      <c r="A303" s="484" t="s">
        <v>2558</v>
      </c>
      <c r="B303" s="484"/>
      <c r="C303" s="485"/>
      <c r="D303" s="485"/>
      <c r="E303" s="485"/>
      <c r="F303" s="485"/>
      <c r="G303" s="485"/>
      <c r="H303" s="485"/>
      <c r="I303" s="485"/>
      <c r="J303" s="485"/>
      <c r="K303" s="485"/>
      <c r="L303" s="485"/>
      <c r="M303" s="485"/>
      <c r="N303" s="486" t="str">
        <f>HYPERLINK("#N"&amp;ROW(N309),"_x0005_`BDCOD|B02667_x0007_`POSS|"&amp;ROW(N305)&amp;"_x0007_`POSE|"&amp;ROW(N309)&amp;"_x0007_`")</f>
        <v>_x0005_`BDCOD|B02667_x0007_`POSS|305_x0007_`POSE|309_x0007_`</v>
      </c>
    </row>
    <row r="304" spans="1:26" ht="33.200000000000003" customHeight="1">
      <c r="A304" s="469" t="s">
        <v>5066</v>
      </c>
      <c r="B304" s="469" t="s">
        <v>923</v>
      </c>
      <c r="C304" s="487"/>
      <c r="D304" s="488" t="s">
        <v>911</v>
      </c>
      <c r="E304" s="487"/>
      <c r="F304" s="487"/>
      <c r="G304" s="487"/>
      <c r="H304" s="487"/>
      <c r="I304" s="487"/>
      <c r="J304" s="487"/>
      <c r="K304" s="487"/>
      <c r="L304" s="487"/>
      <c r="M304" s="488" t="s">
        <v>949</v>
      </c>
      <c r="O304" s="468" t="s">
        <v>949</v>
      </c>
    </row>
    <row r="305" spans="1:26" ht="33.200000000000003" customHeight="1">
      <c r="A305" s="452" t="s">
        <v>2484</v>
      </c>
      <c r="B305" s="452" t="s">
        <v>2533</v>
      </c>
      <c r="C305" s="489">
        <v>0.2</v>
      </c>
      <c r="D305" s="480" t="s">
        <v>8</v>
      </c>
      <c r="E305" s="490">
        <f t="shared" ref="E305:F309" si="29">I305+G305+K305</f>
        <v>93246</v>
      </c>
      <c r="F305" s="493">
        <f t="shared" si="29"/>
        <v>18649.2</v>
      </c>
      <c r="G305" s="494">
        <f>단가산출근거목록표!F158</f>
        <v>93246</v>
      </c>
      <c r="H305" s="498">
        <f>IF(C305=0,0,ROUNDDOWN(G305*C305,1))</f>
        <v>18649.2</v>
      </c>
      <c r="I305" s="494">
        <f>단가산출근거목록표!G158</f>
        <v>0</v>
      </c>
      <c r="J305" s="498">
        <f>IF(C305=0,0,ROUNDDOWN(I305*C305,1))</f>
        <v>0</v>
      </c>
      <c r="K305" s="494">
        <f>단가산출근거목록표!H158</f>
        <v>0</v>
      </c>
      <c r="L305" s="498">
        <f>IF(C305=0,0,ROUNDDOWN(K305*C305,1))</f>
        <v>0</v>
      </c>
      <c r="M305" s="463" t="s">
        <v>2534</v>
      </c>
      <c r="N305" s="451" t="s">
        <v>2547</v>
      </c>
      <c r="O305" s="468" t="s">
        <v>2536</v>
      </c>
      <c r="P305" s="468" t="s">
        <v>2354</v>
      </c>
      <c r="Q305" s="468" t="s">
        <v>2355</v>
      </c>
      <c r="Z305" s="433" t="str">
        <f ca="1">HYPERLINK("#"&amp;단가산출근거목록표!J2&amp;"!A"&amp;ROW(단가산출근거목록표!A158),"D01267 →")</f>
        <v>D01267 →</v>
      </c>
    </row>
    <row r="306" spans="1:26" ht="33.200000000000003" customHeight="1">
      <c r="A306" s="452" t="s">
        <v>2298</v>
      </c>
      <c r="B306" s="452" t="s">
        <v>2299</v>
      </c>
      <c r="C306" s="489">
        <v>0.15</v>
      </c>
      <c r="D306" s="480" t="s">
        <v>8</v>
      </c>
      <c r="E306" s="490">
        <f t="shared" si="29"/>
        <v>24089</v>
      </c>
      <c r="F306" s="493">
        <f t="shared" si="29"/>
        <v>3613.3</v>
      </c>
      <c r="G306" s="494">
        <f>일위대가목록표!F37</f>
        <v>24089</v>
      </c>
      <c r="H306" s="498">
        <f>IF(C306=0,0,ROUNDDOWN(G306*C306,1))</f>
        <v>3613.3</v>
      </c>
      <c r="I306" s="494">
        <f>일위대가목록표!G37</f>
        <v>0</v>
      </c>
      <c r="J306" s="498">
        <f>IF(C306=0,0,ROUNDDOWN(I306*C306,1))</f>
        <v>0</v>
      </c>
      <c r="K306" s="494">
        <f>일위대가목록표!H37</f>
        <v>0</v>
      </c>
      <c r="L306" s="498">
        <f>IF(C306=0,0,ROUNDDOWN(K306*C306,1))</f>
        <v>0</v>
      </c>
      <c r="M306" s="463" t="s">
        <v>2492</v>
      </c>
      <c r="N306" s="451" t="s">
        <v>2493</v>
      </c>
      <c r="O306" s="468" t="s">
        <v>2494</v>
      </c>
      <c r="P306" s="468" t="s">
        <v>2354</v>
      </c>
      <c r="Q306" s="468" t="s">
        <v>2355</v>
      </c>
      <c r="Z306" s="433" t="str">
        <f ca="1">HYPERLINK("#"&amp;일위대가목록표!J2&amp;"!A"&amp;ROW(일위대가목록표!A37),"B01447 →")</f>
        <v>B01447 →</v>
      </c>
    </row>
    <row r="307" spans="1:26" ht="33.200000000000003" customHeight="1">
      <c r="A307" s="452" t="s">
        <v>2321</v>
      </c>
      <c r="B307" s="452" t="s">
        <v>2322</v>
      </c>
      <c r="C307" s="489">
        <v>0.05</v>
      </c>
      <c r="D307" s="480" t="s">
        <v>8</v>
      </c>
      <c r="E307" s="490">
        <f t="shared" si="29"/>
        <v>34413</v>
      </c>
      <c r="F307" s="493">
        <f t="shared" si="29"/>
        <v>1720.6</v>
      </c>
      <c r="G307" s="494">
        <f>일위대가목록표!F275</f>
        <v>34413</v>
      </c>
      <c r="H307" s="498">
        <f>IF(C307=0,0,ROUNDDOWN(G307*C307,1))</f>
        <v>1720.6</v>
      </c>
      <c r="I307" s="494">
        <f>일위대가목록표!G275</f>
        <v>0</v>
      </c>
      <c r="J307" s="498">
        <f>IF(C307=0,0,ROUNDDOWN(I307*C307,1))</f>
        <v>0</v>
      </c>
      <c r="K307" s="494">
        <f>일위대가목록표!H275</f>
        <v>0</v>
      </c>
      <c r="L307" s="498">
        <f>IF(C307=0,0,ROUNDDOWN(K307*C307,1))</f>
        <v>0</v>
      </c>
      <c r="M307" s="463" t="s">
        <v>2489</v>
      </c>
      <c r="N307" s="451" t="s">
        <v>2490</v>
      </c>
      <c r="O307" s="468" t="s">
        <v>2491</v>
      </c>
      <c r="P307" s="468" t="s">
        <v>2354</v>
      </c>
      <c r="Q307" s="468" t="s">
        <v>2355</v>
      </c>
      <c r="Z307" s="433" t="str">
        <f ca="1">HYPERLINK("#"&amp;일위대가목록표!J2&amp;"!A"&amp;ROW(일위대가목록표!A275),"B01414 →")</f>
        <v>B01414 →</v>
      </c>
    </row>
    <row r="308" spans="1:26" ht="33.200000000000003" customHeight="1">
      <c r="A308" s="452" t="s">
        <v>1997</v>
      </c>
      <c r="B308" s="452" t="s">
        <v>2539</v>
      </c>
      <c r="C308" s="489">
        <v>1</v>
      </c>
      <c r="D308" s="480" t="s">
        <v>595</v>
      </c>
      <c r="E308" s="490">
        <f t="shared" si="29"/>
        <v>921</v>
      </c>
      <c r="F308" s="493">
        <f t="shared" si="29"/>
        <v>921</v>
      </c>
      <c r="G308" s="494">
        <f>단가산출근거목록표!F140</f>
        <v>789</v>
      </c>
      <c r="H308" s="498">
        <f>IF(C308=0,0,ROUNDDOWN(G308*C308,1))</f>
        <v>789</v>
      </c>
      <c r="I308" s="494">
        <f>단가산출근거목록표!G140</f>
        <v>22</v>
      </c>
      <c r="J308" s="498">
        <f>IF(C308=0,0,ROUNDDOWN(I308*C308,1))</f>
        <v>22</v>
      </c>
      <c r="K308" s="494">
        <f>단가산출근거목록표!H140</f>
        <v>110</v>
      </c>
      <c r="L308" s="498">
        <f>IF(C308=0,0,ROUNDDOWN(K308*C308,1))</f>
        <v>110</v>
      </c>
      <c r="M308" s="463" t="s">
        <v>2540</v>
      </c>
      <c r="N308" s="451" t="s">
        <v>2548</v>
      </c>
      <c r="O308" s="468" t="s">
        <v>2542</v>
      </c>
      <c r="P308" s="468" t="s">
        <v>2354</v>
      </c>
      <c r="Q308" s="468" t="s">
        <v>2355</v>
      </c>
      <c r="Z308" s="433" t="str">
        <f ca="1">HYPERLINK("#"&amp;단가산출근거목록표!J2&amp;"!A"&amp;ROW(단가산출근거목록표!A140),"D01217 →")</f>
        <v>D01217 →</v>
      </c>
    </row>
    <row r="309" spans="1:26" ht="33.200000000000003" customHeight="1">
      <c r="A309" s="452" t="s">
        <v>2507</v>
      </c>
      <c r="B309" s="452" t="s">
        <v>2441</v>
      </c>
      <c r="C309" s="489">
        <v>25</v>
      </c>
      <c r="D309" s="480" t="s">
        <v>2371</v>
      </c>
      <c r="E309" s="490">
        <f t="shared" si="29"/>
        <v>24772.1</v>
      </c>
      <c r="F309" s="491">
        <f t="shared" si="29"/>
        <v>6193</v>
      </c>
      <c r="G309" s="496">
        <f>H305+H306+H307+H308</f>
        <v>24772.1</v>
      </c>
      <c r="H309" s="491">
        <f>IF(C309=0,0,ROUNDDOWN(G309*C309/100,1))</f>
        <v>6193</v>
      </c>
      <c r="I309" s="465">
        <v>0</v>
      </c>
      <c r="J309" s="493">
        <f>IF(C309=0,0,ROUNDDOWN(I309*C309/100,1))</f>
        <v>0</v>
      </c>
      <c r="K309" s="467">
        <v>0</v>
      </c>
      <c r="L309" s="493">
        <f>IF(C309=0,0,ROUNDDOWN(K309*C309/100,1))</f>
        <v>0</v>
      </c>
      <c r="M309" s="463"/>
      <c r="N309" s="451" t="s">
        <v>2508</v>
      </c>
      <c r="O309" s="468" t="s">
        <v>2373</v>
      </c>
      <c r="P309" s="468" t="s">
        <v>2354</v>
      </c>
    </row>
    <row r="310" spans="1:26" ht="33.200000000000003" customHeight="1">
      <c r="A310" s="463" t="s">
        <v>842</v>
      </c>
      <c r="B310" s="497"/>
      <c r="C310" s="497"/>
      <c r="D310" s="497"/>
      <c r="E310" s="497"/>
      <c r="F310" s="446">
        <f>J310+H310+L310</f>
        <v>31097</v>
      </c>
      <c r="G310" s="497"/>
      <c r="H310" s="446">
        <f>ROUNDDOWN(SUMIF(P305:P309,O310,H305:H309),0)</f>
        <v>30965</v>
      </c>
      <c r="I310" s="497"/>
      <c r="J310" s="446">
        <f>ROUNDDOWN(SUMIF(P305:P309,O310,J305:J309),0)</f>
        <v>22</v>
      </c>
      <c r="K310" s="497"/>
      <c r="L310" s="446">
        <f>ROUNDDOWN(SUMIF(P305:P309,O310,L305:L309),0)</f>
        <v>110</v>
      </c>
      <c r="M310" s="497"/>
      <c r="O310" s="468" t="s">
        <v>2354</v>
      </c>
    </row>
    <row r="311" spans="1:26" ht="33.200000000000003" customHeight="1">
      <c r="A311" s="484" t="s">
        <v>2559</v>
      </c>
      <c r="B311" s="484"/>
      <c r="C311" s="485"/>
      <c r="D311" s="485"/>
      <c r="E311" s="485"/>
      <c r="F311" s="485"/>
      <c r="G311" s="485"/>
      <c r="H311" s="485"/>
      <c r="I311" s="485"/>
      <c r="J311" s="485"/>
      <c r="K311" s="485"/>
      <c r="L311" s="485"/>
      <c r="M311" s="485"/>
      <c r="N311" s="486" t="str">
        <f>HYPERLINK("#N"&amp;ROW(N316),"_x0005_`BDCOD|B02627_x0007_`POSS|"&amp;ROW(N313)&amp;"_x0007_`POSE|"&amp;ROW(N316)&amp;"_x0007_`")</f>
        <v>_x0005_`BDCOD|B02627_x0007_`POSS|313_x0007_`POSE|316_x0007_`</v>
      </c>
    </row>
    <row r="312" spans="1:26" ht="33.200000000000003" customHeight="1">
      <c r="A312" s="469" t="s">
        <v>927</v>
      </c>
      <c r="B312" s="469" t="s">
        <v>910</v>
      </c>
      <c r="C312" s="487"/>
      <c r="D312" s="488" t="s">
        <v>911</v>
      </c>
      <c r="E312" s="487"/>
      <c r="F312" s="487"/>
      <c r="G312" s="487"/>
      <c r="H312" s="487"/>
      <c r="I312" s="487"/>
      <c r="J312" s="487"/>
      <c r="K312" s="487"/>
      <c r="L312" s="487"/>
      <c r="M312" s="488" t="s">
        <v>928</v>
      </c>
      <c r="O312" s="468" t="s">
        <v>928</v>
      </c>
    </row>
    <row r="313" spans="1:26" ht="33.200000000000003" customHeight="1">
      <c r="A313" s="452" t="s">
        <v>2484</v>
      </c>
      <c r="B313" s="452" t="s">
        <v>2533</v>
      </c>
      <c r="C313" s="489">
        <v>0.2</v>
      </c>
      <c r="D313" s="480" t="s">
        <v>8</v>
      </c>
      <c r="E313" s="490">
        <f t="shared" ref="E313:F316" si="30">I313+G313+K313</f>
        <v>93246</v>
      </c>
      <c r="F313" s="493">
        <f t="shared" si="30"/>
        <v>18649.2</v>
      </c>
      <c r="G313" s="494">
        <f>단가산출근거목록표!F158</f>
        <v>93246</v>
      </c>
      <c r="H313" s="498">
        <f>IF(C313=0,0,ROUNDDOWN(G313*C313,1))</f>
        <v>18649.2</v>
      </c>
      <c r="I313" s="494">
        <f>단가산출근거목록표!G158</f>
        <v>0</v>
      </c>
      <c r="J313" s="498">
        <f>IF(C313=0,0,ROUNDDOWN(I313*C313,1))</f>
        <v>0</v>
      </c>
      <c r="K313" s="494">
        <f>단가산출근거목록표!H158</f>
        <v>0</v>
      </c>
      <c r="L313" s="498">
        <f>IF(C313=0,0,ROUNDDOWN(K313*C313,1))</f>
        <v>0</v>
      </c>
      <c r="M313" s="463" t="s">
        <v>2534</v>
      </c>
      <c r="N313" s="451" t="s">
        <v>2535</v>
      </c>
      <c r="O313" s="468" t="s">
        <v>2536</v>
      </c>
      <c r="P313" s="468" t="s">
        <v>2354</v>
      </c>
      <c r="Z313" s="433" t="str">
        <f ca="1">HYPERLINK("#"&amp;단가산출근거목록표!J2&amp;"!A"&amp;ROW(단가산출근거목록표!A158),"D01267 →")</f>
        <v>D01267 →</v>
      </c>
    </row>
    <row r="314" spans="1:26" ht="33.200000000000003" customHeight="1">
      <c r="A314" s="452" t="s">
        <v>2298</v>
      </c>
      <c r="B314" s="452" t="s">
        <v>2299</v>
      </c>
      <c r="C314" s="489">
        <v>0.15</v>
      </c>
      <c r="D314" s="480" t="s">
        <v>8</v>
      </c>
      <c r="E314" s="490">
        <f t="shared" si="30"/>
        <v>24089</v>
      </c>
      <c r="F314" s="493">
        <f t="shared" si="30"/>
        <v>3613.3</v>
      </c>
      <c r="G314" s="494">
        <f>일위대가목록표!F37</f>
        <v>24089</v>
      </c>
      <c r="H314" s="498">
        <f>IF(C314=0,0,ROUNDDOWN(G314*C314,1))</f>
        <v>3613.3</v>
      </c>
      <c r="I314" s="494">
        <f>일위대가목록표!G37</f>
        <v>0</v>
      </c>
      <c r="J314" s="498">
        <f>IF(C314=0,0,ROUNDDOWN(I314*C314,1))</f>
        <v>0</v>
      </c>
      <c r="K314" s="494">
        <f>일위대가목록표!H37</f>
        <v>0</v>
      </c>
      <c r="L314" s="498">
        <f>IF(C314=0,0,ROUNDDOWN(K314*C314,1))</f>
        <v>0</v>
      </c>
      <c r="M314" s="463" t="s">
        <v>2492</v>
      </c>
      <c r="N314" s="451" t="s">
        <v>2537</v>
      </c>
      <c r="O314" s="468" t="s">
        <v>2494</v>
      </c>
      <c r="P314" s="468" t="s">
        <v>2354</v>
      </c>
      <c r="Z314" s="433" t="str">
        <f ca="1">HYPERLINK("#"&amp;일위대가목록표!J2&amp;"!A"&amp;ROW(일위대가목록표!A37),"B01447 →")</f>
        <v>B01447 →</v>
      </c>
    </row>
    <row r="315" spans="1:26" ht="33.200000000000003" customHeight="1">
      <c r="A315" s="452" t="s">
        <v>2321</v>
      </c>
      <c r="B315" s="452" t="s">
        <v>2322</v>
      </c>
      <c r="C315" s="489">
        <v>0.05</v>
      </c>
      <c r="D315" s="480" t="s">
        <v>8</v>
      </c>
      <c r="E315" s="490">
        <f t="shared" si="30"/>
        <v>34413</v>
      </c>
      <c r="F315" s="493">
        <f t="shared" si="30"/>
        <v>1720.6</v>
      </c>
      <c r="G315" s="494">
        <f>일위대가목록표!F275</f>
        <v>34413</v>
      </c>
      <c r="H315" s="498">
        <f>IF(C315=0,0,ROUNDDOWN(G315*C315,1))</f>
        <v>1720.6</v>
      </c>
      <c r="I315" s="494">
        <f>일위대가목록표!G275</f>
        <v>0</v>
      </c>
      <c r="J315" s="498">
        <f>IF(C315=0,0,ROUNDDOWN(I315*C315,1))</f>
        <v>0</v>
      </c>
      <c r="K315" s="494">
        <f>일위대가목록표!H275</f>
        <v>0</v>
      </c>
      <c r="L315" s="498">
        <f>IF(C315=0,0,ROUNDDOWN(K315*C315,1))</f>
        <v>0</v>
      </c>
      <c r="M315" s="463" t="s">
        <v>2489</v>
      </c>
      <c r="N315" s="451" t="s">
        <v>2538</v>
      </c>
      <c r="O315" s="468" t="s">
        <v>2491</v>
      </c>
      <c r="P315" s="468" t="s">
        <v>2354</v>
      </c>
      <c r="Z315" s="433" t="str">
        <f ca="1">HYPERLINK("#"&amp;일위대가목록표!J2&amp;"!A"&amp;ROW(일위대가목록표!A275),"B01414 →")</f>
        <v>B01414 →</v>
      </c>
    </row>
    <row r="316" spans="1:26" ht="33.200000000000003" customHeight="1">
      <c r="A316" s="452" t="s">
        <v>1997</v>
      </c>
      <c r="B316" s="452" t="s">
        <v>2539</v>
      </c>
      <c r="C316" s="489">
        <v>1</v>
      </c>
      <c r="D316" s="480" t="s">
        <v>595</v>
      </c>
      <c r="E316" s="490">
        <f t="shared" si="30"/>
        <v>921</v>
      </c>
      <c r="F316" s="493">
        <f t="shared" si="30"/>
        <v>921</v>
      </c>
      <c r="G316" s="494">
        <f>단가산출근거목록표!F140</f>
        <v>789</v>
      </c>
      <c r="H316" s="498">
        <f>IF(C316=0,0,ROUNDDOWN(G316*C316,1))</f>
        <v>789</v>
      </c>
      <c r="I316" s="494">
        <f>단가산출근거목록표!G140</f>
        <v>22</v>
      </c>
      <c r="J316" s="498">
        <f>IF(C316=0,0,ROUNDDOWN(I316*C316,1))</f>
        <v>22</v>
      </c>
      <c r="K316" s="494">
        <f>단가산출근거목록표!H140</f>
        <v>110</v>
      </c>
      <c r="L316" s="498">
        <f>IF(C316=0,0,ROUNDDOWN(K316*C316,1))</f>
        <v>110</v>
      </c>
      <c r="M316" s="463" t="s">
        <v>2540</v>
      </c>
      <c r="N316" s="451" t="s">
        <v>2541</v>
      </c>
      <c r="O316" s="468" t="s">
        <v>2542</v>
      </c>
      <c r="P316" s="468" t="s">
        <v>2354</v>
      </c>
      <c r="Z316" s="433" t="str">
        <f ca="1">HYPERLINK("#"&amp;단가산출근거목록표!J2&amp;"!A"&amp;ROW(단가산출근거목록표!A140),"D01217 →")</f>
        <v>D01217 →</v>
      </c>
    </row>
    <row r="317" spans="1:26" ht="33.200000000000003" customHeight="1">
      <c r="A317" s="463" t="s">
        <v>842</v>
      </c>
      <c r="B317" s="497"/>
      <c r="C317" s="497"/>
      <c r="D317" s="497"/>
      <c r="E317" s="497"/>
      <c r="F317" s="446">
        <f>J317+H317+L317</f>
        <v>24904</v>
      </c>
      <c r="G317" s="497"/>
      <c r="H317" s="446">
        <f>ROUNDDOWN(SUMIF(P313:P316,O317,H313:H316),0)</f>
        <v>24772</v>
      </c>
      <c r="I317" s="497"/>
      <c r="J317" s="446">
        <f>ROUNDDOWN(SUMIF(P313:P316,O317,J313:J316),0)</f>
        <v>22</v>
      </c>
      <c r="K317" s="497"/>
      <c r="L317" s="446">
        <f>ROUNDDOWN(SUMIF(P313:P316,O317,L313:L316),0)</f>
        <v>110</v>
      </c>
      <c r="M317" s="497"/>
      <c r="O317" s="468" t="s">
        <v>2354</v>
      </c>
    </row>
    <row r="318" spans="1:26" ht="33.200000000000003" customHeight="1">
      <c r="A318" s="484" t="s">
        <v>2560</v>
      </c>
      <c r="B318" s="484"/>
      <c r="C318" s="485"/>
      <c r="D318" s="485"/>
      <c r="E318" s="485"/>
      <c r="F318" s="485"/>
      <c r="G318" s="485"/>
      <c r="H318" s="485"/>
      <c r="I318" s="485"/>
      <c r="J318" s="485"/>
      <c r="K318" s="485"/>
      <c r="L318" s="485"/>
      <c r="M318" s="485"/>
      <c r="N318" s="486" t="str">
        <f>HYPERLINK("#N"&amp;ROW(N323),"_x0005_`BDCOD|B02626_x0007_`POSS|"&amp;ROW(N320)&amp;"_x0007_`POSE|"&amp;ROW(N323)&amp;"_x0007_`")</f>
        <v>_x0005_`BDCOD|B02626_x0007_`POSS|320_x0007_`POSE|323_x0007_`</v>
      </c>
    </row>
    <row r="319" spans="1:26" ht="33.200000000000003" customHeight="1">
      <c r="A319" s="469" t="s">
        <v>927</v>
      </c>
      <c r="B319" s="469" t="s">
        <v>915</v>
      </c>
      <c r="C319" s="487"/>
      <c r="D319" s="488" t="s">
        <v>911</v>
      </c>
      <c r="E319" s="487"/>
      <c r="F319" s="487"/>
      <c r="G319" s="487"/>
      <c r="H319" s="487"/>
      <c r="I319" s="487"/>
      <c r="J319" s="487"/>
      <c r="K319" s="487"/>
      <c r="L319" s="487"/>
      <c r="M319" s="488" t="s">
        <v>931</v>
      </c>
      <c r="O319" s="468" t="s">
        <v>931</v>
      </c>
    </row>
    <row r="320" spans="1:26" ht="33.200000000000003" customHeight="1">
      <c r="A320" s="452" t="s">
        <v>2484</v>
      </c>
      <c r="B320" s="452" t="s">
        <v>2533</v>
      </c>
      <c r="C320" s="489">
        <v>0.24</v>
      </c>
      <c r="D320" s="480" t="s">
        <v>8</v>
      </c>
      <c r="E320" s="490">
        <f t="shared" ref="E320:F323" si="31">I320+G320+K320</f>
        <v>93246</v>
      </c>
      <c r="F320" s="493">
        <f t="shared" si="31"/>
        <v>22379</v>
      </c>
      <c r="G320" s="494">
        <f>단가산출근거목록표!F158</f>
        <v>93246</v>
      </c>
      <c r="H320" s="498">
        <f>IF(C320=0,0,ROUNDDOWN(G320*C320,1))</f>
        <v>22379</v>
      </c>
      <c r="I320" s="494">
        <f>단가산출근거목록표!G158</f>
        <v>0</v>
      </c>
      <c r="J320" s="498">
        <f>IF(C320=0,0,ROUNDDOWN(I320*C320,1))</f>
        <v>0</v>
      </c>
      <c r="K320" s="494">
        <f>단가산출근거목록표!H158</f>
        <v>0</v>
      </c>
      <c r="L320" s="498">
        <f>IF(C320=0,0,ROUNDDOWN(K320*C320,1))</f>
        <v>0</v>
      </c>
      <c r="M320" s="463" t="s">
        <v>2534</v>
      </c>
      <c r="N320" s="451" t="s">
        <v>2535</v>
      </c>
      <c r="O320" s="468" t="s">
        <v>2536</v>
      </c>
      <c r="P320" s="468" t="s">
        <v>2354</v>
      </c>
      <c r="Z320" s="433" t="str">
        <f ca="1">HYPERLINK("#"&amp;단가산출근거목록표!J2&amp;"!A"&amp;ROW(단가산출근거목록표!A158),"D01267 →")</f>
        <v>D01267 →</v>
      </c>
    </row>
    <row r="321" spans="1:26" ht="33.200000000000003" customHeight="1">
      <c r="A321" s="452" t="s">
        <v>2298</v>
      </c>
      <c r="B321" s="452" t="s">
        <v>2299</v>
      </c>
      <c r="C321" s="489">
        <v>0.18</v>
      </c>
      <c r="D321" s="480" t="s">
        <v>8</v>
      </c>
      <c r="E321" s="490">
        <f t="shared" si="31"/>
        <v>24089</v>
      </c>
      <c r="F321" s="493">
        <f t="shared" si="31"/>
        <v>4336</v>
      </c>
      <c r="G321" s="494">
        <f>일위대가목록표!F37</f>
        <v>24089</v>
      </c>
      <c r="H321" s="498">
        <f>IF(C321=0,0,ROUNDDOWN(G321*C321,1))</f>
        <v>4336</v>
      </c>
      <c r="I321" s="494">
        <f>일위대가목록표!G37</f>
        <v>0</v>
      </c>
      <c r="J321" s="498">
        <f>IF(C321=0,0,ROUNDDOWN(I321*C321,1))</f>
        <v>0</v>
      </c>
      <c r="K321" s="494">
        <f>일위대가목록표!H37</f>
        <v>0</v>
      </c>
      <c r="L321" s="498">
        <f>IF(C321=0,0,ROUNDDOWN(K321*C321,1))</f>
        <v>0</v>
      </c>
      <c r="M321" s="463" t="s">
        <v>2492</v>
      </c>
      <c r="N321" s="451" t="s">
        <v>2537</v>
      </c>
      <c r="O321" s="468" t="s">
        <v>2494</v>
      </c>
      <c r="P321" s="468" t="s">
        <v>2354</v>
      </c>
      <c r="Z321" s="433" t="str">
        <f ca="1">HYPERLINK("#"&amp;일위대가목록표!J2&amp;"!A"&amp;ROW(일위대가목록표!A37),"B01447 →")</f>
        <v>B01447 →</v>
      </c>
    </row>
    <row r="322" spans="1:26" ht="33.200000000000003" customHeight="1">
      <c r="A322" s="452" t="s">
        <v>2321</v>
      </c>
      <c r="B322" s="452" t="s">
        <v>2322</v>
      </c>
      <c r="C322" s="489">
        <v>0.06</v>
      </c>
      <c r="D322" s="480" t="s">
        <v>8</v>
      </c>
      <c r="E322" s="490">
        <f t="shared" si="31"/>
        <v>34413</v>
      </c>
      <c r="F322" s="493">
        <f t="shared" si="31"/>
        <v>2064.6999999999998</v>
      </c>
      <c r="G322" s="494">
        <f>일위대가목록표!F275</f>
        <v>34413</v>
      </c>
      <c r="H322" s="498">
        <f>IF(C322=0,0,ROUNDDOWN(G322*C322,1))</f>
        <v>2064.6999999999998</v>
      </c>
      <c r="I322" s="494">
        <f>일위대가목록표!G275</f>
        <v>0</v>
      </c>
      <c r="J322" s="498">
        <f>IF(C322=0,0,ROUNDDOWN(I322*C322,1))</f>
        <v>0</v>
      </c>
      <c r="K322" s="494">
        <f>일위대가목록표!H275</f>
        <v>0</v>
      </c>
      <c r="L322" s="498">
        <f>IF(C322=0,0,ROUNDDOWN(K322*C322,1))</f>
        <v>0</v>
      </c>
      <c r="M322" s="463" t="s">
        <v>2489</v>
      </c>
      <c r="N322" s="451" t="s">
        <v>2538</v>
      </c>
      <c r="O322" s="468" t="s">
        <v>2491</v>
      </c>
      <c r="P322" s="468" t="s">
        <v>2354</v>
      </c>
      <c r="Z322" s="433" t="str">
        <f ca="1">HYPERLINK("#"&amp;일위대가목록표!J2&amp;"!A"&amp;ROW(일위대가목록표!A275),"B01414 →")</f>
        <v>B01414 →</v>
      </c>
    </row>
    <row r="323" spans="1:26" ht="33.200000000000003" customHeight="1">
      <c r="A323" s="452" t="s">
        <v>1997</v>
      </c>
      <c r="B323" s="452" t="s">
        <v>2539</v>
      </c>
      <c r="C323" s="489">
        <v>1.2</v>
      </c>
      <c r="D323" s="480" t="s">
        <v>595</v>
      </c>
      <c r="E323" s="490">
        <f t="shared" si="31"/>
        <v>921</v>
      </c>
      <c r="F323" s="493">
        <f t="shared" si="31"/>
        <v>1105.1999999999998</v>
      </c>
      <c r="G323" s="494">
        <f>단가산출근거목록표!F140</f>
        <v>789</v>
      </c>
      <c r="H323" s="498">
        <f>IF(C323=0,0,ROUNDDOWN(G323*C323,1))</f>
        <v>946.8</v>
      </c>
      <c r="I323" s="494">
        <f>단가산출근거목록표!G140</f>
        <v>22</v>
      </c>
      <c r="J323" s="498">
        <f>IF(C323=0,0,ROUNDDOWN(I323*C323,1))</f>
        <v>26.4</v>
      </c>
      <c r="K323" s="494">
        <f>단가산출근거목록표!H140</f>
        <v>110</v>
      </c>
      <c r="L323" s="498">
        <f>IF(C323=0,0,ROUNDDOWN(K323*C323,1))</f>
        <v>132</v>
      </c>
      <c r="M323" s="463" t="s">
        <v>2540</v>
      </c>
      <c r="N323" s="451" t="s">
        <v>2541</v>
      </c>
      <c r="O323" s="468" t="s">
        <v>2542</v>
      </c>
      <c r="P323" s="468" t="s">
        <v>2354</v>
      </c>
      <c r="Z323" s="433" t="str">
        <f ca="1">HYPERLINK("#"&amp;단가산출근거목록표!J2&amp;"!A"&amp;ROW(단가산출근거목록표!A140),"D01217 →")</f>
        <v>D01217 →</v>
      </c>
    </row>
    <row r="324" spans="1:26" ht="33.200000000000003" customHeight="1">
      <c r="A324" s="463" t="s">
        <v>842</v>
      </c>
      <c r="B324" s="497"/>
      <c r="C324" s="497"/>
      <c r="D324" s="497"/>
      <c r="E324" s="497"/>
      <c r="F324" s="446">
        <f>J324+H324+L324</f>
        <v>29884</v>
      </c>
      <c r="G324" s="497"/>
      <c r="H324" s="446">
        <f>ROUNDDOWN(SUMIF(P320:P323,O324,H320:H323),0)</f>
        <v>29726</v>
      </c>
      <c r="I324" s="497"/>
      <c r="J324" s="446">
        <f>ROUNDDOWN(SUMIF(P320:P323,O324,J320:J323),0)</f>
        <v>26</v>
      </c>
      <c r="K324" s="497"/>
      <c r="L324" s="446">
        <f>ROUNDDOWN(SUMIF(P320:P323,O324,L320:L323),0)</f>
        <v>132</v>
      </c>
      <c r="M324" s="497"/>
      <c r="O324" s="468" t="s">
        <v>2354</v>
      </c>
    </row>
    <row r="325" spans="1:26" ht="33.200000000000003" customHeight="1">
      <c r="A325" s="484" t="s">
        <v>2585</v>
      </c>
      <c r="B325" s="484"/>
      <c r="C325" s="485"/>
      <c r="D325" s="485"/>
      <c r="E325" s="485"/>
      <c r="F325" s="485"/>
      <c r="G325" s="485"/>
      <c r="H325" s="485"/>
      <c r="I325" s="485"/>
      <c r="J325" s="485"/>
      <c r="K325" s="485"/>
      <c r="L325" s="485"/>
      <c r="M325" s="485"/>
      <c r="N325" s="486" t="str">
        <f>HYPERLINK("#N"&amp;ROW(N330),"_x0005_`BDCOD|B02020_x0007_`POSS|"&amp;ROW(N327)&amp;"_x0007_`POSE|"&amp;ROW(N330)&amp;"_x0007_`")</f>
        <v>_x0005_`BDCOD|B02020_x0007_`POSS|327_x0007_`POSE|330_x0007_`</v>
      </c>
    </row>
    <row r="326" spans="1:26" ht="33.200000000000003" customHeight="1">
      <c r="A326" s="469" t="s">
        <v>927</v>
      </c>
      <c r="B326" s="469" t="s">
        <v>919</v>
      </c>
      <c r="C326" s="487"/>
      <c r="D326" s="488" t="s">
        <v>911</v>
      </c>
      <c r="E326" s="487"/>
      <c r="F326" s="487"/>
      <c r="G326" s="487"/>
      <c r="H326" s="487"/>
      <c r="I326" s="487"/>
      <c r="J326" s="487"/>
      <c r="K326" s="487"/>
      <c r="L326" s="487"/>
      <c r="M326" s="488" t="s">
        <v>934</v>
      </c>
      <c r="O326" s="468" t="s">
        <v>934</v>
      </c>
    </row>
    <row r="327" spans="1:26" ht="33.200000000000003" customHeight="1">
      <c r="A327" s="452" t="s">
        <v>2484</v>
      </c>
      <c r="B327" s="452" t="s">
        <v>2533</v>
      </c>
      <c r="C327" s="489">
        <v>0.3</v>
      </c>
      <c r="D327" s="480" t="s">
        <v>8</v>
      </c>
      <c r="E327" s="490">
        <f t="shared" ref="E327:F330" si="32">I327+G327+K327</f>
        <v>93246</v>
      </c>
      <c r="F327" s="493">
        <f t="shared" si="32"/>
        <v>27973.8</v>
      </c>
      <c r="G327" s="494">
        <f>단가산출근거목록표!F158</f>
        <v>93246</v>
      </c>
      <c r="H327" s="498">
        <f>IF(C327=0,0,ROUNDDOWN(G327*C327,1))</f>
        <v>27973.8</v>
      </c>
      <c r="I327" s="494">
        <f>단가산출근거목록표!G158</f>
        <v>0</v>
      </c>
      <c r="J327" s="498">
        <f>IF(C327=0,0,ROUNDDOWN(I327*C327,1))</f>
        <v>0</v>
      </c>
      <c r="K327" s="494">
        <f>단가산출근거목록표!H158</f>
        <v>0</v>
      </c>
      <c r="L327" s="498">
        <f>IF(C327=0,0,ROUNDDOWN(K327*C327,1))</f>
        <v>0</v>
      </c>
      <c r="M327" s="463" t="s">
        <v>2534</v>
      </c>
      <c r="N327" s="451" t="s">
        <v>2535</v>
      </c>
      <c r="O327" s="468" t="s">
        <v>2536</v>
      </c>
      <c r="P327" s="468" t="s">
        <v>2354</v>
      </c>
      <c r="Z327" s="433" t="str">
        <f ca="1">HYPERLINK("#"&amp;단가산출근거목록표!J2&amp;"!A"&amp;ROW(단가산출근거목록표!A158),"D01267 →")</f>
        <v>D01267 →</v>
      </c>
    </row>
    <row r="328" spans="1:26" ht="33.200000000000003" customHeight="1">
      <c r="A328" s="452" t="s">
        <v>2298</v>
      </c>
      <c r="B328" s="452" t="s">
        <v>2299</v>
      </c>
      <c r="C328" s="489">
        <v>0.22500000000000001</v>
      </c>
      <c r="D328" s="480" t="s">
        <v>8</v>
      </c>
      <c r="E328" s="490">
        <f t="shared" si="32"/>
        <v>24089</v>
      </c>
      <c r="F328" s="493">
        <f t="shared" si="32"/>
        <v>5420</v>
      </c>
      <c r="G328" s="494">
        <f>일위대가목록표!F37</f>
        <v>24089</v>
      </c>
      <c r="H328" s="498">
        <f>IF(C328=0,0,ROUNDDOWN(G328*C328,1))</f>
        <v>5420</v>
      </c>
      <c r="I328" s="494">
        <f>일위대가목록표!G37</f>
        <v>0</v>
      </c>
      <c r="J328" s="498">
        <f>IF(C328=0,0,ROUNDDOWN(I328*C328,1))</f>
        <v>0</v>
      </c>
      <c r="K328" s="494">
        <f>일위대가목록표!H37</f>
        <v>0</v>
      </c>
      <c r="L328" s="498">
        <f>IF(C328=0,0,ROUNDDOWN(K328*C328,1))</f>
        <v>0</v>
      </c>
      <c r="M328" s="463" t="s">
        <v>2492</v>
      </c>
      <c r="N328" s="451" t="s">
        <v>2537</v>
      </c>
      <c r="O328" s="468" t="s">
        <v>2494</v>
      </c>
      <c r="P328" s="468" t="s">
        <v>2354</v>
      </c>
      <c r="Z328" s="433" t="str">
        <f ca="1">HYPERLINK("#"&amp;일위대가목록표!J2&amp;"!A"&amp;ROW(일위대가목록표!A37),"B01447 →")</f>
        <v>B01447 →</v>
      </c>
    </row>
    <row r="329" spans="1:26" ht="33.200000000000003" customHeight="1">
      <c r="A329" s="452" t="s">
        <v>2321</v>
      </c>
      <c r="B329" s="452" t="s">
        <v>2322</v>
      </c>
      <c r="C329" s="489">
        <v>7.4999999999999997E-2</v>
      </c>
      <c r="D329" s="480" t="s">
        <v>8</v>
      </c>
      <c r="E329" s="490">
        <f t="shared" si="32"/>
        <v>34413</v>
      </c>
      <c r="F329" s="493">
        <f t="shared" si="32"/>
        <v>2580.9</v>
      </c>
      <c r="G329" s="494">
        <f>일위대가목록표!F275</f>
        <v>34413</v>
      </c>
      <c r="H329" s="498">
        <f>IF(C329=0,0,ROUNDDOWN(G329*C329,1))</f>
        <v>2580.9</v>
      </c>
      <c r="I329" s="494">
        <f>일위대가목록표!G275</f>
        <v>0</v>
      </c>
      <c r="J329" s="498">
        <f>IF(C329=0,0,ROUNDDOWN(I329*C329,1))</f>
        <v>0</v>
      </c>
      <c r="K329" s="494">
        <f>일위대가목록표!H275</f>
        <v>0</v>
      </c>
      <c r="L329" s="498">
        <f>IF(C329=0,0,ROUNDDOWN(K329*C329,1))</f>
        <v>0</v>
      </c>
      <c r="M329" s="463" t="s">
        <v>2489</v>
      </c>
      <c r="N329" s="451" t="s">
        <v>2538</v>
      </c>
      <c r="O329" s="468" t="s">
        <v>2491</v>
      </c>
      <c r="P329" s="468" t="s">
        <v>2354</v>
      </c>
      <c r="Z329" s="433" t="str">
        <f ca="1">HYPERLINK("#"&amp;일위대가목록표!J2&amp;"!A"&amp;ROW(일위대가목록표!A275),"B01414 →")</f>
        <v>B01414 →</v>
      </c>
    </row>
    <row r="330" spans="1:26" ht="33.200000000000003" customHeight="1">
      <c r="A330" s="452" t="s">
        <v>1997</v>
      </c>
      <c r="B330" s="452" t="s">
        <v>2539</v>
      </c>
      <c r="C330" s="489">
        <v>1.5</v>
      </c>
      <c r="D330" s="480" t="s">
        <v>595</v>
      </c>
      <c r="E330" s="490">
        <f t="shared" si="32"/>
        <v>921</v>
      </c>
      <c r="F330" s="493">
        <f t="shared" si="32"/>
        <v>1381.5</v>
      </c>
      <c r="G330" s="494">
        <f>단가산출근거목록표!F140</f>
        <v>789</v>
      </c>
      <c r="H330" s="498">
        <f>IF(C330=0,0,ROUNDDOWN(G330*C330,1))</f>
        <v>1183.5</v>
      </c>
      <c r="I330" s="494">
        <f>단가산출근거목록표!G140</f>
        <v>22</v>
      </c>
      <c r="J330" s="498">
        <f>IF(C330=0,0,ROUNDDOWN(I330*C330,1))</f>
        <v>33</v>
      </c>
      <c r="K330" s="494">
        <f>단가산출근거목록표!H140</f>
        <v>110</v>
      </c>
      <c r="L330" s="498">
        <f>IF(C330=0,0,ROUNDDOWN(K330*C330,1))</f>
        <v>165</v>
      </c>
      <c r="M330" s="463" t="s">
        <v>2540</v>
      </c>
      <c r="N330" s="451" t="s">
        <v>2541</v>
      </c>
      <c r="O330" s="468" t="s">
        <v>2542</v>
      </c>
      <c r="P330" s="468" t="s">
        <v>2354</v>
      </c>
      <c r="Z330" s="433" t="str">
        <f ca="1">HYPERLINK("#"&amp;단가산출근거목록표!J2&amp;"!A"&amp;ROW(단가산출근거목록표!A140),"D01217 →")</f>
        <v>D01217 →</v>
      </c>
    </row>
    <row r="331" spans="1:26" ht="33.200000000000003" customHeight="1">
      <c r="A331" s="463" t="s">
        <v>842</v>
      </c>
      <c r="B331" s="497"/>
      <c r="C331" s="497"/>
      <c r="D331" s="497"/>
      <c r="E331" s="497"/>
      <c r="F331" s="446">
        <f>J331+H331+L331</f>
        <v>37356</v>
      </c>
      <c r="G331" s="497"/>
      <c r="H331" s="446">
        <f>ROUNDDOWN(SUMIF(P327:P330,O331,H327:H330),0)</f>
        <v>37158</v>
      </c>
      <c r="I331" s="497"/>
      <c r="J331" s="446">
        <f>ROUNDDOWN(SUMIF(P327:P330,O331,J327:J330),0)</f>
        <v>33</v>
      </c>
      <c r="K331" s="497"/>
      <c r="L331" s="446">
        <f>ROUNDDOWN(SUMIF(P327:P330,O331,L327:L330),0)</f>
        <v>165</v>
      </c>
      <c r="M331" s="497"/>
      <c r="O331" s="468" t="s">
        <v>2354</v>
      </c>
    </row>
    <row r="332" spans="1:26" ht="33.200000000000003" customHeight="1">
      <c r="A332" s="484" t="s">
        <v>2589</v>
      </c>
      <c r="B332" s="484"/>
      <c r="C332" s="485"/>
      <c r="D332" s="485"/>
      <c r="E332" s="485"/>
      <c r="F332" s="485"/>
      <c r="G332" s="485"/>
      <c r="H332" s="485"/>
      <c r="I332" s="485"/>
      <c r="J332" s="485"/>
      <c r="K332" s="485"/>
      <c r="L332" s="485"/>
      <c r="M332" s="485"/>
      <c r="N332" s="486" t="str">
        <f>HYPERLINK("#N"&amp;ROW(N337),"_x0005_`BDCOD|B02628_x0007_`POSS|"&amp;ROW(N334)&amp;"_x0007_`POSE|"&amp;ROW(N337)&amp;"_x0007_`")</f>
        <v>_x0005_`BDCOD|B02628_x0007_`POSS|334_x0007_`POSE|337_x0007_`</v>
      </c>
    </row>
    <row r="333" spans="1:26" ht="33.200000000000003" customHeight="1">
      <c r="A333" s="469" t="s">
        <v>927</v>
      </c>
      <c r="B333" s="469" t="s">
        <v>923</v>
      </c>
      <c r="C333" s="487"/>
      <c r="D333" s="488" t="s">
        <v>911</v>
      </c>
      <c r="E333" s="487"/>
      <c r="F333" s="487"/>
      <c r="G333" s="487"/>
      <c r="H333" s="487"/>
      <c r="I333" s="487"/>
      <c r="J333" s="487"/>
      <c r="K333" s="487"/>
      <c r="L333" s="487"/>
      <c r="M333" s="488" t="s">
        <v>937</v>
      </c>
      <c r="O333" s="468" t="s">
        <v>937</v>
      </c>
    </row>
    <row r="334" spans="1:26" ht="33.200000000000003" customHeight="1">
      <c r="A334" s="452" t="s">
        <v>2484</v>
      </c>
      <c r="B334" s="452" t="s">
        <v>2533</v>
      </c>
      <c r="C334" s="489">
        <v>0.4</v>
      </c>
      <c r="D334" s="480" t="s">
        <v>8</v>
      </c>
      <c r="E334" s="490">
        <f t="shared" ref="E334:F337" si="33">I334+G334+K334</f>
        <v>93246</v>
      </c>
      <c r="F334" s="493">
        <f t="shared" si="33"/>
        <v>37298.400000000001</v>
      </c>
      <c r="G334" s="494">
        <f>단가산출근거목록표!F158</f>
        <v>93246</v>
      </c>
      <c r="H334" s="498">
        <f>IF(C334=0,0,ROUNDDOWN(G334*C334,1))</f>
        <v>37298.400000000001</v>
      </c>
      <c r="I334" s="494">
        <f>단가산출근거목록표!G158</f>
        <v>0</v>
      </c>
      <c r="J334" s="498">
        <f>IF(C334=0,0,ROUNDDOWN(I334*C334,1))</f>
        <v>0</v>
      </c>
      <c r="K334" s="494">
        <f>단가산출근거목록표!H158</f>
        <v>0</v>
      </c>
      <c r="L334" s="498">
        <f>IF(C334=0,0,ROUNDDOWN(K334*C334,1))</f>
        <v>0</v>
      </c>
      <c r="M334" s="463" t="s">
        <v>2534</v>
      </c>
      <c r="N334" s="451" t="s">
        <v>2535</v>
      </c>
      <c r="O334" s="468" t="s">
        <v>2536</v>
      </c>
      <c r="P334" s="468" t="s">
        <v>2354</v>
      </c>
      <c r="Z334" s="433" t="str">
        <f ca="1">HYPERLINK("#"&amp;단가산출근거목록표!J2&amp;"!A"&amp;ROW(단가산출근거목록표!A158),"D01267 →")</f>
        <v>D01267 →</v>
      </c>
    </row>
    <row r="335" spans="1:26" ht="33.200000000000003" customHeight="1">
      <c r="A335" s="452" t="s">
        <v>2298</v>
      </c>
      <c r="B335" s="452" t="s">
        <v>2299</v>
      </c>
      <c r="C335" s="489">
        <v>0.3</v>
      </c>
      <c r="D335" s="480" t="s">
        <v>8</v>
      </c>
      <c r="E335" s="490">
        <f t="shared" si="33"/>
        <v>24089</v>
      </c>
      <c r="F335" s="493">
        <f t="shared" si="33"/>
        <v>7226.7</v>
      </c>
      <c r="G335" s="494">
        <f>일위대가목록표!F37</f>
        <v>24089</v>
      </c>
      <c r="H335" s="498">
        <f>IF(C335=0,0,ROUNDDOWN(G335*C335,1))</f>
        <v>7226.7</v>
      </c>
      <c r="I335" s="494">
        <f>일위대가목록표!G37</f>
        <v>0</v>
      </c>
      <c r="J335" s="498">
        <f>IF(C335=0,0,ROUNDDOWN(I335*C335,1))</f>
        <v>0</v>
      </c>
      <c r="K335" s="494">
        <f>일위대가목록표!H37</f>
        <v>0</v>
      </c>
      <c r="L335" s="498">
        <f>IF(C335=0,0,ROUNDDOWN(K335*C335,1))</f>
        <v>0</v>
      </c>
      <c r="M335" s="463" t="s">
        <v>2492</v>
      </c>
      <c r="N335" s="451" t="s">
        <v>2537</v>
      </c>
      <c r="O335" s="468" t="s">
        <v>2494</v>
      </c>
      <c r="P335" s="468" t="s">
        <v>2354</v>
      </c>
      <c r="Z335" s="433" t="str">
        <f ca="1">HYPERLINK("#"&amp;일위대가목록표!J2&amp;"!A"&amp;ROW(일위대가목록표!A37),"B01447 →")</f>
        <v>B01447 →</v>
      </c>
    </row>
    <row r="336" spans="1:26" ht="33.200000000000003" customHeight="1">
      <c r="A336" s="452" t="s">
        <v>2321</v>
      </c>
      <c r="B336" s="452" t="s">
        <v>2322</v>
      </c>
      <c r="C336" s="489">
        <v>0.1</v>
      </c>
      <c r="D336" s="480" t="s">
        <v>8</v>
      </c>
      <c r="E336" s="490">
        <f t="shared" si="33"/>
        <v>34413</v>
      </c>
      <c r="F336" s="493">
        <f t="shared" si="33"/>
        <v>3441.3</v>
      </c>
      <c r="G336" s="494">
        <f>일위대가목록표!F275</f>
        <v>34413</v>
      </c>
      <c r="H336" s="498">
        <f>IF(C336=0,0,ROUNDDOWN(G336*C336,1))</f>
        <v>3441.3</v>
      </c>
      <c r="I336" s="494">
        <f>일위대가목록표!G275</f>
        <v>0</v>
      </c>
      <c r="J336" s="498">
        <f>IF(C336=0,0,ROUNDDOWN(I336*C336,1))</f>
        <v>0</v>
      </c>
      <c r="K336" s="494">
        <f>일위대가목록표!H275</f>
        <v>0</v>
      </c>
      <c r="L336" s="498">
        <f>IF(C336=0,0,ROUNDDOWN(K336*C336,1))</f>
        <v>0</v>
      </c>
      <c r="M336" s="463" t="s">
        <v>2489</v>
      </c>
      <c r="N336" s="451" t="s">
        <v>2538</v>
      </c>
      <c r="O336" s="468" t="s">
        <v>2491</v>
      </c>
      <c r="P336" s="468" t="s">
        <v>2354</v>
      </c>
      <c r="Z336" s="433" t="str">
        <f ca="1">HYPERLINK("#"&amp;일위대가목록표!J2&amp;"!A"&amp;ROW(일위대가목록표!A275),"B01414 →")</f>
        <v>B01414 →</v>
      </c>
    </row>
    <row r="337" spans="1:26" ht="33.200000000000003" customHeight="1">
      <c r="A337" s="452" t="s">
        <v>1997</v>
      </c>
      <c r="B337" s="452" t="s">
        <v>2539</v>
      </c>
      <c r="C337" s="489">
        <v>2</v>
      </c>
      <c r="D337" s="480" t="s">
        <v>595</v>
      </c>
      <c r="E337" s="490">
        <f t="shared" si="33"/>
        <v>921</v>
      </c>
      <c r="F337" s="493">
        <f t="shared" si="33"/>
        <v>1842</v>
      </c>
      <c r="G337" s="494">
        <f>단가산출근거목록표!F140</f>
        <v>789</v>
      </c>
      <c r="H337" s="498">
        <f>IF(C337=0,0,ROUNDDOWN(G337*C337,1))</f>
        <v>1578</v>
      </c>
      <c r="I337" s="494">
        <f>단가산출근거목록표!G140</f>
        <v>22</v>
      </c>
      <c r="J337" s="498">
        <f>IF(C337=0,0,ROUNDDOWN(I337*C337,1))</f>
        <v>44</v>
      </c>
      <c r="K337" s="494">
        <f>단가산출근거목록표!H140</f>
        <v>110</v>
      </c>
      <c r="L337" s="498">
        <f>IF(C337=0,0,ROUNDDOWN(K337*C337,1))</f>
        <v>220</v>
      </c>
      <c r="M337" s="463" t="s">
        <v>2540</v>
      </c>
      <c r="N337" s="451" t="s">
        <v>2541</v>
      </c>
      <c r="O337" s="468" t="s">
        <v>2542</v>
      </c>
      <c r="P337" s="468" t="s">
        <v>2354</v>
      </c>
      <c r="Z337" s="433" t="str">
        <f ca="1">HYPERLINK("#"&amp;단가산출근거목록표!J2&amp;"!A"&amp;ROW(단가산출근거목록표!A140),"D01217 →")</f>
        <v>D01217 →</v>
      </c>
    </row>
    <row r="338" spans="1:26" ht="33.200000000000003" customHeight="1">
      <c r="A338" s="463" t="s">
        <v>842</v>
      </c>
      <c r="B338" s="497"/>
      <c r="C338" s="497"/>
      <c r="D338" s="497"/>
      <c r="E338" s="497"/>
      <c r="F338" s="446">
        <f>J338+H338+L338</f>
        <v>49808</v>
      </c>
      <c r="G338" s="497"/>
      <c r="H338" s="446">
        <f>ROUNDDOWN(SUMIF(P334:P337,O338,H334:H337),0)</f>
        <v>49544</v>
      </c>
      <c r="I338" s="497"/>
      <c r="J338" s="446">
        <f>ROUNDDOWN(SUMIF(P334:P337,O338,J334:J337),0)</f>
        <v>44</v>
      </c>
      <c r="K338" s="497"/>
      <c r="L338" s="446">
        <f>ROUNDDOWN(SUMIF(P334:P337,O338,L334:L337),0)</f>
        <v>220</v>
      </c>
      <c r="M338" s="497"/>
      <c r="O338" s="468" t="s">
        <v>2354</v>
      </c>
    </row>
    <row r="339" spans="1:26" ht="33.200000000000003" customHeight="1">
      <c r="A339" s="484" t="s">
        <v>2598</v>
      </c>
      <c r="B339" s="484"/>
      <c r="C339" s="485"/>
      <c r="D339" s="485"/>
      <c r="E339" s="485"/>
      <c r="F339" s="485"/>
      <c r="G339" s="485"/>
      <c r="H339" s="485"/>
      <c r="I339" s="485"/>
      <c r="J339" s="485"/>
      <c r="K339" s="485"/>
      <c r="L339" s="485"/>
      <c r="M339" s="485"/>
      <c r="N339" s="486" t="str">
        <f>HYPERLINK("#N"&amp;ROW(N345),"_x0005_`BDCOD|B02823_x0007_`POSS|"&amp;ROW(N341)&amp;"_x0007_`POSE|"&amp;ROW(N345)&amp;"_x0007_`")</f>
        <v>_x0005_`BDCOD|B02823_x0007_`POSS|341_x0007_`POSE|345_x0007_`</v>
      </c>
    </row>
    <row r="340" spans="1:26" ht="33.200000000000003" customHeight="1">
      <c r="A340" s="469" t="s">
        <v>5039</v>
      </c>
      <c r="B340" s="469" t="s">
        <v>910</v>
      </c>
      <c r="C340" s="487"/>
      <c r="D340" s="488" t="s">
        <v>911</v>
      </c>
      <c r="E340" s="487"/>
      <c r="F340" s="487"/>
      <c r="G340" s="487"/>
      <c r="H340" s="487"/>
      <c r="I340" s="487"/>
      <c r="J340" s="487"/>
      <c r="K340" s="487"/>
      <c r="L340" s="487"/>
      <c r="M340" s="488" t="s">
        <v>5040</v>
      </c>
      <c r="O340" s="468" t="s">
        <v>5040</v>
      </c>
    </row>
    <row r="341" spans="1:26" ht="33.200000000000003" customHeight="1">
      <c r="A341" s="452" t="s">
        <v>2484</v>
      </c>
      <c r="B341" s="452" t="s">
        <v>2533</v>
      </c>
      <c r="C341" s="489">
        <v>0.2</v>
      </c>
      <c r="D341" s="480" t="s">
        <v>8</v>
      </c>
      <c r="E341" s="490">
        <f t="shared" ref="E341:F345" si="34">I341+G341+K341</f>
        <v>93246</v>
      </c>
      <c r="F341" s="493">
        <f t="shared" si="34"/>
        <v>18649.2</v>
      </c>
      <c r="G341" s="494">
        <f>단가산출근거목록표!F158</f>
        <v>93246</v>
      </c>
      <c r="H341" s="498">
        <f>IF(C341=0,0,ROUNDDOWN(G341*C341,1))</f>
        <v>18649.2</v>
      </c>
      <c r="I341" s="494">
        <f>단가산출근거목록표!G158</f>
        <v>0</v>
      </c>
      <c r="J341" s="498">
        <f>IF(C341=0,0,ROUNDDOWN(I341*C341,1))</f>
        <v>0</v>
      </c>
      <c r="K341" s="494">
        <f>단가산출근거목록표!H158</f>
        <v>0</v>
      </c>
      <c r="L341" s="498">
        <f>IF(C341=0,0,ROUNDDOWN(K341*C341,1))</f>
        <v>0</v>
      </c>
      <c r="M341" s="463" t="s">
        <v>2534</v>
      </c>
      <c r="N341" s="451" t="s">
        <v>2547</v>
      </c>
      <c r="O341" s="468" t="s">
        <v>2536</v>
      </c>
      <c r="P341" s="468" t="s">
        <v>2354</v>
      </c>
      <c r="Q341" s="468" t="s">
        <v>2355</v>
      </c>
      <c r="Z341" s="433" t="str">
        <f ca="1">HYPERLINK("#"&amp;단가산출근거목록표!J2&amp;"!A"&amp;ROW(단가산출근거목록표!A158),"D01267 →")</f>
        <v>D01267 →</v>
      </c>
    </row>
    <row r="342" spans="1:26" ht="33.200000000000003" customHeight="1">
      <c r="A342" s="452" t="s">
        <v>2298</v>
      </c>
      <c r="B342" s="452" t="s">
        <v>2299</v>
      </c>
      <c r="C342" s="489">
        <v>0.15</v>
      </c>
      <c r="D342" s="480" t="s">
        <v>8</v>
      </c>
      <c r="E342" s="490">
        <f t="shared" si="34"/>
        <v>24089</v>
      </c>
      <c r="F342" s="493">
        <f t="shared" si="34"/>
        <v>3613.3</v>
      </c>
      <c r="G342" s="494">
        <f>일위대가목록표!F37</f>
        <v>24089</v>
      </c>
      <c r="H342" s="498">
        <f>IF(C342=0,0,ROUNDDOWN(G342*C342,1))</f>
        <v>3613.3</v>
      </c>
      <c r="I342" s="494">
        <f>일위대가목록표!G37</f>
        <v>0</v>
      </c>
      <c r="J342" s="498">
        <f>IF(C342=0,0,ROUNDDOWN(I342*C342,1))</f>
        <v>0</v>
      </c>
      <c r="K342" s="494">
        <f>일위대가목록표!H37</f>
        <v>0</v>
      </c>
      <c r="L342" s="498">
        <f>IF(C342=0,0,ROUNDDOWN(K342*C342,1))</f>
        <v>0</v>
      </c>
      <c r="M342" s="463" t="s">
        <v>2492</v>
      </c>
      <c r="N342" s="451" t="s">
        <v>2493</v>
      </c>
      <c r="O342" s="468" t="s">
        <v>2494</v>
      </c>
      <c r="P342" s="468" t="s">
        <v>2354</v>
      </c>
      <c r="Q342" s="468" t="s">
        <v>2355</v>
      </c>
      <c r="Z342" s="433" t="str">
        <f ca="1">HYPERLINK("#"&amp;일위대가목록표!J2&amp;"!A"&amp;ROW(일위대가목록표!A37),"B01447 →")</f>
        <v>B01447 →</v>
      </c>
    </row>
    <row r="343" spans="1:26" ht="33.200000000000003" customHeight="1">
      <c r="A343" s="452" t="s">
        <v>2321</v>
      </c>
      <c r="B343" s="452" t="s">
        <v>2322</v>
      </c>
      <c r="C343" s="489">
        <v>0.05</v>
      </c>
      <c r="D343" s="480" t="s">
        <v>8</v>
      </c>
      <c r="E343" s="490">
        <f t="shared" si="34"/>
        <v>34413</v>
      </c>
      <c r="F343" s="493">
        <f t="shared" si="34"/>
        <v>1720.6</v>
      </c>
      <c r="G343" s="494">
        <f>일위대가목록표!F275</f>
        <v>34413</v>
      </c>
      <c r="H343" s="498">
        <f>IF(C343=0,0,ROUNDDOWN(G343*C343,1))</f>
        <v>1720.6</v>
      </c>
      <c r="I343" s="494">
        <f>일위대가목록표!G275</f>
        <v>0</v>
      </c>
      <c r="J343" s="498">
        <f>IF(C343=0,0,ROUNDDOWN(I343*C343,1))</f>
        <v>0</v>
      </c>
      <c r="K343" s="494">
        <f>일위대가목록표!H275</f>
        <v>0</v>
      </c>
      <c r="L343" s="498">
        <f>IF(C343=0,0,ROUNDDOWN(K343*C343,1))</f>
        <v>0</v>
      </c>
      <c r="M343" s="463" t="s">
        <v>2489</v>
      </c>
      <c r="N343" s="451" t="s">
        <v>2490</v>
      </c>
      <c r="O343" s="468" t="s">
        <v>2491</v>
      </c>
      <c r="P343" s="468" t="s">
        <v>2354</v>
      </c>
      <c r="Q343" s="468" t="s">
        <v>2355</v>
      </c>
      <c r="Z343" s="433" t="str">
        <f ca="1">HYPERLINK("#"&amp;일위대가목록표!J2&amp;"!A"&amp;ROW(일위대가목록표!A275),"B01414 →")</f>
        <v>B01414 →</v>
      </c>
    </row>
    <row r="344" spans="1:26" ht="33.200000000000003" customHeight="1">
      <c r="A344" s="452" t="s">
        <v>1997</v>
      </c>
      <c r="B344" s="452" t="s">
        <v>2539</v>
      </c>
      <c r="C344" s="489">
        <v>1</v>
      </c>
      <c r="D344" s="480" t="s">
        <v>595</v>
      </c>
      <c r="E344" s="490">
        <f t="shared" si="34"/>
        <v>921</v>
      </c>
      <c r="F344" s="493">
        <f t="shared" si="34"/>
        <v>921</v>
      </c>
      <c r="G344" s="494">
        <f>단가산출근거목록표!F140</f>
        <v>789</v>
      </c>
      <c r="H344" s="498">
        <f>IF(C344=0,0,ROUNDDOWN(G344*C344,1))</f>
        <v>789</v>
      </c>
      <c r="I344" s="494">
        <f>단가산출근거목록표!G140</f>
        <v>22</v>
      </c>
      <c r="J344" s="498">
        <f>IF(C344=0,0,ROUNDDOWN(I344*C344,1))</f>
        <v>22</v>
      </c>
      <c r="K344" s="494">
        <f>단가산출근거목록표!H140</f>
        <v>110</v>
      </c>
      <c r="L344" s="498">
        <f>IF(C344=0,0,ROUNDDOWN(K344*C344,1))</f>
        <v>110</v>
      </c>
      <c r="M344" s="463" t="s">
        <v>2540</v>
      </c>
      <c r="N344" s="451" t="s">
        <v>2548</v>
      </c>
      <c r="O344" s="468" t="s">
        <v>2542</v>
      </c>
      <c r="P344" s="468" t="s">
        <v>2354</v>
      </c>
      <c r="Q344" s="468" t="s">
        <v>2355</v>
      </c>
      <c r="Z344" s="433" t="str">
        <f ca="1">HYPERLINK("#"&amp;단가산출근거목록표!J2&amp;"!A"&amp;ROW(단가산출근거목록표!A140),"D01217 →")</f>
        <v>D01217 →</v>
      </c>
    </row>
    <row r="345" spans="1:26" ht="33.200000000000003" customHeight="1">
      <c r="A345" s="452" t="s">
        <v>2507</v>
      </c>
      <c r="B345" s="452" t="s">
        <v>2441</v>
      </c>
      <c r="C345" s="489">
        <v>15</v>
      </c>
      <c r="D345" s="480" t="s">
        <v>2371</v>
      </c>
      <c r="E345" s="490">
        <f t="shared" si="34"/>
        <v>24772.1</v>
      </c>
      <c r="F345" s="491">
        <f t="shared" si="34"/>
        <v>3715.8</v>
      </c>
      <c r="G345" s="496">
        <f>H341+H342+H343+H344</f>
        <v>24772.1</v>
      </c>
      <c r="H345" s="491">
        <f>IF(C345=0,0,ROUNDDOWN(G345*C345/100,1))</f>
        <v>3715.8</v>
      </c>
      <c r="I345" s="465">
        <v>0</v>
      </c>
      <c r="J345" s="493">
        <f>IF(C345=0,0,ROUNDDOWN(I345*C345/100,1))</f>
        <v>0</v>
      </c>
      <c r="K345" s="467">
        <v>0</v>
      </c>
      <c r="L345" s="493">
        <f>IF(C345=0,0,ROUNDDOWN(K345*C345/100,1))</f>
        <v>0</v>
      </c>
      <c r="M345" s="463"/>
      <c r="N345" s="451" t="s">
        <v>2508</v>
      </c>
      <c r="O345" s="468" t="s">
        <v>2373</v>
      </c>
      <c r="P345" s="468" t="s">
        <v>2354</v>
      </c>
    </row>
    <row r="346" spans="1:26" ht="33.200000000000003" customHeight="1">
      <c r="A346" s="463" t="s">
        <v>842</v>
      </c>
      <c r="B346" s="497"/>
      <c r="C346" s="497"/>
      <c r="D346" s="497"/>
      <c r="E346" s="497"/>
      <c r="F346" s="446">
        <f>J346+H346+L346</f>
        <v>28619</v>
      </c>
      <c r="G346" s="497"/>
      <c r="H346" s="446">
        <f>ROUNDDOWN(SUMIF(P341:P345,O346,H341:H345),0)</f>
        <v>28487</v>
      </c>
      <c r="I346" s="497"/>
      <c r="J346" s="446">
        <f>ROUNDDOWN(SUMIF(P341:P345,O346,J341:J345),0)</f>
        <v>22</v>
      </c>
      <c r="K346" s="497"/>
      <c r="L346" s="446">
        <f>ROUNDDOWN(SUMIF(P341:P345,O346,L341:L345),0)</f>
        <v>110</v>
      </c>
      <c r="M346" s="497"/>
      <c r="O346" s="468" t="s">
        <v>2354</v>
      </c>
    </row>
    <row r="347" spans="1:26" ht="33.200000000000003" customHeight="1">
      <c r="A347" s="484" t="s">
        <v>2599</v>
      </c>
      <c r="B347" s="484"/>
      <c r="C347" s="485"/>
      <c r="D347" s="485"/>
      <c r="E347" s="485"/>
      <c r="F347" s="485"/>
      <c r="G347" s="485"/>
      <c r="H347" s="485"/>
      <c r="I347" s="485"/>
      <c r="J347" s="485"/>
      <c r="K347" s="485"/>
      <c r="L347" s="485"/>
      <c r="M347" s="485"/>
      <c r="N347" s="486" t="str">
        <f>HYPERLINK("#N"&amp;ROW(N353),"_x0005_`BDCOD|B02824_x0007_`POSS|"&amp;ROW(N349)&amp;"_x0007_`POSE|"&amp;ROW(N353)&amp;"_x0007_`")</f>
        <v>_x0005_`BDCOD|B02824_x0007_`POSS|349_x0007_`POSE|353_x0007_`</v>
      </c>
    </row>
    <row r="348" spans="1:26" ht="33.200000000000003" customHeight="1">
      <c r="A348" s="469" t="s">
        <v>5039</v>
      </c>
      <c r="B348" s="469" t="s">
        <v>915</v>
      </c>
      <c r="C348" s="487"/>
      <c r="D348" s="488" t="s">
        <v>911</v>
      </c>
      <c r="E348" s="487"/>
      <c r="F348" s="487"/>
      <c r="G348" s="487"/>
      <c r="H348" s="487"/>
      <c r="I348" s="487"/>
      <c r="J348" s="487"/>
      <c r="K348" s="487"/>
      <c r="L348" s="487"/>
      <c r="M348" s="488" t="s">
        <v>5043</v>
      </c>
      <c r="O348" s="468" t="s">
        <v>5043</v>
      </c>
    </row>
    <row r="349" spans="1:26" ht="33.200000000000003" customHeight="1">
      <c r="A349" s="452" t="s">
        <v>2484</v>
      </c>
      <c r="B349" s="452" t="s">
        <v>2533</v>
      </c>
      <c r="C349" s="489">
        <v>0.24</v>
      </c>
      <c r="D349" s="480" t="s">
        <v>8</v>
      </c>
      <c r="E349" s="490">
        <f t="shared" ref="E349:F353" si="35">I349+G349+K349</f>
        <v>93246</v>
      </c>
      <c r="F349" s="493">
        <f t="shared" si="35"/>
        <v>22379</v>
      </c>
      <c r="G349" s="494">
        <f>단가산출근거목록표!F158</f>
        <v>93246</v>
      </c>
      <c r="H349" s="498">
        <f>IF(C349=0,0,ROUNDDOWN(G349*C349,1))</f>
        <v>22379</v>
      </c>
      <c r="I349" s="494">
        <f>단가산출근거목록표!G158</f>
        <v>0</v>
      </c>
      <c r="J349" s="498">
        <f>IF(C349=0,0,ROUNDDOWN(I349*C349,1))</f>
        <v>0</v>
      </c>
      <c r="K349" s="494">
        <f>단가산출근거목록표!H158</f>
        <v>0</v>
      </c>
      <c r="L349" s="498">
        <f>IF(C349=0,0,ROUNDDOWN(K349*C349,1))</f>
        <v>0</v>
      </c>
      <c r="M349" s="463" t="s">
        <v>2534</v>
      </c>
      <c r="N349" s="451" t="s">
        <v>2547</v>
      </c>
      <c r="O349" s="468" t="s">
        <v>2536</v>
      </c>
      <c r="P349" s="468" t="s">
        <v>2354</v>
      </c>
      <c r="Q349" s="468" t="s">
        <v>2355</v>
      </c>
      <c r="Z349" s="433" t="str">
        <f ca="1">HYPERLINK("#"&amp;단가산출근거목록표!J2&amp;"!A"&amp;ROW(단가산출근거목록표!A158),"D01267 →")</f>
        <v>D01267 →</v>
      </c>
    </row>
    <row r="350" spans="1:26" ht="33.200000000000003" customHeight="1">
      <c r="A350" s="452" t="s">
        <v>2298</v>
      </c>
      <c r="B350" s="452" t="s">
        <v>2299</v>
      </c>
      <c r="C350" s="489">
        <v>0.18</v>
      </c>
      <c r="D350" s="480" t="s">
        <v>8</v>
      </c>
      <c r="E350" s="490">
        <f t="shared" si="35"/>
        <v>24089</v>
      </c>
      <c r="F350" s="493">
        <f t="shared" si="35"/>
        <v>4336</v>
      </c>
      <c r="G350" s="494">
        <f>일위대가목록표!F37</f>
        <v>24089</v>
      </c>
      <c r="H350" s="498">
        <f>IF(C350=0,0,ROUNDDOWN(G350*C350,1))</f>
        <v>4336</v>
      </c>
      <c r="I350" s="494">
        <f>일위대가목록표!G37</f>
        <v>0</v>
      </c>
      <c r="J350" s="498">
        <f>IF(C350=0,0,ROUNDDOWN(I350*C350,1))</f>
        <v>0</v>
      </c>
      <c r="K350" s="494">
        <f>일위대가목록표!H37</f>
        <v>0</v>
      </c>
      <c r="L350" s="498">
        <f>IF(C350=0,0,ROUNDDOWN(K350*C350,1))</f>
        <v>0</v>
      </c>
      <c r="M350" s="463" t="s">
        <v>2492</v>
      </c>
      <c r="N350" s="451" t="s">
        <v>2493</v>
      </c>
      <c r="O350" s="468" t="s">
        <v>2494</v>
      </c>
      <c r="P350" s="468" t="s">
        <v>2354</v>
      </c>
      <c r="Q350" s="468" t="s">
        <v>2355</v>
      </c>
      <c r="Z350" s="433" t="str">
        <f ca="1">HYPERLINK("#"&amp;일위대가목록표!J2&amp;"!A"&amp;ROW(일위대가목록표!A37),"B01447 →")</f>
        <v>B01447 →</v>
      </c>
    </row>
    <row r="351" spans="1:26" ht="33.200000000000003" customHeight="1">
      <c r="A351" s="452" t="s">
        <v>2321</v>
      </c>
      <c r="B351" s="452" t="s">
        <v>2322</v>
      </c>
      <c r="C351" s="489">
        <v>0.06</v>
      </c>
      <c r="D351" s="480" t="s">
        <v>8</v>
      </c>
      <c r="E351" s="490">
        <f t="shared" si="35"/>
        <v>34413</v>
      </c>
      <c r="F351" s="493">
        <f t="shared" si="35"/>
        <v>2064.6999999999998</v>
      </c>
      <c r="G351" s="494">
        <f>일위대가목록표!F275</f>
        <v>34413</v>
      </c>
      <c r="H351" s="498">
        <f>IF(C351=0,0,ROUNDDOWN(G351*C351,1))</f>
        <v>2064.6999999999998</v>
      </c>
      <c r="I351" s="494">
        <f>일위대가목록표!G275</f>
        <v>0</v>
      </c>
      <c r="J351" s="498">
        <f>IF(C351=0,0,ROUNDDOWN(I351*C351,1))</f>
        <v>0</v>
      </c>
      <c r="K351" s="494">
        <f>일위대가목록표!H275</f>
        <v>0</v>
      </c>
      <c r="L351" s="498">
        <f>IF(C351=0,0,ROUNDDOWN(K351*C351,1))</f>
        <v>0</v>
      </c>
      <c r="M351" s="463" t="s">
        <v>2489</v>
      </c>
      <c r="N351" s="451" t="s">
        <v>2490</v>
      </c>
      <c r="O351" s="468" t="s">
        <v>2491</v>
      </c>
      <c r="P351" s="468" t="s">
        <v>2354</v>
      </c>
      <c r="Q351" s="468" t="s">
        <v>2355</v>
      </c>
      <c r="Z351" s="433" t="str">
        <f ca="1">HYPERLINK("#"&amp;일위대가목록표!J2&amp;"!A"&amp;ROW(일위대가목록표!A275),"B01414 →")</f>
        <v>B01414 →</v>
      </c>
    </row>
    <row r="352" spans="1:26" ht="33.200000000000003" customHeight="1">
      <c r="A352" s="452" t="s">
        <v>1997</v>
      </c>
      <c r="B352" s="452" t="s">
        <v>2539</v>
      </c>
      <c r="C352" s="489">
        <v>1.2</v>
      </c>
      <c r="D352" s="480" t="s">
        <v>595</v>
      </c>
      <c r="E352" s="490">
        <f t="shared" si="35"/>
        <v>921</v>
      </c>
      <c r="F352" s="493">
        <f t="shared" si="35"/>
        <v>1105.1999999999998</v>
      </c>
      <c r="G352" s="494">
        <f>단가산출근거목록표!F140</f>
        <v>789</v>
      </c>
      <c r="H352" s="498">
        <f>IF(C352=0,0,ROUNDDOWN(G352*C352,1))</f>
        <v>946.8</v>
      </c>
      <c r="I352" s="494">
        <f>단가산출근거목록표!G140</f>
        <v>22</v>
      </c>
      <c r="J352" s="498">
        <f>IF(C352=0,0,ROUNDDOWN(I352*C352,1))</f>
        <v>26.4</v>
      </c>
      <c r="K352" s="494">
        <f>단가산출근거목록표!H140</f>
        <v>110</v>
      </c>
      <c r="L352" s="498">
        <f>IF(C352=0,0,ROUNDDOWN(K352*C352,1))</f>
        <v>132</v>
      </c>
      <c r="M352" s="463" t="s">
        <v>2540</v>
      </c>
      <c r="N352" s="451" t="s">
        <v>2548</v>
      </c>
      <c r="O352" s="468" t="s">
        <v>2542</v>
      </c>
      <c r="P352" s="468" t="s">
        <v>2354</v>
      </c>
      <c r="Q352" s="468" t="s">
        <v>2355</v>
      </c>
      <c r="Z352" s="433" t="str">
        <f ca="1">HYPERLINK("#"&amp;단가산출근거목록표!J2&amp;"!A"&amp;ROW(단가산출근거목록표!A140),"D01217 →")</f>
        <v>D01217 →</v>
      </c>
    </row>
    <row r="353" spans="1:26" ht="33.200000000000003" customHeight="1">
      <c r="A353" s="452" t="s">
        <v>2507</v>
      </c>
      <c r="B353" s="452" t="s">
        <v>2441</v>
      </c>
      <c r="C353" s="489">
        <v>15</v>
      </c>
      <c r="D353" s="480" t="s">
        <v>2371</v>
      </c>
      <c r="E353" s="490">
        <f t="shared" si="35"/>
        <v>29726.5</v>
      </c>
      <c r="F353" s="491">
        <f t="shared" si="35"/>
        <v>4458.8999999999996</v>
      </c>
      <c r="G353" s="496">
        <f>H349+H350+H351+H352</f>
        <v>29726.5</v>
      </c>
      <c r="H353" s="491">
        <f>IF(C353=0,0,ROUNDDOWN(G353*C353/100,1))</f>
        <v>4458.8999999999996</v>
      </c>
      <c r="I353" s="465">
        <v>0</v>
      </c>
      <c r="J353" s="493">
        <f>IF(C353=0,0,ROUNDDOWN(I353*C353/100,1))</f>
        <v>0</v>
      </c>
      <c r="K353" s="467">
        <v>0</v>
      </c>
      <c r="L353" s="493">
        <f>IF(C353=0,0,ROUNDDOWN(K353*C353/100,1))</f>
        <v>0</v>
      </c>
      <c r="M353" s="463"/>
      <c r="N353" s="451" t="s">
        <v>2508</v>
      </c>
      <c r="O353" s="468" t="s">
        <v>2373</v>
      </c>
      <c r="P353" s="468" t="s">
        <v>2354</v>
      </c>
    </row>
    <row r="354" spans="1:26" ht="33.200000000000003" customHeight="1">
      <c r="A354" s="463" t="s">
        <v>842</v>
      </c>
      <c r="B354" s="497"/>
      <c r="C354" s="497"/>
      <c r="D354" s="497"/>
      <c r="E354" s="497"/>
      <c r="F354" s="446">
        <f>J354+H354+L354</f>
        <v>34343</v>
      </c>
      <c r="G354" s="497"/>
      <c r="H354" s="446">
        <f>ROUNDDOWN(SUMIF(P349:P353,O354,H349:H353),0)</f>
        <v>34185</v>
      </c>
      <c r="I354" s="497"/>
      <c r="J354" s="446">
        <f>ROUNDDOWN(SUMIF(P349:P353,O354,J349:J353),0)</f>
        <v>26</v>
      </c>
      <c r="K354" s="497"/>
      <c r="L354" s="446">
        <f>ROUNDDOWN(SUMIF(P349:P353,O354,L349:L353),0)</f>
        <v>132</v>
      </c>
      <c r="M354" s="497"/>
      <c r="O354" s="468" t="s">
        <v>2354</v>
      </c>
    </row>
    <row r="355" spans="1:26" ht="33.200000000000003" customHeight="1">
      <c r="A355" s="484" t="s">
        <v>2602</v>
      </c>
      <c r="B355" s="484"/>
      <c r="C355" s="485"/>
      <c r="D355" s="485"/>
      <c r="E355" s="485"/>
      <c r="F355" s="485"/>
      <c r="G355" s="485"/>
      <c r="H355" s="485"/>
      <c r="I355" s="485"/>
      <c r="J355" s="485"/>
      <c r="K355" s="485"/>
      <c r="L355" s="485"/>
      <c r="M355" s="485"/>
      <c r="N355" s="486" t="str">
        <f>HYPERLINK("#N"&amp;ROW(N361),"_x0005_`BDCOD|B02825_x0007_`POSS|"&amp;ROW(N357)&amp;"_x0007_`POSE|"&amp;ROW(N361)&amp;"_x0007_`")</f>
        <v>_x0005_`BDCOD|B02825_x0007_`POSS|357_x0007_`POSE|361_x0007_`</v>
      </c>
    </row>
    <row r="356" spans="1:26" ht="33.200000000000003" customHeight="1">
      <c r="A356" s="469" t="s">
        <v>5039</v>
      </c>
      <c r="B356" s="469" t="s">
        <v>919</v>
      </c>
      <c r="C356" s="487"/>
      <c r="D356" s="488" t="s">
        <v>911</v>
      </c>
      <c r="E356" s="487"/>
      <c r="F356" s="487"/>
      <c r="G356" s="487"/>
      <c r="H356" s="487"/>
      <c r="I356" s="487"/>
      <c r="J356" s="487"/>
      <c r="K356" s="487"/>
      <c r="L356" s="487"/>
      <c r="M356" s="488" t="s">
        <v>5046</v>
      </c>
      <c r="O356" s="468" t="s">
        <v>5046</v>
      </c>
    </row>
    <row r="357" spans="1:26" ht="33.200000000000003" customHeight="1">
      <c r="A357" s="452" t="s">
        <v>2484</v>
      </c>
      <c r="B357" s="452" t="s">
        <v>2533</v>
      </c>
      <c r="C357" s="489">
        <v>0.3</v>
      </c>
      <c r="D357" s="480" t="s">
        <v>8</v>
      </c>
      <c r="E357" s="490">
        <f t="shared" ref="E357:F361" si="36">I357+G357+K357</f>
        <v>93246</v>
      </c>
      <c r="F357" s="493">
        <f t="shared" si="36"/>
        <v>27973.8</v>
      </c>
      <c r="G357" s="494">
        <f>단가산출근거목록표!F158</f>
        <v>93246</v>
      </c>
      <c r="H357" s="498">
        <f>IF(C357=0,0,ROUNDDOWN(G357*C357,1))</f>
        <v>27973.8</v>
      </c>
      <c r="I357" s="494">
        <f>단가산출근거목록표!G158</f>
        <v>0</v>
      </c>
      <c r="J357" s="498">
        <f>IF(C357=0,0,ROUNDDOWN(I357*C357,1))</f>
        <v>0</v>
      </c>
      <c r="K357" s="494">
        <f>단가산출근거목록표!H158</f>
        <v>0</v>
      </c>
      <c r="L357" s="498">
        <f>IF(C357=0,0,ROUNDDOWN(K357*C357,1))</f>
        <v>0</v>
      </c>
      <c r="M357" s="463" t="s">
        <v>2534</v>
      </c>
      <c r="N357" s="451" t="s">
        <v>2547</v>
      </c>
      <c r="O357" s="468" t="s">
        <v>2536</v>
      </c>
      <c r="P357" s="468" t="s">
        <v>2354</v>
      </c>
      <c r="Q357" s="468" t="s">
        <v>2355</v>
      </c>
      <c r="Z357" s="433" t="str">
        <f ca="1">HYPERLINK("#"&amp;단가산출근거목록표!J2&amp;"!A"&amp;ROW(단가산출근거목록표!A158),"D01267 →")</f>
        <v>D01267 →</v>
      </c>
    </row>
    <row r="358" spans="1:26" ht="33.200000000000003" customHeight="1">
      <c r="A358" s="452" t="s">
        <v>2298</v>
      </c>
      <c r="B358" s="452" t="s">
        <v>2299</v>
      </c>
      <c r="C358" s="489">
        <v>0.22500000000000001</v>
      </c>
      <c r="D358" s="480" t="s">
        <v>8</v>
      </c>
      <c r="E358" s="490">
        <f t="shared" si="36"/>
        <v>24089</v>
      </c>
      <c r="F358" s="493">
        <f t="shared" si="36"/>
        <v>5420</v>
      </c>
      <c r="G358" s="494">
        <f>일위대가목록표!F37</f>
        <v>24089</v>
      </c>
      <c r="H358" s="498">
        <f>IF(C358=0,0,ROUNDDOWN(G358*C358,1))</f>
        <v>5420</v>
      </c>
      <c r="I358" s="494">
        <f>일위대가목록표!G37</f>
        <v>0</v>
      </c>
      <c r="J358" s="498">
        <f>IF(C358=0,0,ROUNDDOWN(I358*C358,1))</f>
        <v>0</v>
      </c>
      <c r="K358" s="494">
        <f>일위대가목록표!H37</f>
        <v>0</v>
      </c>
      <c r="L358" s="498">
        <f>IF(C358=0,0,ROUNDDOWN(K358*C358,1))</f>
        <v>0</v>
      </c>
      <c r="M358" s="463" t="s">
        <v>2492</v>
      </c>
      <c r="N358" s="451" t="s">
        <v>2493</v>
      </c>
      <c r="O358" s="468" t="s">
        <v>2494</v>
      </c>
      <c r="P358" s="468" t="s">
        <v>2354</v>
      </c>
      <c r="Q358" s="468" t="s">
        <v>2355</v>
      </c>
      <c r="Z358" s="433" t="str">
        <f ca="1">HYPERLINK("#"&amp;일위대가목록표!J2&amp;"!A"&amp;ROW(일위대가목록표!A37),"B01447 →")</f>
        <v>B01447 →</v>
      </c>
    </row>
    <row r="359" spans="1:26" ht="33.200000000000003" customHeight="1">
      <c r="A359" s="452" t="s">
        <v>2321</v>
      </c>
      <c r="B359" s="452" t="s">
        <v>2322</v>
      </c>
      <c r="C359" s="489">
        <v>7.4999999999999997E-2</v>
      </c>
      <c r="D359" s="480" t="s">
        <v>8</v>
      </c>
      <c r="E359" s="490">
        <f t="shared" si="36"/>
        <v>34413</v>
      </c>
      <c r="F359" s="493">
        <f t="shared" si="36"/>
        <v>2580.9</v>
      </c>
      <c r="G359" s="494">
        <f>일위대가목록표!F275</f>
        <v>34413</v>
      </c>
      <c r="H359" s="498">
        <f>IF(C359=0,0,ROUNDDOWN(G359*C359,1))</f>
        <v>2580.9</v>
      </c>
      <c r="I359" s="494">
        <f>일위대가목록표!G275</f>
        <v>0</v>
      </c>
      <c r="J359" s="498">
        <f>IF(C359=0,0,ROUNDDOWN(I359*C359,1))</f>
        <v>0</v>
      </c>
      <c r="K359" s="494">
        <f>일위대가목록표!H275</f>
        <v>0</v>
      </c>
      <c r="L359" s="498">
        <f>IF(C359=0,0,ROUNDDOWN(K359*C359,1))</f>
        <v>0</v>
      </c>
      <c r="M359" s="463" t="s">
        <v>2489</v>
      </c>
      <c r="N359" s="451" t="s">
        <v>2490</v>
      </c>
      <c r="O359" s="468" t="s">
        <v>2491</v>
      </c>
      <c r="P359" s="468" t="s">
        <v>2354</v>
      </c>
      <c r="Q359" s="468" t="s">
        <v>2355</v>
      </c>
      <c r="Z359" s="433" t="str">
        <f ca="1">HYPERLINK("#"&amp;일위대가목록표!J2&amp;"!A"&amp;ROW(일위대가목록표!A275),"B01414 →")</f>
        <v>B01414 →</v>
      </c>
    </row>
    <row r="360" spans="1:26" ht="33.200000000000003" customHeight="1">
      <c r="A360" s="452" t="s">
        <v>1997</v>
      </c>
      <c r="B360" s="452" t="s">
        <v>2539</v>
      </c>
      <c r="C360" s="489">
        <v>1.5</v>
      </c>
      <c r="D360" s="480" t="s">
        <v>595</v>
      </c>
      <c r="E360" s="490">
        <f t="shared" si="36"/>
        <v>921</v>
      </c>
      <c r="F360" s="493">
        <f t="shared" si="36"/>
        <v>1381.5</v>
      </c>
      <c r="G360" s="494">
        <f>단가산출근거목록표!F140</f>
        <v>789</v>
      </c>
      <c r="H360" s="498">
        <f>IF(C360=0,0,ROUNDDOWN(G360*C360,1))</f>
        <v>1183.5</v>
      </c>
      <c r="I360" s="494">
        <f>단가산출근거목록표!G140</f>
        <v>22</v>
      </c>
      <c r="J360" s="498">
        <f>IF(C360=0,0,ROUNDDOWN(I360*C360,1))</f>
        <v>33</v>
      </c>
      <c r="K360" s="494">
        <f>단가산출근거목록표!H140</f>
        <v>110</v>
      </c>
      <c r="L360" s="498">
        <f>IF(C360=0,0,ROUNDDOWN(K360*C360,1))</f>
        <v>165</v>
      </c>
      <c r="M360" s="463" t="s">
        <v>2540</v>
      </c>
      <c r="N360" s="451" t="s">
        <v>2548</v>
      </c>
      <c r="O360" s="468" t="s">
        <v>2542</v>
      </c>
      <c r="P360" s="468" t="s">
        <v>2354</v>
      </c>
      <c r="Q360" s="468" t="s">
        <v>2355</v>
      </c>
      <c r="Z360" s="433" t="str">
        <f ca="1">HYPERLINK("#"&amp;단가산출근거목록표!J2&amp;"!A"&amp;ROW(단가산출근거목록표!A140),"D01217 →")</f>
        <v>D01217 →</v>
      </c>
    </row>
    <row r="361" spans="1:26" ht="33.200000000000003" customHeight="1">
      <c r="A361" s="452" t="s">
        <v>2507</v>
      </c>
      <c r="B361" s="452" t="s">
        <v>2441</v>
      </c>
      <c r="C361" s="489">
        <v>15</v>
      </c>
      <c r="D361" s="480" t="s">
        <v>2371</v>
      </c>
      <c r="E361" s="490">
        <f t="shared" si="36"/>
        <v>37158.200000000004</v>
      </c>
      <c r="F361" s="491">
        <f t="shared" si="36"/>
        <v>5573.7</v>
      </c>
      <c r="G361" s="496">
        <f>H357+H358+H359+H360</f>
        <v>37158.200000000004</v>
      </c>
      <c r="H361" s="491">
        <f>IF(C361=0,0,ROUNDDOWN(G361*C361/100,1))</f>
        <v>5573.7</v>
      </c>
      <c r="I361" s="465">
        <v>0</v>
      </c>
      <c r="J361" s="493">
        <f>IF(C361=0,0,ROUNDDOWN(I361*C361/100,1))</f>
        <v>0</v>
      </c>
      <c r="K361" s="467">
        <v>0</v>
      </c>
      <c r="L361" s="493">
        <f>IF(C361=0,0,ROUNDDOWN(K361*C361/100,1))</f>
        <v>0</v>
      </c>
      <c r="M361" s="463"/>
      <c r="N361" s="451" t="s">
        <v>2508</v>
      </c>
      <c r="O361" s="468" t="s">
        <v>2373</v>
      </c>
      <c r="P361" s="468" t="s">
        <v>2354</v>
      </c>
    </row>
    <row r="362" spans="1:26" ht="33.200000000000003" customHeight="1">
      <c r="A362" s="463" t="s">
        <v>842</v>
      </c>
      <c r="B362" s="497"/>
      <c r="C362" s="497"/>
      <c r="D362" s="497"/>
      <c r="E362" s="497"/>
      <c r="F362" s="446">
        <f>J362+H362+L362</f>
        <v>42929</v>
      </c>
      <c r="G362" s="497"/>
      <c r="H362" s="446">
        <f>ROUNDDOWN(SUMIF(P357:P361,O362,H357:H361),0)</f>
        <v>42731</v>
      </c>
      <c r="I362" s="497"/>
      <c r="J362" s="446">
        <f>ROUNDDOWN(SUMIF(P357:P361,O362,J357:J361),0)</f>
        <v>33</v>
      </c>
      <c r="K362" s="497"/>
      <c r="L362" s="446">
        <f>ROUNDDOWN(SUMIF(P357:P361,O362,L357:L361),0)</f>
        <v>165</v>
      </c>
      <c r="M362" s="497"/>
      <c r="O362" s="468" t="s">
        <v>2354</v>
      </c>
    </row>
    <row r="363" spans="1:26" ht="33.200000000000003" customHeight="1">
      <c r="A363" s="484" t="s">
        <v>2603</v>
      </c>
      <c r="B363" s="484"/>
      <c r="C363" s="485"/>
      <c r="D363" s="485"/>
      <c r="E363" s="485"/>
      <c r="F363" s="485"/>
      <c r="G363" s="485"/>
      <c r="H363" s="485"/>
      <c r="I363" s="485"/>
      <c r="J363" s="485"/>
      <c r="K363" s="485"/>
      <c r="L363" s="485"/>
      <c r="M363" s="485"/>
      <c r="N363" s="486" t="str">
        <f>HYPERLINK("#N"&amp;ROW(N369),"_x0005_`BDCOD|B02826_x0007_`POSS|"&amp;ROW(N365)&amp;"_x0007_`POSE|"&amp;ROW(N369)&amp;"_x0007_`")</f>
        <v>_x0005_`BDCOD|B02826_x0007_`POSS|365_x0007_`POSE|369_x0007_`</v>
      </c>
    </row>
    <row r="364" spans="1:26" ht="33.200000000000003" customHeight="1">
      <c r="A364" s="469" t="s">
        <v>5039</v>
      </c>
      <c r="B364" s="469" t="s">
        <v>923</v>
      </c>
      <c r="C364" s="487"/>
      <c r="D364" s="488" t="s">
        <v>911</v>
      </c>
      <c r="E364" s="487"/>
      <c r="F364" s="487"/>
      <c r="G364" s="487"/>
      <c r="H364" s="487"/>
      <c r="I364" s="487"/>
      <c r="J364" s="487"/>
      <c r="K364" s="487"/>
      <c r="L364" s="487"/>
      <c r="M364" s="488" t="s">
        <v>5049</v>
      </c>
      <c r="O364" s="468" t="s">
        <v>5049</v>
      </c>
    </row>
    <row r="365" spans="1:26" ht="33.200000000000003" customHeight="1">
      <c r="A365" s="452" t="s">
        <v>2484</v>
      </c>
      <c r="B365" s="452" t="s">
        <v>2533</v>
      </c>
      <c r="C365" s="489">
        <v>0.4</v>
      </c>
      <c r="D365" s="480" t="s">
        <v>8</v>
      </c>
      <c r="E365" s="490">
        <f t="shared" ref="E365:F369" si="37">I365+G365+K365</f>
        <v>93246</v>
      </c>
      <c r="F365" s="493">
        <f t="shared" si="37"/>
        <v>37298.400000000001</v>
      </c>
      <c r="G365" s="494">
        <f>단가산출근거목록표!F158</f>
        <v>93246</v>
      </c>
      <c r="H365" s="498">
        <f>IF(C365=0,0,ROUNDDOWN(G365*C365,1))</f>
        <v>37298.400000000001</v>
      </c>
      <c r="I365" s="494">
        <f>단가산출근거목록표!G158</f>
        <v>0</v>
      </c>
      <c r="J365" s="498">
        <f>IF(C365=0,0,ROUNDDOWN(I365*C365,1))</f>
        <v>0</v>
      </c>
      <c r="K365" s="494">
        <f>단가산출근거목록표!H158</f>
        <v>0</v>
      </c>
      <c r="L365" s="498">
        <f>IF(C365=0,0,ROUNDDOWN(K365*C365,1))</f>
        <v>0</v>
      </c>
      <c r="M365" s="463" t="s">
        <v>2534</v>
      </c>
      <c r="N365" s="451" t="s">
        <v>2547</v>
      </c>
      <c r="O365" s="468" t="s">
        <v>2536</v>
      </c>
      <c r="P365" s="468" t="s">
        <v>2354</v>
      </c>
      <c r="Q365" s="468" t="s">
        <v>2355</v>
      </c>
      <c r="Z365" s="433" t="str">
        <f ca="1">HYPERLINK("#"&amp;단가산출근거목록표!J2&amp;"!A"&amp;ROW(단가산출근거목록표!A158),"D01267 →")</f>
        <v>D01267 →</v>
      </c>
    </row>
    <row r="366" spans="1:26" ht="33.200000000000003" customHeight="1">
      <c r="A366" s="452" t="s">
        <v>2298</v>
      </c>
      <c r="B366" s="452" t="s">
        <v>2299</v>
      </c>
      <c r="C366" s="489">
        <v>0.3</v>
      </c>
      <c r="D366" s="480" t="s">
        <v>8</v>
      </c>
      <c r="E366" s="490">
        <f t="shared" si="37"/>
        <v>24089</v>
      </c>
      <c r="F366" s="493">
        <f t="shared" si="37"/>
        <v>7226.7</v>
      </c>
      <c r="G366" s="494">
        <f>일위대가목록표!F37</f>
        <v>24089</v>
      </c>
      <c r="H366" s="498">
        <f>IF(C366=0,0,ROUNDDOWN(G366*C366,1))</f>
        <v>7226.7</v>
      </c>
      <c r="I366" s="494">
        <f>일위대가목록표!G37</f>
        <v>0</v>
      </c>
      <c r="J366" s="498">
        <f>IF(C366=0,0,ROUNDDOWN(I366*C366,1))</f>
        <v>0</v>
      </c>
      <c r="K366" s="494">
        <f>일위대가목록표!H37</f>
        <v>0</v>
      </c>
      <c r="L366" s="498">
        <f>IF(C366=0,0,ROUNDDOWN(K366*C366,1))</f>
        <v>0</v>
      </c>
      <c r="M366" s="463" t="s">
        <v>2492</v>
      </c>
      <c r="N366" s="451" t="s">
        <v>2493</v>
      </c>
      <c r="O366" s="468" t="s">
        <v>2494</v>
      </c>
      <c r="P366" s="468" t="s">
        <v>2354</v>
      </c>
      <c r="Q366" s="468" t="s">
        <v>2355</v>
      </c>
      <c r="Z366" s="433" t="str">
        <f ca="1">HYPERLINK("#"&amp;일위대가목록표!J2&amp;"!A"&amp;ROW(일위대가목록표!A37),"B01447 →")</f>
        <v>B01447 →</v>
      </c>
    </row>
    <row r="367" spans="1:26" ht="33.200000000000003" customHeight="1">
      <c r="A367" s="452" t="s">
        <v>2321</v>
      </c>
      <c r="B367" s="452" t="s">
        <v>2322</v>
      </c>
      <c r="C367" s="489">
        <v>0.1</v>
      </c>
      <c r="D367" s="480" t="s">
        <v>8</v>
      </c>
      <c r="E367" s="490">
        <f t="shared" si="37"/>
        <v>34413</v>
      </c>
      <c r="F367" s="493">
        <f t="shared" si="37"/>
        <v>3441.3</v>
      </c>
      <c r="G367" s="494">
        <f>일위대가목록표!F275</f>
        <v>34413</v>
      </c>
      <c r="H367" s="498">
        <f>IF(C367=0,0,ROUNDDOWN(G367*C367,1))</f>
        <v>3441.3</v>
      </c>
      <c r="I367" s="494">
        <f>일위대가목록표!G275</f>
        <v>0</v>
      </c>
      <c r="J367" s="498">
        <f>IF(C367=0,0,ROUNDDOWN(I367*C367,1))</f>
        <v>0</v>
      </c>
      <c r="K367" s="494">
        <f>일위대가목록표!H275</f>
        <v>0</v>
      </c>
      <c r="L367" s="498">
        <f>IF(C367=0,0,ROUNDDOWN(K367*C367,1))</f>
        <v>0</v>
      </c>
      <c r="M367" s="463" t="s">
        <v>2489</v>
      </c>
      <c r="N367" s="451" t="s">
        <v>2490</v>
      </c>
      <c r="O367" s="468" t="s">
        <v>2491</v>
      </c>
      <c r="P367" s="468" t="s">
        <v>2354</v>
      </c>
      <c r="Q367" s="468" t="s">
        <v>2355</v>
      </c>
      <c r="Z367" s="433" t="str">
        <f ca="1">HYPERLINK("#"&amp;일위대가목록표!J2&amp;"!A"&amp;ROW(일위대가목록표!A275),"B01414 →")</f>
        <v>B01414 →</v>
      </c>
    </row>
    <row r="368" spans="1:26" ht="33.200000000000003" customHeight="1">
      <c r="A368" s="452" t="s">
        <v>1997</v>
      </c>
      <c r="B368" s="452" t="s">
        <v>2539</v>
      </c>
      <c r="C368" s="489">
        <v>2</v>
      </c>
      <c r="D368" s="480" t="s">
        <v>595</v>
      </c>
      <c r="E368" s="490">
        <f t="shared" si="37"/>
        <v>921</v>
      </c>
      <c r="F368" s="493">
        <f t="shared" si="37"/>
        <v>1842</v>
      </c>
      <c r="G368" s="494">
        <f>단가산출근거목록표!F140</f>
        <v>789</v>
      </c>
      <c r="H368" s="498">
        <f>IF(C368=0,0,ROUNDDOWN(G368*C368,1))</f>
        <v>1578</v>
      </c>
      <c r="I368" s="494">
        <f>단가산출근거목록표!G140</f>
        <v>22</v>
      </c>
      <c r="J368" s="498">
        <f>IF(C368=0,0,ROUNDDOWN(I368*C368,1))</f>
        <v>44</v>
      </c>
      <c r="K368" s="494">
        <f>단가산출근거목록표!H140</f>
        <v>110</v>
      </c>
      <c r="L368" s="498">
        <f>IF(C368=0,0,ROUNDDOWN(K368*C368,1))</f>
        <v>220</v>
      </c>
      <c r="M368" s="463" t="s">
        <v>2540</v>
      </c>
      <c r="N368" s="451" t="s">
        <v>2548</v>
      </c>
      <c r="O368" s="468" t="s">
        <v>2542</v>
      </c>
      <c r="P368" s="468" t="s">
        <v>2354</v>
      </c>
      <c r="Q368" s="468" t="s">
        <v>2355</v>
      </c>
      <c r="Z368" s="433" t="str">
        <f ca="1">HYPERLINK("#"&amp;단가산출근거목록표!J2&amp;"!A"&amp;ROW(단가산출근거목록표!A140),"D01217 →")</f>
        <v>D01217 →</v>
      </c>
    </row>
    <row r="369" spans="1:26" ht="33.200000000000003" customHeight="1">
      <c r="A369" s="452" t="s">
        <v>2507</v>
      </c>
      <c r="B369" s="452" t="s">
        <v>2441</v>
      </c>
      <c r="C369" s="489">
        <v>15</v>
      </c>
      <c r="D369" s="480" t="s">
        <v>2371</v>
      </c>
      <c r="E369" s="490">
        <f t="shared" si="37"/>
        <v>49544.4</v>
      </c>
      <c r="F369" s="491">
        <f t="shared" si="37"/>
        <v>7431.6</v>
      </c>
      <c r="G369" s="496">
        <f>H365+H366+H367+H368</f>
        <v>49544.4</v>
      </c>
      <c r="H369" s="491">
        <f>IF(C369=0,0,ROUNDDOWN(G369*C369/100,1))</f>
        <v>7431.6</v>
      </c>
      <c r="I369" s="465">
        <v>0</v>
      </c>
      <c r="J369" s="493">
        <f>IF(C369=0,0,ROUNDDOWN(I369*C369/100,1))</f>
        <v>0</v>
      </c>
      <c r="K369" s="467">
        <v>0</v>
      </c>
      <c r="L369" s="493">
        <f>IF(C369=0,0,ROUNDDOWN(K369*C369/100,1))</f>
        <v>0</v>
      </c>
      <c r="M369" s="463"/>
      <c r="N369" s="451" t="s">
        <v>2508</v>
      </c>
      <c r="O369" s="468" t="s">
        <v>2373</v>
      </c>
      <c r="P369" s="468" t="s">
        <v>2354</v>
      </c>
    </row>
    <row r="370" spans="1:26" ht="33.200000000000003" customHeight="1">
      <c r="A370" s="463" t="s">
        <v>842</v>
      </c>
      <c r="B370" s="497"/>
      <c r="C370" s="497"/>
      <c r="D370" s="497"/>
      <c r="E370" s="497"/>
      <c r="F370" s="446">
        <f>J370+H370+L370</f>
        <v>57240</v>
      </c>
      <c r="G370" s="497"/>
      <c r="H370" s="446">
        <f>ROUNDDOWN(SUMIF(P365:P369,O370,H365:H369),0)</f>
        <v>56976</v>
      </c>
      <c r="I370" s="497"/>
      <c r="J370" s="446">
        <f>ROUNDDOWN(SUMIF(P365:P369,O370,J365:J369),0)</f>
        <v>44</v>
      </c>
      <c r="K370" s="497"/>
      <c r="L370" s="446">
        <f>ROUNDDOWN(SUMIF(P365:P369,O370,L365:L369),0)</f>
        <v>220</v>
      </c>
      <c r="M370" s="497"/>
      <c r="O370" s="468" t="s">
        <v>2354</v>
      </c>
    </row>
    <row r="371" spans="1:26" ht="33.200000000000003" customHeight="1">
      <c r="A371" s="484" t="s">
        <v>2608</v>
      </c>
      <c r="B371" s="484"/>
      <c r="C371" s="485"/>
      <c r="D371" s="485"/>
      <c r="E371" s="485"/>
      <c r="F371" s="485"/>
      <c r="G371" s="485"/>
      <c r="H371" s="485"/>
      <c r="I371" s="485"/>
      <c r="J371" s="485"/>
      <c r="K371" s="485"/>
      <c r="L371" s="485"/>
      <c r="M371" s="485"/>
      <c r="N371" s="486" t="str">
        <f>HYPERLINK("#N"&amp;ROW(N377),"_x0005_`BDCOD|B02668_x0007_`POSS|"&amp;ROW(N373)&amp;"_x0007_`POSE|"&amp;ROW(N377)&amp;"_x0007_`")</f>
        <v>_x0005_`BDCOD|B02668_x0007_`POSS|373_x0007_`POSE|377_x0007_`</v>
      </c>
    </row>
    <row r="372" spans="1:26" ht="33.200000000000003" customHeight="1">
      <c r="A372" s="469" t="s">
        <v>5052</v>
      </c>
      <c r="B372" s="469" t="s">
        <v>910</v>
      </c>
      <c r="C372" s="487"/>
      <c r="D372" s="488" t="s">
        <v>911</v>
      </c>
      <c r="E372" s="487"/>
      <c r="F372" s="487"/>
      <c r="G372" s="487"/>
      <c r="H372" s="487"/>
      <c r="I372" s="487"/>
      <c r="J372" s="487"/>
      <c r="K372" s="487"/>
      <c r="L372" s="487"/>
      <c r="M372" s="488" t="s">
        <v>912</v>
      </c>
      <c r="O372" s="468" t="s">
        <v>912</v>
      </c>
    </row>
    <row r="373" spans="1:26" ht="33.200000000000003" customHeight="1">
      <c r="A373" s="452" t="s">
        <v>2484</v>
      </c>
      <c r="B373" s="452" t="s">
        <v>2533</v>
      </c>
      <c r="C373" s="489">
        <v>0.2</v>
      </c>
      <c r="D373" s="480" t="s">
        <v>8</v>
      </c>
      <c r="E373" s="490">
        <f t="shared" ref="E373:F377" si="38">I373+G373+K373</f>
        <v>93246</v>
      </c>
      <c r="F373" s="493">
        <f t="shared" si="38"/>
        <v>18649.2</v>
      </c>
      <c r="G373" s="494">
        <f>단가산출근거목록표!F158</f>
        <v>93246</v>
      </c>
      <c r="H373" s="498">
        <f>IF(C373=0,0,ROUNDDOWN(G373*C373,1))</f>
        <v>18649.2</v>
      </c>
      <c r="I373" s="494">
        <f>단가산출근거목록표!G158</f>
        <v>0</v>
      </c>
      <c r="J373" s="498">
        <f>IF(C373=0,0,ROUNDDOWN(I373*C373,1))</f>
        <v>0</v>
      </c>
      <c r="K373" s="494">
        <f>단가산출근거목록표!H158</f>
        <v>0</v>
      </c>
      <c r="L373" s="498">
        <f>IF(C373=0,0,ROUNDDOWN(K373*C373,1))</f>
        <v>0</v>
      </c>
      <c r="M373" s="463" t="s">
        <v>2534</v>
      </c>
      <c r="N373" s="451" t="s">
        <v>2547</v>
      </c>
      <c r="O373" s="468" t="s">
        <v>2536</v>
      </c>
      <c r="P373" s="468" t="s">
        <v>2354</v>
      </c>
      <c r="Q373" s="468" t="s">
        <v>2355</v>
      </c>
      <c r="Z373" s="433" t="str">
        <f ca="1">HYPERLINK("#"&amp;단가산출근거목록표!J2&amp;"!A"&amp;ROW(단가산출근거목록표!A158),"D01267 →")</f>
        <v>D01267 →</v>
      </c>
    </row>
    <row r="374" spans="1:26" ht="33.200000000000003" customHeight="1">
      <c r="A374" s="452" t="s">
        <v>2298</v>
      </c>
      <c r="B374" s="452" t="s">
        <v>2299</v>
      </c>
      <c r="C374" s="489">
        <v>0.15</v>
      </c>
      <c r="D374" s="480" t="s">
        <v>8</v>
      </c>
      <c r="E374" s="490">
        <f t="shared" si="38"/>
        <v>24089</v>
      </c>
      <c r="F374" s="493">
        <f t="shared" si="38"/>
        <v>3613.3</v>
      </c>
      <c r="G374" s="494">
        <f>일위대가목록표!F37</f>
        <v>24089</v>
      </c>
      <c r="H374" s="498">
        <f>IF(C374=0,0,ROUNDDOWN(G374*C374,1))</f>
        <v>3613.3</v>
      </c>
      <c r="I374" s="494">
        <f>일위대가목록표!G37</f>
        <v>0</v>
      </c>
      <c r="J374" s="498">
        <f>IF(C374=0,0,ROUNDDOWN(I374*C374,1))</f>
        <v>0</v>
      </c>
      <c r="K374" s="494">
        <f>일위대가목록표!H37</f>
        <v>0</v>
      </c>
      <c r="L374" s="498">
        <f>IF(C374=0,0,ROUNDDOWN(K374*C374,1))</f>
        <v>0</v>
      </c>
      <c r="M374" s="463" t="s">
        <v>2492</v>
      </c>
      <c r="N374" s="451" t="s">
        <v>2493</v>
      </c>
      <c r="O374" s="468" t="s">
        <v>2494</v>
      </c>
      <c r="P374" s="468" t="s">
        <v>2354</v>
      </c>
      <c r="Q374" s="468" t="s">
        <v>2355</v>
      </c>
      <c r="Z374" s="433" t="str">
        <f ca="1">HYPERLINK("#"&amp;일위대가목록표!J2&amp;"!A"&amp;ROW(일위대가목록표!A37),"B01447 →")</f>
        <v>B01447 →</v>
      </c>
    </row>
    <row r="375" spans="1:26" ht="33.200000000000003" customHeight="1">
      <c r="A375" s="452" t="s">
        <v>2321</v>
      </c>
      <c r="B375" s="452" t="s">
        <v>2322</v>
      </c>
      <c r="C375" s="489">
        <v>0.05</v>
      </c>
      <c r="D375" s="480" t="s">
        <v>8</v>
      </c>
      <c r="E375" s="490">
        <f t="shared" si="38"/>
        <v>34413</v>
      </c>
      <c r="F375" s="493">
        <f t="shared" si="38"/>
        <v>1720.6</v>
      </c>
      <c r="G375" s="494">
        <f>일위대가목록표!F275</f>
        <v>34413</v>
      </c>
      <c r="H375" s="498">
        <f>IF(C375=0,0,ROUNDDOWN(G375*C375,1))</f>
        <v>1720.6</v>
      </c>
      <c r="I375" s="494">
        <f>일위대가목록표!G275</f>
        <v>0</v>
      </c>
      <c r="J375" s="498">
        <f>IF(C375=0,0,ROUNDDOWN(I375*C375,1))</f>
        <v>0</v>
      </c>
      <c r="K375" s="494">
        <f>일위대가목록표!H275</f>
        <v>0</v>
      </c>
      <c r="L375" s="498">
        <f>IF(C375=0,0,ROUNDDOWN(K375*C375,1))</f>
        <v>0</v>
      </c>
      <c r="M375" s="463" t="s">
        <v>2489</v>
      </c>
      <c r="N375" s="451" t="s">
        <v>2490</v>
      </c>
      <c r="O375" s="468" t="s">
        <v>2491</v>
      </c>
      <c r="P375" s="468" t="s">
        <v>2354</v>
      </c>
      <c r="Q375" s="468" t="s">
        <v>2355</v>
      </c>
      <c r="Z375" s="433" t="str">
        <f ca="1">HYPERLINK("#"&amp;일위대가목록표!J2&amp;"!A"&amp;ROW(일위대가목록표!A275),"B01414 →")</f>
        <v>B01414 →</v>
      </c>
    </row>
    <row r="376" spans="1:26" ht="33.200000000000003" customHeight="1">
      <c r="A376" s="452" t="s">
        <v>1997</v>
      </c>
      <c r="B376" s="452" t="s">
        <v>2539</v>
      </c>
      <c r="C376" s="489">
        <v>1</v>
      </c>
      <c r="D376" s="480" t="s">
        <v>595</v>
      </c>
      <c r="E376" s="490">
        <f t="shared" si="38"/>
        <v>921</v>
      </c>
      <c r="F376" s="493">
        <f t="shared" si="38"/>
        <v>921</v>
      </c>
      <c r="G376" s="494">
        <f>단가산출근거목록표!F140</f>
        <v>789</v>
      </c>
      <c r="H376" s="498">
        <f>IF(C376=0,0,ROUNDDOWN(G376*C376,1))</f>
        <v>789</v>
      </c>
      <c r="I376" s="494">
        <f>단가산출근거목록표!G140</f>
        <v>22</v>
      </c>
      <c r="J376" s="498">
        <f>IF(C376=0,0,ROUNDDOWN(I376*C376,1))</f>
        <v>22</v>
      </c>
      <c r="K376" s="494">
        <f>단가산출근거목록표!H140</f>
        <v>110</v>
      </c>
      <c r="L376" s="498">
        <f>IF(C376=0,0,ROUNDDOWN(K376*C376,1))</f>
        <v>110</v>
      </c>
      <c r="M376" s="463" t="s">
        <v>2540</v>
      </c>
      <c r="N376" s="451" t="s">
        <v>2548</v>
      </c>
      <c r="O376" s="468" t="s">
        <v>2542</v>
      </c>
      <c r="P376" s="468" t="s">
        <v>2354</v>
      </c>
      <c r="Q376" s="468" t="s">
        <v>2355</v>
      </c>
      <c r="Z376" s="433" t="str">
        <f ca="1">HYPERLINK("#"&amp;단가산출근거목록표!J2&amp;"!A"&amp;ROW(단가산출근거목록표!A140),"D01217 →")</f>
        <v>D01217 →</v>
      </c>
    </row>
    <row r="377" spans="1:26" ht="33.200000000000003" customHeight="1">
      <c r="A377" s="452" t="s">
        <v>2507</v>
      </c>
      <c r="B377" s="452" t="s">
        <v>2441</v>
      </c>
      <c r="C377" s="489">
        <v>25</v>
      </c>
      <c r="D377" s="480" t="s">
        <v>2371</v>
      </c>
      <c r="E377" s="490">
        <f t="shared" si="38"/>
        <v>24772.1</v>
      </c>
      <c r="F377" s="491">
        <f t="shared" si="38"/>
        <v>6193</v>
      </c>
      <c r="G377" s="496">
        <f>H373+H374+H375+H376</f>
        <v>24772.1</v>
      </c>
      <c r="H377" s="491">
        <f>IF(C377=0,0,ROUNDDOWN(G377*C377/100,1))</f>
        <v>6193</v>
      </c>
      <c r="I377" s="465">
        <v>0</v>
      </c>
      <c r="J377" s="493">
        <f>IF(C377=0,0,ROUNDDOWN(I377*C377/100,1))</f>
        <v>0</v>
      </c>
      <c r="K377" s="467">
        <v>0</v>
      </c>
      <c r="L377" s="493">
        <f>IF(C377=0,0,ROUNDDOWN(K377*C377/100,1))</f>
        <v>0</v>
      </c>
      <c r="M377" s="463"/>
      <c r="N377" s="451" t="s">
        <v>2508</v>
      </c>
      <c r="O377" s="468" t="s">
        <v>2373</v>
      </c>
      <c r="P377" s="468" t="s">
        <v>2354</v>
      </c>
    </row>
    <row r="378" spans="1:26" ht="33.200000000000003" customHeight="1">
      <c r="A378" s="463" t="s">
        <v>842</v>
      </c>
      <c r="B378" s="497"/>
      <c r="C378" s="497"/>
      <c r="D378" s="497"/>
      <c r="E378" s="497"/>
      <c r="F378" s="446">
        <f>J378+H378+L378</f>
        <v>31097</v>
      </c>
      <c r="G378" s="497"/>
      <c r="H378" s="446">
        <f>ROUNDDOWN(SUMIF(P373:P377,O378,H373:H377),0)</f>
        <v>30965</v>
      </c>
      <c r="I378" s="497"/>
      <c r="J378" s="446">
        <f>ROUNDDOWN(SUMIF(P373:P377,O378,J373:J377),0)</f>
        <v>22</v>
      </c>
      <c r="K378" s="497"/>
      <c r="L378" s="446">
        <f>ROUNDDOWN(SUMIF(P373:P377,O378,L373:L377),0)</f>
        <v>110</v>
      </c>
      <c r="M378" s="497"/>
      <c r="O378" s="468" t="s">
        <v>2354</v>
      </c>
    </row>
    <row r="379" spans="1:26" ht="33.200000000000003" customHeight="1">
      <c r="A379" s="484" t="s">
        <v>2620</v>
      </c>
      <c r="B379" s="484"/>
      <c r="C379" s="485"/>
      <c r="D379" s="485"/>
      <c r="E379" s="485"/>
      <c r="F379" s="485"/>
      <c r="G379" s="485"/>
      <c r="H379" s="485"/>
      <c r="I379" s="485"/>
      <c r="J379" s="485"/>
      <c r="K379" s="485"/>
      <c r="L379" s="485"/>
      <c r="M379" s="485"/>
      <c r="N379" s="486" t="str">
        <f>HYPERLINK("#N"&amp;ROW(N385),"_x0005_`BDCOD|B02669_x0007_`POSS|"&amp;ROW(N381)&amp;"_x0007_`POSE|"&amp;ROW(N385)&amp;"_x0007_`")</f>
        <v>_x0005_`BDCOD|B02669_x0007_`POSS|381_x0007_`POSE|385_x0007_`</v>
      </c>
    </row>
    <row r="380" spans="1:26" ht="33.200000000000003" customHeight="1">
      <c r="A380" s="469" t="s">
        <v>5052</v>
      </c>
      <c r="B380" s="469" t="s">
        <v>915</v>
      </c>
      <c r="C380" s="487"/>
      <c r="D380" s="488" t="s">
        <v>911</v>
      </c>
      <c r="E380" s="487"/>
      <c r="F380" s="487"/>
      <c r="G380" s="487"/>
      <c r="H380" s="487"/>
      <c r="I380" s="487"/>
      <c r="J380" s="487"/>
      <c r="K380" s="487"/>
      <c r="L380" s="487"/>
      <c r="M380" s="488" t="s">
        <v>916</v>
      </c>
      <c r="O380" s="468" t="s">
        <v>916</v>
      </c>
    </row>
    <row r="381" spans="1:26" ht="33.200000000000003" customHeight="1">
      <c r="A381" s="452" t="s">
        <v>2484</v>
      </c>
      <c r="B381" s="452" t="s">
        <v>2533</v>
      </c>
      <c r="C381" s="489">
        <v>0.24</v>
      </c>
      <c r="D381" s="480" t="s">
        <v>8</v>
      </c>
      <c r="E381" s="490">
        <f t="shared" ref="E381:F385" si="39">I381+G381+K381</f>
        <v>93246</v>
      </c>
      <c r="F381" s="493">
        <f t="shared" si="39"/>
        <v>22379</v>
      </c>
      <c r="G381" s="494">
        <f>단가산출근거목록표!F158</f>
        <v>93246</v>
      </c>
      <c r="H381" s="498">
        <f>IF(C381=0,0,ROUNDDOWN(G381*C381,1))</f>
        <v>22379</v>
      </c>
      <c r="I381" s="494">
        <f>단가산출근거목록표!G158</f>
        <v>0</v>
      </c>
      <c r="J381" s="498">
        <f>IF(C381=0,0,ROUNDDOWN(I381*C381,1))</f>
        <v>0</v>
      </c>
      <c r="K381" s="494">
        <f>단가산출근거목록표!H158</f>
        <v>0</v>
      </c>
      <c r="L381" s="498">
        <f>IF(C381=0,0,ROUNDDOWN(K381*C381,1))</f>
        <v>0</v>
      </c>
      <c r="M381" s="463" t="s">
        <v>2534</v>
      </c>
      <c r="N381" s="451" t="s">
        <v>2547</v>
      </c>
      <c r="O381" s="468" t="s">
        <v>2536</v>
      </c>
      <c r="P381" s="468" t="s">
        <v>2354</v>
      </c>
      <c r="Q381" s="468" t="s">
        <v>2355</v>
      </c>
      <c r="Z381" s="433" t="str">
        <f ca="1">HYPERLINK("#"&amp;단가산출근거목록표!J2&amp;"!A"&amp;ROW(단가산출근거목록표!A158),"D01267 →")</f>
        <v>D01267 →</v>
      </c>
    </row>
    <row r="382" spans="1:26" ht="33.200000000000003" customHeight="1">
      <c r="A382" s="452" t="s">
        <v>2298</v>
      </c>
      <c r="B382" s="452" t="s">
        <v>2299</v>
      </c>
      <c r="C382" s="489">
        <v>0.18</v>
      </c>
      <c r="D382" s="480" t="s">
        <v>8</v>
      </c>
      <c r="E382" s="490">
        <f t="shared" si="39"/>
        <v>24089</v>
      </c>
      <c r="F382" s="493">
        <f t="shared" si="39"/>
        <v>4336</v>
      </c>
      <c r="G382" s="494">
        <f>일위대가목록표!F37</f>
        <v>24089</v>
      </c>
      <c r="H382" s="498">
        <f>IF(C382=0,0,ROUNDDOWN(G382*C382,1))</f>
        <v>4336</v>
      </c>
      <c r="I382" s="494">
        <f>일위대가목록표!G37</f>
        <v>0</v>
      </c>
      <c r="J382" s="498">
        <f>IF(C382=0,0,ROUNDDOWN(I382*C382,1))</f>
        <v>0</v>
      </c>
      <c r="K382" s="494">
        <f>일위대가목록표!H37</f>
        <v>0</v>
      </c>
      <c r="L382" s="498">
        <f>IF(C382=0,0,ROUNDDOWN(K382*C382,1))</f>
        <v>0</v>
      </c>
      <c r="M382" s="463" t="s">
        <v>2492</v>
      </c>
      <c r="N382" s="451" t="s">
        <v>2493</v>
      </c>
      <c r="O382" s="468" t="s">
        <v>2494</v>
      </c>
      <c r="P382" s="468" t="s">
        <v>2354</v>
      </c>
      <c r="Q382" s="468" t="s">
        <v>2355</v>
      </c>
      <c r="Z382" s="433" t="str">
        <f ca="1">HYPERLINK("#"&amp;일위대가목록표!J2&amp;"!A"&amp;ROW(일위대가목록표!A37),"B01447 →")</f>
        <v>B01447 →</v>
      </c>
    </row>
    <row r="383" spans="1:26" ht="33.200000000000003" customHeight="1">
      <c r="A383" s="452" t="s">
        <v>2321</v>
      </c>
      <c r="B383" s="452" t="s">
        <v>2322</v>
      </c>
      <c r="C383" s="489">
        <v>0.06</v>
      </c>
      <c r="D383" s="480" t="s">
        <v>8</v>
      </c>
      <c r="E383" s="490">
        <f t="shared" si="39"/>
        <v>34413</v>
      </c>
      <c r="F383" s="493">
        <f t="shared" si="39"/>
        <v>2064.6999999999998</v>
      </c>
      <c r="G383" s="494">
        <f>일위대가목록표!F275</f>
        <v>34413</v>
      </c>
      <c r="H383" s="498">
        <f>IF(C383=0,0,ROUNDDOWN(G383*C383,1))</f>
        <v>2064.6999999999998</v>
      </c>
      <c r="I383" s="494">
        <f>일위대가목록표!G275</f>
        <v>0</v>
      </c>
      <c r="J383" s="498">
        <f>IF(C383=0,0,ROUNDDOWN(I383*C383,1))</f>
        <v>0</v>
      </c>
      <c r="K383" s="494">
        <f>일위대가목록표!H275</f>
        <v>0</v>
      </c>
      <c r="L383" s="498">
        <f>IF(C383=0,0,ROUNDDOWN(K383*C383,1))</f>
        <v>0</v>
      </c>
      <c r="M383" s="463" t="s">
        <v>2489</v>
      </c>
      <c r="N383" s="451" t="s">
        <v>2490</v>
      </c>
      <c r="O383" s="468" t="s">
        <v>2491</v>
      </c>
      <c r="P383" s="468" t="s">
        <v>2354</v>
      </c>
      <c r="Q383" s="468" t="s">
        <v>2355</v>
      </c>
      <c r="Z383" s="433" t="str">
        <f ca="1">HYPERLINK("#"&amp;일위대가목록표!J2&amp;"!A"&amp;ROW(일위대가목록표!A275),"B01414 →")</f>
        <v>B01414 →</v>
      </c>
    </row>
    <row r="384" spans="1:26" ht="33.200000000000003" customHeight="1">
      <c r="A384" s="452" t="s">
        <v>1997</v>
      </c>
      <c r="B384" s="452" t="s">
        <v>2539</v>
      </c>
      <c r="C384" s="489">
        <v>1.2</v>
      </c>
      <c r="D384" s="480" t="s">
        <v>595</v>
      </c>
      <c r="E384" s="490">
        <f t="shared" si="39"/>
        <v>921</v>
      </c>
      <c r="F384" s="493">
        <f t="shared" si="39"/>
        <v>1105.1999999999998</v>
      </c>
      <c r="G384" s="494">
        <f>단가산출근거목록표!F140</f>
        <v>789</v>
      </c>
      <c r="H384" s="498">
        <f>IF(C384=0,0,ROUNDDOWN(G384*C384,1))</f>
        <v>946.8</v>
      </c>
      <c r="I384" s="494">
        <f>단가산출근거목록표!G140</f>
        <v>22</v>
      </c>
      <c r="J384" s="498">
        <f>IF(C384=0,0,ROUNDDOWN(I384*C384,1))</f>
        <v>26.4</v>
      </c>
      <c r="K384" s="494">
        <f>단가산출근거목록표!H140</f>
        <v>110</v>
      </c>
      <c r="L384" s="498">
        <f>IF(C384=0,0,ROUNDDOWN(K384*C384,1))</f>
        <v>132</v>
      </c>
      <c r="M384" s="463" t="s">
        <v>2540</v>
      </c>
      <c r="N384" s="451" t="s">
        <v>2548</v>
      </c>
      <c r="O384" s="468" t="s">
        <v>2542</v>
      </c>
      <c r="P384" s="468" t="s">
        <v>2354</v>
      </c>
      <c r="Q384" s="468" t="s">
        <v>2355</v>
      </c>
      <c r="Z384" s="433" t="str">
        <f ca="1">HYPERLINK("#"&amp;단가산출근거목록표!J2&amp;"!A"&amp;ROW(단가산출근거목록표!A140),"D01217 →")</f>
        <v>D01217 →</v>
      </c>
    </row>
    <row r="385" spans="1:26" ht="33.200000000000003" customHeight="1">
      <c r="A385" s="452" t="s">
        <v>2507</v>
      </c>
      <c r="B385" s="452" t="s">
        <v>2441</v>
      </c>
      <c r="C385" s="489">
        <v>25</v>
      </c>
      <c r="D385" s="480" t="s">
        <v>2371</v>
      </c>
      <c r="E385" s="490">
        <f t="shared" si="39"/>
        <v>29726.5</v>
      </c>
      <c r="F385" s="491">
        <f t="shared" si="39"/>
        <v>7431.6</v>
      </c>
      <c r="G385" s="496">
        <f>H381+H382+H383+H384</f>
        <v>29726.5</v>
      </c>
      <c r="H385" s="491">
        <f>IF(C385=0,0,ROUNDDOWN(G385*C385/100,1))</f>
        <v>7431.6</v>
      </c>
      <c r="I385" s="465">
        <v>0</v>
      </c>
      <c r="J385" s="493">
        <f>IF(C385=0,0,ROUNDDOWN(I385*C385/100,1))</f>
        <v>0</v>
      </c>
      <c r="K385" s="467">
        <v>0</v>
      </c>
      <c r="L385" s="493">
        <f>IF(C385=0,0,ROUNDDOWN(K385*C385/100,1))</f>
        <v>0</v>
      </c>
      <c r="M385" s="463"/>
      <c r="N385" s="451" t="s">
        <v>2508</v>
      </c>
      <c r="O385" s="468" t="s">
        <v>2373</v>
      </c>
      <c r="P385" s="468" t="s">
        <v>2354</v>
      </c>
    </row>
    <row r="386" spans="1:26" ht="33.200000000000003" customHeight="1">
      <c r="A386" s="463" t="s">
        <v>842</v>
      </c>
      <c r="B386" s="497"/>
      <c r="C386" s="497"/>
      <c r="D386" s="497"/>
      <c r="E386" s="497"/>
      <c r="F386" s="446">
        <f>J386+H386+L386</f>
        <v>37316</v>
      </c>
      <c r="G386" s="497"/>
      <c r="H386" s="446">
        <f>ROUNDDOWN(SUMIF(P381:P385,O386,H381:H385),0)</f>
        <v>37158</v>
      </c>
      <c r="I386" s="497"/>
      <c r="J386" s="446">
        <f>ROUNDDOWN(SUMIF(P381:P385,O386,J381:J385),0)</f>
        <v>26</v>
      </c>
      <c r="K386" s="497"/>
      <c r="L386" s="446">
        <f>ROUNDDOWN(SUMIF(P381:P385,O386,L381:L385),0)</f>
        <v>132</v>
      </c>
      <c r="M386" s="497"/>
      <c r="O386" s="468" t="s">
        <v>2354</v>
      </c>
    </row>
    <row r="387" spans="1:26" ht="33.200000000000003" customHeight="1">
      <c r="A387" s="484" t="s">
        <v>2625</v>
      </c>
      <c r="B387" s="484"/>
      <c r="C387" s="485"/>
      <c r="D387" s="485"/>
      <c r="E387" s="485"/>
      <c r="F387" s="485"/>
      <c r="G387" s="485"/>
      <c r="H387" s="485"/>
      <c r="I387" s="485"/>
      <c r="J387" s="485"/>
      <c r="K387" s="485"/>
      <c r="L387" s="485"/>
      <c r="M387" s="485"/>
      <c r="N387" s="486" t="str">
        <f>HYPERLINK("#N"&amp;ROW(N393),"_x0005_`BDCOD|B02670_x0007_`POSS|"&amp;ROW(N389)&amp;"_x0007_`POSE|"&amp;ROW(N393)&amp;"_x0007_`")</f>
        <v>_x0005_`BDCOD|B02670_x0007_`POSS|389_x0007_`POSE|393_x0007_`</v>
      </c>
    </row>
    <row r="388" spans="1:26" ht="33.200000000000003" customHeight="1">
      <c r="A388" s="469" t="s">
        <v>5052</v>
      </c>
      <c r="B388" s="469" t="s">
        <v>919</v>
      </c>
      <c r="C388" s="487"/>
      <c r="D388" s="488" t="s">
        <v>911</v>
      </c>
      <c r="E388" s="487"/>
      <c r="F388" s="487"/>
      <c r="G388" s="487"/>
      <c r="H388" s="487"/>
      <c r="I388" s="487"/>
      <c r="J388" s="487"/>
      <c r="K388" s="487"/>
      <c r="L388" s="487"/>
      <c r="M388" s="488" t="s">
        <v>920</v>
      </c>
      <c r="O388" s="468" t="s">
        <v>920</v>
      </c>
    </row>
    <row r="389" spans="1:26" ht="33.200000000000003" customHeight="1">
      <c r="A389" s="452" t="s">
        <v>2484</v>
      </c>
      <c r="B389" s="452" t="s">
        <v>2533</v>
      </c>
      <c r="C389" s="489">
        <v>0.3</v>
      </c>
      <c r="D389" s="480" t="s">
        <v>8</v>
      </c>
      <c r="E389" s="490">
        <f t="shared" ref="E389:F393" si="40">I389+G389+K389</f>
        <v>93246</v>
      </c>
      <c r="F389" s="493">
        <f t="shared" si="40"/>
        <v>27973.8</v>
      </c>
      <c r="G389" s="494">
        <f>단가산출근거목록표!F158</f>
        <v>93246</v>
      </c>
      <c r="H389" s="498">
        <f>IF(C389=0,0,ROUNDDOWN(G389*C389,1))</f>
        <v>27973.8</v>
      </c>
      <c r="I389" s="494">
        <f>단가산출근거목록표!G158</f>
        <v>0</v>
      </c>
      <c r="J389" s="498">
        <f>IF(C389=0,0,ROUNDDOWN(I389*C389,1))</f>
        <v>0</v>
      </c>
      <c r="K389" s="494">
        <f>단가산출근거목록표!H158</f>
        <v>0</v>
      </c>
      <c r="L389" s="498">
        <f>IF(C389=0,0,ROUNDDOWN(K389*C389,1))</f>
        <v>0</v>
      </c>
      <c r="M389" s="463" t="s">
        <v>2534</v>
      </c>
      <c r="N389" s="451" t="s">
        <v>2547</v>
      </c>
      <c r="O389" s="468" t="s">
        <v>2536</v>
      </c>
      <c r="P389" s="468" t="s">
        <v>2354</v>
      </c>
      <c r="Q389" s="468" t="s">
        <v>2355</v>
      </c>
      <c r="Z389" s="433" t="str">
        <f ca="1">HYPERLINK("#"&amp;단가산출근거목록표!J2&amp;"!A"&amp;ROW(단가산출근거목록표!A158),"D01267 →")</f>
        <v>D01267 →</v>
      </c>
    </row>
    <row r="390" spans="1:26" ht="33.200000000000003" customHeight="1">
      <c r="A390" s="452" t="s">
        <v>2298</v>
      </c>
      <c r="B390" s="452" t="s">
        <v>2299</v>
      </c>
      <c r="C390" s="489">
        <v>0.22500000000000001</v>
      </c>
      <c r="D390" s="480" t="s">
        <v>8</v>
      </c>
      <c r="E390" s="490">
        <f t="shared" si="40"/>
        <v>24089</v>
      </c>
      <c r="F390" s="493">
        <f t="shared" si="40"/>
        <v>5420</v>
      </c>
      <c r="G390" s="494">
        <f>일위대가목록표!F37</f>
        <v>24089</v>
      </c>
      <c r="H390" s="498">
        <f>IF(C390=0,0,ROUNDDOWN(G390*C390,1))</f>
        <v>5420</v>
      </c>
      <c r="I390" s="494">
        <f>일위대가목록표!G37</f>
        <v>0</v>
      </c>
      <c r="J390" s="498">
        <f>IF(C390=0,0,ROUNDDOWN(I390*C390,1))</f>
        <v>0</v>
      </c>
      <c r="K390" s="494">
        <f>일위대가목록표!H37</f>
        <v>0</v>
      </c>
      <c r="L390" s="498">
        <f>IF(C390=0,0,ROUNDDOWN(K390*C390,1))</f>
        <v>0</v>
      </c>
      <c r="M390" s="463" t="s">
        <v>2492</v>
      </c>
      <c r="N390" s="451" t="s">
        <v>2493</v>
      </c>
      <c r="O390" s="468" t="s">
        <v>2494</v>
      </c>
      <c r="P390" s="468" t="s">
        <v>2354</v>
      </c>
      <c r="Q390" s="468" t="s">
        <v>2355</v>
      </c>
      <c r="Z390" s="433" t="str">
        <f ca="1">HYPERLINK("#"&amp;일위대가목록표!J2&amp;"!A"&amp;ROW(일위대가목록표!A37),"B01447 →")</f>
        <v>B01447 →</v>
      </c>
    </row>
    <row r="391" spans="1:26" ht="33.200000000000003" customHeight="1">
      <c r="A391" s="452" t="s">
        <v>2321</v>
      </c>
      <c r="B391" s="452" t="s">
        <v>2322</v>
      </c>
      <c r="C391" s="489">
        <v>7.4999999999999997E-2</v>
      </c>
      <c r="D391" s="480" t="s">
        <v>8</v>
      </c>
      <c r="E391" s="490">
        <f t="shared" si="40"/>
        <v>34413</v>
      </c>
      <c r="F391" s="493">
        <f t="shared" si="40"/>
        <v>2580.9</v>
      </c>
      <c r="G391" s="494">
        <f>일위대가목록표!F275</f>
        <v>34413</v>
      </c>
      <c r="H391" s="498">
        <f>IF(C391=0,0,ROUNDDOWN(G391*C391,1))</f>
        <v>2580.9</v>
      </c>
      <c r="I391" s="494">
        <f>일위대가목록표!G275</f>
        <v>0</v>
      </c>
      <c r="J391" s="498">
        <f>IF(C391=0,0,ROUNDDOWN(I391*C391,1))</f>
        <v>0</v>
      </c>
      <c r="K391" s="494">
        <f>일위대가목록표!H275</f>
        <v>0</v>
      </c>
      <c r="L391" s="498">
        <f>IF(C391=0,0,ROUNDDOWN(K391*C391,1))</f>
        <v>0</v>
      </c>
      <c r="M391" s="463" t="s">
        <v>2489</v>
      </c>
      <c r="N391" s="451" t="s">
        <v>2490</v>
      </c>
      <c r="O391" s="468" t="s">
        <v>2491</v>
      </c>
      <c r="P391" s="468" t="s">
        <v>2354</v>
      </c>
      <c r="Q391" s="468" t="s">
        <v>2355</v>
      </c>
      <c r="Z391" s="433" t="str">
        <f ca="1">HYPERLINK("#"&amp;일위대가목록표!J2&amp;"!A"&amp;ROW(일위대가목록표!A275),"B01414 →")</f>
        <v>B01414 →</v>
      </c>
    </row>
    <row r="392" spans="1:26" ht="33.200000000000003" customHeight="1">
      <c r="A392" s="452" t="s">
        <v>1997</v>
      </c>
      <c r="B392" s="452" t="s">
        <v>2539</v>
      </c>
      <c r="C392" s="489">
        <v>1.5</v>
      </c>
      <c r="D392" s="480" t="s">
        <v>595</v>
      </c>
      <c r="E392" s="490">
        <f t="shared" si="40"/>
        <v>921</v>
      </c>
      <c r="F392" s="493">
        <f t="shared" si="40"/>
        <v>1381.5</v>
      </c>
      <c r="G392" s="494">
        <f>단가산출근거목록표!F140</f>
        <v>789</v>
      </c>
      <c r="H392" s="498">
        <f>IF(C392=0,0,ROUNDDOWN(G392*C392,1))</f>
        <v>1183.5</v>
      </c>
      <c r="I392" s="494">
        <f>단가산출근거목록표!G140</f>
        <v>22</v>
      </c>
      <c r="J392" s="498">
        <f>IF(C392=0,0,ROUNDDOWN(I392*C392,1))</f>
        <v>33</v>
      </c>
      <c r="K392" s="494">
        <f>단가산출근거목록표!H140</f>
        <v>110</v>
      </c>
      <c r="L392" s="498">
        <f>IF(C392=0,0,ROUNDDOWN(K392*C392,1))</f>
        <v>165</v>
      </c>
      <c r="M392" s="463" t="s">
        <v>2540</v>
      </c>
      <c r="N392" s="451" t="s">
        <v>2548</v>
      </c>
      <c r="O392" s="468" t="s">
        <v>2542</v>
      </c>
      <c r="P392" s="468" t="s">
        <v>2354</v>
      </c>
      <c r="Q392" s="468" t="s">
        <v>2355</v>
      </c>
      <c r="Z392" s="433" t="str">
        <f ca="1">HYPERLINK("#"&amp;단가산출근거목록표!J2&amp;"!A"&amp;ROW(단가산출근거목록표!A140),"D01217 →")</f>
        <v>D01217 →</v>
      </c>
    </row>
    <row r="393" spans="1:26" ht="33.200000000000003" customHeight="1">
      <c r="A393" s="452" t="s">
        <v>2507</v>
      </c>
      <c r="B393" s="452" t="s">
        <v>2441</v>
      </c>
      <c r="C393" s="489">
        <v>25</v>
      </c>
      <c r="D393" s="480" t="s">
        <v>2371</v>
      </c>
      <c r="E393" s="490">
        <f t="shared" si="40"/>
        <v>37158.200000000004</v>
      </c>
      <c r="F393" s="491">
        <f t="shared" si="40"/>
        <v>9289.5</v>
      </c>
      <c r="G393" s="496">
        <f>H389+H390+H391+H392</f>
        <v>37158.200000000004</v>
      </c>
      <c r="H393" s="491">
        <f>IF(C393=0,0,ROUNDDOWN(G393*C393/100,1))</f>
        <v>9289.5</v>
      </c>
      <c r="I393" s="465">
        <v>0</v>
      </c>
      <c r="J393" s="493">
        <f>IF(C393=0,0,ROUNDDOWN(I393*C393/100,1))</f>
        <v>0</v>
      </c>
      <c r="K393" s="467">
        <v>0</v>
      </c>
      <c r="L393" s="493">
        <f>IF(C393=0,0,ROUNDDOWN(K393*C393/100,1))</f>
        <v>0</v>
      </c>
      <c r="M393" s="463"/>
      <c r="N393" s="451" t="s">
        <v>2508</v>
      </c>
      <c r="O393" s="468" t="s">
        <v>2373</v>
      </c>
      <c r="P393" s="468" t="s">
        <v>2354</v>
      </c>
    </row>
    <row r="394" spans="1:26" ht="33.200000000000003" customHeight="1">
      <c r="A394" s="463" t="s">
        <v>842</v>
      </c>
      <c r="B394" s="497"/>
      <c r="C394" s="497"/>
      <c r="D394" s="497"/>
      <c r="E394" s="497"/>
      <c r="F394" s="446">
        <f>J394+H394+L394</f>
        <v>46645</v>
      </c>
      <c r="G394" s="497"/>
      <c r="H394" s="446">
        <f>ROUNDDOWN(SUMIF(P389:P393,O394,H389:H393),0)</f>
        <v>46447</v>
      </c>
      <c r="I394" s="497"/>
      <c r="J394" s="446">
        <f>ROUNDDOWN(SUMIF(P389:P393,O394,J389:J393),0)</f>
        <v>33</v>
      </c>
      <c r="K394" s="497"/>
      <c r="L394" s="446">
        <f>ROUNDDOWN(SUMIF(P389:P393,O394,L389:L393),0)</f>
        <v>165</v>
      </c>
      <c r="M394" s="497"/>
      <c r="O394" s="468" t="s">
        <v>2354</v>
      </c>
    </row>
    <row r="395" spans="1:26" ht="33.200000000000003" customHeight="1">
      <c r="A395" s="484" t="s">
        <v>2626</v>
      </c>
      <c r="B395" s="484"/>
      <c r="C395" s="485"/>
      <c r="D395" s="485"/>
      <c r="E395" s="485"/>
      <c r="F395" s="485"/>
      <c r="G395" s="485"/>
      <c r="H395" s="485"/>
      <c r="I395" s="485"/>
      <c r="J395" s="485"/>
      <c r="K395" s="485"/>
      <c r="L395" s="485"/>
      <c r="M395" s="485"/>
      <c r="N395" s="486" t="str">
        <f>HYPERLINK("#N"&amp;ROW(N401),"_x0005_`BDCOD|B02671_x0007_`POSS|"&amp;ROW(N397)&amp;"_x0007_`POSE|"&amp;ROW(N401)&amp;"_x0007_`")</f>
        <v>_x0005_`BDCOD|B02671_x0007_`POSS|397_x0007_`POSE|401_x0007_`</v>
      </c>
    </row>
    <row r="396" spans="1:26" ht="33.200000000000003" customHeight="1">
      <c r="A396" s="469" t="s">
        <v>5052</v>
      </c>
      <c r="B396" s="469" t="s">
        <v>923</v>
      </c>
      <c r="C396" s="487"/>
      <c r="D396" s="488" t="s">
        <v>911</v>
      </c>
      <c r="E396" s="487"/>
      <c r="F396" s="487"/>
      <c r="G396" s="487"/>
      <c r="H396" s="487"/>
      <c r="I396" s="487"/>
      <c r="J396" s="487"/>
      <c r="K396" s="487"/>
      <c r="L396" s="487"/>
      <c r="M396" s="488" t="s">
        <v>924</v>
      </c>
      <c r="O396" s="468" t="s">
        <v>924</v>
      </c>
    </row>
    <row r="397" spans="1:26" ht="33.200000000000003" customHeight="1">
      <c r="A397" s="452" t="s">
        <v>2484</v>
      </c>
      <c r="B397" s="452" t="s">
        <v>2533</v>
      </c>
      <c r="C397" s="489">
        <v>0.4</v>
      </c>
      <c r="D397" s="480" t="s">
        <v>8</v>
      </c>
      <c r="E397" s="490">
        <f t="shared" ref="E397:F401" si="41">I397+G397+K397</f>
        <v>93246</v>
      </c>
      <c r="F397" s="493">
        <f t="shared" si="41"/>
        <v>37298.400000000001</v>
      </c>
      <c r="G397" s="494">
        <f>단가산출근거목록표!F158</f>
        <v>93246</v>
      </c>
      <c r="H397" s="498">
        <f>IF(C397=0,0,ROUNDDOWN(G397*C397,1))</f>
        <v>37298.400000000001</v>
      </c>
      <c r="I397" s="494">
        <f>단가산출근거목록표!G158</f>
        <v>0</v>
      </c>
      <c r="J397" s="498">
        <f>IF(C397=0,0,ROUNDDOWN(I397*C397,1))</f>
        <v>0</v>
      </c>
      <c r="K397" s="494">
        <f>단가산출근거목록표!H158</f>
        <v>0</v>
      </c>
      <c r="L397" s="498">
        <f>IF(C397=0,0,ROUNDDOWN(K397*C397,1))</f>
        <v>0</v>
      </c>
      <c r="M397" s="463" t="s">
        <v>2534</v>
      </c>
      <c r="N397" s="451" t="s">
        <v>2547</v>
      </c>
      <c r="O397" s="468" t="s">
        <v>2536</v>
      </c>
      <c r="P397" s="468" t="s">
        <v>2354</v>
      </c>
      <c r="Q397" s="468" t="s">
        <v>2355</v>
      </c>
      <c r="Z397" s="433" t="str">
        <f ca="1">HYPERLINK("#"&amp;단가산출근거목록표!J2&amp;"!A"&amp;ROW(단가산출근거목록표!A158),"D01267 →")</f>
        <v>D01267 →</v>
      </c>
    </row>
    <row r="398" spans="1:26" ht="33.200000000000003" customHeight="1">
      <c r="A398" s="452" t="s">
        <v>2298</v>
      </c>
      <c r="B398" s="452" t="s">
        <v>2299</v>
      </c>
      <c r="C398" s="489">
        <v>0.3</v>
      </c>
      <c r="D398" s="480" t="s">
        <v>8</v>
      </c>
      <c r="E398" s="490">
        <f t="shared" si="41"/>
        <v>24089</v>
      </c>
      <c r="F398" s="493">
        <f t="shared" si="41"/>
        <v>7226.7</v>
      </c>
      <c r="G398" s="494">
        <f>일위대가목록표!F37</f>
        <v>24089</v>
      </c>
      <c r="H398" s="498">
        <f>IF(C398=0,0,ROUNDDOWN(G398*C398,1))</f>
        <v>7226.7</v>
      </c>
      <c r="I398" s="494">
        <f>일위대가목록표!G37</f>
        <v>0</v>
      </c>
      <c r="J398" s="498">
        <f>IF(C398=0,0,ROUNDDOWN(I398*C398,1))</f>
        <v>0</v>
      </c>
      <c r="K398" s="494">
        <f>일위대가목록표!H37</f>
        <v>0</v>
      </c>
      <c r="L398" s="498">
        <f>IF(C398=0,0,ROUNDDOWN(K398*C398,1))</f>
        <v>0</v>
      </c>
      <c r="M398" s="463" t="s">
        <v>2492</v>
      </c>
      <c r="N398" s="451" t="s">
        <v>2493</v>
      </c>
      <c r="O398" s="468" t="s">
        <v>2494</v>
      </c>
      <c r="P398" s="468" t="s">
        <v>2354</v>
      </c>
      <c r="Q398" s="468" t="s">
        <v>2355</v>
      </c>
      <c r="Z398" s="433" t="str">
        <f ca="1">HYPERLINK("#"&amp;일위대가목록표!J2&amp;"!A"&amp;ROW(일위대가목록표!A37),"B01447 →")</f>
        <v>B01447 →</v>
      </c>
    </row>
    <row r="399" spans="1:26" ht="33.200000000000003" customHeight="1">
      <c r="A399" s="452" t="s">
        <v>2321</v>
      </c>
      <c r="B399" s="452" t="s">
        <v>2322</v>
      </c>
      <c r="C399" s="489">
        <v>0.1</v>
      </c>
      <c r="D399" s="480" t="s">
        <v>8</v>
      </c>
      <c r="E399" s="490">
        <f t="shared" si="41"/>
        <v>34413</v>
      </c>
      <c r="F399" s="493">
        <f t="shared" si="41"/>
        <v>3441.3</v>
      </c>
      <c r="G399" s="494">
        <f>일위대가목록표!F275</f>
        <v>34413</v>
      </c>
      <c r="H399" s="498">
        <f>IF(C399=0,0,ROUNDDOWN(G399*C399,1))</f>
        <v>3441.3</v>
      </c>
      <c r="I399" s="494">
        <f>일위대가목록표!G275</f>
        <v>0</v>
      </c>
      <c r="J399" s="498">
        <f>IF(C399=0,0,ROUNDDOWN(I399*C399,1))</f>
        <v>0</v>
      </c>
      <c r="K399" s="494">
        <f>일위대가목록표!H275</f>
        <v>0</v>
      </c>
      <c r="L399" s="498">
        <f>IF(C399=0,0,ROUNDDOWN(K399*C399,1))</f>
        <v>0</v>
      </c>
      <c r="M399" s="463" t="s">
        <v>2489</v>
      </c>
      <c r="N399" s="451" t="s">
        <v>2490</v>
      </c>
      <c r="O399" s="468" t="s">
        <v>2491</v>
      </c>
      <c r="P399" s="468" t="s">
        <v>2354</v>
      </c>
      <c r="Q399" s="468" t="s">
        <v>2355</v>
      </c>
      <c r="Z399" s="433" t="str">
        <f ca="1">HYPERLINK("#"&amp;일위대가목록표!J2&amp;"!A"&amp;ROW(일위대가목록표!A275),"B01414 →")</f>
        <v>B01414 →</v>
      </c>
    </row>
    <row r="400" spans="1:26" ht="33.200000000000003" customHeight="1">
      <c r="A400" s="452" t="s">
        <v>1997</v>
      </c>
      <c r="B400" s="452" t="s">
        <v>2539</v>
      </c>
      <c r="C400" s="489">
        <v>2</v>
      </c>
      <c r="D400" s="480" t="s">
        <v>595</v>
      </c>
      <c r="E400" s="490">
        <f t="shared" si="41"/>
        <v>921</v>
      </c>
      <c r="F400" s="493">
        <f t="shared" si="41"/>
        <v>1842</v>
      </c>
      <c r="G400" s="494">
        <f>단가산출근거목록표!F140</f>
        <v>789</v>
      </c>
      <c r="H400" s="498">
        <f>IF(C400=0,0,ROUNDDOWN(G400*C400,1))</f>
        <v>1578</v>
      </c>
      <c r="I400" s="494">
        <f>단가산출근거목록표!G140</f>
        <v>22</v>
      </c>
      <c r="J400" s="498">
        <f>IF(C400=0,0,ROUNDDOWN(I400*C400,1))</f>
        <v>44</v>
      </c>
      <c r="K400" s="494">
        <f>단가산출근거목록표!H140</f>
        <v>110</v>
      </c>
      <c r="L400" s="498">
        <f>IF(C400=0,0,ROUNDDOWN(K400*C400,1))</f>
        <v>220</v>
      </c>
      <c r="M400" s="463" t="s">
        <v>2540</v>
      </c>
      <c r="N400" s="451" t="s">
        <v>2548</v>
      </c>
      <c r="O400" s="468" t="s">
        <v>2542</v>
      </c>
      <c r="P400" s="468" t="s">
        <v>2354</v>
      </c>
      <c r="Q400" s="468" t="s">
        <v>2355</v>
      </c>
      <c r="Z400" s="433" t="str">
        <f ca="1">HYPERLINK("#"&amp;단가산출근거목록표!J2&amp;"!A"&amp;ROW(단가산출근거목록표!A140),"D01217 →")</f>
        <v>D01217 →</v>
      </c>
    </row>
    <row r="401" spans="1:26" ht="33.200000000000003" customHeight="1">
      <c r="A401" s="452" t="s">
        <v>2507</v>
      </c>
      <c r="B401" s="452" t="s">
        <v>2441</v>
      </c>
      <c r="C401" s="489">
        <v>25</v>
      </c>
      <c r="D401" s="480" t="s">
        <v>2371</v>
      </c>
      <c r="E401" s="490">
        <f t="shared" si="41"/>
        <v>49544.4</v>
      </c>
      <c r="F401" s="491">
        <f t="shared" si="41"/>
        <v>12386.1</v>
      </c>
      <c r="G401" s="496">
        <f>H397+H398+H399+H400</f>
        <v>49544.4</v>
      </c>
      <c r="H401" s="491">
        <f>IF(C401=0,0,ROUNDDOWN(G401*C401/100,1))</f>
        <v>12386.1</v>
      </c>
      <c r="I401" s="465">
        <v>0</v>
      </c>
      <c r="J401" s="493">
        <f>IF(C401=0,0,ROUNDDOWN(I401*C401/100,1))</f>
        <v>0</v>
      </c>
      <c r="K401" s="467">
        <v>0</v>
      </c>
      <c r="L401" s="493">
        <f>IF(C401=0,0,ROUNDDOWN(K401*C401/100,1))</f>
        <v>0</v>
      </c>
      <c r="M401" s="463"/>
      <c r="N401" s="451" t="s">
        <v>2508</v>
      </c>
      <c r="O401" s="468" t="s">
        <v>2373</v>
      </c>
      <c r="P401" s="468" t="s">
        <v>2354</v>
      </c>
    </row>
    <row r="402" spans="1:26" ht="33.200000000000003" customHeight="1">
      <c r="A402" s="463" t="s">
        <v>842</v>
      </c>
      <c r="B402" s="497"/>
      <c r="C402" s="497"/>
      <c r="D402" s="497"/>
      <c r="E402" s="497"/>
      <c r="F402" s="446">
        <f>J402+H402+L402</f>
        <v>62194</v>
      </c>
      <c r="G402" s="497"/>
      <c r="H402" s="446">
        <f>ROUNDDOWN(SUMIF(P397:P401,O402,H397:H401),0)</f>
        <v>61930</v>
      </c>
      <c r="I402" s="497"/>
      <c r="J402" s="446">
        <f>ROUNDDOWN(SUMIF(P397:P401,O402,J397:J401),0)</f>
        <v>44</v>
      </c>
      <c r="K402" s="497"/>
      <c r="L402" s="446">
        <f>ROUNDDOWN(SUMIF(P397:P401,O402,L397:L401),0)</f>
        <v>220</v>
      </c>
      <c r="M402" s="497"/>
      <c r="O402" s="468" t="s">
        <v>2354</v>
      </c>
    </row>
    <row r="403" spans="1:26" ht="33.200000000000003" customHeight="1">
      <c r="A403" s="484" t="s">
        <v>2636</v>
      </c>
      <c r="B403" s="484"/>
      <c r="C403" s="485"/>
      <c r="D403" s="485"/>
      <c r="E403" s="485"/>
      <c r="F403" s="485"/>
      <c r="G403" s="485"/>
      <c r="H403" s="485"/>
      <c r="I403" s="485"/>
      <c r="J403" s="485"/>
      <c r="K403" s="485"/>
      <c r="L403" s="485"/>
      <c r="M403" s="485"/>
      <c r="N403" s="486" t="str">
        <f>HYPERLINK("#N"&amp;ROW(N412),"_x0005_`BDCOD|B02625_x0007_`POSS|"&amp;ROW(N405)&amp;"_x0007_`POSE|"&amp;ROW(N412)&amp;"_x0007_`")</f>
        <v>_x0005_`BDCOD|B02625_x0007_`POSS|405_x0007_`POSE|412_x0007_`</v>
      </c>
    </row>
    <row r="404" spans="1:26" ht="33.200000000000003" customHeight="1">
      <c r="A404" s="469" t="s">
        <v>1317</v>
      </c>
      <c r="B404" s="469" t="s">
        <v>1313</v>
      </c>
      <c r="C404" s="487"/>
      <c r="D404" s="488" t="s">
        <v>975</v>
      </c>
      <c r="E404" s="487"/>
      <c r="F404" s="487"/>
      <c r="G404" s="487"/>
      <c r="H404" s="487"/>
      <c r="I404" s="487"/>
      <c r="J404" s="487"/>
      <c r="K404" s="487"/>
      <c r="L404" s="487"/>
      <c r="M404" s="488" t="s">
        <v>1318</v>
      </c>
      <c r="O404" s="468" t="s">
        <v>1318</v>
      </c>
    </row>
    <row r="405" spans="1:26" ht="33.200000000000003" customHeight="1">
      <c r="A405" s="452" t="s">
        <v>2484</v>
      </c>
      <c r="B405" s="452" t="s">
        <v>2561</v>
      </c>
      <c r="C405" s="489">
        <v>0.14199999999999999</v>
      </c>
      <c r="D405" s="480" t="s">
        <v>8</v>
      </c>
      <c r="E405" s="490">
        <f t="shared" ref="E405:F412" si="42">I405+G405+K405</f>
        <v>102782</v>
      </c>
      <c r="F405" s="493">
        <f t="shared" si="42"/>
        <v>14595</v>
      </c>
      <c r="G405" s="494">
        <f>단가산출근거목록표!F156</f>
        <v>102782</v>
      </c>
      <c r="H405" s="498">
        <f t="shared" ref="H405:H412" si="43">IF(C405=0,0,ROUNDDOWN(G405*C405,1))</f>
        <v>14595</v>
      </c>
      <c r="I405" s="494">
        <f>단가산출근거목록표!G156</f>
        <v>0</v>
      </c>
      <c r="J405" s="498">
        <f t="shared" ref="J405:J412" si="44">IF(C405=0,0,ROUNDDOWN(I405*C405,1))</f>
        <v>0</v>
      </c>
      <c r="K405" s="494">
        <f>단가산출근거목록표!H156</f>
        <v>0</v>
      </c>
      <c r="L405" s="498">
        <f t="shared" ref="L405:L412" si="45">IF(C405=0,0,ROUNDDOWN(K405*C405,1))</f>
        <v>0</v>
      </c>
      <c r="M405" s="463" t="s">
        <v>2562</v>
      </c>
      <c r="N405" s="451" t="s">
        <v>2563</v>
      </c>
      <c r="O405" s="468" t="s">
        <v>2564</v>
      </c>
      <c r="P405" s="468" t="s">
        <v>2354</v>
      </c>
      <c r="Z405" s="433" t="str">
        <f ca="1">HYPERLINK("#"&amp;단가산출근거목록표!J2&amp;"!A"&amp;ROW(단가산출근거목록표!A156),"D01266 →")</f>
        <v>D01266 →</v>
      </c>
    </row>
    <row r="406" spans="1:26" ht="33.200000000000003" customHeight="1">
      <c r="A406" s="452" t="s">
        <v>2298</v>
      </c>
      <c r="B406" s="452" t="s">
        <v>2299</v>
      </c>
      <c r="C406" s="489">
        <v>8.6999999999999994E-2</v>
      </c>
      <c r="D406" s="480" t="s">
        <v>8</v>
      </c>
      <c r="E406" s="490">
        <f t="shared" si="42"/>
        <v>24089</v>
      </c>
      <c r="F406" s="493">
        <f t="shared" si="42"/>
        <v>2095.6999999999998</v>
      </c>
      <c r="G406" s="494">
        <f>일위대가목록표!F37</f>
        <v>24089</v>
      </c>
      <c r="H406" s="498">
        <f t="shared" si="43"/>
        <v>2095.6999999999998</v>
      </c>
      <c r="I406" s="494">
        <f>일위대가목록표!G37</f>
        <v>0</v>
      </c>
      <c r="J406" s="498">
        <f t="shared" si="44"/>
        <v>0</v>
      </c>
      <c r="K406" s="494">
        <f>일위대가목록표!H37</f>
        <v>0</v>
      </c>
      <c r="L406" s="498">
        <f t="shared" si="45"/>
        <v>0</v>
      </c>
      <c r="M406" s="463" t="s">
        <v>2492</v>
      </c>
      <c r="N406" s="451" t="s">
        <v>2537</v>
      </c>
      <c r="O406" s="468" t="s">
        <v>2494</v>
      </c>
      <c r="P406" s="468" t="s">
        <v>2354</v>
      </c>
      <c r="Z406" s="433" t="str">
        <f ca="1">HYPERLINK("#"&amp;일위대가목록표!J2&amp;"!A"&amp;ROW(일위대가목록표!A37),"B01447 →")</f>
        <v>B01447 →</v>
      </c>
    </row>
    <row r="407" spans="1:26" ht="33.200000000000003" customHeight="1">
      <c r="A407" s="452" t="s">
        <v>2321</v>
      </c>
      <c r="B407" s="452" t="s">
        <v>2322</v>
      </c>
      <c r="C407" s="489">
        <v>5.5E-2</v>
      </c>
      <c r="D407" s="480" t="s">
        <v>8</v>
      </c>
      <c r="E407" s="490">
        <f t="shared" si="42"/>
        <v>34413</v>
      </c>
      <c r="F407" s="493">
        <f t="shared" si="42"/>
        <v>1892.7</v>
      </c>
      <c r="G407" s="494">
        <f>일위대가목록표!F275</f>
        <v>34413</v>
      </c>
      <c r="H407" s="498">
        <f t="shared" si="43"/>
        <v>1892.7</v>
      </c>
      <c r="I407" s="494">
        <f>일위대가목록표!G275</f>
        <v>0</v>
      </c>
      <c r="J407" s="498">
        <f t="shared" si="44"/>
        <v>0</v>
      </c>
      <c r="K407" s="494">
        <f>일위대가목록표!H275</f>
        <v>0</v>
      </c>
      <c r="L407" s="498">
        <f t="shared" si="45"/>
        <v>0</v>
      </c>
      <c r="M407" s="463" t="s">
        <v>2489</v>
      </c>
      <c r="N407" s="451" t="s">
        <v>2538</v>
      </c>
      <c r="O407" s="468" t="s">
        <v>2491</v>
      </c>
      <c r="P407" s="468" t="s">
        <v>2354</v>
      </c>
      <c r="Z407" s="433" t="str">
        <f ca="1">HYPERLINK("#"&amp;일위대가목록표!J2&amp;"!A"&amp;ROW(일위대가목록표!A275),"B01414 →")</f>
        <v>B01414 →</v>
      </c>
    </row>
    <row r="408" spans="1:26" ht="33.200000000000003" customHeight="1">
      <c r="A408" s="452" t="s">
        <v>2495</v>
      </c>
      <c r="B408" s="452" t="s">
        <v>2496</v>
      </c>
      <c r="C408" s="489">
        <v>0.72</v>
      </c>
      <c r="D408" s="480" t="s">
        <v>595</v>
      </c>
      <c r="E408" s="490">
        <f t="shared" si="42"/>
        <v>46533</v>
      </c>
      <c r="F408" s="493">
        <f t="shared" si="42"/>
        <v>33503.599999999999</v>
      </c>
      <c r="G408" s="494">
        <f>단가산출근거목록표!F169</f>
        <v>34461</v>
      </c>
      <c r="H408" s="498">
        <f t="shared" si="43"/>
        <v>24811.9</v>
      </c>
      <c r="I408" s="494">
        <f>단가산출근거목록표!G169</f>
        <v>11728</v>
      </c>
      <c r="J408" s="498">
        <f t="shared" si="44"/>
        <v>8444.1</v>
      </c>
      <c r="K408" s="494">
        <f>단가산출근거목록표!H169</f>
        <v>344</v>
      </c>
      <c r="L408" s="498">
        <f t="shared" si="45"/>
        <v>247.6</v>
      </c>
      <c r="M408" s="463" t="s">
        <v>2497</v>
      </c>
      <c r="N408" s="451" t="s">
        <v>2565</v>
      </c>
      <c r="O408" s="468" t="s">
        <v>2499</v>
      </c>
      <c r="P408" s="468" t="s">
        <v>2354</v>
      </c>
      <c r="Z408" s="433" t="str">
        <f ca="1">HYPERLINK("#"&amp;단가산출근거목록표!J2&amp;"!A"&amp;ROW(단가산출근거목록표!A169),"D01231 →")</f>
        <v>D01231 →</v>
      </c>
    </row>
    <row r="409" spans="1:26" ht="33.200000000000003" customHeight="1">
      <c r="A409" s="452" t="s">
        <v>2342</v>
      </c>
      <c r="B409" s="452" t="s">
        <v>2346</v>
      </c>
      <c r="C409" s="489">
        <v>5.3999999999999999E-2</v>
      </c>
      <c r="D409" s="480" t="s">
        <v>8</v>
      </c>
      <c r="E409" s="490">
        <f t="shared" si="42"/>
        <v>690529</v>
      </c>
      <c r="F409" s="493">
        <f t="shared" si="42"/>
        <v>37288.5</v>
      </c>
      <c r="G409" s="494">
        <f>일위대가목록표!F331</f>
        <v>586879</v>
      </c>
      <c r="H409" s="498">
        <f t="shared" si="43"/>
        <v>31691.4</v>
      </c>
      <c r="I409" s="494">
        <f>일위대가목록표!G331</f>
        <v>103650</v>
      </c>
      <c r="J409" s="498">
        <f t="shared" si="44"/>
        <v>5597.1</v>
      </c>
      <c r="K409" s="494">
        <f>일위대가목록표!H331</f>
        <v>0</v>
      </c>
      <c r="L409" s="498">
        <f t="shared" si="45"/>
        <v>0</v>
      </c>
      <c r="M409" s="463" t="s">
        <v>2566</v>
      </c>
      <c r="N409" s="451" t="s">
        <v>2567</v>
      </c>
      <c r="O409" s="468" t="s">
        <v>2568</v>
      </c>
      <c r="P409" s="468" t="s">
        <v>2354</v>
      </c>
      <c r="Z409" s="433" t="str">
        <f ca="1">HYPERLINK("#"&amp;일위대가목록표!J2&amp;"!A"&amp;ROW(일위대가목록표!A331),"B01758 →")</f>
        <v>B01758 →</v>
      </c>
    </row>
    <row r="410" spans="1:26" ht="33.200000000000003" customHeight="1">
      <c r="A410" s="452" t="s">
        <v>2569</v>
      </c>
      <c r="B410" s="452" t="s">
        <v>2570</v>
      </c>
      <c r="C410" s="489">
        <v>1</v>
      </c>
      <c r="D410" s="480" t="s">
        <v>1589</v>
      </c>
      <c r="E410" s="490">
        <f t="shared" si="42"/>
        <v>432545</v>
      </c>
      <c r="F410" s="491">
        <f t="shared" si="42"/>
        <v>432545</v>
      </c>
      <c r="G410" s="492">
        <v>0</v>
      </c>
      <c r="H410" s="493">
        <f t="shared" si="43"/>
        <v>0</v>
      </c>
      <c r="I410" s="494">
        <f>재료비목록표!E31</f>
        <v>432545</v>
      </c>
      <c r="J410" s="495">
        <f t="shared" si="44"/>
        <v>432545</v>
      </c>
      <c r="K410" s="492">
        <v>0</v>
      </c>
      <c r="L410" s="493">
        <f t="shared" si="45"/>
        <v>0</v>
      </c>
      <c r="M410" s="463" t="s">
        <v>2571</v>
      </c>
      <c r="N410" s="451" t="s">
        <v>2572</v>
      </c>
      <c r="O410" s="468" t="s">
        <v>2573</v>
      </c>
      <c r="P410" s="468" t="s">
        <v>2354</v>
      </c>
      <c r="Z410" s="433" t="str">
        <f ca="1">HYPERLINK("#"&amp;재료비목록표!G2&amp;"!A"&amp;ROW(재료비목록표!A31),"M01611 →")</f>
        <v>M01611 →</v>
      </c>
    </row>
    <row r="411" spans="1:26" ht="33.200000000000003" customHeight="1">
      <c r="A411" s="452" t="s">
        <v>2574</v>
      </c>
      <c r="B411" s="452" t="s">
        <v>2575</v>
      </c>
      <c r="C411" s="489">
        <v>8.1999999999999998E-4</v>
      </c>
      <c r="D411" s="480" t="s">
        <v>2576</v>
      </c>
      <c r="E411" s="490">
        <f t="shared" si="42"/>
        <v>765000</v>
      </c>
      <c r="F411" s="491">
        <f t="shared" si="42"/>
        <v>627.29999999999995</v>
      </c>
      <c r="G411" s="492">
        <v>0</v>
      </c>
      <c r="H411" s="493">
        <f t="shared" si="43"/>
        <v>0</v>
      </c>
      <c r="I411" s="494">
        <f>재료비목록표!E81</f>
        <v>765000</v>
      </c>
      <c r="J411" s="495">
        <f t="shared" si="44"/>
        <v>627.29999999999995</v>
      </c>
      <c r="K411" s="492">
        <v>0</v>
      </c>
      <c r="L411" s="493">
        <f t="shared" si="45"/>
        <v>0</v>
      </c>
      <c r="M411" s="463" t="s">
        <v>2577</v>
      </c>
      <c r="N411" s="451" t="s">
        <v>2578</v>
      </c>
      <c r="O411" s="468" t="s">
        <v>2579</v>
      </c>
      <c r="P411" s="468" t="s">
        <v>2354</v>
      </c>
      <c r="Z411" s="433" t="str">
        <f ca="1">HYPERLINK("#"&amp;재료비목록표!G2&amp;"!A"&amp;ROW(재료비목록표!A81),"M00150 →")</f>
        <v>M00150 →</v>
      </c>
    </row>
    <row r="412" spans="1:26" ht="33.200000000000003" customHeight="1">
      <c r="A412" s="452" t="s">
        <v>2580</v>
      </c>
      <c r="B412" s="452" t="s">
        <v>2581</v>
      </c>
      <c r="C412" s="489">
        <v>8.1999999999999998E-4</v>
      </c>
      <c r="D412" s="480" t="s">
        <v>2132</v>
      </c>
      <c r="E412" s="490">
        <f t="shared" si="42"/>
        <v>1386016</v>
      </c>
      <c r="F412" s="493">
        <f t="shared" si="42"/>
        <v>1136.5</v>
      </c>
      <c r="G412" s="494">
        <f>단가산출근거목록표!F141</f>
        <v>1375031</v>
      </c>
      <c r="H412" s="498">
        <f t="shared" si="43"/>
        <v>1127.5</v>
      </c>
      <c r="I412" s="494">
        <f>단가산출근거목록표!G141</f>
        <v>10985</v>
      </c>
      <c r="J412" s="498">
        <f t="shared" si="44"/>
        <v>9</v>
      </c>
      <c r="K412" s="494">
        <f>단가산출근거목록표!H141</f>
        <v>0</v>
      </c>
      <c r="L412" s="498">
        <f t="shared" si="45"/>
        <v>0</v>
      </c>
      <c r="M412" s="463" t="s">
        <v>2582</v>
      </c>
      <c r="N412" s="451" t="s">
        <v>2583</v>
      </c>
      <c r="O412" s="468" t="s">
        <v>2584</v>
      </c>
      <c r="P412" s="468" t="s">
        <v>2354</v>
      </c>
      <c r="Z412" s="433" t="str">
        <f ca="1">HYPERLINK("#"&amp;단가산출근거목록표!J2&amp;"!A"&amp;ROW(단가산출근거목록표!A141),"D00950 →")</f>
        <v>D00950 →</v>
      </c>
    </row>
    <row r="413" spans="1:26" ht="33.200000000000003" customHeight="1">
      <c r="A413" s="463" t="s">
        <v>842</v>
      </c>
      <c r="B413" s="497"/>
      <c r="C413" s="497"/>
      <c r="D413" s="497"/>
      <c r="E413" s="497"/>
      <c r="F413" s="446">
        <f>J413+H413+L413</f>
        <v>523683</v>
      </c>
      <c r="G413" s="497"/>
      <c r="H413" s="446">
        <f>ROUNDDOWN(SUMIF(P405:P412,O413,H405:H412),0)</f>
        <v>76214</v>
      </c>
      <c r="I413" s="497"/>
      <c r="J413" s="446">
        <f>ROUNDDOWN(SUMIF(P405:P412,O413,J405:J412),0)</f>
        <v>447222</v>
      </c>
      <c r="K413" s="497"/>
      <c r="L413" s="446">
        <f>ROUNDDOWN(SUMIF(P405:P412,O413,L405:L412),0)</f>
        <v>247</v>
      </c>
      <c r="M413" s="497"/>
      <c r="O413" s="468" t="s">
        <v>2354</v>
      </c>
    </row>
    <row r="414" spans="1:26" ht="33.200000000000003" customHeight="1">
      <c r="A414" s="484" t="s">
        <v>2637</v>
      </c>
      <c r="B414" s="484"/>
      <c r="C414" s="485"/>
      <c r="D414" s="485"/>
      <c r="E414" s="485"/>
      <c r="F414" s="485"/>
      <c r="G414" s="485"/>
      <c r="H414" s="485"/>
      <c r="I414" s="485"/>
      <c r="J414" s="485"/>
      <c r="K414" s="485"/>
      <c r="L414" s="485"/>
      <c r="M414" s="485"/>
      <c r="N414" s="486" t="str">
        <f>HYPERLINK("#N"&amp;ROW(N424),"_x0005_`BDCOD|B02865_x0007_`POSS|"&amp;ROW(N416)&amp;"_x0007_`POSE|"&amp;ROW(N424)&amp;"_x0007_`")</f>
        <v>_x0005_`BDCOD|B02865_x0007_`POSS|416_x0007_`POSE|424_x0007_`</v>
      </c>
    </row>
    <row r="415" spans="1:26" ht="33.200000000000003" customHeight="1">
      <c r="A415" s="469" t="s">
        <v>5193</v>
      </c>
      <c r="B415" s="469" t="s">
        <v>1313</v>
      </c>
      <c r="C415" s="487"/>
      <c r="D415" s="488" t="s">
        <v>975</v>
      </c>
      <c r="E415" s="487"/>
      <c r="F415" s="487"/>
      <c r="G415" s="487"/>
      <c r="H415" s="487"/>
      <c r="I415" s="487"/>
      <c r="J415" s="487"/>
      <c r="K415" s="487"/>
      <c r="L415" s="487"/>
      <c r="M415" s="488" t="s">
        <v>5194</v>
      </c>
      <c r="O415" s="468" t="s">
        <v>5194</v>
      </c>
    </row>
    <row r="416" spans="1:26" ht="33.200000000000003" customHeight="1">
      <c r="A416" s="452" t="s">
        <v>2484</v>
      </c>
      <c r="B416" s="452" t="s">
        <v>2561</v>
      </c>
      <c r="C416" s="489">
        <v>0.14199999999999999</v>
      </c>
      <c r="D416" s="480" t="s">
        <v>8</v>
      </c>
      <c r="E416" s="490">
        <f t="shared" ref="E416:F424" si="46">I416+G416+K416</f>
        <v>102782</v>
      </c>
      <c r="F416" s="493">
        <f t="shared" si="46"/>
        <v>14595</v>
      </c>
      <c r="G416" s="494">
        <f>단가산출근거목록표!F156</f>
        <v>102782</v>
      </c>
      <c r="H416" s="498">
        <f t="shared" ref="H416:H423" si="47">IF(C416=0,0,ROUNDDOWN(G416*C416,1))</f>
        <v>14595</v>
      </c>
      <c r="I416" s="494">
        <f>단가산출근거목록표!G156</f>
        <v>0</v>
      </c>
      <c r="J416" s="498">
        <f t="shared" ref="J416:J423" si="48">IF(C416=0,0,ROUNDDOWN(I416*C416,1))</f>
        <v>0</v>
      </c>
      <c r="K416" s="494">
        <f>단가산출근거목록표!H156</f>
        <v>0</v>
      </c>
      <c r="L416" s="498">
        <f t="shared" ref="L416:L423" si="49">IF(C416=0,0,ROUNDDOWN(K416*C416,1))</f>
        <v>0</v>
      </c>
      <c r="M416" s="463" t="s">
        <v>2562</v>
      </c>
      <c r="N416" s="451" t="s">
        <v>2586</v>
      </c>
      <c r="O416" s="468" t="s">
        <v>2564</v>
      </c>
      <c r="P416" s="468" t="s">
        <v>2354</v>
      </c>
      <c r="Q416" s="468" t="s">
        <v>2355</v>
      </c>
      <c r="Z416" s="433" t="str">
        <f ca="1">HYPERLINK("#"&amp;단가산출근거목록표!J2&amp;"!A"&amp;ROW(단가산출근거목록표!A156),"D01266 →")</f>
        <v>D01266 →</v>
      </c>
    </row>
    <row r="417" spans="1:26" ht="33.200000000000003" customHeight="1">
      <c r="A417" s="452" t="s">
        <v>2298</v>
      </c>
      <c r="B417" s="452" t="s">
        <v>2299</v>
      </c>
      <c r="C417" s="489">
        <v>8.6999999999999994E-2</v>
      </c>
      <c r="D417" s="480" t="s">
        <v>8</v>
      </c>
      <c r="E417" s="490">
        <f t="shared" si="46"/>
        <v>24089</v>
      </c>
      <c r="F417" s="493">
        <f t="shared" si="46"/>
        <v>2095.6999999999998</v>
      </c>
      <c r="G417" s="494">
        <f>일위대가목록표!F37</f>
        <v>24089</v>
      </c>
      <c r="H417" s="498">
        <f t="shared" si="47"/>
        <v>2095.6999999999998</v>
      </c>
      <c r="I417" s="494">
        <f>일위대가목록표!G37</f>
        <v>0</v>
      </c>
      <c r="J417" s="498">
        <f t="shared" si="48"/>
        <v>0</v>
      </c>
      <c r="K417" s="494">
        <f>일위대가목록표!H37</f>
        <v>0</v>
      </c>
      <c r="L417" s="498">
        <f t="shared" si="49"/>
        <v>0</v>
      </c>
      <c r="M417" s="463" t="s">
        <v>2492</v>
      </c>
      <c r="N417" s="451" t="s">
        <v>2493</v>
      </c>
      <c r="O417" s="468" t="s">
        <v>2494</v>
      </c>
      <c r="P417" s="468" t="s">
        <v>2354</v>
      </c>
      <c r="Q417" s="468" t="s">
        <v>2355</v>
      </c>
      <c r="Z417" s="433" t="str">
        <f ca="1">HYPERLINK("#"&amp;일위대가목록표!J2&amp;"!A"&amp;ROW(일위대가목록표!A37),"B01447 →")</f>
        <v>B01447 →</v>
      </c>
    </row>
    <row r="418" spans="1:26" ht="33.200000000000003" customHeight="1">
      <c r="A418" s="452" t="s">
        <v>2321</v>
      </c>
      <c r="B418" s="452" t="s">
        <v>2322</v>
      </c>
      <c r="C418" s="489">
        <v>5.5E-2</v>
      </c>
      <c r="D418" s="480" t="s">
        <v>8</v>
      </c>
      <c r="E418" s="490">
        <f t="shared" si="46"/>
        <v>34413</v>
      </c>
      <c r="F418" s="493">
        <f t="shared" si="46"/>
        <v>1892.7</v>
      </c>
      <c r="G418" s="494">
        <f>일위대가목록표!F275</f>
        <v>34413</v>
      </c>
      <c r="H418" s="498">
        <f t="shared" si="47"/>
        <v>1892.7</v>
      </c>
      <c r="I418" s="494">
        <f>일위대가목록표!G275</f>
        <v>0</v>
      </c>
      <c r="J418" s="498">
        <f t="shared" si="48"/>
        <v>0</v>
      </c>
      <c r="K418" s="494">
        <f>일위대가목록표!H275</f>
        <v>0</v>
      </c>
      <c r="L418" s="498">
        <f t="shared" si="49"/>
        <v>0</v>
      </c>
      <c r="M418" s="463" t="s">
        <v>2489</v>
      </c>
      <c r="N418" s="451" t="s">
        <v>2490</v>
      </c>
      <c r="O418" s="468" t="s">
        <v>2491</v>
      </c>
      <c r="P418" s="468" t="s">
        <v>2354</v>
      </c>
      <c r="Q418" s="468" t="s">
        <v>2355</v>
      </c>
      <c r="Z418" s="433" t="str">
        <f ca="1">HYPERLINK("#"&amp;일위대가목록표!J2&amp;"!A"&amp;ROW(일위대가목록표!A275),"B01414 →")</f>
        <v>B01414 →</v>
      </c>
    </row>
    <row r="419" spans="1:26" ht="33.200000000000003" customHeight="1">
      <c r="A419" s="452" t="s">
        <v>2342</v>
      </c>
      <c r="B419" s="452" t="s">
        <v>2346</v>
      </c>
      <c r="C419" s="489">
        <v>5.3999999999999999E-2</v>
      </c>
      <c r="D419" s="480" t="s">
        <v>8</v>
      </c>
      <c r="E419" s="490">
        <f t="shared" si="46"/>
        <v>690529</v>
      </c>
      <c r="F419" s="493">
        <f t="shared" si="46"/>
        <v>37288.5</v>
      </c>
      <c r="G419" s="494">
        <f>일위대가목록표!F331</f>
        <v>586879</v>
      </c>
      <c r="H419" s="498">
        <f t="shared" si="47"/>
        <v>31691.4</v>
      </c>
      <c r="I419" s="494">
        <f>일위대가목록표!G331</f>
        <v>103650</v>
      </c>
      <c r="J419" s="498">
        <f t="shared" si="48"/>
        <v>5597.1</v>
      </c>
      <c r="K419" s="494">
        <f>일위대가목록표!H331</f>
        <v>0</v>
      </c>
      <c r="L419" s="498">
        <f t="shared" si="49"/>
        <v>0</v>
      </c>
      <c r="M419" s="463" t="s">
        <v>2566</v>
      </c>
      <c r="N419" s="451" t="s">
        <v>2587</v>
      </c>
      <c r="O419" s="468" t="s">
        <v>2568</v>
      </c>
      <c r="P419" s="468" t="s">
        <v>2354</v>
      </c>
      <c r="Q419" s="468" t="s">
        <v>2355</v>
      </c>
      <c r="Z419" s="433" t="str">
        <f ca="1">HYPERLINK("#"&amp;일위대가목록표!J2&amp;"!A"&amp;ROW(일위대가목록표!A331),"B01758 →")</f>
        <v>B01758 →</v>
      </c>
    </row>
    <row r="420" spans="1:26" ht="33.200000000000003" customHeight="1">
      <c r="A420" s="452" t="s">
        <v>2495</v>
      </c>
      <c r="B420" s="452" t="s">
        <v>2496</v>
      </c>
      <c r="C420" s="489">
        <v>0.72</v>
      </c>
      <c r="D420" s="480" t="s">
        <v>595</v>
      </c>
      <c r="E420" s="490">
        <f t="shared" si="46"/>
        <v>46533</v>
      </c>
      <c r="F420" s="493">
        <f t="shared" si="46"/>
        <v>33503.599999999999</v>
      </c>
      <c r="G420" s="494">
        <f>단가산출근거목록표!F169</f>
        <v>34461</v>
      </c>
      <c r="H420" s="498">
        <f t="shared" si="47"/>
        <v>24811.9</v>
      </c>
      <c r="I420" s="494">
        <f>단가산출근거목록표!G169</f>
        <v>11728</v>
      </c>
      <c r="J420" s="498">
        <f t="shared" si="48"/>
        <v>8444.1</v>
      </c>
      <c r="K420" s="494">
        <f>단가산출근거목록표!H169</f>
        <v>344</v>
      </c>
      <c r="L420" s="498">
        <f t="shared" si="49"/>
        <v>247.6</v>
      </c>
      <c r="M420" s="463" t="s">
        <v>2497</v>
      </c>
      <c r="N420" s="451" t="s">
        <v>2498</v>
      </c>
      <c r="O420" s="468" t="s">
        <v>2499</v>
      </c>
      <c r="P420" s="468" t="s">
        <v>2354</v>
      </c>
      <c r="Q420" s="468" t="s">
        <v>2355</v>
      </c>
      <c r="Z420" s="433" t="str">
        <f ca="1">HYPERLINK("#"&amp;단가산출근거목록표!J2&amp;"!A"&amp;ROW(단가산출근거목록표!A169),"D01231 →")</f>
        <v>D01231 →</v>
      </c>
    </row>
    <row r="421" spans="1:26" ht="33.200000000000003" customHeight="1">
      <c r="A421" s="452" t="s">
        <v>2569</v>
      </c>
      <c r="B421" s="452" t="s">
        <v>2570</v>
      </c>
      <c r="C421" s="489">
        <v>1</v>
      </c>
      <c r="D421" s="480" t="s">
        <v>1589</v>
      </c>
      <c r="E421" s="490">
        <f t="shared" si="46"/>
        <v>432545</v>
      </c>
      <c r="F421" s="491">
        <f t="shared" si="46"/>
        <v>432545</v>
      </c>
      <c r="G421" s="492">
        <v>0</v>
      </c>
      <c r="H421" s="493">
        <f t="shared" si="47"/>
        <v>0</v>
      </c>
      <c r="I421" s="494">
        <f>재료비목록표!E31</f>
        <v>432545</v>
      </c>
      <c r="J421" s="495">
        <f t="shared" si="48"/>
        <v>432545</v>
      </c>
      <c r="K421" s="492">
        <v>0</v>
      </c>
      <c r="L421" s="493">
        <f t="shared" si="49"/>
        <v>0</v>
      </c>
      <c r="M421" s="463" t="s">
        <v>2571</v>
      </c>
      <c r="N421" s="451" t="s">
        <v>2572</v>
      </c>
      <c r="O421" s="468" t="s">
        <v>2573</v>
      </c>
      <c r="P421" s="468" t="s">
        <v>2354</v>
      </c>
      <c r="Z421" s="433" t="str">
        <f ca="1">HYPERLINK("#"&amp;재료비목록표!G2&amp;"!A"&amp;ROW(재료비목록표!A31),"M01611 →")</f>
        <v>M01611 →</v>
      </c>
    </row>
    <row r="422" spans="1:26" ht="33.200000000000003" customHeight="1">
      <c r="A422" s="452" t="s">
        <v>2574</v>
      </c>
      <c r="B422" s="452" t="s">
        <v>2575</v>
      </c>
      <c r="C422" s="489">
        <v>8.1999999999999998E-4</v>
      </c>
      <c r="D422" s="480" t="s">
        <v>2576</v>
      </c>
      <c r="E422" s="490">
        <f t="shared" si="46"/>
        <v>765000</v>
      </c>
      <c r="F422" s="491">
        <f t="shared" si="46"/>
        <v>627.29999999999995</v>
      </c>
      <c r="G422" s="492">
        <v>0</v>
      </c>
      <c r="H422" s="493">
        <f t="shared" si="47"/>
        <v>0</v>
      </c>
      <c r="I422" s="494">
        <f>재료비목록표!E81</f>
        <v>765000</v>
      </c>
      <c r="J422" s="495">
        <f t="shared" si="48"/>
        <v>627.29999999999995</v>
      </c>
      <c r="K422" s="492">
        <v>0</v>
      </c>
      <c r="L422" s="493">
        <f t="shared" si="49"/>
        <v>0</v>
      </c>
      <c r="M422" s="463" t="s">
        <v>2577</v>
      </c>
      <c r="N422" s="451" t="s">
        <v>2578</v>
      </c>
      <c r="O422" s="468" t="s">
        <v>2579</v>
      </c>
      <c r="P422" s="468" t="s">
        <v>2354</v>
      </c>
      <c r="Z422" s="433" t="str">
        <f ca="1">HYPERLINK("#"&amp;재료비목록표!G2&amp;"!A"&amp;ROW(재료비목록표!A81),"M00150 →")</f>
        <v>M00150 →</v>
      </c>
    </row>
    <row r="423" spans="1:26" ht="33.200000000000003" customHeight="1">
      <c r="A423" s="452" t="s">
        <v>2580</v>
      </c>
      <c r="B423" s="452" t="s">
        <v>2581</v>
      </c>
      <c r="C423" s="489">
        <v>8.1999999999999998E-4</v>
      </c>
      <c r="D423" s="480" t="s">
        <v>2132</v>
      </c>
      <c r="E423" s="490">
        <f t="shared" si="46"/>
        <v>1386016</v>
      </c>
      <c r="F423" s="493">
        <f t="shared" si="46"/>
        <v>1136.5</v>
      </c>
      <c r="G423" s="494">
        <f>단가산출근거목록표!F141</f>
        <v>1375031</v>
      </c>
      <c r="H423" s="498">
        <f t="shared" si="47"/>
        <v>1127.5</v>
      </c>
      <c r="I423" s="494">
        <f>단가산출근거목록표!G141</f>
        <v>10985</v>
      </c>
      <c r="J423" s="498">
        <f t="shared" si="48"/>
        <v>9</v>
      </c>
      <c r="K423" s="494">
        <f>단가산출근거목록표!H141</f>
        <v>0</v>
      </c>
      <c r="L423" s="498">
        <f t="shared" si="49"/>
        <v>0</v>
      </c>
      <c r="M423" s="463" t="s">
        <v>2582</v>
      </c>
      <c r="N423" s="451" t="s">
        <v>2588</v>
      </c>
      <c r="O423" s="468" t="s">
        <v>2584</v>
      </c>
      <c r="P423" s="468" t="s">
        <v>2354</v>
      </c>
      <c r="Q423" s="468" t="s">
        <v>2355</v>
      </c>
      <c r="Z423" s="433" t="str">
        <f ca="1">HYPERLINK("#"&amp;단가산출근거목록표!J2&amp;"!A"&amp;ROW(단가산출근거목록표!A141),"D00950 →")</f>
        <v>D00950 →</v>
      </c>
    </row>
    <row r="424" spans="1:26" ht="33.200000000000003" customHeight="1">
      <c r="A424" s="452" t="s">
        <v>2507</v>
      </c>
      <c r="B424" s="452" t="s">
        <v>2441</v>
      </c>
      <c r="C424" s="489">
        <v>15</v>
      </c>
      <c r="D424" s="480" t="s">
        <v>2371</v>
      </c>
      <c r="E424" s="490">
        <f t="shared" si="46"/>
        <v>76214.200000000012</v>
      </c>
      <c r="F424" s="491">
        <f t="shared" si="46"/>
        <v>11432.1</v>
      </c>
      <c r="G424" s="496">
        <f>H416+H417+H418+H419+H420+H423</f>
        <v>76214.200000000012</v>
      </c>
      <c r="H424" s="491">
        <f>IF(C424=0,0,ROUNDDOWN(G424*C424/100,1))</f>
        <v>11432.1</v>
      </c>
      <c r="I424" s="465">
        <v>0</v>
      </c>
      <c r="J424" s="493">
        <f>IF(C424=0,0,ROUNDDOWN(I424*C424/100,1))</f>
        <v>0</v>
      </c>
      <c r="K424" s="467">
        <v>0</v>
      </c>
      <c r="L424" s="493">
        <f>IF(C424=0,0,ROUNDDOWN(K424*C424/100,1))</f>
        <v>0</v>
      </c>
      <c r="M424" s="463"/>
      <c r="N424" s="451" t="s">
        <v>2508</v>
      </c>
      <c r="O424" s="468" t="s">
        <v>2373</v>
      </c>
      <c r="P424" s="468" t="s">
        <v>2354</v>
      </c>
    </row>
    <row r="425" spans="1:26" ht="33.200000000000003" customHeight="1">
      <c r="A425" s="463" t="s">
        <v>842</v>
      </c>
      <c r="B425" s="497"/>
      <c r="C425" s="497"/>
      <c r="D425" s="497"/>
      <c r="E425" s="497"/>
      <c r="F425" s="446">
        <f>J425+H425+L425</f>
        <v>535115</v>
      </c>
      <c r="G425" s="497"/>
      <c r="H425" s="446">
        <f>ROUNDDOWN(SUMIF(P416:P424,O425,H416:H424),0)</f>
        <v>87646</v>
      </c>
      <c r="I425" s="497"/>
      <c r="J425" s="446">
        <f>ROUNDDOWN(SUMIF(P416:P424,O425,J416:J424),0)</f>
        <v>447222</v>
      </c>
      <c r="K425" s="497"/>
      <c r="L425" s="446">
        <f>ROUNDDOWN(SUMIF(P416:P424,O425,L416:L424),0)</f>
        <v>247</v>
      </c>
      <c r="M425" s="497"/>
      <c r="O425" s="468" t="s">
        <v>2354</v>
      </c>
    </row>
    <row r="426" spans="1:26" ht="33.200000000000003" customHeight="1">
      <c r="A426" s="484" t="s">
        <v>2638</v>
      </c>
      <c r="B426" s="484"/>
      <c r="C426" s="485"/>
      <c r="D426" s="485"/>
      <c r="E426" s="485"/>
      <c r="F426" s="485"/>
      <c r="G426" s="485"/>
      <c r="H426" s="485"/>
      <c r="I426" s="485"/>
      <c r="J426" s="485"/>
      <c r="K426" s="485"/>
      <c r="L426" s="485"/>
      <c r="M426" s="485"/>
      <c r="N426" s="486" t="str">
        <f>HYPERLINK("#N"&amp;ROW(N436),"_x0005_`BDCOD|B02624_x0007_`POSS|"&amp;ROW(N428)&amp;"_x0007_`POSE|"&amp;ROW(N436)&amp;"_x0007_`")</f>
        <v>_x0005_`BDCOD|B02624_x0007_`POSS|428_x0007_`POSE|436_x0007_`</v>
      </c>
    </row>
    <row r="427" spans="1:26" ht="33.200000000000003" customHeight="1">
      <c r="A427" s="469" t="s">
        <v>5197</v>
      </c>
      <c r="B427" s="469" t="s">
        <v>1313</v>
      </c>
      <c r="C427" s="487"/>
      <c r="D427" s="488" t="s">
        <v>975</v>
      </c>
      <c r="E427" s="487"/>
      <c r="F427" s="487"/>
      <c r="G427" s="487"/>
      <c r="H427" s="487"/>
      <c r="I427" s="487"/>
      <c r="J427" s="487"/>
      <c r="K427" s="487"/>
      <c r="L427" s="487"/>
      <c r="M427" s="488" t="s">
        <v>1314</v>
      </c>
      <c r="O427" s="468" t="s">
        <v>1314</v>
      </c>
    </row>
    <row r="428" spans="1:26" ht="33.200000000000003" customHeight="1">
      <c r="A428" s="452" t="s">
        <v>2484</v>
      </c>
      <c r="B428" s="452" t="s">
        <v>2561</v>
      </c>
      <c r="C428" s="489">
        <v>0.14199999999999999</v>
      </c>
      <c r="D428" s="480" t="s">
        <v>8</v>
      </c>
      <c r="E428" s="490">
        <f t="shared" ref="E428:F436" si="50">I428+G428+K428</f>
        <v>102782</v>
      </c>
      <c r="F428" s="493">
        <f t="shared" si="50"/>
        <v>14595</v>
      </c>
      <c r="G428" s="494">
        <f>단가산출근거목록표!F156</f>
        <v>102782</v>
      </c>
      <c r="H428" s="498">
        <f t="shared" ref="H428:H435" si="51">IF(C428=0,0,ROUNDDOWN(G428*C428,1))</f>
        <v>14595</v>
      </c>
      <c r="I428" s="494">
        <f>단가산출근거목록표!G156</f>
        <v>0</v>
      </c>
      <c r="J428" s="498">
        <f t="shared" ref="J428:J435" si="52">IF(C428=0,0,ROUNDDOWN(I428*C428,1))</f>
        <v>0</v>
      </c>
      <c r="K428" s="494">
        <f>단가산출근거목록표!H156</f>
        <v>0</v>
      </c>
      <c r="L428" s="498">
        <f t="shared" ref="L428:L435" si="53">IF(C428=0,0,ROUNDDOWN(K428*C428,1))</f>
        <v>0</v>
      </c>
      <c r="M428" s="463" t="s">
        <v>2562</v>
      </c>
      <c r="N428" s="451" t="s">
        <v>2586</v>
      </c>
      <c r="O428" s="468" t="s">
        <v>2564</v>
      </c>
      <c r="P428" s="468" t="s">
        <v>2354</v>
      </c>
      <c r="Q428" s="468" t="s">
        <v>2355</v>
      </c>
      <c r="Z428" s="433" t="str">
        <f ca="1">HYPERLINK("#"&amp;단가산출근거목록표!J2&amp;"!A"&amp;ROW(단가산출근거목록표!A156),"D01266 →")</f>
        <v>D01266 →</v>
      </c>
    </row>
    <row r="429" spans="1:26" ht="33.200000000000003" customHeight="1">
      <c r="A429" s="452" t="s">
        <v>2298</v>
      </c>
      <c r="B429" s="452" t="s">
        <v>2299</v>
      </c>
      <c r="C429" s="489">
        <v>8.6999999999999994E-2</v>
      </c>
      <c r="D429" s="480" t="s">
        <v>8</v>
      </c>
      <c r="E429" s="490">
        <f t="shared" si="50"/>
        <v>24089</v>
      </c>
      <c r="F429" s="493">
        <f t="shared" si="50"/>
        <v>2095.6999999999998</v>
      </c>
      <c r="G429" s="494">
        <f>일위대가목록표!F37</f>
        <v>24089</v>
      </c>
      <c r="H429" s="498">
        <f t="shared" si="51"/>
        <v>2095.6999999999998</v>
      </c>
      <c r="I429" s="494">
        <f>일위대가목록표!G37</f>
        <v>0</v>
      </c>
      <c r="J429" s="498">
        <f t="shared" si="52"/>
        <v>0</v>
      </c>
      <c r="K429" s="494">
        <f>일위대가목록표!H37</f>
        <v>0</v>
      </c>
      <c r="L429" s="498">
        <f t="shared" si="53"/>
        <v>0</v>
      </c>
      <c r="M429" s="463" t="s">
        <v>2492</v>
      </c>
      <c r="N429" s="451" t="s">
        <v>2493</v>
      </c>
      <c r="O429" s="468" t="s">
        <v>2494</v>
      </c>
      <c r="P429" s="468" t="s">
        <v>2354</v>
      </c>
      <c r="Q429" s="468" t="s">
        <v>2355</v>
      </c>
      <c r="Z429" s="433" t="str">
        <f ca="1">HYPERLINK("#"&amp;일위대가목록표!J2&amp;"!A"&amp;ROW(일위대가목록표!A37),"B01447 →")</f>
        <v>B01447 →</v>
      </c>
    </row>
    <row r="430" spans="1:26" ht="33.200000000000003" customHeight="1">
      <c r="A430" s="452" t="s">
        <v>2321</v>
      </c>
      <c r="B430" s="452" t="s">
        <v>2322</v>
      </c>
      <c r="C430" s="489">
        <v>5.5E-2</v>
      </c>
      <c r="D430" s="480" t="s">
        <v>8</v>
      </c>
      <c r="E430" s="490">
        <f t="shared" si="50"/>
        <v>34413</v>
      </c>
      <c r="F430" s="493">
        <f t="shared" si="50"/>
        <v>1892.7</v>
      </c>
      <c r="G430" s="494">
        <f>일위대가목록표!F275</f>
        <v>34413</v>
      </c>
      <c r="H430" s="498">
        <f t="shared" si="51"/>
        <v>1892.7</v>
      </c>
      <c r="I430" s="494">
        <f>일위대가목록표!G275</f>
        <v>0</v>
      </c>
      <c r="J430" s="498">
        <f t="shared" si="52"/>
        <v>0</v>
      </c>
      <c r="K430" s="494">
        <f>일위대가목록표!H275</f>
        <v>0</v>
      </c>
      <c r="L430" s="498">
        <f t="shared" si="53"/>
        <v>0</v>
      </c>
      <c r="M430" s="463" t="s">
        <v>2489</v>
      </c>
      <c r="N430" s="451" t="s">
        <v>2490</v>
      </c>
      <c r="O430" s="468" t="s">
        <v>2491</v>
      </c>
      <c r="P430" s="468" t="s">
        <v>2354</v>
      </c>
      <c r="Q430" s="468" t="s">
        <v>2355</v>
      </c>
      <c r="Z430" s="433" t="str">
        <f ca="1">HYPERLINK("#"&amp;일위대가목록표!J2&amp;"!A"&amp;ROW(일위대가목록표!A275),"B01414 →")</f>
        <v>B01414 →</v>
      </c>
    </row>
    <row r="431" spans="1:26" ht="33.200000000000003" customHeight="1">
      <c r="A431" s="452" t="s">
        <v>2342</v>
      </c>
      <c r="B431" s="452" t="s">
        <v>2346</v>
      </c>
      <c r="C431" s="489">
        <v>5.3999999999999999E-2</v>
      </c>
      <c r="D431" s="480" t="s">
        <v>8</v>
      </c>
      <c r="E431" s="490">
        <f t="shared" si="50"/>
        <v>690529</v>
      </c>
      <c r="F431" s="493">
        <f t="shared" si="50"/>
        <v>37288.5</v>
      </c>
      <c r="G431" s="494">
        <f>일위대가목록표!F331</f>
        <v>586879</v>
      </c>
      <c r="H431" s="498">
        <f t="shared" si="51"/>
        <v>31691.4</v>
      </c>
      <c r="I431" s="494">
        <f>일위대가목록표!G331</f>
        <v>103650</v>
      </c>
      <c r="J431" s="498">
        <f t="shared" si="52"/>
        <v>5597.1</v>
      </c>
      <c r="K431" s="494">
        <f>일위대가목록표!H331</f>
        <v>0</v>
      </c>
      <c r="L431" s="498">
        <f t="shared" si="53"/>
        <v>0</v>
      </c>
      <c r="M431" s="463" t="s">
        <v>2566</v>
      </c>
      <c r="N431" s="451" t="s">
        <v>2587</v>
      </c>
      <c r="O431" s="468" t="s">
        <v>2568</v>
      </c>
      <c r="P431" s="468" t="s">
        <v>2354</v>
      </c>
      <c r="Q431" s="468" t="s">
        <v>2355</v>
      </c>
      <c r="Z431" s="433" t="str">
        <f ca="1">HYPERLINK("#"&amp;일위대가목록표!J2&amp;"!A"&amp;ROW(일위대가목록표!A331),"B01758 →")</f>
        <v>B01758 →</v>
      </c>
    </row>
    <row r="432" spans="1:26" ht="33.200000000000003" customHeight="1">
      <c r="A432" s="452" t="s">
        <v>2495</v>
      </c>
      <c r="B432" s="452" t="s">
        <v>2496</v>
      </c>
      <c r="C432" s="489">
        <v>0.72</v>
      </c>
      <c r="D432" s="480" t="s">
        <v>595</v>
      </c>
      <c r="E432" s="490">
        <f t="shared" si="50"/>
        <v>46533</v>
      </c>
      <c r="F432" s="493">
        <f t="shared" si="50"/>
        <v>33503.599999999999</v>
      </c>
      <c r="G432" s="494">
        <f>단가산출근거목록표!F169</f>
        <v>34461</v>
      </c>
      <c r="H432" s="498">
        <f t="shared" si="51"/>
        <v>24811.9</v>
      </c>
      <c r="I432" s="494">
        <f>단가산출근거목록표!G169</f>
        <v>11728</v>
      </c>
      <c r="J432" s="498">
        <f t="shared" si="52"/>
        <v>8444.1</v>
      </c>
      <c r="K432" s="494">
        <f>단가산출근거목록표!H169</f>
        <v>344</v>
      </c>
      <c r="L432" s="498">
        <f t="shared" si="53"/>
        <v>247.6</v>
      </c>
      <c r="M432" s="463" t="s">
        <v>2497</v>
      </c>
      <c r="N432" s="451" t="s">
        <v>2498</v>
      </c>
      <c r="O432" s="468" t="s">
        <v>2499</v>
      </c>
      <c r="P432" s="468" t="s">
        <v>2354</v>
      </c>
      <c r="Q432" s="468" t="s">
        <v>2355</v>
      </c>
      <c r="Z432" s="433" t="str">
        <f ca="1">HYPERLINK("#"&amp;단가산출근거목록표!J2&amp;"!A"&amp;ROW(단가산출근거목록표!A169),"D01231 →")</f>
        <v>D01231 →</v>
      </c>
    </row>
    <row r="433" spans="1:26" ht="33.200000000000003" customHeight="1">
      <c r="A433" s="452" t="s">
        <v>2569</v>
      </c>
      <c r="B433" s="452" t="s">
        <v>2570</v>
      </c>
      <c r="C433" s="489">
        <v>1</v>
      </c>
      <c r="D433" s="480" t="s">
        <v>1589</v>
      </c>
      <c r="E433" s="490">
        <f t="shared" si="50"/>
        <v>432545</v>
      </c>
      <c r="F433" s="491">
        <f t="shared" si="50"/>
        <v>432545</v>
      </c>
      <c r="G433" s="492">
        <v>0</v>
      </c>
      <c r="H433" s="493">
        <f t="shared" si="51"/>
        <v>0</v>
      </c>
      <c r="I433" s="494">
        <f>재료비목록표!E31</f>
        <v>432545</v>
      </c>
      <c r="J433" s="495">
        <f t="shared" si="52"/>
        <v>432545</v>
      </c>
      <c r="K433" s="492">
        <v>0</v>
      </c>
      <c r="L433" s="493">
        <f t="shared" si="53"/>
        <v>0</v>
      </c>
      <c r="M433" s="463" t="s">
        <v>2571</v>
      </c>
      <c r="N433" s="451" t="s">
        <v>2572</v>
      </c>
      <c r="O433" s="468" t="s">
        <v>2573</v>
      </c>
      <c r="P433" s="468" t="s">
        <v>2354</v>
      </c>
      <c r="Z433" s="433" t="str">
        <f ca="1">HYPERLINK("#"&amp;재료비목록표!G2&amp;"!A"&amp;ROW(재료비목록표!A31),"M01611 →")</f>
        <v>M01611 →</v>
      </c>
    </row>
    <row r="434" spans="1:26" ht="33.200000000000003" customHeight="1">
      <c r="A434" s="452" t="s">
        <v>2574</v>
      </c>
      <c r="B434" s="452" t="s">
        <v>2575</v>
      </c>
      <c r="C434" s="489">
        <v>8.1999999999999998E-4</v>
      </c>
      <c r="D434" s="480" t="s">
        <v>2576</v>
      </c>
      <c r="E434" s="490">
        <f t="shared" si="50"/>
        <v>765000</v>
      </c>
      <c r="F434" s="491">
        <f t="shared" si="50"/>
        <v>627.29999999999995</v>
      </c>
      <c r="G434" s="492">
        <v>0</v>
      </c>
      <c r="H434" s="493">
        <f t="shared" si="51"/>
        <v>0</v>
      </c>
      <c r="I434" s="494">
        <f>재료비목록표!E81</f>
        <v>765000</v>
      </c>
      <c r="J434" s="495">
        <f t="shared" si="52"/>
        <v>627.29999999999995</v>
      </c>
      <c r="K434" s="492">
        <v>0</v>
      </c>
      <c r="L434" s="493">
        <f t="shared" si="53"/>
        <v>0</v>
      </c>
      <c r="M434" s="463" t="s">
        <v>2577</v>
      </c>
      <c r="N434" s="451" t="s">
        <v>2578</v>
      </c>
      <c r="O434" s="468" t="s">
        <v>2579</v>
      </c>
      <c r="P434" s="468" t="s">
        <v>2354</v>
      </c>
      <c r="Z434" s="433" t="str">
        <f ca="1">HYPERLINK("#"&amp;재료비목록표!G2&amp;"!A"&amp;ROW(재료비목록표!A81),"M00150 →")</f>
        <v>M00150 →</v>
      </c>
    </row>
    <row r="435" spans="1:26" ht="33.200000000000003" customHeight="1">
      <c r="A435" s="452" t="s">
        <v>2580</v>
      </c>
      <c r="B435" s="452" t="s">
        <v>2581</v>
      </c>
      <c r="C435" s="489">
        <v>8.1999999999999998E-4</v>
      </c>
      <c r="D435" s="480" t="s">
        <v>2132</v>
      </c>
      <c r="E435" s="490">
        <f t="shared" si="50"/>
        <v>1386016</v>
      </c>
      <c r="F435" s="493">
        <f t="shared" si="50"/>
        <v>1136.5</v>
      </c>
      <c r="G435" s="494">
        <f>단가산출근거목록표!F141</f>
        <v>1375031</v>
      </c>
      <c r="H435" s="498">
        <f t="shared" si="51"/>
        <v>1127.5</v>
      </c>
      <c r="I435" s="494">
        <f>단가산출근거목록표!G141</f>
        <v>10985</v>
      </c>
      <c r="J435" s="498">
        <f t="shared" si="52"/>
        <v>9</v>
      </c>
      <c r="K435" s="494">
        <f>단가산출근거목록표!H141</f>
        <v>0</v>
      </c>
      <c r="L435" s="498">
        <f t="shared" si="53"/>
        <v>0</v>
      </c>
      <c r="M435" s="463" t="s">
        <v>2582</v>
      </c>
      <c r="N435" s="451" t="s">
        <v>2588</v>
      </c>
      <c r="O435" s="468" t="s">
        <v>2584</v>
      </c>
      <c r="P435" s="468" t="s">
        <v>2354</v>
      </c>
      <c r="Q435" s="468" t="s">
        <v>2355</v>
      </c>
      <c r="Z435" s="433" t="str">
        <f ca="1">HYPERLINK("#"&amp;단가산출근거목록표!J2&amp;"!A"&amp;ROW(단가산출근거목록표!A141),"D00950 →")</f>
        <v>D00950 →</v>
      </c>
    </row>
    <row r="436" spans="1:26" ht="33.200000000000003" customHeight="1">
      <c r="A436" s="452" t="s">
        <v>2507</v>
      </c>
      <c r="B436" s="452" t="s">
        <v>2441</v>
      </c>
      <c r="C436" s="489">
        <v>25</v>
      </c>
      <c r="D436" s="480" t="s">
        <v>2371</v>
      </c>
      <c r="E436" s="490">
        <f t="shared" si="50"/>
        <v>76214.200000000012</v>
      </c>
      <c r="F436" s="491">
        <f t="shared" si="50"/>
        <v>19053.5</v>
      </c>
      <c r="G436" s="496">
        <f>H428+H429+H430+H431+H432+H435</f>
        <v>76214.200000000012</v>
      </c>
      <c r="H436" s="491">
        <f>IF(C436=0,0,ROUNDDOWN(G436*C436/100,1))</f>
        <v>19053.5</v>
      </c>
      <c r="I436" s="465">
        <v>0</v>
      </c>
      <c r="J436" s="493">
        <f>IF(C436=0,0,ROUNDDOWN(I436*C436/100,1))</f>
        <v>0</v>
      </c>
      <c r="K436" s="467">
        <v>0</v>
      </c>
      <c r="L436" s="493">
        <f>IF(C436=0,0,ROUNDDOWN(K436*C436/100,1))</f>
        <v>0</v>
      </c>
      <c r="M436" s="463"/>
      <c r="N436" s="451" t="s">
        <v>2508</v>
      </c>
      <c r="O436" s="468" t="s">
        <v>2373</v>
      </c>
      <c r="P436" s="468" t="s">
        <v>2354</v>
      </c>
    </row>
    <row r="437" spans="1:26" ht="33.200000000000003" customHeight="1">
      <c r="A437" s="463" t="s">
        <v>842</v>
      </c>
      <c r="B437" s="497"/>
      <c r="C437" s="497"/>
      <c r="D437" s="497"/>
      <c r="E437" s="497"/>
      <c r="F437" s="446">
        <f>J437+H437+L437</f>
        <v>542736</v>
      </c>
      <c r="G437" s="497"/>
      <c r="H437" s="446">
        <f>ROUNDDOWN(SUMIF(P428:P436,O437,H428:H436),0)</f>
        <v>95267</v>
      </c>
      <c r="I437" s="497"/>
      <c r="J437" s="446">
        <f>ROUNDDOWN(SUMIF(P428:P436,O437,J428:J436),0)</f>
        <v>447222</v>
      </c>
      <c r="K437" s="497"/>
      <c r="L437" s="446">
        <f>ROUNDDOWN(SUMIF(P428:P436,O437,L428:L436),0)</f>
        <v>247</v>
      </c>
      <c r="M437" s="497"/>
      <c r="O437" s="468" t="s">
        <v>2354</v>
      </c>
    </row>
    <row r="438" spans="1:26" ht="33.200000000000003" customHeight="1">
      <c r="A438" s="484" t="s">
        <v>2639</v>
      </c>
      <c r="B438" s="484"/>
      <c r="C438" s="485"/>
      <c r="D438" s="485"/>
      <c r="E438" s="485"/>
      <c r="F438" s="485"/>
      <c r="G438" s="485"/>
      <c r="H438" s="485"/>
      <c r="I438" s="485"/>
      <c r="J438" s="485"/>
      <c r="K438" s="485"/>
      <c r="L438" s="485"/>
      <c r="M438" s="485"/>
      <c r="N438" s="486" t="str">
        <f>HYPERLINK("#N"&amp;ROW(N442),"_x0005_`BDCOD|B02636_x0007_`POSS|"&amp;ROW(N440)&amp;"_x0007_`POSE|"&amp;ROW(N442)&amp;"_x0007_`")</f>
        <v>_x0005_`BDCOD|B02636_x0007_`POSS|440_x0007_`POSE|442_x0007_`</v>
      </c>
    </row>
    <row r="439" spans="1:26" ht="33.200000000000003" customHeight="1">
      <c r="A439" s="469" t="s">
        <v>1765</v>
      </c>
      <c r="B439" s="469" t="s">
        <v>1761</v>
      </c>
      <c r="C439" s="487"/>
      <c r="D439" s="488" t="s">
        <v>975</v>
      </c>
      <c r="E439" s="487"/>
      <c r="F439" s="487"/>
      <c r="G439" s="487"/>
      <c r="H439" s="487"/>
      <c r="I439" s="487"/>
      <c r="J439" s="487"/>
      <c r="K439" s="487"/>
      <c r="L439" s="487"/>
      <c r="M439" s="488" t="s">
        <v>1766</v>
      </c>
      <c r="O439" s="468" t="s">
        <v>1766</v>
      </c>
    </row>
    <row r="440" spans="1:26" ht="33.200000000000003" customHeight="1">
      <c r="A440" s="452" t="s">
        <v>2484</v>
      </c>
      <c r="B440" s="452" t="s">
        <v>2590</v>
      </c>
      <c r="C440" s="489">
        <v>0.122</v>
      </c>
      <c r="D440" s="480" t="s">
        <v>8</v>
      </c>
      <c r="E440" s="490">
        <f t="shared" ref="E440:F442" si="54">I440+G440+K440</f>
        <v>83748</v>
      </c>
      <c r="F440" s="493">
        <f t="shared" si="54"/>
        <v>10217.200000000001</v>
      </c>
      <c r="G440" s="494">
        <f>단가산출근거목록표!F155</f>
        <v>83748</v>
      </c>
      <c r="H440" s="498">
        <f>IF(C440=0,0,ROUNDDOWN(G440*C440,1))</f>
        <v>10217.200000000001</v>
      </c>
      <c r="I440" s="494">
        <f>단가산출근거목록표!G155</f>
        <v>0</v>
      </c>
      <c r="J440" s="498">
        <f>IF(C440=0,0,ROUNDDOWN(I440*C440,1))</f>
        <v>0</v>
      </c>
      <c r="K440" s="494">
        <f>단가산출근거목록표!H155</f>
        <v>0</v>
      </c>
      <c r="L440" s="498">
        <f>IF(C440=0,0,ROUNDDOWN(K440*C440,1))</f>
        <v>0</v>
      </c>
      <c r="M440" s="463" t="s">
        <v>2591</v>
      </c>
      <c r="N440" s="451" t="s">
        <v>2592</v>
      </c>
      <c r="O440" s="468" t="s">
        <v>2593</v>
      </c>
      <c r="P440" s="468" t="s">
        <v>2354</v>
      </c>
      <c r="Q440" s="468" t="s">
        <v>2355</v>
      </c>
      <c r="Z440" s="433" t="str">
        <f ca="1">HYPERLINK("#"&amp;단가산출근거목록표!J2&amp;"!A"&amp;ROW(단가산출근거목록표!A155),"D01265 →")</f>
        <v>D01265 →</v>
      </c>
    </row>
    <row r="441" spans="1:26" ht="33.200000000000003" customHeight="1">
      <c r="A441" s="452" t="s">
        <v>1793</v>
      </c>
      <c r="B441" s="452" t="s">
        <v>1789</v>
      </c>
      <c r="C441" s="489">
        <v>5.3999999999999999E-2</v>
      </c>
      <c r="D441" s="480" t="s">
        <v>8</v>
      </c>
      <c r="E441" s="490">
        <f t="shared" si="54"/>
        <v>233588</v>
      </c>
      <c r="F441" s="493">
        <f t="shared" si="54"/>
        <v>12613.7</v>
      </c>
      <c r="G441" s="494">
        <f>단가산출근거목록표!F152</f>
        <v>228399</v>
      </c>
      <c r="H441" s="498">
        <f>IF(C441=0,0,ROUNDDOWN(G441*C441,1))</f>
        <v>12333.5</v>
      </c>
      <c r="I441" s="494">
        <f>단가산출근거목록표!G152</f>
        <v>0</v>
      </c>
      <c r="J441" s="498">
        <f>IF(C441=0,0,ROUNDDOWN(I441*C441,1))</f>
        <v>0</v>
      </c>
      <c r="K441" s="494">
        <f>단가산출근거목록표!H152</f>
        <v>5189</v>
      </c>
      <c r="L441" s="498">
        <f>IF(C441=0,0,ROUNDDOWN(K441*C441,1))</f>
        <v>280.2</v>
      </c>
      <c r="M441" s="463" t="s">
        <v>2594</v>
      </c>
      <c r="N441" s="451" t="s">
        <v>2595</v>
      </c>
      <c r="O441" s="468" t="s">
        <v>1796</v>
      </c>
      <c r="P441" s="468" t="s">
        <v>2354</v>
      </c>
      <c r="Q441" s="468" t="s">
        <v>2355</v>
      </c>
      <c r="Z441" s="433" t="str">
        <f ca="1">HYPERLINK("#"&amp;단가산출근거목록표!J2&amp;"!A"&amp;ROW(단가산출근거목록표!A152),"D01242 →")</f>
        <v>D01242 →</v>
      </c>
    </row>
    <row r="442" spans="1:26" ht="33.200000000000003" customHeight="1">
      <c r="A442" s="452" t="s">
        <v>1466</v>
      </c>
      <c r="B442" s="452" t="s">
        <v>1467</v>
      </c>
      <c r="C442" s="489">
        <v>8.5999999999999993E-2</v>
      </c>
      <c r="D442" s="480" t="s">
        <v>8</v>
      </c>
      <c r="E442" s="490">
        <f t="shared" si="54"/>
        <v>274515</v>
      </c>
      <c r="F442" s="493">
        <f t="shared" si="54"/>
        <v>23608.2</v>
      </c>
      <c r="G442" s="494">
        <f>일위대가목록표!F73</f>
        <v>274515</v>
      </c>
      <c r="H442" s="498">
        <f>IF(C442=0,0,ROUNDDOWN(G442*C442,1))</f>
        <v>23608.2</v>
      </c>
      <c r="I442" s="494">
        <f>일위대가목록표!G73</f>
        <v>0</v>
      </c>
      <c r="J442" s="498">
        <f>IF(C442=0,0,ROUNDDOWN(I442*C442,1))</f>
        <v>0</v>
      </c>
      <c r="K442" s="494">
        <f>일위대가목록표!H73</f>
        <v>0</v>
      </c>
      <c r="L442" s="498">
        <f>IF(C442=0,0,ROUNDDOWN(K442*C442,1))</f>
        <v>0</v>
      </c>
      <c r="M442" s="463" t="s">
        <v>2596</v>
      </c>
      <c r="N442" s="451" t="s">
        <v>2597</v>
      </c>
      <c r="O442" s="468" t="s">
        <v>1470</v>
      </c>
      <c r="P442" s="468" t="s">
        <v>2354</v>
      </c>
      <c r="Q442" s="468" t="s">
        <v>2355</v>
      </c>
      <c r="Z442" s="433" t="str">
        <f ca="1">HYPERLINK("#"&amp;일위대가목록표!J2&amp;"!A"&amp;ROW(일위대가목록표!A73),"B02396 →")</f>
        <v>B02396 →</v>
      </c>
    </row>
    <row r="443" spans="1:26" ht="33.200000000000003" customHeight="1">
      <c r="A443" s="463" t="s">
        <v>842</v>
      </c>
      <c r="B443" s="497"/>
      <c r="C443" s="497"/>
      <c r="D443" s="497"/>
      <c r="E443" s="497"/>
      <c r="F443" s="446">
        <f>J443+H443+L443</f>
        <v>46438</v>
      </c>
      <c r="G443" s="497"/>
      <c r="H443" s="446">
        <f>ROUNDDOWN(SUMIF(P440:P442,O443,H440:H442),0)</f>
        <v>46158</v>
      </c>
      <c r="I443" s="497"/>
      <c r="J443" s="446">
        <f>ROUNDDOWN(SUMIF(P440:P442,O443,J440:J442),0)</f>
        <v>0</v>
      </c>
      <c r="K443" s="497"/>
      <c r="L443" s="446">
        <f>ROUNDDOWN(SUMIF(P440:P442,O443,L440:L442),0)</f>
        <v>280</v>
      </c>
      <c r="M443" s="497"/>
      <c r="O443" s="468" t="s">
        <v>2354</v>
      </c>
    </row>
    <row r="444" spans="1:26" ht="33.200000000000003" customHeight="1">
      <c r="A444" s="484" t="s">
        <v>2640</v>
      </c>
      <c r="B444" s="484"/>
      <c r="C444" s="485"/>
      <c r="D444" s="485"/>
      <c r="E444" s="485"/>
      <c r="F444" s="485"/>
      <c r="G444" s="485"/>
      <c r="H444" s="485"/>
      <c r="I444" s="485"/>
      <c r="J444" s="485"/>
      <c r="K444" s="485"/>
      <c r="L444" s="485"/>
      <c r="M444" s="485"/>
      <c r="N444" s="486" t="str">
        <f>HYPERLINK("#N"&amp;ROW(N449),"_x0005_`BDCOD|B02885_x0007_`POSS|"&amp;ROW(N446)&amp;"_x0007_`POSE|"&amp;ROW(N449)&amp;"_x0007_`")</f>
        <v>_x0005_`BDCOD|B02885_x0007_`POSS|446_x0007_`POSE|449_x0007_`</v>
      </c>
    </row>
    <row r="445" spans="1:26" ht="33.200000000000003" customHeight="1">
      <c r="A445" s="469" t="s">
        <v>5277</v>
      </c>
      <c r="B445" s="469" t="s">
        <v>1761</v>
      </c>
      <c r="C445" s="487"/>
      <c r="D445" s="488" t="s">
        <v>975</v>
      </c>
      <c r="E445" s="487"/>
      <c r="F445" s="487"/>
      <c r="G445" s="487"/>
      <c r="H445" s="487"/>
      <c r="I445" s="487"/>
      <c r="J445" s="487"/>
      <c r="K445" s="487"/>
      <c r="L445" s="487"/>
      <c r="M445" s="488" t="s">
        <v>5278</v>
      </c>
      <c r="O445" s="468" t="s">
        <v>5278</v>
      </c>
    </row>
    <row r="446" spans="1:26" ht="33.200000000000003" customHeight="1">
      <c r="A446" s="452" t="s">
        <v>2484</v>
      </c>
      <c r="B446" s="452" t="s">
        <v>2590</v>
      </c>
      <c r="C446" s="489">
        <v>0.122</v>
      </c>
      <c r="D446" s="480" t="s">
        <v>8</v>
      </c>
      <c r="E446" s="490">
        <f t="shared" ref="E446:F449" si="55">I446+G446+K446</f>
        <v>83748</v>
      </c>
      <c r="F446" s="493">
        <f t="shared" si="55"/>
        <v>10217.200000000001</v>
      </c>
      <c r="G446" s="494">
        <f>단가산출근거목록표!F155</f>
        <v>83748</v>
      </c>
      <c r="H446" s="498">
        <f>IF(C446=0,0,ROUNDDOWN(G446*C446,1))</f>
        <v>10217.200000000001</v>
      </c>
      <c r="I446" s="494">
        <f>단가산출근거목록표!G155</f>
        <v>0</v>
      </c>
      <c r="J446" s="498">
        <f>IF(C446=0,0,ROUNDDOWN(I446*C446,1))</f>
        <v>0</v>
      </c>
      <c r="K446" s="494">
        <f>단가산출근거목록표!H155</f>
        <v>0</v>
      </c>
      <c r="L446" s="498">
        <f>IF(C446=0,0,ROUNDDOWN(K446*C446,1))</f>
        <v>0</v>
      </c>
      <c r="M446" s="463" t="s">
        <v>2591</v>
      </c>
      <c r="N446" s="451" t="s">
        <v>2592</v>
      </c>
      <c r="O446" s="468" t="s">
        <v>2593</v>
      </c>
      <c r="P446" s="468" t="s">
        <v>2354</v>
      </c>
      <c r="Q446" s="468" t="s">
        <v>2355</v>
      </c>
      <c r="Z446" s="433" t="str">
        <f ca="1">HYPERLINK("#"&amp;단가산출근거목록표!J2&amp;"!A"&amp;ROW(단가산출근거목록표!A155),"D01265 →")</f>
        <v>D01265 →</v>
      </c>
    </row>
    <row r="447" spans="1:26" ht="33.200000000000003" customHeight="1">
      <c r="A447" s="452" t="s">
        <v>1793</v>
      </c>
      <c r="B447" s="452" t="s">
        <v>1789</v>
      </c>
      <c r="C447" s="489">
        <v>5.3999999999999999E-2</v>
      </c>
      <c r="D447" s="480" t="s">
        <v>8</v>
      </c>
      <c r="E447" s="490">
        <f t="shared" si="55"/>
        <v>233588</v>
      </c>
      <c r="F447" s="493">
        <f t="shared" si="55"/>
        <v>12613.7</v>
      </c>
      <c r="G447" s="494">
        <f>단가산출근거목록표!F152</f>
        <v>228399</v>
      </c>
      <c r="H447" s="498">
        <f>IF(C447=0,0,ROUNDDOWN(G447*C447,1))</f>
        <v>12333.5</v>
      </c>
      <c r="I447" s="494">
        <f>단가산출근거목록표!G152</f>
        <v>0</v>
      </c>
      <c r="J447" s="498">
        <f>IF(C447=0,0,ROUNDDOWN(I447*C447,1))</f>
        <v>0</v>
      </c>
      <c r="K447" s="494">
        <f>단가산출근거목록표!H152</f>
        <v>5189</v>
      </c>
      <c r="L447" s="498">
        <f>IF(C447=0,0,ROUNDDOWN(K447*C447,1))</f>
        <v>280.2</v>
      </c>
      <c r="M447" s="463" t="s">
        <v>2594</v>
      </c>
      <c r="N447" s="451" t="s">
        <v>2595</v>
      </c>
      <c r="O447" s="468" t="s">
        <v>1796</v>
      </c>
      <c r="P447" s="468" t="s">
        <v>2354</v>
      </c>
      <c r="Q447" s="468" t="s">
        <v>2355</v>
      </c>
      <c r="Z447" s="433" t="str">
        <f ca="1">HYPERLINK("#"&amp;단가산출근거목록표!J2&amp;"!A"&amp;ROW(단가산출근거목록표!A152),"D01242 →")</f>
        <v>D01242 →</v>
      </c>
    </row>
    <row r="448" spans="1:26" ht="33.200000000000003" customHeight="1">
      <c r="A448" s="452" t="s">
        <v>1466</v>
      </c>
      <c r="B448" s="452" t="s">
        <v>1467</v>
      </c>
      <c r="C448" s="489">
        <v>8.5999999999999993E-2</v>
      </c>
      <c r="D448" s="480" t="s">
        <v>8</v>
      </c>
      <c r="E448" s="490">
        <f t="shared" si="55"/>
        <v>274515</v>
      </c>
      <c r="F448" s="493">
        <f t="shared" si="55"/>
        <v>23608.2</v>
      </c>
      <c r="G448" s="494">
        <f>일위대가목록표!F73</f>
        <v>274515</v>
      </c>
      <c r="H448" s="498">
        <f>IF(C448=0,0,ROUNDDOWN(G448*C448,1))</f>
        <v>23608.2</v>
      </c>
      <c r="I448" s="494">
        <f>일위대가목록표!G73</f>
        <v>0</v>
      </c>
      <c r="J448" s="498">
        <f>IF(C448=0,0,ROUNDDOWN(I448*C448,1))</f>
        <v>0</v>
      </c>
      <c r="K448" s="494">
        <f>일위대가목록표!H73</f>
        <v>0</v>
      </c>
      <c r="L448" s="498">
        <f>IF(C448=0,0,ROUNDDOWN(K448*C448,1))</f>
        <v>0</v>
      </c>
      <c r="M448" s="463" t="s">
        <v>2596</v>
      </c>
      <c r="N448" s="451" t="s">
        <v>2597</v>
      </c>
      <c r="O448" s="468" t="s">
        <v>1470</v>
      </c>
      <c r="P448" s="468" t="s">
        <v>2354</v>
      </c>
      <c r="Q448" s="468" t="s">
        <v>2355</v>
      </c>
      <c r="Z448" s="433" t="str">
        <f ca="1">HYPERLINK("#"&amp;일위대가목록표!J2&amp;"!A"&amp;ROW(일위대가목록표!A73),"B02396 →")</f>
        <v>B02396 →</v>
      </c>
    </row>
    <row r="449" spans="1:26" ht="33.200000000000003" customHeight="1">
      <c r="A449" s="452" t="s">
        <v>2507</v>
      </c>
      <c r="B449" s="452" t="s">
        <v>2441</v>
      </c>
      <c r="C449" s="489">
        <v>15</v>
      </c>
      <c r="D449" s="480" t="s">
        <v>2371</v>
      </c>
      <c r="E449" s="490">
        <f t="shared" si="55"/>
        <v>46158.9</v>
      </c>
      <c r="F449" s="491">
        <f t="shared" si="55"/>
        <v>6923.8</v>
      </c>
      <c r="G449" s="496">
        <f>H446+H447+H448</f>
        <v>46158.9</v>
      </c>
      <c r="H449" s="491">
        <f>IF(C449=0,0,ROUNDDOWN(G449*C449/100,1))</f>
        <v>6923.8</v>
      </c>
      <c r="I449" s="465">
        <v>0</v>
      </c>
      <c r="J449" s="493">
        <f>IF(C449=0,0,ROUNDDOWN(I449*C449/100,1))</f>
        <v>0</v>
      </c>
      <c r="K449" s="467">
        <v>0</v>
      </c>
      <c r="L449" s="493">
        <f>IF(C449=0,0,ROUNDDOWN(K449*C449/100,1))</f>
        <v>0</v>
      </c>
      <c r="M449" s="463"/>
      <c r="N449" s="451" t="s">
        <v>2508</v>
      </c>
      <c r="O449" s="468" t="s">
        <v>2373</v>
      </c>
      <c r="P449" s="468" t="s">
        <v>2354</v>
      </c>
    </row>
    <row r="450" spans="1:26" ht="33.200000000000003" customHeight="1">
      <c r="A450" s="463" t="s">
        <v>842</v>
      </c>
      <c r="B450" s="497"/>
      <c r="C450" s="497"/>
      <c r="D450" s="497"/>
      <c r="E450" s="497"/>
      <c r="F450" s="446">
        <f>J450+H450+L450</f>
        <v>53362</v>
      </c>
      <c r="G450" s="497"/>
      <c r="H450" s="446">
        <f>ROUNDDOWN(SUMIF(P446:P449,O450,H446:H449),0)</f>
        <v>53082</v>
      </c>
      <c r="I450" s="497"/>
      <c r="J450" s="446">
        <f>ROUNDDOWN(SUMIF(P446:P449,O450,J446:J449),0)</f>
        <v>0</v>
      </c>
      <c r="K450" s="497"/>
      <c r="L450" s="446">
        <f>ROUNDDOWN(SUMIF(P446:P449,O450,L446:L449),0)</f>
        <v>280</v>
      </c>
      <c r="M450" s="497"/>
      <c r="O450" s="468" t="s">
        <v>2354</v>
      </c>
    </row>
    <row r="451" spans="1:26" ht="33.200000000000003" customHeight="1">
      <c r="A451" s="484" t="s">
        <v>2641</v>
      </c>
      <c r="B451" s="484"/>
      <c r="C451" s="485"/>
      <c r="D451" s="485"/>
      <c r="E451" s="485"/>
      <c r="F451" s="485"/>
      <c r="G451" s="485"/>
      <c r="H451" s="485"/>
      <c r="I451" s="485"/>
      <c r="J451" s="485"/>
      <c r="K451" s="485"/>
      <c r="L451" s="485"/>
      <c r="M451" s="485"/>
      <c r="N451" s="486" t="str">
        <f>HYPERLINK("#N"&amp;ROW(N456),"_x0005_`BDCOD|B02395_x0007_`POSS|"&amp;ROW(N453)&amp;"_x0007_`POSE|"&amp;ROW(N456)&amp;"_x0007_`")</f>
        <v>_x0005_`BDCOD|B02395_x0007_`POSS|453_x0007_`POSE|456_x0007_`</v>
      </c>
    </row>
    <row r="452" spans="1:26" ht="33.200000000000003" customHeight="1">
      <c r="A452" s="469" t="s">
        <v>5281</v>
      </c>
      <c r="B452" s="469" t="s">
        <v>1761</v>
      </c>
      <c r="C452" s="487"/>
      <c r="D452" s="488" t="s">
        <v>975</v>
      </c>
      <c r="E452" s="487"/>
      <c r="F452" s="487"/>
      <c r="G452" s="487"/>
      <c r="H452" s="487"/>
      <c r="I452" s="487"/>
      <c r="J452" s="487"/>
      <c r="K452" s="487"/>
      <c r="L452" s="487"/>
      <c r="M452" s="488" t="s">
        <v>1762</v>
      </c>
      <c r="O452" s="468" t="s">
        <v>1762</v>
      </c>
    </row>
    <row r="453" spans="1:26" ht="33.200000000000003" customHeight="1">
      <c r="A453" s="452" t="s">
        <v>2484</v>
      </c>
      <c r="B453" s="452" t="s">
        <v>2590</v>
      </c>
      <c r="C453" s="489">
        <v>0.122</v>
      </c>
      <c r="D453" s="480" t="s">
        <v>8</v>
      </c>
      <c r="E453" s="490">
        <f t="shared" ref="E453:F456" si="56">I453+G453+K453</f>
        <v>83748</v>
      </c>
      <c r="F453" s="493">
        <f t="shared" si="56"/>
        <v>10217.200000000001</v>
      </c>
      <c r="G453" s="494">
        <f>단가산출근거목록표!F155</f>
        <v>83748</v>
      </c>
      <c r="H453" s="498">
        <f>IF(C453=0,0,ROUNDDOWN(G453*C453,1))</f>
        <v>10217.200000000001</v>
      </c>
      <c r="I453" s="494">
        <f>단가산출근거목록표!G155</f>
        <v>0</v>
      </c>
      <c r="J453" s="498">
        <f>IF(C453=0,0,ROUNDDOWN(I453*C453,1))</f>
        <v>0</v>
      </c>
      <c r="K453" s="494">
        <f>단가산출근거목록표!H155</f>
        <v>0</v>
      </c>
      <c r="L453" s="498">
        <f>IF(C453=0,0,ROUNDDOWN(K453*C453,1))</f>
        <v>0</v>
      </c>
      <c r="M453" s="463" t="s">
        <v>2591</v>
      </c>
      <c r="N453" s="451" t="s">
        <v>2592</v>
      </c>
      <c r="O453" s="468" t="s">
        <v>2593</v>
      </c>
      <c r="P453" s="468" t="s">
        <v>2354</v>
      </c>
      <c r="Q453" s="468" t="s">
        <v>2355</v>
      </c>
      <c r="Z453" s="433" t="str">
        <f ca="1">HYPERLINK("#"&amp;단가산출근거목록표!J2&amp;"!A"&amp;ROW(단가산출근거목록표!A155),"D01265 →")</f>
        <v>D01265 →</v>
      </c>
    </row>
    <row r="454" spans="1:26" ht="33.200000000000003" customHeight="1">
      <c r="A454" s="452" t="s">
        <v>1793</v>
      </c>
      <c r="B454" s="452" t="s">
        <v>1789</v>
      </c>
      <c r="C454" s="489">
        <v>5.3999999999999999E-2</v>
      </c>
      <c r="D454" s="480" t="s">
        <v>8</v>
      </c>
      <c r="E454" s="490">
        <f t="shared" si="56"/>
        <v>233588</v>
      </c>
      <c r="F454" s="493">
        <f t="shared" si="56"/>
        <v>12613.7</v>
      </c>
      <c r="G454" s="494">
        <f>단가산출근거목록표!F152</f>
        <v>228399</v>
      </c>
      <c r="H454" s="498">
        <f>IF(C454=0,0,ROUNDDOWN(G454*C454,1))</f>
        <v>12333.5</v>
      </c>
      <c r="I454" s="494">
        <f>단가산출근거목록표!G152</f>
        <v>0</v>
      </c>
      <c r="J454" s="498">
        <f>IF(C454=0,0,ROUNDDOWN(I454*C454,1))</f>
        <v>0</v>
      </c>
      <c r="K454" s="494">
        <f>단가산출근거목록표!H152</f>
        <v>5189</v>
      </c>
      <c r="L454" s="498">
        <f>IF(C454=0,0,ROUNDDOWN(K454*C454,1))</f>
        <v>280.2</v>
      </c>
      <c r="M454" s="463" t="s">
        <v>2594</v>
      </c>
      <c r="N454" s="451" t="s">
        <v>2595</v>
      </c>
      <c r="O454" s="468" t="s">
        <v>1796</v>
      </c>
      <c r="P454" s="468" t="s">
        <v>2354</v>
      </c>
      <c r="Q454" s="468" t="s">
        <v>2355</v>
      </c>
      <c r="Z454" s="433" t="str">
        <f ca="1">HYPERLINK("#"&amp;단가산출근거목록표!J2&amp;"!A"&amp;ROW(단가산출근거목록표!A152),"D01242 →")</f>
        <v>D01242 →</v>
      </c>
    </row>
    <row r="455" spans="1:26" ht="33.200000000000003" customHeight="1">
      <c r="A455" s="452" t="s">
        <v>1466</v>
      </c>
      <c r="B455" s="452" t="s">
        <v>1467</v>
      </c>
      <c r="C455" s="489">
        <v>8.5999999999999993E-2</v>
      </c>
      <c r="D455" s="480" t="s">
        <v>8</v>
      </c>
      <c r="E455" s="490">
        <f t="shared" si="56"/>
        <v>274515</v>
      </c>
      <c r="F455" s="493">
        <f t="shared" si="56"/>
        <v>23608.2</v>
      </c>
      <c r="G455" s="494">
        <f>일위대가목록표!F73</f>
        <v>274515</v>
      </c>
      <c r="H455" s="498">
        <f>IF(C455=0,0,ROUNDDOWN(G455*C455,1))</f>
        <v>23608.2</v>
      </c>
      <c r="I455" s="494">
        <f>일위대가목록표!G73</f>
        <v>0</v>
      </c>
      <c r="J455" s="498">
        <f>IF(C455=0,0,ROUNDDOWN(I455*C455,1))</f>
        <v>0</v>
      </c>
      <c r="K455" s="494">
        <f>일위대가목록표!H73</f>
        <v>0</v>
      </c>
      <c r="L455" s="498">
        <f>IF(C455=0,0,ROUNDDOWN(K455*C455,1))</f>
        <v>0</v>
      </c>
      <c r="M455" s="463" t="s">
        <v>2596</v>
      </c>
      <c r="N455" s="451" t="s">
        <v>2597</v>
      </c>
      <c r="O455" s="468" t="s">
        <v>1470</v>
      </c>
      <c r="P455" s="468" t="s">
        <v>2354</v>
      </c>
      <c r="Q455" s="468" t="s">
        <v>2355</v>
      </c>
      <c r="Z455" s="433" t="str">
        <f ca="1">HYPERLINK("#"&amp;일위대가목록표!J2&amp;"!A"&amp;ROW(일위대가목록표!A73),"B02396 →")</f>
        <v>B02396 →</v>
      </c>
    </row>
    <row r="456" spans="1:26" ht="33.200000000000003" customHeight="1">
      <c r="A456" s="452" t="s">
        <v>2507</v>
      </c>
      <c r="B456" s="452" t="s">
        <v>2441</v>
      </c>
      <c r="C456" s="489">
        <v>25</v>
      </c>
      <c r="D456" s="480" t="s">
        <v>2371</v>
      </c>
      <c r="E456" s="490">
        <f t="shared" si="56"/>
        <v>46158.9</v>
      </c>
      <c r="F456" s="491">
        <f t="shared" si="56"/>
        <v>11539.7</v>
      </c>
      <c r="G456" s="496">
        <f>H453+H454+H455</f>
        <v>46158.9</v>
      </c>
      <c r="H456" s="491">
        <f>IF(C456=0,0,ROUNDDOWN(G456*C456/100,1))</f>
        <v>11539.7</v>
      </c>
      <c r="I456" s="465">
        <v>0</v>
      </c>
      <c r="J456" s="493">
        <f>IF(C456=0,0,ROUNDDOWN(I456*C456/100,1))</f>
        <v>0</v>
      </c>
      <c r="K456" s="467">
        <v>0</v>
      </c>
      <c r="L456" s="493">
        <f>IF(C456=0,0,ROUNDDOWN(K456*C456/100,1))</f>
        <v>0</v>
      </c>
      <c r="M456" s="463"/>
      <c r="N456" s="451" t="s">
        <v>2508</v>
      </c>
      <c r="O456" s="468" t="s">
        <v>2373</v>
      </c>
      <c r="P456" s="468" t="s">
        <v>2354</v>
      </c>
    </row>
    <row r="457" spans="1:26" ht="33.200000000000003" customHeight="1">
      <c r="A457" s="463" t="s">
        <v>842</v>
      </c>
      <c r="B457" s="497"/>
      <c r="C457" s="497"/>
      <c r="D457" s="497"/>
      <c r="E457" s="497"/>
      <c r="F457" s="446">
        <f>J457+H457+L457</f>
        <v>57978</v>
      </c>
      <c r="G457" s="497"/>
      <c r="H457" s="446">
        <f>ROUNDDOWN(SUMIF(P453:P456,O457,H453:H456),0)</f>
        <v>57698</v>
      </c>
      <c r="I457" s="497"/>
      <c r="J457" s="446">
        <f>ROUNDDOWN(SUMIF(P453:P456,O457,J453:J456),0)</f>
        <v>0</v>
      </c>
      <c r="K457" s="497"/>
      <c r="L457" s="446">
        <f>ROUNDDOWN(SUMIF(P453:P456,O457,L453:L456),0)</f>
        <v>280</v>
      </c>
      <c r="M457" s="497"/>
      <c r="O457" s="468" t="s">
        <v>2354</v>
      </c>
    </row>
    <row r="458" spans="1:26" ht="33.200000000000003" customHeight="1">
      <c r="A458" s="484" t="s">
        <v>2642</v>
      </c>
      <c r="B458" s="484"/>
      <c r="C458" s="485"/>
      <c r="D458" s="485"/>
      <c r="E458" s="485"/>
      <c r="F458" s="485"/>
      <c r="G458" s="485"/>
      <c r="H458" s="485"/>
      <c r="I458" s="485"/>
      <c r="J458" s="485"/>
      <c r="K458" s="485"/>
      <c r="L458" s="485"/>
      <c r="M458" s="485"/>
      <c r="N458" s="486" t="str">
        <f>HYPERLINK("#N"&amp;ROW(N461),"_x0005_`BDCOD|B02554_x0007_`POSS|"&amp;ROW(N460)&amp;"_x0007_`POSE|"&amp;ROW(N461)&amp;"_x0007_`")</f>
        <v>_x0005_`BDCOD|B02554_x0007_`POSS|460_x0007_`POSE|461_x0007_`</v>
      </c>
    </row>
    <row r="459" spans="1:26" ht="33.200000000000003" customHeight="1">
      <c r="A459" s="469" t="s">
        <v>1495</v>
      </c>
      <c r="B459" s="469" t="s">
        <v>1487</v>
      </c>
      <c r="C459" s="487"/>
      <c r="D459" s="488" t="s">
        <v>975</v>
      </c>
      <c r="E459" s="487"/>
      <c r="F459" s="487"/>
      <c r="G459" s="487"/>
      <c r="H459" s="487"/>
      <c r="I459" s="487"/>
      <c r="J459" s="487"/>
      <c r="K459" s="487"/>
      <c r="L459" s="487"/>
      <c r="M459" s="488" t="s">
        <v>1496</v>
      </c>
      <c r="O459" s="468" t="s">
        <v>1496</v>
      </c>
    </row>
    <row r="460" spans="1:26" ht="33.200000000000003" customHeight="1">
      <c r="A460" s="452" t="s">
        <v>1507</v>
      </c>
      <c r="B460" s="452" t="s">
        <v>1512</v>
      </c>
      <c r="C460" s="489">
        <v>1.728</v>
      </c>
      <c r="D460" s="480" t="s">
        <v>595</v>
      </c>
      <c r="E460" s="490">
        <f>I460+G460+K460</f>
        <v>2658</v>
      </c>
      <c r="F460" s="493">
        <f>J460+H460+L460</f>
        <v>4592.9000000000005</v>
      </c>
      <c r="G460" s="494">
        <f>일위대가목록표!F115</f>
        <v>2539</v>
      </c>
      <c r="H460" s="498">
        <f>IF(C460=0,0,ROUNDDOWN(G460*C460,1))</f>
        <v>4387.3</v>
      </c>
      <c r="I460" s="494">
        <f>일위대가목록표!G115</f>
        <v>43</v>
      </c>
      <c r="J460" s="498">
        <f>IF(C460=0,0,ROUNDDOWN(I460*C460,1))</f>
        <v>74.3</v>
      </c>
      <c r="K460" s="494">
        <f>일위대가목록표!H115</f>
        <v>76</v>
      </c>
      <c r="L460" s="498">
        <f>IF(C460=0,0,ROUNDDOWN(K460*C460,1))</f>
        <v>131.30000000000001</v>
      </c>
      <c r="M460" s="463" t="s">
        <v>2600</v>
      </c>
      <c r="N460" s="451" t="s">
        <v>2601</v>
      </c>
      <c r="O460" s="468" t="s">
        <v>1515</v>
      </c>
      <c r="P460" s="468" t="s">
        <v>2354</v>
      </c>
      <c r="Q460" s="468" t="s">
        <v>2355</v>
      </c>
      <c r="Z460" s="433" t="str">
        <f ca="1">HYPERLINK("#"&amp;일위대가목록표!J2&amp;"!A"&amp;ROW(일위대가목록표!A115),"B02110 →")</f>
        <v>B02110 →</v>
      </c>
    </row>
    <row r="461" spans="1:26" ht="33.200000000000003" customHeight="1">
      <c r="A461" s="452" t="s">
        <v>1532</v>
      </c>
      <c r="B461" s="452" t="s">
        <v>1537</v>
      </c>
      <c r="C461" s="489">
        <v>1.728</v>
      </c>
      <c r="D461" s="480" t="s">
        <v>595</v>
      </c>
      <c r="E461" s="490">
        <f>I461+G461+K461</f>
        <v>12642</v>
      </c>
      <c r="F461" s="493">
        <f>J461+H461+L461</f>
        <v>21845.199999999997</v>
      </c>
      <c r="G461" s="494">
        <f>일위대가목록표!F224</f>
        <v>11027</v>
      </c>
      <c r="H461" s="498">
        <f>IF(C461=0,0,ROUNDDOWN(G461*C461,1))</f>
        <v>19054.599999999999</v>
      </c>
      <c r="I461" s="494">
        <f>일위대가목록표!G224</f>
        <v>1395</v>
      </c>
      <c r="J461" s="498">
        <f>IF(C461=0,0,ROUNDDOWN(I461*C461,1))</f>
        <v>2410.5</v>
      </c>
      <c r="K461" s="494">
        <f>일위대가목록표!H224</f>
        <v>220</v>
      </c>
      <c r="L461" s="498">
        <f>IF(C461=0,0,ROUNDDOWN(K461*C461,1))</f>
        <v>380.1</v>
      </c>
      <c r="M461" s="463" t="s">
        <v>2473</v>
      </c>
      <c r="N461" s="451" t="s">
        <v>2474</v>
      </c>
      <c r="O461" s="468" t="s">
        <v>1540</v>
      </c>
      <c r="P461" s="468" t="s">
        <v>2354</v>
      </c>
      <c r="Q461" s="468" t="s">
        <v>2355</v>
      </c>
      <c r="Z461" s="433" t="str">
        <f ca="1">HYPERLINK("#"&amp;일위대가목록표!J2&amp;"!A"&amp;ROW(일위대가목록표!A224),"B01814 →")</f>
        <v>B01814 →</v>
      </c>
    </row>
    <row r="462" spans="1:26" ht="33.200000000000003" customHeight="1">
      <c r="A462" s="463" t="s">
        <v>842</v>
      </c>
      <c r="B462" s="497"/>
      <c r="C462" s="497"/>
      <c r="D462" s="497"/>
      <c r="E462" s="497"/>
      <c r="F462" s="446">
        <f>J462+H462+L462</f>
        <v>26436</v>
      </c>
      <c r="G462" s="497"/>
      <c r="H462" s="446">
        <f>ROUNDDOWN(SUMIF(P460:P461,O462,H460:H461),0)</f>
        <v>23441</v>
      </c>
      <c r="I462" s="497"/>
      <c r="J462" s="446">
        <f>ROUNDDOWN(SUMIF(P460:P461,O462,J460:J461),0)</f>
        <v>2484</v>
      </c>
      <c r="K462" s="497"/>
      <c r="L462" s="446">
        <f>ROUNDDOWN(SUMIF(P460:P461,O462,L460:L461),0)</f>
        <v>511</v>
      </c>
      <c r="M462" s="497"/>
      <c r="O462" s="468" t="s">
        <v>2354</v>
      </c>
    </row>
    <row r="463" spans="1:26" ht="33.200000000000003" customHeight="1">
      <c r="A463" s="484" t="s">
        <v>2643</v>
      </c>
      <c r="B463" s="484"/>
      <c r="C463" s="485"/>
      <c r="D463" s="485"/>
      <c r="E463" s="485"/>
      <c r="F463" s="485"/>
      <c r="G463" s="485"/>
      <c r="H463" s="485"/>
      <c r="I463" s="485"/>
      <c r="J463" s="485"/>
      <c r="K463" s="485"/>
      <c r="L463" s="485"/>
      <c r="M463" s="485"/>
      <c r="N463" s="486" t="str">
        <f>HYPERLINK("#N"&amp;ROW(N466),"_x0005_`BDCOD|B02555_x0007_`POSS|"&amp;ROW(N465)&amp;"_x0007_`POSE|"&amp;ROW(N466)&amp;"_x0007_`")</f>
        <v>_x0005_`BDCOD|B02555_x0007_`POSS|465_x0007_`POSE|466_x0007_`</v>
      </c>
    </row>
    <row r="464" spans="1:26" ht="33.200000000000003" customHeight="1">
      <c r="A464" s="469" t="s">
        <v>1495</v>
      </c>
      <c r="B464" s="469" t="s">
        <v>1491</v>
      </c>
      <c r="C464" s="487"/>
      <c r="D464" s="488" t="s">
        <v>975</v>
      </c>
      <c r="E464" s="487"/>
      <c r="F464" s="487"/>
      <c r="G464" s="487"/>
      <c r="H464" s="487"/>
      <c r="I464" s="487"/>
      <c r="J464" s="487"/>
      <c r="K464" s="487"/>
      <c r="L464" s="487"/>
      <c r="M464" s="488" t="s">
        <v>1499</v>
      </c>
      <c r="O464" s="468" t="s">
        <v>1499</v>
      </c>
    </row>
    <row r="465" spans="1:26" ht="33.200000000000003" customHeight="1">
      <c r="A465" s="452" t="s">
        <v>1507</v>
      </c>
      <c r="B465" s="452" t="s">
        <v>1512</v>
      </c>
      <c r="C465" s="489">
        <v>1.944</v>
      </c>
      <c r="D465" s="480" t="s">
        <v>595</v>
      </c>
      <c r="E465" s="490">
        <f>I465+G465+K465</f>
        <v>2658</v>
      </c>
      <c r="F465" s="493">
        <f>J465+H465+L465</f>
        <v>5167</v>
      </c>
      <c r="G465" s="494">
        <f>일위대가목록표!F115</f>
        <v>2539</v>
      </c>
      <c r="H465" s="498">
        <f>IF(C465=0,0,ROUNDDOWN(G465*C465,1))</f>
        <v>4935.8</v>
      </c>
      <c r="I465" s="494">
        <f>일위대가목록표!G115</f>
        <v>43</v>
      </c>
      <c r="J465" s="498">
        <f>IF(C465=0,0,ROUNDDOWN(I465*C465,1))</f>
        <v>83.5</v>
      </c>
      <c r="K465" s="494">
        <f>일위대가목록표!H115</f>
        <v>76</v>
      </c>
      <c r="L465" s="498">
        <f>IF(C465=0,0,ROUNDDOWN(K465*C465,1))</f>
        <v>147.69999999999999</v>
      </c>
      <c r="M465" s="463" t="s">
        <v>2600</v>
      </c>
      <c r="N465" s="451" t="s">
        <v>2601</v>
      </c>
      <c r="O465" s="468" t="s">
        <v>1515</v>
      </c>
      <c r="P465" s="468" t="s">
        <v>2354</v>
      </c>
      <c r="Q465" s="468" t="s">
        <v>2355</v>
      </c>
      <c r="Z465" s="433" t="str">
        <f ca="1">HYPERLINK("#"&amp;일위대가목록표!J2&amp;"!A"&amp;ROW(일위대가목록표!A115),"B02110 →")</f>
        <v>B02110 →</v>
      </c>
    </row>
    <row r="466" spans="1:26" ht="33.200000000000003" customHeight="1">
      <c r="A466" s="452" t="s">
        <v>1532</v>
      </c>
      <c r="B466" s="452" t="s">
        <v>1537</v>
      </c>
      <c r="C466" s="489">
        <v>1.944</v>
      </c>
      <c r="D466" s="480" t="s">
        <v>595</v>
      </c>
      <c r="E466" s="490">
        <f>I466+G466+K466</f>
        <v>12642</v>
      </c>
      <c r="F466" s="493">
        <f>J466+H466+L466</f>
        <v>24575.8</v>
      </c>
      <c r="G466" s="494">
        <f>일위대가목록표!F224</f>
        <v>11027</v>
      </c>
      <c r="H466" s="498">
        <f>IF(C466=0,0,ROUNDDOWN(G466*C466,1))</f>
        <v>21436.400000000001</v>
      </c>
      <c r="I466" s="494">
        <f>일위대가목록표!G224</f>
        <v>1395</v>
      </c>
      <c r="J466" s="498">
        <f>IF(C466=0,0,ROUNDDOWN(I466*C466,1))</f>
        <v>2711.8</v>
      </c>
      <c r="K466" s="494">
        <f>일위대가목록표!H224</f>
        <v>220</v>
      </c>
      <c r="L466" s="498">
        <f>IF(C466=0,0,ROUNDDOWN(K466*C466,1))</f>
        <v>427.6</v>
      </c>
      <c r="M466" s="463" t="s">
        <v>2473</v>
      </c>
      <c r="N466" s="451" t="s">
        <v>2474</v>
      </c>
      <c r="O466" s="468" t="s">
        <v>1540</v>
      </c>
      <c r="P466" s="468" t="s">
        <v>2354</v>
      </c>
      <c r="Q466" s="468" t="s">
        <v>2355</v>
      </c>
      <c r="Z466" s="433" t="str">
        <f ca="1">HYPERLINK("#"&amp;일위대가목록표!J2&amp;"!A"&amp;ROW(일위대가목록표!A224),"B01814 →")</f>
        <v>B01814 →</v>
      </c>
    </row>
    <row r="467" spans="1:26" ht="33.200000000000003" customHeight="1">
      <c r="A467" s="463" t="s">
        <v>842</v>
      </c>
      <c r="B467" s="497"/>
      <c r="C467" s="497"/>
      <c r="D467" s="497"/>
      <c r="E467" s="497"/>
      <c r="F467" s="446">
        <f>J467+H467+L467</f>
        <v>29742</v>
      </c>
      <c r="G467" s="497"/>
      <c r="H467" s="446">
        <f>ROUNDDOWN(SUMIF(P465:P466,O467,H465:H466),0)</f>
        <v>26372</v>
      </c>
      <c r="I467" s="497"/>
      <c r="J467" s="446">
        <f>ROUNDDOWN(SUMIF(P465:P466,O467,J465:J466),0)</f>
        <v>2795</v>
      </c>
      <c r="K467" s="497"/>
      <c r="L467" s="446">
        <f>ROUNDDOWN(SUMIF(P465:P466,O467,L465:L466),0)</f>
        <v>575</v>
      </c>
      <c r="M467" s="497"/>
      <c r="O467" s="468" t="s">
        <v>2354</v>
      </c>
    </row>
    <row r="468" spans="1:26" ht="33.200000000000003" customHeight="1">
      <c r="A468" s="484" t="s">
        <v>2645</v>
      </c>
      <c r="B468" s="484"/>
      <c r="C468" s="485"/>
      <c r="D468" s="485"/>
      <c r="E468" s="485"/>
      <c r="F468" s="485"/>
      <c r="G468" s="485"/>
      <c r="H468" s="485"/>
      <c r="I468" s="485"/>
      <c r="J468" s="485"/>
      <c r="K468" s="485"/>
      <c r="L468" s="485"/>
      <c r="M468" s="485"/>
      <c r="N468" s="486" t="str">
        <f>HYPERLINK("#N"&amp;ROW(N470),"_x0005_`BDCOD|B02532_x0007_`POSS|"&amp;ROW(N470)&amp;"_x0007_`POSE|"&amp;ROW(N470)&amp;"_x0007_`")</f>
        <v>_x0005_`BDCOD|B02532_x0007_`POSS|470_x0007_`POSE|470_x0007_`</v>
      </c>
    </row>
    <row r="469" spans="1:26" ht="33.200000000000003" customHeight="1">
      <c r="A469" s="469" t="s">
        <v>1346</v>
      </c>
      <c r="B469" s="469" t="s">
        <v>1347</v>
      </c>
      <c r="C469" s="487"/>
      <c r="D469" s="488" t="s">
        <v>975</v>
      </c>
      <c r="E469" s="487"/>
      <c r="F469" s="487"/>
      <c r="G469" s="487"/>
      <c r="H469" s="487"/>
      <c r="I469" s="487"/>
      <c r="J469" s="487"/>
      <c r="K469" s="487"/>
      <c r="L469" s="487"/>
      <c r="M469" s="488" t="s">
        <v>1348</v>
      </c>
      <c r="O469" s="468" t="s">
        <v>1348</v>
      </c>
    </row>
    <row r="470" spans="1:26" ht="33.200000000000003" customHeight="1">
      <c r="A470" s="452" t="s">
        <v>1346</v>
      </c>
      <c r="B470" s="452" t="s">
        <v>2604</v>
      </c>
      <c r="C470" s="489">
        <v>1</v>
      </c>
      <c r="D470" s="480" t="s">
        <v>1589</v>
      </c>
      <c r="E470" s="490">
        <f>I470+G470+K470</f>
        <v>3415000</v>
      </c>
      <c r="F470" s="491">
        <f>J470+H470+L470</f>
        <v>3415000</v>
      </c>
      <c r="G470" s="492">
        <v>0</v>
      </c>
      <c r="H470" s="493">
        <f>IF(C470=0,0,ROUNDDOWN(G470*C470,1))</f>
        <v>0</v>
      </c>
      <c r="I470" s="494">
        <f>재료비목록표!E32</f>
        <v>3415000</v>
      </c>
      <c r="J470" s="495">
        <f>IF(C470=0,0,ROUNDDOWN(I470*C470,1))</f>
        <v>3415000</v>
      </c>
      <c r="K470" s="492">
        <v>0</v>
      </c>
      <c r="L470" s="493">
        <f>IF(C470=0,0,ROUNDDOWN(K470*C470,1))</f>
        <v>0</v>
      </c>
      <c r="M470" s="463" t="s">
        <v>2605</v>
      </c>
      <c r="N470" s="451" t="s">
        <v>2606</v>
      </c>
      <c r="O470" s="468" t="s">
        <v>2607</v>
      </c>
      <c r="P470" s="468" t="s">
        <v>2354</v>
      </c>
      <c r="Z470" s="433" t="str">
        <f ca="1">HYPERLINK("#"&amp;재료비목록표!G2&amp;"!A"&amp;ROW(재료비목록표!A32),"M01539 →")</f>
        <v>M01539 →</v>
      </c>
    </row>
    <row r="471" spans="1:26" ht="33.200000000000003" customHeight="1">
      <c r="A471" s="463" t="s">
        <v>842</v>
      </c>
      <c r="B471" s="497"/>
      <c r="C471" s="497"/>
      <c r="D471" s="497"/>
      <c r="E471" s="497"/>
      <c r="F471" s="446">
        <f>J471+H471+L471</f>
        <v>3415000</v>
      </c>
      <c r="G471" s="497"/>
      <c r="H471" s="446">
        <f>ROUNDDOWN(SUMIF(P470:P470,O471,H470:H470),0)</f>
        <v>0</v>
      </c>
      <c r="I471" s="497"/>
      <c r="J471" s="446">
        <f>ROUNDDOWN(SUMIF(P470:P470,O471,J470:J470),0)</f>
        <v>3415000</v>
      </c>
      <c r="K471" s="497"/>
      <c r="L471" s="446">
        <f>ROUNDDOWN(SUMIF(P470:P470,O471,L470:L470),0)</f>
        <v>0</v>
      </c>
      <c r="M471" s="497"/>
      <c r="O471" s="468" t="s">
        <v>2354</v>
      </c>
    </row>
    <row r="472" spans="1:26" ht="33.200000000000003" customHeight="1">
      <c r="A472" s="484" t="s">
        <v>2646</v>
      </c>
      <c r="B472" s="484"/>
      <c r="C472" s="485"/>
      <c r="D472" s="485"/>
      <c r="E472" s="485"/>
      <c r="F472" s="485"/>
      <c r="G472" s="485"/>
      <c r="H472" s="485"/>
      <c r="I472" s="485"/>
      <c r="J472" s="485"/>
      <c r="K472" s="485"/>
      <c r="L472" s="485"/>
      <c r="M472" s="485"/>
      <c r="N472" s="486" t="str">
        <f>HYPERLINK("#N"&amp;ROW(N476),"_x0005_`BDCOD|B01772_x0007_`POSS|"&amp;ROW(N474)&amp;"_x0007_`POSE|"&amp;ROW(N476)&amp;"_x0007_`")</f>
        <v>_x0005_`BDCOD|B01772_x0007_`POSS|474_x0007_`POSE|476_x0007_`</v>
      </c>
    </row>
    <row r="473" spans="1:26" ht="33.200000000000003" customHeight="1">
      <c r="A473" s="469" t="s">
        <v>2301</v>
      </c>
      <c r="B473" s="469" t="s">
        <v>2302</v>
      </c>
      <c r="C473" s="487"/>
      <c r="D473" s="488" t="s">
        <v>8</v>
      </c>
      <c r="E473" s="487"/>
      <c r="F473" s="487"/>
      <c r="G473" s="487"/>
      <c r="H473" s="487"/>
      <c r="I473" s="487"/>
      <c r="J473" s="487"/>
      <c r="K473" s="487"/>
      <c r="L473" s="487"/>
      <c r="M473" s="488" t="s">
        <v>2300</v>
      </c>
      <c r="O473" s="468" t="s">
        <v>2300</v>
      </c>
    </row>
    <row r="474" spans="1:26" ht="33.200000000000003" customHeight="1">
      <c r="A474" s="452" t="s">
        <v>2609</v>
      </c>
      <c r="B474" s="452" t="s">
        <v>2610</v>
      </c>
      <c r="C474" s="489">
        <v>510</v>
      </c>
      <c r="D474" s="480" t="s">
        <v>2611</v>
      </c>
      <c r="E474" s="490">
        <f t="shared" ref="E474:F476" si="57">I474+G474+K474</f>
        <v>208</v>
      </c>
      <c r="F474" s="491">
        <f t="shared" si="57"/>
        <v>106080</v>
      </c>
      <c r="G474" s="492">
        <v>0</v>
      </c>
      <c r="H474" s="493">
        <f>IF(C474=0,0,ROUNDDOWN(G474*C474,1))</f>
        <v>0</v>
      </c>
      <c r="I474" s="494">
        <f>재료비목록표!E57</f>
        <v>208</v>
      </c>
      <c r="J474" s="495">
        <f>IF(C474=0,0,ROUNDDOWN(I474*C474,1))</f>
        <v>106080</v>
      </c>
      <c r="K474" s="492">
        <v>0</v>
      </c>
      <c r="L474" s="493">
        <f>IF(C474=0,0,ROUNDDOWN(K474*C474,1))</f>
        <v>0</v>
      </c>
      <c r="M474" s="463" t="s">
        <v>2612</v>
      </c>
      <c r="N474" s="451" t="s">
        <v>2613</v>
      </c>
      <c r="O474" s="468" t="s">
        <v>2614</v>
      </c>
      <c r="P474" s="468" t="s">
        <v>2354</v>
      </c>
      <c r="Z474" s="433" t="str">
        <f ca="1">HYPERLINK("#"&amp;재료비목록표!G2&amp;"!A"&amp;ROW(재료비목록표!A57),"M00634 →")</f>
        <v>M00634 →</v>
      </c>
    </row>
    <row r="475" spans="1:26" ht="33.200000000000003" customHeight="1">
      <c r="A475" s="452" t="s">
        <v>2615</v>
      </c>
      <c r="B475" s="452" t="s">
        <v>2616</v>
      </c>
      <c r="C475" s="489">
        <v>1.1000000000000001</v>
      </c>
      <c r="D475" s="480" t="s">
        <v>8</v>
      </c>
      <c r="E475" s="490">
        <f t="shared" si="57"/>
        <v>37000</v>
      </c>
      <c r="F475" s="491">
        <f t="shared" si="57"/>
        <v>40700</v>
      </c>
      <c r="G475" s="492">
        <v>0</v>
      </c>
      <c r="H475" s="493">
        <f>IF(C475=0,0,ROUNDDOWN(G475*C475,1))</f>
        <v>0</v>
      </c>
      <c r="I475" s="494">
        <f>재료비목록표!E33</f>
        <v>37000</v>
      </c>
      <c r="J475" s="495">
        <f>IF(C475=0,0,ROUNDDOWN(I475*C475,1))</f>
        <v>40700</v>
      </c>
      <c r="K475" s="492">
        <v>0</v>
      </c>
      <c r="L475" s="493">
        <f>IF(C475=0,0,ROUNDDOWN(K475*C475,1))</f>
        <v>0</v>
      </c>
      <c r="M475" s="463" t="s">
        <v>2617</v>
      </c>
      <c r="N475" s="451" t="s">
        <v>2618</v>
      </c>
      <c r="O475" s="468" t="s">
        <v>2619</v>
      </c>
      <c r="P475" s="468" t="s">
        <v>2354</v>
      </c>
      <c r="Z475" s="433" t="str">
        <f ca="1">HYPERLINK("#"&amp;재료비목록표!G2&amp;"!A"&amp;ROW(재료비목록표!A33),"M00956 →")</f>
        <v>M00956 →</v>
      </c>
    </row>
    <row r="476" spans="1:26" ht="33.200000000000003" customHeight="1">
      <c r="A476" s="452" t="s">
        <v>2360</v>
      </c>
      <c r="B476" s="452"/>
      <c r="C476" s="489">
        <v>0.43</v>
      </c>
      <c r="D476" s="480" t="s">
        <v>585</v>
      </c>
      <c r="E476" s="490">
        <f t="shared" si="57"/>
        <v>172068</v>
      </c>
      <c r="F476" s="493">
        <f t="shared" si="57"/>
        <v>73989.2</v>
      </c>
      <c r="G476" s="494">
        <f>노무비목록표!E10</f>
        <v>172068</v>
      </c>
      <c r="H476" s="495">
        <f>IF(C476=0,0,ROUNDDOWN(G476*C476,1))</f>
        <v>73989.2</v>
      </c>
      <c r="I476" s="492">
        <v>0</v>
      </c>
      <c r="J476" s="491">
        <f>IF(C476=0,0,ROUNDDOWN(I476*C476,1))</f>
        <v>0</v>
      </c>
      <c r="K476" s="492">
        <v>0</v>
      </c>
      <c r="L476" s="493">
        <f>IF(C476=0,0,ROUNDDOWN(K476*C476,1))</f>
        <v>0</v>
      </c>
      <c r="M476" s="463" t="s">
        <v>2361</v>
      </c>
      <c r="N476" s="451" t="s">
        <v>2362</v>
      </c>
      <c r="O476" s="468" t="s">
        <v>2363</v>
      </c>
      <c r="P476" s="468" t="s">
        <v>2354</v>
      </c>
      <c r="Z476" s="433" t="str">
        <f ca="1">HYPERLINK("#"&amp;노무비목록표!G2&amp;"!A"&amp;ROW(노무비목록표!A10),"L00017 →")</f>
        <v>L00017 →</v>
      </c>
    </row>
    <row r="477" spans="1:26" ht="33.200000000000003" customHeight="1">
      <c r="A477" s="463" t="s">
        <v>842</v>
      </c>
      <c r="B477" s="497"/>
      <c r="C477" s="497"/>
      <c r="D477" s="497"/>
      <c r="E477" s="497"/>
      <c r="F477" s="446">
        <f>J477+H477+L477</f>
        <v>220769</v>
      </c>
      <c r="G477" s="497"/>
      <c r="H477" s="446">
        <f>ROUNDDOWN(SUMIF(P474:P476,O477,H474:H476),0)</f>
        <v>73989</v>
      </c>
      <c r="I477" s="497"/>
      <c r="J477" s="446">
        <f>ROUNDDOWN(SUMIF(P474:P476,O477,J474:J476),0)</f>
        <v>146780</v>
      </c>
      <c r="K477" s="497"/>
      <c r="L477" s="446">
        <f>ROUNDDOWN(SUMIF(P474:P476,O477,L474:L476),0)</f>
        <v>0</v>
      </c>
      <c r="M477" s="497"/>
      <c r="O477" s="468" t="s">
        <v>2354</v>
      </c>
    </row>
    <row r="478" spans="1:26" ht="33.200000000000003" customHeight="1">
      <c r="A478" s="484" t="s">
        <v>2647</v>
      </c>
      <c r="B478" s="484"/>
      <c r="C478" s="485"/>
      <c r="D478" s="485"/>
      <c r="E478" s="485"/>
      <c r="F478" s="485"/>
      <c r="G478" s="485"/>
      <c r="H478" s="485"/>
      <c r="I478" s="485"/>
      <c r="J478" s="485"/>
      <c r="K478" s="485"/>
      <c r="L478" s="485"/>
      <c r="M478" s="485"/>
      <c r="N478" s="486" t="str">
        <f>HYPERLINK("#N"&amp;ROW(N481),"_x0005_`BDCOD|B01822_x0007_`POSS|"&amp;ROW(N480)&amp;"_x0007_`POSE|"&amp;ROW(N481)&amp;"_x0007_`")</f>
        <v>_x0005_`BDCOD|B01822_x0007_`POSS|480_x0007_`POSE|481_x0007_`</v>
      </c>
    </row>
    <row r="479" spans="1:26" ht="33.200000000000003" customHeight="1">
      <c r="A479" s="469" t="s">
        <v>1461</v>
      </c>
      <c r="B479" s="469" t="s">
        <v>1462</v>
      </c>
      <c r="C479" s="487"/>
      <c r="D479" s="488" t="s">
        <v>8</v>
      </c>
      <c r="E479" s="487"/>
      <c r="F479" s="487"/>
      <c r="G479" s="487"/>
      <c r="H479" s="487"/>
      <c r="I479" s="487"/>
      <c r="J479" s="487"/>
      <c r="K479" s="487"/>
      <c r="L479" s="487"/>
      <c r="M479" s="488" t="s">
        <v>1463</v>
      </c>
      <c r="O479" s="468" t="s">
        <v>1463</v>
      </c>
    </row>
    <row r="480" spans="1:26" ht="33.200000000000003" customHeight="1">
      <c r="A480" s="452" t="s">
        <v>2621</v>
      </c>
      <c r="B480" s="452"/>
      <c r="C480" s="489">
        <v>2.8</v>
      </c>
      <c r="D480" s="480" t="s">
        <v>585</v>
      </c>
      <c r="E480" s="490">
        <f>I480+G480+K480</f>
        <v>277642</v>
      </c>
      <c r="F480" s="493">
        <f>J480+H480+L480</f>
        <v>777397.6</v>
      </c>
      <c r="G480" s="494">
        <f>노무비목록표!E5</f>
        <v>277642</v>
      </c>
      <c r="H480" s="495">
        <f>IF(C480=0,0,ROUNDDOWN(G480*C480,1))</f>
        <v>777397.6</v>
      </c>
      <c r="I480" s="492">
        <v>0</v>
      </c>
      <c r="J480" s="491">
        <f>IF(C480=0,0,ROUNDDOWN(I480*C480,1))</f>
        <v>0</v>
      </c>
      <c r="K480" s="492">
        <v>0</v>
      </c>
      <c r="L480" s="493">
        <f>IF(C480=0,0,ROUNDDOWN(K480*C480,1))</f>
        <v>0</v>
      </c>
      <c r="M480" s="463" t="s">
        <v>2622</v>
      </c>
      <c r="N480" s="451" t="s">
        <v>2623</v>
      </c>
      <c r="O480" s="468" t="s">
        <v>2624</v>
      </c>
      <c r="P480" s="468" t="s">
        <v>2354</v>
      </c>
      <c r="Z480" s="433" t="str">
        <f ca="1">HYPERLINK("#"&amp;노무비목록표!G2&amp;"!A"&amp;ROW(노무비목록표!A5),"L00182 →")</f>
        <v>L00182 →</v>
      </c>
    </row>
    <row r="481" spans="1:26" ht="33.200000000000003" customHeight="1">
      <c r="A481" s="452" t="s">
        <v>2360</v>
      </c>
      <c r="B481" s="452"/>
      <c r="C481" s="489">
        <v>0.8</v>
      </c>
      <c r="D481" s="480" t="s">
        <v>585</v>
      </c>
      <c r="E481" s="490">
        <f>I481+G481+K481</f>
        <v>172068</v>
      </c>
      <c r="F481" s="493">
        <f>J481+H481+L481</f>
        <v>137654.39999999999</v>
      </c>
      <c r="G481" s="494">
        <f>노무비목록표!E10</f>
        <v>172068</v>
      </c>
      <c r="H481" s="495">
        <f>IF(C481=0,0,ROUNDDOWN(G481*C481,1))</f>
        <v>137654.39999999999</v>
      </c>
      <c r="I481" s="492">
        <v>0</v>
      </c>
      <c r="J481" s="491">
        <f>IF(C481=0,0,ROUNDDOWN(I481*C481,1))</f>
        <v>0</v>
      </c>
      <c r="K481" s="492">
        <v>0</v>
      </c>
      <c r="L481" s="493">
        <f>IF(C481=0,0,ROUNDDOWN(K481*C481,1))</f>
        <v>0</v>
      </c>
      <c r="M481" s="463" t="s">
        <v>2361</v>
      </c>
      <c r="N481" s="451" t="s">
        <v>2362</v>
      </c>
      <c r="O481" s="468" t="s">
        <v>2363</v>
      </c>
      <c r="P481" s="468" t="s">
        <v>2354</v>
      </c>
      <c r="Z481" s="433" t="str">
        <f ca="1">HYPERLINK("#"&amp;노무비목록표!G2&amp;"!A"&amp;ROW(노무비목록표!A10),"L00017 →")</f>
        <v>L00017 →</v>
      </c>
    </row>
    <row r="482" spans="1:26" ht="33.200000000000003" customHeight="1">
      <c r="A482" s="463" t="s">
        <v>842</v>
      </c>
      <c r="B482" s="497"/>
      <c r="C482" s="497"/>
      <c r="D482" s="497"/>
      <c r="E482" s="497"/>
      <c r="F482" s="446">
        <f>J482+H482+L482</f>
        <v>915052</v>
      </c>
      <c r="G482" s="497"/>
      <c r="H482" s="446">
        <f>ROUNDDOWN(SUMIF(P480:P481,O482,H480:H481),0)</f>
        <v>915052</v>
      </c>
      <c r="I482" s="497"/>
      <c r="J482" s="446">
        <f>ROUNDDOWN(SUMIF(P480:P481,O482,J480:J481),0)</f>
        <v>0</v>
      </c>
      <c r="K482" s="497"/>
      <c r="L482" s="446">
        <f>ROUNDDOWN(SUMIF(P480:P481,O482,L480:L481),0)</f>
        <v>0</v>
      </c>
      <c r="M482" s="497"/>
      <c r="O482" s="468" t="s">
        <v>2354</v>
      </c>
    </row>
    <row r="483" spans="1:26" ht="33.200000000000003" customHeight="1">
      <c r="A483" s="484" t="s">
        <v>2648</v>
      </c>
      <c r="B483" s="484"/>
      <c r="C483" s="485"/>
      <c r="D483" s="485"/>
      <c r="E483" s="485"/>
      <c r="F483" s="485"/>
      <c r="G483" s="485"/>
      <c r="H483" s="485"/>
      <c r="I483" s="485"/>
      <c r="J483" s="485"/>
      <c r="K483" s="485"/>
      <c r="L483" s="485"/>
      <c r="M483" s="485"/>
      <c r="N483" s="486" t="str">
        <f>HYPERLINK("#N"&amp;ROW(N486),"_x0005_`BDCOD|B02396_x0007_`POSS|"&amp;ROW(N485)&amp;"_x0007_`POSE|"&amp;ROW(N486)&amp;"_x0007_`")</f>
        <v>_x0005_`BDCOD|B02396_x0007_`POSS|485_x0007_`POSE|486_x0007_`</v>
      </c>
    </row>
    <row r="484" spans="1:26" ht="33.200000000000003" customHeight="1">
      <c r="A484" s="469" t="s">
        <v>1466</v>
      </c>
      <c r="B484" s="469" t="s">
        <v>1467</v>
      </c>
      <c r="C484" s="487"/>
      <c r="D484" s="488" t="s">
        <v>8</v>
      </c>
      <c r="E484" s="487"/>
      <c r="F484" s="487"/>
      <c r="G484" s="487"/>
      <c r="H484" s="487"/>
      <c r="I484" s="487"/>
      <c r="J484" s="487"/>
      <c r="K484" s="487"/>
      <c r="L484" s="487"/>
      <c r="M484" s="488" t="s">
        <v>1468</v>
      </c>
      <c r="O484" s="468" t="s">
        <v>1468</v>
      </c>
    </row>
    <row r="485" spans="1:26" ht="33.200000000000003" customHeight="1">
      <c r="A485" s="452" t="s">
        <v>2621</v>
      </c>
      <c r="B485" s="452"/>
      <c r="C485" s="489">
        <v>0.84</v>
      </c>
      <c r="D485" s="480" t="s">
        <v>585</v>
      </c>
      <c r="E485" s="490">
        <f>I485+G485+K485</f>
        <v>277642</v>
      </c>
      <c r="F485" s="493">
        <f>J485+H485+L485</f>
        <v>233219.20000000001</v>
      </c>
      <c r="G485" s="494">
        <f>노무비목록표!E5</f>
        <v>277642</v>
      </c>
      <c r="H485" s="495">
        <f>IF(C485=0,0,ROUNDDOWN(G485*C485,1))</f>
        <v>233219.20000000001</v>
      </c>
      <c r="I485" s="492">
        <v>0</v>
      </c>
      <c r="J485" s="491">
        <f>IF(C485=0,0,ROUNDDOWN(I485*C485,1))</f>
        <v>0</v>
      </c>
      <c r="K485" s="492">
        <v>0</v>
      </c>
      <c r="L485" s="493">
        <f>IF(C485=0,0,ROUNDDOWN(K485*C485,1))</f>
        <v>0</v>
      </c>
      <c r="M485" s="463" t="s">
        <v>2622</v>
      </c>
      <c r="N485" s="451" t="s">
        <v>2623</v>
      </c>
      <c r="O485" s="468" t="s">
        <v>2624</v>
      </c>
      <c r="P485" s="468" t="s">
        <v>2354</v>
      </c>
      <c r="Z485" s="433" t="str">
        <f ca="1">HYPERLINK("#"&amp;노무비목록표!G2&amp;"!A"&amp;ROW(노무비목록표!A5),"L00182 →")</f>
        <v>L00182 →</v>
      </c>
    </row>
    <row r="486" spans="1:26" ht="33.200000000000003" customHeight="1">
      <c r="A486" s="452" t="s">
        <v>2360</v>
      </c>
      <c r="B486" s="452"/>
      <c r="C486" s="489">
        <v>0.24</v>
      </c>
      <c r="D486" s="480" t="s">
        <v>585</v>
      </c>
      <c r="E486" s="490">
        <f>I486+G486+K486</f>
        <v>172068</v>
      </c>
      <c r="F486" s="493">
        <f>J486+H486+L486</f>
        <v>41296.300000000003</v>
      </c>
      <c r="G486" s="494">
        <f>노무비목록표!E10</f>
        <v>172068</v>
      </c>
      <c r="H486" s="495">
        <f>IF(C486=0,0,ROUNDDOWN(G486*C486,1))</f>
        <v>41296.300000000003</v>
      </c>
      <c r="I486" s="492">
        <v>0</v>
      </c>
      <c r="J486" s="491">
        <f>IF(C486=0,0,ROUNDDOWN(I486*C486,1))</f>
        <v>0</v>
      </c>
      <c r="K486" s="492">
        <v>0</v>
      </c>
      <c r="L486" s="493">
        <f>IF(C486=0,0,ROUNDDOWN(K486*C486,1))</f>
        <v>0</v>
      </c>
      <c r="M486" s="463" t="s">
        <v>2361</v>
      </c>
      <c r="N486" s="451" t="s">
        <v>2362</v>
      </c>
      <c r="O486" s="468" t="s">
        <v>2363</v>
      </c>
      <c r="P486" s="468" t="s">
        <v>2354</v>
      </c>
      <c r="Z486" s="433" t="str">
        <f ca="1">HYPERLINK("#"&amp;노무비목록표!G2&amp;"!A"&amp;ROW(노무비목록표!A10),"L00017 →")</f>
        <v>L00017 →</v>
      </c>
    </row>
    <row r="487" spans="1:26" ht="33.200000000000003" customHeight="1">
      <c r="A487" s="463" t="s">
        <v>842</v>
      </c>
      <c r="B487" s="497"/>
      <c r="C487" s="497"/>
      <c r="D487" s="497"/>
      <c r="E487" s="497"/>
      <c r="F487" s="446">
        <f>J487+H487+L487</f>
        <v>274515</v>
      </c>
      <c r="G487" s="497"/>
      <c r="H487" s="446">
        <f>ROUNDDOWN(SUMIF(P485:P486,O487,H485:H486),0)</f>
        <v>274515</v>
      </c>
      <c r="I487" s="497"/>
      <c r="J487" s="446">
        <f>ROUNDDOWN(SUMIF(P485:P486,O487,J485:J486),0)</f>
        <v>0</v>
      </c>
      <c r="K487" s="497"/>
      <c r="L487" s="446">
        <f>ROUNDDOWN(SUMIF(P485:P486,O487,L485:L486),0)</f>
        <v>0</v>
      </c>
      <c r="M487" s="497"/>
      <c r="O487" s="468" t="s">
        <v>2354</v>
      </c>
    </row>
    <row r="488" spans="1:26" ht="33.200000000000003" customHeight="1">
      <c r="A488" s="484" t="s">
        <v>2649</v>
      </c>
      <c r="B488" s="484"/>
      <c r="C488" s="485"/>
      <c r="D488" s="485"/>
      <c r="E488" s="485"/>
      <c r="F488" s="485"/>
      <c r="G488" s="485"/>
      <c r="H488" s="485"/>
      <c r="I488" s="485"/>
      <c r="J488" s="485"/>
      <c r="K488" s="485"/>
      <c r="L488" s="485"/>
      <c r="M488" s="485"/>
      <c r="N488" s="486" t="str">
        <f>HYPERLINK("#N"&amp;ROW(N495),"_x0005_`BDCOD|B02477_x0007_`POSS|"&amp;ROW(N490)&amp;"_x0007_`POSE|"&amp;ROW(N495)&amp;"_x0007_`")</f>
        <v>_x0005_`BDCOD|B02477_x0007_`POSS|490_x0007_`POSE|495_x0007_`</v>
      </c>
    </row>
    <row r="489" spans="1:26" ht="33.200000000000003" customHeight="1">
      <c r="A489" s="469" t="s">
        <v>1004</v>
      </c>
      <c r="B489" s="469" t="s">
        <v>988</v>
      </c>
      <c r="C489" s="487"/>
      <c r="D489" s="488" t="s">
        <v>984</v>
      </c>
      <c r="E489" s="487"/>
      <c r="F489" s="487"/>
      <c r="G489" s="487"/>
      <c r="H489" s="487"/>
      <c r="I489" s="487"/>
      <c r="J489" s="487"/>
      <c r="K489" s="487"/>
      <c r="L489" s="487"/>
      <c r="M489" s="488" t="s">
        <v>1008</v>
      </c>
      <c r="O489" s="468" t="s">
        <v>1008</v>
      </c>
    </row>
    <row r="490" spans="1:26" ht="33.200000000000003" customHeight="1">
      <c r="A490" s="452" t="s">
        <v>2484</v>
      </c>
      <c r="B490" s="452" t="s">
        <v>2485</v>
      </c>
      <c r="C490" s="489">
        <v>4.4999999999999998E-2</v>
      </c>
      <c r="D490" s="480" t="s">
        <v>8</v>
      </c>
      <c r="E490" s="490">
        <f t="shared" ref="E490:F495" si="58">I490+G490+K490</f>
        <v>62811</v>
      </c>
      <c r="F490" s="493">
        <f t="shared" si="58"/>
        <v>2826.4</v>
      </c>
      <c r="G490" s="494">
        <f>단가산출근거목록표!F157</f>
        <v>62811</v>
      </c>
      <c r="H490" s="498">
        <f t="shared" ref="H490:H495" si="59">IF(C490=0,0,ROUNDDOWN(G490*C490,1))</f>
        <v>2826.4</v>
      </c>
      <c r="I490" s="494">
        <f>단가산출근거목록표!G157</f>
        <v>0</v>
      </c>
      <c r="J490" s="498">
        <f t="shared" ref="J490:J495" si="60">IF(C490=0,0,ROUNDDOWN(I490*C490,1))</f>
        <v>0</v>
      </c>
      <c r="K490" s="494">
        <f>단가산출근거목록표!H157</f>
        <v>0</v>
      </c>
      <c r="L490" s="498">
        <f t="shared" ref="L490:L495" si="61">IF(C490=0,0,ROUNDDOWN(K490*C490,1))</f>
        <v>0</v>
      </c>
      <c r="M490" s="463" t="s">
        <v>2486</v>
      </c>
      <c r="N490" s="451" t="s">
        <v>2487</v>
      </c>
      <c r="O490" s="468" t="s">
        <v>2488</v>
      </c>
      <c r="P490" s="468" t="s">
        <v>2354</v>
      </c>
      <c r="Q490" s="468" t="s">
        <v>2355</v>
      </c>
      <c r="Z490" s="433" t="str">
        <f ca="1">HYPERLINK("#"&amp;단가산출근거목록표!J2&amp;"!A"&amp;ROW(단가산출근거목록표!A157),"D01241 →")</f>
        <v>D01241 →</v>
      </c>
    </row>
    <row r="491" spans="1:26" ht="33.200000000000003" customHeight="1">
      <c r="A491" s="452" t="s">
        <v>2321</v>
      </c>
      <c r="B491" s="452" t="s">
        <v>2322</v>
      </c>
      <c r="C491" s="489">
        <v>4.4999999999999998E-2</v>
      </c>
      <c r="D491" s="480" t="s">
        <v>8</v>
      </c>
      <c r="E491" s="490">
        <f t="shared" si="58"/>
        <v>34413</v>
      </c>
      <c r="F491" s="493">
        <f t="shared" si="58"/>
        <v>1548.5</v>
      </c>
      <c r="G491" s="494">
        <f>일위대가목록표!F275</f>
        <v>34413</v>
      </c>
      <c r="H491" s="498">
        <f t="shared" si="59"/>
        <v>1548.5</v>
      </c>
      <c r="I491" s="494">
        <f>일위대가목록표!G275</f>
        <v>0</v>
      </c>
      <c r="J491" s="498">
        <f t="shared" si="60"/>
        <v>0</v>
      </c>
      <c r="K491" s="494">
        <f>일위대가목록표!H275</f>
        <v>0</v>
      </c>
      <c r="L491" s="498">
        <f t="shared" si="61"/>
        <v>0</v>
      </c>
      <c r="M491" s="463" t="s">
        <v>2489</v>
      </c>
      <c r="N491" s="451" t="s">
        <v>2490</v>
      </c>
      <c r="O491" s="468" t="s">
        <v>2491</v>
      </c>
      <c r="P491" s="468" t="s">
        <v>2354</v>
      </c>
      <c r="Q491" s="468" t="s">
        <v>2355</v>
      </c>
      <c r="Z491" s="433" t="str">
        <f ca="1">HYPERLINK("#"&amp;일위대가목록표!J2&amp;"!A"&amp;ROW(일위대가목록표!A275),"B01414 →")</f>
        <v>B01414 →</v>
      </c>
    </row>
    <row r="492" spans="1:26" ht="33.200000000000003" customHeight="1">
      <c r="A492" s="452" t="s">
        <v>2627</v>
      </c>
      <c r="B492" s="452" t="s">
        <v>2628</v>
      </c>
      <c r="C492" s="489">
        <v>15.089</v>
      </c>
      <c r="D492" s="480" t="s">
        <v>605</v>
      </c>
      <c r="E492" s="490">
        <f t="shared" si="58"/>
        <v>6200</v>
      </c>
      <c r="F492" s="491">
        <f t="shared" si="58"/>
        <v>93551.8</v>
      </c>
      <c r="G492" s="492">
        <v>0</v>
      </c>
      <c r="H492" s="493">
        <f t="shared" si="59"/>
        <v>0</v>
      </c>
      <c r="I492" s="494">
        <f>재료비목록표!E8</f>
        <v>6200</v>
      </c>
      <c r="J492" s="495">
        <f t="shared" si="60"/>
        <v>93551.8</v>
      </c>
      <c r="K492" s="492">
        <v>0</v>
      </c>
      <c r="L492" s="493">
        <f t="shared" si="61"/>
        <v>0</v>
      </c>
      <c r="M492" s="463" t="s">
        <v>2629</v>
      </c>
      <c r="N492" s="451" t="s">
        <v>2630</v>
      </c>
      <c r="O492" s="468" t="s">
        <v>2631</v>
      </c>
      <c r="P492" s="468" t="s">
        <v>2354</v>
      </c>
      <c r="Z492" s="433" t="str">
        <f ca="1">HYPERLINK("#"&amp;재료비목록표!G2&amp;"!A"&amp;ROW(재료비목록표!A8),"M00950 →")</f>
        <v>M00950 →</v>
      </c>
    </row>
    <row r="493" spans="1:26" ht="33.200000000000003" customHeight="1">
      <c r="A493" s="452" t="s">
        <v>1461</v>
      </c>
      <c r="B493" s="452" t="s">
        <v>1462</v>
      </c>
      <c r="C493" s="489">
        <v>4.8000000000000001E-2</v>
      </c>
      <c r="D493" s="480" t="s">
        <v>8</v>
      </c>
      <c r="E493" s="490">
        <f t="shared" si="58"/>
        <v>915052</v>
      </c>
      <c r="F493" s="493">
        <f t="shared" si="58"/>
        <v>43922.400000000001</v>
      </c>
      <c r="G493" s="494">
        <f>일위대가목록표!F72</f>
        <v>915052</v>
      </c>
      <c r="H493" s="498">
        <f t="shared" si="59"/>
        <v>43922.400000000001</v>
      </c>
      <c r="I493" s="494">
        <f>일위대가목록표!G72</f>
        <v>0</v>
      </c>
      <c r="J493" s="498">
        <f t="shared" si="60"/>
        <v>0</v>
      </c>
      <c r="K493" s="494">
        <f>일위대가목록표!H72</f>
        <v>0</v>
      </c>
      <c r="L493" s="498">
        <f t="shared" si="61"/>
        <v>0</v>
      </c>
      <c r="M493" s="463" t="s">
        <v>2471</v>
      </c>
      <c r="N493" s="451" t="s">
        <v>2472</v>
      </c>
      <c r="O493" s="468" t="s">
        <v>1465</v>
      </c>
      <c r="P493" s="468" t="s">
        <v>2354</v>
      </c>
      <c r="Q493" s="468" t="s">
        <v>2355</v>
      </c>
      <c r="Z493" s="433" t="str">
        <f ca="1">HYPERLINK("#"&amp;일위대가목록표!J2&amp;"!A"&amp;ROW(일위대가목록표!A72),"B01822 →")</f>
        <v>B01822 →</v>
      </c>
    </row>
    <row r="494" spans="1:26" ht="33.200000000000003" customHeight="1">
      <c r="A494" s="452" t="s">
        <v>2574</v>
      </c>
      <c r="B494" s="452" t="s">
        <v>2575</v>
      </c>
      <c r="C494" s="489">
        <v>1.2290000000000001E-3</v>
      </c>
      <c r="D494" s="480" t="s">
        <v>2576</v>
      </c>
      <c r="E494" s="490">
        <f t="shared" si="58"/>
        <v>765000</v>
      </c>
      <c r="F494" s="491">
        <f t="shared" si="58"/>
        <v>940.1</v>
      </c>
      <c r="G494" s="492">
        <v>0</v>
      </c>
      <c r="H494" s="493">
        <f t="shared" si="59"/>
        <v>0</v>
      </c>
      <c r="I494" s="494">
        <f>재료비목록표!E81</f>
        <v>765000</v>
      </c>
      <c r="J494" s="495">
        <f t="shared" si="60"/>
        <v>940.1</v>
      </c>
      <c r="K494" s="492">
        <v>0</v>
      </c>
      <c r="L494" s="493">
        <f t="shared" si="61"/>
        <v>0</v>
      </c>
      <c r="M494" s="463" t="s">
        <v>2577</v>
      </c>
      <c r="N494" s="451" t="s">
        <v>2578</v>
      </c>
      <c r="O494" s="468" t="s">
        <v>2579</v>
      </c>
      <c r="P494" s="468" t="s">
        <v>2354</v>
      </c>
      <c r="Z494" s="433" t="str">
        <f ca="1">HYPERLINK("#"&amp;재료비목록표!G2&amp;"!A"&amp;ROW(재료비목록표!A81),"M00150 →")</f>
        <v>M00150 →</v>
      </c>
    </row>
    <row r="495" spans="1:26" ht="33.200000000000003" customHeight="1">
      <c r="A495" s="452" t="s">
        <v>2574</v>
      </c>
      <c r="B495" s="452" t="s">
        <v>2632</v>
      </c>
      <c r="C495" s="489">
        <v>1.024E-3</v>
      </c>
      <c r="D495" s="480" t="s">
        <v>2576</v>
      </c>
      <c r="E495" s="490">
        <f t="shared" si="58"/>
        <v>775000</v>
      </c>
      <c r="F495" s="491">
        <f t="shared" si="58"/>
        <v>793.6</v>
      </c>
      <c r="G495" s="492">
        <v>0</v>
      </c>
      <c r="H495" s="493">
        <f t="shared" si="59"/>
        <v>0</v>
      </c>
      <c r="I495" s="494">
        <f>재료비목록표!E80</f>
        <v>775000</v>
      </c>
      <c r="J495" s="495">
        <f t="shared" si="60"/>
        <v>793.6</v>
      </c>
      <c r="K495" s="492">
        <v>0</v>
      </c>
      <c r="L495" s="493">
        <f t="shared" si="61"/>
        <v>0</v>
      </c>
      <c r="M495" s="463" t="s">
        <v>2633</v>
      </c>
      <c r="N495" s="451" t="s">
        <v>2634</v>
      </c>
      <c r="O495" s="468" t="s">
        <v>2635</v>
      </c>
      <c r="P495" s="468" t="s">
        <v>2354</v>
      </c>
      <c r="Z495" s="433" t="str">
        <f ca="1">HYPERLINK("#"&amp;재료비목록표!G2&amp;"!A"&amp;ROW(재료비목록표!A80),"M01265 →")</f>
        <v>M01265 →</v>
      </c>
    </row>
    <row r="496" spans="1:26" ht="33.200000000000003" customHeight="1">
      <c r="A496" s="463" t="s">
        <v>842</v>
      </c>
      <c r="B496" s="497"/>
      <c r="C496" s="497"/>
      <c r="D496" s="497"/>
      <c r="E496" s="497"/>
      <c r="F496" s="446">
        <f>J496+H496+L496</f>
        <v>143582</v>
      </c>
      <c r="G496" s="497"/>
      <c r="H496" s="446">
        <f>ROUNDDOWN(SUMIF(P490:P495,O496,H490:H495),0)</f>
        <v>48297</v>
      </c>
      <c r="I496" s="497"/>
      <c r="J496" s="446">
        <f>ROUNDDOWN(SUMIF(P490:P495,O496,J490:J495),0)</f>
        <v>95285</v>
      </c>
      <c r="K496" s="497"/>
      <c r="L496" s="446">
        <f>ROUNDDOWN(SUMIF(P490:P495,O496,L490:L495),0)</f>
        <v>0</v>
      </c>
      <c r="M496" s="497"/>
      <c r="O496" s="468" t="s">
        <v>2354</v>
      </c>
    </row>
    <row r="497" spans="1:26" ht="33.200000000000003" customHeight="1">
      <c r="A497" s="484" t="s">
        <v>2650</v>
      </c>
      <c r="B497" s="484"/>
      <c r="C497" s="485"/>
      <c r="D497" s="485"/>
      <c r="E497" s="485"/>
      <c r="F497" s="485"/>
      <c r="G497" s="485"/>
      <c r="H497" s="485"/>
      <c r="I497" s="485"/>
      <c r="J497" s="485"/>
      <c r="K497" s="485"/>
      <c r="L497" s="485"/>
      <c r="M497" s="485"/>
      <c r="N497" s="486" t="str">
        <f>HYPERLINK("#N"&amp;ROW(N504),"_x0005_`BDCOD|B02478_x0007_`POSS|"&amp;ROW(N499)&amp;"_x0007_`POSE|"&amp;ROW(N504)&amp;"_x0007_`")</f>
        <v>_x0005_`BDCOD|B02478_x0007_`POSS|499_x0007_`POSE|504_x0007_`</v>
      </c>
    </row>
    <row r="498" spans="1:26" ht="33.200000000000003" customHeight="1">
      <c r="A498" s="469" t="s">
        <v>1004</v>
      </c>
      <c r="B498" s="469" t="s">
        <v>992</v>
      </c>
      <c r="C498" s="487"/>
      <c r="D498" s="488" t="s">
        <v>984</v>
      </c>
      <c r="E498" s="487"/>
      <c r="F498" s="487"/>
      <c r="G498" s="487"/>
      <c r="H498" s="487"/>
      <c r="I498" s="487"/>
      <c r="J498" s="487"/>
      <c r="K498" s="487"/>
      <c r="L498" s="487"/>
      <c r="M498" s="488" t="s">
        <v>1011</v>
      </c>
      <c r="O498" s="468" t="s">
        <v>1011</v>
      </c>
    </row>
    <row r="499" spans="1:26" ht="33.200000000000003" customHeight="1">
      <c r="A499" s="452" t="s">
        <v>2484</v>
      </c>
      <c r="B499" s="452" t="s">
        <v>2485</v>
      </c>
      <c r="C499" s="489">
        <v>5.3999999999999999E-2</v>
      </c>
      <c r="D499" s="480" t="s">
        <v>8</v>
      </c>
      <c r="E499" s="490">
        <f t="shared" ref="E499:F504" si="62">I499+G499+K499</f>
        <v>62811</v>
      </c>
      <c r="F499" s="493">
        <f t="shared" si="62"/>
        <v>3391.7</v>
      </c>
      <c r="G499" s="494">
        <f>단가산출근거목록표!F157</f>
        <v>62811</v>
      </c>
      <c r="H499" s="498">
        <f t="shared" ref="H499:H504" si="63">IF(C499=0,0,ROUNDDOWN(G499*C499,1))</f>
        <v>3391.7</v>
      </c>
      <c r="I499" s="494">
        <f>단가산출근거목록표!G157</f>
        <v>0</v>
      </c>
      <c r="J499" s="498">
        <f t="shared" ref="J499:J504" si="64">IF(C499=0,0,ROUNDDOWN(I499*C499,1))</f>
        <v>0</v>
      </c>
      <c r="K499" s="494">
        <f>단가산출근거목록표!H157</f>
        <v>0</v>
      </c>
      <c r="L499" s="498">
        <f t="shared" ref="L499:L504" si="65">IF(C499=0,0,ROUNDDOWN(K499*C499,1))</f>
        <v>0</v>
      </c>
      <c r="M499" s="463" t="s">
        <v>2486</v>
      </c>
      <c r="N499" s="451" t="s">
        <v>2487</v>
      </c>
      <c r="O499" s="468" t="s">
        <v>2488</v>
      </c>
      <c r="P499" s="468" t="s">
        <v>2354</v>
      </c>
      <c r="Q499" s="468" t="s">
        <v>2355</v>
      </c>
      <c r="Z499" s="433" t="str">
        <f ca="1">HYPERLINK("#"&amp;단가산출근거목록표!J2&amp;"!A"&amp;ROW(단가산출근거목록표!A157),"D01241 →")</f>
        <v>D01241 →</v>
      </c>
    </row>
    <row r="500" spans="1:26" ht="33.200000000000003" customHeight="1">
      <c r="A500" s="452" t="s">
        <v>2321</v>
      </c>
      <c r="B500" s="452" t="s">
        <v>2322</v>
      </c>
      <c r="C500" s="489">
        <v>5.3999999999999999E-2</v>
      </c>
      <c r="D500" s="480" t="s">
        <v>8</v>
      </c>
      <c r="E500" s="490">
        <f t="shared" si="62"/>
        <v>34413</v>
      </c>
      <c r="F500" s="493">
        <f t="shared" si="62"/>
        <v>1858.3</v>
      </c>
      <c r="G500" s="494">
        <f>일위대가목록표!F275</f>
        <v>34413</v>
      </c>
      <c r="H500" s="498">
        <f t="shared" si="63"/>
        <v>1858.3</v>
      </c>
      <c r="I500" s="494">
        <f>일위대가목록표!G275</f>
        <v>0</v>
      </c>
      <c r="J500" s="498">
        <f t="shared" si="64"/>
        <v>0</v>
      </c>
      <c r="K500" s="494">
        <f>일위대가목록표!H275</f>
        <v>0</v>
      </c>
      <c r="L500" s="498">
        <f t="shared" si="65"/>
        <v>0</v>
      </c>
      <c r="M500" s="463" t="s">
        <v>2489</v>
      </c>
      <c r="N500" s="451" t="s">
        <v>2490</v>
      </c>
      <c r="O500" s="468" t="s">
        <v>2491</v>
      </c>
      <c r="P500" s="468" t="s">
        <v>2354</v>
      </c>
      <c r="Q500" s="468" t="s">
        <v>2355</v>
      </c>
      <c r="Z500" s="433" t="str">
        <f ca="1">HYPERLINK("#"&amp;일위대가목록표!J2&amp;"!A"&amp;ROW(일위대가목록표!A275),"B01414 →")</f>
        <v>B01414 →</v>
      </c>
    </row>
    <row r="501" spans="1:26" ht="33.200000000000003" customHeight="1">
      <c r="A501" s="452" t="s">
        <v>2627</v>
      </c>
      <c r="B501" s="452" t="s">
        <v>2628</v>
      </c>
      <c r="C501" s="489">
        <v>18.016999999999999</v>
      </c>
      <c r="D501" s="480" t="s">
        <v>605</v>
      </c>
      <c r="E501" s="490">
        <f t="shared" si="62"/>
        <v>6200</v>
      </c>
      <c r="F501" s="491">
        <f t="shared" si="62"/>
        <v>111705.4</v>
      </c>
      <c r="G501" s="492">
        <v>0</v>
      </c>
      <c r="H501" s="493">
        <f t="shared" si="63"/>
        <v>0</v>
      </c>
      <c r="I501" s="494">
        <f>재료비목록표!E8</f>
        <v>6200</v>
      </c>
      <c r="J501" s="495">
        <f t="shared" si="64"/>
        <v>111705.4</v>
      </c>
      <c r="K501" s="492">
        <v>0</v>
      </c>
      <c r="L501" s="493">
        <f t="shared" si="65"/>
        <v>0</v>
      </c>
      <c r="M501" s="463" t="s">
        <v>2629</v>
      </c>
      <c r="N501" s="451" t="s">
        <v>2630</v>
      </c>
      <c r="O501" s="468" t="s">
        <v>2631</v>
      </c>
      <c r="P501" s="468" t="s">
        <v>2354</v>
      </c>
      <c r="Z501" s="433" t="str">
        <f ca="1">HYPERLINK("#"&amp;재료비목록표!G2&amp;"!A"&amp;ROW(재료비목록표!A8),"M00950 →")</f>
        <v>M00950 →</v>
      </c>
    </row>
    <row r="502" spans="1:26" ht="33.200000000000003" customHeight="1">
      <c r="A502" s="452" t="s">
        <v>1461</v>
      </c>
      <c r="B502" s="452" t="s">
        <v>1462</v>
      </c>
      <c r="C502" s="489">
        <v>5.8000000000000003E-2</v>
      </c>
      <c r="D502" s="480" t="s">
        <v>8</v>
      </c>
      <c r="E502" s="490">
        <f t="shared" si="62"/>
        <v>915052</v>
      </c>
      <c r="F502" s="493">
        <f t="shared" si="62"/>
        <v>53073</v>
      </c>
      <c r="G502" s="494">
        <f>일위대가목록표!F72</f>
        <v>915052</v>
      </c>
      <c r="H502" s="498">
        <f t="shared" si="63"/>
        <v>53073</v>
      </c>
      <c r="I502" s="494">
        <f>일위대가목록표!G72</f>
        <v>0</v>
      </c>
      <c r="J502" s="498">
        <f t="shared" si="64"/>
        <v>0</v>
      </c>
      <c r="K502" s="494">
        <f>일위대가목록표!H72</f>
        <v>0</v>
      </c>
      <c r="L502" s="498">
        <f t="shared" si="65"/>
        <v>0</v>
      </c>
      <c r="M502" s="463" t="s">
        <v>2471</v>
      </c>
      <c r="N502" s="451" t="s">
        <v>2472</v>
      </c>
      <c r="O502" s="468" t="s">
        <v>1465</v>
      </c>
      <c r="P502" s="468" t="s">
        <v>2354</v>
      </c>
      <c r="Q502" s="468" t="s">
        <v>2355</v>
      </c>
      <c r="Z502" s="433" t="str">
        <f ca="1">HYPERLINK("#"&amp;일위대가목록표!J2&amp;"!A"&amp;ROW(일위대가목록표!A72),"B01822 →")</f>
        <v>B01822 →</v>
      </c>
    </row>
    <row r="503" spans="1:26" ht="33.200000000000003" customHeight="1">
      <c r="A503" s="452" t="s">
        <v>2574</v>
      </c>
      <c r="B503" s="452" t="s">
        <v>2575</v>
      </c>
      <c r="C503" s="489">
        <v>1.2290000000000001E-3</v>
      </c>
      <c r="D503" s="480" t="s">
        <v>2576</v>
      </c>
      <c r="E503" s="490">
        <f t="shared" si="62"/>
        <v>765000</v>
      </c>
      <c r="F503" s="491">
        <f t="shared" si="62"/>
        <v>940.1</v>
      </c>
      <c r="G503" s="492">
        <v>0</v>
      </c>
      <c r="H503" s="493">
        <f t="shared" si="63"/>
        <v>0</v>
      </c>
      <c r="I503" s="494">
        <f>재료비목록표!E81</f>
        <v>765000</v>
      </c>
      <c r="J503" s="495">
        <f t="shared" si="64"/>
        <v>940.1</v>
      </c>
      <c r="K503" s="492">
        <v>0</v>
      </c>
      <c r="L503" s="493">
        <f t="shared" si="65"/>
        <v>0</v>
      </c>
      <c r="M503" s="463" t="s">
        <v>2577</v>
      </c>
      <c r="N503" s="451" t="s">
        <v>2578</v>
      </c>
      <c r="O503" s="468" t="s">
        <v>2579</v>
      </c>
      <c r="P503" s="468" t="s">
        <v>2354</v>
      </c>
      <c r="Z503" s="433" t="str">
        <f ca="1">HYPERLINK("#"&amp;재료비목록표!G2&amp;"!A"&amp;ROW(재료비목록표!A81),"M00150 →")</f>
        <v>M00150 →</v>
      </c>
    </row>
    <row r="504" spans="1:26" ht="33.200000000000003" customHeight="1">
      <c r="A504" s="452" t="s">
        <v>2574</v>
      </c>
      <c r="B504" s="452" t="s">
        <v>2632</v>
      </c>
      <c r="C504" s="489">
        <v>1.024E-3</v>
      </c>
      <c r="D504" s="480" t="s">
        <v>2576</v>
      </c>
      <c r="E504" s="490">
        <f t="shared" si="62"/>
        <v>775000</v>
      </c>
      <c r="F504" s="491">
        <f t="shared" si="62"/>
        <v>793.6</v>
      </c>
      <c r="G504" s="492">
        <v>0</v>
      </c>
      <c r="H504" s="493">
        <f t="shared" si="63"/>
        <v>0</v>
      </c>
      <c r="I504" s="494">
        <f>재료비목록표!E80</f>
        <v>775000</v>
      </c>
      <c r="J504" s="495">
        <f t="shared" si="64"/>
        <v>793.6</v>
      </c>
      <c r="K504" s="492">
        <v>0</v>
      </c>
      <c r="L504" s="493">
        <f t="shared" si="65"/>
        <v>0</v>
      </c>
      <c r="M504" s="463" t="s">
        <v>2633</v>
      </c>
      <c r="N504" s="451" t="s">
        <v>2634</v>
      </c>
      <c r="O504" s="468" t="s">
        <v>2635</v>
      </c>
      <c r="P504" s="468" t="s">
        <v>2354</v>
      </c>
      <c r="Z504" s="433" t="str">
        <f ca="1">HYPERLINK("#"&amp;재료비목록표!G2&amp;"!A"&amp;ROW(재료비목록표!A80),"M01265 →")</f>
        <v>M01265 →</v>
      </c>
    </row>
    <row r="505" spans="1:26" ht="33.200000000000003" customHeight="1">
      <c r="A505" s="463" t="s">
        <v>842</v>
      </c>
      <c r="B505" s="497"/>
      <c r="C505" s="497"/>
      <c r="D505" s="497"/>
      <c r="E505" s="497"/>
      <c r="F505" s="446">
        <f>J505+H505+L505</f>
        <v>171762</v>
      </c>
      <c r="G505" s="497"/>
      <c r="H505" s="446">
        <f>ROUNDDOWN(SUMIF(P499:P504,O505,H499:H504),0)</f>
        <v>58323</v>
      </c>
      <c r="I505" s="497"/>
      <c r="J505" s="446">
        <f>ROUNDDOWN(SUMIF(P499:P504,O505,J499:J504),0)</f>
        <v>113439</v>
      </c>
      <c r="K505" s="497"/>
      <c r="L505" s="446">
        <f>ROUNDDOWN(SUMIF(P499:P504,O505,L499:L504),0)</f>
        <v>0</v>
      </c>
      <c r="M505" s="497"/>
      <c r="O505" s="468" t="s">
        <v>2354</v>
      </c>
    </row>
    <row r="506" spans="1:26" ht="33.200000000000003" customHeight="1">
      <c r="A506" s="484" t="s">
        <v>2651</v>
      </c>
      <c r="B506" s="484"/>
      <c r="C506" s="485"/>
      <c r="D506" s="485"/>
      <c r="E506" s="485"/>
      <c r="F506" s="485"/>
      <c r="G506" s="485"/>
      <c r="H506" s="485"/>
      <c r="I506" s="485"/>
      <c r="J506" s="485"/>
      <c r="K506" s="485"/>
      <c r="L506" s="485"/>
      <c r="M506" s="485"/>
      <c r="N506" s="486" t="str">
        <f>HYPERLINK("#N"&amp;ROW(N513),"_x0005_`BDCOD|B02479_x0007_`POSS|"&amp;ROW(N508)&amp;"_x0007_`POSE|"&amp;ROW(N513)&amp;"_x0007_`")</f>
        <v>_x0005_`BDCOD|B02479_x0007_`POSS|508_x0007_`POSE|513_x0007_`</v>
      </c>
    </row>
    <row r="507" spans="1:26" ht="33.200000000000003" customHeight="1">
      <c r="A507" s="469" t="s">
        <v>1004</v>
      </c>
      <c r="B507" s="469" t="s">
        <v>996</v>
      </c>
      <c r="C507" s="487"/>
      <c r="D507" s="488" t="s">
        <v>984</v>
      </c>
      <c r="E507" s="487"/>
      <c r="F507" s="487"/>
      <c r="G507" s="487"/>
      <c r="H507" s="487"/>
      <c r="I507" s="487"/>
      <c r="J507" s="487"/>
      <c r="K507" s="487"/>
      <c r="L507" s="487"/>
      <c r="M507" s="488" t="s">
        <v>1014</v>
      </c>
      <c r="O507" s="468" t="s">
        <v>1014</v>
      </c>
    </row>
    <row r="508" spans="1:26" ht="33.200000000000003" customHeight="1">
      <c r="A508" s="452" t="s">
        <v>2484</v>
      </c>
      <c r="B508" s="452" t="s">
        <v>2485</v>
      </c>
      <c r="C508" s="489">
        <v>6.8000000000000005E-2</v>
      </c>
      <c r="D508" s="480" t="s">
        <v>8</v>
      </c>
      <c r="E508" s="490">
        <f t="shared" ref="E508:F513" si="66">I508+G508+K508</f>
        <v>62811</v>
      </c>
      <c r="F508" s="493">
        <f t="shared" si="66"/>
        <v>4271.1000000000004</v>
      </c>
      <c r="G508" s="494">
        <f>단가산출근거목록표!F157</f>
        <v>62811</v>
      </c>
      <c r="H508" s="498">
        <f t="shared" ref="H508:H513" si="67">IF(C508=0,0,ROUNDDOWN(G508*C508,1))</f>
        <v>4271.1000000000004</v>
      </c>
      <c r="I508" s="494">
        <f>단가산출근거목록표!G157</f>
        <v>0</v>
      </c>
      <c r="J508" s="498">
        <f t="shared" ref="J508:J513" si="68">IF(C508=0,0,ROUNDDOWN(I508*C508,1))</f>
        <v>0</v>
      </c>
      <c r="K508" s="494">
        <f>단가산출근거목록표!H157</f>
        <v>0</v>
      </c>
      <c r="L508" s="498">
        <f t="shared" ref="L508:L513" si="69">IF(C508=0,0,ROUNDDOWN(K508*C508,1))</f>
        <v>0</v>
      </c>
      <c r="M508" s="463" t="s">
        <v>2486</v>
      </c>
      <c r="N508" s="451" t="s">
        <v>2487</v>
      </c>
      <c r="O508" s="468" t="s">
        <v>2488</v>
      </c>
      <c r="P508" s="468" t="s">
        <v>2354</v>
      </c>
      <c r="Q508" s="468" t="s">
        <v>2355</v>
      </c>
      <c r="Z508" s="433" t="str">
        <f ca="1">HYPERLINK("#"&amp;단가산출근거목록표!J2&amp;"!A"&amp;ROW(단가산출근거목록표!A157),"D01241 →")</f>
        <v>D01241 →</v>
      </c>
    </row>
    <row r="509" spans="1:26" ht="33.200000000000003" customHeight="1">
      <c r="A509" s="452" t="s">
        <v>2321</v>
      </c>
      <c r="B509" s="452" t="s">
        <v>2322</v>
      </c>
      <c r="C509" s="489">
        <v>6.8000000000000005E-2</v>
      </c>
      <c r="D509" s="480" t="s">
        <v>8</v>
      </c>
      <c r="E509" s="490">
        <f t="shared" si="66"/>
        <v>34413</v>
      </c>
      <c r="F509" s="493">
        <f t="shared" si="66"/>
        <v>2340</v>
      </c>
      <c r="G509" s="494">
        <f>일위대가목록표!F275</f>
        <v>34413</v>
      </c>
      <c r="H509" s="498">
        <f t="shared" si="67"/>
        <v>2340</v>
      </c>
      <c r="I509" s="494">
        <f>일위대가목록표!G275</f>
        <v>0</v>
      </c>
      <c r="J509" s="498">
        <f t="shared" si="68"/>
        <v>0</v>
      </c>
      <c r="K509" s="494">
        <f>일위대가목록표!H275</f>
        <v>0</v>
      </c>
      <c r="L509" s="498">
        <f t="shared" si="69"/>
        <v>0</v>
      </c>
      <c r="M509" s="463" t="s">
        <v>2489</v>
      </c>
      <c r="N509" s="451" t="s">
        <v>2490</v>
      </c>
      <c r="O509" s="468" t="s">
        <v>2491</v>
      </c>
      <c r="P509" s="468" t="s">
        <v>2354</v>
      </c>
      <c r="Q509" s="468" t="s">
        <v>2355</v>
      </c>
      <c r="Z509" s="433" t="str">
        <f ca="1">HYPERLINK("#"&amp;일위대가목록표!J2&amp;"!A"&amp;ROW(일위대가목록표!A275),"B01414 →")</f>
        <v>B01414 →</v>
      </c>
    </row>
    <row r="510" spans="1:26" ht="33.200000000000003" customHeight="1">
      <c r="A510" s="452" t="s">
        <v>2627</v>
      </c>
      <c r="B510" s="452" t="s">
        <v>2628</v>
      </c>
      <c r="C510" s="489">
        <v>22.632999999999999</v>
      </c>
      <c r="D510" s="480" t="s">
        <v>605</v>
      </c>
      <c r="E510" s="490">
        <f t="shared" si="66"/>
        <v>6200</v>
      </c>
      <c r="F510" s="491">
        <f t="shared" si="66"/>
        <v>140324.6</v>
      </c>
      <c r="G510" s="492">
        <v>0</v>
      </c>
      <c r="H510" s="493">
        <f t="shared" si="67"/>
        <v>0</v>
      </c>
      <c r="I510" s="494">
        <f>재료비목록표!E8</f>
        <v>6200</v>
      </c>
      <c r="J510" s="495">
        <f t="shared" si="68"/>
        <v>140324.6</v>
      </c>
      <c r="K510" s="492">
        <v>0</v>
      </c>
      <c r="L510" s="493">
        <f t="shared" si="69"/>
        <v>0</v>
      </c>
      <c r="M510" s="463" t="s">
        <v>2629</v>
      </c>
      <c r="N510" s="451" t="s">
        <v>2630</v>
      </c>
      <c r="O510" s="468" t="s">
        <v>2631</v>
      </c>
      <c r="P510" s="468" t="s">
        <v>2354</v>
      </c>
      <c r="Z510" s="433" t="str">
        <f ca="1">HYPERLINK("#"&amp;재료비목록표!G2&amp;"!A"&amp;ROW(재료비목록표!A8),"M00950 →")</f>
        <v>M00950 →</v>
      </c>
    </row>
    <row r="511" spans="1:26" ht="33.200000000000003" customHeight="1">
      <c r="A511" s="452" t="s">
        <v>1461</v>
      </c>
      <c r="B511" s="452" t="s">
        <v>1462</v>
      </c>
      <c r="C511" s="489">
        <v>7.1999999999999995E-2</v>
      </c>
      <c r="D511" s="480" t="s">
        <v>8</v>
      </c>
      <c r="E511" s="490">
        <f t="shared" si="66"/>
        <v>915052</v>
      </c>
      <c r="F511" s="493">
        <f t="shared" si="66"/>
        <v>65883.7</v>
      </c>
      <c r="G511" s="494">
        <f>일위대가목록표!F72</f>
        <v>915052</v>
      </c>
      <c r="H511" s="498">
        <f t="shared" si="67"/>
        <v>65883.7</v>
      </c>
      <c r="I511" s="494">
        <f>일위대가목록표!G72</f>
        <v>0</v>
      </c>
      <c r="J511" s="498">
        <f t="shared" si="68"/>
        <v>0</v>
      </c>
      <c r="K511" s="494">
        <f>일위대가목록표!H72</f>
        <v>0</v>
      </c>
      <c r="L511" s="498">
        <f t="shared" si="69"/>
        <v>0</v>
      </c>
      <c r="M511" s="463" t="s">
        <v>2471</v>
      </c>
      <c r="N511" s="451" t="s">
        <v>2472</v>
      </c>
      <c r="O511" s="468" t="s">
        <v>1465</v>
      </c>
      <c r="P511" s="468" t="s">
        <v>2354</v>
      </c>
      <c r="Q511" s="468" t="s">
        <v>2355</v>
      </c>
      <c r="Z511" s="433" t="str">
        <f ca="1">HYPERLINK("#"&amp;일위대가목록표!J2&amp;"!A"&amp;ROW(일위대가목록표!A72),"B01822 →")</f>
        <v>B01822 →</v>
      </c>
    </row>
    <row r="512" spans="1:26" ht="33.200000000000003" customHeight="1">
      <c r="A512" s="452" t="s">
        <v>2574</v>
      </c>
      <c r="B512" s="452" t="s">
        <v>2575</v>
      </c>
      <c r="C512" s="489">
        <v>1.2290000000000001E-3</v>
      </c>
      <c r="D512" s="480" t="s">
        <v>2576</v>
      </c>
      <c r="E512" s="490">
        <f t="shared" si="66"/>
        <v>765000</v>
      </c>
      <c r="F512" s="491">
        <f t="shared" si="66"/>
        <v>940.1</v>
      </c>
      <c r="G512" s="492">
        <v>0</v>
      </c>
      <c r="H512" s="493">
        <f t="shared" si="67"/>
        <v>0</v>
      </c>
      <c r="I512" s="494">
        <f>재료비목록표!E81</f>
        <v>765000</v>
      </c>
      <c r="J512" s="495">
        <f t="shared" si="68"/>
        <v>940.1</v>
      </c>
      <c r="K512" s="492">
        <v>0</v>
      </c>
      <c r="L512" s="493">
        <f t="shared" si="69"/>
        <v>0</v>
      </c>
      <c r="M512" s="463" t="s">
        <v>2577</v>
      </c>
      <c r="N512" s="451" t="s">
        <v>2578</v>
      </c>
      <c r="O512" s="468" t="s">
        <v>2579</v>
      </c>
      <c r="P512" s="468" t="s">
        <v>2354</v>
      </c>
      <c r="Z512" s="433" t="str">
        <f ca="1">HYPERLINK("#"&amp;재료비목록표!G2&amp;"!A"&amp;ROW(재료비목록표!A81),"M00150 →")</f>
        <v>M00150 →</v>
      </c>
    </row>
    <row r="513" spans="1:26" ht="33.200000000000003" customHeight="1">
      <c r="A513" s="452" t="s">
        <v>2574</v>
      </c>
      <c r="B513" s="452" t="s">
        <v>2632</v>
      </c>
      <c r="C513" s="489">
        <v>1.024E-3</v>
      </c>
      <c r="D513" s="480" t="s">
        <v>2576</v>
      </c>
      <c r="E513" s="490">
        <f t="shared" si="66"/>
        <v>775000</v>
      </c>
      <c r="F513" s="491">
        <f t="shared" si="66"/>
        <v>793.6</v>
      </c>
      <c r="G513" s="492">
        <v>0</v>
      </c>
      <c r="H513" s="493">
        <f t="shared" si="67"/>
        <v>0</v>
      </c>
      <c r="I513" s="494">
        <f>재료비목록표!E80</f>
        <v>775000</v>
      </c>
      <c r="J513" s="495">
        <f t="shared" si="68"/>
        <v>793.6</v>
      </c>
      <c r="K513" s="492">
        <v>0</v>
      </c>
      <c r="L513" s="493">
        <f t="shared" si="69"/>
        <v>0</v>
      </c>
      <c r="M513" s="463" t="s">
        <v>2633</v>
      </c>
      <c r="N513" s="451" t="s">
        <v>2634</v>
      </c>
      <c r="O513" s="468" t="s">
        <v>2635</v>
      </c>
      <c r="P513" s="468" t="s">
        <v>2354</v>
      </c>
      <c r="Z513" s="433" t="str">
        <f ca="1">HYPERLINK("#"&amp;재료비목록표!G2&amp;"!A"&amp;ROW(재료비목록표!A80),"M01265 →")</f>
        <v>M01265 →</v>
      </c>
    </row>
    <row r="514" spans="1:26" ht="33.200000000000003" customHeight="1">
      <c r="A514" s="463" t="s">
        <v>842</v>
      </c>
      <c r="B514" s="497"/>
      <c r="C514" s="497"/>
      <c r="D514" s="497"/>
      <c r="E514" s="497"/>
      <c r="F514" s="446">
        <f>J514+H514+L514</f>
        <v>214552</v>
      </c>
      <c r="G514" s="497"/>
      <c r="H514" s="446">
        <f>ROUNDDOWN(SUMIF(P508:P513,O514,H508:H513),0)</f>
        <v>72494</v>
      </c>
      <c r="I514" s="497"/>
      <c r="J514" s="446">
        <f>ROUNDDOWN(SUMIF(P508:P513,O514,J508:J513),0)</f>
        <v>142058</v>
      </c>
      <c r="K514" s="497"/>
      <c r="L514" s="446">
        <f>ROUNDDOWN(SUMIF(P508:P513,O514,L508:L513),0)</f>
        <v>0</v>
      </c>
      <c r="M514" s="497"/>
      <c r="O514" s="468" t="s">
        <v>2354</v>
      </c>
    </row>
    <row r="515" spans="1:26" ht="33.200000000000003" customHeight="1">
      <c r="A515" s="484" t="s">
        <v>2652</v>
      </c>
      <c r="B515" s="484"/>
      <c r="C515" s="485"/>
      <c r="D515" s="485"/>
      <c r="E515" s="485"/>
      <c r="F515" s="485"/>
      <c r="G515" s="485"/>
      <c r="H515" s="485"/>
      <c r="I515" s="485"/>
      <c r="J515" s="485"/>
      <c r="K515" s="485"/>
      <c r="L515" s="485"/>
      <c r="M515" s="485"/>
      <c r="N515" s="486" t="str">
        <f>HYPERLINK("#N"&amp;ROW(N522),"_x0005_`BDCOD|B02481_x0007_`POSS|"&amp;ROW(N517)&amp;"_x0007_`POSE|"&amp;ROW(N522)&amp;"_x0007_`")</f>
        <v>_x0005_`BDCOD|B02481_x0007_`POSS|517_x0007_`POSE|522_x0007_`</v>
      </c>
    </row>
    <row r="516" spans="1:26" ht="33.200000000000003" customHeight="1">
      <c r="A516" s="469" t="s">
        <v>1004</v>
      </c>
      <c r="B516" s="469" t="s">
        <v>1000</v>
      </c>
      <c r="C516" s="487"/>
      <c r="D516" s="488" t="s">
        <v>984</v>
      </c>
      <c r="E516" s="487"/>
      <c r="F516" s="487"/>
      <c r="G516" s="487"/>
      <c r="H516" s="487"/>
      <c r="I516" s="487"/>
      <c r="J516" s="487"/>
      <c r="K516" s="487"/>
      <c r="L516" s="487"/>
      <c r="M516" s="488" t="s">
        <v>1017</v>
      </c>
      <c r="O516" s="468" t="s">
        <v>1017</v>
      </c>
    </row>
    <row r="517" spans="1:26" ht="33.200000000000003" customHeight="1">
      <c r="A517" s="452" t="s">
        <v>2484</v>
      </c>
      <c r="B517" s="452" t="s">
        <v>2485</v>
      </c>
      <c r="C517" s="489">
        <v>0.09</v>
      </c>
      <c r="D517" s="480" t="s">
        <v>8</v>
      </c>
      <c r="E517" s="490">
        <f t="shared" ref="E517:F522" si="70">I517+G517+K517</f>
        <v>62811</v>
      </c>
      <c r="F517" s="493">
        <f t="shared" si="70"/>
        <v>5652.9</v>
      </c>
      <c r="G517" s="494">
        <f>단가산출근거목록표!F157</f>
        <v>62811</v>
      </c>
      <c r="H517" s="498">
        <f t="shared" ref="H517:H522" si="71">IF(C517=0,0,ROUNDDOWN(G517*C517,1))</f>
        <v>5652.9</v>
      </c>
      <c r="I517" s="494">
        <f>단가산출근거목록표!G157</f>
        <v>0</v>
      </c>
      <c r="J517" s="498">
        <f t="shared" ref="J517:J522" si="72">IF(C517=0,0,ROUNDDOWN(I517*C517,1))</f>
        <v>0</v>
      </c>
      <c r="K517" s="494">
        <f>단가산출근거목록표!H157</f>
        <v>0</v>
      </c>
      <c r="L517" s="498">
        <f t="shared" ref="L517:L522" si="73">IF(C517=0,0,ROUNDDOWN(K517*C517,1))</f>
        <v>0</v>
      </c>
      <c r="M517" s="463" t="s">
        <v>2486</v>
      </c>
      <c r="N517" s="451" t="s">
        <v>2487</v>
      </c>
      <c r="O517" s="468" t="s">
        <v>2488</v>
      </c>
      <c r="P517" s="468" t="s">
        <v>2354</v>
      </c>
      <c r="Q517" s="468" t="s">
        <v>2355</v>
      </c>
      <c r="Z517" s="433" t="str">
        <f ca="1">HYPERLINK("#"&amp;단가산출근거목록표!J2&amp;"!A"&amp;ROW(단가산출근거목록표!A157),"D01241 →")</f>
        <v>D01241 →</v>
      </c>
    </row>
    <row r="518" spans="1:26" ht="33.200000000000003" customHeight="1">
      <c r="A518" s="452" t="s">
        <v>2321</v>
      </c>
      <c r="B518" s="452" t="s">
        <v>2322</v>
      </c>
      <c r="C518" s="489">
        <v>0.09</v>
      </c>
      <c r="D518" s="480" t="s">
        <v>8</v>
      </c>
      <c r="E518" s="490">
        <f t="shared" si="70"/>
        <v>34413</v>
      </c>
      <c r="F518" s="493">
        <f t="shared" si="70"/>
        <v>3097.1</v>
      </c>
      <c r="G518" s="494">
        <f>일위대가목록표!F275</f>
        <v>34413</v>
      </c>
      <c r="H518" s="498">
        <f t="shared" si="71"/>
        <v>3097.1</v>
      </c>
      <c r="I518" s="494">
        <f>일위대가목록표!G275</f>
        <v>0</v>
      </c>
      <c r="J518" s="498">
        <f t="shared" si="72"/>
        <v>0</v>
      </c>
      <c r="K518" s="494">
        <f>일위대가목록표!H275</f>
        <v>0</v>
      </c>
      <c r="L518" s="498">
        <f t="shared" si="73"/>
        <v>0</v>
      </c>
      <c r="M518" s="463" t="s">
        <v>2489</v>
      </c>
      <c r="N518" s="451" t="s">
        <v>2490</v>
      </c>
      <c r="O518" s="468" t="s">
        <v>2491</v>
      </c>
      <c r="P518" s="468" t="s">
        <v>2354</v>
      </c>
      <c r="Q518" s="468" t="s">
        <v>2355</v>
      </c>
      <c r="Z518" s="433" t="str">
        <f ca="1">HYPERLINK("#"&amp;일위대가목록표!J2&amp;"!A"&amp;ROW(일위대가목록표!A275),"B01414 →")</f>
        <v>B01414 →</v>
      </c>
    </row>
    <row r="519" spans="1:26" ht="33.200000000000003" customHeight="1">
      <c r="A519" s="452" t="s">
        <v>2627</v>
      </c>
      <c r="B519" s="452" t="s">
        <v>2628</v>
      </c>
      <c r="C519" s="489">
        <v>30.178999999999998</v>
      </c>
      <c r="D519" s="480" t="s">
        <v>605</v>
      </c>
      <c r="E519" s="490">
        <f t="shared" si="70"/>
        <v>6200</v>
      </c>
      <c r="F519" s="491">
        <f t="shared" si="70"/>
        <v>187109.8</v>
      </c>
      <c r="G519" s="492">
        <v>0</v>
      </c>
      <c r="H519" s="493">
        <f t="shared" si="71"/>
        <v>0</v>
      </c>
      <c r="I519" s="494">
        <f>재료비목록표!E8</f>
        <v>6200</v>
      </c>
      <c r="J519" s="495">
        <f t="shared" si="72"/>
        <v>187109.8</v>
      </c>
      <c r="K519" s="492">
        <v>0</v>
      </c>
      <c r="L519" s="493">
        <f t="shared" si="73"/>
        <v>0</v>
      </c>
      <c r="M519" s="463" t="s">
        <v>2629</v>
      </c>
      <c r="N519" s="451" t="s">
        <v>2630</v>
      </c>
      <c r="O519" s="468" t="s">
        <v>2631</v>
      </c>
      <c r="P519" s="468" t="s">
        <v>2354</v>
      </c>
      <c r="Z519" s="433" t="str">
        <f ca="1">HYPERLINK("#"&amp;재료비목록표!G2&amp;"!A"&amp;ROW(재료비목록표!A8),"M00950 →")</f>
        <v>M00950 →</v>
      </c>
    </row>
    <row r="520" spans="1:26" ht="33.200000000000003" customHeight="1">
      <c r="A520" s="452" t="s">
        <v>1461</v>
      </c>
      <c r="B520" s="452" t="s">
        <v>1462</v>
      </c>
      <c r="C520" s="489">
        <v>9.6000000000000002E-2</v>
      </c>
      <c r="D520" s="480" t="s">
        <v>8</v>
      </c>
      <c r="E520" s="490">
        <f t="shared" si="70"/>
        <v>915052</v>
      </c>
      <c r="F520" s="493">
        <f t="shared" si="70"/>
        <v>87844.9</v>
      </c>
      <c r="G520" s="494">
        <f>일위대가목록표!F72</f>
        <v>915052</v>
      </c>
      <c r="H520" s="498">
        <f t="shared" si="71"/>
        <v>87844.9</v>
      </c>
      <c r="I520" s="494">
        <f>일위대가목록표!G72</f>
        <v>0</v>
      </c>
      <c r="J520" s="498">
        <f t="shared" si="72"/>
        <v>0</v>
      </c>
      <c r="K520" s="494">
        <f>일위대가목록표!H72</f>
        <v>0</v>
      </c>
      <c r="L520" s="498">
        <f t="shared" si="73"/>
        <v>0</v>
      </c>
      <c r="M520" s="463" t="s">
        <v>2471</v>
      </c>
      <c r="N520" s="451" t="s">
        <v>2472</v>
      </c>
      <c r="O520" s="468" t="s">
        <v>1465</v>
      </c>
      <c r="P520" s="468" t="s">
        <v>2354</v>
      </c>
      <c r="Q520" s="468" t="s">
        <v>2355</v>
      </c>
      <c r="Z520" s="433" t="str">
        <f ca="1">HYPERLINK("#"&amp;일위대가목록표!J2&amp;"!A"&amp;ROW(일위대가목록표!A72),"B01822 →")</f>
        <v>B01822 →</v>
      </c>
    </row>
    <row r="521" spans="1:26" ht="33.200000000000003" customHeight="1">
      <c r="A521" s="452" t="s">
        <v>2574</v>
      </c>
      <c r="B521" s="452" t="s">
        <v>2575</v>
      </c>
      <c r="C521" s="489">
        <v>1.2290000000000001E-3</v>
      </c>
      <c r="D521" s="480" t="s">
        <v>2576</v>
      </c>
      <c r="E521" s="490">
        <f t="shared" si="70"/>
        <v>765000</v>
      </c>
      <c r="F521" s="491">
        <f t="shared" si="70"/>
        <v>940.1</v>
      </c>
      <c r="G521" s="492">
        <v>0</v>
      </c>
      <c r="H521" s="493">
        <f t="shared" si="71"/>
        <v>0</v>
      </c>
      <c r="I521" s="494">
        <f>재료비목록표!E81</f>
        <v>765000</v>
      </c>
      <c r="J521" s="495">
        <f t="shared" si="72"/>
        <v>940.1</v>
      </c>
      <c r="K521" s="492">
        <v>0</v>
      </c>
      <c r="L521" s="493">
        <f t="shared" si="73"/>
        <v>0</v>
      </c>
      <c r="M521" s="463" t="s">
        <v>2577</v>
      </c>
      <c r="N521" s="451" t="s">
        <v>2578</v>
      </c>
      <c r="O521" s="468" t="s">
        <v>2579</v>
      </c>
      <c r="P521" s="468" t="s">
        <v>2354</v>
      </c>
      <c r="Z521" s="433" t="str">
        <f ca="1">HYPERLINK("#"&amp;재료비목록표!G2&amp;"!A"&amp;ROW(재료비목록표!A81),"M00150 →")</f>
        <v>M00150 →</v>
      </c>
    </row>
    <row r="522" spans="1:26" ht="33.200000000000003" customHeight="1">
      <c r="A522" s="452" t="s">
        <v>2574</v>
      </c>
      <c r="B522" s="452" t="s">
        <v>2632</v>
      </c>
      <c r="C522" s="489">
        <v>1.024E-3</v>
      </c>
      <c r="D522" s="480" t="s">
        <v>2576</v>
      </c>
      <c r="E522" s="490">
        <f t="shared" si="70"/>
        <v>775000</v>
      </c>
      <c r="F522" s="491">
        <f t="shared" si="70"/>
        <v>793.6</v>
      </c>
      <c r="G522" s="492">
        <v>0</v>
      </c>
      <c r="H522" s="493">
        <f t="shared" si="71"/>
        <v>0</v>
      </c>
      <c r="I522" s="494">
        <f>재료비목록표!E80</f>
        <v>775000</v>
      </c>
      <c r="J522" s="495">
        <f t="shared" si="72"/>
        <v>793.6</v>
      </c>
      <c r="K522" s="492">
        <v>0</v>
      </c>
      <c r="L522" s="493">
        <f t="shared" si="73"/>
        <v>0</v>
      </c>
      <c r="M522" s="463" t="s">
        <v>2633</v>
      </c>
      <c r="N522" s="451" t="s">
        <v>2634</v>
      </c>
      <c r="O522" s="468" t="s">
        <v>2635</v>
      </c>
      <c r="P522" s="468" t="s">
        <v>2354</v>
      </c>
      <c r="Z522" s="433" t="str">
        <f ca="1">HYPERLINK("#"&amp;재료비목록표!G2&amp;"!A"&amp;ROW(재료비목록표!A80),"M01265 →")</f>
        <v>M01265 →</v>
      </c>
    </row>
    <row r="523" spans="1:26" ht="33.200000000000003" customHeight="1">
      <c r="A523" s="463" t="s">
        <v>842</v>
      </c>
      <c r="B523" s="497"/>
      <c r="C523" s="497"/>
      <c r="D523" s="497"/>
      <c r="E523" s="497"/>
      <c r="F523" s="446">
        <f>J523+H523+L523</f>
        <v>285437</v>
      </c>
      <c r="G523" s="497"/>
      <c r="H523" s="446">
        <f>ROUNDDOWN(SUMIF(P517:P522,O523,H517:H522),0)</f>
        <v>96594</v>
      </c>
      <c r="I523" s="497"/>
      <c r="J523" s="446">
        <f>ROUNDDOWN(SUMIF(P517:P522,O523,J517:J522),0)</f>
        <v>188843</v>
      </c>
      <c r="K523" s="497"/>
      <c r="L523" s="446">
        <f>ROUNDDOWN(SUMIF(P517:P522,O523,L517:L522),0)</f>
        <v>0</v>
      </c>
      <c r="M523" s="497"/>
      <c r="O523" s="468" t="s">
        <v>2354</v>
      </c>
    </row>
    <row r="524" spans="1:26" ht="33.200000000000003" customHeight="1">
      <c r="A524" s="484" t="s">
        <v>2653</v>
      </c>
      <c r="B524" s="484"/>
      <c r="C524" s="485"/>
      <c r="D524" s="485"/>
      <c r="E524" s="485"/>
      <c r="F524" s="485"/>
      <c r="G524" s="485"/>
      <c r="H524" s="485"/>
      <c r="I524" s="485"/>
      <c r="J524" s="485"/>
      <c r="K524" s="485"/>
      <c r="L524" s="485"/>
      <c r="M524" s="485"/>
      <c r="N524" s="486" t="str">
        <f>HYPERLINK("#N"&amp;ROW(N531),"_x0005_`BDCOD|B02476_x0007_`POSS|"&amp;ROW(N526)&amp;"_x0007_`POSE|"&amp;ROW(N531)&amp;"_x0007_`")</f>
        <v>_x0005_`BDCOD|B02476_x0007_`POSS|526_x0007_`POSE|531_x0007_`</v>
      </c>
    </row>
    <row r="525" spans="1:26" ht="33.200000000000003" customHeight="1">
      <c r="A525" s="469" t="s">
        <v>1004</v>
      </c>
      <c r="B525" s="469" t="s">
        <v>983</v>
      </c>
      <c r="C525" s="487"/>
      <c r="D525" s="488" t="s">
        <v>984</v>
      </c>
      <c r="E525" s="487"/>
      <c r="F525" s="487"/>
      <c r="G525" s="487"/>
      <c r="H525" s="487"/>
      <c r="I525" s="487"/>
      <c r="J525" s="487"/>
      <c r="K525" s="487"/>
      <c r="L525" s="487"/>
      <c r="M525" s="488" t="s">
        <v>1005</v>
      </c>
      <c r="O525" s="468" t="s">
        <v>1005</v>
      </c>
    </row>
    <row r="526" spans="1:26" ht="33.200000000000003" customHeight="1">
      <c r="A526" s="452" t="s">
        <v>2484</v>
      </c>
      <c r="B526" s="452" t="s">
        <v>2485</v>
      </c>
      <c r="C526" s="489">
        <v>3.5999999999999997E-2</v>
      </c>
      <c r="D526" s="480" t="s">
        <v>8</v>
      </c>
      <c r="E526" s="490">
        <f t="shared" ref="E526:F531" si="74">I526+G526+K526</f>
        <v>62811</v>
      </c>
      <c r="F526" s="493">
        <f t="shared" si="74"/>
        <v>2261.1</v>
      </c>
      <c r="G526" s="494">
        <f>단가산출근거목록표!F157</f>
        <v>62811</v>
      </c>
      <c r="H526" s="498">
        <f t="shared" ref="H526:H531" si="75">IF(C526=0,0,ROUNDDOWN(G526*C526,1))</f>
        <v>2261.1</v>
      </c>
      <c r="I526" s="494">
        <f>단가산출근거목록표!G157</f>
        <v>0</v>
      </c>
      <c r="J526" s="498">
        <f t="shared" ref="J526:J531" si="76">IF(C526=0,0,ROUNDDOWN(I526*C526,1))</f>
        <v>0</v>
      </c>
      <c r="K526" s="494">
        <f>단가산출근거목록표!H157</f>
        <v>0</v>
      </c>
      <c r="L526" s="498">
        <f t="shared" ref="L526:L531" si="77">IF(C526=0,0,ROUNDDOWN(K526*C526,1))</f>
        <v>0</v>
      </c>
      <c r="M526" s="463" t="s">
        <v>2486</v>
      </c>
      <c r="N526" s="451" t="s">
        <v>2487</v>
      </c>
      <c r="O526" s="468" t="s">
        <v>2488</v>
      </c>
      <c r="P526" s="468" t="s">
        <v>2354</v>
      </c>
      <c r="Q526" s="468" t="s">
        <v>2355</v>
      </c>
      <c r="Z526" s="433" t="str">
        <f ca="1">HYPERLINK("#"&amp;단가산출근거목록표!J2&amp;"!A"&amp;ROW(단가산출근거목록표!A157),"D01241 →")</f>
        <v>D01241 →</v>
      </c>
    </row>
    <row r="527" spans="1:26" ht="33.200000000000003" customHeight="1">
      <c r="A527" s="452" t="s">
        <v>2321</v>
      </c>
      <c r="B527" s="452" t="s">
        <v>2322</v>
      </c>
      <c r="C527" s="489">
        <v>3.5999999999999997E-2</v>
      </c>
      <c r="D527" s="480" t="s">
        <v>8</v>
      </c>
      <c r="E527" s="490">
        <f t="shared" si="74"/>
        <v>34413</v>
      </c>
      <c r="F527" s="493">
        <f t="shared" si="74"/>
        <v>1238.8</v>
      </c>
      <c r="G527" s="494">
        <f>일위대가목록표!F275</f>
        <v>34413</v>
      </c>
      <c r="H527" s="498">
        <f t="shared" si="75"/>
        <v>1238.8</v>
      </c>
      <c r="I527" s="494">
        <f>일위대가목록표!G275</f>
        <v>0</v>
      </c>
      <c r="J527" s="498">
        <f t="shared" si="76"/>
        <v>0</v>
      </c>
      <c r="K527" s="494">
        <f>일위대가목록표!H275</f>
        <v>0</v>
      </c>
      <c r="L527" s="498">
        <f t="shared" si="77"/>
        <v>0</v>
      </c>
      <c r="M527" s="463" t="s">
        <v>2489</v>
      </c>
      <c r="N527" s="451" t="s">
        <v>2490</v>
      </c>
      <c r="O527" s="468" t="s">
        <v>2491</v>
      </c>
      <c r="P527" s="468" t="s">
        <v>2354</v>
      </c>
      <c r="Q527" s="468" t="s">
        <v>2355</v>
      </c>
      <c r="Z527" s="433" t="str">
        <f ca="1">HYPERLINK("#"&amp;일위대가목록표!J2&amp;"!A"&amp;ROW(일위대가목록표!A275),"B01414 →")</f>
        <v>B01414 →</v>
      </c>
    </row>
    <row r="528" spans="1:26" ht="33.200000000000003" customHeight="1">
      <c r="A528" s="452" t="s">
        <v>2627</v>
      </c>
      <c r="B528" s="452" t="s">
        <v>2628</v>
      </c>
      <c r="C528" s="489">
        <v>12.071</v>
      </c>
      <c r="D528" s="480" t="s">
        <v>605</v>
      </c>
      <c r="E528" s="490">
        <f t="shared" si="74"/>
        <v>6200</v>
      </c>
      <c r="F528" s="491">
        <f t="shared" si="74"/>
        <v>74840.2</v>
      </c>
      <c r="G528" s="492">
        <v>0</v>
      </c>
      <c r="H528" s="493">
        <f t="shared" si="75"/>
        <v>0</v>
      </c>
      <c r="I528" s="494">
        <f>재료비목록표!E8</f>
        <v>6200</v>
      </c>
      <c r="J528" s="495">
        <f t="shared" si="76"/>
        <v>74840.2</v>
      </c>
      <c r="K528" s="492">
        <v>0</v>
      </c>
      <c r="L528" s="493">
        <f t="shared" si="77"/>
        <v>0</v>
      </c>
      <c r="M528" s="463" t="s">
        <v>2629</v>
      </c>
      <c r="N528" s="451" t="s">
        <v>2630</v>
      </c>
      <c r="O528" s="468" t="s">
        <v>2631</v>
      </c>
      <c r="P528" s="468" t="s">
        <v>2354</v>
      </c>
      <c r="Z528" s="433" t="str">
        <f ca="1">HYPERLINK("#"&amp;재료비목록표!G2&amp;"!A"&amp;ROW(재료비목록표!A8),"M00950 →")</f>
        <v>M00950 →</v>
      </c>
    </row>
    <row r="529" spans="1:26" ht="33.200000000000003" customHeight="1">
      <c r="A529" s="452" t="s">
        <v>1461</v>
      </c>
      <c r="B529" s="452" t="s">
        <v>1462</v>
      </c>
      <c r="C529" s="489">
        <v>3.7999999999999999E-2</v>
      </c>
      <c r="D529" s="480" t="s">
        <v>8</v>
      </c>
      <c r="E529" s="490">
        <f t="shared" si="74"/>
        <v>915052</v>
      </c>
      <c r="F529" s="493">
        <f t="shared" si="74"/>
        <v>34771.9</v>
      </c>
      <c r="G529" s="494">
        <f>일위대가목록표!F72</f>
        <v>915052</v>
      </c>
      <c r="H529" s="498">
        <f t="shared" si="75"/>
        <v>34771.9</v>
      </c>
      <c r="I529" s="494">
        <f>일위대가목록표!G72</f>
        <v>0</v>
      </c>
      <c r="J529" s="498">
        <f t="shared" si="76"/>
        <v>0</v>
      </c>
      <c r="K529" s="494">
        <f>일위대가목록표!H72</f>
        <v>0</v>
      </c>
      <c r="L529" s="498">
        <f t="shared" si="77"/>
        <v>0</v>
      </c>
      <c r="M529" s="463" t="s">
        <v>2471</v>
      </c>
      <c r="N529" s="451" t="s">
        <v>2472</v>
      </c>
      <c r="O529" s="468" t="s">
        <v>1465</v>
      </c>
      <c r="P529" s="468" t="s">
        <v>2354</v>
      </c>
      <c r="Q529" s="468" t="s">
        <v>2355</v>
      </c>
      <c r="Z529" s="433" t="str">
        <f ca="1">HYPERLINK("#"&amp;일위대가목록표!J2&amp;"!A"&amp;ROW(일위대가목록표!A72),"B01822 →")</f>
        <v>B01822 →</v>
      </c>
    </row>
    <row r="530" spans="1:26" ht="33.200000000000003" customHeight="1">
      <c r="A530" s="452" t="s">
        <v>2574</v>
      </c>
      <c r="B530" s="452" t="s">
        <v>2575</v>
      </c>
      <c r="C530" s="489">
        <v>1.2290000000000001E-3</v>
      </c>
      <c r="D530" s="480" t="s">
        <v>2576</v>
      </c>
      <c r="E530" s="490">
        <f t="shared" si="74"/>
        <v>765000</v>
      </c>
      <c r="F530" s="491">
        <f t="shared" si="74"/>
        <v>940.1</v>
      </c>
      <c r="G530" s="492">
        <v>0</v>
      </c>
      <c r="H530" s="493">
        <f t="shared" si="75"/>
        <v>0</v>
      </c>
      <c r="I530" s="494">
        <f>재료비목록표!E81</f>
        <v>765000</v>
      </c>
      <c r="J530" s="495">
        <f t="shared" si="76"/>
        <v>940.1</v>
      </c>
      <c r="K530" s="492">
        <v>0</v>
      </c>
      <c r="L530" s="493">
        <f t="shared" si="77"/>
        <v>0</v>
      </c>
      <c r="M530" s="463" t="s">
        <v>2577</v>
      </c>
      <c r="N530" s="451" t="s">
        <v>2578</v>
      </c>
      <c r="O530" s="468" t="s">
        <v>2579</v>
      </c>
      <c r="P530" s="468" t="s">
        <v>2354</v>
      </c>
      <c r="Z530" s="433" t="str">
        <f ca="1">HYPERLINK("#"&amp;재료비목록표!G2&amp;"!A"&amp;ROW(재료비목록표!A81),"M00150 →")</f>
        <v>M00150 →</v>
      </c>
    </row>
    <row r="531" spans="1:26" ht="33.200000000000003" customHeight="1">
      <c r="A531" s="452" t="s">
        <v>2574</v>
      </c>
      <c r="B531" s="452" t="s">
        <v>2632</v>
      </c>
      <c r="C531" s="489">
        <v>1.024E-3</v>
      </c>
      <c r="D531" s="480" t="s">
        <v>2576</v>
      </c>
      <c r="E531" s="490">
        <f t="shared" si="74"/>
        <v>775000</v>
      </c>
      <c r="F531" s="491">
        <f t="shared" si="74"/>
        <v>793.6</v>
      </c>
      <c r="G531" s="492">
        <v>0</v>
      </c>
      <c r="H531" s="493">
        <f t="shared" si="75"/>
        <v>0</v>
      </c>
      <c r="I531" s="494">
        <f>재료비목록표!E80</f>
        <v>775000</v>
      </c>
      <c r="J531" s="495">
        <f t="shared" si="76"/>
        <v>793.6</v>
      </c>
      <c r="K531" s="492">
        <v>0</v>
      </c>
      <c r="L531" s="493">
        <f t="shared" si="77"/>
        <v>0</v>
      </c>
      <c r="M531" s="463" t="s">
        <v>2633</v>
      </c>
      <c r="N531" s="451" t="s">
        <v>2634</v>
      </c>
      <c r="O531" s="468" t="s">
        <v>2635</v>
      </c>
      <c r="P531" s="468" t="s">
        <v>2354</v>
      </c>
      <c r="Z531" s="433" t="str">
        <f ca="1">HYPERLINK("#"&amp;재료비목록표!G2&amp;"!A"&amp;ROW(재료비목록표!A80),"M01265 →")</f>
        <v>M01265 →</v>
      </c>
    </row>
    <row r="532" spans="1:26" ht="33.200000000000003" customHeight="1">
      <c r="A532" s="463" t="s">
        <v>842</v>
      </c>
      <c r="B532" s="497"/>
      <c r="C532" s="497"/>
      <c r="D532" s="497"/>
      <c r="E532" s="497"/>
      <c r="F532" s="446">
        <f>J532+H532+L532</f>
        <v>114844</v>
      </c>
      <c r="G532" s="497"/>
      <c r="H532" s="446">
        <f>ROUNDDOWN(SUMIF(P526:P531,O532,H526:H531),0)</f>
        <v>38271</v>
      </c>
      <c r="I532" s="497"/>
      <c r="J532" s="446">
        <f>ROUNDDOWN(SUMIF(P526:P531,O532,J526:J531),0)</f>
        <v>76573</v>
      </c>
      <c r="K532" s="497"/>
      <c r="L532" s="446">
        <f>ROUNDDOWN(SUMIF(P526:P531,O532,L526:L531),0)</f>
        <v>0</v>
      </c>
      <c r="M532" s="497"/>
      <c r="O532" s="468" t="s">
        <v>2354</v>
      </c>
    </row>
    <row r="533" spans="1:26" ht="33.200000000000003" customHeight="1">
      <c r="A533" s="484" t="s">
        <v>2654</v>
      </c>
      <c r="B533" s="484"/>
      <c r="C533" s="485"/>
      <c r="D533" s="485"/>
      <c r="E533" s="485"/>
      <c r="F533" s="485"/>
      <c r="G533" s="485"/>
      <c r="H533" s="485"/>
      <c r="I533" s="485"/>
      <c r="J533" s="485"/>
      <c r="K533" s="485"/>
      <c r="L533" s="485"/>
      <c r="M533" s="485"/>
      <c r="N533" s="486" t="str">
        <f>HYPERLINK("#N"&amp;ROW(N539),"_x0005_`BDCOD|B02491_x0007_`POSS|"&amp;ROW(N535)&amp;"_x0007_`POSE|"&amp;ROW(N539)&amp;"_x0007_`")</f>
        <v>_x0005_`BDCOD|B02491_x0007_`POSS|535_x0007_`POSE|539_x0007_`</v>
      </c>
    </row>
    <row r="534" spans="1:26" ht="33.200000000000003" customHeight="1">
      <c r="A534" s="469" t="s">
        <v>1029</v>
      </c>
      <c r="B534" s="469" t="s">
        <v>988</v>
      </c>
      <c r="C534" s="487"/>
      <c r="D534" s="488" t="s">
        <v>984</v>
      </c>
      <c r="E534" s="487"/>
      <c r="F534" s="487"/>
      <c r="G534" s="487"/>
      <c r="H534" s="487"/>
      <c r="I534" s="487"/>
      <c r="J534" s="487"/>
      <c r="K534" s="487"/>
      <c r="L534" s="487"/>
      <c r="M534" s="488" t="s">
        <v>1030</v>
      </c>
      <c r="O534" s="468" t="s">
        <v>1030</v>
      </c>
    </row>
    <row r="535" spans="1:26" ht="33.200000000000003" customHeight="1">
      <c r="A535" s="452" t="s">
        <v>2484</v>
      </c>
      <c r="B535" s="452" t="s">
        <v>2485</v>
      </c>
      <c r="C535" s="489">
        <v>4.4999999999999998E-2</v>
      </c>
      <c r="D535" s="480" t="s">
        <v>8</v>
      </c>
      <c r="E535" s="490">
        <f t="shared" ref="E535:F539" si="78">I535+G535+K535</f>
        <v>62811</v>
      </c>
      <c r="F535" s="493">
        <f t="shared" si="78"/>
        <v>2826.4</v>
      </c>
      <c r="G535" s="494">
        <f>단가산출근거목록표!F157</f>
        <v>62811</v>
      </c>
      <c r="H535" s="498">
        <f>IF(C535=0,0,ROUNDDOWN(G535*C535,1))</f>
        <v>2826.4</v>
      </c>
      <c r="I535" s="494">
        <f>단가산출근거목록표!G157</f>
        <v>0</v>
      </c>
      <c r="J535" s="498">
        <f>IF(C535=0,0,ROUNDDOWN(I535*C535,1))</f>
        <v>0</v>
      </c>
      <c r="K535" s="494">
        <f>단가산출근거목록표!H157</f>
        <v>0</v>
      </c>
      <c r="L535" s="498">
        <f>IF(C535=0,0,ROUNDDOWN(K535*C535,1))</f>
        <v>0</v>
      </c>
      <c r="M535" s="463" t="s">
        <v>2486</v>
      </c>
      <c r="N535" s="451" t="s">
        <v>2487</v>
      </c>
      <c r="O535" s="468" t="s">
        <v>2488</v>
      </c>
      <c r="P535" s="468" t="s">
        <v>2354</v>
      </c>
      <c r="Q535" s="468" t="s">
        <v>2355</v>
      </c>
      <c r="Z535" s="433" t="str">
        <f ca="1">HYPERLINK("#"&amp;단가산출근거목록표!J2&amp;"!A"&amp;ROW(단가산출근거목록표!A157),"D01241 →")</f>
        <v>D01241 →</v>
      </c>
    </row>
    <row r="536" spans="1:26" ht="33.200000000000003" customHeight="1">
      <c r="A536" s="452" t="s">
        <v>2321</v>
      </c>
      <c r="B536" s="452" t="s">
        <v>2322</v>
      </c>
      <c r="C536" s="489">
        <v>4.4999999999999998E-2</v>
      </c>
      <c r="D536" s="480" t="s">
        <v>8</v>
      </c>
      <c r="E536" s="490">
        <f t="shared" si="78"/>
        <v>34413</v>
      </c>
      <c r="F536" s="493">
        <f t="shared" si="78"/>
        <v>1548.5</v>
      </c>
      <c r="G536" s="494">
        <f>일위대가목록표!F275</f>
        <v>34413</v>
      </c>
      <c r="H536" s="498">
        <f>IF(C536=0,0,ROUNDDOWN(G536*C536,1))</f>
        <v>1548.5</v>
      </c>
      <c r="I536" s="494">
        <f>일위대가목록표!G275</f>
        <v>0</v>
      </c>
      <c r="J536" s="498">
        <f>IF(C536=0,0,ROUNDDOWN(I536*C536,1))</f>
        <v>0</v>
      </c>
      <c r="K536" s="494">
        <f>일위대가목록표!H275</f>
        <v>0</v>
      </c>
      <c r="L536" s="498">
        <f>IF(C536=0,0,ROUNDDOWN(K536*C536,1))</f>
        <v>0</v>
      </c>
      <c r="M536" s="463" t="s">
        <v>2489</v>
      </c>
      <c r="N536" s="451" t="s">
        <v>2490</v>
      </c>
      <c r="O536" s="468" t="s">
        <v>2491</v>
      </c>
      <c r="P536" s="468" t="s">
        <v>2354</v>
      </c>
      <c r="Q536" s="468" t="s">
        <v>2355</v>
      </c>
      <c r="Z536" s="433" t="str">
        <f ca="1">HYPERLINK("#"&amp;일위대가목록표!J2&amp;"!A"&amp;ROW(일위대가목록표!A275),"B01414 →")</f>
        <v>B01414 →</v>
      </c>
    </row>
    <row r="537" spans="1:26" ht="33.200000000000003" customHeight="1">
      <c r="A537" s="452" t="s">
        <v>1461</v>
      </c>
      <c r="B537" s="452" t="s">
        <v>1462</v>
      </c>
      <c r="C537" s="489">
        <v>4.8000000000000001E-2</v>
      </c>
      <c r="D537" s="480" t="s">
        <v>8</v>
      </c>
      <c r="E537" s="490">
        <f t="shared" si="78"/>
        <v>915052</v>
      </c>
      <c r="F537" s="493">
        <f t="shared" si="78"/>
        <v>43922.400000000001</v>
      </c>
      <c r="G537" s="494">
        <f>일위대가목록표!F72</f>
        <v>915052</v>
      </c>
      <c r="H537" s="498">
        <f>IF(C537=0,0,ROUNDDOWN(G537*C537,1))</f>
        <v>43922.400000000001</v>
      </c>
      <c r="I537" s="494">
        <f>일위대가목록표!G72</f>
        <v>0</v>
      </c>
      <c r="J537" s="498">
        <f>IF(C537=0,0,ROUNDDOWN(I537*C537,1))</f>
        <v>0</v>
      </c>
      <c r="K537" s="494">
        <f>일위대가목록표!H72</f>
        <v>0</v>
      </c>
      <c r="L537" s="498">
        <f>IF(C537=0,0,ROUNDDOWN(K537*C537,1))</f>
        <v>0</v>
      </c>
      <c r="M537" s="463" t="s">
        <v>2471</v>
      </c>
      <c r="N537" s="451" t="s">
        <v>2472</v>
      </c>
      <c r="O537" s="468" t="s">
        <v>1465</v>
      </c>
      <c r="P537" s="468" t="s">
        <v>2354</v>
      </c>
      <c r="Q537" s="468" t="s">
        <v>2355</v>
      </c>
      <c r="Z537" s="433" t="str">
        <f ca="1">HYPERLINK("#"&amp;일위대가목록표!J2&amp;"!A"&amp;ROW(일위대가목록표!A72),"B01822 →")</f>
        <v>B01822 →</v>
      </c>
    </row>
    <row r="538" spans="1:26" ht="33.200000000000003" customHeight="1">
      <c r="A538" s="452" t="s">
        <v>2574</v>
      </c>
      <c r="B538" s="452" t="s">
        <v>2575</v>
      </c>
      <c r="C538" s="489">
        <v>1.2290000000000001E-3</v>
      </c>
      <c r="D538" s="480" t="s">
        <v>2576</v>
      </c>
      <c r="E538" s="490">
        <f t="shared" si="78"/>
        <v>765000</v>
      </c>
      <c r="F538" s="491">
        <f t="shared" si="78"/>
        <v>940.1</v>
      </c>
      <c r="G538" s="492">
        <v>0</v>
      </c>
      <c r="H538" s="493">
        <f>IF(C538=0,0,ROUNDDOWN(G538*C538,1))</f>
        <v>0</v>
      </c>
      <c r="I538" s="494">
        <f>재료비목록표!E81</f>
        <v>765000</v>
      </c>
      <c r="J538" s="495">
        <f>IF(C538=0,0,ROUNDDOWN(I538*C538,1))</f>
        <v>940.1</v>
      </c>
      <c r="K538" s="492">
        <v>0</v>
      </c>
      <c r="L538" s="493">
        <f>IF(C538=0,0,ROUNDDOWN(K538*C538,1))</f>
        <v>0</v>
      </c>
      <c r="M538" s="463" t="s">
        <v>2577</v>
      </c>
      <c r="N538" s="451" t="s">
        <v>2578</v>
      </c>
      <c r="O538" s="468" t="s">
        <v>2579</v>
      </c>
      <c r="P538" s="468" t="s">
        <v>2354</v>
      </c>
      <c r="Z538" s="433" t="str">
        <f ca="1">HYPERLINK("#"&amp;재료비목록표!G2&amp;"!A"&amp;ROW(재료비목록표!A81),"M00150 →")</f>
        <v>M00150 →</v>
      </c>
    </row>
    <row r="539" spans="1:26" ht="33.200000000000003" customHeight="1">
      <c r="A539" s="452" t="s">
        <v>2574</v>
      </c>
      <c r="B539" s="452" t="s">
        <v>2632</v>
      </c>
      <c r="C539" s="489">
        <v>1.024E-3</v>
      </c>
      <c r="D539" s="480" t="s">
        <v>2576</v>
      </c>
      <c r="E539" s="490">
        <f t="shared" si="78"/>
        <v>775000</v>
      </c>
      <c r="F539" s="491">
        <f t="shared" si="78"/>
        <v>793.6</v>
      </c>
      <c r="G539" s="492">
        <v>0</v>
      </c>
      <c r="H539" s="493">
        <f>IF(C539=0,0,ROUNDDOWN(G539*C539,1))</f>
        <v>0</v>
      </c>
      <c r="I539" s="494">
        <f>재료비목록표!E80</f>
        <v>775000</v>
      </c>
      <c r="J539" s="495">
        <f>IF(C539=0,0,ROUNDDOWN(I539*C539,1))</f>
        <v>793.6</v>
      </c>
      <c r="K539" s="492">
        <v>0</v>
      </c>
      <c r="L539" s="493">
        <f>IF(C539=0,0,ROUNDDOWN(K539*C539,1))</f>
        <v>0</v>
      </c>
      <c r="M539" s="463" t="s">
        <v>2633</v>
      </c>
      <c r="N539" s="451" t="s">
        <v>2634</v>
      </c>
      <c r="O539" s="468" t="s">
        <v>2635</v>
      </c>
      <c r="P539" s="468" t="s">
        <v>2354</v>
      </c>
      <c r="Z539" s="433" t="str">
        <f ca="1">HYPERLINK("#"&amp;재료비목록표!G2&amp;"!A"&amp;ROW(재료비목록표!A80),"M01265 →")</f>
        <v>M01265 →</v>
      </c>
    </row>
    <row r="540" spans="1:26" ht="33.200000000000003" customHeight="1">
      <c r="A540" s="463" t="s">
        <v>842</v>
      </c>
      <c r="B540" s="497"/>
      <c r="C540" s="497"/>
      <c r="D540" s="497"/>
      <c r="E540" s="497"/>
      <c r="F540" s="446">
        <f>J540+H540+L540</f>
        <v>50030</v>
      </c>
      <c r="G540" s="497"/>
      <c r="H540" s="446">
        <f>ROUNDDOWN(SUMIF(P535:P539,O540,H535:H539),0)</f>
        <v>48297</v>
      </c>
      <c r="I540" s="497"/>
      <c r="J540" s="446">
        <f>ROUNDDOWN(SUMIF(P535:P539,O540,J535:J539),0)</f>
        <v>1733</v>
      </c>
      <c r="K540" s="497"/>
      <c r="L540" s="446">
        <f>ROUNDDOWN(SUMIF(P535:P539,O540,L535:L539),0)</f>
        <v>0</v>
      </c>
      <c r="M540" s="497"/>
      <c r="O540" s="468" t="s">
        <v>2354</v>
      </c>
    </row>
    <row r="541" spans="1:26" ht="33.200000000000003" customHeight="1">
      <c r="A541" s="484" t="s">
        <v>2655</v>
      </c>
      <c r="B541" s="484"/>
      <c r="C541" s="485"/>
      <c r="D541" s="485"/>
      <c r="E541" s="485"/>
      <c r="F541" s="485"/>
      <c r="G541" s="485"/>
      <c r="H541" s="485"/>
      <c r="I541" s="485"/>
      <c r="J541" s="485"/>
      <c r="K541" s="485"/>
      <c r="L541" s="485"/>
      <c r="M541" s="485"/>
      <c r="N541" s="486" t="str">
        <f>HYPERLINK("#N"&amp;ROW(N547),"_x0005_`BDCOD|B02492_x0007_`POSS|"&amp;ROW(N543)&amp;"_x0007_`POSE|"&amp;ROW(N547)&amp;"_x0007_`")</f>
        <v>_x0005_`BDCOD|B02492_x0007_`POSS|543_x0007_`POSE|547_x0007_`</v>
      </c>
    </row>
    <row r="542" spans="1:26" ht="33.200000000000003" customHeight="1">
      <c r="A542" s="469" t="s">
        <v>1029</v>
      </c>
      <c r="B542" s="469" t="s">
        <v>992</v>
      </c>
      <c r="C542" s="487"/>
      <c r="D542" s="488" t="s">
        <v>984</v>
      </c>
      <c r="E542" s="487"/>
      <c r="F542" s="487"/>
      <c r="G542" s="487"/>
      <c r="H542" s="487"/>
      <c r="I542" s="487"/>
      <c r="J542" s="487"/>
      <c r="K542" s="487"/>
      <c r="L542" s="487"/>
      <c r="M542" s="488" t="s">
        <v>1033</v>
      </c>
      <c r="O542" s="468" t="s">
        <v>1033</v>
      </c>
    </row>
    <row r="543" spans="1:26" ht="33.200000000000003" customHeight="1">
      <c r="A543" s="452" t="s">
        <v>2484</v>
      </c>
      <c r="B543" s="452" t="s">
        <v>2485</v>
      </c>
      <c r="C543" s="489">
        <v>5.3999999999999999E-2</v>
      </c>
      <c r="D543" s="480" t="s">
        <v>8</v>
      </c>
      <c r="E543" s="490">
        <f t="shared" ref="E543:F547" si="79">I543+G543+K543</f>
        <v>62811</v>
      </c>
      <c r="F543" s="493">
        <f t="shared" si="79"/>
        <v>3391.7</v>
      </c>
      <c r="G543" s="494">
        <f>단가산출근거목록표!F157</f>
        <v>62811</v>
      </c>
      <c r="H543" s="498">
        <f>IF(C543=0,0,ROUNDDOWN(G543*C543,1))</f>
        <v>3391.7</v>
      </c>
      <c r="I543" s="494">
        <f>단가산출근거목록표!G157</f>
        <v>0</v>
      </c>
      <c r="J543" s="498">
        <f>IF(C543=0,0,ROUNDDOWN(I543*C543,1))</f>
        <v>0</v>
      </c>
      <c r="K543" s="494">
        <f>단가산출근거목록표!H157</f>
        <v>0</v>
      </c>
      <c r="L543" s="498">
        <f>IF(C543=0,0,ROUNDDOWN(K543*C543,1))</f>
        <v>0</v>
      </c>
      <c r="M543" s="463" t="s">
        <v>2486</v>
      </c>
      <c r="N543" s="451" t="s">
        <v>2487</v>
      </c>
      <c r="O543" s="468" t="s">
        <v>2488</v>
      </c>
      <c r="P543" s="468" t="s">
        <v>2354</v>
      </c>
      <c r="Q543" s="468" t="s">
        <v>2355</v>
      </c>
      <c r="Z543" s="433" t="str">
        <f ca="1">HYPERLINK("#"&amp;단가산출근거목록표!J2&amp;"!A"&amp;ROW(단가산출근거목록표!A157),"D01241 →")</f>
        <v>D01241 →</v>
      </c>
    </row>
    <row r="544" spans="1:26" ht="33.200000000000003" customHeight="1">
      <c r="A544" s="452" t="s">
        <v>2321</v>
      </c>
      <c r="B544" s="452" t="s">
        <v>2322</v>
      </c>
      <c r="C544" s="489">
        <v>5.3999999999999999E-2</v>
      </c>
      <c r="D544" s="480" t="s">
        <v>8</v>
      </c>
      <c r="E544" s="490">
        <f t="shared" si="79"/>
        <v>34413</v>
      </c>
      <c r="F544" s="493">
        <f t="shared" si="79"/>
        <v>1858.3</v>
      </c>
      <c r="G544" s="494">
        <f>일위대가목록표!F275</f>
        <v>34413</v>
      </c>
      <c r="H544" s="498">
        <f>IF(C544=0,0,ROUNDDOWN(G544*C544,1))</f>
        <v>1858.3</v>
      </c>
      <c r="I544" s="494">
        <f>일위대가목록표!G275</f>
        <v>0</v>
      </c>
      <c r="J544" s="498">
        <f>IF(C544=0,0,ROUNDDOWN(I544*C544,1))</f>
        <v>0</v>
      </c>
      <c r="K544" s="494">
        <f>일위대가목록표!H275</f>
        <v>0</v>
      </c>
      <c r="L544" s="498">
        <f>IF(C544=0,0,ROUNDDOWN(K544*C544,1))</f>
        <v>0</v>
      </c>
      <c r="M544" s="463" t="s">
        <v>2489</v>
      </c>
      <c r="N544" s="451" t="s">
        <v>2490</v>
      </c>
      <c r="O544" s="468" t="s">
        <v>2491</v>
      </c>
      <c r="P544" s="468" t="s">
        <v>2354</v>
      </c>
      <c r="Q544" s="468" t="s">
        <v>2355</v>
      </c>
      <c r="Z544" s="433" t="str">
        <f ca="1">HYPERLINK("#"&amp;일위대가목록표!J2&amp;"!A"&amp;ROW(일위대가목록표!A275),"B01414 →")</f>
        <v>B01414 →</v>
      </c>
    </row>
    <row r="545" spans="1:26" ht="33.200000000000003" customHeight="1">
      <c r="A545" s="452" t="s">
        <v>1461</v>
      </c>
      <c r="B545" s="452" t="s">
        <v>1462</v>
      </c>
      <c r="C545" s="489">
        <v>5.8000000000000003E-2</v>
      </c>
      <c r="D545" s="480" t="s">
        <v>8</v>
      </c>
      <c r="E545" s="490">
        <f t="shared" si="79"/>
        <v>915052</v>
      </c>
      <c r="F545" s="493">
        <f t="shared" si="79"/>
        <v>53073</v>
      </c>
      <c r="G545" s="494">
        <f>일위대가목록표!F72</f>
        <v>915052</v>
      </c>
      <c r="H545" s="498">
        <f>IF(C545=0,0,ROUNDDOWN(G545*C545,1))</f>
        <v>53073</v>
      </c>
      <c r="I545" s="494">
        <f>일위대가목록표!G72</f>
        <v>0</v>
      </c>
      <c r="J545" s="498">
        <f>IF(C545=0,0,ROUNDDOWN(I545*C545,1))</f>
        <v>0</v>
      </c>
      <c r="K545" s="494">
        <f>일위대가목록표!H72</f>
        <v>0</v>
      </c>
      <c r="L545" s="498">
        <f>IF(C545=0,0,ROUNDDOWN(K545*C545,1))</f>
        <v>0</v>
      </c>
      <c r="M545" s="463" t="s">
        <v>2471</v>
      </c>
      <c r="N545" s="451" t="s">
        <v>2472</v>
      </c>
      <c r="O545" s="468" t="s">
        <v>1465</v>
      </c>
      <c r="P545" s="468" t="s">
        <v>2354</v>
      </c>
      <c r="Q545" s="468" t="s">
        <v>2355</v>
      </c>
      <c r="Z545" s="433" t="str">
        <f ca="1">HYPERLINK("#"&amp;일위대가목록표!J2&amp;"!A"&amp;ROW(일위대가목록표!A72),"B01822 →")</f>
        <v>B01822 →</v>
      </c>
    </row>
    <row r="546" spans="1:26" ht="33.200000000000003" customHeight="1">
      <c r="A546" s="452" t="s">
        <v>2574</v>
      </c>
      <c r="B546" s="452" t="s">
        <v>2575</v>
      </c>
      <c r="C546" s="489">
        <v>1.2290000000000001E-3</v>
      </c>
      <c r="D546" s="480" t="s">
        <v>2576</v>
      </c>
      <c r="E546" s="490">
        <f t="shared" si="79"/>
        <v>765000</v>
      </c>
      <c r="F546" s="491">
        <f t="shared" si="79"/>
        <v>940.1</v>
      </c>
      <c r="G546" s="492">
        <v>0</v>
      </c>
      <c r="H546" s="493">
        <f>IF(C546=0,0,ROUNDDOWN(G546*C546,1))</f>
        <v>0</v>
      </c>
      <c r="I546" s="494">
        <f>재료비목록표!E81</f>
        <v>765000</v>
      </c>
      <c r="J546" s="495">
        <f>IF(C546=0,0,ROUNDDOWN(I546*C546,1))</f>
        <v>940.1</v>
      </c>
      <c r="K546" s="492">
        <v>0</v>
      </c>
      <c r="L546" s="493">
        <f>IF(C546=0,0,ROUNDDOWN(K546*C546,1))</f>
        <v>0</v>
      </c>
      <c r="M546" s="463" t="s">
        <v>2577</v>
      </c>
      <c r="N546" s="451" t="s">
        <v>2578</v>
      </c>
      <c r="O546" s="468" t="s">
        <v>2579</v>
      </c>
      <c r="P546" s="468" t="s">
        <v>2354</v>
      </c>
      <c r="Z546" s="433" t="str">
        <f ca="1">HYPERLINK("#"&amp;재료비목록표!G2&amp;"!A"&amp;ROW(재료비목록표!A81),"M00150 →")</f>
        <v>M00150 →</v>
      </c>
    </row>
    <row r="547" spans="1:26" ht="33.200000000000003" customHeight="1">
      <c r="A547" s="452" t="s">
        <v>2574</v>
      </c>
      <c r="B547" s="452" t="s">
        <v>2632</v>
      </c>
      <c r="C547" s="489">
        <v>1.024E-3</v>
      </c>
      <c r="D547" s="480" t="s">
        <v>2576</v>
      </c>
      <c r="E547" s="490">
        <f t="shared" si="79"/>
        <v>775000</v>
      </c>
      <c r="F547" s="491">
        <f t="shared" si="79"/>
        <v>793.6</v>
      </c>
      <c r="G547" s="492">
        <v>0</v>
      </c>
      <c r="H547" s="493">
        <f>IF(C547=0,0,ROUNDDOWN(G547*C547,1))</f>
        <v>0</v>
      </c>
      <c r="I547" s="494">
        <f>재료비목록표!E80</f>
        <v>775000</v>
      </c>
      <c r="J547" s="495">
        <f>IF(C547=0,0,ROUNDDOWN(I547*C547,1))</f>
        <v>793.6</v>
      </c>
      <c r="K547" s="492">
        <v>0</v>
      </c>
      <c r="L547" s="493">
        <f>IF(C547=0,0,ROUNDDOWN(K547*C547,1))</f>
        <v>0</v>
      </c>
      <c r="M547" s="463" t="s">
        <v>2633</v>
      </c>
      <c r="N547" s="451" t="s">
        <v>2634</v>
      </c>
      <c r="O547" s="468" t="s">
        <v>2635</v>
      </c>
      <c r="P547" s="468" t="s">
        <v>2354</v>
      </c>
      <c r="Z547" s="433" t="str">
        <f ca="1">HYPERLINK("#"&amp;재료비목록표!G2&amp;"!A"&amp;ROW(재료비목록표!A80),"M01265 →")</f>
        <v>M01265 →</v>
      </c>
    </row>
    <row r="548" spans="1:26" ht="33.200000000000003" customHeight="1">
      <c r="A548" s="463" t="s">
        <v>842</v>
      </c>
      <c r="B548" s="497"/>
      <c r="C548" s="497"/>
      <c r="D548" s="497"/>
      <c r="E548" s="497"/>
      <c r="F548" s="446">
        <f>J548+H548+L548</f>
        <v>60056</v>
      </c>
      <c r="G548" s="497"/>
      <c r="H548" s="446">
        <f>ROUNDDOWN(SUMIF(P543:P547,O548,H543:H547),0)</f>
        <v>58323</v>
      </c>
      <c r="I548" s="497"/>
      <c r="J548" s="446">
        <f>ROUNDDOWN(SUMIF(P543:P547,O548,J543:J547),0)</f>
        <v>1733</v>
      </c>
      <c r="K548" s="497"/>
      <c r="L548" s="446">
        <f>ROUNDDOWN(SUMIF(P543:P547,O548,L543:L547),0)</f>
        <v>0</v>
      </c>
      <c r="M548" s="497"/>
      <c r="O548" s="468" t="s">
        <v>2354</v>
      </c>
    </row>
    <row r="549" spans="1:26" ht="33.200000000000003" customHeight="1">
      <c r="A549" s="484" t="s">
        <v>2656</v>
      </c>
      <c r="B549" s="484"/>
      <c r="C549" s="485"/>
      <c r="D549" s="485"/>
      <c r="E549" s="485"/>
      <c r="F549" s="485"/>
      <c r="G549" s="485"/>
      <c r="H549" s="485"/>
      <c r="I549" s="485"/>
      <c r="J549" s="485"/>
      <c r="K549" s="485"/>
      <c r="L549" s="485"/>
      <c r="M549" s="485"/>
      <c r="N549" s="486" t="str">
        <f>HYPERLINK("#N"&amp;ROW(N555),"_x0005_`BDCOD|B02493_x0007_`POSS|"&amp;ROW(N551)&amp;"_x0007_`POSE|"&amp;ROW(N555)&amp;"_x0007_`")</f>
        <v>_x0005_`BDCOD|B02493_x0007_`POSS|551_x0007_`POSE|555_x0007_`</v>
      </c>
    </row>
    <row r="550" spans="1:26" ht="33.200000000000003" customHeight="1">
      <c r="A550" s="469" t="s">
        <v>1029</v>
      </c>
      <c r="B550" s="469" t="s">
        <v>996</v>
      </c>
      <c r="C550" s="487"/>
      <c r="D550" s="488" t="s">
        <v>984</v>
      </c>
      <c r="E550" s="487"/>
      <c r="F550" s="487"/>
      <c r="G550" s="487"/>
      <c r="H550" s="487"/>
      <c r="I550" s="487"/>
      <c r="J550" s="487"/>
      <c r="K550" s="487"/>
      <c r="L550" s="487"/>
      <c r="M550" s="488" t="s">
        <v>1036</v>
      </c>
      <c r="O550" s="468" t="s">
        <v>1036</v>
      </c>
    </row>
    <row r="551" spans="1:26" ht="33.200000000000003" customHeight="1">
      <c r="A551" s="452" t="s">
        <v>2484</v>
      </c>
      <c r="B551" s="452" t="s">
        <v>2485</v>
      </c>
      <c r="C551" s="489">
        <v>6.8000000000000005E-2</v>
      </c>
      <c r="D551" s="480" t="s">
        <v>8</v>
      </c>
      <c r="E551" s="490">
        <f t="shared" ref="E551:F555" si="80">I551+G551+K551</f>
        <v>62811</v>
      </c>
      <c r="F551" s="493">
        <f t="shared" si="80"/>
        <v>4271.1000000000004</v>
      </c>
      <c r="G551" s="494">
        <f>단가산출근거목록표!F157</f>
        <v>62811</v>
      </c>
      <c r="H551" s="498">
        <f>IF(C551=0,0,ROUNDDOWN(G551*C551,1))</f>
        <v>4271.1000000000004</v>
      </c>
      <c r="I551" s="494">
        <f>단가산출근거목록표!G157</f>
        <v>0</v>
      </c>
      <c r="J551" s="498">
        <f>IF(C551=0,0,ROUNDDOWN(I551*C551,1))</f>
        <v>0</v>
      </c>
      <c r="K551" s="494">
        <f>단가산출근거목록표!H157</f>
        <v>0</v>
      </c>
      <c r="L551" s="498">
        <f>IF(C551=0,0,ROUNDDOWN(K551*C551,1))</f>
        <v>0</v>
      </c>
      <c r="M551" s="463" t="s">
        <v>2486</v>
      </c>
      <c r="N551" s="451" t="s">
        <v>2487</v>
      </c>
      <c r="O551" s="468" t="s">
        <v>2488</v>
      </c>
      <c r="P551" s="468" t="s">
        <v>2354</v>
      </c>
      <c r="Q551" s="468" t="s">
        <v>2355</v>
      </c>
      <c r="Z551" s="433" t="str">
        <f ca="1">HYPERLINK("#"&amp;단가산출근거목록표!J2&amp;"!A"&amp;ROW(단가산출근거목록표!A157),"D01241 →")</f>
        <v>D01241 →</v>
      </c>
    </row>
    <row r="552" spans="1:26" ht="33.200000000000003" customHeight="1">
      <c r="A552" s="452" t="s">
        <v>2321</v>
      </c>
      <c r="B552" s="452" t="s">
        <v>2322</v>
      </c>
      <c r="C552" s="489">
        <v>6.8000000000000005E-2</v>
      </c>
      <c r="D552" s="480" t="s">
        <v>8</v>
      </c>
      <c r="E552" s="490">
        <f t="shared" si="80"/>
        <v>34413</v>
      </c>
      <c r="F552" s="493">
        <f t="shared" si="80"/>
        <v>2340</v>
      </c>
      <c r="G552" s="494">
        <f>일위대가목록표!F275</f>
        <v>34413</v>
      </c>
      <c r="H552" s="498">
        <f>IF(C552=0,0,ROUNDDOWN(G552*C552,1))</f>
        <v>2340</v>
      </c>
      <c r="I552" s="494">
        <f>일위대가목록표!G275</f>
        <v>0</v>
      </c>
      <c r="J552" s="498">
        <f>IF(C552=0,0,ROUNDDOWN(I552*C552,1))</f>
        <v>0</v>
      </c>
      <c r="K552" s="494">
        <f>일위대가목록표!H275</f>
        <v>0</v>
      </c>
      <c r="L552" s="498">
        <f>IF(C552=0,0,ROUNDDOWN(K552*C552,1))</f>
        <v>0</v>
      </c>
      <c r="M552" s="463" t="s">
        <v>2489</v>
      </c>
      <c r="N552" s="451" t="s">
        <v>2490</v>
      </c>
      <c r="O552" s="468" t="s">
        <v>2491</v>
      </c>
      <c r="P552" s="468" t="s">
        <v>2354</v>
      </c>
      <c r="Q552" s="468" t="s">
        <v>2355</v>
      </c>
      <c r="Z552" s="433" t="str">
        <f ca="1">HYPERLINK("#"&amp;일위대가목록표!J2&amp;"!A"&amp;ROW(일위대가목록표!A275),"B01414 →")</f>
        <v>B01414 →</v>
      </c>
    </row>
    <row r="553" spans="1:26" ht="33.200000000000003" customHeight="1">
      <c r="A553" s="452" t="s">
        <v>1461</v>
      </c>
      <c r="B553" s="452" t="s">
        <v>1462</v>
      </c>
      <c r="C553" s="489">
        <v>7.1999999999999995E-2</v>
      </c>
      <c r="D553" s="480" t="s">
        <v>8</v>
      </c>
      <c r="E553" s="490">
        <f t="shared" si="80"/>
        <v>915052</v>
      </c>
      <c r="F553" s="493">
        <f t="shared" si="80"/>
        <v>65883.7</v>
      </c>
      <c r="G553" s="494">
        <f>일위대가목록표!F72</f>
        <v>915052</v>
      </c>
      <c r="H553" s="498">
        <f>IF(C553=0,0,ROUNDDOWN(G553*C553,1))</f>
        <v>65883.7</v>
      </c>
      <c r="I553" s="494">
        <f>일위대가목록표!G72</f>
        <v>0</v>
      </c>
      <c r="J553" s="498">
        <f>IF(C553=0,0,ROUNDDOWN(I553*C553,1))</f>
        <v>0</v>
      </c>
      <c r="K553" s="494">
        <f>일위대가목록표!H72</f>
        <v>0</v>
      </c>
      <c r="L553" s="498">
        <f>IF(C553=0,0,ROUNDDOWN(K553*C553,1))</f>
        <v>0</v>
      </c>
      <c r="M553" s="463" t="s">
        <v>2471</v>
      </c>
      <c r="N553" s="451" t="s">
        <v>2472</v>
      </c>
      <c r="O553" s="468" t="s">
        <v>1465</v>
      </c>
      <c r="P553" s="468" t="s">
        <v>2354</v>
      </c>
      <c r="Q553" s="468" t="s">
        <v>2355</v>
      </c>
      <c r="Z553" s="433" t="str">
        <f ca="1">HYPERLINK("#"&amp;일위대가목록표!J2&amp;"!A"&amp;ROW(일위대가목록표!A72),"B01822 →")</f>
        <v>B01822 →</v>
      </c>
    </row>
    <row r="554" spans="1:26" ht="33.200000000000003" customHeight="1">
      <c r="A554" s="452" t="s">
        <v>2574</v>
      </c>
      <c r="B554" s="452" t="s">
        <v>2575</v>
      </c>
      <c r="C554" s="489">
        <v>1.2290000000000001E-3</v>
      </c>
      <c r="D554" s="480" t="s">
        <v>2576</v>
      </c>
      <c r="E554" s="490">
        <f t="shared" si="80"/>
        <v>765000</v>
      </c>
      <c r="F554" s="491">
        <f t="shared" si="80"/>
        <v>940.1</v>
      </c>
      <c r="G554" s="492">
        <v>0</v>
      </c>
      <c r="H554" s="493">
        <f>IF(C554=0,0,ROUNDDOWN(G554*C554,1))</f>
        <v>0</v>
      </c>
      <c r="I554" s="494">
        <f>재료비목록표!E81</f>
        <v>765000</v>
      </c>
      <c r="J554" s="495">
        <f>IF(C554=0,0,ROUNDDOWN(I554*C554,1))</f>
        <v>940.1</v>
      </c>
      <c r="K554" s="492">
        <v>0</v>
      </c>
      <c r="L554" s="493">
        <f>IF(C554=0,0,ROUNDDOWN(K554*C554,1))</f>
        <v>0</v>
      </c>
      <c r="M554" s="463" t="s">
        <v>2577</v>
      </c>
      <c r="N554" s="451" t="s">
        <v>2578</v>
      </c>
      <c r="O554" s="468" t="s">
        <v>2579</v>
      </c>
      <c r="P554" s="468" t="s">
        <v>2354</v>
      </c>
      <c r="Z554" s="433" t="str">
        <f ca="1">HYPERLINK("#"&amp;재료비목록표!G2&amp;"!A"&amp;ROW(재료비목록표!A81),"M00150 →")</f>
        <v>M00150 →</v>
      </c>
    </row>
    <row r="555" spans="1:26" ht="33.200000000000003" customHeight="1">
      <c r="A555" s="452" t="s">
        <v>2574</v>
      </c>
      <c r="B555" s="452" t="s">
        <v>2632</v>
      </c>
      <c r="C555" s="489">
        <v>1.024E-3</v>
      </c>
      <c r="D555" s="480" t="s">
        <v>2576</v>
      </c>
      <c r="E555" s="490">
        <f t="shared" si="80"/>
        <v>775000</v>
      </c>
      <c r="F555" s="491">
        <f t="shared" si="80"/>
        <v>793.6</v>
      </c>
      <c r="G555" s="492">
        <v>0</v>
      </c>
      <c r="H555" s="493">
        <f>IF(C555=0,0,ROUNDDOWN(G555*C555,1))</f>
        <v>0</v>
      </c>
      <c r="I555" s="494">
        <f>재료비목록표!E80</f>
        <v>775000</v>
      </c>
      <c r="J555" s="495">
        <f>IF(C555=0,0,ROUNDDOWN(I555*C555,1))</f>
        <v>793.6</v>
      </c>
      <c r="K555" s="492">
        <v>0</v>
      </c>
      <c r="L555" s="493">
        <f>IF(C555=0,0,ROUNDDOWN(K555*C555,1))</f>
        <v>0</v>
      </c>
      <c r="M555" s="463" t="s">
        <v>2633</v>
      </c>
      <c r="N555" s="451" t="s">
        <v>2634</v>
      </c>
      <c r="O555" s="468" t="s">
        <v>2635</v>
      </c>
      <c r="P555" s="468" t="s">
        <v>2354</v>
      </c>
      <c r="Z555" s="433" t="str">
        <f ca="1">HYPERLINK("#"&amp;재료비목록표!G2&amp;"!A"&amp;ROW(재료비목록표!A80),"M01265 →")</f>
        <v>M01265 →</v>
      </c>
    </row>
    <row r="556" spans="1:26" ht="33.200000000000003" customHeight="1">
      <c r="A556" s="463" t="s">
        <v>842</v>
      </c>
      <c r="B556" s="497"/>
      <c r="C556" s="497"/>
      <c r="D556" s="497"/>
      <c r="E556" s="497"/>
      <c r="F556" s="446">
        <f>J556+H556+L556</f>
        <v>74227</v>
      </c>
      <c r="G556" s="497"/>
      <c r="H556" s="446">
        <f>ROUNDDOWN(SUMIF(P551:P555,O556,H551:H555),0)</f>
        <v>72494</v>
      </c>
      <c r="I556" s="497"/>
      <c r="J556" s="446">
        <f>ROUNDDOWN(SUMIF(P551:P555,O556,J551:J555),0)</f>
        <v>1733</v>
      </c>
      <c r="K556" s="497"/>
      <c r="L556" s="446">
        <f>ROUNDDOWN(SUMIF(P551:P555,O556,L551:L555),0)</f>
        <v>0</v>
      </c>
      <c r="M556" s="497"/>
      <c r="O556" s="468" t="s">
        <v>2354</v>
      </c>
    </row>
    <row r="557" spans="1:26" ht="33.200000000000003" customHeight="1">
      <c r="A557" s="484" t="s">
        <v>2657</v>
      </c>
      <c r="B557" s="484"/>
      <c r="C557" s="485"/>
      <c r="D557" s="485"/>
      <c r="E557" s="485"/>
      <c r="F557" s="485"/>
      <c r="G557" s="485"/>
      <c r="H557" s="485"/>
      <c r="I557" s="485"/>
      <c r="J557" s="485"/>
      <c r="K557" s="485"/>
      <c r="L557" s="485"/>
      <c r="M557" s="485"/>
      <c r="N557" s="486" t="str">
        <f>HYPERLINK("#N"&amp;ROW(N564),"_x0005_`BDCOD|B02838_x0007_`POSS|"&amp;ROW(N559)&amp;"_x0007_`POSE|"&amp;ROW(N564)&amp;"_x0007_`")</f>
        <v>_x0005_`BDCOD|B02838_x0007_`POSS|559_x0007_`POSE|564_x0007_`</v>
      </c>
    </row>
    <row r="558" spans="1:26" ht="33.200000000000003" customHeight="1">
      <c r="A558" s="469" t="s">
        <v>5094</v>
      </c>
      <c r="B558" s="469" t="s">
        <v>988</v>
      </c>
      <c r="C558" s="487"/>
      <c r="D558" s="488" t="s">
        <v>984</v>
      </c>
      <c r="E558" s="487"/>
      <c r="F558" s="487"/>
      <c r="G558" s="487"/>
      <c r="H558" s="487"/>
      <c r="I558" s="487"/>
      <c r="J558" s="487"/>
      <c r="K558" s="487"/>
      <c r="L558" s="487"/>
      <c r="M558" s="488" t="s">
        <v>5095</v>
      </c>
      <c r="O558" s="468" t="s">
        <v>5095</v>
      </c>
    </row>
    <row r="559" spans="1:26" ht="33.200000000000003" customHeight="1">
      <c r="A559" s="452" t="s">
        <v>2484</v>
      </c>
      <c r="B559" s="452" t="s">
        <v>2485</v>
      </c>
      <c r="C559" s="489">
        <v>4.4999999999999998E-2</v>
      </c>
      <c r="D559" s="480" t="s">
        <v>8</v>
      </c>
      <c r="E559" s="490">
        <f t="shared" ref="E559:F564" si="81">I559+G559+K559</f>
        <v>62811</v>
      </c>
      <c r="F559" s="493">
        <f t="shared" si="81"/>
        <v>2826.4</v>
      </c>
      <c r="G559" s="494">
        <f>단가산출근거목록표!F157</f>
        <v>62811</v>
      </c>
      <c r="H559" s="498">
        <f>IF(C559=0,0,ROUNDDOWN(G559*C559,1))</f>
        <v>2826.4</v>
      </c>
      <c r="I559" s="494">
        <f>단가산출근거목록표!G157</f>
        <v>0</v>
      </c>
      <c r="J559" s="498">
        <f>IF(C559=0,0,ROUNDDOWN(I559*C559,1))</f>
        <v>0</v>
      </c>
      <c r="K559" s="494">
        <f>단가산출근거목록표!H157</f>
        <v>0</v>
      </c>
      <c r="L559" s="498">
        <f>IF(C559=0,0,ROUNDDOWN(K559*C559,1))</f>
        <v>0</v>
      </c>
      <c r="M559" s="463" t="s">
        <v>2486</v>
      </c>
      <c r="N559" s="451" t="s">
        <v>2487</v>
      </c>
      <c r="O559" s="468" t="s">
        <v>2488</v>
      </c>
      <c r="P559" s="468" t="s">
        <v>2354</v>
      </c>
      <c r="Q559" s="468" t="s">
        <v>2355</v>
      </c>
      <c r="Z559" s="433" t="str">
        <f ca="1">HYPERLINK("#"&amp;단가산출근거목록표!J2&amp;"!A"&amp;ROW(단가산출근거목록표!A157),"D01241 →")</f>
        <v>D01241 →</v>
      </c>
    </row>
    <row r="560" spans="1:26" ht="33.200000000000003" customHeight="1">
      <c r="A560" s="452" t="s">
        <v>2321</v>
      </c>
      <c r="B560" s="452" t="s">
        <v>2322</v>
      </c>
      <c r="C560" s="489">
        <v>4.4999999999999998E-2</v>
      </c>
      <c r="D560" s="480" t="s">
        <v>8</v>
      </c>
      <c r="E560" s="490">
        <f t="shared" si="81"/>
        <v>34413</v>
      </c>
      <c r="F560" s="493">
        <f t="shared" si="81"/>
        <v>1548.5</v>
      </c>
      <c r="G560" s="494">
        <f>일위대가목록표!F275</f>
        <v>34413</v>
      </c>
      <c r="H560" s="498">
        <f>IF(C560=0,0,ROUNDDOWN(G560*C560,1))</f>
        <v>1548.5</v>
      </c>
      <c r="I560" s="494">
        <f>일위대가목록표!G275</f>
        <v>0</v>
      </c>
      <c r="J560" s="498">
        <f>IF(C560=0,0,ROUNDDOWN(I560*C560,1))</f>
        <v>0</v>
      </c>
      <c r="K560" s="494">
        <f>일위대가목록표!H275</f>
        <v>0</v>
      </c>
      <c r="L560" s="498">
        <f>IF(C560=0,0,ROUNDDOWN(K560*C560,1))</f>
        <v>0</v>
      </c>
      <c r="M560" s="463" t="s">
        <v>2489</v>
      </c>
      <c r="N560" s="451" t="s">
        <v>2490</v>
      </c>
      <c r="O560" s="468" t="s">
        <v>2491</v>
      </c>
      <c r="P560" s="468" t="s">
        <v>2354</v>
      </c>
      <c r="Q560" s="468" t="s">
        <v>2355</v>
      </c>
      <c r="Z560" s="433" t="str">
        <f ca="1">HYPERLINK("#"&amp;일위대가목록표!J2&amp;"!A"&amp;ROW(일위대가목록표!A275),"B01414 →")</f>
        <v>B01414 →</v>
      </c>
    </row>
    <row r="561" spans="1:26" ht="33.200000000000003" customHeight="1">
      <c r="A561" s="452" t="s">
        <v>1461</v>
      </c>
      <c r="B561" s="452" t="s">
        <v>1462</v>
      </c>
      <c r="C561" s="489">
        <v>4.8000000000000001E-2</v>
      </c>
      <c r="D561" s="480" t="s">
        <v>8</v>
      </c>
      <c r="E561" s="490">
        <f t="shared" si="81"/>
        <v>915052</v>
      </c>
      <c r="F561" s="493">
        <f t="shared" si="81"/>
        <v>43922.400000000001</v>
      </c>
      <c r="G561" s="494">
        <f>일위대가목록표!F72</f>
        <v>915052</v>
      </c>
      <c r="H561" s="498">
        <f>IF(C561=0,0,ROUNDDOWN(G561*C561,1))</f>
        <v>43922.400000000001</v>
      </c>
      <c r="I561" s="494">
        <f>일위대가목록표!G72</f>
        <v>0</v>
      </c>
      <c r="J561" s="498">
        <f>IF(C561=0,0,ROUNDDOWN(I561*C561,1))</f>
        <v>0</v>
      </c>
      <c r="K561" s="494">
        <f>일위대가목록표!H72</f>
        <v>0</v>
      </c>
      <c r="L561" s="498">
        <f>IF(C561=0,0,ROUNDDOWN(K561*C561,1))</f>
        <v>0</v>
      </c>
      <c r="M561" s="463" t="s">
        <v>2471</v>
      </c>
      <c r="N561" s="451" t="s">
        <v>2472</v>
      </c>
      <c r="O561" s="468" t="s">
        <v>1465</v>
      </c>
      <c r="P561" s="468" t="s">
        <v>2354</v>
      </c>
      <c r="Q561" s="468" t="s">
        <v>2355</v>
      </c>
      <c r="Z561" s="433" t="str">
        <f ca="1">HYPERLINK("#"&amp;일위대가목록표!J2&amp;"!A"&amp;ROW(일위대가목록표!A72),"B01822 →")</f>
        <v>B01822 →</v>
      </c>
    </row>
    <row r="562" spans="1:26" ht="33.200000000000003" customHeight="1">
      <c r="A562" s="452" t="s">
        <v>2574</v>
      </c>
      <c r="B562" s="452" t="s">
        <v>2575</v>
      </c>
      <c r="C562" s="489">
        <v>1.2290000000000001E-3</v>
      </c>
      <c r="D562" s="480" t="s">
        <v>2576</v>
      </c>
      <c r="E562" s="490">
        <f t="shared" si="81"/>
        <v>765000</v>
      </c>
      <c r="F562" s="491">
        <f t="shared" si="81"/>
        <v>940.1</v>
      </c>
      <c r="G562" s="492">
        <v>0</v>
      </c>
      <c r="H562" s="493">
        <f>IF(C562=0,0,ROUNDDOWN(G562*C562,1))</f>
        <v>0</v>
      </c>
      <c r="I562" s="494">
        <f>재료비목록표!E81</f>
        <v>765000</v>
      </c>
      <c r="J562" s="495">
        <f>IF(C562=0,0,ROUNDDOWN(I562*C562,1))</f>
        <v>940.1</v>
      </c>
      <c r="K562" s="492">
        <v>0</v>
      </c>
      <c r="L562" s="493">
        <f>IF(C562=0,0,ROUNDDOWN(K562*C562,1))</f>
        <v>0</v>
      </c>
      <c r="M562" s="463" t="s">
        <v>2577</v>
      </c>
      <c r="N562" s="451" t="s">
        <v>2578</v>
      </c>
      <c r="O562" s="468" t="s">
        <v>2579</v>
      </c>
      <c r="P562" s="468" t="s">
        <v>2354</v>
      </c>
      <c r="Z562" s="433" t="str">
        <f ca="1">HYPERLINK("#"&amp;재료비목록표!G2&amp;"!A"&amp;ROW(재료비목록표!A81),"M00150 →")</f>
        <v>M00150 →</v>
      </c>
    </row>
    <row r="563" spans="1:26" ht="33.200000000000003" customHeight="1">
      <c r="A563" s="452" t="s">
        <v>2574</v>
      </c>
      <c r="B563" s="452" t="s">
        <v>2632</v>
      </c>
      <c r="C563" s="489">
        <v>1.024E-3</v>
      </c>
      <c r="D563" s="480" t="s">
        <v>2576</v>
      </c>
      <c r="E563" s="490">
        <f t="shared" si="81"/>
        <v>775000</v>
      </c>
      <c r="F563" s="491">
        <f t="shared" si="81"/>
        <v>793.6</v>
      </c>
      <c r="G563" s="492">
        <v>0</v>
      </c>
      <c r="H563" s="493">
        <f>IF(C563=0,0,ROUNDDOWN(G563*C563,1))</f>
        <v>0</v>
      </c>
      <c r="I563" s="494">
        <f>재료비목록표!E80</f>
        <v>775000</v>
      </c>
      <c r="J563" s="495">
        <f>IF(C563=0,0,ROUNDDOWN(I563*C563,1))</f>
        <v>793.6</v>
      </c>
      <c r="K563" s="492">
        <v>0</v>
      </c>
      <c r="L563" s="493">
        <f>IF(C563=0,0,ROUNDDOWN(K563*C563,1))</f>
        <v>0</v>
      </c>
      <c r="M563" s="463" t="s">
        <v>2633</v>
      </c>
      <c r="N563" s="451" t="s">
        <v>2634</v>
      </c>
      <c r="O563" s="468" t="s">
        <v>2635</v>
      </c>
      <c r="P563" s="468" t="s">
        <v>2354</v>
      </c>
      <c r="Z563" s="433" t="str">
        <f ca="1">HYPERLINK("#"&amp;재료비목록표!G2&amp;"!A"&amp;ROW(재료비목록표!A80),"M01265 →")</f>
        <v>M01265 →</v>
      </c>
    </row>
    <row r="564" spans="1:26" ht="33.200000000000003" customHeight="1">
      <c r="A564" s="452" t="s">
        <v>2507</v>
      </c>
      <c r="B564" s="452" t="s">
        <v>2441</v>
      </c>
      <c r="C564" s="489">
        <v>15</v>
      </c>
      <c r="D564" s="480" t="s">
        <v>2371</v>
      </c>
      <c r="E564" s="490">
        <f t="shared" si="81"/>
        <v>48297.3</v>
      </c>
      <c r="F564" s="491">
        <f t="shared" si="81"/>
        <v>7244.5</v>
      </c>
      <c r="G564" s="496">
        <f>H559+H560+H561</f>
        <v>48297.3</v>
      </c>
      <c r="H564" s="491">
        <f>IF(C564=0,0,ROUNDDOWN(G564*C564/100,1))</f>
        <v>7244.5</v>
      </c>
      <c r="I564" s="465">
        <v>0</v>
      </c>
      <c r="J564" s="493">
        <f>IF(C564=0,0,ROUNDDOWN(I564*C564/100,1))</f>
        <v>0</v>
      </c>
      <c r="K564" s="467">
        <v>0</v>
      </c>
      <c r="L564" s="493">
        <f>IF(C564=0,0,ROUNDDOWN(K564*C564/100,1))</f>
        <v>0</v>
      </c>
      <c r="M564" s="463"/>
      <c r="N564" s="451" t="s">
        <v>2644</v>
      </c>
      <c r="O564" s="468" t="s">
        <v>2373</v>
      </c>
      <c r="P564" s="468" t="s">
        <v>2354</v>
      </c>
      <c r="Q564" s="468" t="s">
        <v>2355</v>
      </c>
    </row>
    <row r="565" spans="1:26" ht="33.200000000000003" customHeight="1">
      <c r="A565" s="463" t="s">
        <v>842</v>
      </c>
      <c r="B565" s="497"/>
      <c r="C565" s="497"/>
      <c r="D565" s="497"/>
      <c r="E565" s="497"/>
      <c r="F565" s="446">
        <f>J565+H565+L565</f>
        <v>57274</v>
      </c>
      <c r="G565" s="497"/>
      <c r="H565" s="446">
        <f>ROUNDDOWN(SUMIF(P559:P564,O565,H559:H564),0)</f>
        <v>55541</v>
      </c>
      <c r="I565" s="497"/>
      <c r="J565" s="446">
        <f>ROUNDDOWN(SUMIF(P559:P564,O565,J559:J564),0)</f>
        <v>1733</v>
      </c>
      <c r="K565" s="497"/>
      <c r="L565" s="446">
        <f>ROUNDDOWN(SUMIF(P559:P564,O565,L559:L564),0)</f>
        <v>0</v>
      </c>
      <c r="M565" s="497"/>
      <c r="O565" s="468" t="s">
        <v>2354</v>
      </c>
    </row>
    <row r="566" spans="1:26" ht="33.200000000000003" customHeight="1">
      <c r="A566" s="484" t="s">
        <v>2658</v>
      </c>
      <c r="B566" s="484"/>
      <c r="C566" s="485"/>
      <c r="D566" s="485"/>
      <c r="E566" s="485"/>
      <c r="F566" s="485"/>
      <c r="G566" s="485"/>
      <c r="H566" s="485"/>
      <c r="I566" s="485"/>
      <c r="J566" s="485"/>
      <c r="K566" s="485"/>
      <c r="L566" s="485"/>
      <c r="M566" s="485"/>
      <c r="N566" s="486" t="str">
        <f>HYPERLINK("#N"&amp;ROW(N573),"_x0005_`BDCOD|B02839_x0007_`POSS|"&amp;ROW(N568)&amp;"_x0007_`POSE|"&amp;ROW(N573)&amp;"_x0007_`")</f>
        <v>_x0005_`BDCOD|B02839_x0007_`POSS|568_x0007_`POSE|573_x0007_`</v>
      </c>
    </row>
    <row r="567" spans="1:26" ht="33.200000000000003" customHeight="1">
      <c r="A567" s="469" t="s">
        <v>5094</v>
      </c>
      <c r="B567" s="469" t="s">
        <v>992</v>
      </c>
      <c r="C567" s="487"/>
      <c r="D567" s="488" t="s">
        <v>984</v>
      </c>
      <c r="E567" s="487"/>
      <c r="F567" s="487"/>
      <c r="G567" s="487"/>
      <c r="H567" s="487"/>
      <c r="I567" s="487"/>
      <c r="J567" s="487"/>
      <c r="K567" s="487"/>
      <c r="L567" s="487"/>
      <c r="M567" s="488" t="s">
        <v>5098</v>
      </c>
      <c r="O567" s="468" t="s">
        <v>5098</v>
      </c>
    </row>
    <row r="568" spans="1:26" ht="33.200000000000003" customHeight="1">
      <c r="A568" s="452" t="s">
        <v>2484</v>
      </c>
      <c r="B568" s="452" t="s">
        <v>2485</v>
      </c>
      <c r="C568" s="489">
        <v>5.3999999999999999E-2</v>
      </c>
      <c r="D568" s="480" t="s">
        <v>8</v>
      </c>
      <c r="E568" s="490">
        <f t="shared" ref="E568:F573" si="82">I568+G568+K568</f>
        <v>62811</v>
      </c>
      <c r="F568" s="493">
        <f t="shared" si="82"/>
        <v>3391.7</v>
      </c>
      <c r="G568" s="494">
        <f>단가산출근거목록표!F157</f>
        <v>62811</v>
      </c>
      <c r="H568" s="498">
        <f>IF(C568=0,0,ROUNDDOWN(G568*C568,1))</f>
        <v>3391.7</v>
      </c>
      <c r="I568" s="494">
        <f>단가산출근거목록표!G157</f>
        <v>0</v>
      </c>
      <c r="J568" s="498">
        <f>IF(C568=0,0,ROUNDDOWN(I568*C568,1))</f>
        <v>0</v>
      </c>
      <c r="K568" s="494">
        <f>단가산출근거목록표!H157</f>
        <v>0</v>
      </c>
      <c r="L568" s="498">
        <f>IF(C568=0,0,ROUNDDOWN(K568*C568,1))</f>
        <v>0</v>
      </c>
      <c r="M568" s="463" t="s">
        <v>2486</v>
      </c>
      <c r="N568" s="451" t="s">
        <v>2487</v>
      </c>
      <c r="O568" s="468" t="s">
        <v>2488</v>
      </c>
      <c r="P568" s="468" t="s">
        <v>2354</v>
      </c>
      <c r="Q568" s="468" t="s">
        <v>2355</v>
      </c>
      <c r="Z568" s="433" t="str">
        <f ca="1">HYPERLINK("#"&amp;단가산출근거목록표!J2&amp;"!A"&amp;ROW(단가산출근거목록표!A157),"D01241 →")</f>
        <v>D01241 →</v>
      </c>
    </row>
    <row r="569" spans="1:26" ht="33.200000000000003" customHeight="1">
      <c r="A569" s="452" t="s">
        <v>2321</v>
      </c>
      <c r="B569" s="452" t="s">
        <v>2322</v>
      </c>
      <c r="C569" s="489">
        <v>5.3999999999999999E-2</v>
      </c>
      <c r="D569" s="480" t="s">
        <v>8</v>
      </c>
      <c r="E569" s="490">
        <f t="shared" si="82"/>
        <v>34413</v>
      </c>
      <c r="F569" s="493">
        <f t="shared" si="82"/>
        <v>1858.3</v>
      </c>
      <c r="G569" s="494">
        <f>일위대가목록표!F275</f>
        <v>34413</v>
      </c>
      <c r="H569" s="498">
        <f>IF(C569=0,0,ROUNDDOWN(G569*C569,1))</f>
        <v>1858.3</v>
      </c>
      <c r="I569" s="494">
        <f>일위대가목록표!G275</f>
        <v>0</v>
      </c>
      <c r="J569" s="498">
        <f>IF(C569=0,0,ROUNDDOWN(I569*C569,1))</f>
        <v>0</v>
      </c>
      <c r="K569" s="494">
        <f>일위대가목록표!H275</f>
        <v>0</v>
      </c>
      <c r="L569" s="498">
        <f>IF(C569=0,0,ROUNDDOWN(K569*C569,1))</f>
        <v>0</v>
      </c>
      <c r="M569" s="463" t="s">
        <v>2489</v>
      </c>
      <c r="N569" s="451" t="s">
        <v>2490</v>
      </c>
      <c r="O569" s="468" t="s">
        <v>2491</v>
      </c>
      <c r="P569" s="468" t="s">
        <v>2354</v>
      </c>
      <c r="Q569" s="468" t="s">
        <v>2355</v>
      </c>
      <c r="Z569" s="433" t="str">
        <f ca="1">HYPERLINK("#"&amp;일위대가목록표!J2&amp;"!A"&amp;ROW(일위대가목록표!A275),"B01414 →")</f>
        <v>B01414 →</v>
      </c>
    </row>
    <row r="570" spans="1:26" ht="33.200000000000003" customHeight="1">
      <c r="A570" s="452" t="s">
        <v>1461</v>
      </c>
      <c r="B570" s="452" t="s">
        <v>1462</v>
      </c>
      <c r="C570" s="489">
        <v>5.8000000000000003E-2</v>
      </c>
      <c r="D570" s="480" t="s">
        <v>8</v>
      </c>
      <c r="E570" s="490">
        <f t="shared" si="82"/>
        <v>915052</v>
      </c>
      <c r="F570" s="493">
        <f t="shared" si="82"/>
        <v>53073</v>
      </c>
      <c r="G570" s="494">
        <f>일위대가목록표!F72</f>
        <v>915052</v>
      </c>
      <c r="H570" s="498">
        <f>IF(C570=0,0,ROUNDDOWN(G570*C570,1))</f>
        <v>53073</v>
      </c>
      <c r="I570" s="494">
        <f>일위대가목록표!G72</f>
        <v>0</v>
      </c>
      <c r="J570" s="498">
        <f>IF(C570=0,0,ROUNDDOWN(I570*C570,1))</f>
        <v>0</v>
      </c>
      <c r="K570" s="494">
        <f>일위대가목록표!H72</f>
        <v>0</v>
      </c>
      <c r="L570" s="498">
        <f>IF(C570=0,0,ROUNDDOWN(K570*C570,1))</f>
        <v>0</v>
      </c>
      <c r="M570" s="463" t="s">
        <v>2471</v>
      </c>
      <c r="N570" s="451" t="s">
        <v>2472</v>
      </c>
      <c r="O570" s="468" t="s">
        <v>1465</v>
      </c>
      <c r="P570" s="468" t="s">
        <v>2354</v>
      </c>
      <c r="Q570" s="468" t="s">
        <v>2355</v>
      </c>
      <c r="Z570" s="433" t="str">
        <f ca="1">HYPERLINK("#"&amp;일위대가목록표!J2&amp;"!A"&amp;ROW(일위대가목록표!A72),"B01822 →")</f>
        <v>B01822 →</v>
      </c>
    </row>
    <row r="571" spans="1:26" ht="33.200000000000003" customHeight="1">
      <c r="A571" s="452" t="s">
        <v>2574</v>
      </c>
      <c r="B571" s="452" t="s">
        <v>2575</v>
      </c>
      <c r="C571" s="489">
        <v>1.2290000000000001E-3</v>
      </c>
      <c r="D571" s="480" t="s">
        <v>2576</v>
      </c>
      <c r="E571" s="490">
        <f t="shared" si="82"/>
        <v>765000</v>
      </c>
      <c r="F571" s="491">
        <f t="shared" si="82"/>
        <v>940.1</v>
      </c>
      <c r="G571" s="492">
        <v>0</v>
      </c>
      <c r="H571" s="493">
        <f>IF(C571=0,0,ROUNDDOWN(G571*C571,1))</f>
        <v>0</v>
      </c>
      <c r="I571" s="494">
        <f>재료비목록표!E81</f>
        <v>765000</v>
      </c>
      <c r="J571" s="495">
        <f>IF(C571=0,0,ROUNDDOWN(I571*C571,1))</f>
        <v>940.1</v>
      </c>
      <c r="K571" s="492">
        <v>0</v>
      </c>
      <c r="L571" s="493">
        <f>IF(C571=0,0,ROUNDDOWN(K571*C571,1))</f>
        <v>0</v>
      </c>
      <c r="M571" s="463" t="s">
        <v>2577</v>
      </c>
      <c r="N571" s="451" t="s">
        <v>2578</v>
      </c>
      <c r="O571" s="468" t="s">
        <v>2579</v>
      </c>
      <c r="P571" s="468" t="s">
        <v>2354</v>
      </c>
      <c r="Z571" s="433" t="str">
        <f ca="1">HYPERLINK("#"&amp;재료비목록표!G2&amp;"!A"&amp;ROW(재료비목록표!A81),"M00150 →")</f>
        <v>M00150 →</v>
      </c>
    </row>
    <row r="572" spans="1:26" ht="33.200000000000003" customHeight="1">
      <c r="A572" s="452" t="s">
        <v>2574</v>
      </c>
      <c r="B572" s="452" t="s">
        <v>2632</v>
      </c>
      <c r="C572" s="489">
        <v>1.024E-3</v>
      </c>
      <c r="D572" s="480" t="s">
        <v>2576</v>
      </c>
      <c r="E572" s="490">
        <f t="shared" si="82"/>
        <v>775000</v>
      </c>
      <c r="F572" s="491">
        <f t="shared" si="82"/>
        <v>793.6</v>
      </c>
      <c r="G572" s="492">
        <v>0</v>
      </c>
      <c r="H572" s="493">
        <f>IF(C572=0,0,ROUNDDOWN(G572*C572,1))</f>
        <v>0</v>
      </c>
      <c r="I572" s="494">
        <f>재료비목록표!E80</f>
        <v>775000</v>
      </c>
      <c r="J572" s="495">
        <f>IF(C572=0,0,ROUNDDOWN(I572*C572,1))</f>
        <v>793.6</v>
      </c>
      <c r="K572" s="492">
        <v>0</v>
      </c>
      <c r="L572" s="493">
        <f>IF(C572=0,0,ROUNDDOWN(K572*C572,1))</f>
        <v>0</v>
      </c>
      <c r="M572" s="463" t="s">
        <v>2633</v>
      </c>
      <c r="N572" s="451" t="s">
        <v>2634</v>
      </c>
      <c r="O572" s="468" t="s">
        <v>2635</v>
      </c>
      <c r="P572" s="468" t="s">
        <v>2354</v>
      </c>
      <c r="Z572" s="433" t="str">
        <f ca="1">HYPERLINK("#"&amp;재료비목록표!G2&amp;"!A"&amp;ROW(재료비목록표!A80),"M01265 →")</f>
        <v>M01265 →</v>
      </c>
    </row>
    <row r="573" spans="1:26" ht="33.200000000000003" customHeight="1">
      <c r="A573" s="452" t="s">
        <v>2507</v>
      </c>
      <c r="B573" s="452" t="s">
        <v>2441</v>
      </c>
      <c r="C573" s="489">
        <v>15</v>
      </c>
      <c r="D573" s="480" t="s">
        <v>2371</v>
      </c>
      <c r="E573" s="490">
        <f t="shared" si="82"/>
        <v>58323</v>
      </c>
      <c r="F573" s="491">
        <f t="shared" si="82"/>
        <v>8748.4</v>
      </c>
      <c r="G573" s="496">
        <f>H568+H569+H570</f>
        <v>58323</v>
      </c>
      <c r="H573" s="491">
        <f>IF(C573=0,0,ROUNDDOWN(G573*C573/100,1))</f>
        <v>8748.4</v>
      </c>
      <c r="I573" s="465">
        <v>0</v>
      </c>
      <c r="J573" s="493">
        <f>IF(C573=0,0,ROUNDDOWN(I573*C573/100,1))</f>
        <v>0</v>
      </c>
      <c r="K573" s="467">
        <v>0</v>
      </c>
      <c r="L573" s="493">
        <f>IF(C573=0,0,ROUNDDOWN(K573*C573/100,1))</f>
        <v>0</v>
      </c>
      <c r="M573" s="463"/>
      <c r="N573" s="451" t="s">
        <v>2644</v>
      </c>
      <c r="O573" s="468" t="s">
        <v>2373</v>
      </c>
      <c r="P573" s="468" t="s">
        <v>2354</v>
      </c>
      <c r="Q573" s="468" t="s">
        <v>2355</v>
      </c>
    </row>
    <row r="574" spans="1:26" ht="33.200000000000003" customHeight="1">
      <c r="A574" s="463" t="s">
        <v>842</v>
      </c>
      <c r="B574" s="497"/>
      <c r="C574" s="497"/>
      <c r="D574" s="497"/>
      <c r="E574" s="497"/>
      <c r="F574" s="446">
        <f>J574+H574+L574</f>
        <v>68804</v>
      </c>
      <c r="G574" s="497"/>
      <c r="H574" s="446">
        <f>ROUNDDOWN(SUMIF(P568:P573,O574,H568:H573),0)</f>
        <v>67071</v>
      </c>
      <c r="I574" s="497"/>
      <c r="J574" s="446">
        <f>ROUNDDOWN(SUMIF(P568:P573,O574,J568:J573),0)</f>
        <v>1733</v>
      </c>
      <c r="K574" s="497"/>
      <c r="L574" s="446">
        <f>ROUNDDOWN(SUMIF(P568:P573,O574,L568:L573),0)</f>
        <v>0</v>
      </c>
      <c r="M574" s="497"/>
      <c r="O574" s="468" t="s">
        <v>2354</v>
      </c>
    </row>
    <row r="575" spans="1:26" ht="33.200000000000003" customHeight="1">
      <c r="A575" s="484" t="s">
        <v>2659</v>
      </c>
      <c r="B575" s="484"/>
      <c r="C575" s="485"/>
      <c r="D575" s="485"/>
      <c r="E575" s="485"/>
      <c r="F575" s="485"/>
      <c r="G575" s="485"/>
      <c r="H575" s="485"/>
      <c r="I575" s="485"/>
      <c r="J575" s="485"/>
      <c r="K575" s="485"/>
      <c r="L575" s="485"/>
      <c r="M575" s="485"/>
      <c r="N575" s="486" t="str">
        <f>HYPERLINK("#N"&amp;ROW(N582),"_x0005_`BDCOD|B02840_x0007_`POSS|"&amp;ROW(N577)&amp;"_x0007_`POSE|"&amp;ROW(N582)&amp;"_x0007_`")</f>
        <v>_x0005_`BDCOD|B02840_x0007_`POSS|577_x0007_`POSE|582_x0007_`</v>
      </c>
    </row>
    <row r="576" spans="1:26" ht="33.200000000000003" customHeight="1">
      <c r="A576" s="469" t="s">
        <v>5094</v>
      </c>
      <c r="B576" s="469" t="s">
        <v>996</v>
      </c>
      <c r="C576" s="487"/>
      <c r="D576" s="488" t="s">
        <v>984</v>
      </c>
      <c r="E576" s="487"/>
      <c r="F576" s="487"/>
      <c r="G576" s="487"/>
      <c r="H576" s="487"/>
      <c r="I576" s="487"/>
      <c r="J576" s="487"/>
      <c r="K576" s="487"/>
      <c r="L576" s="487"/>
      <c r="M576" s="488" t="s">
        <v>5101</v>
      </c>
      <c r="O576" s="468" t="s">
        <v>5101</v>
      </c>
    </row>
    <row r="577" spans="1:26" ht="33.200000000000003" customHeight="1">
      <c r="A577" s="452" t="s">
        <v>2484</v>
      </c>
      <c r="B577" s="452" t="s">
        <v>2485</v>
      </c>
      <c r="C577" s="489">
        <v>6.8000000000000005E-2</v>
      </c>
      <c r="D577" s="480" t="s">
        <v>8</v>
      </c>
      <c r="E577" s="490">
        <f t="shared" ref="E577:F582" si="83">I577+G577+K577</f>
        <v>62811</v>
      </c>
      <c r="F577" s="493">
        <f t="shared" si="83"/>
        <v>4271.1000000000004</v>
      </c>
      <c r="G577" s="494">
        <f>단가산출근거목록표!F157</f>
        <v>62811</v>
      </c>
      <c r="H577" s="498">
        <f>IF(C577=0,0,ROUNDDOWN(G577*C577,1))</f>
        <v>4271.1000000000004</v>
      </c>
      <c r="I577" s="494">
        <f>단가산출근거목록표!G157</f>
        <v>0</v>
      </c>
      <c r="J577" s="498">
        <f>IF(C577=0,0,ROUNDDOWN(I577*C577,1))</f>
        <v>0</v>
      </c>
      <c r="K577" s="494">
        <f>단가산출근거목록표!H157</f>
        <v>0</v>
      </c>
      <c r="L577" s="498">
        <f>IF(C577=0,0,ROUNDDOWN(K577*C577,1))</f>
        <v>0</v>
      </c>
      <c r="M577" s="463" t="s">
        <v>2486</v>
      </c>
      <c r="N577" s="451" t="s">
        <v>2487</v>
      </c>
      <c r="O577" s="468" t="s">
        <v>2488</v>
      </c>
      <c r="P577" s="468" t="s">
        <v>2354</v>
      </c>
      <c r="Q577" s="468" t="s">
        <v>2355</v>
      </c>
      <c r="Z577" s="433" t="str">
        <f ca="1">HYPERLINK("#"&amp;단가산출근거목록표!J2&amp;"!A"&amp;ROW(단가산출근거목록표!A157),"D01241 →")</f>
        <v>D01241 →</v>
      </c>
    </row>
    <row r="578" spans="1:26" ht="33.200000000000003" customHeight="1">
      <c r="A578" s="452" t="s">
        <v>2321</v>
      </c>
      <c r="B578" s="452" t="s">
        <v>2322</v>
      </c>
      <c r="C578" s="489">
        <v>6.8000000000000005E-2</v>
      </c>
      <c r="D578" s="480" t="s">
        <v>8</v>
      </c>
      <c r="E578" s="490">
        <f t="shared" si="83"/>
        <v>34413</v>
      </c>
      <c r="F578" s="493">
        <f t="shared" si="83"/>
        <v>2340</v>
      </c>
      <c r="G578" s="494">
        <f>일위대가목록표!F275</f>
        <v>34413</v>
      </c>
      <c r="H578" s="498">
        <f>IF(C578=0,0,ROUNDDOWN(G578*C578,1))</f>
        <v>2340</v>
      </c>
      <c r="I578" s="494">
        <f>일위대가목록표!G275</f>
        <v>0</v>
      </c>
      <c r="J578" s="498">
        <f>IF(C578=0,0,ROUNDDOWN(I578*C578,1))</f>
        <v>0</v>
      </c>
      <c r="K578" s="494">
        <f>일위대가목록표!H275</f>
        <v>0</v>
      </c>
      <c r="L578" s="498">
        <f>IF(C578=0,0,ROUNDDOWN(K578*C578,1))</f>
        <v>0</v>
      </c>
      <c r="M578" s="463" t="s">
        <v>2489</v>
      </c>
      <c r="N578" s="451" t="s">
        <v>2490</v>
      </c>
      <c r="O578" s="468" t="s">
        <v>2491</v>
      </c>
      <c r="P578" s="468" t="s">
        <v>2354</v>
      </c>
      <c r="Q578" s="468" t="s">
        <v>2355</v>
      </c>
      <c r="Z578" s="433" t="str">
        <f ca="1">HYPERLINK("#"&amp;일위대가목록표!J2&amp;"!A"&amp;ROW(일위대가목록표!A275),"B01414 →")</f>
        <v>B01414 →</v>
      </c>
    </row>
    <row r="579" spans="1:26" ht="33.200000000000003" customHeight="1">
      <c r="A579" s="452" t="s">
        <v>1461</v>
      </c>
      <c r="B579" s="452" t="s">
        <v>1462</v>
      </c>
      <c r="C579" s="489">
        <v>7.1999999999999995E-2</v>
      </c>
      <c r="D579" s="480" t="s">
        <v>8</v>
      </c>
      <c r="E579" s="490">
        <f t="shared" si="83"/>
        <v>915052</v>
      </c>
      <c r="F579" s="493">
        <f t="shared" si="83"/>
        <v>65883.7</v>
      </c>
      <c r="G579" s="494">
        <f>일위대가목록표!F72</f>
        <v>915052</v>
      </c>
      <c r="H579" s="498">
        <f>IF(C579=0,0,ROUNDDOWN(G579*C579,1))</f>
        <v>65883.7</v>
      </c>
      <c r="I579" s="494">
        <f>일위대가목록표!G72</f>
        <v>0</v>
      </c>
      <c r="J579" s="498">
        <f>IF(C579=0,0,ROUNDDOWN(I579*C579,1))</f>
        <v>0</v>
      </c>
      <c r="K579" s="494">
        <f>일위대가목록표!H72</f>
        <v>0</v>
      </c>
      <c r="L579" s="498">
        <f>IF(C579=0,0,ROUNDDOWN(K579*C579,1))</f>
        <v>0</v>
      </c>
      <c r="M579" s="463" t="s">
        <v>2471</v>
      </c>
      <c r="N579" s="451" t="s">
        <v>2472</v>
      </c>
      <c r="O579" s="468" t="s">
        <v>1465</v>
      </c>
      <c r="P579" s="468" t="s">
        <v>2354</v>
      </c>
      <c r="Q579" s="468" t="s">
        <v>2355</v>
      </c>
      <c r="Z579" s="433" t="str">
        <f ca="1">HYPERLINK("#"&amp;일위대가목록표!J2&amp;"!A"&amp;ROW(일위대가목록표!A72),"B01822 →")</f>
        <v>B01822 →</v>
      </c>
    </row>
    <row r="580" spans="1:26" ht="33.200000000000003" customHeight="1">
      <c r="A580" s="452" t="s">
        <v>2574</v>
      </c>
      <c r="B580" s="452" t="s">
        <v>2575</v>
      </c>
      <c r="C580" s="489">
        <v>1.2290000000000001E-3</v>
      </c>
      <c r="D580" s="480" t="s">
        <v>2576</v>
      </c>
      <c r="E580" s="490">
        <f t="shared" si="83"/>
        <v>765000</v>
      </c>
      <c r="F580" s="491">
        <f t="shared" si="83"/>
        <v>940.1</v>
      </c>
      <c r="G580" s="492">
        <v>0</v>
      </c>
      <c r="H580" s="493">
        <f>IF(C580=0,0,ROUNDDOWN(G580*C580,1))</f>
        <v>0</v>
      </c>
      <c r="I580" s="494">
        <f>재료비목록표!E81</f>
        <v>765000</v>
      </c>
      <c r="J580" s="495">
        <f>IF(C580=0,0,ROUNDDOWN(I580*C580,1))</f>
        <v>940.1</v>
      </c>
      <c r="K580" s="492">
        <v>0</v>
      </c>
      <c r="L580" s="493">
        <f>IF(C580=0,0,ROUNDDOWN(K580*C580,1))</f>
        <v>0</v>
      </c>
      <c r="M580" s="463" t="s">
        <v>2577</v>
      </c>
      <c r="N580" s="451" t="s">
        <v>2578</v>
      </c>
      <c r="O580" s="468" t="s">
        <v>2579</v>
      </c>
      <c r="P580" s="468" t="s">
        <v>2354</v>
      </c>
      <c r="Z580" s="433" t="str">
        <f ca="1">HYPERLINK("#"&amp;재료비목록표!G2&amp;"!A"&amp;ROW(재료비목록표!A81),"M00150 →")</f>
        <v>M00150 →</v>
      </c>
    </row>
    <row r="581" spans="1:26" ht="33.200000000000003" customHeight="1">
      <c r="A581" s="452" t="s">
        <v>2574</v>
      </c>
      <c r="B581" s="452" t="s">
        <v>2632</v>
      </c>
      <c r="C581" s="489">
        <v>1.024E-3</v>
      </c>
      <c r="D581" s="480" t="s">
        <v>2576</v>
      </c>
      <c r="E581" s="490">
        <f t="shared" si="83"/>
        <v>775000</v>
      </c>
      <c r="F581" s="491">
        <f t="shared" si="83"/>
        <v>793.6</v>
      </c>
      <c r="G581" s="492">
        <v>0</v>
      </c>
      <c r="H581" s="493">
        <f>IF(C581=0,0,ROUNDDOWN(G581*C581,1))</f>
        <v>0</v>
      </c>
      <c r="I581" s="494">
        <f>재료비목록표!E80</f>
        <v>775000</v>
      </c>
      <c r="J581" s="495">
        <f>IF(C581=0,0,ROUNDDOWN(I581*C581,1))</f>
        <v>793.6</v>
      </c>
      <c r="K581" s="492">
        <v>0</v>
      </c>
      <c r="L581" s="493">
        <f>IF(C581=0,0,ROUNDDOWN(K581*C581,1))</f>
        <v>0</v>
      </c>
      <c r="M581" s="463" t="s">
        <v>2633</v>
      </c>
      <c r="N581" s="451" t="s">
        <v>2634</v>
      </c>
      <c r="O581" s="468" t="s">
        <v>2635</v>
      </c>
      <c r="P581" s="468" t="s">
        <v>2354</v>
      </c>
      <c r="Z581" s="433" t="str">
        <f ca="1">HYPERLINK("#"&amp;재료비목록표!G2&amp;"!A"&amp;ROW(재료비목록표!A80),"M01265 →")</f>
        <v>M01265 →</v>
      </c>
    </row>
    <row r="582" spans="1:26" ht="33.200000000000003" customHeight="1">
      <c r="A582" s="452" t="s">
        <v>2507</v>
      </c>
      <c r="B582" s="452" t="s">
        <v>2441</v>
      </c>
      <c r="C582" s="489">
        <v>15</v>
      </c>
      <c r="D582" s="480" t="s">
        <v>2371</v>
      </c>
      <c r="E582" s="490">
        <f t="shared" si="83"/>
        <v>72494.8</v>
      </c>
      <c r="F582" s="491">
        <f t="shared" si="83"/>
        <v>10874.2</v>
      </c>
      <c r="G582" s="496">
        <f>H577+H578+H579</f>
        <v>72494.8</v>
      </c>
      <c r="H582" s="491">
        <f>IF(C582=0,0,ROUNDDOWN(G582*C582/100,1))</f>
        <v>10874.2</v>
      </c>
      <c r="I582" s="465">
        <v>0</v>
      </c>
      <c r="J582" s="493">
        <f>IF(C582=0,0,ROUNDDOWN(I582*C582/100,1))</f>
        <v>0</v>
      </c>
      <c r="K582" s="467">
        <v>0</v>
      </c>
      <c r="L582" s="493">
        <f>IF(C582=0,0,ROUNDDOWN(K582*C582/100,1))</f>
        <v>0</v>
      </c>
      <c r="M582" s="463"/>
      <c r="N582" s="451" t="s">
        <v>2644</v>
      </c>
      <c r="O582" s="468" t="s">
        <v>2373</v>
      </c>
      <c r="P582" s="468" t="s">
        <v>2354</v>
      </c>
      <c r="Q582" s="468" t="s">
        <v>2355</v>
      </c>
    </row>
    <row r="583" spans="1:26" ht="33.200000000000003" customHeight="1">
      <c r="A583" s="463" t="s">
        <v>842</v>
      </c>
      <c r="B583" s="497"/>
      <c r="C583" s="497"/>
      <c r="D583" s="497"/>
      <c r="E583" s="497"/>
      <c r="F583" s="446">
        <f>J583+H583+L583</f>
        <v>85102</v>
      </c>
      <c r="G583" s="497"/>
      <c r="H583" s="446">
        <f>ROUNDDOWN(SUMIF(P577:P582,O583,H577:H582),0)</f>
        <v>83369</v>
      </c>
      <c r="I583" s="497"/>
      <c r="J583" s="446">
        <f>ROUNDDOWN(SUMIF(P577:P582,O583,J577:J582),0)</f>
        <v>1733</v>
      </c>
      <c r="K583" s="497"/>
      <c r="L583" s="446">
        <f>ROUNDDOWN(SUMIF(P577:P582,O583,L577:L582),0)</f>
        <v>0</v>
      </c>
      <c r="M583" s="497"/>
      <c r="O583" s="468" t="s">
        <v>2354</v>
      </c>
    </row>
    <row r="584" spans="1:26" ht="33.200000000000003" customHeight="1">
      <c r="A584" s="484" t="s">
        <v>2660</v>
      </c>
      <c r="B584" s="484"/>
      <c r="C584" s="485"/>
      <c r="D584" s="485"/>
      <c r="E584" s="485"/>
      <c r="F584" s="485"/>
      <c r="G584" s="485"/>
      <c r="H584" s="485"/>
      <c r="I584" s="485"/>
      <c r="J584" s="485"/>
      <c r="K584" s="485"/>
      <c r="L584" s="485"/>
      <c r="M584" s="485"/>
      <c r="N584" s="486" t="str">
        <f>HYPERLINK("#N"&amp;ROW(N591),"_x0005_`BDCOD|B02488_x0007_`POSS|"&amp;ROW(N586)&amp;"_x0007_`POSE|"&amp;ROW(N591)&amp;"_x0007_`")</f>
        <v>_x0005_`BDCOD|B02488_x0007_`POSS|586_x0007_`POSE|591_x0007_`</v>
      </c>
    </row>
    <row r="585" spans="1:26" ht="33.200000000000003" customHeight="1">
      <c r="A585" s="469" t="s">
        <v>5104</v>
      </c>
      <c r="B585" s="469" t="s">
        <v>988</v>
      </c>
      <c r="C585" s="487"/>
      <c r="D585" s="488" t="s">
        <v>984</v>
      </c>
      <c r="E585" s="487"/>
      <c r="F585" s="487"/>
      <c r="G585" s="487"/>
      <c r="H585" s="487"/>
      <c r="I585" s="487"/>
      <c r="J585" s="487"/>
      <c r="K585" s="487"/>
      <c r="L585" s="487"/>
      <c r="M585" s="488" t="s">
        <v>1020</v>
      </c>
      <c r="O585" s="468" t="s">
        <v>1020</v>
      </c>
    </row>
    <row r="586" spans="1:26" ht="33.200000000000003" customHeight="1">
      <c r="A586" s="452" t="s">
        <v>2484</v>
      </c>
      <c r="B586" s="452" t="s">
        <v>2485</v>
      </c>
      <c r="C586" s="489">
        <v>4.4999999999999998E-2</v>
      </c>
      <c r="D586" s="480" t="s">
        <v>8</v>
      </c>
      <c r="E586" s="490">
        <f t="shared" ref="E586:F591" si="84">I586+G586+K586</f>
        <v>62811</v>
      </c>
      <c r="F586" s="493">
        <f t="shared" si="84"/>
        <v>2826.4</v>
      </c>
      <c r="G586" s="494">
        <f>단가산출근거목록표!F157</f>
        <v>62811</v>
      </c>
      <c r="H586" s="498">
        <f>IF(C586=0,0,ROUNDDOWN(G586*C586,1))</f>
        <v>2826.4</v>
      </c>
      <c r="I586" s="494">
        <f>단가산출근거목록표!G157</f>
        <v>0</v>
      </c>
      <c r="J586" s="498">
        <f>IF(C586=0,0,ROUNDDOWN(I586*C586,1))</f>
        <v>0</v>
      </c>
      <c r="K586" s="494">
        <f>단가산출근거목록표!H157</f>
        <v>0</v>
      </c>
      <c r="L586" s="498">
        <f>IF(C586=0,0,ROUNDDOWN(K586*C586,1))</f>
        <v>0</v>
      </c>
      <c r="M586" s="463" t="s">
        <v>2486</v>
      </c>
      <c r="N586" s="451" t="s">
        <v>2487</v>
      </c>
      <c r="O586" s="468" t="s">
        <v>2488</v>
      </c>
      <c r="P586" s="468" t="s">
        <v>2354</v>
      </c>
      <c r="Q586" s="468" t="s">
        <v>2355</v>
      </c>
      <c r="Z586" s="433" t="str">
        <f ca="1">HYPERLINK("#"&amp;단가산출근거목록표!J2&amp;"!A"&amp;ROW(단가산출근거목록표!A157),"D01241 →")</f>
        <v>D01241 →</v>
      </c>
    </row>
    <row r="587" spans="1:26" ht="33.200000000000003" customHeight="1">
      <c r="A587" s="452" t="s">
        <v>2321</v>
      </c>
      <c r="B587" s="452" t="s">
        <v>2322</v>
      </c>
      <c r="C587" s="489">
        <v>4.4999999999999998E-2</v>
      </c>
      <c r="D587" s="480" t="s">
        <v>8</v>
      </c>
      <c r="E587" s="490">
        <f t="shared" si="84"/>
        <v>34413</v>
      </c>
      <c r="F587" s="493">
        <f t="shared" si="84"/>
        <v>1548.5</v>
      </c>
      <c r="G587" s="494">
        <f>일위대가목록표!F275</f>
        <v>34413</v>
      </c>
      <c r="H587" s="498">
        <f>IF(C587=0,0,ROUNDDOWN(G587*C587,1))</f>
        <v>1548.5</v>
      </c>
      <c r="I587" s="494">
        <f>일위대가목록표!G275</f>
        <v>0</v>
      </c>
      <c r="J587" s="498">
        <f>IF(C587=0,0,ROUNDDOWN(I587*C587,1))</f>
        <v>0</v>
      </c>
      <c r="K587" s="494">
        <f>일위대가목록표!H275</f>
        <v>0</v>
      </c>
      <c r="L587" s="498">
        <f>IF(C587=0,0,ROUNDDOWN(K587*C587,1))</f>
        <v>0</v>
      </c>
      <c r="M587" s="463" t="s">
        <v>2489</v>
      </c>
      <c r="N587" s="451" t="s">
        <v>2490</v>
      </c>
      <c r="O587" s="468" t="s">
        <v>2491</v>
      </c>
      <c r="P587" s="468" t="s">
        <v>2354</v>
      </c>
      <c r="Q587" s="468" t="s">
        <v>2355</v>
      </c>
      <c r="Z587" s="433" t="str">
        <f ca="1">HYPERLINK("#"&amp;일위대가목록표!J2&amp;"!A"&amp;ROW(일위대가목록표!A275),"B01414 →")</f>
        <v>B01414 →</v>
      </c>
    </row>
    <row r="588" spans="1:26" ht="33.200000000000003" customHeight="1">
      <c r="A588" s="452" t="s">
        <v>1461</v>
      </c>
      <c r="B588" s="452" t="s">
        <v>1462</v>
      </c>
      <c r="C588" s="489">
        <v>4.8000000000000001E-2</v>
      </c>
      <c r="D588" s="480" t="s">
        <v>8</v>
      </c>
      <c r="E588" s="490">
        <f t="shared" si="84"/>
        <v>915052</v>
      </c>
      <c r="F588" s="493">
        <f t="shared" si="84"/>
        <v>43922.400000000001</v>
      </c>
      <c r="G588" s="494">
        <f>일위대가목록표!F72</f>
        <v>915052</v>
      </c>
      <c r="H588" s="498">
        <f>IF(C588=0,0,ROUNDDOWN(G588*C588,1))</f>
        <v>43922.400000000001</v>
      </c>
      <c r="I588" s="494">
        <f>일위대가목록표!G72</f>
        <v>0</v>
      </c>
      <c r="J588" s="498">
        <f>IF(C588=0,0,ROUNDDOWN(I588*C588,1))</f>
        <v>0</v>
      </c>
      <c r="K588" s="494">
        <f>일위대가목록표!H72</f>
        <v>0</v>
      </c>
      <c r="L588" s="498">
        <f>IF(C588=0,0,ROUNDDOWN(K588*C588,1))</f>
        <v>0</v>
      </c>
      <c r="M588" s="463" t="s">
        <v>2471</v>
      </c>
      <c r="N588" s="451" t="s">
        <v>2472</v>
      </c>
      <c r="O588" s="468" t="s">
        <v>1465</v>
      </c>
      <c r="P588" s="468" t="s">
        <v>2354</v>
      </c>
      <c r="Q588" s="468" t="s">
        <v>2355</v>
      </c>
      <c r="Z588" s="433" t="str">
        <f ca="1">HYPERLINK("#"&amp;일위대가목록표!J2&amp;"!A"&amp;ROW(일위대가목록표!A72),"B01822 →")</f>
        <v>B01822 →</v>
      </c>
    </row>
    <row r="589" spans="1:26" ht="33.200000000000003" customHeight="1">
      <c r="A589" s="452" t="s">
        <v>2574</v>
      </c>
      <c r="B589" s="452" t="s">
        <v>2575</v>
      </c>
      <c r="C589" s="489">
        <v>1.2290000000000001E-3</v>
      </c>
      <c r="D589" s="480" t="s">
        <v>2576</v>
      </c>
      <c r="E589" s="490">
        <f t="shared" si="84"/>
        <v>765000</v>
      </c>
      <c r="F589" s="491">
        <f t="shared" si="84"/>
        <v>940.1</v>
      </c>
      <c r="G589" s="492">
        <v>0</v>
      </c>
      <c r="H589" s="493">
        <f>IF(C589=0,0,ROUNDDOWN(G589*C589,1))</f>
        <v>0</v>
      </c>
      <c r="I589" s="494">
        <f>재료비목록표!E81</f>
        <v>765000</v>
      </c>
      <c r="J589" s="495">
        <f>IF(C589=0,0,ROUNDDOWN(I589*C589,1))</f>
        <v>940.1</v>
      </c>
      <c r="K589" s="492">
        <v>0</v>
      </c>
      <c r="L589" s="493">
        <f>IF(C589=0,0,ROUNDDOWN(K589*C589,1))</f>
        <v>0</v>
      </c>
      <c r="M589" s="463" t="s">
        <v>2577</v>
      </c>
      <c r="N589" s="451" t="s">
        <v>2578</v>
      </c>
      <c r="O589" s="468" t="s">
        <v>2579</v>
      </c>
      <c r="P589" s="468" t="s">
        <v>2354</v>
      </c>
      <c r="Z589" s="433" t="str">
        <f ca="1">HYPERLINK("#"&amp;재료비목록표!G2&amp;"!A"&amp;ROW(재료비목록표!A81),"M00150 →")</f>
        <v>M00150 →</v>
      </c>
    </row>
    <row r="590" spans="1:26" ht="33.200000000000003" customHeight="1">
      <c r="A590" s="452" t="s">
        <v>2574</v>
      </c>
      <c r="B590" s="452" t="s">
        <v>2632</v>
      </c>
      <c r="C590" s="489">
        <v>1.024E-3</v>
      </c>
      <c r="D590" s="480" t="s">
        <v>2576</v>
      </c>
      <c r="E590" s="490">
        <f t="shared" si="84"/>
        <v>775000</v>
      </c>
      <c r="F590" s="491">
        <f t="shared" si="84"/>
        <v>793.6</v>
      </c>
      <c r="G590" s="492">
        <v>0</v>
      </c>
      <c r="H590" s="493">
        <f>IF(C590=0,0,ROUNDDOWN(G590*C590,1))</f>
        <v>0</v>
      </c>
      <c r="I590" s="494">
        <f>재료비목록표!E80</f>
        <v>775000</v>
      </c>
      <c r="J590" s="495">
        <f>IF(C590=0,0,ROUNDDOWN(I590*C590,1))</f>
        <v>793.6</v>
      </c>
      <c r="K590" s="492">
        <v>0</v>
      </c>
      <c r="L590" s="493">
        <f>IF(C590=0,0,ROUNDDOWN(K590*C590,1))</f>
        <v>0</v>
      </c>
      <c r="M590" s="463" t="s">
        <v>2633</v>
      </c>
      <c r="N590" s="451" t="s">
        <v>2634</v>
      </c>
      <c r="O590" s="468" t="s">
        <v>2635</v>
      </c>
      <c r="P590" s="468" t="s">
        <v>2354</v>
      </c>
      <c r="Z590" s="433" t="str">
        <f ca="1">HYPERLINK("#"&amp;재료비목록표!G2&amp;"!A"&amp;ROW(재료비목록표!A80),"M01265 →")</f>
        <v>M01265 →</v>
      </c>
    </row>
    <row r="591" spans="1:26" ht="33.200000000000003" customHeight="1">
      <c r="A591" s="452" t="s">
        <v>2507</v>
      </c>
      <c r="B591" s="452" t="s">
        <v>2441</v>
      </c>
      <c r="C591" s="489">
        <v>25</v>
      </c>
      <c r="D591" s="480" t="s">
        <v>2371</v>
      </c>
      <c r="E591" s="490">
        <f t="shared" si="84"/>
        <v>48297.3</v>
      </c>
      <c r="F591" s="491">
        <f t="shared" si="84"/>
        <v>12074.3</v>
      </c>
      <c r="G591" s="496">
        <f>H586+H587+H588</f>
        <v>48297.3</v>
      </c>
      <c r="H591" s="491">
        <f>IF(C591=0,0,ROUNDDOWN(G591*C591/100,1))</f>
        <v>12074.3</v>
      </c>
      <c r="I591" s="465">
        <v>0</v>
      </c>
      <c r="J591" s="493">
        <f>IF(C591=0,0,ROUNDDOWN(I591*C591/100,1))</f>
        <v>0</v>
      </c>
      <c r="K591" s="467">
        <v>0</v>
      </c>
      <c r="L591" s="493">
        <f>IF(C591=0,0,ROUNDDOWN(K591*C591/100,1))</f>
        <v>0</v>
      </c>
      <c r="M591" s="463"/>
      <c r="N591" s="451" t="s">
        <v>2644</v>
      </c>
      <c r="O591" s="468" t="s">
        <v>2373</v>
      </c>
      <c r="P591" s="468" t="s">
        <v>2354</v>
      </c>
      <c r="Q591" s="468" t="s">
        <v>2355</v>
      </c>
    </row>
    <row r="592" spans="1:26" ht="33.200000000000003" customHeight="1">
      <c r="A592" s="463" t="s">
        <v>842</v>
      </c>
      <c r="B592" s="497"/>
      <c r="C592" s="497"/>
      <c r="D592" s="497"/>
      <c r="E592" s="497"/>
      <c r="F592" s="446">
        <f>J592+H592+L592</f>
        <v>62104</v>
      </c>
      <c r="G592" s="497"/>
      <c r="H592" s="446">
        <f>ROUNDDOWN(SUMIF(P586:P591,O592,H586:H591),0)</f>
        <v>60371</v>
      </c>
      <c r="I592" s="497"/>
      <c r="J592" s="446">
        <f>ROUNDDOWN(SUMIF(P586:P591,O592,J586:J591),0)</f>
        <v>1733</v>
      </c>
      <c r="K592" s="497"/>
      <c r="L592" s="446">
        <f>ROUNDDOWN(SUMIF(P586:P591,O592,L586:L591),0)</f>
        <v>0</v>
      </c>
      <c r="M592" s="497"/>
      <c r="O592" s="468" t="s">
        <v>2354</v>
      </c>
    </row>
    <row r="593" spans="1:26" ht="33.200000000000003" customHeight="1">
      <c r="A593" s="484" t="s">
        <v>2661</v>
      </c>
      <c r="B593" s="484"/>
      <c r="C593" s="485"/>
      <c r="D593" s="485"/>
      <c r="E593" s="485"/>
      <c r="F593" s="485"/>
      <c r="G593" s="485"/>
      <c r="H593" s="485"/>
      <c r="I593" s="485"/>
      <c r="J593" s="485"/>
      <c r="K593" s="485"/>
      <c r="L593" s="485"/>
      <c r="M593" s="485"/>
      <c r="N593" s="486" t="str">
        <f>HYPERLINK("#N"&amp;ROW(N600),"_x0005_`BDCOD|B02489_x0007_`POSS|"&amp;ROW(N595)&amp;"_x0007_`POSE|"&amp;ROW(N600)&amp;"_x0007_`")</f>
        <v>_x0005_`BDCOD|B02489_x0007_`POSS|595_x0007_`POSE|600_x0007_`</v>
      </c>
    </row>
    <row r="594" spans="1:26" ht="33.200000000000003" customHeight="1">
      <c r="A594" s="469" t="s">
        <v>5104</v>
      </c>
      <c r="B594" s="469" t="s">
        <v>992</v>
      </c>
      <c r="C594" s="487"/>
      <c r="D594" s="488" t="s">
        <v>984</v>
      </c>
      <c r="E594" s="487"/>
      <c r="F594" s="487"/>
      <c r="G594" s="487"/>
      <c r="H594" s="487"/>
      <c r="I594" s="487"/>
      <c r="J594" s="487"/>
      <c r="K594" s="487"/>
      <c r="L594" s="487"/>
      <c r="M594" s="488" t="s">
        <v>1023</v>
      </c>
      <c r="O594" s="468" t="s">
        <v>1023</v>
      </c>
    </row>
    <row r="595" spans="1:26" ht="33.200000000000003" customHeight="1">
      <c r="A595" s="452" t="s">
        <v>2484</v>
      </c>
      <c r="B595" s="452" t="s">
        <v>2485</v>
      </c>
      <c r="C595" s="489">
        <v>5.3999999999999999E-2</v>
      </c>
      <c r="D595" s="480" t="s">
        <v>8</v>
      </c>
      <c r="E595" s="490">
        <f t="shared" ref="E595:F600" si="85">I595+G595+K595</f>
        <v>62811</v>
      </c>
      <c r="F595" s="493">
        <f t="shared" si="85"/>
        <v>3391.7</v>
      </c>
      <c r="G595" s="494">
        <f>단가산출근거목록표!F157</f>
        <v>62811</v>
      </c>
      <c r="H595" s="498">
        <f>IF(C595=0,0,ROUNDDOWN(G595*C595,1))</f>
        <v>3391.7</v>
      </c>
      <c r="I595" s="494">
        <f>단가산출근거목록표!G157</f>
        <v>0</v>
      </c>
      <c r="J595" s="498">
        <f>IF(C595=0,0,ROUNDDOWN(I595*C595,1))</f>
        <v>0</v>
      </c>
      <c r="K595" s="494">
        <f>단가산출근거목록표!H157</f>
        <v>0</v>
      </c>
      <c r="L595" s="498">
        <f>IF(C595=0,0,ROUNDDOWN(K595*C595,1))</f>
        <v>0</v>
      </c>
      <c r="M595" s="463" t="s">
        <v>2486</v>
      </c>
      <c r="N595" s="451" t="s">
        <v>2487</v>
      </c>
      <c r="O595" s="468" t="s">
        <v>2488</v>
      </c>
      <c r="P595" s="468" t="s">
        <v>2354</v>
      </c>
      <c r="Q595" s="468" t="s">
        <v>2355</v>
      </c>
      <c r="Z595" s="433" t="str">
        <f ca="1">HYPERLINK("#"&amp;단가산출근거목록표!J2&amp;"!A"&amp;ROW(단가산출근거목록표!A157),"D01241 →")</f>
        <v>D01241 →</v>
      </c>
    </row>
    <row r="596" spans="1:26" ht="33.200000000000003" customHeight="1">
      <c r="A596" s="452" t="s">
        <v>2321</v>
      </c>
      <c r="B596" s="452" t="s">
        <v>2322</v>
      </c>
      <c r="C596" s="489">
        <v>5.3999999999999999E-2</v>
      </c>
      <c r="D596" s="480" t="s">
        <v>8</v>
      </c>
      <c r="E596" s="490">
        <f t="shared" si="85"/>
        <v>34413</v>
      </c>
      <c r="F596" s="493">
        <f t="shared" si="85"/>
        <v>1858.3</v>
      </c>
      <c r="G596" s="494">
        <f>일위대가목록표!F275</f>
        <v>34413</v>
      </c>
      <c r="H596" s="498">
        <f>IF(C596=0,0,ROUNDDOWN(G596*C596,1))</f>
        <v>1858.3</v>
      </c>
      <c r="I596" s="494">
        <f>일위대가목록표!G275</f>
        <v>0</v>
      </c>
      <c r="J596" s="498">
        <f>IF(C596=0,0,ROUNDDOWN(I596*C596,1))</f>
        <v>0</v>
      </c>
      <c r="K596" s="494">
        <f>일위대가목록표!H275</f>
        <v>0</v>
      </c>
      <c r="L596" s="498">
        <f>IF(C596=0,0,ROUNDDOWN(K596*C596,1))</f>
        <v>0</v>
      </c>
      <c r="M596" s="463" t="s">
        <v>2489</v>
      </c>
      <c r="N596" s="451" t="s">
        <v>2490</v>
      </c>
      <c r="O596" s="468" t="s">
        <v>2491</v>
      </c>
      <c r="P596" s="468" t="s">
        <v>2354</v>
      </c>
      <c r="Q596" s="468" t="s">
        <v>2355</v>
      </c>
      <c r="Z596" s="433" t="str">
        <f ca="1">HYPERLINK("#"&amp;일위대가목록표!J2&amp;"!A"&amp;ROW(일위대가목록표!A275),"B01414 →")</f>
        <v>B01414 →</v>
      </c>
    </row>
    <row r="597" spans="1:26" ht="33.200000000000003" customHeight="1">
      <c r="A597" s="452" t="s">
        <v>1461</v>
      </c>
      <c r="B597" s="452" t="s">
        <v>1462</v>
      </c>
      <c r="C597" s="489">
        <v>5.8000000000000003E-2</v>
      </c>
      <c r="D597" s="480" t="s">
        <v>8</v>
      </c>
      <c r="E597" s="490">
        <f t="shared" si="85"/>
        <v>915052</v>
      </c>
      <c r="F597" s="493">
        <f t="shared" si="85"/>
        <v>53073</v>
      </c>
      <c r="G597" s="494">
        <f>일위대가목록표!F72</f>
        <v>915052</v>
      </c>
      <c r="H597" s="498">
        <f>IF(C597=0,0,ROUNDDOWN(G597*C597,1))</f>
        <v>53073</v>
      </c>
      <c r="I597" s="494">
        <f>일위대가목록표!G72</f>
        <v>0</v>
      </c>
      <c r="J597" s="498">
        <f>IF(C597=0,0,ROUNDDOWN(I597*C597,1))</f>
        <v>0</v>
      </c>
      <c r="K597" s="494">
        <f>일위대가목록표!H72</f>
        <v>0</v>
      </c>
      <c r="L597" s="498">
        <f>IF(C597=0,0,ROUNDDOWN(K597*C597,1))</f>
        <v>0</v>
      </c>
      <c r="M597" s="463" t="s">
        <v>2471</v>
      </c>
      <c r="N597" s="451" t="s">
        <v>2472</v>
      </c>
      <c r="O597" s="468" t="s">
        <v>1465</v>
      </c>
      <c r="P597" s="468" t="s">
        <v>2354</v>
      </c>
      <c r="Q597" s="468" t="s">
        <v>2355</v>
      </c>
      <c r="Z597" s="433" t="str">
        <f ca="1">HYPERLINK("#"&amp;일위대가목록표!J2&amp;"!A"&amp;ROW(일위대가목록표!A72),"B01822 →")</f>
        <v>B01822 →</v>
      </c>
    </row>
    <row r="598" spans="1:26" ht="33.200000000000003" customHeight="1">
      <c r="A598" s="452" t="s">
        <v>2574</v>
      </c>
      <c r="B598" s="452" t="s">
        <v>2575</v>
      </c>
      <c r="C598" s="489">
        <v>1.2290000000000001E-3</v>
      </c>
      <c r="D598" s="480" t="s">
        <v>2576</v>
      </c>
      <c r="E598" s="490">
        <f t="shared" si="85"/>
        <v>765000</v>
      </c>
      <c r="F598" s="491">
        <f t="shared" si="85"/>
        <v>940.1</v>
      </c>
      <c r="G598" s="492">
        <v>0</v>
      </c>
      <c r="H598" s="493">
        <f>IF(C598=0,0,ROUNDDOWN(G598*C598,1))</f>
        <v>0</v>
      </c>
      <c r="I598" s="494">
        <f>재료비목록표!E81</f>
        <v>765000</v>
      </c>
      <c r="J598" s="495">
        <f>IF(C598=0,0,ROUNDDOWN(I598*C598,1))</f>
        <v>940.1</v>
      </c>
      <c r="K598" s="492">
        <v>0</v>
      </c>
      <c r="L598" s="493">
        <f>IF(C598=0,0,ROUNDDOWN(K598*C598,1))</f>
        <v>0</v>
      </c>
      <c r="M598" s="463" t="s">
        <v>2577</v>
      </c>
      <c r="N598" s="451" t="s">
        <v>2578</v>
      </c>
      <c r="O598" s="468" t="s">
        <v>2579</v>
      </c>
      <c r="P598" s="468" t="s">
        <v>2354</v>
      </c>
      <c r="Z598" s="433" t="str">
        <f ca="1">HYPERLINK("#"&amp;재료비목록표!G2&amp;"!A"&amp;ROW(재료비목록표!A81),"M00150 →")</f>
        <v>M00150 →</v>
      </c>
    </row>
    <row r="599" spans="1:26" ht="33.200000000000003" customHeight="1">
      <c r="A599" s="452" t="s">
        <v>2574</v>
      </c>
      <c r="B599" s="452" t="s">
        <v>2632</v>
      </c>
      <c r="C599" s="489">
        <v>1.024E-3</v>
      </c>
      <c r="D599" s="480" t="s">
        <v>2576</v>
      </c>
      <c r="E599" s="490">
        <f t="shared" si="85"/>
        <v>775000</v>
      </c>
      <c r="F599" s="491">
        <f t="shared" si="85"/>
        <v>793.6</v>
      </c>
      <c r="G599" s="492">
        <v>0</v>
      </c>
      <c r="H599" s="493">
        <f>IF(C599=0,0,ROUNDDOWN(G599*C599,1))</f>
        <v>0</v>
      </c>
      <c r="I599" s="494">
        <f>재료비목록표!E80</f>
        <v>775000</v>
      </c>
      <c r="J599" s="495">
        <f>IF(C599=0,0,ROUNDDOWN(I599*C599,1))</f>
        <v>793.6</v>
      </c>
      <c r="K599" s="492">
        <v>0</v>
      </c>
      <c r="L599" s="493">
        <f>IF(C599=0,0,ROUNDDOWN(K599*C599,1))</f>
        <v>0</v>
      </c>
      <c r="M599" s="463" t="s">
        <v>2633</v>
      </c>
      <c r="N599" s="451" t="s">
        <v>2634</v>
      </c>
      <c r="O599" s="468" t="s">
        <v>2635</v>
      </c>
      <c r="P599" s="468" t="s">
        <v>2354</v>
      </c>
      <c r="Z599" s="433" t="str">
        <f ca="1">HYPERLINK("#"&amp;재료비목록표!G2&amp;"!A"&amp;ROW(재료비목록표!A80),"M01265 →")</f>
        <v>M01265 →</v>
      </c>
    </row>
    <row r="600" spans="1:26" ht="33.200000000000003" customHeight="1">
      <c r="A600" s="452" t="s">
        <v>2507</v>
      </c>
      <c r="B600" s="452" t="s">
        <v>2441</v>
      </c>
      <c r="C600" s="489">
        <v>25</v>
      </c>
      <c r="D600" s="480" t="s">
        <v>2371</v>
      </c>
      <c r="E600" s="490">
        <f t="shared" si="85"/>
        <v>58323</v>
      </c>
      <c r="F600" s="491">
        <f t="shared" si="85"/>
        <v>14580.7</v>
      </c>
      <c r="G600" s="496">
        <f>H595+H596+H597</f>
        <v>58323</v>
      </c>
      <c r="H600" s="491">
        <f>IF(C600=0,0,ROUNDDOWN(G600*C600/100,1))</f>
        <v>14580.7</v>
      </c>
      <c r="I600" s="465">
        <v>0</v>
      </c>
      <c r="J600" s="493">
        <f>IF(C600=0,0,ROUNDDOWN(I600*C600/100,1))</f>
        <v>0</v>
      </c>
      <c r="K600" s="467">
        <v>0</v>
      </c>
      <c r="L600" s="493">
        <f>IF(C600=0,0,ROUNDDOWN(K600*C600/100,1))</f>
        <v>0</v>
      </c>
      <c r="M600" s="463"/>
      <c r="N600" s="451" t="s">
        <v>2644</v>
      </c>
      <c r="O600" s="468" t="s">
        <v>2373</v>
      </c>
      <c r="P600" s="468" t="s">
        <v>2354</v>
      </c>
      <c r="Q600" s="468" t="s">
        <v>2355</v>
      </c>
    </row>
    <row r="601" spans="1:26" ht="33.200000000000003" customHeight="1">
      <c r="A601" s="463" t="s">
        <v>842</v>
      </c>
      <c r="B601" s="497"/>
      <c r="C601" s="497"/>
      <c r="D601" s="497"/>
      <c r="E601" s="497"/>
      <c r="F601" s="446">
        <f>J601+H601+L601</f>
        <v>74636</v>
      </c>
      <c r="G601" s="497"/>
      <c r="H601" s="446">
        <f>ROUNDDOWN(SUMIF(P595:P600,O601,H595:H600),0)</f>
        <v>72903</v>
      </c>
      <c r="I601" s="497"/>
      <c r="J601" s="446">
        <f>ROUNDDOWN(SUMIF(P595:P600,O601,J595:J600),0)</f>
        <v>1733</v>
      </c>
      <c r="K601" s="497"/>
      <c r="L601" s="446">
        <f>ROUNDDOWN(SUMIF(P595:P600,O601,L595:L600),0)</f>
        <v>0</v>
      </c>
      <c r="M601" s="497"/>
      <c r="O601" s="468" t="s">
        <v>2354</v>
      </c>
    </row>
    <row r="602" spans="1:26" ht="33.200000000000003" customHeight="1">
      <c r="A602" s="484" t="s">
        <v>2662</v>
      </c>
      <c r="B602" s="484"/>
      <c r="C602" s="485"/>
      <c r="D602" s="485"/>
      <c r="E602" s="485"/>
      <c r="F602" s="485"/>
      <c r="G602" s="485"/>
      <c r="H602" s="485"/>
      <c r="I602" s="485"/>
      <c r="J602" s="485"/>
      <c r="K602" s="485"/>
      <c r="L602" s="485"/>
      <c r="M602" s="485"/>
      <c r="N602" s="486" t="str">
        <f>HYPERLINK("#N"&amp;ROW(N609),"_x0005_`BDCOD|B02490_x0007_`POSS|"&amp;ROW(N604)&amp;"_x0007_`POSE|"&amp;ROW(N609)&amp;"_x0007_`")</f>
        <v>_x0005_`BDCOD|B02490_x0007_`POSS|604_x0007_`POSE|609_x0007_`</v>
      </c>
    </row>
    <row r="603" spans="1:26" ht="33.200000000000003" customHeight="1">
      <c r="A603" s="469" t="s">
        <v>5104</v>
      </c>
      <c r="B603" s="469" t="s">
        <v>996</v>
      </c>
      <c r="C603" s="487"/>
      <c r="D603" s="488" t="s">
        <v>984</v>
      </c>
      <c r="E603" s="487"/>
      <c r="F603" s="487"/>
      <c r="G603" s="487"/>
      <c r="H603" s="487"/>
      <c r="I603" s="487"/>
      <c r="J603" s="487"/>
      <c r="K603" s="487"/>
      <c r="L603" s="487"/>
      <c r="M603" s="488" t="s">
        <v>1026</v>
      </c>
      <c r="O603" s="468" t="s">
        <v>1026</v>
      </c>
    </row>
    <row r="604" spans="1:26" ht="33.200000000000003" customHeight="1">
      <c r="A604" s="452" t="s">
        <v>2484</v>
      </c>
      <c r="B604" s="452" t="s">
        <v>2485</v>
      </c>
      <c r="C604" s="489">
        <v>6.8000000000000005E-2</v>
      </c>
      <c r="D604" s="480" t="s">
        <v>8</v>
      </c>
      <c r="E604" s="490">
        <f t="shared" ref="E604:F609" si="86">I604+G604+K604</f>
        <v>62811</v>
      </c>
      <c r="F604" s="493">
        <f t="shared" si="86"/>
        <v>4271.1000000000004</v>
      </c>
      <c r="G604" s="494">
        <f>단가산출근거목록표!F157</f>
        <v>62811</v>
      </c>
      <c r="H604" s="498">
        <f>IF(C604=0,0,ROUNDDOWN(G604*C604,1))</f>
        <v>4271.1000000000004</v>
      </c>
      <c r="I604" s="494">
        <f>단가산출근거목록표!G157</f>
        <v>0</v>
      </c>
      <c r="J604" s="498">
        <f>IF(C604=0,0,ROUNDDOWN(I604*C604,1))</f>
        <v>0</v>
      </c>
      <c r="K604" s="494">
        <f>단가산출근거목록표!H157</f>
        <v>0</v>
      </c>
      <c r="L604" s="498">
        <f>IF(C604=0,0,ROUNDDOWN(K604*C604,1))</f>
        <v>0</v>
      </c>
      <c r="M604" s="463" t="s">
        <v>2486</v>
      </c>
      <c r="N604" s="451" t="s">
        <v>2487</v>
      </c>
      <c r="O604" s="468" t="s">
        <v>2488</v>
      </c>
      <c r="P604" s="468" t="s">
        <v>2354</v>
      </c>
      <c r="Q604" s="468" t="s">
        <v>2355</v>
      </c>
      <c r="Z604" s="433" t="str">
        <f ca="1">HYPERLINK("#"&amp;단가산출근거목록표!J2&amp;"!A"&amp;ROW(단가산출근거목록표!A157),"D01241 →")</f>
        <v>D01241 →</v>
      </c>
    </row>
    <row r="605" spans="1:26" ht="33.200000000000003" customHeight="1">
      <c r="A605" s="452" t="s">
        <v>2321</v>
      </c>
      <c r="B605" s="452" t="s">
        <v>2322</v>
      </c>
      <c r="C605" s="489">
        <v>6.8000000000000005E-2</v>
      </c>
      <c r="D605" s="480" t="s">
        <v>8</v>
      </c>
      <c r="E605" s="490">
        <f t="shared" si="86"/>
        <v>34413</v>
      </c>
      <c r="F605" s="493">
        <f t="shared" si="86"/>
        <v>2340</v>
      </c>
      <c r="G605" s="494">
        <f>일위대가목록표!F275</f>
        <v>34413</v>
      </c>
      <c r="H605" s="498">
        <f>IF(C605=0,0,ROUNDDOWN(G605*C605,1))</f>
        <v>2340</v>
      </c>
      <c r="I605" s="494">
        <f>일위대가목록표!G275</f>
        <v>0</v>
      </c>
      <c r="J605" s="498">
        <f>IF(C605=0,0,ROUNDDOWN(I605*C605,1))</f>
        <v>0</v>
      </c>
      <c r="K605" s="494">
        <f>일위대가목록표!H275</f>
        <v>0</v>
      </c>
      <c r="L605" s="498">
        <f>IF(C605=0,0,ROUNDDOWN(K605*C605,1))</f>
        <v>0</v>
      </c>
      <c r="M605" s="463" t="s">
        <v>2489</v>
      </c>
      <c r="N605" s="451" t="s">
        <v>2490</v>
      </c>
      <c r="O605" s="468" t="s">
        <v>2491</v>
      </c>
      <c r="P605" s="468" t="s">
        <v>2354</v>
      </c>
      <c r="Q605" s="468" t="s">
        <v>2355</v>
      </c>
      <c r="Z605" s="433" t="str">
        <f ca="1">HYPERLINK("#"&amp;일위대가목록표!J2&amp;"!A"&amp;ROW(일위대가목록표!A275),"B01414 →")</f>
        <v>B01414 →</v>
      </c>
    </row>
    <row r="606" spans="1:26" ht="33.200000000000003" customHeight="1">
      <c r="A606" s="452" t="s">
        <v>1461</v>
      </c>
      <c r="B606" s="452" t="s">
        <v>1462</v>
      </c>
      <c r="C606" s="489">
        <v>7.1999999999999995E-2</v>
      </c>
      <c r="D606" s="480" t="s">
        <v>8</v>
      </c>
      <c r="E606" s="490">
        <f t="shared" si="86"/>
        <v>915052</v>
      </c>
      <c r="F606" s="493">
        <f t="shared" si="86"/>
        <v>65883.7</v>
      </c>
      <c r="G606" s="494">
        <f>일위대가목록표!F72</f>
        <v>915052</v>
      </c>
      <c r="H606" s="498">
        <f>IF(C606=0,0,ROUNDDOWN(G606*C606,1))</f>
        <v>65883.7</v>
      </c>
      <c r="I606" s="494">
        <f>일위대가목록표!G72</f>
        <v>0</v>
      </c>
      <c r="J606" s="498">
        <f>IF(C606=0,0,ROUNDDOWN(I606*C606,1))</f>
        <v>0</v>
      </c>
      <c r="K606" s="494">
        <f>일위대가목록표!H72</f>
        <v>0</v>
      </c>
      <c r="L606" s="498">
        <f>IF(C606=0,0,ROUNDDOWN(K606*C606,1))</f>
        <v>0</v>
      </c>
      <c r="M606" s="463" t="s">
        <v>2471</v>
      </c>
      <c r="N606" s="451" t="s">
        <v>2472</v>
      </c>
      <c r="O606" s="468" t="s">
        <v>1465</v>
      </c>
      <c r="P606" s="468" t="s">
        <v>2354</v>
      </c>
      <c r="Q606" s="468" t="s">
        <v>2355</v>
      </c>
      <c r="Z606" s="433" t="str">
        <f ca="1">HYPERLINK("#"&amp;일위대가목록표!J2&amp;"!A"&amp;ROW(일위대가목록표!A72),"B01822 →")</f>
        <v>B01822 →</v>
      </c>
    </row>
    <row r="607" spans="1:26" ht="33.200000000000003" customHeight="1">
      <c r="A607" s="452" t="s">
        <v>2574</v>
      </c>
      <c r="B607" s="452" t="s">
        <v>2575</v>
      </c>
      <c r="C607" s="489">
        <v>1.2290000000000001E-3</v>
      </c>
      <c r="D607" s="480" t="s">
        <v>2576</v>
      </c>
      <c r="E607" s="490">
        <f t="shared" si="86"/>
        <v>765000</v>
      </c>
      <c r="F607" s="491">
        <f t="shared" si="86"/>
        <v>940.1</v>
      </c>
      <c r="G607" s="492">
        <v>0</v>
      </c>
      <c r="H607" s="493">
        <f>IF(C607=0,0,ROUNDDOWN(G607*C607,1))</f>
        <v>0</v>
      </c>
      <c r="I607" s="494">
        <f>재료비목록표!E81</f>
        <v>765000</v>
      </c>
      <c r="J607" s="495">
        <f>IF(C607=0,0,ROUNDDOWN(I607*C607,1))</f>
        <v>940.1</v>
      </c>
      <c r="K607" s="492">
        <v>0</v>
      </c>
      <c r="L607" s="493">
        <f>IF(C607=0,0,ROUNDDOWN(K607*C607,1))</f>
        <v>0</v>
      </c>
      <c r="M607" s="463" t="s">
        <v>2577</v>
      </c>
      <c r="N607" s="451" t="s">
        <v>2578</v>
      </c>
      <c r="O607" s="468" t="s">
        <v>2579</v>
      </c>
      <c r="P607" s="468" t="s">
        <v>2354</v>
      </c>
      <c r="Z607" s="433" t="str">
        <f ca="1">HYPERLINK("#"&amp;재료비목록표!G2&amp;"!A"&amp;ROW(재료비목록표!A81),"M00150 →")</f>
        <v>M00150 →</v>
      </c>
    </row>
    <row r="608" spans="1:26" ht="33.200000000000003" customHeight="1">
      <c r="A608" s="452" t="s">
        <v>2574</v>
      </c>
      <c r="B608" s="452" t="s">
        <v>2632</v>
      </c>
      <c r="C608" s="489">
        <v>1.024E-3</v>
      </c>
      <c r="D608" s="480" t="s">
        <v>2576</v>
      </c>
      <c r="E608" s="490">
        <f t="shared" si="86"/>
        <v>775000</v>
      </c>
      <c r="F608" s="491">
        <f t="shared" si="86"/>
        <v>793.6</v>
      </c>
      <c r="G608" s="492">
        <v>0</v>
      </c>
      <c r="H608" s="493">
        <f>IF(C608=0,0,ROUNDDOWN(G608*C608,1))</f>
        <v>0</v>
      </c>
      <c r="I608" s="494">
        <f>재료비목록표!E80</f>
        <v>775000</v>
      </c>
      <c r="J608" s="495">
        <f>IF(C608=0,0,ROUNDDOWN(I608*C608,1))</f>
        <v>793.6</v>
      </c>
      <c r="K608" s="492">
        <v>0</v>
      </c>
      <c r="L608" s="493">
        <f>IF(C608=0,0,ROUNDDOWN(K608*C608,1))</f>
        <v>0</v>
      </c>
      <c r="M608" s="463" t="s">
        <v>2633</v>
      </c>
      <c r="N608" s="451" t="s">
        <v>2634</v>
      </c>
      <c r="O608" s="468" t="s">
        <v>2635</v>
      </c>
      <c r="P608" s="468" t="s">
        <v>2354</v>
      </c>
      <c r="Z608" s="433" t="str">
        <f ca="1">HYPERLINK("#"&amp;재료비목록표!G2&amp;"!A"&amp;ROW(재료비목록표!A80),"M01265 →")</f>
        <v>M01265 →</v>
      </c>
    </row>
    <row r="609" spans="1:26" ht="33.200000000000003" customHeight="1">
      <c r="A609" s="452" t="s">
        <v>2507</v>
      </c>
      <c r="B609" s="452" t="s">
        <v>2441</v>
      </c>
      <c r="C609" s="489">
        <v>25</v>
      </c>
      <c r="D609" s="480" t="s">
        <v>2371</v>
      </c>
      <c r="E609" s="490">
        <f t="shared" si="86"/>
        <v>72494.8</v>
      </c>
      <c r="F609" s="491">
        <f t="shared" si="86"/>
        <v>18123.7</v>
      </c>
      <c r="G609" s="496">
        <f>H604+H605+H606</f>
        <v>72494.8</v>
      </c>
      <c r="H609" s="491">
        <f>IF(C609=0,0,ROUNDDOWN(G609*C609/100,1))</f>
        <v>18123.7</v>
      </c>
      <c r="I609" s="465">
        <v>0</v>
      </c>
      <c r="J609" s="493">
        <f>IF(C609=0,0,ROUNDDOWN(I609*C609/100,1))</f>
        <v>0</v>
      </c>
      <c r="K609" s="467">
        <v>0</v>
      </c>
      <c r="L609" s="493">
        <f>IF(C609=0,0,ROUNDDOWN(K609*C609/100,1))</f>
        <v>0</v>
      </c>
      <c r="M609" s="463"/>
      <c r="N609" s="451" t="s">
        <v>2644</v>
      </c>
      <c r="O609" s="468" t="s">
        <v>2373</v>
      </c>
      <c r="P609" s="468" t="s">
        <v>2354</v>
      </c>
      <c r="Q609" s="468" t="s">
        <v>2355</v>
      </c>
    </row>
    <row r="610" spans="1:26" ht="33.200000000000003" customHeight="1">
      <c r="A610" s="463" t="s">
        <v>842</v>
      </c>
      <c r="B610" s="497"/>
      <c r="C610" s="497"/>
      <c r="D610" s="497"/>
      <c r="E610" s="497"/>
      <c r="F610" s="446">
        <f>J610+H610+L610</f>
        <v>92351</v>
      </c>
      <c r="G610" s="497"/>
      <c r="H610" s="446">
        <f>ROUNDDOWN(SUMIF(P604:P609,O610,H604:H609),0)</f>
        <v>90618</v>
      </c>
      <c r="I610" s="497"/>
      <c r="J610" s="446">
        <f>ROUNDDOWN(SUMIF(P604:P609,O610,J604:J609),0)</f>
        <v>1733</v>
      </c>
      <c r="K610" s="497"/>
      <c r="L610" s="446">
        <f>ROUNDDOWN(SUMIF(P604:P609,O610,L604:L609),0)</f>
        <v>0</v>
      </c>
      <c r="M610" s="497"/>
      <c r="O610" s="468" t="s">
        <v>2354</v>
      </c>
    </row>
    <row r="611" spans="1:26" ht="33.200000000000003" customHeight="1">
      <c r="A611" s="484" t="s">
        <v>2663</v>
      </c>
      <c r="B611" s="484"/>
      <c r="C611" s="485"/>
      <c r="D611" s="485"/>
      <c r="E611" s="485"/>
      <c r="F611" s="485"/>
      <c r="G611" s="485"/>
      <c r="H611" s="485"/>
      <c r="I611" s="485"/>
      <c r="J611" s="485"/>
      <c r="K611" s="485"/>
      <c r="L611" s="485"/>
      <c r="M611" s="485"/>
      <c r="N611" s="486" t="str">
        <f>HYPERLINK("#N"&amp;ROW(N615),"_x0005_`BDCOD|B02815_x0007_`POSS|"&amp;ROW(N613)&amp;"_x0007_`POSE|"&amp;ROW(N615)&amp;"_x0007_`")</f>
        <v>_x0005_`BDCOD|B02815_x0007_`POSS|613_x0007_`POSE|615_x0007_`</v>
      </c>
    </row>
    <row r="612" spans="1:26" ht="33.200000000000003" customHeight="1">
      <c r="A612" s="469" t="s">
        <v>1670</v>
      </c>
      <c r="B612" s="469" t="s">
        <v>988</v>
      </c>
      <c r="C612" s="487"/>
      <c r="D612" s="488" t="s">
        <v>984</v>
      </c>
      <c r="E612" s="487"/>
      <c r="F612" s="487"/>
      <c r="G612" s="487"/>
      <c r="H612" s="487"/>
      <c r="I612" s="487"/>
      <c r="J612" s="487"/>
      <c r="K612" s="487"/>
      <c r="L612" s="487"/>
      <c r="M612" s="488" t="s">
        <v>1674</v>
      </c>
      <c r="O612" s="468" t="s">
        <v>1674</v>
      </c>
    </row>
    <row r="613" spans="1:26" ht="33.200000000000003" customHeight="1">
      <c r="A613" s="452" t="s">
        <v>2484</v>
      </c>
      <c r="B613" s="452" t="s">
        <v>2485</v>
      </c>
      <c r="C613" s="489">
        <v>4.4999999999999998E-2</v>
      </c>
      <c r="D613" s="480" t="s">
        <v>8</v>
      </c>
      <c r="E613" s="490">
        <f t="shared" ref="E613:F615" si="87">I613+G613+K613</f>
        <v>62811</v>
      </c>
      <c r="F613" s="493">
        <f t="shared" si="87"/>
        <v>2826.4</v>
      </c>
      <c r="G613" s="494">
        <f>단가산출근거목록표!F157</f>
        <v>62811</v>
      </c>
      <c r="H613" s="498">
        <f>IF(C613=0,0,ROUNDDOWN(G613*C613,1))</f>
        <v>2826.4</v>
      </c>
      <c r="I613" s="494">
        <f>단가산출근거목록표!G157</f>
        <v>0</v>
      </c>
      <c r="J613" s="498">
        <f>IF(C613=0,0,ROUNDDOWN(I613*C613,1))</f>
        <v>0</v>
      </c>
      <c r="K613" s="494">
        <f>단가산출근거목록표!H157</f>
        <v>0</v>
      </c>
      <c r="L613" s="498">
        <f>IF(C613=0,0,ROUNDDOWN(K613*C613,1))</f>
        <v>0</v>
      </c>
      <c r="M613" s="463" t="s">
        <v>2486</v>
      </c>
      <c r="N613" s="451" t="s">
        <v>2487</v>
      </c>
      <c r="O613" s="468" t="s">
        <v>2488</v>
      </c>
      <c r="P613" s="468" t="s">
        <v>2354</v>
      </c>
      <c r="Q613" s="468" t="s">
        <v>2355</v>
      </c>
      <c r="Z613" s="433" t="str">
        <f ca="1">HYPERLINK("#"&amp;단가산출근거목록표!J2&amp;"!A"&amp;ROW(단가산출근거목록표!A157),"D01241 →")</f>
        <v>D01241 →</v>
      </c>
    </row>
    <row r="614" spans="1:26" ht="33.200000000000003" customHeight="1">
      <c r="A614" s="452" t="s">
        <v>2321</v>
      </c>
      <c r="B614" s="452" t="s">
        <v>2322</v>
      </c>
      <c r="C614" s="489">
        <v>4.4999999999999998E-2</v>
      </c>
      <c r="D614" s="480" t="s">
        <v>8</v>
      </c>
      <c r="E614" s="490">
        <f t="shared" si="87"/>
        <v>34413</v>
      </c>
      <c r="F614" s="493">
        <f t="shared" si="87"/>
        <v>1548.5</v>
      </c>
      <c r="G614" s="494">
        <f>일위대가목록표!F275</f>
        <v>34413</v>
      </c>
      <c r="H614" s="498">
        <f>IF(C614=0,0,ROUNDDOWN(G614*C614,1))</f>
        <v>1548.5</v>
      </c>
      <c r="I614" s="494">
        <f>일위대가목록표!G275</f>
        <v>0</v>
      </c>
      <c r="J614" s="498">
        <f>IF(C614=0,0,ROUNDDOWN(I614*C614,1))</f>
        <v>0</v>
      </c>
      <c r="K614" s="494">
        <f>일위대가목록표!H275</f>
        <v>0</v>
      </c>
      <c r="L614" s="498">
        <f>IF(C614=0,0,ROUNDDOWN(K614*C614,1))</f>
        <v>0</v>
      </c>
      <c r="M614" s="463" t="s">
        <v>2489</v>
      </c>
      <c r="N614" s="451" t="s">
        <v>2490</v>
      </c>
      <c r="O614" s="468" t="s">
        <v>2491</v>
      </c>
      <c r="P614" s="468" t="s">
        <v>2354</v>
      </c>
      <c r="Q614" s="468" t="s">
        <v>2355</v>
      </c>
      <c r="Z614" s="433" t="str">
        <f ca="1">HYPERLINK("#"&amp;일위대가목록표!J2&amp;"!A"&amp;ROW(일위대가목록표!A275),"B01414 →")</f>
        <v>B01414 →</v>
      </c>
    </row>
    <row r="615" spans="1:26" ht="33.200000000000003" customHeight="1">
      <c r="A615" s="452" t="s">
        <v>1466</v>
      </c>
      <c r="B615" s="452" t="s">
        <v>1467</v>
      </c>
      <c r="C615" s="489">
        <v>4.8000000000000001E-2</v>
      </c>
      <c r="D615" s="480" t="s">
        <v>8</v>
      </c>
      <c r="E615" s="490">
        <f t="shared" si="87"/>
        <v>274515</v>
      </c>
      <c r="F615" s="493">
        <f t="shared" si="87"/>
        <v>13176.7</v>
      </c>
      <c r="G615" s="494">
        <f>일위대가목록표!F73</f>
        <v>274515</v>
      </c>
      <c r="H615" s="498">
        <f>IF(C615=0,0,ROUNDDOWN(G615*C615,1))</f>
        <v>13176.7</v>
      </c>
      <c r="I615" s="494">
        <f>일위대가목록표!G73</f>
        <v>0</v>
      </c>
      <c r="J615" s="498">
        <f>IF(C615=0,0,ROUNDDOWN(I615*C615,1))</f>
        <v>0</v>
      </c>
      <c r="K615" s="494">
        <f>일위대가목록표!H73</f>
        <v>0</v>
      </c>
      <c r="L615" s="498">
        <f>IF(C615=0,0,ROUNDDOWN(K615*C615,1))</f>
        <v>0</v>
      </c>
      <c r="M615" s="463" t="s">
        <v>2596</v>
      </c>
      <c r="N615" s="451" t="s">
        <v>2597</v>
      </c>
      <c r="O615" s="468" t="s">
        <v>1470</v>
      </c>
      <c r="P615" s="468" t="s">
        <v>2354</v>
      </c>
      <c r="Q615" s="468" t="s">
        <v>2355</v>
      </c>
      <c r="Z615" s="433" t="str">
        <f ca="1">HYPERLINK("#"&amp;일위대가목록표!J2&amp;"!A"&amp;ROW(일위대가목록표!A73),"B02396 →")</f>
        <v>B02396 →</v>
      </c>
    </row>
    <row r="616" spans="1:26" ht="33.200000000000003" customHeight="1">
      <c r="A616" s="463" t="s">
        <v>842</v>
      </c>
      <c r="B616" s="497"/>
      <c r="C616" s="497"/>
      <c r="D616" s="497"/>
      <c r="E616" s="497"/>
      <c r="F616" s="446">
        <f>J616+H616+L616</f>
        <v>17551</v>
      </c>
      <c r="G616" s="497"/>
      <c r="H616" s="446">
        <f>ROUNDDOWN(SUMIF(P613:P615,O616,H613:H615),0)</f>
        <v>17551</v>
      </c>
      <c r="I616" s="497"/>
      <c r="J616" s="446">
        <f>ROUNDDOWN(SUMIF(P613:P615,O616,J613:J615),0)</f>
        <v>0</v>
      </c>
      <c r="K616" s="497"/>
      <c r="L616" s="446">
        <f>ROUNDDOWN(SUMIF(P613:P615,O616,L613:L615),0)</f>
        <v>0</v>
      </c>
      <c r="M616" s="497"/>
      <c r="O616" s="468" t="s">
        <v>2354</v>
      </c>
    </row>
    <row r="617" spans="1:26" ht="33.200000000000003" customHeight="1">
      <c r="A617" s="484" t="s">
        <v>2665</v>
      </c>
      <c r="B617" s="484"/>
      <c r="C617" s="485"/>
      <c r="D617" s="485"/>
      <c r="E617" s="485"/>
      <c r="F617" s="485"/>
      <c r="G617" s="485"/>
      <c r="H617" s="485"/>
      <c r="I617" s="485"/>
      <c r="J617" s="485"/>
      <c r="K617" s="485"/>
      <c r="L617" s="485"/>
      <c r="M617" s="485"/>
      <c r="N617" s="486" t="str">
        <f>HYPERLINK("#N"&amp;ROW(N621),"_x0005_`BDCOD|B02816_x0007_`POSS|"&amp;ROW(N619)&amp;"_x0007_`POSE|"&amp;ROW(N621)&amp;"_x0007_`")</f>
        <v>_x0005_`BDCOD|B02816_x0007_`POSS|619_x0007_`POSE|621_x0007_`</v>
      </c>
    </row>
    <row r="618" spans="1:26" ht="33.200000000000003" customHeight="1">
      <c r="A618" s="469" t="s">
        <v>1670</v>
      </c>
      <c r="B618" s="469" t="s">
        <v>992</v>
      </c>
      <c r="C618" s="487"/>
      <c r="D618" s="488" t="s">
        <v>984</v>
      </c>
      <c r="E618" s="487"/>
      <c r="F618" s="487"/>
      <c r="G618" s="487"/>
      <c r="H618" s="487"/>
      <c r="I618" s="487"/>
      <c r="J618" s="487"/>
      <c r="K618" s="487"/>
      <c r="L618" s="487"/>
      <c r="M618" s="488" t="s">
        <v>1677</v>
      </c>
      <c r="O618" s="468" t="s">
        <v>1677</v>
      </c>
    </row>
    <row r="619" spans="1:26" ht="33.200000000000003" customHeight="1">
      <c r="A619" s="452" t="s">
        <v>2484</v>
      </c>
      <c r="B619" s="452" t="s">
        <v>2485</v>
      </c>
      <c r="C619" s="489">
        <v>5.3999999999999999E-2</v>
      </c>
      <c r="D619" s="480" t="s">
        <v>8</v>
      </c>
      <c r="E619" s="490">
        <f t="shared" ref="E619:F621" si="88">I619+G619+K619</f>
        <v>62811</v>
      </c>
      <c r="F619" s="493">
        <f t="shared" si="88"/>
        <v>3391.7</v>
      </c>
      <c r="G619" s="494">
        <f>단가산출근거목록표!F157</f>
        <v>62811</v>
      </c>
      <c r="H619" s="498">
        <f>IF(C619=0,0,ROUNDDOWN(G619*C619,1))</f>
        <v>3391.7</v>
      </c>
      <c r="I619" s="494">
        <f>단가산출근거목록표!G157</f>
        <v>0</v>
      </c>
      <c r="J619" s="498">
        <f>IF(C619=0,0,ROUNDDOWN(I619*C619,1))</f>
        <v>0</v>
      </c>
      <c r="K619" s="494">
        <f>단가산출근거목록표!H157</f>
        <v>0</v>
      </c>
      <c r="L619" s="498">
        <f>IF(C619=0,0,ROUNDDOWN(K619*C619,1))</f>
        <v>0</v>
      </c>
      <c r="M619" s="463" t="s">
        <v>2486</v>
      </c>
      <c r="N619" s="451" t="s">
        <v>2487</v>
      </c>
      <c r="O619" s="468" t="s">
        <v>2488</v>
      </c>
      <c r="P619" s="468" t="s">
        <v>2354</v>
      </c>
      <c r="Q619" s="468" t="s">
        <v>2355</v>
      </c>
      <c r="Z619" s="433" t="str">
        <f ca="1">HYPERLINK("#"&amp;단가산출근거목록표!J2&amp;"!A"&amp;ROW(단가산출근거목록표!A157),"D01241 →")</f>
        <v>D01241 →</v>
      </c>
    </row>
    <row r="620" spans="1:26" ht="33.200000000000003" customHeight="1">
      <c r="A620" s="452" t="s">
        <v>2321</v>
      </c>
      <c r="B620" s="452" t="s">
        <v>2322</v>
      </c>
      <c r="C620" s="489">
        <v>5.3999999999999999E-2</v>
      </c>
      <c r="D620" s="480" t="s">
        <v>8</v>
      </c>
      <c r="E620" s="490">
        <f t="shared" si="88"/>
        <v>34413</v>
      </c>
      <c r="F620" s="493">
        <f t="shared" si="88"/>
        <v>1858.3</v>
      </c>
      <c r="G620" s="494">
        <f>일위대가목록표!F275</f>
        <v>34413</v>
      </c>
      <c r="H620" s="498">
        <f>IF(C620=0,0,ROUNDDOWN(G620*C620,1))</f>
        <v>1858.3</v>
      </c>
      <c r="I620" s="494">
        <f>일위대가목록표!G275</f>
        <v>0</v>
      </c>
      <c r="J620" s="498">
        <f>IF(C620=0,0,ROUNDDOWN(I620*C620,1))</f>
        <v>0</v>
      </c>
      <c r="K620" s="494">
        <f>일위대가목록표!H275</f>
        <v>0</v>
      </c>
      <c r="L620" s="498">
        <f>IF(C620=0,0,ROUNDDOWN(K620*C620,1))</f>
        <v>0</v>
      </c>
      <c r="M620" s="463" t="s">
        <v>2489</v>
      </c>
      <c r="N620" s="451" t="s">
        <v>2490</v>
      </c>
      <c r="O620" s="468" t="s">
        <v>2491</v>
      </c>
      <c r="P620" s="468" t="s">
        <v>2354</v>
      </c>
      <c r="Q620" s="468" t="s">
        <v>2355</v>
      </c>
      <c r="Z620" s="433" t="str">
        <f ca="1">HYPERLINK("#"&amp;일위대가목록표!J2&amp;"!A"&amp;ROW(일위대가목록표!A275),"B01414 →")</f>
        <v>B01414 →</v>
      </c>
    </row>
    <row r="621" spans="1:26" ht="33.200000000000003" customHeight="1">
      <c r="A621" s="452" t="s">
        <v>1466</v>
      </c>
      <c r="B621" s="452" t="s">
        <v>1467</v>
      </c>
      <c r="C621" s="489">
        <v>5.8000000000000003E-2</v>
      </c>
      <c r="D621" s="480" t="s">
        <v>8</v>
      </c>
      <c r="E621" s="490">
        <f t="shared" si="88"/>
        <v>274515</v>
      </c>
      <c r="F621" s="493">
        <f t="shared" si="88"/>
        <v>15921.8</v>
      </c>
      <c r="G621" s="494">
        <f>일위대가목록표!F73</f>
        <v>274515</v>
      </c>
      <c r="H621" s="498">
        <f>IF(C621=0,0,ROUNDDOWN(G621*C621,1))</f>
        <v>15921.8</v>
      </c>
      <c r="I621" s="494">
        <f>일위대가목록표!G73</f>
        <v>0</v>
      </c>
      <c r="J621" s="498">
        <f>IF(C621=0,0,ROUNDDOWN(I621*C621,1))</f>
        <v>0</v>
      </c>
      <c r="K621" s="494">
        <f>일위대가목록표!H73</f>
        <v>0</v>
      </c>
      <c r="L621" s="498">
        <f>IF(C621=0,0,ROUNDDOWN(K621*C621,1))</f>
        <v>0</v>
      </c>
      <c r="M621" s="463" t="s">
        <v>2596</v>
      </c>
      <c r="N621" s="451" t="s">
        <v>2597</v>
      </c>
      <c r="O621" s="468" t="s">
        <v>1470</v>
      </c>
      <c r="P621" s="468" t="s">
        <v>2354</v>
      </c>
      <c r="Q621" s="468" t="s">
        <v>2355</v>
      </c>
      <c r="Z621" s="433" t="str">
        <f ca="1">HYPERLINK("#"&amp;일위대가목록표!J2&amp;"!A"&amp;ROW(일위대가목록표!A73),"B02396 →")</f>
        <v>B02396 →</v>
      </c>
    </row>
    <row r="622" spans="1:26" ht="33.200000000000003" customHeight="1">
      <c r="A622" s="463" t="s">
        <v>842</v>
      </c>
      <c r="B622" s="497"/>
      <c r="C622" s="497"/>
      <c r="D622" s="497"/>
      <c r="E622" s="497"/>
      <c r="F622" s="446">
        <f>J622+H622+L622</f>
        <v>21171</v>
      </c>
      <c r="G622" s="497"/>
      <c r="H622" s="446">
        <f>ROUNDDOWN(SUMIF(P619:P621,O622,H619:H621),0)</f>
        <v>21171</v>
      </c>
      <c r="I622" s="497"/>
      <c r="J622" s="446">
        <f>ROUNDDOWN(SUMIF(P619:P621,O622,J619:J621),0)</f>
        <v>0</v>
      </c>
      <c r="K622" s="497"/>
      <c r="L622" s="446">
        <f>ROUNDDOWN(SUMIF(P619:P621,O622,L619:L621),0)</f>
        <v>0</v>
      </c>
      <c r="M622" s="497"/>
      <c r="O622" s="468" t="s">
        <v>2354</v>
      </c>
    </row>
    <row r="623" spans="1:26" ht="33.200000000000003" customHeight="1">
      <c r="A623" s="484" t="s">
        <v>2670</v>
      </c>
      <c r="B623" s="484"/>
      <c r="C623" s="485"/>
      <c r="D623" s="485"/>
      <c r="E623" s="485"/>
      <c r="F623" s="485"/>
      <c r="G623" s="485"/>
      <c r="H623" s="485"/>
      <c r="I623" s="485"/>
      <c r="J623" s="485"/>
      <c r="K623" s="485"/>
      <c r="L623" s="485"/>
      <c r="M623" s="485"/>
      <c r="N623" s="486" t="str">
        <f>HYPERLINK("#N"&amp;ROW(N627),"_x0005_`BDCOD|B02817_x0007_`POSS|"&amp;ROW(N625)&amp;"_x0007_`POSE|"&amp;ROW(N627)&amp;"_x0007_`")</f>
        <v>_x0005_`BDCOD|B02817_x0007_`POSS|625_x0007_`POSE|627_x0007_`</v>
      </c>
    </row>
    <row r="624" spans="1:26" ht="33.200000000000003" customHeight="1">
      <c r="A624" s="469" t="s">
        <v>1670</v>
      </c>
      <c r="B624" s="469" t="s">
        <v>996</v>
      </c>
      <c r="C624" s="487"/>
      <c r="D624" s="488" t="s">
        <v>984</v>
      </c>
      <c r="E624" s="487"/>
      <c r="F624" s="487"/>
      <c r="G624" s="487"/>
      <c r="H624" s="487"/>
      <c r="I624" s="487"/>
      <c r="J624" s="487"/>
      <c r="K624" s="487"/>
      <c r="L624" s="487"/>
      <c r="M624" s="488" t="s">
        <v>1680</v>
      </c>
      <c r="O624" s="468" t="s">
        <v>1680</v>
      </c>
    </row>
    <row r="625" spans="1:26" ht="33.200000000000003" customHeight="1">
      <c r="A625" s="452" t="s">
        <v>2484</v>
      </c>
      <c r="B625" s="452" t="s">
        <v>2485</v>
      </c>
      <c r="C625" s="489">
        <v>6.8000000000000005E-2</v>
      </c>
      <c r="D625" s="480" t="s">
        <v>8</v>
      </c>
      <c r="E625" s="490">
        <f t="shared" ref="E625:F627" si="89">I625+G625+K625</f>
        <v>62811</v>
      </c>
      <c r="F625" s="493">
        <f t="shared" si="89"/>
        <v>4271.1000000000004</v>
      </c>
      <c r="G625" s="494">
        <f>단가산출근거목록표!F157</f>
        <v>62811</v>
      </c>
      <c r="H625" s="498">
        <f>IF(C625=0,0,ROUNDDOWN(G625*C625,1))</f>
        <v>4271.1000000000004</v>
      </c>
      <c r="I625" s="494">
        <f>단가산출근거목록표!G157</f>
        <v>0</v>
      </c>
      <c r="J625" s="498">
        <f>IF(C625=0,0,ROUNDDOWN(I625*C625,1))</f>
        <v>0</v>
      </c>
      <c r="K625" s="494">
        <f>단가산출근거목록표!H157</f>
        <v>0</v>
      </c>
      <c r="L625" s="498">
        <f>IF(C625=0,0,ROUNDDOWN(K625*C625,1))</f>
        <v>0</v>
      </c>
      <c r="M625" s="463" t="s">
        <v>2486</v>
      </c>
      <c r="N625" s="451" t="s">
        <v>2487</v>
      </c>
      <c r="O625" s="468" t="s">
        <v>2488</v>
      </c>
      <c r="P625" s="468" t="s">
        <v>2354</v>
      </c>
      <c r="Q625" s="468" t="s">
        <v>2355</v>
      </c>
      <c r="Z625" s="433" t="str">
        <f ca="1">HYPERLINK("#"&amp;단가산출근거목록표!J2&amp;"!A"&amp;ROW(단가산출근거목록표!A157),"D01241 →")</f>
        <v>D01241 →</v>
      </c>
    </row>
    <row r="626" spans="1:26" ht="33.200000000000003" customHeight="1">
      <c r="A626" s="452" t="s">
        <v>2321</v>
      </c>
      <c r="B626" s="452" t="s">
        <v>2322</v>
      </c>
      <c r="C626" s="489">
        <v>6.8000000000000005E-2</v>
      </c>
      <c r="D626" s="480" t="s">
        <v>8</v>
      </c>
      <c r="E626" s="490">
        <f t="shared" si="89"/>
        <v>34413</v>
      </c>
      <c r="F626" s="493">
        <f t="shared" si="89"/>
        <v>2340</v>
      </c>
      <c r="G626" s="494">
        <f>일위대가목록표!F275</f>
        <v>34413</v>
      </c>
      <c r="H626" s="498">
        <f>IF(C626=0,0,ROUNDDOWN(G626*C626,1))</f>
        <v>2340</v>
      </c>
      <c r="I626" s="494">
        <f>일위대가목록표!G275</f>
        <v>0</v>
      </c>
      <c r="J626" s="498">
        <f>IF(C626=0,0,ROUNDDOWN(I626*C626,1))</f>
        <v>0</v>
      </c>
      <c r="K626" s="494">
        <f>일위대가목록표!H275</f>
        <v>0</v>
      </c>
      <c r="L626" s="498">
        <f>IF(C626=0,0,ROUNDDOWN(K626*C626,1))</f>
        <v>0</v>
      </c>
      <c r="M626" s="463" t="s">
        <v>2489</v>
      </c>
      <c r="N626" s="451" t="s">
        <v>2490</v>
      </c>
      <c r="O626" s="468" t="s">
        <v>2491</v>
      </c>
      <c r="P626" s="468" t="s">
        <v>2354</v>
      </c>
      <c r="Q626" s="468" t="s">
        <v>2355</v>
      </c>
      <c r="Z626" s="433" t="str">
        <f ca="1">HYPERLINK("#"&amp;일위대가목록표!J2&amp;"!A"&amp;ROW(일위대가목록표!A275),"B01414 →")</f>
        <v>B01414 →</v>
      </c>
    </row>
    <row r="627" spans="1:26" ht="33.200000000000003" customHeight="1">
      <c r="A627" s="452" t="s">
        <v>1466</v>
      </c>
      <c r="B627" s="452" t="s">
        <v>1467</v>
      </c>
      <c r="C627" s="489">
        <v>7.1999999999999995E-2</v>
      </c>
      <c r="D627" s="480" t="s">
        <v>8</v>
      </c>
      <c r="E627" s="490">
        <f t="shared" si="89"/>
        <v>274515</v>
      </c>
      <c r="F627" s="493">
        <f t="shared" si="89"/>
        <v>19765</v>
      </c>
      <c r="G627" s="494">
        <f>일위대가목록표!F73</f>
        <v>274515</v>
      </c>
      <c r="H627" s="498">
        <f>IF(C627=0,0,ROUNDDOWN(G627*C627,1))</f>
        <v>19765</v>
      </c>
      <c r="I627" s="494">
        <f>일위대가목록표!G73</f>
        <v>0</v>
      </c>
      <c r="J627" s="498">
        <f>IF(C627=0,0,ROUNDDOWN(I627*C627,1))</f>
        <v>0</v>
      </c>
      <c r="K627" s="494">
        <f>일위대가목록표!H73</f>
        <v>0</v>
      </c>
      <c r="L627" s="498">
        <f>IF(C627=0,0,ROUNDDOWN(K627*C627,1))</f>
        <v>0</v>
      </c>
      <c r="M627" s="463" t="s">
        <v>2596</v>
      </c>
      <c r="N627" s="451" t="s">
        <v>2597</v>
      </c>
      <c r="O627" s="468" t="s">
        <v>1470</v>
      </c>
      <c r="P627" s="468" t="s">
        <v>2354</v>
      </c>
      <c r="Q627" s="468" t="s">
        <v>2355</v>
      </c>
      <c r="Z627" s="433" t="str">
        <f ca="1">HYPERLINK("#"&amp;일위대가목록표!J2&amp;"!A"&amp;ROW(일위대가목록표!A73),"B02396 →")</f>
        <v>B02396 →</v>
      </c>
    </row>
    <row r="628" spans="1:26" ht="33.200000000000003" customHeight="1">
      <c r="A628" s="463" t="s">
        <v>842</v>
      </c>
      <c r="B628" s="497"/>
      <c r="C628" s="497"/>
      <c r="D628" s="497"/>
      <c r="E628" s="497"/>
      <c r="F628" s="446">
        <f>J628+H628+L628</f>
        <v>26376</v>
      </c>
      <c r="G628" s="497"/>
      <c r="H628" s="446">
        <f>ROUNDDOWN(SUMIF(P625:P627,O628,H625:H627),0)</f>
        <v>26376</v>
      </c>
      <c r="I628" s="497"/>
      <c r="J628" s="446">
        <f>ROUNDDOWN(SUMIF(P625:P627,O628,J625:J627),0)</f>
        <v>0</v>
      </c>
      <c r="K628" s="497"/>
      <c r="L628" s="446">
        <f>ROUNDDOWN(SUMIF(P625:P627,O628,L625:L627),0)</f>
        <v>0</v>
      </c>
      <c r="M628" s="497"/>
      <c r="O628" s="468" t="s">
        <v>2354</v>
      </c>
    </row>
    <row r="629" spans="1:26" ht="33.200000000000003" customHeight="1">
      <c r="A629" s="484" t="s">
        <v>2675</v>
      </c>
      <c r="B629" s="484"/>
      <c r="C629" s="485"/>
      <c r="D629" s="485"/>
      <c r="E629" s="485"/>
      <c r="F629" s="485"/>
      <c r="G629" s="485"/>
      <c r="H629" s="485"/>
      <c r="I629" s="485"/>
      <c r="J629" s="485"/>
      <c r="K629" s="485"/>
      <c r="L629" s="485"/>
      <c r="M629" s="485"/>
      <c r="N629" s="486" t="str">
        <f>HYPERLINK("#N"&amp;ROW(N633),"_x0005_`BDCOD|B02818_x0007_`POSS|"&amp;ROW(N631)&amp;"_x0007_`POSE|"&amp;ROW(N633)&amp;"_x0007_`")</f>
        <v>_x0005_`BDCOD|B02818_x0007_`POSS|631_x0007_`POSE|633_x0007_`</v>
      </c>
    </row>
    <row r="630" spans="1:26" ht="33.200000000000003" customHeight="1">
      <c r="A630" s="469" t="s">
        <v>1670</v>
      </c>
      <c r="B630" s="469" t="s">
        <v>1000</v>
      </c>
      <c r="C630" s="487"/>
      <c r="D630" s="488" t="s">
        <v>984</v>
      </c>
      <c r="E630" s="487"/>
      <c r="F630" s="487"/>
      <c r="G630" s="487"/>
      <c r="H630" s="487"/>
      <c r="I630" s="487"/>
      <c r="J630" s="487"/>
      <c r="K630" s="487"/>
      <c r="L630" s="487"/>
      <c r="M630" s="488" t="s">
        <v>1683</v>
      </c>
      <c r="O630" s="468" t="s">
        <v>1683</v>
      </c>
    </row>
    <row r="631" spans="1:26" ht="33.200000000000003" customHeight="1">
      <c r="A631" s="452" t="s">
        <v>2484</v>
      </c>
      <c r="B631" s="452" t="s">
        <v>2485</v>
      </c>
      <c r="C631" s="489">
        <v>0.09</v>
      </c>
      <c r="D631" s="480" t="s">
        <v>8</v>
      </c>
      <c r="E631" s="490">
        <f t="shared" ref="E631:F633" si="90">I631+G631+K631</f>
        <v>62811</v>
      </c>
      <c r="F631" s="493">
        <f t="shared" si="90"/>
        <v>5652.9</v>
      </c>
      <c r="G631" s="494">
        <f>단가산출근거목록표!F157</f>
        <v>62811</v>
      </c>
      <c r="H631" s="498">
        <f>IF(C631=0,0,ROUNDDOWN(G631*C631,1))</f>
        <v>5652.9</v>
      </c>
      <c r="I631" s="494">
        <f>단가산출근거목록표!G157</f>
        <v>0</v>
      </c>
      <c r="J631" s="498">
        <f>IF(C631=0,0,ROUNDDOWN(I631*C631,1))</f>
        <v>0</v>
      </c>
      <c r="K631" s="494">
        <f>단가산출근거목록표!H157</f>
        <v>0</v>
      </c>
      <c r="L631" s="498">
        <f>IF(C631=0,0,ROUNDDOWN(K631*C631,1))</f>
        <v>0</v>
      </c>
      <c r="M631" s="463" t="s">
        <v>2486</v>
      </c>
      <c r="N631" s="451" t="s">
        <v>2487</v>
      </c>
      <c r="O631" s="468" t="s">
        <v>2488</v>
      </c>
      <c r="P631" s="468" t="s">
        <v>2354</v>
      </c>
      <c r="Q631" s="468" t="s">
        <v>2355</v>
      </c>
      <c r="Z631" s="433" t="str">
        <f ca="1">HYPERLINK("#"&amp;단가산출근거목록표!J2&amp;"!A"&amp;ROW(단가산출근거목록표!A157),"D01241 →")</f>
        <v>D01241 →</v>
      </c>
    </row>
    <row r="632" spans="1:26" ht="33.200000000000003" customHeight="1">
      <c r="A632" s="452" t="s">
        <v>2321</v>
      </c>
      <c r="B632" s="452" t="s">
        <v>2322</v>
      </c>
      <c r="C632" s="489">
        <v>0.09</v>
      </c>
      <c r="D632" s="480" t="s">
        <v>8</v>
      </c>
      <c r="E632" s="490">
        <f t="shared" si="90"/>
        <v>34413</v>
      </c>
      <c r="F632" s="493">
        <f t="shared" si="90"/>
        <v>3097.1</v>
      </c>
      <c r="G632" s="494">
        <f>일위대가목록표!F275</f>
        <v>34413</v>
      </c>
      <c r="H632" s="498">
        <f>IF(C632=0,0,ROUNDDOWN(G632*C632,1))</f>
        <v>3097.1</v>
      </c>
      <c r="I632" s="494">
        <f>일위대가목록표!G275</f>
        <v>0</v>
      </c>
      <c r="J632" s="498">
        <f>IF(C632=0,0,ROUNDDOWN(I632*C632,1))</f>
        <v>0</v>
      </c>
      <c r="K632" s="494">
        <f>일위대가목록표!H275</f>
        <v>0</v>
      </c>
      <c r="L632" s="498">
        <f>IF(C632=0,0,ROUNDDOWN(K632*C632,1))</f>
        <v>0</v>
      </c>
      <c r="M632" s="463" t="s">
        <v>2489</v>
      </c>
      <c r="N632" s="451" t="s">
        <v>2490</v>
      </c>
      <c r="O632" s="468" t="s">
        <v>2491</v>
      </c>
      <c r="P632" s="468" t="s">
        <v>2354</v>
      </c>
      <c r="Q632" s="468" t="s">
        <v>2355</v>
      </c>
      <c r="Z632" s="433" t="str">
        <f ca="1">HYPERLINK("#"&amp;일위대가목록표!J2&amp;"!A"&amp;ROW(일위대가목록표!A275),"B01414 →")</f>
        <v>B01414 →</v>
      </c>
    </row>
    <row r="633" spans="1:26" ht="33.200000000000003" customHeight="1">
      <c r="A633" s="452" t="s">
        <v>1466</v>
      </c>
      <c r="B633" s="452" t="s">
        <v>1467</v>
      </c>
      <c r="C633" s="489">
        <v>9.6000000000000002E-2</v>
      </c>
      <c r="D633" s="480" t="s">
        <v>8</v>
      </c>
      <c r="E633" s="490">
        <f t="shared" si="90"/>
        <v>274515</v>
      </c>
      <c r="F633" s="493">
        <f t="shared" si="90"/>
        <v>26353.4</v>
      </c>
      <c r="G633" s="494">
        <f>일위대가목록표!F73</f>
        <v>274515</v>
      </c>
      <c r="H633" s="498">
        <f>IF(C633=0,0,ROUNDDOWN(G633*C633,1))</f>
        <v>26353.4</v>
      </c>
      <c r="I633" s="494">
        <f>일위대가목록표!G73</f>
        <v>0</v>
      </c>
      <c r="J633" s="498">
        <f>IF(C633=0,0,ROUNDDOWN(I633*C633,1))</f>
        <v>0</v>
      </c>
      <c r="K633" s="494">
        <f>일위대가목록표!H73</f>
        <v>0</v>
      </c>
      <c r="L633" s="498">
        <f>IF(C633=0,0,ROUNDDOWN(K633*C633,1))</f>
        <v>0</v>
      </c>
      <c r="M633" s="463" t="s">
        <v>2596</v>
      </c>
      <c r="N633" s="451" t="s">
        <v>2597</v>
      </c>
      <c r="O633" s="468" t="s">
        <v>1470</v>
      </c>
      <c r="P633" s="468" t="s">
        <v>2354</v>
      </c>
      <c r="Q633" s="468" t="s">
        <v>2355</v>
      </c>
      <c r="Z633" s="433" t="str">
        <f ca="1">HYPERLINK("#"&amp;일위대가목록표!J2&amp;"!A"&amp;ROW(일위대가목록표!A73),"B02396 →")</f>
        <v>B02396 →</v>
      </c>
    </row>
    <row r="634" spans="1:26" ht="33.200000000000003" customHeight="1">
      <c r="A634" s="463" t="s">
        <v>842</v>
      </c>
      <c r="B634" s="497"/>
      <c r="C634" s="497"/>
      <c r="D634" s="497"/>
      <c r="E634" s="497"/>
      <c r="F634" s="446">
        <f>J634+H634+L634</f>
        <v>35103</v>
      </c>
      <c r="G634" s="497"/>
      <c r="H634" s="446">
        <f>ROUNDDOWN(SUMIF(P631:P633,O634,H631:H633),0)</f>
        <v>35103</v>
      </c>
      <c r="I634" s="497"/>
      <c r="J634" s="446">
        <f>ROUNDDOWN(SUMIF(P631:P633,O634,J631:J633),0)</f>
        <v>0</v>
      </c>
      <c r="K634" s="497"/>
      <c r="L634" s="446">
        <f>ROUNDDOWN(SUMIF(P631:P633,O634,L631:L633),0)</f>
        <v>0</v>
      </c>
      <c r="M634" s="497"/>
      <c r="O634" s="468" t="s">
        <v>2354</v>
      </c>
    </row>
    <row r="635" spans="1:26" ht="33.200000000000003" customHeight="1">
      <c r="A635" s="484" t="s">
        <v>2681</v>
      </c>
      <c r="B635" s="484"/>
      <c r="C635" s="485"/>
      <c r="D635" s="485"/>
      <c r="E635" s="485"/>
      <c r="F635" s="485"/>
      <c r="G635" s="485"/>
      <c r="H635" s="485"/>
      <c r="I635" s="485"/>
      <c r="J635" s="485"/>
      <c r="K635" s="485"/>
      <c r="L635" s="485"/>
      <c r="M635" s="485"/>
      <c r="N635" s="486" t="str">
        <f>HYPERLINK("#N"&amp;ROW(N639),"_x0005_`BDCOD|B02814_x0007_`POSS|"&amp;ROW(N637)&amp;"_x0007_`POSE|"&amp;ROW(N639)&amp;"_x0007_`")</f>
        <v>_x0005_`BDCOD|B02814_x0007_`POSS|637_x0007_`POSE|639_x0007_`</v>
      </c>
    </row>
    <row r="636" spans="1:26" ht="33.200000000000003" customHeight="1">
      <c r="A636" s="469" t="s">
        <v>1670</v>
      </c>
      <c r="B636" s="469" t="s">
        <v>983</v>
      </c>
      <c r="C636" s="487"/>
      <c r="D636" s="488" t="s">
        <v>984</v>
      </c>
      <c r="E636" s="487"/>
      <c r="F636" s="487"/>
      <c r="G636" s="487"/>
      <c r="H636" s="487"/>
      <c r="I636" s="487"/>
      <c r="J636" s="487"/>
      <c r="K636" s="487"/>
      <c r="L636" s="487"/>
      <c r="M636" s="488" t="s">
        <v>1671</v>
      </c>
      <c r="O636" s="468" t="s">
        <v>1671</v>
      </c>
    </row>
    <row r="637" spans="1:26" ht="33.200000000000003" customHeight="1">
      <c r="A637" s="452" t="s">
        <v>2484</v>
      </c>
      <c r="B637" s="452" t="s">
        <v>2485</v>
      </c>
      <c r="C637" s="489">
        <v>3.5999999999999997E-2</v>
      </c>
      <c r="D637" s="480" t="s">
        <v>8</v>
      </c>
      <c r="E637" s="490">
        <f t="shared" ref="E637:F639" si="91">I637+G637+K637</f>
        <v>62811</v>
      </c>
      <c r="F637" s="493">
        <f t="shared" si="91"/>
        <v>2261.1</v>
      </c>
      <c r="G637" s="494">
        <f>단가산출근거목록표!F157</f>
        <v>62811</v>
      </c>
      <c r="H637" s="498">
        <f>IF(C637=0,0,ROUNDDOWN(G637*C637,1))</f>
        <v>2261.1</v>
      </c>
      <c r="I637" s="494">
        <f>단가산출근거목록표!G157</f>
        <v>0</v>
      </c>
      <c r="J637" s="498">
        <f>IF(C637=0,0,ROUNDDOWN(I637*C637,1))</f>
        <v>0</v>
      </c>
      <c r="K637" s="494">
        <f>단가산출근거목록표!H157</f>
        <v>0</v>
      </c>
      <c r="L637" s="498">
        <f>IF(C637=0,0,ROUNDDOWN(K637*C637,1))</f>
        <v>0</v>
      </c>
      <c r="M637" s="463" t="s">
        <v>2486</v>
      </c>
      <c r="N637" s="451" t="s">
        <v>2487</v>
      </c>
      <c r="O637" s="468" t="s">
        <v>2488</v>
      </c>
      <c r="P637" s="468" t="s">
        <v>2354</v>
      </c>
      <c r="Q637" s="468" t="s">
        <v>2355</v>
      </c>
      <c r="Z637" s="433" t="str">
        <f ca="1">HYPERLINK("#"&amp;단가산출근거목록표!J2&amp;"!A"&amp;ROW(단가산출근거목록표!A157),"D01241 →")</f>
        <v>D01241 →</v>
      </c>
    </row>
    <row r="638" spans="1:26" ht="33.200000000000003" customHeight="1">
      <c r="A638" s="452" t="s">
        <v>2321</v>
      </c>
      <c r="B638" s="452" t="s">
        <v>2322</v>
      </c>
      <c r="C638" s="489">
        <v>3.5999999999999997E-2</v>
      </c>
      <c r="D638" s="480" t="s">
        <v>8</v>
      </c>
      <c r="E638" s="490">
        <f t="shared" si="91"/>
        <v>34413</v>
      </c>
      <c r="F638" s="493">
        <f t="shared" si="91"/>
        <v>1238.8</v>
      </c>
      <c r="G638" s="494">
        <f>일위대가목록표!F275</f>
        <v>34413</v>
      </c>
      <c r="H638" s="498">
        <f>IF(C638=0,0,ROUNDDOWN(G638*C638,1))</f>
        <v>1238.8</v>
      </c>
      <c r="I638" s="494">
        <f>일위대가목록표!G275</f>
        <v>0</v>
      </c>
      <c r="J638" s="498">
        <f>IF(C638=0,0,ROUNDDOWN(I638*C638,1))</f>
        <v>0</v>
      </c>
      <c r="K638" s="494">
        <f>일위대가목록표!H275</f>
        <v>0</v>
      </c>
      <c r="L638" s="498">
        <f>IF(C638=0,0,ROUNDDOWN(K638*C638,1))</f>
        <v>0</v>
      </c>
      <c r="M638" s="463" t="s">
        <v>2489</v>
      </c>
      <c r="N638" s="451" t="s">
        <v>2490</v>
      </c>
      <c r="O638" s="468" t="s">
        <v>2491</v>
      </c>
      <c r="P638" s="468" t="s">
        <v>2354</v>
      </c>
      <c r="Q638" s="468" t="s">
        <v>2355</v>
      </c>
      <c r="Z638" s="433" t="str">
        <f ca="1">HYPERLINK("#"&amp;일위대가목록표!J2&amp;"!A"&amp;ROW(일위대가목록표!A275),"B01414 →")</f>
        <v>B01414 →</v>
      </c>
    </row>
    <row r="639" spans="1:26" ht="33.200000000000003" customHeight="1">
      <c r="A639" s="452" t="s">
        <v>1466</v>
      </c>
      <c r="B639" s="452" t="s">
        <v>1467</v>
      </c>
      <c r="C639" s="489">
        <v>3.7999999999999999E-2</v>
      </c>
      <c r="D639" s="480" t="s">
        <v>8</v>
      </c>
      <c r="E639" s="490">
        <f t="shared" si="91"/>
        <v>274515</v>
      </c>
      <c r="F639" s="493">
        <f t="shared" si="91"/>
        <v>10431.5</v>
      </c>
      <c r="G639" s="494">
        <f>일위대가목록표!F73</f>
        <v>274515</v>
      </c>
      <c r="H639" s="498">
        <f>IF(C639=0,0,ROUNDDOWN(G639*C639,1))</f>
        <v>10431.5</v>
      </c>
      <c r="I639" s="494">
        <f>일위대가목록표!G73</f>
        <v>0</v>
      </c>
      <c r="J639" s="498">
        <f>IF(C639=0,0,ROUNDDOWN(I639*C639,1))</f>
        <v>0</v>
      </c>
      <c r="K639" s="494">
        <f>일위대가목록표!H73</f>
        <v>0</v>
      </c>
      <c r="L639" s="498">
        <f>IF(C639=0,0,ROUNDDOWN(K639*C639,1))</f>
        <v>0</v>
      </c>
      <c r="M639" s="463" t="s">
        <v>2596</v>
      </c>
      <c r="N639" s="451" t="s">
        <v>2597</v>
      </c>
      <c r="O639" s="468" t="s">
        <v>1470</v>
      </c>
      <c r="P639" s="468" t="s">
        <v>2354</v>
      </c>
      <c r="Q639" s="468" t="s">
        <v>2355</v>
      </c>
      <c r="Z639" s="433" t="str">
        <f ca="1">HYPERLINK("#"&amp;일위대가목록표!J2&amp;"!A"&amp;ROW(일위대가목록표!A73),"B02396 →")</f>
        <v>B02396 →</v>
      </c>
    </row>
    <row r="640" spans="1:26" ht="33.200000000000003" customHeight="1">
      <c r="A640" s="463" t="s">
        <v>842</v>
      </c>
      <c r="B640" s="497"/>
      <c r="C640" s="497"/>
      <c r="D640" s="497"/>
      <c r="E640" s="497"/>
      <c r="F640" s="446">
        <f>J640+H640+L640</f>
        <v>13931</v>
      </c>
      <c r="G640" s="497"/>
      <c r="H640" s="446">
        <f>ROUNDDOWN(SUMIF(P637:P639,O640,H637:H639),0)</f>
        <v>13931</v>
      </c>
      <c r="I640" s="497"/>
      <c r="J640" s="446">
        <f>ROUNDDOWN(SUMIF(P637:P639,O640,J637:J639),0)</f>
        <v>0</v>
      </c>
      <c r="K640" s="497"/>
      <c r="L640" s="446">
        <f>ROUNDDOWN(SUMIF(P637:P639,O640,L637:L639),0)</f>
        <v>0</v>
      </c>
      <c r="M640" s="497"/>
      <c r="O640" s="468" t="s">
        <v>2354</v>
      </c>
    </row>
    <row r="641" spans="1:26" ht="33.200000000000003" customHeight="1">
      <c r="A641" s="484" t="s">
        <v>2686</v>
      </c>
      <c r="B641" s="484"/>
      <c r="C641" s="485"/>
      <c r="D641" s="485"/>
      <c r="E641" s="485"/>
      <c r="F641" s="485"/>
      <c r="G641" s="485"/>
      <c r="H641" s="485"/>
      <c r="I641" s="485"/>
      <c r="J641" s="485"/>
      <c r="K641" s="485"/>
      <c r="L641" s="485"/>
      <c r="M641" s="485"/>
      <c r="N641" s="486" t="str">
        <f>HYPERLINK("#N"&amp;ROW(N646),"_x0005_`BDCOD|B02871_x0007_`POSS|"&amp;ROW(N643)&amp;"_x0007_`POSE|"&amp;ROW(N646)&amp;"_x0007_`")</f>
        <v>_x0005_`BDCOD|B02871_x0007_`POSS|643_x0007_`POSE|646_x0007_`</v>
      </c>
    </row>
    <row r="642" spans="1:26" ht="33.200000000000003" customHeight="1">
      <c r="A642" s="469" t="s">
        <v>5220</v>
      </c>
      <c r="B642" s="469" t="s">
        <v>988</v>
      </c>
      <c r="C642" s="487"/>
      <c r="D642" s="488" t="s">
        <v>984</v>
      </c>
      <c r="E642" s="487"/>
      <c r="F642" s="487"/>
      <c r="G642" s="487"/>
      <c r="H642" s="487"/>
      <c r="I642" s="487"/>
      <c r="J642" s="487"/>
      <c r="K642" s="487"/>
      <c r="L642" s="487"/>
      <c r="M642" s="488" t="s">
        <v>5224</v>
      </c>
      <c r="O642" s="468" t="s">
        <v>5224</v>
      </c>
    </row>
    <row r="643" spans="1:26" ht="33.200000000000003" customHeight="1">
      <c r="A643" s="452" t="s">
        <v>2484</v>
      </c>
      <c r="B643" s="452" t="s">
        <v>2485</v>
      </c>
      <c r="C643" s="489">
        <v>4.4999999999999998E-2</v>
      </c>
      <c r="D643" s="480" t="s">
        <v>8</v>
      </c>
      <c r="E643" s="490">
        <f t="shared" ref="E643:F646" si="92">I643+G643+K643</f>
        <v>62811</v>
      </c>
      <c r="F643" s="493">
        <f t="shared" si="92"/>
        <v>2826.4</v>
      </c>
      <c r="G643" s="494">
        <f>단가산출근거목록표!F157</f>
        <v>62811</v>
      </c>
      <c r="H643" s="498">
        <f>IF(C643=0,0,ROUNDDOWN(G643*C643,1))</f>
        <v>2826.4</v>
      </c>
      <c r="I643" s="494">
        <f>단가산출근거목록표!G157</f>
        <v>0</v>
      </c>
      <c r="J643" s="498">
        <f>IF(C643=0,0,ROUNDDOWN(I643*C643,1))</f>
        <v>0</v>
      </c>
      <c r="K643" s="494">
        <f>단가산출근거목록표!H157</f>
        <v>0</v>
      </c>
      <c r="L643" s="498">
        <f>IF(C643=0,0,ROUNDDOWN(K643*C643,1))</f>
        <v>0</v>
      </c>
      <c r="M643" s="463" t="s">
        <v>2486</v>
      </c>
      <c r="N643" s="451" t="s">
        <v>2487</v>
      </c>
      <c r="O643" s="468" t="s">
        <v>2488</v>
      </c>
      <c r="P643" s="468" t="s">
        <v>2354</v>
      </c>
      <c r="Q643" s="468" t="s">
        <v>2355</v>
      </c>
      <c r="Z643" s="433" t="str">
        <f ca="1">HYPERLINK("#"&amp;단가산출근거목록표!J2&amp;"!A"&amp;ROW(단가산출근거목록표!A157),"D01241 →")</f>
        <v>D01241 →</v>
      </c>
    </row>
    <row r="644" spans="1:26" ht="33.200000000000003" customHeight="1">
      <c r="A644" s="452" t="s">
        <v>2321</v>
      </c>
      <c r="B644" s="452" t="s">
        <v>2322</v>
      </c>
      <c r="C644" s="489">
        <v>4.4999999999999998E-2</v>
      </c>
      <c r="D644" s="480" t="s">
        <v>8</v>
      </c>
      <c r="E644" s="490">
        <f t="shared" si="92"/>
        <v>34413</v>
      </c>
      <c r="F644" s="493">
        <f t="shared" si="92"/>
        <v>1548.5</v>
      </c>
      <c r="G644" s="494">
        <f>일위대가목록표!F275</f>
        <v>34413</v>
      </c>
      <c r="H644" s="498">
        <f>IF(C644=0,0,ROUNDDOWN(G644*C644,1))</f>
        <v>1548.5</v>
      </c>
      <c r="I644" s="494">
        <f>일위대가목록표!G275</f>
        <v>0</v>
      </c>
      <c r="J644" s="498">
        <f>IF(C644=0,0,ROUNDDOWN(I644*C644,1))</f>
        <v>0</v>
      </c>
      <c r="K644" s="494">
        <f>일위대가목록표!H275</f>
        <v>0</v>
      </c>
      <c r="L644" s="498">
        <f>IF(C644=0,0,ROUNDDOWN(K644*C644,1))</f>
        <v>0</v>
      </c>
      <c r="M644" s="463" t="s">
        <v>2489</v>
      </c>
      <c r="N644" s="451" t="s">
        <v>2490</v>
      </c>
      <c r="O644" s="468" t="s">
        <v>2491</v>
      </c>
      <c r="P644" s="468" t="s">
        <v>2354</v>
      </c>
      <c r="Q644" s="468" t="s">
        <v>2355</v>
      </c>
      <c r="Z644" s="433" t="str">
        <f ca="1">HYPERLINK("#"&amp;일위대가목록표!J2&amp;"!A"&amp;ROW(일위대가목록표!A275),"B01414 →")</f>
        <v>B01414 →</v>
      </c>
    </row>
    <row r="645" spans="1:26" ht="33.200000000000003" customHeight="1">
      <c r="A645" s="452" t="s">
        <v>1466</v>
      </c>
      <c r="B645" s="452" t="s">
        <v>1467</v>
      </c>
      <c r="C645" s="489">
        <v>4.8000000000000001E-2</v>
      </c>
      <c r="D645" s="480" t="s">
        <v>8</v>
      </c>
      <c r="E645" s="490">
        <f t="shared" si="92"/>
        <v>274515</v>
      </c>
      <c r="F645" s="493">
        <f t="shared" si="92"/>
        <v>13176.7</v>
      </c>
      <c r="G645" s="494">
        <f>일위대가목록표!F73</f>
        <v>274515</v>
      </c>
      <c r="H645" s="498">
        <f>IF(C645=0,0,ROUNDDOWN(G645*C645,1))</f>
        <v>13176.7</v>
      </c>
      <c r="I645" s="494">
        <f>일위대가목록표!G73</f>
        <v>0</v>
      </c>
      <c r="J645" s="498">
        <f>IF(C645=0,0,ROUNDDOWN(I645*C645,1))</f>
        <v>0</v>
      </c>
      <c r="K645" s="494">
        <f>일위대가목록표!H73</f>
        <v>0</v>
      </c>
      <c r="L645" s="498">
        <f>IF(C645=0,0,ROUNDDOWN(K645*C645,1))</f>
        <v>0</v>
      </c>
      <c r="M645" s="463" t="s">
        <v>2596</v>
      </c>
      <c r="N645" s="451" t="s">
        <v>2597</v>
      </c>
      <c r="O645" s="468" t="s">
        <v>1470</v>
      </c>
      <c r="P645" s="468" t="s">
        <v>2354</v>
      </c>
      <c r="Q645" s="468" t="s">
        <v>2355</v>
      </c>
      <c r="Z645" s="433" t="str">
        <f ca="1">HYPERLINK("#"&amp;일위대가목록표!J2&amp;"!A"&amp;ROW(일위대가목록표!A73),"B02396 →")</f>
        <v>B02396 →</v>
      </c>
    </row>
    <row r="646" spans="1:26" ht="33.200000000000003" customHeight="1">
      <c r="A646" s="452" t="s">
        <v>2507</v>
      </c>
      <c r="B646" s="452" t="s">
        <v>2441</v>
      </c>
      <c r="C646" s="489">
        <v>15</v>
      </c>
      <c r="D646" s="480" t="s">
        <v>2371</v>
      </c>
      <c r="E646" s="490">
        <f t="shared" si="92"/>
        <v>17551.599999999999</v>
      </c>
      <c r="F646" s="491">
        <f t="shared" si="92"/>
        <v>2632.7</v>
      </c>
      <c r="G646" s="496">
        <f>H643+H644+H645</f>
        <v>17551.599999999999</v>
      </c>
      <c r="H646" s="491">
        <f>IF(C646=0,0,ROUNDDOWN(G646*C646/100,1))</f>
        <v>2632.7</v>
      </c>
      <c r="I646" s="465">
        <v>0</v>
      </c>
      <c r="J646" s="493">
        <f>IF(C646=0,0,ROUNDDOWN(I646*C646/100,1))</f>
        <v>0</v>
      </c>
      <c r="K646" s="467">
        <v>0</v>
      </c>
      <c r="L646" s="493">
        <f>IF(C646=0,0,ROUNDDOWN(K646*C646/100,1))</f>
        <v>0</v>
      </c>
      <c r="M646" s="463"/>
      <c r="N646" s="451" t="s">
        <v>2644</v>
      </c>
      <c r="O646" s="468" t="s">
        <v>2373</v>
      </c>
      <c r="P646" s="468" t="s">
        <v>2354</v>
      </c>
      <c r="Q646" s="468" t="s">
        <v>2355</v>
      </c>
    </row>
    <row r="647" spans="1:26" ht="33.200000000000003" customHeight="1">
      <c r="A647" s="463" t="s">
        <v>842</v>
      </c>
      <c r="B647" s="497"/>
      <c r="C647" s="497"/>
      <c r="D647" s="497"/>
      <c r="E647" s="497"/>
      <c r="F647" s="446">
        <f>J647+H647+L647</f>
        <v>20184</v>
      </c>
      <c r="G647" s="497"/>
      <c r="H647" s="446">
        <f>ROUNDDOWN(SUMIF(P643:P646,O647,H643:H646),0)</f>
        <v>20184</v>
      </c>
      <c r="I647" s="497"/>
      <c r="J647" s="446">
        <f>ROUNDDOWN(SUMIF(P643:P646,O647,J643:J646),0)</f>
        <v>0</v>
      </c>
      <c r="K647" s="497"/>
      <c r="L647" s="446">
        <f>ROUNDDOWN(SUMIF(P643:P646,O647,L643:L646),0)</f>
        <v>0</v>
      </c>
      <c r="M647" s="497"/>
      <c r="O647" s="468" t="s">
        <v>2354</v>
      </c>
    </row>
    <row r="648" spans="1:26" ht="33.200000000000003" customHeight="1">
      <c r="A648" s="484" t="s">
        <v>2691</v>
      </c>
      <c r="B648" s="484"/>
      <c r="C648" s="485"/>
      <c r="D648" s="485"/>
      <c r="E648" s="485"/>
      <c r="F648" s="485"/>
      <c r="G648" s="485"/>
      <c r="H648" s="485"/>
      <c r="I648" s="485"/>
      <c r="J648" s="485"/>
      <c r="K648" s="485"/>
      <c r="L648" s="485"/>
      <c r="M648" s="485"/>
      <c r="N648" s="486" t="str">
        <f>HYPERLINK("#N"&amp;ROW(N653),"_x0005_`BDCOD|B02872_x0007_`POSS|"&amp;ROW(N650)&amp;"_x0007_`POSE|"&amp;ROW(N653)&amp;"_x0007_`")</f>
        <v>_x0005_`BDCOD|B02872_x0007_`POSS|650_x0007_`POSE|653_x0007_`</v>
      </c>
    </row>
    <row r="649" spans="1:26" ht="33.200000000000003" customHeight="1">
      <c r="A649" s="469" t="s">
        <v>5220</v>
      </c>
      <c r="B649" s="469" t="s">
        <v>992</v>
      </c>
      <c r="C649" s="487"/>
      <c r="D649" s="488" t="s">
        <v>984</v>
      </c>
      <c r="E649" s="487"/>
      <c r="F649" s="487"/>
      <c r="G649" s="487"/>
      <c r="H649" s="487"/>
      <c r="I649" s="487"/>
      <c r="J649" s="487"/>
      <c r="K649" s="487"/>
      <c r="L649" s="487"/>
      <c r="M649" s="488" t="s">
        <v>5227</v>
      </c>
      <c r="O649" s="468" t="s">
        <v>5227</v>
      </c>
    </row>
    <row r="650" spans="1:26" ht="33.200000000000003" customHeight="1">
      <c r="A650" s="452" t="s">
        <v>2484</v>
      </c>
      <c r="B650" s="452" t="s">
        <v>2485</v>
      </c>
      <c r="C650" s="489">
        <v>5.3999999999999999E-2</v>
      </c>
      <c r="D650" s="480" t="s">
        <v>8</v>
      </c>
      <c r="E650" s="490">
        <f t="shared" ref="E650:F653" si="93">I650+G650+K650</f>
        <v>62811</v>
      </c>
      <c r="F650" s="493">
        <f t="shared" si="93"/>
        <v>3391.7</v>
      </c>
      <c r="G650" s="494">
        <f>단가산출근거목록표!F157</f>
        <v>62811</v>
      </c>
      <c r="H650" s="498">
        <f>IF(C650=0,0,ROUNDDOWN(G650*C650,1))</f>
        <v>3391.7</v>
      </c>
      <c r="I650" s="494">
        <f>단가산출근거목록표!G157</f>
        <v>0</v>
      </c>
      <c r="J650" s="498">
        <f>IF(C650=0,0,ROUNDDOWN(I650*C650,1))</f>
        <v>0</v>
      </c>
      <c r="K650" s="494">
        <f>단가산출근거목록표!H157</f>
        <v>0</v>
      </c>
      <c r="L650" s="498">
        <f>IF(C650=0,0,ROUNDDOWN(K650*C650,1))</f>
        <v>0</v>
      </c>
      <c r="M650" s="463" t="s">
        <v>2486</v>
      </c>
      <c r="N650" s="451" t="s">
        <v>2487</v>
      </c>
      <c r="O650" s="468" t="s">
        <v>2488</v>
      </c>
      <c r="P650" s="468" t="s">
        <v>2354</v>
      </c>
      <c r="Q650" s="468" t="s">
        <v>2355</v>
      </c>
      <c r="Z650" s="433" t="str">
        <f ca="1">HYPERLINK("#"&amp;단가산출근거목록표!J2&amp;"!A"&amp;ROW(단가산출근거목록표!A157),"D01241 →")</f>
        <v>D01241 →</v>
      </c>
    </row>
    <row r="651" spans="1:26" ht="33.200000000000003" customHeight="1">
      <c r="A651" s="452" t="s">
        <v>2321</v>
      </c>
      <c r="B651" s="452" t="s">
        <v>2322</v>
      </c>
      <c r="C651" s="489">
        <v>5.3999999999999999E-2</v>
      </c>
      <c r="D651" s="480" t="s">
        <v>8</v>
      </c>
      <c r="E651" s="490">
        <f t="shared" si="93"/>
        <v>34413</v>
      </c>
      <c r="F651" s="493">
        <f t="shared" si="93"/>
        <v>1858.3</v>
      </c>
      <c r="G651" s="494">
        <f>일위대가목록표!F275</f>
        <v>34413</v>
      </c>
      <c r="H651" s="498">
        <f>IF(C651=0,0,ROUNDDOWN(G651*C651,1))</f>
        <v>1858.3</v>
      </c>
      <c r="I651" s="494">
        <f>일위대가목록표!G275</f>
        <v>0</v>
      </c>
      <c r="J651" s="498">
        <f>IF(C651=0,0,ROUNDDOWN(I651*C651,1))</f>
        <v>0</v>
      </c>
      <c r="K651" s="494">
        <f>일위대가목록표!H275</f>
        <v>0</v>
      </c>
      <c r="L651" s="498">
        <f>IF(C651=0,0,ROUNDDOWN(K651*C651,1))</f>
        <v>0</v>
      </c>
      <c r="M651" s="463" t="s">
        <v>2489</v>
      </c>
      <c r="N651" s="451" t="s">
        <v>2490</v>
      </c>
      <c r="O651" s="468" t="s">
        <v>2491</v>
      </c>
      <c r="P651" s="468" t="s">
        <v>2354</v>
      </c>
      <c r="Q651" s="468" t="s">
        <v>2355</v>
      </c>
      <c r="Z651" s="433" t="str">
        <f ca="1">HYPERLINK("#"&amp;일위대가목록표!J2&amp;"!A"&amp;ROW(일위대가목록표!A275),"B01414 →")</f>
        <v>B01414 →</v>
      </c>
    </row>
    <row r="652" spans="1:26" ht="33.200000000000003" customHeight="1">
      <c r="A652" s="452" t="s">
        <v>1466</v>
      </c>
      <c r="B652" s="452" t="s">
        <v>1467</v>
      </c>
      <c r="C652" s="489">
        <v>5.8000000000000003E-2</v>
      </c>
      <c r="D652" s="480" t="s">
        <v>8</v>
      </c>
      <c r="E652" s="490">
        <f t="shared" si="93"/>
        <v>274515</v>
      </c>
      <c r="F652" s="493">
        <f t="shared" si="93"/>
        <v>15921.8</v>
      </c>
      <c r="G652" s="494">
        <f>일위대가목록표!F73</f>
        <v>274515</v>
      </c>
      <c r="H652" s="498">
        <f>IF(C652=0,0,ROUNDDOWN(G652*C652,1))</f>
        <v>15921.8</v>
      </c>
      <c r="I652" s="494">
        <f>일위대가목록표!G73</f>
        <v>0</v>
      </c>
      <c r="J652" s="498">
        <f>IF(C652=0,0,ROUNDDOWN(I652*C652,1))</f>
        <v>0</v>
      </c>
      <c r="K652" s="494">
        <f>일위대가목록표!H73</f>
        <v>0</v>
      </c>
      <c r="L652" s="498">
        <f>IF(C652=0,0,ROUNDDOWN(K652*C652,1))</f>
        <v>0</v>
      </c>
      <c r="M652" s="463" t="s">
        <v>2596</v>
      </c>
      <c r="N652" s="451" t="s">
        <v>2597</v>
      </c>
      <c r="O652" s="468" t="s">
        <v>1470</v>
      </c>
      <c r="P652" s="468" t="s">
        <v>2354</v>
      </c>
      <c r="Q652" s="468" t="s">
        <v>2355</v>
      </c>
      <c r="Z652" s="433" t="str">
        <f ca="1">HYPERLINK("#"&amp;일위대가목록표!J2&amp;"!A"&amp;ROW(일위대가목록표!A73),"B02396 →")</f>
        <v>B02396 →</v>
      </c>
    </row>
    <row r="653" spans="1:26" ht="33.200000000000003" customHeight="1">
      <c r="A653" s="452" t="s">
        <v>2507</v>
      </c>
      <c r="B653" s="452" t="s">
        <v>2441</v>
      </c>
      <c r="C653" s="489">
        <v>15</v>
      </c>
      <c r="D653" s="480" t="s">
        <v>2371</v>
      </c>
      <c r="E653" s="490">
        <f t="shared" si="93"/>
        <v>21171.8</v>
      </c>
      <c r="F653" s="491">
        <f t="shared" si="93"/>
        <v>3175.7</v>
      </c>
      <c r="G653" s="496">
        <f>H650+H651+H652</f>
        <v>21171.8</v>
      </c>
      <c r="H653" s="491">
        <f>IF(C653=0,0,ROUNDDOWN(G653*C653/100,1))</f>
        <v>3175.7</v>
      </c>
      <c r="I653" s="465">
        <v>0</v>
      </c>
      <c r="J653" s="493">
        <f>IF(C653=0,0,ROUNDDOWN(I653*C653/100,1))</f>
        <v>0</v>
      </c>
      <c r="K653" s="467">
        <v>0</v>
      </c>
      <c r="L653" s="493">
        <f>IF(C653=0,0,ROUNDDOWN(K653*C653/100,1))</f>
        <v>0</v>
      </c>
      <c r="M653" s="463"/>
      <c r="N653" s="451" t="s">
        <v>2644</v>
      </c>
      <c r="O653" s="468" t="s">
        <v>2373</v>
      </c>
      <c r="P653" s="468" t="s">
        <v>2354</v>
      </c>
      <c r="Q653" s="468" t="s">
        <v>2355</v>
      </c>
    </row>
    <row r="654" spans="1:26" ht="33.200000000000003" customHeight="1">
      <c r="A654" s="463" t="s">
        <v>842</v>
      </c>
      <c r="B654" s="497"/>
      <c r="C654" s="497"/>
      <c r="D654" s="497"/>
      <c r="E654" s="497"/>
      <c r="F654" s="446">
        <f>J654+H654+L654</f>
        <v>24347</v>
      </c>
      <c r="G654" s="497"/>
      <c r="H654" s="446">
        <f>ROUNDDOWN(SUMIF(P650:P653,O654,H650:H653),0)</f>
        <v>24347</v>
      </c>
      <c r="I654" s="497"/>
      <c r="J654" s="446">
        <f>ROUNDDOWN(SUMIF(P650:P653,O654,J650:J653),0)</f>
        <v>0</v>
      </c>
      <c r="K654" s="497"/>
      <c r="L654" s="446">
        <f>ROUNDDOWN(SUMIF(P650:P653,O654,L650:L653),0)</f>
        <v>0</v>
      </c>
      <c r="M654" s="497"/>
      <c r="O654" s="468" t="s">
        <v>2354</v>
      </c>
    </row>
    <row r="655" spans="1:26" ht="33.200000000000003" customHeight="1">
      <c r="A655" s="484" t="s">
        <v>2692</v>
      </c>
      <c r="B655" s="484"/>
      <c r="C655" s="485"/>
      <c r="D655" s="485"/>
      <c r="E655" s="485"/>
      <c r="F655" s="485"/>
      <c r="G655" s="485"/>
      <c r="H655" s="485"/>
      <c r="I655" s="485"/>
      <c r="J655" s="485"/>
      <c r="K655" s="485"/>
      <c r="L655" s="485"/>
      <c r="M655" s="485"/>
      <c r="N655" s="486" t="str">
        <f>HYPERLINK("#N"&amp;ROW(N660),"_x0005_`BDCOD|B02873_x0007_`POSS|"&amp;ROW(N657)&amp;"_x0007_`POSE|"&amp;ROW(N660)&amp;"_x0007_`")</f>
        <v>_x0005_`BDCOD|B02873_x0007_`POSS|657_x0007_`POSE|660_x0007_`</v>
      </c>
    </row>
    <row r="656" spans="1:26" ht="33.200000000000003" customHeight="1">
      <c r="A656" s="469" t="s">
        <v>5220</v>
      </c>
      <c r="B656" s="469" t="s">
        <v>996</v>
      </c>
      <c r="C656" s="487"/>
      <c r="D656" s="488" t="s">
        <v>984</v>
      </c>
      <c r="E656" s="487"/>
      <c r="F656" s="487"/>
      <c r="G656" s="487"/>
      <c r="H656" s="487"/>
      <c r="I656" s="487"/>
      <c r="J656" s="487"/>
      <c r="K656" s="487"/>
      <c r="L656" s="487"/>
      <c r="M656" s="488" t="s">
        <v>5230</v>
      </c>
      <c r="O656" s="468" t="s">
        <v>5230</v>
      </c>
    </row>
    <row r="657" spans="1:26" ht="33.200000000000003" customHeight="1">
      <c r="A657" s="452" t="s">
        <v>2484</v>
      </c>
      <c r="B657" s="452" t="s">
        <v>2485</v>
      </c>
      <c r="C657" s="489">
        <v>6.8000000000000005E-2</v>
      </c>
      <c r="D657" s="480" t="s">
        <v>8</v>
      </c>
      <c r="E657" s="490">
        <f t="shared" ref="E657:F660" si="94">I657+G657+K657</f>
        <v>62811</v>
      </c>
      <c r="F657" s="493">
        <f t="shared" si="94"/>
        <v>4271.1000000000004</v>
      </c>
      <c r="G657" s="494">
        <f>단가산출근거목록표!F157</f>
        <v>62811</v>
      </c>
      <c r="H657" s="498">
        <f>IF(C657=0,0,ROUNDDOWN(G657*C657,1))</f>
        <v>4271.1000000000004</v>
      </c>
      <c r="I657" s="494">
        <f>단가산출근거목록표!G157</f>
        <v>0</v>
      </c>
      <c r="J657" s="498">
        <f>IF(C657=0,0,ROUNDDOWN(I657*C657,1))</f>
        <v>0</v>
      </c>
      <c r="K657" s="494">
        <f>단가산출근거목록표!H157</f>
        <v>0</v>
      </c>
      <c r="L657" s="498">
        <f>IF(C657=0,0,ROUNDDOWN(K657*C657,1))</f>
        <v>0</v>
      </c>
      <c r="M657" s="463" t="s">
        <v>2486</v>
      </c>
      <c r="N657" s="451" t="s">
        <v>2487</v>
      </c>
      <c r="O657" s="468" t="s">
        <v>2488</v>
      </c>
      <c r="P657" s="468" t="s">
        <v>2354</v>
      </c>
      <c r="Q657" s="468" t="s">
        <v>2355</v>
      </c>
      <c r="Z657" s="433" t="str">
        <f ca="1">HYPERLINK("#"&amp;단가산출근거목록표!J2&amp;"!A"&amp;ROW(단가산출근거목록표!A157),"D01241 →")</f>
        <v>D01241 →</v>
      </c>
    </row>
    <row r="658" spans="1:26" ht="33.200000000000003" customHeight="1">
      <c r="A658" s="452" t="s">
        <v>2321</v>
      </c>
      <c r="B658" s="452" t="s">
        <v>2322</v>
      </c>
      <c r="C658" s="489">
        <v>6.8000000000000005E-2</v>
      </c>
      <c r="D658" s="480" t="s">
        <v>8</v>
      </c>
      <c r="E658" s="490">
        <f t="shared" si="94"/>
        <v>34413</v>
      </c>
      <c r="F658" s="493">
        <f t="shared" si="94"/>
        <v>2340</v>
      </c>
      <c r="G658" s="494">
        <f>일위대가목록표!F275</f>
        <v>34413</v>
      </c>
      <c r="H658" s="498">
        <f>IF(C658=0,0,ROUNDDOWN(G658*C658,1))</f>
        <v>2340</v>
      </c>
      <c r="I658" s="494">
        <f>일위대가목록표!G275</f>
        <v>0</v>
      </c>
      <c r="J658" s="498">
        <f>IF(C658=0,0,ROUNDDOWN(I658*C658,1))</f>
        <v>0</v>
      </c>
      <c r="K658" s="494">
        <f>일위대가목록표!H275</f>
        <v>0</v>
      </c>
      <c r="L658" s="498">
        <f>IF(C658=0,0,ROUNDDOWN(K658*C658,1))</f>
        <v>0</v>
      </c>
      <c r="M658" s="463" t="s">
        <v>2489</v>
      </c>
      <c r="N658" s="451" t="s">
        <v>2490</v>
      </c>
      <c r="O658" s="468" t="s">
        <v>2491</v>
      </c>
      <c r="P658" s="468" t="s">
        <v>2354</v>
      </c>
      <c r="Q658" s="468" t="s">
        <v>2355</v>
      </c>
      <c r="Z658" s="433" t="str">
        <f ca="1">HYPERLINK("#"&amp;일위대가목록표!J2&amp;"!A"&amp;ROW(일위대가목록표!A275),"B01414 →")</f>
        <v>B01414 →</v>
      </c>
    </row>
    <row r="659" spans="1:26" ht="33.200000000000003" customHeight="1">
      <c r="A659" s="452" t="s">
        <v>1466</v>
      </c>
      <c r="B659" s="452" t="s">
        <v>1467</v>
      </c>
      <c r="C659" s="489">
        <v>7.1999999999999995E-2</v>
      </c>
      <c r="D659" s="480" t="s">
        <v>8</v>
      </c>
      <c r="E659" s="490">
        <f t="shared" si="94"/>
        <v>274515</v>
      </c>
      <c r="F659" s="493">
        <f t="shared" si="94"/>
        <v>19765</v>
      </c>
      <c r="G659" s="494">
        <f>일위대가목록표!F73</f>
        <v>274515</v>
      </c>
      <c r="H659" s="498">
        <f>IF(C659=0,0,ROUNDDOWN(G659*C659,1))</f>
        <v>19765</v>
      </c>
      <c r="I659" s="494">
        <f>일위대가목록표!G73</f>
        <v>0</v>
      </c>
      <c r="J659" s="498">
        <f>IF(C659=0,0,ROUNDDOWN(I659*C659,1))</f>
        <v>0</v>
      </c>
      <c r="K659" s="494">
        <f>일위대가목록표!H73</f>
        <v>0</v>
      </c>
      <c r="L659" s="498">
        <f>IF(C659=0,0,ROUNDDOWN(K659*C659,1))</f>
        <v>0</v>
      </c>
      <c r="M659" s="463" t="s">
        <v>2596</v>
      </c>
      <c r="N659" s="451" t="s">
        <v>2597</v>
      </c>
      <c r="O659" s="468" t="s">
        <v>1470</v>
      </c>
      <c r="P659" s="468" t="s">
        <v>2354</v>
      </c>
      <c r="Q659" s="468" t="s">
        <v>2355</v>
      </c>
      <c r="Z659" s="433" t="str">
        <f ca="1">HYPERLINK("#"&amp;일위대가목록표!J2&amp;"!A"&amp;ROW(일위대가목록표!A73),"B02396 →")</f>
        <v>B02396 →</v>
      </c>
    </row>
    <row r="660" spans="1:26" ht="33.200000000000003" customHeight="1">
      <c r="A660" s="452" t="s">
        <v>2507</v>
      </c>
      <c r="B660" s="452" t="s">
        <v>2441</v>
      </c>
      <c r="C660" s="489">
        <v>15</v>
      </c>
      <c r="D660" s="480" t="s">
        <v>2371</v>
      </c>
      <c r="E660" s="490">
        <f t="shared" si="94"/>
        <v>26376.1</v>
      </c>
      <c r="F660" s="491">
        <f t="shared" si="94"/>
        <v>3956.4</v>
      </c>
      <c r="G660" s="496">
        <f>H657+H658+H659</f>
        <v>26376.1</v>
      </c>
      <c r="H660" s="491">
        <f>IF(C660=0,0,ROUNDDOWN(G660*C660/100,1))</f>
        <v>3956.4</v>
      </c>
      <c r="I660" s="465">
        <v>0</v>
      </c>
      <c r="J660" s="493">
        <f>IF(C660=0,0,ROUNDDOWN(I660*C660/100,1))</f>
        <v>0</v>
      </c>
      <c r="K660" s="467">
        <v>0</v>
      </c>
      <c r="L660" s="493">
        <f>IF(C660=0,0,ROUNDDOWN(K660*C660/100,1))</f>
        <v>0</v>
      </c>
      <c r="M660" s="463"/>
      <c r="N660" s="451" t="s">
        <v>2644</v>
      </c>
      <c r="O660" s="468" t="s">
        <v>2373</v>
      </c>
      <c r="P660" s="468" t="s">
        <v>2354</v>
      </c>
      <c r="Q660" s="468" t="s">
        <v>2355</v>
      </c>
    </row>
    <row r="661" spans="1:26" ht="33.200000000000003" customHeight="1">
      <c r="A661" s="463" t="s">
        <v>842</v>
      </c>
      <c r="B661" s="497"/>
      <c r="C661" s="497"/>
      <c r="D661" s="497"/>
      <c r="E661" s="497"/>
      <c r="F661" s="446">
        <f>J661+H661+L661</f>
        <v>30332</v>
      </c>
      <c r="G661" s="497"/>
      <c r="H661" s="446">
        <f>ROUNDDOWN(SUMIF(P657:P660,O661,H657:H660),0)</f>
        <v>30332</v>
      </c>
      <c r="I661" s="497"/>
      <c r="J661" s="446">
        <f>ROUNDDOWN(SUMIF(P657:P660,O661,J657:J660),0)</f>
        <v>0</v>
      </c>
      <c r="K661" s="497"/>
      <c r="L661" s="446">
        <f>ROUNDDOWN(SUMIF(P657:P660,O661,L657:L660),0)</f>
        <v>0</v>
      </c>
      <c r="M661" s="497"/>
      <c r="O661" s="468" t="s">
        <v>2354</v>
      </c>
    </row>
    <row r="662" spans="1:26" ht="33.200000000000003" customHeight="1">
      <c r="A662" s="484" t="s">
        <v>2693</v>
      </c>
      <c r="B662" s="484"/>
      <c r="C662" s="485"/>
      <c r="D662" s="485"/>
      <c r="E662" s="485"/>
      <c r="F662" s="485"/>
      <c r="G662" s="485"/>
      <c r="H662" s="485"/>
      <c r="I662" s="485"/>
      <c r="J662" s="485"/>
      <c r="K662" s="485"/>
      <c r="L662" s="485"/>
      <c r="M662" s="485"/>
      <c r="N662" s="486" t="str">
        <f>HYPERLINK("#N"&amp;ROW(N667),"_x0005_`BDCOD|B02874_x0007_`POSS|"&amp;ROW(N664)&amp;"_x0007_`POSE|"&amp;ROW(N667)&amp;"_x0007_`")</f>
        <v>_x0005_`BDCOD|B02874_x0007_`POSS|664_x0007_`POSE|667_x0007_`</v>
      </c>
    </row>
    <row r="663" spans="1:26" ht="33.200000000000003" customHeight="1">
      <c r="A663" s="469" t="s">
        <v>5220</v>
      </c>
      <c r="B663" s="469" t="s">
        <v>1000</v>
      </c>
      <c r="C663" s="487"/>
      <c r="D663" s="488" t="s">
        <v>984</v>
      </c>
      <c r="E663" s="487"/>
      <c r="F663" s="487"/>
      <c r="G663" s="487"/>
      <c r="H663" s="487"/>
      <c r="I663" s="487"/>
      <c r="J663" s="487"/>
      <c r="K663" s="487"/>
      <c r="L663" s="487"/>
      <c r="M663" s="488" t="s">
        <v>5233</v>
      </c>
      <c r="O663" s="468" t="s">
        <v>5233</v>
      </c>
    </row>
    <row r="664" spans="1:26" ht="33.200000000000003" customHeight="1">
      <c r="A664" s="452" t="s">
        <v>2484</v>
      </c>
      <c r="B664" s="452" t="s">
        <v>2485</v>
      </c>
      <c r="C664" s="489">
        <v>0.09</v>
      </c>
      <c r="D664" s="480" t="s">
        <v>8</v>
      </c>
      <c r="E664" s="490">
        <f t="shared" ref="E664:F667" si="95">I664+G664+K664</f>
        <v>62811</v>
      </c>
      <c r="F664" s="493">
        <f t="shared" si="95"/>
        <v>5652.9</v>
      </c>
      <c r="G664" s="494">
        <f>단가산출근거목록표!F157</f>
        <v>62811</v>
      </c>
      <c r="H664" s="498">
        <f>IF(C664=0,0,ROUNDDOWN(G664*C664,1))</f>
        <v>5652.9</v>
      </c>
      <c r="I664" s="494">
        <f>단가산출근거목록표!G157</f>
        <v>0</v>
      </c>
      <c r="J664" s="498">
        <f>IF(C664=0,0,ROUNDDOWN(I664*C664,1))</f>
        <v>0</v>
      </c>
      <c r="K664" s="494">
        <f>단가산출근거목록표!H157</f>
        <v>0</v>
      </c>
      <c r="L664" s="498">
        <f>IF(C664=0,0,ROUNDDOWN(K664*C664,1))</f>
        <v>0</v>
      </c>
      <c r="M664" s="463" t="s">
        <v>2486</v>
      </c>
      <c r="N664" s="451" t="s">
        <v>2487</v>
      </c>
      <c r="O664" s="468" t="s">
        <v>2488</v>
      </c>
      <c r="P664" s="468" t="s">
        <v>2354</v>
      </c>
      <c r="Q664" s="468" t="s">
        <v>2355</v>
      </c>
      <c r="Z664" s="433" t="str">
        <f ca="1">HYPERLINK("#"&amp;단가산출근거목록표!J2&amp;"!A"&amp;ROW(단가산출근거목록표!A157),"D01241 →")</f>
        <v>D01241 →</v>
      </c>
    </row>
    <row r="665" spans="1:26" ht="33.200000000000003" customHeight="1">
      <c r="A665" s="452" t="s">
        <v>2321</v>
      </c>
      <c r="B665" s="452" t="s">
        <v>2322</v>
      </c>
      <c r="C665" s="489">
        <v>0.09</v>
      </c>
      <c r="D665" s="480" t="s">
        <v>8</v>
      </c>
      <c r="E665" s="490">
        <f t="shared" si="95"/>
        <v>34413</v>
      </c>
      <c r="F665" s="493">
        <f t="shared" si="95"/>
        <v>3097.1</v>
      </c>
      <c r="G665" s="494">
        <f>일위대가목록표!F275</f>
        <v>34413</v>
      </c>
      <c r="H665" s="498">
        <f>IF(C665=0,0,ROUNDDOWN(G665*C665,1))</f>
        <v>3097.1</v>
      </c>
      <c r="I665" s="494">
        <f>일위대가목록표!G275</f>
        <v>0</v>
      </c>
      <c r="J665" s="498">
        <f>IF(C665=0,0,ROUNDDOWN(I665*C665,1))</f>
        <v>0</v>
      </c>
      <c r="K665" s="494">
        <f>일위대가목록표!H275</f>
        <v>0</v>
      </c>
      <c r="L665" s="498">
        <f>IF(C665=0,0,ROUNDDOWN(K665*C665,1))</f>
        <v>0</v>
      </c>
      <c r="M665" s="463" t="s">
        <v>2489</v>
      </c>
      <c r="N665" s="451" t="s">
        <v>2490</v>
      </c>
      <c r="O665" s="468" t="s">
        <v>2491</v>
      </c>
      <c r="P665" s="468" t="s">
        <v>2354</v>
      </c>
      <c r="Q665" s="468" t="s">
        <v>2355</v>
      </c>
      <c r="Z665" s="433" t="str">
        <f ca="1">HYPERLINK("#"&amp;일위대가목록표!J2&amp;"!A"&amp;ROW(일위대가목록표!A275),"B01414 →")</f>
        <v>B01414 →</v>
      </c>
    </row>
    <row r="666" spans="1:26" ht="33.200000000000003" customHeight="1">
      <c r="A666" s="452" t="s">
        <v>1466</v>
      </c>
      <c r="B666" s="452" t="s">
        <v>1467</v>
      </c>
      <c r="C666" s="489">
        <v>9.6000000000000002E-2</v>
      </c>
      <c r="D666" s="480" t="s">
        <v>8</v>
      </c>
      <c r="E666" s="490">
        <f t="shared" si="95"/>
        <v>274515</v>
      </c>
      <c r="F666" s="493">
        <f t="shared" si="95"/>
        <v>26353.4</v>
      </c>
      <c r="G666" s="494">
        <f>일위대가목록표!F73</f>
        <v>274515</v>
      </c>
      <c r="H666" s="498">
        <f>IF(C666=0,0,ROUNDDOWN(G666*C666,1))</f>
        <v>26353.4</v>
      </c>
      <c r="I666" s="494">
        <f>일위대가목록표!G73</f>
        <v>0</v>
      </c>
      <c r="J666" s="498">
        <f>IF(C666=0,0,ROUNDDOWN(I666*C666,1))</f>
        <v>0</v>
      </c>
      <c r="K666" s="494">
        <f>일위대가목록표!H73</f>
        <v>0</v>
      </c>
      <c r="L666" s="498">
        <f>IF(C666=0,0,ROUNDDOWN(K666*C666,1))</f>
        <v>0</v>
      </c>
      <c r="M666" s="463" t="s">
        <v>2596</v>
      </c>
      <c r="N666" s="451" t="s">
        <v>2597</v>
      </c>
      <c r="O666" s="468" t="s">
        <v>1470</v>
      </c>
      <c r="P666" s="468" t="s">
        <v>2354</v>
      </c>
      <c r="Q666" s="468" t="s">
        <v>2355</v>
      </c>
      <c r="Z666" s="433" t="str">
        <f ca="1">HYPERLINK("#"&amp;일위대가목록표!J2&amp;"!A"&amp;ROW(일위대가목록표!A73),"B02396 →")</f>
        <v>B02396 →</v>
      </c>
    </row>
    <row r="667" spans="1:26" ht="33.200000000000003" customHeight="1">
      <c r="A667" s="452" t="s">
        <v>2507</v>
      </c>
      <c r="B667" s="452" t="s">
        <v>2441</v>
      </c>
      <c r="C667" s="489">
        <v>15</v>
      </c>
      <c r="D667" s="480" t="s">
        <v>2371</v>
      </c>
      <c r="E667" s="490">
        <f t="shared" si="95"/>
        <v>35103.4</v>
      </c>
      <c r="F667" s="491">
        <f t="shared" si="95"/>
        <v>5265.5</v>
      </c>
      <c r="G667" s="496">
        <f>H664+H665+H666</f>
        <v>35103.4</v>
      </c>
      <c r="H667" s="491">
        <f>IF(C667=0,0,ROUNDDOWN(G667*C667/100,1))</f>
        <v>5265.5</v>
      </c>
      <c r="I667" s="465">
        <v>0</v>
      </c>
      <c r="J667" s="493">
        <f>IF(C667=0,0,ROUNDDOWN(I667*C667/100,1))</f>
        <v>0</v>
      </c>
      <c r="K667" s="467">
        <v>0</v>
      </c>
      <c r="L667" s="493">
        <f>IF(C667=0,0,ROUNDDOWN(K667*C667/100,1))</f>
        <v>0</v>
      </c>
      <c r="M667" s="463"/>
      <c r="N667" s="451" t="s">
        <v>2644</v>
      </c>
      <c r="O667" s="468" t="s">
        <v>2373</v>
      </c>
      <c r="P667" s="468" t="s">
        <v>2354</v>
      </c>
      <c r="Q667" s="468" t="s">
        <v>2355</v>
      </c>
    </row>
    <row r="668" spans="1:26" ht="33.200000000000003" customHeight="1">
      <c r="A668" s="463" t="s">
        <v>842</v>
      </c>
      <c r="B668" s="497"/>
      <c r="C668" s="497"/>
      <c r="D668" s="497"/>
      <c r="E668" s="497"/>
      <c r="F668" s="446">
        <f>J668+H668+L668</f>
        <v>40368</v>
      </c>
      <c r="G668" s="497"/>
      <c r="H668" s="446">
        <f>ROUNDDOWN(SUMIF(P664:P667,O668,H664:H667),0)</f>
        <v>40368</v>
      </c>
      <c r="I668" s="497"/>
      <c r="J668" s="446">
        <f>ROUNDDOWN(SUMIF(P664:P667,O668,J664:J667),0)</f>
        <v>0</v>
      </c>
      <c r="K668" s="497"/>
      <c r="L668" s="446">
        <f>ROUNDDOWN(SUMIF(P664:P667,O668,L664:L667),0)</f>
        <v>0</v>
      </c>
      <c r="M668" s="497"/>
      <c r="O668" s="468" t="s">
        <v>2354</v>
      </c>
    </row>
    <row r="669" spans="1:26" ht="33.200000000000003" customHeight="1">
      <c r="A669" s="484" t="s">
        <v>2694</v>
      </c>
      <c r="B669" s="484"/>
      <c r="C669" s="485"/>
      <c r="D669" s="485"/>
      <c r="E669" s="485"/>
      <c r="F669" s="485"/>
      <c r="G669" s="485"/>
      <c r="H669" s="485"/>
      <c r="I669" s="485"/>
      <c r="J669" s="485"/>
      <c r="K669" s="485"/>
      <c r="L669" s="485"/>
      <c r="M669" s="485"/>
      <c r="N669" s="486" t="str">
        <f>HYPERLINK("#N"&amp;ROW(N674),"_x0005_`BDCOD|B02870_x0007_`POSS|"&amp;ROW(N671)&amp;"_x0007_`POSE|"&amp;ROW(N674)&amp;"_x0007_`")</f>
        <v>_x0005_`BDCOD|B02870_x0007_`POSS|671_x0007_`POSE|674_x0007_`</v>
      </c>
    </row>
    <row r="670" spans="1:26" ht="33.200000000000003" customHeight="1">
      <c r="A670" s="469" t="s">
        <v>5220</v>
      </c>
      <c r="B670" s="469" t="s">
        <v>983</v>
      </c>
      <c r="C670" s="487"/>
      <c r="D670" s="488" t="s">
        <v>984</v>
      </c>
      <c r="E670" s="487"/>
      <c r="F670" s="487"/>
      <c r="G670" s="487"/>
      <c r="H670" s="487"/>
      <c r="I670" s="487"/>
      <c r="J670" s="487"/>
      <c r="K670" s="487"/>
      <c r="L670" s="487"/>
      <c r="M670" s="488" t="s">
        <v>5221</v>
      </c>
      <c r="O670" s="468" t="s">
        <v>5221</v>
      </c>
    </row>
    <row r="671" spans="1:26" ht="33.200000000000003" customHeight="1">
      <c r="A671" s="452" t="s">
        <v>2484</v>
      </c>
      <c r="B671" s="452" t="s">
        <v>2485</v>
      </c>
      <c r="C671" s="489">
        <v>3.5999999999999997E-2</v>
      </c>
      <c r="D671" s="480" t="s">
        <v>8</v>
      </c>
      <c r="E671" s="490">
        <f t="shared" ref="E671:F674" si="96">I671+G671+K671</f>
        <v>62811</v>
      </c>
      <c r="F671" s="493">
        <f t="shared" si="96"/>
        <v>2261.1</v>
      </c>
      <c r="G671" s="494">
        <f>단가산출근거목록표!F157</f>
        <v>62811</v>
      </c>
      <c r="H671" s="498">
        <f>IF(C671=0,0,ROUNDDOWN(G671*C671,1))</f>
        <v>2261.1</v>
      </c>
      <c r="I671" s="494">
        <f>단가산출근거목록표!G157</f>
        <v>0</v>
      </c>
      <c r="J671" s="498">
        <f>IF(C671=0,0,ROUNDDOWN(I671*C671,1))</f>
        <v>0</v>
      </c>
      <c r="K671" s="494">
        <f>단가산출근거목록표!H157</f>
        <v>0</v>
      </c>
      <c r="L671" s="498">
        <f>IF(C671=0,0,ROUNDDOWN(K671*C671,1))</f>
        <v>0</v>
      </c>
      <c r="M671" s="463" t="s">
        <v>2486</v>
      </c>
      <c r="N671" s="451" t="s">
        <v>2487</v>
      </c>
      <c r="O671" s="468" t="s">
        <v>2488</v>
      </c>
      <c r="P671" s="468" t="s">
        <v>2354</v>
      </c>
      <c r="Q671" s="468" t="s">
        <v>2355</v>
      </c>
      <c r="Z671" s="433" t="str">
        <f ca="1">HYPERLINK("#"&amp;단가산출근거목록표!J2&amp;"!A"&amp;ROW(단가산출근거목록표!A157),"D01241 →")</f>
        <v>D01241 →</v>
      </c>
    </row>
    <row r="672" spans="1:26" ht="33.200000000000003" customHeight="1">
      <c r="A672" s="452" t="s">
        <v>2321</v>
      </c>
      <c r="B672" s="452" t="s">
        <v>2322</v>
      </c>
      <c r="C672" s="489">
        <v>3.5999999999999997E-2</v>
      </c>
      <c r="D672" s="480" t="s">
        <v>8</v>
      </c>
      <c r="E672" s="490">
        <f t="shared" si="96"/>
        <v>34413</v>
      </c>
      <c r="F672" s="493">
        <f t="shared" si="96"/>
        <v>1238.8</v>
      </c>
      <c r="G672" s="494">
        <f>일위대가목록표!F275</f>
        <v>34413</v>
      </c>
      <c r="H672" s="498">
        <f>IF(C672=0,0,ROUNDDOWN(G672*C672,1))</f>
        <v>1238.8</v>
      </c>
      <c r="I672" s="494">
        <f>일위대가목록표!G275</f>
        <v>0</v>
      </c>
      <c r="J672" s="498">
        <f>IF(C672=0,0,ROUNDDOWN(I672*C672,1))</f>
        <v>0</v>
      </c>
      <c r="K672" s="494">
        <f>일위대가목록표!H275</f>
        <v>0</v>
      </c>
      <c r="L672" s="498">
        <f>IF(C672=0,0,ROUNDDOWN(K672*C672,1))</f>
        <v>0</v>
      </c>
      <c r="M672" s="463" t="s">
        <v>2489</v>
      </c>
      <c r="N672" s="451" t="s">
        <v>2490</v>
      </c>
      <c r="O672" s="468" t="s">
        <v>2491</v>
      </c>
      <c r="P672" s="468" t="s">
        <v>2354</v>
      </c>
      <c r="Q672" s="468" t="s">
        <v>2355</v>
      </c>
      <c r="Z672" s="433" t="str">
        <f ca="1">HYPERLINK("#"&amp;일위대가목록표!J2&amp;"!A"&amp;ROW(일위대가목록표!A275),"B01414 →")</f>
        <v>B01414 →</v>
      </c>
    </row>
    <row r="673" spans="1:26" ht="33.200000000000003" customHeight="1">
      <c r="A673" s="452" t="s">
        <v>1466</v>
      </c>
      <c r="B673" s="452" t="s">
        <v>1467</v>
      </c>
      <c r="C673" s="489">
        <v>3.7999999999999999E-2</v>
      </c>
      <c r="D673" s="480" t="s">
        <v>8</v>
      </c>
      <c r="E673" s="490">
        <f t="shared" si="96"/>
        <v>274515</v>
      </c>
      <c r="F673" s="493">
        <f t="shared" si="96"/>
        <v>10431.5</v>
      </c>
      <c r="G673" s="494">
        <f>일위대가목록표!F73</f>
        <v>274515</v>
      </c>
      <c r="H673" s="498">
        <f>IF(C673=0,0,ROUNDDOWN(G673*C673,1))</f>
        <v>10431.5</v>
      </c>
      <c r="I673" s="494">
        <f>일위대가목록표!G73</f>
        <v>0</v>
      </c>
      <c r="J673" s="498">
        <f>IF(C673=0,0,ROUNDDOWN(I673*C673,1))</f>
        <v>0</v>
      </c>
      <c r="K673" s="494">
        <f>일위대가목록표!H73</f>
        <v>0</v>
      </c>
      <c r="L673" s="498">
        <f>IF(C673=0,0,ROUNDDOWN(K673*C673,1))</f>
        <v>0</v>
      </c>
      <c r="M673" s="463" t="s">
        <v>2596</v>
      </c>
      <c r="N673" s="451" t="s">
        <v>2597</v>
      </c>
      <c r="O673" s="468" t="s">
        <v>1470</v>
      </c>
      <c r="P673" s="468" t="s">
        <v>2354</v>
      </c>
      <c r="Q673" s="468" t="s">
        <v>2355</v>
      </c>
      <c r="Z673" s="433" t="str">
        <f ca="1">HYPERLINK("#"&amp;일위대가목록표!J2&amp;"!A"&amp;ROW(일위대가목록표!A73),"B02396 →")</f>
        <v>B02396 →</v>
      </c>
    </row>
    <row r="674" spans="1:26" ht="33.200000000000003" customHeight="1">
      <c r="A674" s="452" t="s">
        <v>2507</v>
      </c>
      <c r="B674" s="452" t="s">
        <v>2441</v>
      </c>
      <c r="C674" s="489">
        <v>15</v>
      </c>
      <c r="D674" s="480" t="s">
        <v>2371</v>
      </c>
      <c r="E674" s="490">
        <f t="shared" si="96"/>
        <v>13931.4</v>
      </c>
      <c r="F674" s="491">
        <f t="shared" si="96"/>
        <v>2089.6999999999998</v>
      </c>
      <c r="G674" s="496">
        <f>H671+H672+H673</f>
        <v>13931.4</v>
      </c>
      <c r="H674" s="491">
        <f>IF(C674=0,0,ROUNDDOWN(G674*C674/100,1))</f>
        <v>2089.6999999999998</v>
      </c>
      <c r="I674" s="465">
        <v>0</v>
      </c>
      <c r="J674" s="493">
        <f>IF(C674=0,0,ROUNDDOWN(I674*C674/100,1))</f>
        <v>0</v>
      </c>
      <c r="K674" s="467">
        <v>0</v>
      </c>
      <c r="L674" s="493">
        <f>IF(C674=0,0,ROUNDDOWN(K674*C674/100,1))</f>
        <v>0</v>
      </c>
      <c r="M674" s="463"/>
      <c r="N674" s="451" t="s">
        <v>2644</v>
      </c>
      <c r="O674" s="468" t="s">
        <v>2373</v>
      </c>
      <c r="P674" s="468" t="s">
        <v>2354</v>
      </c>
      <c r="Q674" s="468" t="s">
        <v>2355</v>
      </c>
    </row>
    <row r="675" spans="1:26" ht="33.200000000000003" customHeight="1">
      <c r="A675" s="463" t="s">
        <v>842</v>
      </c>
      <c r="B675" s="497"/>
      <c r="C675" s="497"/>
      <c r="D675" s="497"/>
      <c r="E675" s="497"/>
      <c r="F675" s="446">
        <f>J675+H675+L675</f>
        <v>16021</v>
      </c>
      <c r="G675" s="497"/>
      <c r="H675" s="446">
        <f>ROUNDDOWN(SUMIF(P671:P674,O675,H671:H674),0)</f>
        <v>16021</v>
      </c>
      <c r="I675" s="497"/>
      <c r="J675" s="446">
        <f>ROUNDDOWN(SUMIF(P671:P674,O675,J671:J674),0)</f>
        <v>0</v>
      </c>
      <c r="K675" s="497"/>
      <c r="L675" s="446">
        <f>ROUNDDOWN(SUMIF(P671:P674,O675,L671:L674),0)</f>
        <v>0</v>
      </c>
      <c r="M675" s="497"/>
      <c r="O675" s="468" t="s">
        <v>2354</v>
      </c>
    </row>
    <row r="676" spans="1:26" ht="33.200000000000003" customHeight="1">
      <c r="A676" s="484" t="s">
        <v>2699</v>
      </c>
      <c r="B676" s="484"/>
      <c r="C676" s="485"/>
      <c r="D676" s="485"/>
      <c r="E676" s="485"/>
      <c r="F676" s="485"/>
      <c r="G676" s="485"/>
      <c r="H676" s="485"/>
      <c r="I676" s="485"/>
      <c r="J676" s="485"/>
      <c r="K676" s="485"/>
      <c r="L676" s="485"/>
      <c r="M676" s="485"/>
      <c r="N676" s="486" t="str">
        <f>HYPERLINK("#N"&amp;ROW(N681),"_x0005_`BDCOD|B02810_x0007_`POSS|"&amp;ROW(N678)&amp;"_x0007_`POSE|"&amp;ROW(N681)&amp;"_x0007_`")</f>
        <v>_x0005_`BDCOD|B02810_x0007_`POSS|678_x0007_`POSE|681_x0007_`</v>
      </c>
    </row>
    <row r="677" spans="1:26" ht="33.200000000000003" customHeight="1">
      <c r="A677" s="469" t="s">
        <v>5236</v>
      </c>
      <c r="B677" s="469" t="s">
        <v>988</v>
      </c>
      <c r="C677" s="487"/>
      <c r="D677" s="488" t="s">
        <v>984</v>
      </c>
      <c r="E677" s="487"/>
      <c r="F677" s="487"/>
      <c r="G677" s="487"/>
      <c r="H677" s="487"/>
      <c r="I677" s="487"/>
      <c r="J677" s="487"/>
      <c r="K677" s="487"/>
      <c r="L677" s="487"/>
      <c r="M677" s="488" t="s">
        <v>1658</v>
      </c>
      <c r="O677" s="468" t="s">
        <v>1658</v>
      </c>
    </row>
    <row r="678" spans="1:26" ht="33.200000000000003" customHeight="1">
      <c r="A678" s="452" t="s">
        <v>2484</v>
      </c>
      <c r="B678" s="452" t="s">
        <v>2485</v>
      </c>
      <c r="C678" s="489">
        <v>4.4999999999999998E-2</v>
      </c>
      <c r="D678" s="480" t="s">
        <v>8</v>
      </c>
      <c r="E678" s="490">
        <f t="shared" ref="E678:F681" si="97">I678+G678+K678</f>
        <v>62811</v>
      </c>
      <c r="F678" s="493">
        <f t="shared" si="97"/>
        <v>2826.4</v>
      </c>
      <c r="G678" s="494">
        <f>단가산출근거목록표!F157</f>
        <v>62811</v>
      </c>
      <c r="H678" s="498">
        <f>IF(C678=0,0,ROUNDDOWN(G678*C678,1))</f>
        <v>2826.4</v>
      </c>
      <c r="I678" s="494">
        <f>단가산출근거목록표!G157</f>
        <v>0</v>
      </c>
      <c r="J678" s="498">
        <f>IF(C678=0,0,ROUNDDOWN(I678*C678,1))</f>
        <v>0</v>
      </c>
      <c r="K678" s="494">
        <f>단가산출근거목록표!H157</f>
        <v>0</v>
      </c>
      <c r="L678" s="498">
        <f>IF(C678=0,0,ROUNDDOWN(K678*C678,1))</f>
        <v>0</v>
      </c>
      <c r="M678" s="463" t="s">
        <v>2486</v>
      </c>
      <c r="N678" s="451" t="s">
        <v>2487</v>
      </c>
      <c r="O678" s="468" t="s">
        <v>2488</v>
      </c>
      <c r="P678" s="468" t="s">
        <v>2354</v>
      </c>
      <c r="Q678" s="468" t="s">
        <v>2355</v>
      </c>
      <c r="Z678" s="433" t="str">
        <f ca="1">HYPERLINK("#"&amp;단가산출근거목록표!J2&amp;"!A"&amp;ROW(단가산출근거목록표!A157),"D01241 →")</f>
        <v>D01241 →</v>
      </c>
    </row>
    <row r="679" spans="1:26" ht="33.200000000000003" customHeight="1">
      <c r="A679" s="452" t="s">
        <v>2321</v>
      </c>
      <c r="B679" s="452" t="s">
        <v>2322</v>
      </c>
      <c r="C679" s="489">
        <v>4.4999999999999998E-2</v>
      </c>
      <c r="D679" s="480" t="s">
        <v>8</v>
      </c>
      <c r="E679" s="490">
        <f t="shared" si="97"/>
        <v>34413</v>
      </c>
      <c r="F679" s="493">
        <f t="shared" si="97"/>
        <v>1548.5</v>
      </c>
      <c r="G679" s="494">
        <f>일위대가목록표!F275</f>
        <v>34413</v>
      </c>
      <c r="H679" s="498">
        <f>IF(C679=0,0,ROUNDDOWN(G679*C679,1))</f>
        <v>1548.5</v>
      </c>
      <c r="I679" s="494">
        <f>일위대가목록표!G275</f>
        <v>0</v>
      </c>
      <c r="J679" s="498">
        <f>IF(C679=0,0,ROUNDDOWN(I679*C679,1))</f>
        <v>0</v>
      </c>
      <c r="K679" s="494">
        <f>일위대가목록표!H275</f>
        <v>0</v>
      </c>
      <c r="L679" s="498">
        <f>IF(C679=0,0,ROUNDDOWN(K679*C679,1))</f>
        <v>0</v>
      </c>
      <c r="M679" s="463" t="s">
        <v>2489</v>
      </c>
      <c r="N679" s="451" t="s">
        <v>2490</v>
      </c>
      <c r="O679" s="468" t="s">
        <v>2491</v>
      </c>
      <c r="P679" s="468" t="s">
        <v>2354</v>
      </c>
      <c r="Q679" s="468" t="s">
        <v>2355</v>
      </c>
      <c r="Z679" s="433" t="str">
        <f ca="1">HYPERLINK("#"&amp;일위대가목록표!J2&amp;"!A"&amp;ROW(일위대가목록표!A275),"B01414 →")</f>
        <v>B01414 →</v>
      </c>
    </row>
    <row r="680" spans="1:26" ht="33.200000000000003" customHeight="1">
      <c r="A680" s="452" t="s">
        <v>1466</v>
      </c>
      <c r="B680" s="452" t="s">
        <v>1467</v>
      </c>
      <c r="C680" s="489">
        <v>4.8000000000000001E-2</v>
      </c>
      <c r="D680" s="480" t="s">
        <v>8</v>
      </c>
      <c r="E680" s="490">
        <f t="shared" si="97"/>
        <v>274515</v>
      </c>
      <c r="F680" s="493">
        <f t="shared" si="97"/>
        <v>13176.7</v>
      </c>
      <c r="G680" s="494">
        <f>일위대가목록표!F73</f>
        <v>274515</v>
      </c>
      <c r="H680" s="498">
        <f>IF(C680=0,0,ROUNDDOWN(G680*C680,1))</f>
        <v>13176.7</v>
      </c>
      <c r="I680" s="494">
        <f>일위대가목록표!G73</f>
        <v>0</v>
      </c>
      <c r="J680" s="498">
        <f>IF(C680=0,0,ROUNDDOWN(I680*C680,1))</f>
        <v>0</v>
      </c>
      <c r="K680" s="494">
        <f>일위대가목록표!H73</f>
        <v>0</v>
      </c>
      <c r="L680" s="498">
        <f>IF(C680=0,0,ROUNDDOWN(K680*C680,1))</f>
        <v>0</v>
      </c>
      <c r="M680" s="463" t="s">
        <v>2596</v>
      </c>
      <c r="N680" s="451" t="s">
        <v>2597</v>
      </c>
      <c r="O680" s="468" t="s">
        <v>1470</v>
      </c>
      <c r="P680" s="468" t="s">
        <v>2354</v>
      </c>
      <c r="Q680" s="468" t="s">
        <v>2355</v>
      </c>
      <c r="Z680" s="433" t="str">
        <f ca="1">HYPERLINK("#"&amp;일위대가목록표!J2&amp;"!A"&amp;ROW(일위대가목록표!A73),"B02396 →")</f>
        <v>B02396 →</v>
      </c>
    </row>
    <row r="681" spans="1:26" ht="33.200000000000003" customHeight="1">
      <c r="A681" s="452" t="s">
        <v>2507</v>
      </c>
      <c r="B681" s="452" t="s">
        <v>2441</v>
      </c>
      <c r="C681" s="489">
        <v>25</v>
      </c>
      <c r="D681" s="480" t="s">
        <v>2371</v>
      </c>
      <c r="E681" s="490">
        <f t="shared" si="97"/>
        <v>17551.599999999999</v>
      </c>
      <c r="F681" s="491">
        <f t="shared" si="97"/>
        <v>4387.8999999999996</v>
      </c>
      <c r="G681" s="496">
        <f>H678+H679+H680</f>
        <v>17551.599999999999</v>
      </c>
      <c r="H681" s="491">
        <f>IF(C681=0,0,ROUNDDOWN(G681*C681/100,1))</f>
        <v>4387.8999999999996</v>
      </c>
      <c r="I681" s="465">
        <v>0</v>
      </c>
      <c r="J681" s="493">
        <f>IF(C681=0,0,ROUNDDOWN(I681*C681/100,1))</f>
        <v>0</v>
      </c>
      <c r="K681" s="467">
        <v>0</v>
      </c>
      <c r="L681" s="493">
        <f>IF(C681=0,0,ROUNDDOWN(K681*C681/100,1))</f>
        <v>0</v>
      </c>
      <c r="M681" s="463"/>
      <c r="N681" s="451" t="s">
        <v>2644</v>
      </c>
      <c r="O681" s="468" t="s">
        <v>2373</v>
      </c>
      <c r="P681" s="468" t="s">
        <v>2354</v>
      </c>
      <c r="Q681" s="468" t="s">
        <v>2355</v>
      </c>
    </row>
    <row r="682" spans="1:26" ht="33.200000000000003" customHeight="1">
      <c r="A682" s="463" t="s">
        <v>842</v>
      </c>
      <c r="B682" s="497"/>
      <c r="C682" s="497"/>
      <c r="D682" s="497"/>
      <c r="E682" s="497"/>
      <c r="F682" s="446">
        <f>J682+H682+L682</f>
        <v>21939</v>
      </c>
      <c r="G682" s="497"/>
      <c r="H682" s="446">
        <f>ROUNDDOWN(SUMIF(P678:P681,O682,H678:H681),0)</f>
        <v>21939</v>
      </c>
      <c r="I682" s="497"/>
      <c r="J682" s="446">
        <f>ROUNDDOWN(SUMIF(P678:P681,O682,J678:J681),0)</f>
        <v>0</v>
      </c>
      <c r="K682" s="497"/>
      <c r="L682" s="446">
        <f>ROUNDDOWN(SUMIF(P678:P681,O682,L678:L681),0)</f>
        <v>0</v>
      </c>
      <c r="M682" s="497"/>
      <c r="O682" s="468" t="s">
        <v>2354</v>
      </c>
    </row>
    <row r="683" spans="1:26" ht="33.200000000000003" customHeight="1">
      <c r="A683" s="484" t="s">
        <v>2725</v>
      </c>
      <c r="B683" s="484"/>
      <c r="C683" s="485"/>
      <c r="D683" s="485"/>
      <c r="E683" s="485"/>
      <c r="F683" s="485"/>
      <c r="G683" s="485"/>
      <c r="H683" s="485"/>
      <c r="I683" s="485"/>
      <c r="J683" s="485"/>
      <c r="K683" s="485"/>
      <c r="L683" s="485"/>
      <c r="M683" s="485"/>
      <c r="N683" s="486" t="str">
        <f>HYPERLINK("#N"&amp;ROW(N688),"_x0005_`BDCOD|B02811_x0007_`POSS|"&amp;ROW(N685)&amp;"_x0007_`POSE|"&amp;ROW(N688)&amp;"_x0007_`")</f>
        <v>_x0005_`BDCOD|B02811_x0007_`POSS|685_x0007_`POSE|688_x0007_`</v>
      </c>
    </row>
    <row r="684" spans="1:26" ht="33.200000000000003" customHeight="1">
      <c r="A684" s="469" t="s">
        <v>5236</v>
      </c>
      <c r="B684" s="469" t="s">
        <v>992</v>
      </c>
      <c r="C684" s="487"/>
      <c r="D684" s="488" t="s">
        <v>984</v>
      </c>
      <c r="E684" s="487"/>
      <c r="F684" s="487"/>
      <c r="G684" s="487"/>
      <c r="H684" s="487"/>
      <c r="I684" s="487"/>
      <c r="J684" s="487"/>
      <c r="K684" s="487"/>
      <c r="L684" s="487"/>
      <c r="M684" s="488" t="s">
        <v>1661</v>
      </c>
      <c r="O684" s="468" t="s">
        <v>1661</v>
      </c>
    </row>
    <row r="685" spans="1:26" ht="33.200000000000003" customHeight="1">
      <c r="A685" s="452" t="s">
        <v>2484</v>
      </c>
      <c r="B685" s="452" t="s">
        <v>2485</v>
      </c>
      <c r="C685" s="489">
        <v>5.3999999999999999E-2</v>
      </c>
      <c r="D685" s="480" t="s">
        <v>8</v>
      </c>
      <c r="E685" s="490">
        <f t="shared" ref="E685:F688" si="98">I685+G685+K685</f>
        <v>62811</v>
      </c>
      <c r="F685" s="493">
        <f t="shared" si="98"/>
        <v>3391.7</v>
      </c>
      <c r="G685" s="494">
        <f>단가산출근거목록표!F157</f>
        <v>62811</v>
      </c>
      <c r="H685" s="498">
        <f>IF(C685=0,0,ROUNDDOWN(G685*C685,1))</f>
        <v>3391.7</v>
      </c>
      <c r="I685" s="494">
        <f>단가산출근거목록표!G157</f>
        <v>0</v>
      </c>
      <c r="J685" s="498">
        <f>IF(C685=0,0,ROUNDDOWN(I685*C685,1))</f>
        <v>0</v>
      </c>
      <c r="K685" s="494">
        <f>단가산출근거목록표!H157</f>
        <v>0</v>
      </c>
      <c r="L685" s="498">
        <f>IF(C685=0,0,ROUNDDOWN(K685*C685,1))</f>
        <v>0</v>
      </c>
      <c r="M685" s="463" t="s">
        <v>2486</v>
      </c>
      <c r="N685" s="451" t="s">
        <v>2487</v>
      </c>
      <c r="O685" s="468" t="s">
        <v>2488</v>
      </c>
      <c r="P685" s="468" t="s">
        <v>2354</v>
      </c>
      <c r="Q685" s="468" t="s">
        <v>2355</v>
      </c>
      <c r="Z685" s="433" t="str">
        <f ca="1">HYPERLINK("#"&amp;단가산출근거목록표!J2&amp;"!A"&amp;ROW(단가산출근거목록표!A157),"D01241 →")</f>
        <v>D01241 →</v>
      </c>
    </row>
    <row r="686" spans="1:26" ht="33.200000000000003" customHeight="1">
      <c r="A686" s="452" t="s">
        <v>2321</v>
      </c>
      <c r="B686" s="452" t="s">
        <v>2322</v>
      </c>
      <c r="C686" s="489">
        <v>5.3999999999999999E-2</v>
      </c>
      <c r="D686" s="480" t="s">
        <v>8</v>
      </c>
      <c r="E686" s="490">
        <f t="shared" si="98"/>
        <v>34413</v>
      </c>
      <c r="F686" s="493">
        <f t="shared" si="98"/>
        <v>1858.3</v>
      </c>
      <c r="G686" s="494">
        <f>일위대가목록표!F275</f>
        <v>34413</v>
      </c>
      <c r="H686" s="498">
        <f>IF(C686=0,0,ROUNDDOWN(G686*C686,1))</f>
        <v>1858.3</v>
      </c>
      <c r="I686" s="494">
        <f>일위대가목록표!G275</f>
        <v>0</v>
      </c>
      <c r="J686" s="498">
        <f>IF(C686=0,0,ROUNDDOWN(I686*C686,1))</f>
        <v>0</v>
      </c>
      <c r="K686" s="494">
        <f>일위대가목록표!H275</f>
        <v>0</v>
      </c>
      <c r="L686" s="498">
        <f>IF(C686=0,0,ROUNDDOWN(K686*C686,1))</f>
        <v>0</v>
      </c>
      <c r="M686" s="463" t="s">
        <v>2489</v>
      </c>
      <c r="N686" s="451" t="s">
        <v>2490</v>
      </c>
      <c r="O686" s="468" t="s">
        <v>2491</v>
      </c>
      <c r="P686" s="468" t="s">
        <v>2354</v>
      </c>
      <c r="Q686" s="468" t="s">
        <v>2355</v>
      </c>
      <c r="Z686" s="433" t="str">
        <f ca="1">HYPERLINK("#"&amp;일위대가목록표!J2&amp;"!A"&amp;ROW(일위대가목록표!A275),"B01414 →")</f>
        <v>B01414 →</v>
      </c>
    </row>
    <row r="687" spans="1:26" ht="33.200000000000003" customHeight="1">
      <c r="A687" s="452" t="s">
        <v>1466</v>
      </c>
      <c r="B687" s="452" t="s">
        <v>1467</v>
      </c>
      <c r="C687" s="489">
        <v>5.8000000000000003E-2</v>
      </c>
      <c r="D687" s="480" t="s">
        <v>8</v>
      </c>
      <c r="E687" s="490">
        <f t="shared" si="98"/>
        <v>274515</v>
      </c>
      <c r="F687" s="493">
        <f t="shared" si="98"/>
        <v>15921.8</v>
      </c>
      <c r="G687" s="494">
        <f>일위대가목록표!F73</f>
        <v>274515</v>
      </c>
      <c r="H687" s="498">
        <f>IF(C687=0,0,ROUNDDOWN(G687*C687,1))</f>
        <v>15921.8</v>
      </c>
      <c r="I687" s="494">
        <f>일위대가목록표!G73</f>
        <v>0</v>
      </c>
      <c r="J687" s="498">
        <f>IF(C687=0,0,ROUNDDOWN(I687*C687,1))</f>
        <v>0</v>
      </c>
      <c r="K687" s="494">
        <f>일위대가목록표!H73</f>
        <v>0</v>
      </c>
      <c r="L687" s="498">
        <f>IF(C687=0,0,ROUNDDOWN(K687*C687,1))</f>
        <v>0</v>
      </c>
      <c r="M687" s="463" t="s">
        <v>2596</v>
      </c>
      <c r="N687" s="451" t="s">
        <v>2597</v>
      </c>
      <c r="O687" s="468" t="s">
        <v>1470</v>
      </c>
      <c r="P687" s="468" t="s">
        <v>2354</v>
      </c>
      <c r="Q687" s="468" t="s">
        <v>2355</v>
      </c>
      <c r="Z687" s="433" t="str">
        <f ca="1">HYPERLINK("#"&amp;일위대가목록표!J2&amp;"!A"&amp;ROW(일위대가목록표!A73),"B02396 →")</f>
        <v>B02396 →</v>
      </c>
    </row>
    <row r="688" spans="1:26" ht="33.200000000000003" customHeight="1">
      <c r="A688" s="452" t="s">
        <v>2507</v>
      </c>
      <c r="B688" s="452" t="s">
        <v>2441</v>
      </c>
      <c r="C688" s="489">
        <v>25</v>
      </c>
      <c r="D688" s="480" t="s">
        <v>2371</v>
      </c>
      <c r="E688" s="490">
        <f t="shared" si="98"/>
        <v>21171.8</v>
      </c>
      <c r="F688" s="491">
        <f t="shared" si="98"/>
        <v>5292.9</v>
      </c>
      <c r="G688" s="496">
        <f>H685+H686+H687</f>
        <v>21171.8</v>
      </c>
      <c r="H688" s="491">
        <f>IF(C688=0,0,ROUNDDOWN(G688*C688/100,1))</f>
        <v>5292.9</v>
      </c>
      <c r="I688" s="465">
        <v>0</v>
      </c>
      <c r="J688" s="493">
        <f>IF(C688=0,0,ROUNDDOWN(I688*C688/100,1))</f>
        <v>0</v>
      </c>
      <c r="K688" s="467">
        <v>0</v>
      </c>
      <c r="L688" s="493">
        <f>IF(C688=0,0,ROUNDDOWN(K688*C688/100,1))</f>
        <v>0</v>
      </c>
      <c r="M688" s="463"/>
      <c r="N688" s="451" t="s">
        <v>2644</v>
      </c>
      <c r="O688" s="468" t="s">
        <v>2373</v>
      </c>
      <c r="P688" s="468" t="s">
        <v>2354</v>
      </c>
      <c r="Q688" s="468" t="s">
        <v>2355</v>
      </c>
    </row>
    <row r="689" spans="1:26" ht="33.200000000000003" customHeight="1">
      <c r="A689" s="463" t="s">
        <v>842</v>
      </c>
      <c r="B689" s="497"/>
      <c r="C689" s="497"/>
      <c r="D689" s="497"/>
      <c r="E689" s="497"/>
      <c r="F689" s="446">
        <f>J689+H689+L689</f>
        <v>26464</v>
      </c>
      <c r="G689" s="497"/>
      <c r="H689" s="446">
        <f>ROUNDDOWN(SUMIF(P685:P688,O689,H685:H688),0)</f>
        <v>26464</v>
      </c>
      <c r="I689" s="497"/>
      <c r="J689" s="446">
        <f>ROUNDDOWN(SUMIF(P685:P688,O689,J685:J688),0)</f>
        <v>0</v>
      </c>
      <c r="K689" s="497"/>
      <c r="L689" s="446">
        <f>ROUNDDOWN(SUMIF(P685:P688,O689,L685:L688),0)</f>
        <v>0</v>
      </c>
      <c r="M689" s="497"/>
      <c r="O689" s="468" t="s">
        <v>2354</v>
      </c>
    </row>
    <row r="690" spans="1:26" ht="33.200000000000003" customHeight="1">
      <c r="A690" s="484" t="s">
        <v>2734</v>
      </c>
      <c r="B690" s="484"/>
      <c r="C690" s="485"/>
      <c r="D690" s="485"/>
      <c r="E690" s="485"/>
      <c r="F690" s="485"/>
      <c r="G690" s="485"/>
      <c r="H690" s="485"/>
      <c r="I690" s="485"/>
      <c r="J690" s="485"/>
      <c r="K690" s="485"/>
      <c r="L690" s="485"/>
      <c r="M690" s="485"/>
      <c r="N690" s="486" t="str">
        <f>HYPERLINK("#N"&amp;ROW(N695),"_x0005_`BDCOD|B02812_x0007_`POSS|"&amp;ROW(N692)&amp;"_x0007_`POSE|"&amp;ROW(N695)&amp;"_x0007_`")</f>
        <v>_x0005_`BDCOD|B02812_x0007_`POSS|692_x0007_`POSE|695_x0007_`</v>
      </c>
    </row>
    <row r="691" spans="1:26" ht="33.200000000000003" customHeight="1">
      <c r="A691" s="469" t="s">
        <v>5236</v>
      </c>
      <c r="B691" s="469" t="s">
        <v>996</v>
      </c>
      <c r="C691" s="487"/>
      <c r="D691" s="488" t="s">
        <v>984</v>
      </c>
      <c r="E691" s="487"/>
      <c r="F691" s="487"/>
      <c r="G691" s="487"/>
      <c r="H691" s="487"/>
      <c r="I691" s="487"/>
      <c r="J691" s="487"/>
      <c r="K691" s="487"/>
      <c r="L691" s="487"/>
      <c r="M691" s="488" t="s">
        <v>1664</v>
      </c>
      <c r="O691" s="468" t="s">
        <v>1664</v>
      </c>
    </row>
    <row r="692" spans="1:26" ht="33.200000000000003" customHeight="1">
      <c r="A692" s="452" t="s">
        <v>2484</v>
      </c>
      <c r="B692" s="452" t="s">
        <v>2485</v>
      </c>
      <c r="C692" s="489">
        <v>6.8000000000000005E-2</v>
      </c>
      <c r="D692" s="480" t="s">
        <v>8</v>
      </c>
      <c r="E692" s="490">
        <f t="shared" ref="E692:F695" si="99">I692+G692+K692</f>
        <v>62811</v>
      </c>
      <c r="F692" s="493">
        <f t="shared" si="99"/>
        <v>4271.1000000000004</v>
      </c>
      <c r="G692" s="494">
        <f>단가산출근거목록표!F157</f>
        <v>62811</v>
      </c>
      <c r="H692" s="498">
        <f>IF(C692=0,0,ROUNDDOWN(G692*C692,1))</f>
        <v>4271.1000000000004</v>
      </c>
      <c r="I692" s="494">
        <f>단가산출근거목록표!G157</f>
        <v>0</v>
      </c>
      <c r="J692" s="498">
        <f>IF(C692=0,0,ROUNDDOWN(I692*C692,1))</f>
        <v>0</v>
      </c>
      <c r="K692" s="494">
        <f>단가산출근거목록표!H157</f>
        <v>0</v>
      </c>
      <c r="L692" s="498">
        <f>IF(C692=0,0,ROUNDDOWN(K692*C692,1))</f>
        <v>0</v>
      </c>
      <c r="M692" s="463" t="s">
        <v>2486</v>
      </c>
      <c r="N692" s="451" t="s">
        <v>2487</v>
      </c>
      <c r="O692" s="468" t="s">
        <v>2488</v>
      </c>
      <c r="P692" s="468" t="s">
        <v>2354</v>
      </c>
      <c r="Q692" s="468" t="s">
        <v>2355</v>
      </c>
      <c r="Z692" s="433" t="str">
        <f ca="1">HYPERLINK("#"&amp;단가산출근거목록표!J2&amp;"!A"&amp;ROW(단가산출근거목록표!A157),"D01241 →")</f>
        <v>D01241 →</v>
      </c>
    </row>
    <row r="693" spans="1:26" ht="33.200000000000003" customHeight="1">
      <c r="A693" s="452" t="s">
        <v>2321</v>
      </c>
      <c r="B693" s="452" t="s">
        <v>2322</v>
      </c>
      <c r="C693" s="489">
        <v>6.8000000000000005E-2</v>
      </c>
      <c r="D693" s="480" t="s">
        <v>8</v>
      </c>
      <c r="E693" s="490">
        <f t="shared" si="99"/>
        <v>34413</v>
      </c>
      <c r="F693" s="493">
        <f t="shared" si="99"/>
        <v>2340</v>
      </c>
      <c r="G693" s="494">
        <f>일위대가목록표!F275</f>
        <v>34413</v>
      </c>
      <c r="H693" s="498">
        <f>IF(C693=0,0,ROUNDDOWN(G693*C693,1))</f>
        <v>2340</v>
      </c>
      <c r="I693" s="494">
        <f>일위대가목록표!G275</f>
        <v>0</v>
      </c>
      <c r="J693" s="498">
        <f>IF(C693=0,0,ROUNDDOWN(I693*C693,1))</f>
        <v>0</v>
      </c>
      <c r="K693" s="494">
        <f>일위대가목록표!H275</f>
        <v>0</v>
      </c>
      <c r="L693" s="498">
        <f>IF(C693=0,0,ROUNDDOWN(K693*C693,1))</f>
        <v>0</v>
      </c>
      <c r="M693" s="463" t="s">
        <v>2489</v>
      </c>
      <c r="N693" s="451" t="s">
        <v>2490</v>
      </c>
      <c r="O693" s="468" t="s">
        <v>2491</v>
      </c>
      <c r="P693" s="468" t="s">
        <v>2354</v>
      </c>
      <c r="Q693" s="468" t="s">
        <v>2355</v>
      </c>
      <c r="Z693" s="433" t="str">
        <f ca="1">HYPERLINK("#"&amp;일위대가목록표!J2&amp;"!A"&amp;ROW(일위대가목록표!A275),"B01414 →")</f>
        <v>B01414 →</v>
      </c>
    </row>
    <row r="694" spans="1:26" ht="33.200000000000003" customHeight="1">
      <c r="A694" s="452" t="s">
        <v>1466</v>
      </c>
      <c r="B694" s="452" t="s">
        <v>1467</v>
      </c>
      <c r="C694" s="489">
        <v>7.1999999999999995E-2</v>
      </c>
      <c r="D694" s="480" t="s">
        <v>8</v>
      </c>
      <c r="E694" s="490">
        <f t="shared" si="99"/>
        <v>274515</v>
      </c>
      <c r="F694" s="493">
        <f t="shared" si="99"/>
        <v>19765</v>
      </c>
      <c r="G694" s="494">
        <f>일위대가목록표!F73</f>
        <v>274515</v>
      </c>
      <c r="H694" s="498">
        <f>IF(C694=0,0,ROUNDDOWN(G694*C694,1))</f>
        <v>19765</v>
      </c>
      <c r="I694" s="494">
        <f>일위대가목록표!G73</f>
        <v>0</v>
      </c>
      <c r="J694" s="498">
        <f>IF(C694=0,0,ROUNDDOWN(I694*C694,1))</f>
        <v>0</v>
      </c>
      <c r="K694" s="494">
        <f>일위대가목록표!H73</f>
        <v>0</v>
      </c>
      <c r="L694" s="498">
        <f>IF(C694=0,0,ROUNDDOWN(K694*C694,1))</f>
        <v>0</v>
      </c>
      <c r="M694" s="463" t="s">
        <v>2596</v>
      </c>
      <c r="N694" s="451" t="s">
        <v>2597</v>
      </c>
      <c r="O694" s="468" t="s">
        <v>1470</v>
      </c>
      <c r="P694" s="468" t="s">
        <v>2354</v>
      </c>
      <c r="Q694" s="468" t="s">
        <v>2355</v>
      </c>
      <c r="Z694" s="433" t="str">
        <f ca="1">HYPERLINK("#"&amp;일위대가목록표!J2&amp;"!A"&amp;ROW(일위대가목록표!A73),"B02396 →")</f>
        <v>B02396 →</v>
      </c>
    </row>
    <row r="695" spans="1:26" ht="33.200000000000003" customHeight="1">
      <c r="A695" s="452" t="s">
        <v>2507</v>
      </c>
      <c r="B695" s="452" t="s">
        <v>2441</v>
      </c>
      <c r="C695" s="489">
        <v>25</v>
      </c>
      <c r="D695" s="480" t="s">
        <v>2371</v>
      </c>
      <c r="E695" s="490">
        <f t="shared" si="99"/>
        <v>26376.1</v>
      </c>
      <c r="F695" s="491">
        <f t="shared" si="99"/>
        <v>6594</v>
      </c>
      <c r="G695" s="496">
        <f>H692+H693+H694</f>
        <v>26376.1</v>
      </c>
      <c r="H695" s="491">
        <f>IF(C695=0,0,ROUNDDOWN(G695*C695/100,1))</f>
        <v>6594</v>
      </c>
      <c r="I695" s="465">
        <v>0</v>
      </c>
      <c r="J695" s="493">
        <f>IF(C695=0,0,ROUNDDOWN(I695*C695/100,1))</f>
        <v>0</v>
      </c>
      <c r="K695" s="467">
        <v>0</v>
      </c>
      <c r="L695" s="493">
        <f>IF(C695=0,0,ROUNDDOWN(K695*C695/100,1))</f>
        <v>0</v>
      </c>
      <c r="M695" s="463"/>
      <c r="N695" s="451" t="s">
        <v>2644</v>
      </c>
      <c r="O695" s="468" t="s">
        <v>2373</v>
      </c>
      <c r="P695" s="468" t="s">
        <v>2354</v>
      </c>
      <c r="Q695" s="468" t="s">
        <v>2355</v>
      </c>
    </row>
    <row r="696" spans="1:26" ht="33.200000000000003" customHeight="1">
      <c r="A696" s="463" t="s">
        <v>842</v>
      </c>
      <c r="B696" s="497"/>
      <c r="C696" s="497"/>
      <c r="D696" s="497"/>
      <c r="E696" s="497"/>
      <c r="F696" s="446">
        <f>J696+H696+L696</f>
        <v>32970</v>
      </c>
      <c r="G696" s="497"/>
      <c r="H696" s="446">
        <f>ROUNDDOWN(SUMIF(P692:P695,O696,H692:H695),0)</f>
        <v>32970</v>
      </c>
      <c r="I696" s="497"/>
      <c r="J696" s="446">
        <f>ROUNDDOWN(SUMIF(P692:P695,O696,J692:J695),0)</f>
        <v>0</v>
      </c>
      <c r="K696" s="497"/>
      <c r="L696" s="446">
        <f>ROUNDDOWN(SUMIF(P692:P695,O696,L692:L695),0)</f>
        <v>0</v>
      </c>
      <c r="M696" s="497"/>
      <c r="O696" s="468" t="s">
        <v>2354</v>
      </c>
    </row>
    <row r="697" spans="1:26" ht="33.200000000000003" customHeight="1">
      <c r="A697" s="484" t="s">
        <v>2754</v>
      </c>
      <c r="B697" s="484"/>
      <c r="C697" s="485"/>
      <c r="D697" s="485"/>
      <c r="E697" s="485"/>
      <c r="F697" s="485"/>
      <c r="G697" s="485"/>
      <c r="H697" s="485"/>
      <c r="I697" s="485"/>
      <c r="J697" s="485"/>
      <c r="K697" s="485"/>
      <c r="L697" s="485"/>
      <c r="M697" s="485"/>
      <c r="N697" s="486" t="str">
        <f>HYPERLINK("#N"&amp;ROW(N702),"_x0005_`BDCOD|B02813_x0007_`POSS|"&amp;ROW(N699)&amp;"_x0007_`POSE|"&amp;ROW(N702)&amp;"_x0007_`")</f>
        <v>_x0005_`BDCOD|B02813_x0007_`POSS|699_x0007_`POSE|702_x0007_`</v>
      </c>
    </row>
    <row r="698" spans="1:26" ht="33.200000000000003" customHeight="1">
      <c r="A698" s="469" t="s">
        <v>5236</v>
      </c>
      <c r="B698" s="469" t="s">
        <v>1000</v>
      </c>
      <c r="C698" s="487"/>
      <c r="D698" s="488" t="s">
        <v>984</v>
      </c>
      <c r="E698" s="487"/>
      <c r="F698" s="487"/>
      <c r="G698" s="487"/>
      <c r="H698" s="487"/>
      <c r="I698" s="487"/>
      <c r="J698" s="487"/>
      <c r="K698" s="487"/>
      <c r="L698" s="487"/>
      <c r="M698" s="488" t="s">
        <v>1667</v>
      </c>
      <c r="O698" s="468" t="s">
        <v>1667</v>
      </c>
    </row>
    <row r="699" spans="1:26" ht="33.200000000000003" customHeight="1">
      <c r="A699" s="452" t="s">
        <v>2484</v>
      </c>
      <c r="B699" s="452" t="s">
        <v>2485</v>
      </c>
      <c r="C699" s="489">
        <v>0.09</v>
      </c>
      <c r="D699" s="480" t="s">
        <v>8</v>
      </c>
      <c r="E699" s="490">
        <f t="shared" ref="E699:F702" si="100">I699+G699+K699</f>
        <v>62811</v>
      </c>
      <c r="F699" s="493">
        <f t="shared" si="100"/>
        <v>5652.9</v>
      </c>
      <c r="G699" s="494">
        <f>단가산출근거목록표!F157</f>
        <v>62811</v>
      </c>
      <c r="H699" s="498">
        <f>IF(C699=0,0,ROUNDDOWN(G699*C699,1))</f>
        <v>5652.9</v>
      </c>
      <c r="I699" s="494">
        <f>단가산출근거목록표!G157</f>
        <v>0</v>
      </c>
      <c r="J699" s="498">
        <f>IF(C699=0,0,ROUNDDOWN(I699*C699,1))</f>
        <v>0</v>
      </c>
      <c r="K699" s="494">
        <f>단가산출근거목록표!H157</f>
        <v>0</v>
      </c>
      <c r="L699" s="498">
        <f>IF(C699=0,0,ROUNDDOWN(K699*C699,1))</f>
        <v>0</v>
      </c>
      <c r="M699" s="463" t="s">
        <v>2486</v>
      </c>
      <c r="N699" s="451" t="s">
        <v>2487</v>
      </c>
      <c r="O699" s="468" t="s">
        <v>2488</v>
      </c>
      <c r="P699" s="468" t="s">
        <v>2354</v>
      </c>
      <c r="Q699" s="468" t="s">
        <v>2355</v>
      </c>
      <c r="Z699" s="433" t="str">
        <f ca="1">HYPERLINK("#"&amp;단가산출근거목록표!J2&amp;"!A"&amp;ROW(단가산출근거목록표!A157),"D01241 →")</f>
        <v>D01241 →</v>
      </c>
    </row>
    <row r="700" spans="1:26" ht="33.200000000000003" customHeight="1">
      <c r="A700" s="452" t="s">
        <v>2321</v>
      </c>
      <c r="B700" s="452" t="s">
        <v>2322</v>
      </c>
      <c r="C700" s="489">
        <v>0.09</v>
      </c>
      <c r="D700" s="480" t="s">
        <v>8</v>
      </c>
      <c r="E700" s="490">
        <f t="shared" si="100"/>
        <v>34413</v>
      </c>
      <c r="F700" s="493">
        <f t="shared" si="100"/>
        <v>3097.1</v>
      </c>
      <c r="G700" s="494">
        <f>일위대가목록표!F275</f>
        <v>34413</v>
      </c>
      <c r="H700" s="498">
        <f>IF(C700=0,0,ROUNDDOWN(G700*C700,1))</f>
        <v>3097.1</v>
      </c>
      <c r="I700" s="494">
        <f>일위대가목록표!G275</f>
        <v>0</v>
      </c>
      <c r="J700" s="498">
        <f>IF(C700=0,0,ROUNDDOWN(I700*C700,1))</f>
        <v>0</v>
      </c>
      <c r="K700" s="494">
        <f>일위대가목록표!H275</f>
        <v>0</v>
      </c>
      <c r="L700" s="498">
        <f>IF(C700=0,0,ROUNDDOWN(K700*C700,1))</f>
        <v>0</v>
      </c>
      <c r="M700" s="463" t="s">
        <v>2489</v>
      </c>
      <c r="N700" s="451" t="s">
        <v>2490</v>
      </c>
      <c r="O700" s="468" t="s">
        <v>2491</v>
      </c>
      <c r="P700" s="468" t="s">
        <v>2354</v>
      </c>
      <c r="Q700" s="468" t="s">
        <v>2355</v>
      </c>
      <c r="Z700" s="433" t="str">
        <f ca="1">HYPERLINK("#"&amp;일위대가목록표!J2&amp;"!A"&amp;ROW(일위대가목록표!A275),"B01414 →")</f>
        <v>B01414 →</v>
      </c>
    </row>
    <row r="701" spans="1:26" ht="33.200000000000003" customHeight="1">
      <c r="A701" s="452" t="s">
        <v>1466</v>
      </c>
      <c r="B701" s="452" t="s">
        <v>1467</v>
      </c>
      <c r="C701" s="489">
        <v>9.6000000000000002E-2</v>
      </c>
      <c r="D701" s="480" t="s">
        <v>8</v>
      </c>
      <c r="E701" s="490">
        <f t="shared" si="100"/>
        <v>274515</v>
      </c>
      <c r="F701" s="493">
        <f t="shared" si="100"/>
        <v>26353.4</v>
      </c>
      <c r="G701" s="494">
        <f>일위대가목록표!F73</f>
        <v>274515</v>
      </c>
      <c r="H701" s="498">
        <f>IF(C701=0,0,ROUNDDOWN(G701*C701,1))</f>
        <v>26353.4</v>
      </c>
      <c r="I701" s="494">
        <f>일위대가목록표!G73</f>
        <v>0</v>
      </c>
      <c r="J701" s="498">
        <f>IF(C701=0,0,ROUNDDOWN(I701*C701,1))</f>
        <v>0</v>
      </c>
      <c r="K701" s="494">
        <f>일위대가목록표!H73</f>
        <v>0</v>
      </c>
      <c r="L701" s="498">
        <f>IF(C701=0,0,ROUNDDOWN(K701*C701,1))</f>
        <v>0</v>
      </c>
      <c r="M701" s="463" t="s">
        <v>2596</v>
      </c>
      <c r="N701" s="451" t="s">
        <v>2597</v>
      </c>
      <c r="O701" s="468" t="s">
        <v>1470</v>
      </c>
      <c r="P701" s="468" t="s">
        <v>2354</v>
      </c>
      <c r="Q701" s="468" t="s">
        <v>2355</v>
      </c>
      <c r="Z701" s="433" t="str">
        <f ca="1">HYPERLINK("#"&amp;일위대가목록표!J2&amp;"!A"&amp;ROW(일위대가목록표!A73),"B02396 →")</f>
        <v>B02396 →</v>
      </c>
    </row>
    <row r="702" spans="1:26" ht="33.200000000000003" customHeight="1">
      <c r="A702" s="452" t="s">
        <v>2507</v>
      </c>
      <c r="B702" s="452" t="s">
        <v>2441</v>
      </c>
      <c r="C702" s="489">
        <v>25</v>
      </c>
      <c r="D702" s="480" t="s">
        <v>2371</v>
      </c>
      <c r="E702" s="490">
        <f t="shared" si="100"/>
        <v>35103.4</v>
      </c>
      <c r="F702" s="491">
        <f t="shared" si="100"/>
        <v>8775.7999999999993</v>
      </c>
      <c r="G702" s="496">
        <f>H699+H700+H701</f>
        <v>35103.4</v>
      </c>
      <c r="H702" s="491">
        <f>IF(C702=0,0,ROUNDDOWN(G702*C702/100,1))</f>
        <v>8775.7999999999993</v>
      </c>
      <c r="I702" s="465">
        <v>0</v>
      </c>
      <c r="J702" s="493">
        <f>IF(C702=0,0,ROUNDDOWN(I702*C702/100,1))</f>
        <v>0</v>
      </c>
      <c r="K702" s="467">
        <v>0</v>
      </c>
      <c r="L702" s="493">
        <f>IF(C702=0,0,ROUNDDOWN(K702*C702/100,1))</f>
        <v>0</v>
      </c>
      <c r="M702" s="463"/>
      <c r="N702" s="451" t="s">
        <v>2644</v>
      </c>
      <c r="O702" s="468" t="s">
        <v>2373</v>
      </c>
      <c r="P702" s="468" t="s">
        <v>2354</v>
      </c>
      <c r="Q702" s="468" t="s">
        <v>2355</v>
      </c>
    </row>
    <row r="703" spans="1:26" ht="33.200000000000003" customHeight="1">
      <c r="A703" s="463" t="s">
        <v>842</v>
      </c>
      <c r="B703" s="497"/>
      <c r="C703" s="497"/>
      <c r="D703" s="497"/>
      <c r="E703" s="497"/>
      <c r="F703" s="446">
        <f>J703+H703+L703</f>
        <v>43879</v>
      </c>
      <c r="G703" s="497"/>
      <c r="H703" s="446">
        <f>ROUNDDOWN(SUMIF(P699:P702,O703,H699:H702),0)</f>
        <v>43879</v>
      </c>
      <c r="I703" s="497"/>
      <c r="J703" s="446">
        <f>ROUNDDOWN(SUMIF(P699:P702,O703,J699:J702),0)</f>
        <v>0</v>
      </c>
      <c r="K703" s="497"/>
      <c r="L703" s="446">
        <f>ROUNDDOWN(SUMIF(P699:P702,O703,L699:L702),0)</f>
        <v>0</v>
      </c>
      <c r="M703" s="497"/>
      <c r="O703" s="468" t="s">
        <v>2354</v>
      </c>
    </row>
    <row r="704" spans="1:26" ht="33.200000000000003" customHeight="1">
      <c r="A704" s="484" t="s">
        <v>2759</v>
      </c>
      <c r="B704" s="484"/>
      <c r="C704" s="485"/>
      <c r="D704" s="485"/>
      <c r="E704" s="485"/>
      <c r="F704" s="485"/>
      <c r="G704" s="485"/>
      <c r="H704" s="485"/>
      <c r="I704" s="485"/>
      <c r="J704" s="485"/>
      <c r="K704" s="485"/>
      <c r="L704" s="485"/>
      <c r="M704" s="485"/>
      <c r="N704" s="486" t="str">
        <f>HYPERLINK("#N"&amp;ROW(N709),"_x0005_`BDCOD|B02809_x0007_`POSS|"&amp;ROW(N706)&amp;"_x0007_`POSE|"&amp;ROW(N709)&amp;"_x0007_`")</f>
        <v>_x0005_`BDCOD|B02809_x0007_`POSS|706_x0007_`POSE|709_x0007_`</v>
      </c>
    </row>
    <row r="705" spans="1:26" ht="33.200000000000003" customHeight="1">
      <c r="A705" s="469" t="s">
        <v>5236</v>
      </c>
      <c r="B705" s="469" t="s">
        <v>983</v>
      </c>
      <c r="C705" s="487"/>
      <c r="D705" s="488" t="s">
        <v>984</v>
      </c>
      <c r="E705" s="487"/>
      <c r="F705" s="487"/>
      <c r="G705" s="487"/>
      <c r="H705" s="487"/>
      <c r="I705" s="487"/>
      <c r="J705" s="487"/>
      <c r="K705" s="487"/>
      <c r="L705" s="487"/>
      <c r="M705" s="488" t="s">
        <v>1655</v>
      </c>
      <c r="O705" s="468" t="s">
        <v>1655</v>
      </c>
    </row>
    <row r="706" spans="1:26" ht="33.200000000000003" customHeight="1">
      <c r="A706" s="452" t="s">
        <v>2484</v>
      </c>
      <c r="B706" s="452" t="s">
        <v>2485</v>
      </c>
      <c r="C706" s="489">
        <v>3.5999999999999997E-2</v>
      </c>
      <c r="D706" s="480" t="s">
        <v>8</v>
      </c>
      <c r="E706" s="490">
        <f t="shared" ref="E706:F709" si="101">I706+G706+K706</f>
        <v>62811</v>
      </c>
      <c r="F706" s="493">
        <f t="shared" si="101"/>
        <v>2261.1</v>
      </c>
      <c r="G706" s="494">
        <f>단가산출근거목록표!F157</f>
        <v>62811</v>
      </c>
      <c r="H706" s="498">
        <f>IF(C706=0,0,ROUNDDOWN(G706*C706,1))</f>
        <v>2261.1</v>
      </c>
      <c r="I706" s="494">
        <f>단가산출근거목록표!G157</f>
        <v>0</v>
      </c>
      <c r="J706" s="498">
        <f>IF(C706=0,0,ROUNDDOWN(I706*C706,1))</f>
        <v>0</v>
      </c>
      <c r="K706" s="494">
        <f>단가산출근거목록표!H157</f>
        <v>0</v>
      </c>
      <c r="L706" s="498">
        <f>IF(C706=0,0,ROUNDDOWN(K706*C706,1))</f>
        <v>0</v>
      </c>
      <c r="M706" s="463" t="s">
        <v>2486</v>
      </c>
      <c r="N706" s="451" t="s">
        <v>2487</v>
      </c>
      <c r="O706" s="468" t="s">
        <v>2488</v>
      </c>
      <c r="P706" s="468" t="s">
        <v>2354</v>
      </c>
      <c r="Q706" s="468" t="s">
        <v>2355</v>
      </c>
      <c r="Z706" s="433" t="str">
        <f ca="1">HYPERLINK("#"&amp;단가산출근거목록표!J2&amp;"!A"&amp;ROW(단가산출근거목록표!A157),"D01241 →")</f>
        <v>D01241 →</v>
      </c>
    </row>
    <row r="707" spans="1:26" ht="33.200000000000003" customHeight="1">
      <c r="A707" s="452" t="s">
        <v>2321</v>
      </c>
      <c r="B707" s="452" t="s">
        <v>2322</v>
      </c>
      <c r="C707" s="489">
        <v>3.5999999999999997E-2</v>
      </c>
      <c r="D707" s="480" t="s">
        <v>8</v>
      </c>
      <c r="E707" s="490">
        <f t="shared" si="101"/>
        <v>34413</v>
      </c>
      <c r="F707" s="493">
        <f t="shared" si="101"/>
        <v>1238.8</v>
      </c>
      <c r="G707" s="494">
        <f>일위대가목록표!F275</f>
        <v>34413</v>
      </c>
      <c r="H707" s="498">
        <f>IF(C707=0,0,ROUNDDOWN(G707*C707,1))</f>
        <v>1238.8</v>
      </c>
      <c r="I707" s="494">
        <f>일위대가목록표!G275</f>
        <v>0</v>
      </c>
      <c r="J707" s="498">
        <f>IF(C707=0,0,ROUNDDOWN(I707*C707,1))</f>
        <v>0</v>
      </c>
      <c r="K707" s="494">
        <f>일위대가목록표!H275</f>
        <v>0</v>
      </c>
      <c r="L707" s="498">
        <f>IF(C707=0,0,ROUNDDOWN(K707*C707,1))</f>
        <v>0</v>
      </c>
      <c r="M707" s="463" t="s">
        <v>2489</v>
      </c>
      <c r="N707" s="451" t="s">
        <v>2490</v>
      </c>
      <c r="O707" s="468" t="s">
        <v>2491</v>
      </c>
      <c r="P707" s="468" t="s">
        <v>2354</v>
      </c>
      <c r="Q707" s="468" t="s">
        <v>2355</v>
      </c>
      <c r="Z707" s="433" t="str">
        <f ca="1">HYPERLINK("#"&amp;일위대가목록표!J2&amp;"!A"&amp;ROW(일위대가목록표!A275),"B01414 →")</f>
        <v>B01414 →</v>
      </c>
    </row>
    <row r="708" spans="1:26" ht="33.200000000000003" customHeight="1">
      <c r="A708" s="452" t="s">
        <v>1466</v>
      </c>
      <c r="B708" s="452" t="s">
        <v>1467</v>
      </c>
      <c r="C708" s="489">
        <v>3.7999999999999999E-2</v>
      </c>
      <c r="D708" s="480" t="s">
        <v>8</v>
      </c>
      <c r="E708" s="490">
        <f t="shared" si="101"/>
        <v>274515</v>
      </c>
      <c r="F708" s="493">
        <f t="shared" si="101"/>
        <v>10431.5</v>
      </c>
      <c r="G708" s="494">
        <f>일위대가목록표!F73</f>
        <v>274515</v>
      </c>
      <c r="H708" s="498">
        <f>IF(C708=0,0,ROUNDDOWN(G708*C708,1))</f>
        <v>10431.5</v>
      </c>
      <c r="I708" s="494">
        <f>일위대가목록표!G73</f>
        <v>0</v>
      </c>
      <c r="J708" s="498">
        <f>IF(C708=0,0,ROUNDDOWN(I708*C708,1))</f>
        <v>0</v>
      </c>
      <c r="K708" s="494">
        <f>일위대가목록표!H73</f>
        <v>0</v>
      </c>
      <c r="L708" s="498">
        <f>IF(C708=0,0,ROUNDDOWN(K708*C708,1))</f>
        <v>0</v>
      </c>
      <c r="M708" s="463" t="s">
        <v>2596</v>
      </c>
      <c r="N708" s="451" t="s">
        <v>2597</v>
      </c>
      <c r="O708" s="468" t="s">
        <v>1470</v>
      </c>
      <c r="P708" s="468" t="s">
        <v>2354</v>
      </c>
      <c r="Q708" s="468" t="s">
        <v>2355</v>
      </c>
      <c r="Z708" s="433" t="str">
        <f ca="1">HYPERLINK("#"&amp;일위대가목록표!J2&amp;"!A"&amp;ROW(일위대가목록표!A73),"B02396 →")</f>
        <v>B02396 →</v>
      </c>
    </row>
    <row r="709" spans="1:26" ht="33.200000000000003" customHeight="1">
      <c r="A709" s="452" t="s">
        <v>2507</v>
      </c>
      <c r="B709" s="452" t="s">
        <v>2441</v>
      </c>
      <c r="C709" s="489">
        <v>25</v>
      </c>
      <c r="D709" s="480" t="s">
        <v>2371</v>
      </c>
      <c r="E709" s="490">
        <f t="shared" si="101"/>
        <v>13931.4</v>
      </c>
      <c r="F709" s="491">
        <f t="shared" si="101"/>
        <v>3482.8</v>
      </c>
      <c r="G709" s="496">
        <f>H706+H707+H708</f>
        <v>13931.4</v>
      </c>
      <c r="H709" s="491">
        <f>IF(C709=0,0,ROUNDDOWN(G709*C709/100,1))</f>
        <v>3482.8</v>
      </c>
      <c r="I709" s="465">
        <v>0</v>
      </c>
      <c r="J709" s="493">
        <f>IF(C709=0,0,ROUNDDOWN(I709*C709/100,1))</f>
        <v>0</v>
      </c>
      <c r="K709" s="467">
        <v>0</v>
      </c>
      <c r="L709" s="493">
        <f>IF(C709=0,0,ROUNDDOWN(K709*C709/100,1))</f>
        <v>0</v>
      </c>
      <c r="M709" s="463"/>
      <c r="N709" s="451" t="s">
        <v>2644</v>
      </c>
      <c r="O709" s="468" t="s">
        <v>2373</v>
      </c>
      <c r="P709" s="468" t="s">
        <v>2354</v>
      </c>
      <c r="Q709" s="468" t="s">
        <v>2355</v>
      </c>
    </row>
    <row r="710" spans="1:26" ht="33.200000000000003" customHeight="1">
      <c r="A710" s="463" t="s">
        <v>842</v>
      </c>
      <c r="B710" s="497"/>
      <c r="C710" s="497"/>
      <c r="D710" s="497"/>
      <c r="E710" s="497"/>
      <c r="F710" s="446">
        <f>J710+H710+L710</f>
        <v>17414</v>
      </c>
      <c r="G710" s="497"/>
      <c r="H710" s="446">
        <f>ROUNDDOWN(SUMIF(P706:P709,O710,H706:H709),0)</f>
        <v>17414</v>
      </c>
      <c r="I710" s="497"/>
      <c r="J710" s="446">
        <f>ROUNDDOWN(SUMIF(P706:P709,O710,J706:J709),0)</f>
        <v>0</v>
      </c>
      <c r="K710" s="497"/>
      <c r="L710" s="446">
        <f>ROUNDDOWN(SUMIF(P706:P709,O710,L706:L709),0)</f>
        <v>0</v>
      </c>
      <c r="M710" s="497"/>
      <c r="O710" s="468" t="s">
        <v>2354</v>
      </c>
    </row>
    <row r="711" spans="1:26" ht="33.200000000000003" customHeight="1">
      <c r="A711" s="484" t="s">
        <v>2764</v>
      </c>
      <c r="B711" s="484"/>
      <c r="C711" s="485"/>
      <c r="D711" s="485"/>
      <c r="E711" s="485"/>
      <c r="F711" s="485"/>
      <c r="G711" s="485"/>
      <c r="H711" s="485"/>
      <c r="I711" s="485"/>
      <c r="J711" s="485"/>
      <c r="K711" s="485"/>
      <c r="L711" s="485"/>
      <c r="M711" s="485"/>
      <c r="N711" s="486" t="str">
        <f>HYPERLINK("#N"&amp;ROW(N719),"_x0005_`BDCOD|B02834_x0007_`POSS|"&amp;ROW(N713)&amp;"_x0007_`POSE|"&amp;ROW(N719)&amp;"_x0007_`")</f>
        <v>_x0005_`BDCOD|B02834_x0007_`POSS|713_x0007_`POSE|719_x0007_`</v>
      </c>
    </row>
    <row r="712" spans="1:26" ht="33.200000000000003" customHeight="1">
      <c r="A712" s="469" t="s">
        <v>5077</v>
      </c>
      <c r="B712" s="469" t="s">
        <v>988</v>
      </c>
      <c r="C712" s="487"/>
      <c r="D712" s="488" t="s">
        <v>984</v>
      </c>
      <c r="E712" s="487"/>
      <c r="F712" s="487"/>
      <c r="G712" s="487"/>
      <c r="H712" s="487"/>
      <c r="I712" s="487"/>
      <c r="J712" s="487"/>
      <c r="K712" s="487"/>
      <c r="L712" s="487"/>
      <c r="M712" s="488" t="s">
        <v>5081</v>
      </c>
      <c r="O712" s="468" t="s">
        <v>5081</v>
      </c>
    </row>
    <row r="713" spans="1:26" ht="33.200000000000003" customHeight="1">
      <c r="A713" s="452" t="s">
        <v>2484</v>
      </c>
      <c r="B713" s="452" t="s">
        <v>2485</v>
      </c>
      <c r="C713" s="489">
        <v>4.4999999999999998E-2</v>
      </c>
      <c r="D713" s="480" t="s">
        <v>8</v>
      </c>
      <c r="E713" s="490">
        <f t="shared" ref="E713:F719" si="102">I713+G713+K713</f>
        <v>62811</v>
      </c>
      <c r="F713" s="493">
        <f t="shared" si="102"/>
        <v>2826.4</v>
      </c>
      <c r="G713" s="494">
        <f>단가산출근거목록표!F157</f>
        <v>62811</v>
      </c>
      <c r="H713" s="498">
        <f t="shared" ref="H713:H718" si="103">IF(C713=0,0,ROUNDDOWN(G713*C713,1))</f>
        <v>2826.4</v>
      </c>
      <c r="I713" s="494">
        <f>단가산출근거목록표!G157</f>
        <v>0</v>
      </c>
      <c r="J713" s="498">
        <f t="shared" ref="J713:J718" si="104">IF(C713=0,0,ROUNDDOWN(I713*C713,1))</f>
        <v>0</v>
      </c>
      <c r="K713" s="494">
        <f>단가산출근거목록표!H157</f>
        <v>0</v>
      </c>
      <c r="L713" s="498">
        <f t="shared" ref="L713:L718" si="105">IF(C713=0,0,ROUNDDOWN(K713*C713,1))</f>
        <v>0</v>
      </c>
      <c r="M713" s="463" t="s">
        <v>2486</v>
      </c>
      <c r="N713" s="451" t="s">
        <v>2487</v>
      </c>
      <c r="O713" s="468" t="s">
        <v>2488</v>
      </c>
      <c r="P713" s="468" t="s">
        <v>2354</v>
      </c>
      <c r="Q713" s="468" t="s">
        <v>2355</v>
      </c>
      <c r="Z713" s="433" t="str">
        <f ca="1">HYPERLINK("#"&amp;단가산출근거목록표!J2&amp;"!A"&amp;ROW(단가산출근거목록표!A157),"D01241 →")</f>
        <v>D01241 →</v>
      </c>
    </row>
    <row r="714" spans="1:26" ht="33.200000000000003" customHeight="1">
      <c r="A714" s="452" t="s">
        <v>2321</v>
      </c>
      <c r="B714" s="452" t="s">
        <v>2322</v>
      </c>
      <c r="C714" s="489">
        <v>4.4999999999999998E-2</v>
      </c>
      <c r="D714" s="480" t="s">
        <v>8</v>
      </c>
      <c r="E714" s="490">
        <f t="shared" si="102"/>
        <v>34413</v>
      </c>
      <c r="F714" s="493">
        <f t="shared" si="102"/>
        <v>1548.5</v>
      </c>
      <c r="G714" s="494">
        <f>일위대가목록표!F275</f>
        <v>34413</v>
      </c>
      <c r="H714" s="498">
        <f t="shared" si="103"/>
        <v>1548.5</v>
      </c>
      <c r="I714" s="494">
        <f>일위대가목록표!G275</f>
        <v>0</v>
      </c>
      <c r="J714" s="498">
        <f t="shared" si="104"/>
        <v>0</v>
      </c>
      <c r="K714" s="494">
        <f>일위대가목록표!H275</f>
        <v>0</v>
      </c>
      <c r="L714" s="498">
        <f t="shared" si="105"/>
        <v>0</v>
      </c>
      <c r="M714" s="463" t="s">
        <v>2489</v>
      </c>
      <c r="N714" s="451" t="s">
        <v>2490</v>
      </c>
      <c r="O714" s="468" t="s">
        <v>2491</v>
      </c>
      <c r="P714" s="468" t="s">
        <v>2354</v>
      </c>
      <c r="Q714" s="468" t="s">
        <v>2355</v>
      </c>
      <c r="Z714" s="433" t="str">
        <f ca="1">HYPERLINK("#"&amp;일위대가목록표!J2&amp;"!A"&amp;ROW(일위대가목록표!A275),"B01414 →")</f>
        <v>B01414 →</v>
      </c>
    </row>
    <row r="715" spans="1:26" ht="33.200000000000003" customHeight="1">
      <c r="A715" s="452" t="s">
        <v>2627</v>
      </c>
      <c r="B715" s="452" t="s">
        <v>2628</v>
      </c>
      <c r="C715" s="489">
        <v>15.089</v>
      </c>
      <c r="D715" s="480" t="s">
        <v>605</v>
      </c>
      <c r="E715" s="490">
        <f t="shared" si="102"/>
        <v>6200</v>
      </c>
      <c r="F715" s="491">
        <f t="shared" si="102"/>
        <v>93551.8</v>
      </c>
      <c r="G715" s="492">
        <v>0</v>
      </c>
      <c r="H715" s="493">
        <f t="shared" si="103"/>
        <v>0</v>
      </c>
      <c r="I715" s="494">
        <f>재료비목록표!E8</f>
        <v>6200</v>
      </c>
      <c r="J715" s="495">
        <f t="shared" si="104"/>
        <v>93551.8</v>
      </c>
      <c r="K715" s="492">
        <v>0</v>
      </c>
      <c r="L715" s="493">
        <f t="shared" si="105"/>
        <v>0</v>
      </c>
      <c r="M715" s="463" t="s">
        <v>2629</v>
      </c>
      <c r="N715" s="451" t="s">
        <v>2630</v>
      </c>
      <c r="O715" s="468" t="s">
        <v>2631</v>
      </c>
      <c r="P715" s="468" t="s">
        <v>2354</v>
      </c>
      <c r="Z715" s="433" t="str">
        <f ca="1">HYPERLINK("#"&amp;재료비목록표!G2&amp;"!A"&amp;ROW(재료비목록표!A8),"M00950 →")</f>
        <v>M00950 →</v>
      </c>
    </row>
    <row r="716" spans="1:26" ht="33.200000000000003" customHeight="1">
      <c r="A716" s="452" t="s">
        <v>1461</v>
      </c>
      <c r="B716" s="452" t="s">
        <v>1462</v>
      </c>
      <c r="C716" s="489">
        <v>4.8000000000000001E-2</v>
      </c>
      <c r="D716" s="480" t="s">
        <v>8</v>
      </c>
      <c r="E716" s="490">
        <f t="shared" si="102"/>
        <v>915052</v>
      </c>
      <c r="F716" s="493">
        <f t="shared" si="102"/>
        <v>43922.400000000001</v>
      </c>
      <c r="G716" s="494">
        <f>일위대가목록표!F72</f>
        <v>915052</v>
      </c>
      <c r="H716" s="498">
        <f t="shared" si="103"/>
        <v>43922.400000000001</v>
      </c>
      <c r="I716" s="494">
        <f>일위대가목록표!G72</f>
        <v>0</v>
      </c>
      <c r="J716" s="498">
        <f t="shared" si="104"/>
        <v>0</v>
      </c>
      <c r="K716" s="494">
        <f>일위대가목록표!H72</f>
        <v>0</v>
      </c>
      <c r="L716" s="498">
        <f t="shared" si="105"/>
        <v>0</v>
      </c>
      <c r="M716" s="463" t="s">
        <v>2471</v>
      </c>
      <c r="N716" s="451" t="s">
        <v>2472</v>
      </c>
      <c r="O716" s="468" t="s">
        <v>1465</v>
      </c>
      <c r="P716" s="468" t="s">
        <v>2354</v>
      </c>
      <c r="Q716" s="468" t="s">
        <v>2355</v>
      </c>
      <c r="Z716" s="433" t="str">
        <f ca="1">HYPERLINK("#"&amp;일위대가목록표!J2&amp;"!A"&amp;ROW(일위대가목록표!A72),"B01822 →")</f>
        <v>B01822 →</v>
      </c>
    </row>
    <row r="717" spans="1:26" ht="33.200000000000003" customHeight="1">
      <c r="A717" s="452" t="s">
        <v>2574</v>
      </c>
      <c r="B717" s="452" t="s">
        <v>2575</v>
      </c>
      <c r="C717" s="489">
        <v>1.2290000000000001E-3</v>
      </c>
      <c r="D717" s="480" t="s">
        <v>2576</v>
      </c>
      <c r="E717" s="490">
        <f t="shared" si="102"/>
        <v>765000</v>
      </c>
      <c r="F717" s="491">
        <f t="shared" si="102"/>
        <v>940.1</v>
      </c>
      <c r="G717" s="492">
        <v>0</v>
      </c>
      <c r="H717" s="493">
        <f t="shared" si="103"/>
        <v>0</v>
      </c>
      <c r="I717" s="494">
        <f>재료비목록표!E81</f>
        <v>765000</v>
      </c>
      <c r="J717" s="495">
        <f t="shared" si="104"/>
        <v>940.1</v>
      </c>
      <c r="K717" s="492">
        <v>0</v>
      </c>
      <c r="L717" s="493">
        <f t="shared" si="105"/>
        <v>0</v>
      </c>
      <c r="M717" s="463" t="s">
        <v>2577</v>
      </c>
      <c r="N717" s="451" t="s">
        <v>2578</v>
      </c>
      <c r="O717" s="468" t="s">
        <v>2579</v>
      </c>
      <c r="P717" s="468" t="s">
        <v>2354</v>
      </c>
      <c r="Z717" s="433" t="str">
        <f ca="1">HYPERLINK("#"&amp;재료비목록표!G2&amp;"!A"&amp;ROW(재료비목록표!A81),"M00150 →")</f>
        <v>M00150 →</v>
      </c>
    </row>
    <row r="718" spans="1:26" ht="33.200000000000003" customHeight="1">
      <c r="A718" s="452" t="s">
        <v>2574</v>
      </c>
      <c r="B718" s="452" t="s">
        <v>2632</v>
      </c>
      <c r="C718" s="489">
        <v>1.024E-3</v>
      </c>
      <c r="D718" s="480" t="s">
        <v>2576</v>
      </c>
      <c r="E718" s="490">
        <f t="shared" si="102"/>
        <v>775000</v>
      </c>
      <c r="F718" s="491">
        <f t="shared" si="102"/>
        <v>793.6</v>
      </c>
      <c r="G718" s="492">
        <v>0</v>
      </c>
      <c r="H718" s="493">
        <f t="shared" si="103"/>
        <v>0</v>
      </c>
      <c r="I718" s="494">
        <f>재료비목록표!E80</f>
        <v>775000</v>
      </c>
      <c r="J718" s="495">
        <f t="shared" si="104"/>
        <v>793.6</v>
      </c>
      <c r="K718" s="492">
        <v>0</v>
      </c>
      <c r="L718" s="493">
        <f t="shared" si="105"/>
        <v>0</v>
      </c>
      <c r="M718" s="463" t="s">
        <v>2633</v>
      </c>
      <c r="N718" s="451" t="s">
        <v>2634</v>
      </c>
      <c r="O718" s="468" t="s">
        <v>2635</v>
      </c>
      <c r="P718" s="468" t="s">
        <v>2354</v>
      </c>
      <c r="Z718" s="433" t="str">
        <f ca="1">HYPERLINK("#"&amp;재료비목록표!G2&amp;"!A"&amp;ROW(재료비목록표!A80),"M01265 →")</f>
        <v>M01265 →</v>
      </c>
    </row>
    <row r="719" spans="1:26" ht="33.200000000000003" customHeight="1">
      <c r="A719" s="452" t="s">
        <v>2507</v>
      </c>
      <c r="B719" s="452" t="s">
        <v>2441</v>
      </c>
      <c r="C719" s="489">
        <v>15</v>
      </c>
      <c r="D719" s="480" t="s">
        <v>2371</v>
      </c>
      <c r="E719" s="490">
        <f t="shared" si="102"/>
        <v>48297.3</v>
      </c>
      <c r="F719" s="491">
        <f t="shared" si="102"/>
        <v>7244.5</v>
      </c>
      <c r="G719" s="496">
        <f>H713+H714+H716</f>
        <v>48297.3</v>
      </c>
      <c r="H719" s="491">
        <f>IF(C719=0,0,ROUNDDOWN(G719*C719/100,1))</f>
        <v>7244.5</v>
      </c>
      <c r="I719" s="465">
        <v>0</v>
      </c>
      <c r="J719" s="493">
        <f>IF(C719=0,0,ROUNDDOWN(I719*C719/100,1))</f>
        <v>0</v>
      </c>
      <c r="K719" s="467">
        <v>0</v>
      </c>
      <c r="L719" s="493">
        <f>IF(C719=0,0,ROUNDDOWN(K719*C719/100,1))</f>
        <v>0</v>
      </c>
      <c r="M719" s="463"/>
      <c r="N719" s="451" t="s">
        <v>2644</v>
      </c>
      <c r="O719" s="468" t="s">
        <v>2373</v>
      </c>
      <c r="P719" s="468" t="s">
        <v>2354</v>
      </c>
      <c r="Q719" s="468" t="s">
        <v>2355</v>
      </c>
    </row>
    <row r="720" spans="1:26" ht="33.200000000000003" customHeight="1">
      <c r="A720" s="463" t="s">
        <v>842</v>
      </c>
      <c r="B720" s="497"/>
      <c r="C720" s="497"/>
      <c r="D720" s="497"/>
      <c r="E720" s="497"/>
      <c r="F720" s="446">
        <f>J720+H720+L720</f>
        <v>150826</v>
      </c>
      <c r="G720" s="497"/>
      <c r="H720" s="446">
        <f>ROUNDDOWN(SUMIF(P713:P719,O720,H713:H719),0)</f>
        <v>55541</v>
      </c>
      <c r="I720" s="497"/>
      <c r="J720" s="446">
        <f>ROUNDDOWN(SUMIF(P713:P719,O720,J713:J719),0)</f>
        <v>95285</v>
      </c>
      <c r="K720" s="497"/>
      <c r="L720" s="446">
        <f>ROUNDDOWN(SUMIF(P713:P719,O720,L713:L719),0)</f>
        <v>0</v>
      </c>
      <c r="M720" s="497"/>
      <c r="O720" s="468" t="s">
        <v>2354</v>
      </c>
    </row>
    <row r="721" spans="1:26" ht="33.200000000000003" customHeight="1">
      <c r="A721" s="484" t="s">
        <v>2768</v>
      </c>
      <c r="B721" s="484"/>
      <c r="C721" s="485"/>
      <c r="D721" s="485"/>
      <c r="E721" s="485"/>
      <c r="F721" s="485"/>
      <c r="G721" s="485"/>
      <c r="H721" s="485"/>
      <c r="I721" s="485"/>
      <c r="J721" s="485"/>
      <c r="K721" s="485"/>
      <c r="L721" s="485"/>
      <c r="M721" s="485"/>
      <c r="N721" s="486" t="str">
        <f>HYPERLINK("#N"&amp;ROW(N729),"_x0005_`BDCOD|B02835_x0007_`POSS|"&amp;ROW(N723)&amp;"_x0007_`POSE|"&amp;ROW(N729)&amp;"_x0007_`")</f>
        <v>_x0005_`BDCOD|B02835_x0007_`POSS|723_x0007_`POSE|729_x0007_`</v>
      </c>
    </row>
    <row r="722" spans="1:26" ht="33.200000000000003" customHeight="1">
      <c r="A722" s="469" t="s">
        <v>5077</v>
      </c>
      <c r="B722" s="469" t="s">
        <v>992</v>
      </c>
      <c r="C722" s="487"/>
      <c r="D722" s="488" t="s">
        <v>984</v>
      </c>
      <c r="E722" s="487"/>
      <c r="F722" s="487"/>
      <c r="G722" s="487"/>
      <c r="H722" s="487"/>
      <c r="I722" s="487"/>
      <c r="J722" s="487"/>
      <c r="K722" s="487"/>
      <c r="L722" s="487"/>
      <c r="M722" s="488" t="s">
        <v>5084</v>
      </c>
      <c r="O722" s="468" t="s">
        <v>5084</v>
      </c>
    </row>
    <row r="723" spans="1:26" ht="33.200000000000003" customHeight="1">
      <c r="A723" s="452" t="s">
        <v>2484</v>
      </c>
      <c r="B723" s="452" t="s">
        <v>2485</v>
      </c>
      <c r="C723" s="489">
        <v>5.3999999999999999E-2</v>
      </c>
      <c r="D723" s="480" t="s">
        <v>8</v>
      </c>
      <c r="E723" s="490">
        <f t="shared" ref="E723:F729" si="106">I723+G723+K723</f>
        <v>62811</v>
      </c>
      <c r="F723" s="493">
        <f t="shared" si="106"/>
        <v>3391.7</v>
      </c>
      <c r="G723" s="494">
        <f>단가산출근거목록표!F157</f>
        <v>62811</v>
      </c>
      <c r="H723" s="498">
        <f t="shared" ref="H723:H728" si="107">IF(C723=0,0,ROUNDDOWN(G723*C723,1))</f>
        <v>3391.7</v>
      </c>
      <c r="I723" s="494">
        <f>단가산출근거목록표!G157</f>
        <v>0</v>
      </c>
      <c r="J723" s="498">
        <f t="shared" ref="J723:J728" si="108">IF(C723=0,0,ROUNDDOWN(I723*C723,1))</f>
        <v>0</v>
      </c>
      <c r="K723" s="494">
        <f>단가산출근거목록표!H157</f>
        <v>0</v>
      </c>
      <c r="L723" s="498">
        <f t="shared" ref="L723:L728" si="109">IF(C723=0,0,ROUNDDOWN(K723*C723,1))</f>
        <v>0</v>
      </c>
      <c r="M723" s="463" t="s">
        <v>2486</v>
      </c>
      <c r="N723" s="451" t="s">
        <v>2487</v>
      </c>
      <c r="O723" s="468" t="s">
        <v>2488</v>
      </c>
      <c r="P723" s="468" t="s">
        <v>2354</v>
      </c>
      <c r="Q723" s="468" t="s">
        <v>2355</v>
      </c>
      <c r="Z723" s="433" t="str">
        <f ca="1">HYPERLINK("#"&amp;단가산출근거목록표!J2&amp;"!A"&amp;ROW(단가산출근거목록표!A157),"D01241 →")</f>
        <v>D01241 →</v>
      </c>
    </row>
    <row r="724" spans="1:26" ht="33.200000000000003" customHeight="1">
      <c r="A724" s="452" t="s">
        <v>2321</v>
      </c>
      <c r="B724" s="452" t="s">
        <v>2322</v>
      </c>
      <c r="C724" s="489">
        <v>5.3999999999999999E-2</v>
      </c>
      <c r="D724" s="480" t="s">
        <v>8</v>
      </c>
      <c r="E724" s="490">
        <f t="shared" si="106"/>
        <v>34413</v>
      </c>
      <c r="F724" s="493">
        <f t="shared" si="106"/>
        <v>1858.3</v>
      </c>
      <c r="G724" s="494">
        <f>일위대가목록표!F275</f>
        <v>34413</v>
      </c>
      <c r="H724" s="498">
        <f t="shared" si="107"/>
        <v>1858.3</v>
      </c>
      <c r="I724" s="494">
        <f>일위대가목록표!G275</f>
        <v>0</v>
      </c>
      <c r="J724" s="498">
        <f t="shared" si="108"/>
        <v>0</v>
      </c>
      <c r="K724" s="494">
        <f>일위대가목록표!H275</f>
        <v>0</v>
      </c>
      <c r="L724" s="498">
        <f t="shared" si="109"/>
        <v>0</v>
      </c>
      <c r="M724" s="463" t="s">
        <v>2489</v>
      </c>
      <c r="N724" s="451" t="s">
        <v>2490</v>
      </c>
      <c r="O724" s="468" t="s">
        <v>2491</v>
      </c>
      <c r="P724" s="468" t="s">
        <v>2354</v>
      </c>
      <c r="Q724" s="468" t="s">
        <v>2355</v>
      </c>
      <c r="Z724" s="433" t="str">
        <f ca="1">HYPERLINK("#"&amp;일위대가목록표!J2&amp;"!A"&amp;ROW(일위대가목록표!A275),"B01414 →")</f>
        <v>B01414 →</v>
      </c>
    </row>
    <row r="725" spans="1:26" ht="33.200000000000003" customHeight="1">
      <c r="A725" s="452" t="s">
        <v>2627</v>
      </c>
      <c r="B725" s="452" t="s">
        <v>2628</v>
      </c>
      <c r="C725" s="489">
        <v>18.016999999999999</v>
      </c>
      <c r="D725" s="480" t="s">
        <v>605</v>
      </c>
      <c r="E725" s="490">
        <f t="shared" si="106"/>
        <v>6200</v>
      </c>
      <c r="F725" s="491">
        <f t="shared" si="106"/>
        <v>111705.4</v>
      </c>
      <c r="G725" s="492">
        <v>0</v>
      </c>
      <c r="H725" s="493">
        <f t="shared" si="107"/>
        <v>0</v>
      </c>
      <c r="I725" s="494">
        <f>재료비목록표!E8</f>
        <v>6200</v>
      </c>
      <c r="J725" s="495">
        <f t="shared" si="108"/>
        <v>111705.4</v>
      </c>
      <c r="K725" s="492">
        <v>0</v>
      </c>
      <c r="L725" s="493">
        <f t="shared" si="109"/>
        <v>0</v>
      </c>
      <c r="M725" s="463" t="s">
        <v>2629</v>
      </c>
      <c r="N725" s="451" t="s">
        <v>2630</v>
      </c>
      <c r="O725" s="468" t="s">
        <v>2631</v>
      </c>
      <c r="P725" s="468" t="s">
        <v>2354</v>
      </c>
      <c r="Z725" s="433" t="str">
        <f ca="1">HYPERLINK("#"&amp;재료비목록표!G2&amp;"!A"&amp;ROW(재료비목록표!A8),"M00950 →")</f>
        <v>M00950 →</v>
      </c>
    </row>
    <row r="726" spans="1:26" ht="33.200000000000003" customHeight="1">
      <c r="A726" s="452" t="s">
        <v>1461</v>
      </c>
      <c r="B726" s="452" t="s">
        <v>1462</v>
      </c>
      <c r="C726" s="489">
        <v>5.8000000000000003E-2</v>
      </c>
      <c r="D726" s="480" t="s">
        <v>8</v>
      </c>
      <c r="E726" s="490">
        <f t="shared" si="106"/>
        <v>915052</v>
      </c>
      <c r="F726" s="493">
        <f t="shared" si="106"/>
        <v>53073</v>
      </c>
      <c r="G726" s="494">
        <f>일위대가목록표!F72</f>
        <v>915052</v>
      </c>
      <c r="H726" s="498">
        <f t="shared" si="107"/>
        <v>53073</v>
      </c>
      <c r="I726" s="494">
        <f>일위대가목록표!G72</f>
        <v>0</v>
      </c>
      <c r="J726" s="498">
        <f t="shared" si="108"/>
        <v>0</v>
      </c>
      <c r="K726" s="494">
        <f>일위대가목록표!H72</f>
        <v>0</v>
      </c>
      <c r="L726" s="498">
        <f t="shared" si="109"/>
        <v>0</v>
      </c>
      <c r="M726" s="463" t="s">
        <v>2471</v>
      </c>
      <c r="N726" s="451" t="s">
        <v>2472</v>
      </c>
      <c r="O726" s="468" t="s">
        <v>1465</v>
      </c>
      <c r="P726" s="468" t="s">
        <v>2354</v>
      </c>
      <c r="Q726" s="468" t="s">
        <v>2355</v>
      </c>
      <c r="Z726" s="433" t="str">
        <f ca="1">HYPERLINK("#"&amp;일위대가목록표!J2&amp;"!A"&amp;ROW(일위대가목록표!A72),"B01822 →")</f>
        <v>B01822 →</v>
      </c>
    </row>
    <row r="727" spans="1:26" ht="33.200000000000003" customHeight="1">
      <c r="A727" s="452" t="s">
        <v>2574</v>
      </c>
      <c r="B727" s="452" t="s">
        <v>2575</v>
      </c>
      <c r="C727" s="489">
        <v>1.2290000000000001E-3</v>
      </c>
      <c r="D727" s="480" t="s">
        <v>2576</v>
      </c>
      <c r="E727" s="490">
        <f t="shared" si="106"/>
        <v>765000</v>
      </c>
      <c r="F727" s="491">
        <f t="shared" si="106"/>
        <v>940.1</v>
      </c>
      <c r="G727" s="492">
        <v>0</v>
      </c>
      <c r="H727" s="493">
        <f t="shared" si="107"/>
        <v>0</v>
      </c>
      <c r="I727" s="494">
        <f>재료비목록표!E81</f>
        <v>765000</v>
      </c>
      <c r="J727" s="495">
        <f t="shared" si="108"/>
        <v>940.1</v>
      </c>
      <c r="K727" s="492">
        <v>0</v>
      </c>
      <c r="L727" s="493">
        <f t="shared" si="109"/>
        <v>0</v>
      </c>
      <c r="M727" s="463" t="s">
        <v>2577</v>
      </c>
      <c r="N727" s="451" t="s">
        <v>2578</v>
      </c>
      <c r="O727" s="468" t="s">
        <v>2579</v>
      </c>
      <c r="P727" s="468" t="s">
        <v>2354</v>
      </c>
      <c r="Z727" s="433" t="str">
        <f ca="1">HYPERLINK("#"&amp;재료비목록표!G2&amp;"!A"&amp;ROW(재료비목록표!A81),"M00150 →")</f>
        <v>M00150 →</v>
      </c>
    </row>
    <row r="728" spans="1:26" ht="33.200000000000003" customHeight="1">
      <c r="A728" s="452" t="s">
        <v>2574</v>
      </c>
      <c r="B728" s="452" t="s">
        <v>2632</v>
      </c>
      <c r="C728" s="489">
        <v>1.024E-3</v>
      </c>
      <c r="D728" s="480" t="s">
        <v>2576</v>
      </c>
      <c r="E728" s="490">
        <f t="shared" si="106"/>
        <v>775000</v>
      </c>
      <c r="F728" s="491">
        <f t="shared" si="106"/>
        <v>793.6</v>
      </c>
      <c r="G728" s="492">
        <v>0</v>
      </c>
      <c r="H728" s="493">
        <f t="shared" si="107"/>
        <v>0</v>
      </c>
      <c r="I728" s="494">
        <f>재료비목록표!E80</f>
        <v>775000</v>
      </c>
      <c r="J728" s="495">
        <f t="shared" si="108"/>
        <v>793.6</v>
      </c>
      <c r="K728" s="492">
        <v>0</v>
      </c>
      <c r="L728" s="493">
        <f t="shared" si="109"/>
        <v>0</v>
      </c>
      <c r="M728" s="463" t="s">
        <v>2633</v>
      </c>
      <c r="N728" s="451" t="s">
        <v>2634</v>
      </c>
      <c r="O728" s="468" t="s">
        <v>2635</v>
      </c>
      <c r="P728" s="468" t="s">
        <v>2354</v>
      </c>
      <c r="Z728" s="433" t="str">
        <f ca="1">HYPERLINK("#"&amp;재료비목록표!G2&amp;"!A"&amp;ROW(재료비목록표!A80),"M01265 →")</f>
        <v>M01265 →</v>
      </c>
    </row>
    <row r="729" spans="1:26" ht="33.200000000000003" customHeight="1">
      <c r="A729" s="452" t="s">
        <v>2507</v>
      </c>
      <c r="B729" s="452" t="s">
        <v>2441</v>
      </c>
      <c r="C729" s="489">
        <v>15</v>
      </c>
      <c r="D729" s="480" t="s">
        <v>2371</v>
      </c>
      <c r="E729" s="490">
        <f t="shared" si="106"/>
        <v>58323</v>
      </c>
      <c r="F729" s="491">
        <f t="shared" si="106"/>
        <v>8748.4</v>
      </c>
      <c r="G729" s="496">
        <f>H723+H724+H726</f>
        <v>58323</v>
      </c>
      <c r="H729" s="491">
        <f>IF(C729=0,0,ROUNDDOWN(G729*C729/100,1))</f>
        <v>8748.4</v>
      </c>
      <c r="I729" s="465">
        <v>0</v>
      </c>
      <c r="J729" s="493">
        <f>IF(C729=0,0,ROUNDDOWN(I729*C729/100,1))</f>
        <v>0</v>
      </c>
      <c r="K729" s="467">
        <v>0</v>
      </c>
      <c r="L729" s="493">
        <f>IF(C729=0,0,ROUNDDOWN(K729*C729/100,1))</f>
        <v>0</v>
      </c>
      <c r="M729" s="463"/>
      <c r="N729" s="451" t="s">
        <v>2644</v>
      </c>
      <c r="O729" s="468" t="s">
        <v>2373</v>
      </c>
      <c r="P729" s="468" t="s">
        <v>2354</v>
      </c>
      <c r="Q729" s="468" t="s">
        <v>2355</v>
      </c>
    </row>
    <row r="730" spans="1:26" ht="33.200000000000003" customHeight="1">
      <c r="A730" s="463" t="s">
        <v>842</v>
      </c>
      <c r="B730" s="497"/>
      <c r="C730" s="497"/>
      <c r="D730" s="497"/>
      <c r="E730" s="497"/>
      <c r="F730" s="446">
        <f>J730+H730+L730</f>
        <v>180510</v>
      </c>
      <c r="G730" s="497"/>
      <c r="H730" s="446">
        <f>ROUNDDOWN(SUMIF(P723:P729,O730,H723:H729),0)</f>
        <v>67071</v>
      </c>
      <c r="I730" s="497"/>
      <c r="J730" s="446">
        <f>ROUNDDOWN(SUMIF(P723:P729,O730,J723:J729),0)</f>
        <v>113439</v>
      </c>
      <c r="K730" s="497"/>
      <c r="L730" s="446">
        <f>ROUNDDOWN(SUMIF(P723:P729,O730,L723:L729),0)</f>
        <v>0</v>
      </c>
      <c r="M730" s="497"/>
      <c r="O730" s="468" t="s">
        <v>2354</v>
      </c>
    </row>
    <row r="731" spans="1:26" ht="33.200000000000003" customHeight="1">
      <c r="A731" s="484" t="s">
        <v>2773</v>
      </c>
      <c r="B731" s="484"/>
      <c r="C731" s="485"/>
      <c r="D731" s="485"/>
      <c r="E731" s="485"/>
      <c r="F731" s="485"/>
      <c r="G731" s="485"/>
      <c r="H731" s="485"/>
      <c r="I731" s="485"/>
      <c r="J731" s="485"/>
      <c r="K731" s="485"/>
      <c r="L731" s="485"/>
      <c r="M731" s="485"/>
      <c r="N731" s="486" t="str">
        <f>HYPERLINK("#N"&amp;ROW(N739),"_x0005_`BDCOD|B02836_x0007_`POSS|"&amp;ROW(N733)&amp;"_x0007_`POSE|"&amp;ROW(N739)&amp;"_x0007_`")</f>
        <v>_x0005_`BDCOD|B02836_x0007_`POSS|733_x0007_`POSE|739_x0007_`</v>
      </c>
    </row>
    <row r="732" spans="1:26" ht="33.200000000000003" customHeight="1">
      <c r="A732" s="469" t="s">
        <v>5077</v>
      </c>
      <c r="B732" s="469" t="s">
        <v>996</v>
      </c>
      <c r="C732" s="487"/>
      <c r="D732" s="488" t="s">
        <v>984</v>
      </c>
      <c r="E732" s="487"/>
      <c r="F732" s="487"/>
      <c r="G732" s="487"/>
      <c r="H732" s="487"/>
      <c r="I732" s="487"/>
      <c r="J732" s="487"/>
      <c r="K732" s="487"/>
      <c r="L732" s="487"/>
      <c r="M732" s="488" t="s">
        <v>5087</v>
      </c>
      <c r="O732" s="468" t="s">
        <v>5087</v>
      </c>
    </row>
    <row r="733" spans="1:26" ht="33.200000000000003" customHeight="1">
      <c r="A733" s="452" t="s">
        <v>2484</v>
      </c>
      <c r="B733" s="452" t="s">
        <v>2485</v>
      </c>
      <c r="C733" s="489">
        <v>6.8000000000000005E-2</v>
      </c>
      <c r="D733" s="480" t="s">
        <v>8</v>
      </c>
      <c r="E733" s="490">
        <f t="shared" ref="E733:F739" si="110">I733+G733+K733</f>
        <v>62811</v>
      </c>
      <c r="F733" s="493">
        <f t="shared" si="110"/>
        <v>4271.1000000000004</v>
      </c>
      <c r="G733" s="494">
        <f>단가산출근거목록표!F157</f>
        <v>62811</v>
      </c>
      <c r="H733" s="498">
        <f t="shared" ref="H733:H738" si="111">IF(C733=0,0,ROUNDDOWN(G733*C733,1))</f>
        <v>4271.1000000000004</v>
      </c>
      <c r="I733" s="494">
        <f>단가산출근거목록표!G157</f>
        <v>0</v>
      </c>
      <c r="J733" s="498">
        <f t="shared" ref="J733:J738" si="112">IF(C733=0,0,ROUNDDOWN(I733*C733,1))</f>
        <v>0</v>
      </c>
      <c r="K733" s="494">
        <f>단가산출근거목록표!H157</f>
        <v>0</v>
      </c>
      <c r="L733" s="498">
        <f t="shared" ref="L733:L738" si="113">IF(C733=0,0,ROUNDDOWN(K733*C733,1))</f>
        <v>0</v>
      </c>
      <c r="M733" s="463" t="s">
        <v>2486</v>
      </c>
      <c r="N733" s="451" t="s">
        <v>2487</v>
      </c>
      <c r="O733" s="468" t="s">
        <v>2488</v>
      </c>
      <c r="P733" s="468" t="s">
        <v>2354</v>
      </c>
      <c r="Q733" s="468" t="s">
        <v>2355</v>
      </c>
      <c r="Z733" s="433" t="str">
        <f ca="1">HYPERLINK("#"&amp;단가산출근거목록표!J2&amp;"!A"&amp;ROW(단가산출근거목록표!A157),"D01241 →")</f>
        <v>D01241 →</v>
      </c>
    </row>
    <row r="734" spans="1:26" ht="33.200000000000003" customHeight="1">
      <c r="A734" s="452" t="s">
        <v>2321</v>
      </c>
      <c r="B734" s="452" t="s">
        <v>2322</v>
      </c>
      <c r="C734" s="489">
        <v>6.8000000000000005E-2</v>
      </c>
      <c r="D734" s="480" t="s">
        <v>8</v>
      </c>
      <c r="E734" s="490">
        <f t="shared" si="110"/>
        <v>34413</v>
      </c>
      <c r="F734" s="493">
        <f t="shared" si="110"/>
        <v>2340</v>
      </c>
      <c r="G734" s="494">
        <f>일위대가목록표!F275</f>
        <v>34413</v>
      </c>
      <c r="H734" s="498">
        <f t="shared" si="111"/>
        <v>2340</v>
      </c>
      <c r="I734" s="494">
        <f>일위대가목록표!G275</f>
        <v>0</v>
      </c>
      <c r="J734" s="498">
        <f t="shared" si="112"/>
        <v>0</v>
      </c>
      <c r="K734" s="494">
        <f>일위대가목록표!H275</f>
        <v>0</v>
      </c>
      <c r="L734" s="498">
        <f t="shared" si="113"/>
        <v>0</v>
      </c>
      <c r="M734" s="463" t="s">
        <v>2489</v>
      </c>
      <c r="N734" s="451" t="s">
        <v>2490</v>
      </c>
      <c r="O734" s="468" t="s">
        <v>2491</v>
      </c>
      <c r="P734" s="468" t="s">
        <v>2354</v>
      </c>
      <c r="Q734" s="468" t="s">
        <v>2355</v>
      </c>
      <c r="Z734" s="433" t="str">
        <f ca="1">HYPERLINK("#"&amp;일위대가목록표!J2&amp;"!A"&amp;ROW(일위대가목록표!A275),"B01414 →")</f>
        <v>B01414 →</v>
      </c>
    </row>
    <row r="735" spans="1:26" ht="33.200000000000003" customHeight="1">
      <c r="A735" s="452" t="s">
        <v>2627</v>
      </c>
      <c r="B735" s="452" t="s">
        <v>2628</v>
      </c>
      <c r="C735" s="489">
        <v>22.632999999999999</v>
      </c>
      <c r="D735" s="480" t="s">
        <v>605</v>
      </c>
      <c r="E735" s="490">
        <f t="shared" si="110"/>
        <v>6200</v>
      </c>
      <c r="F735" s="491">
        <f t="shared" si="110"/>
        <v>140324.6</v>
      </c>
      <c r="G735" s="492">
        <v>0</v>
      </c>
      <c r="H735" s="493">
        <f t="shared" si="111"/>
        <v>0</v>
      </c>
      <c r="I735" s="494">
        <f>재료비목록표!E8</f>
        <v>6200</v>
      </c>
      <c r="J735" s="495">
        <f t="shared" si="112"/>
        <v>140324.6</v>
      </c>
      <c r="K735" s="492">
        <v>0</v>
      </c>
      <c r="L735" s="493">
        <f t="shared" si="113"/>
        <v>0</v>
      </c>
      <c r="M735" s="463" t="s">
        <v>2629</v>
      </c>
      <c r="N735" s="451" t="s">
        <v>2630</v>
      </c>
      <c r="O735" s="468" t="s">
        <v>2631</v>
      </c>
      <c r="P735" s="468" t="s">
        <v>2354</v>
      </c>
      <c r="Z735" s="433" t="str">
        <f ca="1">HYPERLINK("#"&amp;재료비목록표!G2&amp;"!A"&amp;ROW(재료비목록표!A8),"M00950 →")</f>
        <v>M00950 →</v>
      </c>
    </row>
    <row r="736" spans="1:26" ht="33.200000000000003" customHeight="1">
      <c r="A736" s="452" t="s">
        <v>1461</v>
      </c>
      <c r="B736" s="452" t="s">
        <v>1462</v>
      </c>
      <c r="C736" s="489">
        <v>7.1999999999999995E-2</v>
      </c>
      <c r="D736" s="480" t="s">
        <v>8</v>
      </c>
      <c r="E736" s="490">
        <f t="shared" si="110"/>
        <v>915052</v>
      </c>
      <c r="F736" s="493">
        <f t="shared" si="110"/>
        <v>65883.7</v>
      </c>
      <c r="G736" s="494">
        <f>일위대가목록표!F72</f>
        <v>915052</v>
      </c>
      <c r="H736" s="498">
        <f t="shared" si="111"/>
        <v>65883.7</v>
      </c>
      <c r="I736" s="494">
        <f>일위대가목록표!G72</f>
        <v>0</v>
      </c>
      <c r="J736" s="498">
        <f t="shared" si="112"/>
        <v>0</v>
      </c>
      <c r="K736" s="494">
        <f>일위대가목록표!H72</f>
        <v>0</v>
      </c>
      <c r="L736" s="498">
        <f t="shared" si="113"/>
        <v>0</v>
      </c>
      <c r="M736" s="463" t="s">
        <v>2471</v>
      </c>
      <c r="N736" s="451" t="s">
        <v>2472</v>
      </c>
      <c r="O736" s="468" t="s">
        <v>1465</v>
      </c>
      <c r="P736" s="468" t="s">
        <v>2354</v>
      </c>
      <c r="Q736" s="468" t="s">
        <v>2355</v>
      </c>
      <c r="Z736" s="433" t="str">
        <f ca="1">HYPERLINK("#"&amp;일위대가목록표!J2&amp;"!A"&amp;ROW(일위대가목록표!A72),"B01822 →")</f>
        <v>B01822 →</v>
      </c>
    </row>
    <row r="737" spans="1:26" ht="33.200000000000003" customHeight="1">
      <c r="A737" s="452" t="s">
        <v>2574</v>
      </c>
      <c r="B737" s="452" t="s">
        <v>2575</v>
      </c>
      <c r="C737" s="489">
        <v>1.2290000000000001E-3</v>
      </c>
      <c r="D737" s="480" t="s">
        <v>2576</v>
      </c>
      <c r="E737" s="490">
        <f t="shared" si="110"/>
        <v>765000</v>
      </c>
      <c r="F737" s="491">
        <f t="shared" si="110"/>
        <v>940.1</v>
      </c>
      <c r="G737" s="492">
        <v>0</v>
      </c>
      <c r="H737" s="493">
        <f t="shared" si="111"/>
        <v>0</v>
      </c>
      <c r="I737" s="494">
        <f>재료비목록표!E81</f>
        <v>765000</v>
      </c>
      <c r="J737" s="495">
        <f t="shared" si="112"/>
        <v>940.1</v>
      </c>
      <c r="K737" s="492">
        <v>0</v>
      </c>
      <c r="L737" s="493">
        <f t="shared" si="113"/>
        <v>0</v>
      </c>
      <c r="M737" s="463" t="s">
        <v>2577</v>
      </c>
      <c r="N737" s="451" t="s">
        <v>2578</v>
      </c>
      <c r="O737" s="468" t="s">
        <v>2579</v>
      </c>
      <c r="P737" s="468" t="s">
        <v>2354</v>
      </c>
      <c r="Z737" s="433" t="str">
        <f ca="1">HYPERLINK("#"&amp;재료비목록표!G2&amp;"!A"&amp;ROW(재료비목록표!A81),"M00150 →")</f>
        <v>M00150 →</v>
      </c>
    </row>
    <row r="738" spans="1:26" ht="33.200000000000003" customHeight="1">
      <c r="A738" s="452" t="s">
        <v>2574</v>
      </c>
      <c r="B738" s="452" t="s">
        <v>2632</v>
      </c>
      <c r="C738" s="489">
        <v>1.024E-3</v>
      </c>
      <c r="D738" s="480" t="s">
        <v>2576</v>
      </c>
      <c r="E738" s="490">
        <f t="shared" si="110"/>
        <v>775000</v>
      </c>
      <c r="F738" s="491">
        <f t="shared" si="110"/>
        <v>793.6</v>
      </c>
      <c r="G738" s="492">
        <v>0</v>
      </c>
      <c r="H738" s="493">
        <f t="shared" si="111"/>
        <v>0</v>
      </c>
      <c r="I738" s="494">
        <f>재료비목록표!E80</f>
        <v>775000</v>
      </c>
      <c r="J738" s="495">
        <f t="shared" si="112"/>
        <v>793.6</v>
      </c>
      <c r="K738" s="492">
        <v>0</v>
      </c>
      <c r="L738" s="493">
        <f t="shared" si="113"/>
        <v>0</v>
      </c>
      <c r="M738" s="463" t="s">
        <v>2633</v>
      </c>
      <c r="N738" s="451" t="s">
        <v>2634</v>
      </c>
      <c r="O738" s="468" t="s">
        <v>2635</v>
      </c>
      <c r="P738" s="468" t="s">
        <v>2354</v>
      </c>
      <c r="Z738" s="433" t="str">
        <f ca="1">HYPERLINK("#"&amp;재료비목록표!G2&amp;"!A"&amp;ROW(재료비목록표!A80),"M01265 →")</f>
        <v>M01265 →</v>
      </c>
    </row>
    <row r="739" spans="1:26" ht="33.200000000000003" customHeight="1">
      <c r="A739" s="452" t="s">
        <v>2507</v>
      </c>
      <c r="B739" s="452" t="s">
        <v>2441</v>
      </c>
      <c r="C739" s="489">
        <v>15</v>
      </c>
      <c r="D739" s="480" t="s">
        <v>2371</v>
      </c>
      <c r="E739" s="490">
        <f t="shared" si="110"/>
        <v>72494.8</v>
      </c>
      <c r="F739" s="491">
        <f t="shared" si="110"/>
        <v>10874.2</v>
      </c>
      <c r="G739" s="496">
        <f>H733+H734+H736</f>
        <v>72494.8</v>
      </c>
      <c r="H739" s="491">
        <f>IF(C739=0,0,ROUNDDOWN(G739*C739/100,1))</f>
        <v>10874.2</v>
      </c>
      <c r="I739" s="465">
        <v>0</v>
      </c>
      <c r="J739" s="493">
        <f>IF(C739=0,0,ROUNDDOWN(I739*C739/100,1))</f>
        <v>0</v>
      </c>
      <c r="K739" s="467">
        <v>0</v>
      </c>
      <c r="L739" s="493">
        <f>IF(C739=0,0,ROUNDDOWN(K739*C739/100,1))</f>
        <v>0</v>
      </c>
      <c r="M739" s="463"/>
      <c r="N739" s="451" t="s">
        <v>2644</v>
      </c>
      <c r="O739" s="468" t="s">
        <v>2373</v>
      </c>
      <c r="P739" s="468" t="s">
        <v>2354</v>
      </c>
      <c r="Q739" s="468" t="s">
        <v>2355</v>
      </c>
    </row>
    <row r="740" spans="1:26" ht="33.200000000000003" customHeight="1">
      <c r="A740" s="463" t="s">
        <v>842</v>
      </c>
      <c r="B740" s="497"/>
      <c r="C740" s="497"/>
      <c r="D740" s="497"/>
      <c r="E740" s="497"/>
      <c r="F740" s="446">
        <f>J740+H740+L740</f>
        <v>225427</v>
      </c>
      <c r="G740" s="497"/>
      <c r="H740" s="446">
        <f>ROUNDDOWN(SUMIF(P733:P739,O740,H733:H739),0)</f>
        <v>83369</v>
      </c>
      <c r="I740" s="497"/>
      <c r="J740" s="446">
        <f>ROUNDDOWN(SUMIF(P733:P739,O740,J733:J739),0)</f>
        <v>142058</v>
      </c>
      <c r="K740" s="497"/>
      <c r="L740" s="446">
        <f>ROUNDDOWN(SUMIF(P733:P739,O740,L733:L739),0)</f>
        <v>0</v>
      </c>
      <c r="M740" s="497"/>
      <c r="O740" s="468" t="s">
        <v>2354</v>
      </c>
    </row>
    <row r="741" spans="1:26" ht="33.200000000000003" customHeight="1">
      <c r="A741" s="484" t="s">
        <v>2777</v>
      </c>
      <c r="B741" s="484"/>
      <c r="C741" s="485"/>
      <c r="D741" s="485"/>
      <c r="E741" s="485"/>
      <c r="F741" s="485"/>
      <c r="G741" s="485"/>
      <c r="H741" s="485"/>
      <c r="I741" s="485"/>
      <c r="J741" s="485"/>
      <c r="K741" s="485"/>
      <c r="L741" s="485"/>
      <c r="M741" s="485"/>
      <c r="N741" s="486" t="str">
        <f>HYPERLINK("#N"&amp;ROW(N749),"_x0005_`BDCOD|B02837_x0007_`POSS|"&amp;ROW(N743)&amp;"_x0007_`POSE|"&amp;ROW(N749)&amp;"_x0007_`")</f>
        <v>_x0005_`BDCOD|B02837_x0007_`POSS|743_x0007_`POSE|749_x0007_`</v>
      </c>
    </row>
    <row r="742" spans="1:26" ht="33.200000000000003" customHeight="1">
      <c r="A742" s="469" t="s">
        <v>5077</v>
      </c>
      <c r="B742" s="469" t="s">
        <v>1000</v>
      </c>
      <c r="C742" s="487"/>
      <c r="D742" s="488" t="s">
        <v>984</v>
      </c>
      <c r="E742" s="487"/>
      <c r="F742" s="487"/>
      <c r="G742" s="487"/>
      <c r="H742" s="487"/>
      <c r="I742" s="487"/>
      <c r="J742" s="487"/>
      <c r="K742" s="487"/>
      <c r="L742" s="487"/>
      <c r="M742" s="488" t="s">
        <v>5090</v>
      </c>
      <c r="O742" s="468" t="s">
        <v>5090</v>
      </c>
    </row>
    <row r="743" spans="1:26" ht="33.200000000000003" customHeight="1">
      <c r="A743" s="452" t="s">
        <v>2484</v>
      </c>
      <c r="B743" s="452" t="s">
        <v>2485</v>
      </c>
      <c r="C743" s="489">
        <v>0.09</v>
      </c>
      <c r="D743" s="480" t="s">
        <v>8</v>
      </c>
      <c r="E743" s="490">
        <f t="shared" ref="E743:F749" si="114">I743+G743+K743</f>
        <v>62811</v>
      </c>
      <c r="F743" s="493">
        <f t="shared" si="114"/>
        <v>5652.9</v>
      </c>
      <c r="G743" s="494">
        <f>단가산출근거목록표!F157</f>
        <v>62811</v>
      </c>
      <c r="H743" s="498">
        <f t="shared" ref="H743:H748" si="115">IF(C743=0,0,ROUNDDOWN(G743*C743,1))</f>
        <v>5652.9</v>
      </c>
      <c r="I743" s="494">
        <f>단가산출근거목록표!G157</f>
        <v>0</v>
      </c>
      <c r="J743" s="498">
        <f t="shared" ref="J743:J748" si="116">IF(C743=0,0,ROUNDDOWN(I743*C743,1))</f>
        <v>0</v>
      </c>
      <c r="K743" s="494">
        <f>단가산출근거목록표!H157</f>
        <v>0</v>
      </c>
      <c r="L743" s="498">
        <f t="shared" ref="L743:L748" si="117">IF(C743=0,0,ROUNDDOWN(K743*C743,1))</f>
        <v>0</v>
      </c>
      <c r="M743" s="463" t="s">
        <v>2486</v>
      </c>
      <c r="N743" s="451" t="s">
        <v>2487</v>
      </c>
      <c r="O743" s="468" t="s">
        <v>2488</v>
      </c>
      <c r="P743" s="468" t="s">
        <v>2354</v>
      </c>
      <c r="Q743" s="468" t="s">
        <v>2355</v>
      </c>
      <c r="Z743" s="433" t="str">
        <f ca="1">HYPERLINK("#"&amp;단가산출근거목록표!J2&amp;"!A"&amp;ROW(단가산출근거목록표!A157),"D01241 →")</f>
        <v>D01241 →</v>
      </c>
    </row>
    <row r="744" spans="1:26" ht="33.200000000000003" customHeight="1">
      <c r="A744" s="452" t="s">
        <v>2321</v>
      </c>
      <c r="B744" s="452" t="s">
        <v>2322</v>
      </c>
      <c r="C744" s="489">
        <v>0.09</v>
      </c>
      <c r="D744" s="480" t="s">
        <v>8</v>
      </c>
      <c r="E744" s="490">
        <f t="shared" si="114"/>
        <v>34413</v>
      </c>
      <c r="F744" s="493">
        <f t="shared" si="114"/>
        <v>3097.1</v>
      </c>
      <c r="G744" s="494">
        <f>일위대가목록표!F275</f>
        <v>34413</v>
      </c>
      <c r="H744" s="498">
        <f t="shared" si="115"/>
        <v>3097.1</v>
      </c>
      <c r="I744" s="494">
        <f>일위대가목록표!G275</f>
        <v>0</v>
      </c>
      <c r="J744" s="498">
        <f t="shared" si="116"/>
        <v>0</v>
      </c>
      <c r="K744" s="494">
        <f>일위대가목록표!H275</f>
        <v>0</v>
      </c>
      <c r="L744" s="498">
        <f t="shared" si="117"/>
        <v>0</v>
      </c>
      <c r="M744" s="463" t="s">
        <v>2489</v>
      </c>
      <c r="N744" s="451" t="s">
        <v>2490</v>
      </c>
      <c r="O744" s="468" t="s">
        <v>2491</v>
      </c>
      <c r="P744" s="468" t="s">
        <v>2354</v>
      </c>
      <c r="Q744" s="468" t="s">
        <v>2355</v>
      </c>
      <c r="Z744" s="433" t="str">
        <f ca="1">HYPERLINK("#"&amp;일위대가목록표!J2&amp;"!A"&amp;ROW(일위대가목록표!A275),"B01414 →")</f>
        <v>B01414 →</v>
      </c>
    </row>
    <row r="745" spans="1:26" ht="33.200000000000003" customHeight="1">
      <c r="A745" s="452" t="s">
        <v>2627</v>
      </c>
      <c r="B745" s="452" t="s">
        <v>2628</v>
      </c>
      <c r="C745" s="489">
        <v>30.178999999999998</v>
      </c>
      <c r="D745" s="480" t="s">
        <v>605</v>
      </c>
      <c r="E745" s="490">
        <f t="shared" si="114"/>
        <v>6200</v>
      </c>
      <c r="F745" s="491">
        <f t="shared" si="114"/>
        <v>187109.8</v>
      </c>
      <c r="G745" s="492">
        <v>0</v>
      </c>
      <c r="H745" s="493">
        <f t="shared" si="115"/>
        <v>0</v>
      </c>
      <c r="I745" s="494">
        <f>재료비목록표!E8</f>
        <v>6200</v>
      </c>
      <c r="J745" s="495">
        <f t="shared" si="116"/>
        <v>187109.8</v>
      </c>
      <c r="K745" s="492">
        <v>0</v>
      </c>
      <c r="L745" s="493">
        <f t="shared" si="117"/>
        <v>0</v>
      </c>
      <c r="M745" s="463" t="s">
        <v>2629</v>
      </c>
      <c r="N745" s="451" t="s">
        <v>2630</v>
      </c>
      <c r="O745" s="468" t="s">
        <v>2631</v>
      </c>
      <c r="P745" s="468" t="s">
        <v>2354</v>
      </c>
      <c r="Z745" s="433" t="str">
        <f ca="1">HYPERLINK("#"&amp;재료비목록표!G2&amp;"!A"&amp;ROW(재료비목록표!A8),"M00950 →")</f>
        <v>M00950 →</v>
      </c>
    </row>
    <row r="746" spans="1:26" ht="33.200000000000003" customHeight="1">
      <c r="A746" s="452" t="s">
        <v>1461</v>
      </c>
      <c r="B746" s="452" t="s">
        <v>1462</v>
      </c>
      <c r="C746" s="489">
        <v>9.6000000000000002E-2</v>
      </c>
      <c r="D746" s="480" t="s">
        <v>8</v>
      </c>
      <c r="E746" s="490">
        <f t="shared" si="114"/>
        <v>915052</v>
      </c>
      <c r="F746" s="493">
        <f t="shared" si="114"/>
        <v>87844.9</v>
      </c>
      <c r="G746" s="494">
        <f>일위대가목록표!F72</f>
        <v>915052</v>
      </c>
      <c r="H746" s="498">
        <f t="shared" si="115"/>
        <v>87844.9</v>
      </c>
      <c r="I746" s="494">
        <f>일위대가목록표!G72</f>
        <v>0</v>
      </c>
      <c r="J746" s="498">
        <f t="shared" si="116"/>
        <v>0</v>
      </c>
      <c r="K746" s="494">
        <f>일위대가목록표!H72</f>
        <v>0</v>
      </c>
      <c r="L746" s="498">
        <f t="shared" si="117"/>
        <v>0</v>
      </c>
      <c r="M746" s="463" t="s">
        <v>2471</v>
      </c>
      <c r="N746" s="451" t="s">
        <v>2472</v>
      </c>
      <c r="O746" s="468" t="s">
        <v>1465</v>
      </c>
      <c r="P746" s="468" t="s">
        <v>2354</v>
      </c>
      <c r="Q746" s="468" t="s">
        <v>2355</v>
      </c>
      <c r="Z746" s="433" t="str">
        <f ca="1">HYPERLINK("#"&amp;일위대가목록표!J2&amp;"!A"&amp;ROW(일위대가목록표!A72),"B01822 →")</f>
        <v>B01822 →</v>
      </c>
    </row>
    <row r="747" spans="1:26" ht="33.200000000000003" customHeight="1">
      <c r="A747" s="452" t="s">
        <v>2574</v>
      </c>
      <c r="B747" s="452" t="s">
        <v>2575</v>
      </c>
      <c r="C747" s="489">
        <v>1.2290000000000001E-3</v>
      </c>
      <c r="D747" s="480" t="s">
        <v>2576</v>
      </c>
      <c r="E747" s="490">
        <f t="shared" si="114"/>
        <v>765000</v>
      </c>
      <c r="F747" s="491">
        <f t="shared" si="114"/>
        <v>940.1</v>
      </c>
      <c r="G747" s="492">
        <v>0</v>
      </c>
      <c r="H747" s="493">
        <f t="shared" si="115"/>
        <v>0</v>
      </c>
      <c r="I747" s="494">
        <f>재료비목록표!E81</f>
        <v>765000</v>
      </c>
      <c r="J747" s="495">
        <f t="shared" si="116"/>
        <v>940.1</v>
      </c>
      <c r="K747" s="492">
        <v>0</v>
      </c>
      <c r="L747" s="493">
        <f t="shared" si="117"/>
        <v>0</v>
      </c>
      <c r="M747" s="463" t="s">
        <v>2577</v>
      </c>
      <c r="N747" s="451" t="s">
        <v>2578</v>
      </c>
      <c r="O747" s="468" t="s">
        <v>2579</v>
      </c>
      <c r="P747" s="468" t="s">
        <v>2354</v>
      </c>
      <c r="Z747" s="433" t="str">
        <f ca="1">HYPERLINK("#"&amp;재료비목록표!G2&amp;"!A"&amp;ROW(재료비목록표!A81),"M00150 →")</f>
        <v>M00150 →</v>
      </c>
    </row>
    <row r="748" spans="1:26" ht="33.200000000000003" customHeight="1">
      <c r="A748" s="452" t="s">
        <v>2574</v>
      </c>
      <c r="B748" s="452" t="s">
        <v>2632</v>
      </c>
      <c r="C748" s="489">
        <v>1.024E-3</v>
      </c>
      <c r="D748" s="480" t="s">
        <v>2576</v>
      </c>
      <c r="E748" s="490">
        <f t="shared" si="114"/>
        <v>775000</v>
      </c>
      <c r="F748" s="491">
        <f t="shared" si="114"/>
        <v>793.6</v>
      </c>
      <c r="G748" s="492">
        <v>0</v>
      </c>
      <c r="H748" s="493">
        <f t="shared" si="115"/>
        <v>0</v>
      </c>
      <c r="I748" s="494">
        <f>재료비목록표!E80</f>
        <v>775000</v>
      </c>
      <c r="J748" s="495">
        <f t="shared" si="116"/>
        <v>793.6</v>
      </c>
      <c r="K748" s="492">
        <v>0</v>
      </c>
      <c r="L748" s="493">
        <f t="shared" si="117"/>
        <v>0</v>
      </c>
      <c r="M748" s="463" t="s">
        <v>2633</v>
      </c>
      <c r="N748" s="451" t="s">
        <v>2634</v>
      </c>
      <c r="O748" s="468" t="s">
        <v>2635</v>
      </c>
      <c r="P748" s="468" t="s">
        <v>2354</v>
      </c>
      <c r="Z748" s="433" t="str">
        <f ca="1">HYPERLINK("#"&amp;재료비목록표!G2&amp;"!A"&amp;ROW(재료비목록표!A80),"M01265 →")</f>
        <v>M01265 →</v>
      </c>
    </row>
    <row r="749" spans="1:26" ht="33.200000000000003" customHeight="1">
      <c r="A749" s="452" t="s">
        <v>2507</v>
      </c>
      <c r="B749" s="452" t="s">
        <v>2441</v>
      </c>
      <c r="C749" s="489">
        <v>15</v>
      </c>
      <c r="D749" s="480" t="s">
        <v>2371</v>
      </c>
      <c r="E749" s="490">
        <f t="shared" si="114"/>
        <v>96594.9</v>
      </c>
      <c r="F749" s="491">
        <f t="shared" si="114"/>
        <v>14489.2</v>
      </c>
      <c r="G749" s="496">
        <f>H743+H744+H746</f>
        <v>96594.9</v>
      </c>
      <c r="H749" s="491">
        <f>IF(C749=0,0,ROUNDDOWN(G749*C749/100,1))</f>
        <v>14489.2</v>
      </c>
      <c r="I749" s="465">
        <v>0</v>
      </c>
      <c r="J749" s="493">
        <f>IF(C749=0,0,ROUNDDOWN(I749*C749/100,1))</f>
        <v>0</v>
      </c>
      <c r="K749" s="467">
        <v>0</v>
      </c>
      <c r="L749" s="493">
        <f>IF(C749=0,0,ROUNDDOWN(K749*C749/100,1))</f>
        <v>0</v>
      </c>
      <c r="M749" s="463"/>
      <c r="N749" s="451" t="s">
        <v>2644</v>
      </c>
      <c r="O749" s="468" t="s">
        <v>2373</v>
      </c>
      <c r="P749" s="468" t="s">
        <v>2354</v>
      </c>
      <c r="Q749" s="468" t="s">
        <v>2355</v>
      </c>
    </row>
    <row r="750" spans="1:26" ht="33.200000000000003" customHeight="1">
      <c r="A750" s="463" t="s">
        <v>842</v>
      </c>
      <c r="B750" s="497"/>
      <c r="C750" s="497"/>
      <c r="D750" s="497"/>
      <c r="E750" s="497"/>
      <c r="F750" s="446">
        <f>J750+H750+L750</f>
        <v>299927</v>
      </c>
      <c r="G750" s="497"/>
      <c r="H750" s="446">
        <f>ROUNDDOWN(SUMIF(P743:P749,O750,H743:H749),0)</f>
        <v>111084</v>
      </c>
      <c r="I750" s="497"/>
      <c r="J750" s="446">
        <f>ROUNDDOWN(SUMIF(P743:P749,O750,J743:J749),0)</f>
        <v>188843</v>
      </c>
      <c r="K750" s="497"/>
      <c r="L750" s="446">
        <f>ROUNDDOWN(SUMIF(P743:P749,O750,L743:L749),0)</f>
        <v>0</v>
      </c>
      <c r="M750" s="497"/>
      <c r="O750" s="468" t="s">
        <v>2354</v>
      </c>
    </row>
    <row r="751" spans="1:26" ht="33.200000000000003" customHeight="1">
      <c r="A751" s="484" t="s">
        <v>2787</v>
      </c>
      <c r="B751" s="484"/>
      <c r="C751" s="485"/>
      <c r="D751" s="485"/>
      <c r="E751" s="485"/>
      <c r="F751" s="485"/>
      <c r="G751" s="485"/>
      <c r="H751" s="485"/>
      <c r="I751" s="485"/>
      <c r="J751" s="485"/>
      <c r="K751" s="485"/>
      <c r="L751" s="485"/>
      <c r="M751" s="485"/>
      <c r="N751" s="486" t="str">
        <f>HYPERLINK("#N"&amp;ROW(N759),"_x0005_`BDCOD|B02833_x0007_`POSS|"&amp;ROW(N753)&amp;"_x0007_`POSE|"&amp;ROW(N759)&amp;"_x0007_`")</f>
        <v>_x0005_`BDCOD|B02833_x0007_`POSS|753_x0007_`POSE|759_x0007_`</v>
      </c>
    </row>
    <row r="752" spans="1:26" ht="33.200000000000003" customHeight="1">
      <c r="A752" s="469" t="s">
        <v>5077</v>
      </c>
      <c r="B752" s="469" t="s">
        <v>983</v>
      </c>
      <c r="C752" s="487"/>
      <c r="D752" s="488" t="s">
        <v>984</v>
      </c>
      <c r="E752" s="487"/>
      <c r="F752" s="487"/>
      <c r="G752" s="487"/>
      <c r="H752" s="487"/>
      <c r="I752" s="487"/>
      <c r="J752" s="487"/>
      <c r="K752" s="487"/>
      <c r="L752" s="487"/>
      <c r="M752" s="488" t="s">
        <v>5078</v>
      </c>
      <c r="O752" s="468" t="s">
        <v>5078</v>
      </c>
    </row>
    <row r="753" spans="1:26" ht="33.200000000000003" customHeight="1">
      <c r="A753" s="452" t="s">
        <v>2484</v>
      </c>
      <c r="B753" s="452" t="s">
        <v>2485</v>
      </c>
      <c r="C753" s="489">
        <v>3.5999999999999997E-2</v>
      </c>
      <c r="D753" s="480" t="s">
        <v>8</v>
      </c>
      <c r="E753" s="490">
        <f t="shared" ref="E753:F759" si="118">I753+G753+K753</f>
        <v>62811</v>
      </c>
      <c r="F753" s="493">
        <f t="shared" si="118"/>
        <v>2261.1</v>
      </c>
      <c r="G753" s="494">
        <f>단가산출근거목록표!F157</f>
        <v>62811</v>
      </c>
      <c r="H753" s="498">
        <f t="shared" ref="H753:H758" si="119">IF(C753=0,0,ROUNDDOWN(G753*C753,1))</f>
        <v>2261.1</v>
      </c>
      <c r="I753" s="494">
        <f>단가산출근거목록표!G157</f>
        <v>0</v>
      </c>
      <c r="J753" s="498">
        <f t="shared" ref="J753:J758" si="120">IF(C753=0,0,ROUNDDOWN(I753*C753,1))</f>
        <v>0</v>
      </c>
      <c r="K753" s="494">
        <f>단가산출근거목록표!H157</f>
        <v>0</v>
      </c>
      <c r="L753" s="498">
        <f t="shared" ref="L753:L758" si="121">IF(C753=0,0,ROUNDDOWN(K753*C753,1))</f>
        <v>0</v>
      </c>
      <c r="M753" s="463" t="s">
        <v>2486</v>
      </c>
      <c r="N753" s="451" t="s">
        <v>2487</v>
      </c>
      <c r="O753" s="468" t="s">
        <v>2488</v>
      </c>
      <c r="P753" s="468" t="s">
        <v>2354</v>
      </c>
      <c r="Q753" s="468" t="s">
        <v>2355</v>
      </c>
      <c r="Z753" s="433" t="str">
        <f ca="1">HYPERLINK("#"&amp;단가산출근거목록표!J2&amp;"!A"&amp;ROW(단가산출근거목록표!A157),"D01241 →")</f>
        <v>D01241 →</v>
      </c>
    </row>
    <row r="754" spans="1:26" ht="33.200000000000003" customHeight="1">
      <c r="A754" s="452" t="s">
        <v>2321</v>
      </c>
      <c r="B754" s="452" t="s">
        <v>2322</v>
      </c>
      <c r="C754" s="489">
        <v>3.5999999999999997E-2</v>
      </c>
      <c r="D754" s="480" t="s">
        <v>8</v>
      </c>
      <c r="E754" s="490">
        <f t="shared" si="118"/>
        <v>34413</v>
      </c>
      <c r="F754" s="493">
        <f t="shared" si="118"/>
        <v>1238.8</v>
      </c>
      <c r="G754" s="494">
        <f>일위대가목록표!F275</f>
        <v>34413</v>
      </c>
      <c r="H754" s="498">
        <f t="shared" si="119"/>
        <v>1238.8</v>
      </c>
      <c r="I754" s="494">
        <f>일위대가목록표!G275</f>
        <v>0</v>
      </c>
      <c r="J754" s="498">
        <f t="shared" si="120"/>
        <v>0</v>
      </c>
      <c r="K754" s="494">
        <f>일위대가목록표!H275</f>
        <v>0</v>
      </c>
      <c r="L754" s="498">
        <f t="shared" si="121"/>
        <v>0</v>
      </c>
      <c r="M754" s="463" t="s">
        <v>2489</v>
      </c>
      <c r="N754" s="451" t="s">
        <v>2490</v>
      </c>
      <c r="O754" s="468" t="s">
        <v>2491</v>
      </c>
      <c r="P754" s="468" t="s">
        <v>2354</v>
      </c>
      <c r="Q754" s="468" t="s">
        <v>2355</v>
      </c>
      <c r="Z754" s="433" t="str">
        <f ca="1">HYPERLINK("#"&amp;일위대가목록표!J2&amp;"!A"&amp;ROW(일위대가목록표!A275),"B01414 →")</f>
        <v>B01414 →</v>
      </c>
    </row>
    <row r="755" spans="1:26" ht="33.200000000000003" customHeight="1">
      <c r="A755" s="452" t="s">
        <v>2627</v>
      </c>
      <c r="B755" s="452" t="s">
        <v>2628</v>
      </c>
      <c r="C755" s="489">
        <v>12.071</v>
      </c>
      <c r="D755" s="480" t="s">
        <v>605</v>
      </c>
      <c r="E755" s="490">
        <f t="shared" si="118"/>
        <v>6200</v>
      </c>
      <c r="F755" s="491">
        <f t="shared" si="118"/>
        <v>74840.2</v>
      </c>
      <c r="G755" s="492">
        <v>0</v>
      </c>
      <c r="H755" s="493">
        <f t="shared" si="119"/>
        <v>0</v>
      </c>
      <c r="I755" s="494">
        <f>재료비목록표!E8</f>
        <v>6200</v>
      </c>
      <c r="J755" s="495">
        <f t="shared" si="120"/>
        <v>74840.2</v>
      </c>
      <c r="K755" s="492">
        <v>0</v>
      </c>
      <c r="L755" s="493">
        <f t="shared" si="121"/>
        <v>0</v>
      </c>
      <c r="M755" s="463" t="s">
        <v>2629</v>
      </c>
      <c r="N755" s="451" t="s">
        <v>2630</v>
      </c>
      <c r="O755" s="468" t="s">
        <v>2631</v>
      </c>
      <c r="P755" s="468" t="s">
        <v>2354</v>
      </c>
      <c r="Z755" s="433" t="str">
        <f ca="1">HYPERLINK("#"&amp;재료비목록표!G2&amp;"!A"&amp;ROW(재료비목록표!A8),"M00950 →")</f>
        <v>M00950 →</v>
      </c>
    </row>
    <row r="756" spans="1:26" ht="33.200000000000003" customHeight="1">
      <c r="A756" s="452" t="s">
        <v>1461</v>
      </c>
      <c r="B756" s="452" t="s">
        <v>1462</v>
      </c>
      <c r="C756" s="489">
        <v>3.7999999999999999E-2</v>
      </c>
      <c r="D756" s="480" t="s">
        <v>8</v>
      </c>
      <c r="E756" s="490">
        <f t="shared" si="118"/>
        <v>915052</v>
      </c>
      <c r="F756" s="493">
        <f t="shared" si="118"/>
        <v>34771.9</v>
      </c>
      <c r="G756" s="494">
        <f>일위대가목록표!F72</f>
        <v>915052</v>
      </c>
      <c r="H756" s="498">
        <f t="shared" si="119"/>
        <v>34771.9</v>
      </c>
      <c r="I756" s="494">
        <f>일위대가목록표!G72</f>
        <v>0</v>
      </c>
      <c r="J756" s="498">
        <f t="shared" si="120"/>
        <v>0</v>
      </c>
      <c r="K756" s="494">
        <f>일위대가목록표!H72</f>
        <v>0</v>
      </c>
      <c r="L756" s="498">
        <f t="shared" si="121"/>
        <v>0</v>
      </c>
      <c r="M756" s="463" t="s">
        <v>2471</v>
      </c>
      <c r="N756" s="451" t="s">
        <v>2472</v>
      </c>
      <c r="O756" s="468" t="s">
        <v>1465</v>
      </c>
      <c r="P756" s="468" t="s">
        <v>2354</v>
      </c>
      <c r="Q756" s="468" t="s">
        <v>2355</v>
      </c>
      <c r="Z756" s="433" t="str">
        <f ca="1">HYPERLINK("#"&amp;일위대가목록표!J2&amp;"!A"&amp;ROW(일위대가목록표!A72),"B01822 →")</f>
        <v>B01822 →</v>
      </c>
    </row>
    <row r="757" spans="1:26" ht="33.200000000000003" customHeight="1">
      <c r="A757" s="452" t="s">
        <v>2574</v>
      </c>
      <c r="B757" s="452" t="s">
        <v>2575</v>
      </c>
      <c r="C757" s="489">
        <v>1.2290000000000001E-3</v>
      </c>
      <c r="D757" s="480" t="s">
        <v>2576</v>
      </c>
      <c r="E757" s="490">
        <f t="shared" si="118"/>
        <v>765000</v>
      </c>
      <c r="F757" s="491">
        <f t="shared" si="118"/>
        <v>940.1</v>
      </c>
      <c r="G757" s="492">
        <v>0</v>
      </c>
      <c r="H757" s="493">
        <f t="shared" si="119"/>
        <v>0</v>
      </c>
      <c r="I757" s="494">
        <f>재료비목록표!E81</f>
        <v>765000</v>
      </c>
      <c r="J757" s="495">
        <f t="shared" si="120"/>
        <v>940.1</v>
      </c>
      <c r="K757" s="492">
        <v>0</v>
      </c>
      <c r="L757" s="493">
        <f t="shared" si="121"/>
        <v>0</v>
      </c>
      <c r="M757" s="463" t="s">
        <v>2577</v>
      </c>
      <c r="N757" s="451" t="s">
        <v>2578</v>
      </c>
      <c r="O757" s="468" t="s">
        <v>2579</v>
      </c>
      <c r="P757" s="468" t="s">
        <v>2354</v>
      </c>
      <c r="Z757" s="433" t="str">
        <f ca="1">HYPERLINK("#"&amp;재료비목록표!G2&amp;"!A"&amp;ROW(재료비목록표!A81),"M00150 →")</f>
        <v>M00150 →</v>
      </c>
    </row>
    <row r="758" spans="1:26" ht="33.200000000000003" customHeight="1">
      <c r="A758" s="452" t="s">
        <v>2574</v>
      </c>
      <c r="B758" s="452" t="s">
        <v>2632</v>
      </c>
      <c r="C758" s="489">
        <v>1.024E-3</v>
      </c>
      <c r="D758" s="480" t="s">
        <v>2576</v>
      </c>
      <c r="E758" s="490">
        <f t="shared" si="118"/>
        <v>775000</v>
      </c>
      <c r="F758" s="491">
        <f t="shared" si="118"/>
        <v>793.6</v>
      </c>
      <c r="G758" s="492">
        <v>0</v>
      </c>
      <c r="H758" s="493">
        <f t="shared" si="119"/>
        <v>0</v>
      </c>
      <c r="I758" s="494">
        <f>재료비목록표!E80</f>
        <v>775000</v>
      </c>
      <c r="J758" s="495">
        <f t="shared" si="120"/>
        <v>793.6</v>
      </c>
      <c r="K758" s="492">
        <v>0</v>
      </c>
      <c r="L758" s="493">
        <f t="shared" si="121"/>
        <v>0</v>
      </c>
      <c r="M758" s="463" t="s">
        <v>2633</v>
      </c>
      <c r="N758" s="451" t="s">
        <v>2634</v>
      </c>
      <c r="O758" s="468" t="s">
        <v>2635</v>
      </c>
      <c r="P758" s="468" t="s">
        <v>2354</v>
      </c>
      <c r="Z758" s="433" t="str">
        <f ca="1">HYPERLINK("#"&amp;재료비목록표!G2&amp;"!A"&amp;ROW(재료비목록표!A80),"M01265 →")</f>
        <v>M01265 →</v>
      </c>
    </row>
    <row r="759" spans="1:26" ht="33.200000000000003" customHeight="1">
      <c r="A759" s="452" t="s">
        <v>2507</v>
      </c>
      <c r="B759" s="452" t="s">
        <v>2441</v>
      </c>
      <c r="C759" s="489">
        <v>15</v>
      </c>
      <c r="D759" s="480" t="s">
        <v>2371</v>
      </c>
      <c r="E759" s="490">
        <f t="shared" si="118"/>
        <v>38271.800000000003</v>
      </c>
      <c r="F759" s="491">
        <f t="shared" si="118"/>
        <v>5740.7</v>
      </c>
      <c r="G759" s="496">
        <f>H753+H754+H756</f>
        <v>38271.800000000003</v>
      </c>
      <c r="H759" s="491">
        <f>IF(C759=0,0,ROUNDDOWN(G759*C759/100,1))</f>
        <v>5740.7</v>
      </c>
      <c r="I759" s="465">
        <v>0</v>
      </c>
      <c r="J759" s="493">
        <f>IF(C759=0,0,ROUNDDOWN(I759*C759/100,1))</f>
        <v>0</v>
      </c>
      <c r="K759" s="467">
        <v>0</v>
      </c>
      <c r="L759" s="493">
        <f>IF(C759=0,0,ROUNDDOWN(K759*C759/100,1))</f>
        <v>0</v>
      </c>
      <c r="M759" s="463"/>
      <c r="N759" s="451" t="s">
        <v>2644</v>
      </c>
      <c r="O759" s="468" t="s">
        <v>2373</v>
      </c>
      <c r="P759" s="468" t="s">
        <v>2354</v>
      </c>
      <c r="Q759" s="468" t="s">
        <v>2355</v>
      </c>
    </row>
    <row r="760" spans="1:26" ht="33.200000000000003" customHeight="1">
      <c r="A760" s="463" t="s">
        <v>842</v>
      </c>
      <c r="B760" s="497"/>
      <c r="C760" s="497"/>
      <c r="D760" s="497"/>
      <c r="E760" s="497"/>
      <c r="F760" s="446">
        <f>J760+H760+L760</f>
        <v>120585</v>
      </c>
      <c r="G760" s="497"/>
      <c r="H760" s="446">
        <f>ROUNDDOWN(SUMIF(P753:P759,O760,H753:H759),0)</f>
        <v>44012</v>
      </c>
      <c r="I760" s="497"/>
      <c r="J760" s="446">
        <f>ROUNDDOWN(SUMIF(P753:P759,O760,J753:J759),0)</f>
        <v>76573</v>
      </c>
      <c r="K760" s="497"/>
      <c r="L760" s="446">
        <f>ROUNDDOWN(SUMIF(P753:P759,O760,L753:L759),0)</f>
        <v>0</v>
      </c>
      <c r="M760" s="497"/>
      <c r="O760" s="468" t="s">
        <v>2354</v>
      </c>
    </row>
    <row r="761" spans="1:26" ht="33.200000000000003" customHeight="1">
      <c r="A761" s="484" t="s">
        <v>2791</v>
      </c>
      <c r="B761" s="484"/>
      <c r="C761" s="485"/>
      <c r="D761" s="485"/>
      <c r="E761" s="485"/>
      <c r="F761" s="485"/>
      <c r="G761" s="485"/>
      <c r="H761" s="485"/>
      <c r="I761" s="485"/>
      <c r="J761" s="485"/>
      <c r="K761" s="485"/>
      <c r="L761" s="485"/>
      <c r="M761" s="485"/>
      <c r="N761" s="486" t="str">
        <f>HYPERLINK("#N"&amp;ROW(N769),"_x0005_`BDCOD|B02386_x0007_`POSS|"&amp;ROW(N763)&amp;"_x0007_`POSE|"&amp;ROW(N769)&amp;"_x0007_`")</f>
        <v>_x0005_`BDCOD|B02386_x0007_`POSS|763_x0007_`POSE|769_x0007_`</v>
      </c>
    </row>
    <row r="762" spans="1:26" ht="33.200000000000003" customHeight="1">
      <c r="A762" s="469" t="s">
        <v>5093</v>
      </c>
      <c r="B762" s="469" t="s">
        <v>988</v>
      </c>
      <c r="C762" s="487"/>
      <c r="D762" s="488" t="s">
        <v>984</v>
      </c>
      <c r="E762" s="487"/>
      <c r="F762" s="487"/>
      <c r="G762" s="487"/>
      <c r="H762" s="487"/>
      <c r="I762" s="487"/>
      <c r="J762" s="487"/>
      <c r="K762" s="487"/>
      <c r="L762" s="487"/>
      <c r="M762" s="488" t="s">
        <v>989</v>
      </c>
      <c r="O762" s="468" t="s">
        <v>989</v>
      </c>
    </row>
    <row r="763" spans="1:26" ht="33.200000000000003" customHeight="1">
      <c r="A763" s="452" t="s">
        <v>2484</v>
      </c>
      <c r="B763" s="452" t="s">
        <v>2485</v>
      </c>
      <c r="C763" s="489">
        <v>4.4999999999999998E-2</v>
      </c>
      <c r="D763" s="480" t="s">
        <v>8</v>
      </c>
      <c r="E763" s="490">
        <f t="shared" ref="E763:F769" si="122">I763+G763+K763</f>
        <v>62811</v>
      </c>
      <c r="F763" s="493">
        <f t="shared" si="122"/>
        <v>2826.4</v>
      </c>
      <c r="G763" s="494">
        <f>단가산출근거목록표!F157</f>
        <v>62811</v>
      </c>
      <c r="H763" s="498">
        <f t="shared" ref="H763:H768" si="123">IF(C763=0,0,ROUNDDOWN(G763*C763,1))</f>
        <v>2826.4</v>
      </c>
      <c r="I763" s="494">
        <f>단가산출근거목록표!G157</f>
        <v>0</v>
      </c>
      <c r="J763" s="498">
        <f t="shared" ref="J763:J768" si="124">IF(C763=0,0,ROUNDDOWN(I763*C763,1))</f>
        <v>0</v>
      </c>
      <c r="K763" s="494">
        <f>단가산출근거목록표!H157</f>
        <v>0</v>
      </c>
      <c r="L763" s="498">
        <f t="shared" ref="L763:L768" si="125">IF(C763=0,0,ROUNDDOWN(K763*C763,1))</f>
        <v>0</v>
      </c>
      <c r="M763" s="463" t="s">
        <v>2486</v>
      </c>
      <c r="N763" s="451" t="s">
        <v>2487</v>
      </c>
      <c r="O763" s="468" t="s">
        <v>2488</v>
      </c>
      <c r="P763" s="468" t="s">
        <v>2354</v>
      </c>
      <c r="Q763" s="468" t="s">
        <v>2355</v>
      </c>
      <c r="Z763" s="433" t="str">
        <f ca="1">HYPERLINK("#"&amp;단가산출근거목록표!J2&amp;"!A"&amp;ROW(단가산출근거목록표!A157),"D01241 →")</f>
        <v>D01241 →</v>
      </c>
    </row>
    <row r="764" spans="1:26" ht="33.200000000000003" customHeight="1">
      <c r="A764" s="452" t="s">
        <v>2321</v>
      </c>
      <c r="B764" s="452" t="s">
        <v>2322</v>
      </c>
      <c r="C764" s="489">
        <v>4.4999999999999998E-2</v>
      </c>
      <c r="D764" s="480" t="s">
        <v>8</v>
      </c>
      <c r="E764" s="490">
        <f t="shared" si="122"/>
        <v>34413</v>
      </c>
      <c r="F764" s="493">
        <f t="shared" si="122"/>
        <v>1548.5</v>
      </c>
      <c r="G764" s="494">
        <f>일위대가목록표!F275</f>
        <v>34413</v>
      </c>
      <c r="H764" s="498">
        <f t="shared" si="123"/>
        <v>1548.5</v>
      </c>
      <c r="I764" s="494">
        <f>일위대가목록표!G275</f>
        <v>0</v>
      </c>
      <c r="J764" s="498">
        <f t="shared" si="124"/>
        <v>0</v>
      </c>
      <c r="K764" s="494">
        <f>일위대가목록표!H275</f>
        <v>0</v>
      </c>
      <c r="L764" s="498">
        <f t="shared" si="125"/>
        <v>0</v>
      </c>
      <c r="M764" s="463" t="s">
        <v>2489</v>
      </c>
      <c r="N764" s="451" t="s">
        <v>2490</v>
      </c>
      <c r="O764" s="468" t="s">
        <v>2491</v>
      </c>
      <c r="P764" s="468" t="s">
        <v>2354</v>
      </c>
      <c r="Q764" s="468" t="s">
        <v>2355</v>
      </c>
      <c r="Z764" s="433" t="str">
        <f ca="1">HYPERLINK("#"&amp;일위대가목록표!J2&amp;"!A"&amp;ROW(일위대가목록표!A275),"B01414 →")</f>
        <v>B01414 →</v>
      </c>
    </row>
    <row r="765" spans="1:26" ht="33.200000000000003" customHeight="1">
      <c r="A765" s="452" t="s">
        <v>2627</v>
      </c>
      <c r="B765" s="452" t="s">
        <v>2628</v>
      </c>
      <c r="C765" s="489">
        <v>15.089</v>
      </c>
      <c r="D765" s="480" t="s">
        <v>605</v>
      </c>
      <c r="E765" s="490">
        <f t="shared" si="122"/>
        <v>6200</v>
      </c>
      <c r="F765" s="491">
        <f t="shared" si="122"/>
        <v>93551.8</v>
      </c>
      <c r="G765" s="492">
        <v>0</v>
      </c>
      <c r="H765" s="493">
        <f t="shared" si="123"/>
        <v>0</v>
      </c>
      <c r="I765" s="494">
        <f>재료비목록표!E8</f>
        <v>6200</v>
      </c>
      <c r="J765" s="495">
        <f t="shared" si="124"/>
        <v>93551.8</v>
      </c>
      <c r="K765" s="492">
        <v>0</v>
      </c>
      <c r="L765" s="493">
        <f t="shared" si="125"/>
        <v>0</v>
      </c>
      <c r="M765" s="463" t="s">
        <v>2629</v>
      </c>
      <c r="N765" s="451" t="s">
        <v>2630</v>
      </c>
      <c r="O765" s="468" t="s">
        <v>2631</v>
      </c>
      <c r="P765" s="468" t="s">
        <v>2354</v>
      </c>
      <c r="Z765" s="433" t="str">
        <f ca="1">HYPERLINK("#"&amp;재료비목록표!G2&amp;"!A"&amp;ROW(재료비목록표!A8),"M00950 →")</f>
        <v>M00950 →</v>
      </c>
    </row>
    <row r="766" spans="1:26" ht="33.200000000000003" customHeight="1">
      <c r="A766" s="452" t="s">
        <v>1461</v>
      </c>
      <c r="B766" s="452" t="s">
        <v>1462</v>
      </c>
      <c r="C766" s="489">
        <v>4.8000000000000001E-2</v>
      </c>
      <c r="D766" s="480" t="s">
        <v>8</v>
      </c>
      <c r="E766" s="490">
        <f t="shared" si="122"/>
        <v>915052</v>
      </c>
      <c r="F766" s="493">
        <f t="shared" si="122"/>
        <v>43922.400000000001</v>
      </c>
      <c r="G766" s="494">
        <f>일위대가목록표!F72</f>
        <v>915052</v>
      </c>
      <c r="H766" s="498">
        <f t="shared" si="123"/>
        <v>43922.400000000001</v>
      </c>
      <c r="I766" s="494">
        <f>일위대가목록표!G72</f>
        <v>0</v>
      </c>
      <c r="J766" s="498">
        <f t="shared" si="124"/>
        <v>0</v>
      </c>
      <c r="K766" s="494">
        <f>일위대가목록표!H72</f>
        <v>0</v>
      </c>
      <c r="L766" s="498">
        <f t="shared" si="125"/>
        <v>0</v>
      </c>
      <c r="M766" s="463" t="s">
        <v>2471</v>
      </c>
      <c r="N766" s="451" t="s">
        <v>2472</v>
      </c>
      <c r="O766" s="468" t="s">
        <v>1465</v>
      </c>
      <c r="P766" s="468" t="s">
        <v>2354</v>
      </c>
      <c r="Q766" s="468" t="s">
        <v>2355</v>
      </c>
      <c r="Z766" s="433" t="str">
        <f ca="1">HYPERLINK("#"&amp;일위대가목록표!J2&amp;"!A"&amp;ROW(일위대가목록표!A72),"B01822 →")</f>
        <v>B01822 →</v>
      </c>
    </row>
    <row r="767" spans="1:26" ht="33.200000000000003" customHeight="1">
      <c r="A767" s="452" t="s">
        <v>2574</v>
      </c>
      <c r="B767" s="452" t="s">
        <v>2575</v>
      </c>
      <c r="C767" s="489">
        <v>1.2290000000000001E-3</v>
      </c>
      <c r="D767" s="480" t="s">
        <v>2576</v>
      </c>
      <c r="E767" s="490">
        <f t="shared" si="122"/>
        <v>765000</v>
      </c>
      <c r="F767" s="491">
        <f t="shared" si="122"/>
        <v>940.1</v>
      </c>
      <c r="G767" s="492">
        <v>0</v>
      </c>
      <c r="H767" s="493">
        <f t="shared" si="123"/>
        <v>0</v>
      </c>
      <c r="I767" s="494">
        <f>재료비목록표!E81</f>
        <v>765000</v>
      </c>
      <c r="J767" s="495">
        <f t="shared" si="124"/>
        <v>940.1</v>
      </c>
      <c r="K767" s="492">
        <v>0</v>
      </c>
      <c r="L767" s="493">
        <f t="shared" si="125"/>
        <v>0</v>
      </c>
      <c r="M767" s="463" t="s">
        <v>2577</v>
      </c>
      <c r="N767" s="451" t="s">
        <v>2578</v>
      </c>
      <c r="O767" s="468" t="s">
        <v>2579</v>
      </c>
      <c r="P767" s="468" t="s">
        <v>2354</v>
      </c>
      <c r="Z767" s="433" t="str">
        <f ca="1">HYPERLINK("#"&amp;재료비목록표!G2&amp;"!A"&amp;ROW(재료비목록표!A81),"M00150 →")</f>
        <v>M00150 →</v>
      </c>
    </row>
    <row r="768" spans="1:26" ht="33.200000000000003" customHeight="1">
      <c r="A768" s="452" t="s">
        <v>2574</v>
      </c>
      <c r="B768" s="452" t="s">
        <v>2632</v>
      </c>
      <c r="C768" s="489">
        <v>1.024E-3</v>
      </c>
      <c r="D768" s="480" t="s">
        <v>2576</v>
      </c>
      <c r="E768" s="490">
        <f t="shared" si="122"/>
        <v>775000</v>
      </c>
      <c r="F768" s="491">
        <f t="shared" si="122"/>
        <v>793.6</v>
      </c>
      <c r="G768" s="492">
        <v>0</v>
      </c>
      <c r="H768" s="493">
        <f t="shared" si="123"/>
        <v>0</v>
      </c>
      <c r="I768" s="494">
        <f>재료비목록표!E80</f>
        <v>775000</v>
      </c>
      <c r="J768" s="495">
        <f t="shared" si="124"/>
        <v>793.6</v>
      </c>
      <c r="K768" s="492">
        <v>0</v>
      </c>
      <c r="L768" s="493">
        <f t="shared" si="125"/>
        <v>0</v>
      </c>
      <c r="M768" s="463" t="s">
        <v>2633</v>
      </c>
      <c r="N768" s="451" t="s">
        <v>2634</v>
      </c>
      <c r="O768" s="468" t="s">
        <v>2635</v>
      </c>
      <c r="P768" s="468" t="s">
        <v>2354</v>
      </c>
      <c r="Z768" s="433" t="str">
        <f ca="1">HYPERLINK("#"&amp;재료비목록표!G2&amp;"!A"&amp;ROW(재료비목록표!A80),"M01265 →")</f>
        <v>M01265 →</v>
      </c>
    </row>
    <row r="769" spans="1:26" ht="33.200000000000003" customHeight="1">
      <c r="A769" s="452" t="s">
        <v>2507</v>
      </c>
      <c r="B769" s="452" t="s">
        <v>2441</v>
      </c>
      <c r="C769" s="489">
        <v>25</v>
      </c>
      <c r="D769" s="480" t="s">
        <v>2371</v>
      </c>
      <c r="E769" s="490">
        <f t="shared" si="122"/>
        <v>48297.3</v>
      </c>
      <c r="F769" s="491">
        <f t="shared" si="122"/>
        <v>12074.3</v>
      </c>
      <c r="G769" s="496">
        <f>H763+H764+H766</f>
        <v>48297.3</v>
      </c>
      <c r="H769" s="491">
        <f>IF(C769=0,0,ROUNDDOWN(G769*C769/100,1))</f>
        <v>12074.3</v>
      </c>
      <c r="I769" s="465">
        <v>0</v>
      </c>
      <c r="J769" s="493">
        <f>IF(C769=0,0,ROUNDDOWN(I769*C769/100,1))</f>
        <v>0</v>
      </c>
      <c r="K769" s="467">
        <v>0</v>
      </c>
      <c r="L769" s="493">
        <f>IF(C769=0,0,ROUNDDOWN(K769*C769/100,1))</f>
        <v>0</v>
      </c>
      <c r="M769" s="463"/>
      <c r="N769" s="451" t="s">
        <v>2644</v>
      </c>
      <c r="O769" s="468" t="s">
        <v>2373</v>
      </c>
      <c r="P769" s="468" t="s">
        <v>2354</v>
      </c>
      <c r="Q769" s="468" t="s">
        <v>2355</v>
      </c>
    </row>
    <row r="770" spans="1:26" ht="33.200000000000003" customHeight="1">
      <c r="A770" s="463" t="s">
        <v>842</v>
      </c>
      <c r="B770" s="497"/>
      <c r="C770" s="497"/>
      <c r="D770" s="497"/>
      <c r="E770" s="497"/>
      <c r="F770" s="446">
        <f>J770+H770+L770</f>
        <v>155656</v>
      </c>
      <c r="G770" s="497"/>
      <c r="H770" s="446">
        <f>ROUNDDOWN(SUMIF(P763:P769,O770,H763:H769),0)</f>
        <v>60371</v>
      </c>
      <c r="I770" s="497"/>
      <c r="J770" s="446">
        <f>ROUNDDOWN(SUMIF(P763:P769,O770,J763:J769),0)</f>
        <v>95285</v>
      </c>
      <c r="K770" s="497"/>
      <c r="L770" s="446">
        <f>ROUNDDOWN(SUMIF(P763:P769,O770,L763:L769),0)</f>
        <v>0</v>
      </c>
      <c r="M770" s="497"/>
      <c r="O770" s="468" t="s">
        <v>2354</v>
      </c>
    </row>
    <row r="771" spans="1:26" ht="33.200000000000003" customHeight="1">
      <c r="A771" s="484" t="s">
        <v>2796</v>
      </c>
      <c r="B771" s="484"/>
      <c r="C771" s="485"/>
      <c r="D771" s="485"/>
      <c r="E771" s="485"/>
      <c r="F771" s="485"/>
      <c r="G771" s="485"/>
      <c r="H771" s="485"/>
      <c r="I771" s="485"/>
      <c r="J771" s="485"/>
      <c r="K771" s="485"/>
      <c r="L771" s="485"/>
      <c r="M771" s="485"/>
      <c r="N771" s="486" t="str">
        <f>HYPERLINK("#N"&amp;ROW(N779),"_x0005_`BDCOD|B02260_x0007_`POSS|"&amp;ROW(N773)&amp;"_x0007_`POSE|"&amp;ROW(N779)&amp;"_x0007_`")</f>
        <v>_x0005_`BDCOD|B02260_x0007_`POSS|773_x0007_`POSE|779_x0007_`</v>
      </c>
    </row>
    <row r="772" spans="1:26" ht="33.200000000000003" customHeight="1">
      <c r="A772" s="469" t="s">
        <v>5093</v>
      </c>
      <c r="B772" s="469" t="s">
        <v>992</v>
      </c>
      <c r="C772" s="487"/>
      <c r="D772" s="488" t="s">
        <v>984</v>
      </c>
      <c r="E772" s="487"/>
      <c r="F772" s="487"/>
      <c r="G772" s="487"/>
      <c r="H772" s="487"/>
      <c r="I772" s="487"/>
      <c r="J772" s="487"/>
      <c r="K772" s="487"/>
      <c r="L772" s="487"/>
      <c r="M772" s="488" t="s">
        <v>993</v>
      </c>
      <c r="O772" s="468" t="s">
        <v>993</v>
      </c>
    </row>
    <row r="773" spans="1:26" ht="33.200000000000003" customHeight="1">
      <c r="A773" s="452" t="s">
        <v>2484</v>
      </c>
      <c r="B773" s="452" t="s">
        <v>2485</v>
      </c>
      <c r="C773" s="489">
        <v>5.3999999999999999E-2</v>
      </c>
      <c r="D773" s="480" t="s">
        <v>8</v>
      </c>
      <c r="E773" s="490">
        <f t="shared" ref="E773:F779" si="126">I773+G773+K773</f>
        <v>62811</v>
      </c>
      <c r="F773" s="493">
        <f t="shared" si="126"/>
        <v>3391.7</v>
      </c>
      <c r="G773" s="494">
        <f>단가산출근거목록표!F157</f>
        <v>62811</v>
      </c>
      <c r="H773" s="498">
        <f t="shared" ref="H773:H778" si="127">IF(C773=0,0,ROUNDDOWN(G773*C773,1))</f>
        <v>3391.7</v>
      </c>
      <c r="I773" s="494">
        <f>단가산출근거목록표!G157</f>
        <v>0</v>
      </c>
      <c r="J773" s="498">
        <f t="shared" ref="J773:J778" si="128">IF(C773=0,0,ROUNDDOWN(I773*C773,1))</f>
        <v>0</v>
      </c>
      <c r="K773" s="494">
        <f>단가산출근거목록표!H157</f>
        <v>0</v>
      </c>
      <c r="L773" s="498">
        <f t="shared" ref="L773:L778" si="129">IF(C773=0,0,ROUNDDOWN(K773*C773,1))</f>
        <v>0</v>
      </c>
      <c r="M773" s="463" t="s">
        <v>2486</v>
      </c>
      <c r="N773" s="451" t="s">
        <v>2487</v>
      </c>
      <c r="O773" s="468" t="s">
        <v>2488</v>
      </c>
      <c r="P773" s="468" t="s">
        <v>2354</v>
      </c>
      <c r="Q773" s="468" t="s">
        <v>2355</v>
      </c>
      <c r="Z773" s="433" t="str">
        <f ca="1">HYPERLINK("#"&amp;단가산출근거목록표!J2&amp;"!A"&amp;ROW(단가산출근거목록표!A157),"D01241 →")</f>
        <v>D01241 →</v>
      </c>
    </row>
    <row r="774" spans="1:26" ht="33.200000000000003" customHeight="1">
      <c r="A774" s="452" t="s">
        <v>2321</v>
      </c>
      <c r="B774" s="452" t="s">
        <v>2322</v>
      </c>
      <c r="C774" s="489">
        <v>5.3999999999999999E-2</v>
      </c>
      <c r="D774" s="480" t="s">
        <v>8</v>
      </c>
      <c r="E774" s="490">
        <f t="shared" si="126"/>
        <v>34413</v>
      </c>
      <c r="F774" s="493">
        <f t="shared" si="126"/>
        <v>1858.3</v>
      </c>
      <c r="G774" s="494">
        <f>일위대가목록표!F275</f>
        <v>34413</v>
      </c>
      <c r="H774" s="498">
        <f t="shared" si="127"/>
        <v>1858.3</v>
      </c>
      <c r="I774" s="494">
        <f>일위대가목록표!G275</f>
        <v>0</v>
      </c>
      <c r="J774" s="498">
        <f t="shared" si="128"/>
        <v>0</v>
      </c>
      <c r="K774" s="494">
        <f>일위대가목록표!H275</f>
        <v>0</v>
      </c>
      <c r="L774" s="498">
        <f t="shared" si="129"/>
        <v>0</v>
      </c>
      <c r="M774" s="463" t="s">
        <v>2489</v>
      </c>
      <c r="N774" s="451" t="s">
        <v>2490</v>
      </c>
      <c r="O774" s="468" t="s">
        <v>2491</v>
      </c>
      <c r="P774" s="468" t="s">
        <v>2354</v>
      </c>
      <c r="Q774" s="468" t="s">
        <v>2355</v>
      </c>
      <c r="Z774" s="433" t="str">
        <f ca="1">HYPERLINK("#"&amp;일위대가목록표!J2&amp;"!A"&amp;ROW(일위대가목록표!A275),"B01414 →")</f>
        <v>B01414 →</v>
      </c>
    </row>
    <row r="775" spans="1:26" ht="33.200000000000003" customHeight="1">
      <c r="A775" s="452" t="s">
        <v>2627</v>
      </c>
      <c r="B775" s="452" t="s">
        <v>2628</v>
      </c>
      <c r="C775" s="489">
        <v>18.016999999999999</v>
      </c>
      <c r="D775" s="480" t="s">
        <v>605</v>
      </c>
      <c r="E775" s="490">
        <f t="shared" si="126"/>
        <v>6200</v>
      </c>
      <c r="F775" s="491">
        <f t="shared" si="126"/>
        <v>111705.4</v>
      </c>
      <c r="G775" s="492">
        <v>0</v>
      </c>
      <c r="H775" s="493">
        <f t="shared" si="127"/>
        <v>0</v>
      </c>
      <c r="I775" s="494">
        <f>재료비목록표!E8</f>
        <v>6200</v>
      </c>
      <c r="J775" s="495">
        <f t="shared" si="128"/>
        <v>111705.4</v>
      </c>
      <c r="K775" s="492">
        <v>0</v>
      </c>
      <c r="L775" s="493">
        <f t="shared" si="129"/>
        <v>0</v>
      </c>
      <c r="M775" s="463" t="s">
        <v>2629</v>
      </c>
      <c r="N775" s="451" t="s">
        <v>2630</v>
      </c>
      <c r="O775" s="468" t="s">
        <v>2631</v>
      </c>
      <c r="P775" s="468" t="s">
        <v>2354</v>
      </c>
      <c r="Z775" s="433" t="str">
        <f ca="1">HYPERLINK("#"&amp;재료비목록표!G2&amp;"!A"&amp;ROW(재료비목록표!A8),"M00950 →")</f>
        <v>M00950 →</v>
      </c>
    </row>
    <row r="776" spans="1:26" ht="33.200000000000003" customHeight="1">
      <c r="A776" s="452" t="s">
        <v>1461</v>
      </c>
      <c r="B776" s="452" t="s">
        <v>1462</v>
      </c>
      <c r="C776" s="489">
        <v>5.8000000000000003E-2</v>
      </c>
      <c r="D776" s="480" t="s">
        <v>8</v>
      </c>
      <c r="E776" s="490">
        <f t="shared" si="126"/>
        <v>915052</v>
      </c>
      <c r="F776" s="493">
        <f t="shared" si="126"/>
        <v>53073</v>
      </c>
      <c r="G776" s="494">
        <f>일위대가목록표!F72</f>
        <v>915052</v>
      </c>
      <c r="H776" s="498">
        <f t="shared" si="127"/>
        <v>53073</v>
      </c>
      <c r="I776" s="494">
        <f>일위대가목록표!G72</f>
        <v>0</v>
      </c>
      <c r="J776" s="498">
        <f t="shared" si="128"/>
        <v>0</v>
      </c>
      <c r="K776" s="494">
        <f>일위대가목록표!H72</f>
        <v>0</v>
      </c>
      <c r="L776" s="498">
        <f t="shared" si="129"/>
        <v>0</v>
      </c>
      <c r="M776" s="463" t="s">
        <v>2471</v>
      </c>
      <c r="N776" s="451" t="s">
        <v>2472</v>
      </c>
      <c r="O776" s="468" t="s">
        <v>1465</v>
      </c>
      <c r="P776" s="468" t="s">
        <v>2354</v>
      </c>
      <c r="Q776" s="468" t="s">
        <v>2355</v>
      </c>
      <c r="Z776" s="433" t="str">
        <f ca="1">HYPERLINK("#"&amp;일위대가목록표!J2&amp;"!A"&amp;ROW(일위대가목록표!A72),"B01822 →")</f>
        <v>B01822 →</v>
      </c>
    </row>
    <row r="777" spans="1:26" ht="33.200000000000003" customHeight="1">
      <c r="A777" s="452" t="s">
        <v>2574</v>
      </c>
      <c r="B777" s="452" t="s">
        <v>2575</v>
      </c>
      <c r="C777" s="489">
        <v>1.2290000000000001E-3</v>
      </c>
      <c r="D777" s="480" t="s">
        <v>2576</v>
      </c>
      <c r="E777" s="490">
        <f t="shared" si="126"/>
        <v>765000</v>
      </c>
      <c r="F777" s="491">
        <f t="shared" si="126"/>
        <v>940.1</v>
      </c>
      <c r="G777" s="492">
        <v>0</v>
      </c>
      <c r="H777" s="493">
        <f t="shared" si="127"/>
        <v>0</v>
      </c>
      <c r="I777" s="494">
        <f>재료비목록표!E81</f>
        <v>765000</v>
      </c>
      <c r="J777" s="495">
        <f t="shared" si="128"/>
        <v>940.1</v>
      </c>
      <c r="K777" s="492">
        <v>0</v>
      </c>
      <c r="L777" s="493">
        <f t="shared" si="129"/>
        <v>0</v>
      </c>
      <c r="M777" s="463" t="s">
        <v>2577</v>
      </c>
      <c r="N777" s="451" t="s">
        <v>2578</v>
      </c>
      <c r="O777" s="468" t="s">
        <v>2579</v>
      </c>
      <c r="P777" s="468" t="s">
        <v>2354</v>
      </c>
      <c r="Z777" s="433" t="str">
        <f ca="1">HYPERLINK("#"&amp;재료비목록표!G2&amp;"!A"&amp;ROW(재료비목록표!A81),"M00150 →")</f>
        <v>M00150 →</v>
      </c>
    </row>
    <row r="778" spans="1:26" ht="33.200000000000003" customHeight="1">
      <c r="A778" s="452" t="s">
        <v>2574</v>
      </c>
      <c r="B778" s="452" t="s">
        <v>2632</v>
      </c>
      <c r="C778" s="489">
        <v>1.024E-3</v>
      </c>
      <c r="D778" s="480" t="s">
        <v>2576</v>
      </c>
      <c r="E778" s="490">
        <f t="shared" si="126"/>
        <v>775000</v>
      </c>
      <c r="F778" s="491">
        <f t="shared" si="126"/>
        <v>793.6</v>
      </c>
      <c r="G778" s="492">
        <v>0</v>
      </c>
      <c r="H778" s="493">
        <f t="shared" si="127"/>
        <v>0</v>
      </c>
      <c r="I778" s="494">
        <f>재료비목록표!E80</f>
        <v>775000</v>
      </c>
      <c r="J778" s="495">
        <f t="shared" si="128"/>
        <v>793.6</v>
      </c>
      <c r="K778" s="492">
        <v>0</v>
      </c>
      <c r="L778" s="493">
        <f t="shared" si="129"/>
        <v>0</v>
      </c>
      <c r="M778" s="463" t="s">
        <v>2633</v>
      </c>
      <c r="N778" s="451" t="s">
        <v>2634</v>
      </c>
      <c r="O778" s="468" t="s">
        <v>2635</v>
      </c>
      <c r="P778" s="468" t="s">
        <v>2354</v>
      </c>
      <c r="Z778" s="433" t="str">
        <f ca="1">HYPERLINK("#"&amp;재료비목록표!G2&amp;"!A"&amp;ROW(재료비목록표!A80),"M01265 →")</f>
        <v>M01265 →</v>
      </c>
    </row>
    <row r="779" spans="1:26" ht="33.200000000000003" customHeight="1">
      <c r="A779" s="452" t="s">
        <v>2507</v>
      </c>
      <c r="B779" s="452" t="s">
        <v>2441</v>
      </c>
      <c r="C779" s="489">
        <v>25</v>
      </c>
      <c r="D779" s="480" t="s">
        <v>2371</v>
      </c>
      <c r="E779" s="490">
        <f t="shared" si="126"/>
        <v>58323</v>
      </c>
      <c r="F779" s="491">
        <f t="shared" si="126"/>
        <v>14580.7</v>
      </c>
      <c r="G779" s="496">
        <f>H773+H774+H776</f>
        <v>58323</v>
      </c>
      <c r="H779" s="491">
        <f>IF(C779=0,0,ROUNDDOWN(G779*C779/100,1))</f>
        <v>14580.7</v>
      </c>
      <c r="I779" s="465">
        <v>0</v>
      </c>
      <c r="J779" s="493">
        <f>IF(C779=0,0,ROUNDDOWN(I779*C779/100,1))</f>
        <v>0</v>
      </c>
      <c r="K779" s="467">
        <v>0</v>
      </c>
      <c r="L779" s="493">
        <f>IF(C779=0,0,ROUNDDOWN(K779*C779/100,1))</f>
        <v>0</v>
      </c>
      <c r="M779" s="463"/>
      <c r="N779" s="451" t="s">
        <v>2644</v>
      </c>
      <c r="O779" s="468" t="s">
        <v>2373</v>
      </c>
      <c r="P779" s="468" t="s">
        <v>2354</v>
      </c>
      <c r="Q779" s="468" t="s">
        <v>2355</v>
      </c>
    </row>
    <row r="780" spans="1:26" ht="33.200000000000003" customHeight="1">
      <c r="A780" s="463" t="s">
        <v>842</v>
      </c>
      <c r="B780" s="497"/>
      <c r="C780" s="497"/>
      <c r="D780" s="497"/>
      <c r="E780" s="497"/>
      <c r="F780" s="446">
        <f>J780+H780+L780</f>
        <v>186342</v>
      </c>
      <c r="G780" s="497"/>
      <c r="H780" s="446">
        <f>ROUNDDOWN(SUMIF(P773:P779,O780,H773:H779),0)</f>
        <v>72903</v>
      </c>
      <c r="I780" s="497"/>
      <c r="J780" s="446">
        <f>ROUNDDOWN(SUMIF(P773:P779,O780,J773:J779),0)</f>
        <v>113439</v>
      </c>
      <c r="K780" s="497"/>
      <c r="L780" s="446">
        <f>ROUNDDOWN(SUMIF(P773:P779,O780,L773:L779),0)</f>
        <v>0</v>
      </c>
      <c r="M780" s="497"/>
      <c r="O780" s="468" t="s">
        <v>2354</v>
      </c>
    </row>
    <row r="781" spans="1:26" ht="33.200000000000003" customHeight="1">
      <c r="A781" s="484" t="s">
        <v>2801</v>
      </c>
      <c r="B781" s="484"/>
      <c r="C781" s="485"/>
      <c r="D781" s="485"/>
      <c r="E781" s="485"/>
      <c r="F781" s="485"/>
      <c r="G781" s="485"/>
      <c r="H781" s="485"/>
      <c r="I781" s="485"/>
      <c r="J781" s="485"/>
      <c r="K781" s="485"/>
      <c r="L781" s="485"/>
      <c r="M781" s="485"/>
      <c r="N781" s="486" t="str">
        <f>HYPERLINK("#N"&amp;ROW(N789),"_x0005_`BDCOD|B02249_x0007_`POSS|"&amp;ROW(N783)&amp;"_x0007_`POSE|"&amp;ROW(N789)&amp;"_x0007_`")</f>
        <v>_x0005_`BDCOD|B02249_x0007_`POSS|783_x0007_`POSE|789_x0007_`</v>
      </c>
    </row>
    <row r="782" spans="1:26" ht="33.200000000000003" customHeight="1">
      <c r="A782" s="469" t="s">
        <v>5093</v>
      </c>
      <c r="B782" s="469" t="s">
        <v>996</v>
      </c>
      <c r="C782" s="487"/>
      <c r="D782" s="488" t="s">
        <v>984</v>
      </c>
      <c r="E782" s="487"/>
      <c r="F782" s="487"/>
      <c r="G782" s="487"/>
      <c r="H782" s="487"/>
      <c r="I782" s="487"/>
      <c r="J782" s="487"/>
      <c r="K782" s="487"/>
      <c r="L782" s="487"/>
      <c r="M782" s="488" t="s">
        <v>997</v>
      </c>
      <c r="O782" s="468" t="s">
        <v>997</v>
      </c>
    </row>
    <row r="783" spans="1:26" ht="33.200000000000003" customHeight="1">
      <c r="A783" s="452" t="s">
        <v>2484</v>
      </c>
      <c r="B783" s="452" t="s">
        <v>2485</v>
      </c>
      <c r="C783" s="489">
        <v>6.8000000000000005E-2</v>
      </c>
      <c r="D783" s="480" t="s">
        <v>8</v>
      </c>
      <c r="E783" s="490">
        <f t="shared" ref="E783:F789" si="130">I783+G783+K783</f>
        <v>62811</v>
      </c>
      <c r="F783" s="493">
        <f t="shared" si="130"/>
        <v>4271.1000000000004</v>
      </c>
      <c r="G783" s="494">
        <f>단가산출근거목록표!F157</f>
        <v>62811</v>
      </c>
      <c r="H783" s="498">
        <f t="shared" ref="H783:H788" si="131">IF(C783=0,0,ROUNDDOWN(G783*C783,1))</f>
        <v>4271.1000000000004</v>
      </c>
      <c r="I783" s="494">
        <f>단가산출근거목록표!G157</f>
        <v>0</v>
      </c>
      <c r="J783" s="498">
        <f t="shared" ref="J783:J788" si="132">IF(C783=0,0,ROUNDDOWN(I783*C783,1))</f>
        <v>0</v>
      </c>
      <c r="K783" s="494">
        <f>단가산출근거목록표!H157</f>
        <v>0</v>
      </c>
      <c r="L783" s="498">
        <f t="shared" ref="L783:L788" si="133">IF(C783=0,0,ROUNDDOWN(K783*C783,1))</f>
        <v>0</v>
      </c>
      <c r="M783" s="463" t="s">
        <v>2486</v>
      </c>
      <c r="N783" s="451" t="s">
        <v>2487</v>
      </c>
      <c r="O783" s="468" t="s">
        <v>2488</v>
      </c>
      <c r="P783" s="468" t="s">
        <v>2354</v>
      </c>
      <c r="Q783" s="468" t="s">
        <v>2355</v>
      </c>
      <c r="Z783" s="433" t="str">
        <f ca="1">HYPERLINK("#"&amp;단가산출근거목록표!J2&amp;"!A"&amp;ROW(단가산출근거목록표!A157),"D01241 →")</f>
        <v>D01241 →</v>
      </c>
    </row>
    <row r="784" spans="1:26" ht="33.200000000000003" customHeight="1">
      <c r="A784" s="452" t="s">
        <v>2321</v>
      </c>
      <c r="B784" s="452" t="s">
        <v>2322</v>
      </c>
      <c r="C784" s="489">
        <v>6.8000000000000005E-2</v>
      </c>
      <c r="D784" s="480" t="s">
        <v>8</v>
      </c>
      <c r="E784" s="490">
        <f t="shared" si="130"/>
        <v>34413</v>
      </c>
      <c r="F784" s="493">
        <f t="shared" si="130"/>
        <v>2340</v>
      </c>
      <c r="G784" s="494">
        <f>일위대가목록표!F275</f>
        <v>34413</v>
      </c>
      <c r="H784" s="498">
        <f t="shared" si="131"/>
        <v>2340</v>
      </c>
      <c r="I784" s="494">
        <f>일위대가목록표!G275</f>
        <v>0</v>
      </c>
      <c r="J784" s="498">
        <f t="shared" si="132"/>
        <v>0</v>
      </c>
      <c r="K784" s="494">
        <f>일위대가목록표!H275</f>
        <v>0</v>
      </c>
      <c r="L784" s="498">
        <f t="shared" si="133"/>
        <v>0</v>
      </c>
      <c r="M784" s="463" t="s">
        <v>2489</v>
      </c>
      <c r="N784" s="451" t="s">
        <v>2490</v>
      </c>
      <c r="O784" s="468" t="s">
        <v>2491</v>
      </c>
      <c r="P784" s="468" t="s">
        <v>2354</v>
      </c>
      <c r="Q784" s="468" t="s">
        <v>2355</v>
      </c>
      <c r="Z784" s="433" t="str">
        <f ca="1">HYPERLINK("#"&amp;일위대가목록표!J2&amp;"!A"&amp;ROW(일위대가목록표!A275),"B01414 →")</f>
        <v>B01414 →</v>
      </c>
    </row>
    <row r="785" spans="1:26" ht="33.200000000000003" customHeight="1">
      <c r="A785" s="452" t="s">
        <v>2627</v>
      </c>
      <c r="B785" s="452" t="s">
        <v>2628</v>
      </c>
      <c r="C785" s="489">
        <v>22.632999999999999</v>
      </c>
      <c r="D785" s="480" t="s">
        <v>605</v>
      </c>
      <c r="E785" s="490">
        <f t="shared" si="130"/>
        <v>6200</v>
      </c>
      <c r="F785" s="491">
        <f t="shared" si="130"/>
        <v>140324.6</v>
      </c>
      <c r="G785" s="492">
        <v>0</v>
      </c>
      <c r="H785" s="493">
        <f t="shared" si="131"/>
        <v>0</v>
      </c>
      <c r="I785" s="494">
        <f>재료비목록표!E8</f>
        <v>6200</v>
      </c>
      <c r="J785" s="495">
        <f t="shared" si="132"/>
        <v>140324.6</v>
      </c>
      <c r="K785" s="492">
        <v>0</v>
      </c>
      <c r="L785" s="493">
        <f t="shared" si="133"/>
        <v>0</v>
      </c>
      <c r="M785" s="463" t="s">
        <v>2629</v>
      </c>
      <c r="N785" s="451" t="s">
        <v>2630</v>
      </c>
      <c r="O785" s="468" t="s">
        <v>2631</v>
      </c>
      <c r="P785" s="468" t="s">
        <v>2354</v>
      </c>
      <c r="Z785" s="433" t="str">
        <f ca="1">HYPERLINK("#"&amp;재료비목록표!G2&amp;"!A"&amp;ROW(재료비목록표!A8),"M00950 →")</f>
        <v>M00950 →</v>
      </c>
    </row>
    <row r="786" spans="1:26" ht="33.200000000000003" customHeight="1">
      <c r="A786" s="452" t="s">
        <v>1461</v>
      </c>
      <c r="B786" s="452" t="s">
        <v>1462</v>
      </c>
      <c r="C786" s="489">
        <v>7.1999999999999995E-2</v>
      </c>
      <c r="D786" s="480" t="s">
        <v>8</v>
      </c>
      <c r="E786" s="490">
        <f t="shared" si="130"/>
        <v>915052</v>
      </c>
      <c r="F786" s="493">
        <f t="shared" si="130"/>
        <v>65883.7</v>
      </c>
      <c r="G786" s="494">
        <f>일위대가목록표!F72</f>
        <v>915052</v>
      </c>
      <c r="H786" s="498">
        <f t="shared" si="131"/>
        <v>65883.7</v>
      </c>
      <c r="I786" s="494">
        <f>일위대가목록표!G72</f>
        <v>0</v>
      </c>
      <c r="J786" s="498">
        <f t="shared" si="132"/>
        <v>0</v>
      </c>
      <c r="K786" s="494">
        <f>일위대가목록표!H72</f>
        <v>0</v>
      </c>
      <c r="L786" s="498">
        <f t="shared" si="133"/>
        <v>0</v>
      </c>
      <c r="M786" s="463" t="s">
        <v>2471</v>
      </c>
      <c r="N786" s="451" t="s">
        <v>2472</v>
      </c>
      <c r="O786" s="468" t="s">
        <v>1465</v>
      </c>
      <c r="P786" s="468" t="s">
        <v>2354</v>
      </c>
      <c r="Q786" s="468" t="s">
        <v>2355</v>
      </c>
      <c r="Z786" s="433" t="str">
        <f ca="1">HYPERLINK("#"&amp;일위대가목록표!J2&amp;"!A"&amp;ROW(일위대가목록표!A72),"B01822 →")</f>
        <v>B01822 →</v>
      </c>
    </row>
    <row r="787" spans="1:26" ht="33.200000000000003" customHeight="1">
      <c r="A787" s="452" t="s">
        <v>2574</v>
      </c>
      <c r="B787" s="452" t="s">
        <v>2575</v>
      </c>
      <c r="C787" s="489">
        <v>1.2290000000000001E-3</v>
      </c>
      <c r="D787" s="480" t="s">
        <v>2576</v>
      </c>
      <c r="E787" s="490">
        <f t="shared" si="130"/>
        <v>765000</v>
      </c>
      <c r="F787" s="491">
        <f t="shared" si="130"/>
        <v>940.1</v>
      </c>
      <c r="G787" s="492">
        <v>0</v>
      </c>
      <c r="H787" s="493">
        <f t="shared" si="131"/>
        <v>0</v>
      </c>
      <c r="I787" s="494">
        <f>재료비목록표!E81</f>
        <v>765000</v>
      </c>
      <c r="J787" s="495">
        <f t="shared" si="132"/>
        <v>940.1</v>
      </c>
      <c r="K787" s="492">
        <v>0</v>
      </c>
      <c r="L787" s="493">
        <f t="shared" si="133"/>
        <v>0</v>
      </c>
      <c r="M787" s="463" t="s">
        <v>2577</v>
      </c>
      <c r="N787" s="451" t="s">
        <v>2578</v>
      </c>
      <c r="O787" s="468" t="s">
        <v>2579</v>
      </c>
      <c r="P787" s="468" t="s">
        <v>2354</v>
      </c>
      <c r="Z787" s="433" t="str">
        <f ca="1">HYPERLINK("#"&amp;재료비목록표!G2&amp;"!A"&amp;ROW(재료비목록표!A81),"M00150 →")</f>
        <v>M00150 →</v>
      </c>
    </row>
    <row r="788" spans="1:26" ht="33.200000000000003" customHeight="1">
      <c r="A788" s="452" t="s">
        <v>2574</v>
      </c>
      <c r="B788" s="452" t="s">
        <v>2632</v>
      </c>
      <c r="C788" s="489">
        <v>1.024E-3</v>
      </c>
      <c r="D788" s="480" t="s">
        <v>2576</v>
      </c>
      <c r="E788" s="490">
        <f t="shared" si="130"/>
        <v>775000</v>
      </c>
      <c r="F788" s="491">
        <f t="shared" si="130"/>
        <v>793.6</v>
      </c>
      <c r="G788" s="492">
        <v>0</v>
      </c>
      <c r="H788" s="493">
        <f t="shared" si="131"/>
        <v>0</v>
      </c>
      <c r="I788" s="494">
        <f>재료비목록표!E80</f>
        <v>775000</v>
      </c>
      <c r="J788" s="495">
        <f t="shared" si="132"/>
        <v>793.6</v>
      </c>
      <c r="K788" s="492">
        <v>0</v>
      </c>
      <c r="L788" s="493">
        <f t="shared" si="133"/>
        <v>0</v>
      </c>
      <c r="M788" s="463" t="s">
        <v>2633</v>
      </c>
      <c r="N788" s="451" t="s">
        <v>2634</v>
      </c>
      <c r="O788" s="468" t="s">
        <v>2635</v>
      </c>
      <c r="P788" s="468" t="s">
        <v>2354</v>
      </c>
      <c r="Z788" s="433" t="str">
        <f ca="1">HYPERLINK("#"&amp;재료비목록표!G2&amp;"!A"&amp;ROW(재료비목록표!A80),"M01265 →")</f>
        <v>M01265 →</v>
      </c>
    </row>
    <row r="789" spans="1:26" ht="33.200000000000003" customHeight="1">
      <c r="A789" s="452" t="s">
        <v>2507</v>
      </c>
      <c r="B789" s="452" t="s">
        <v>2441</v>
      </c>
      <c r="C789" s="489">
        <v>25</v>
      </c>
      <c r="D789" s="480" t="s">
        <v>2371</v>
      </c>
      <c r="E789" s="490">
        <f t="shared" si="130"/>
        <v>72494.8</v>
      </c>
      <c r="F789" s="491">
        <f t="shared" si="130"/>
        <v>18123.7</v>
      </c>
      <c r="G789" s="496">
        <f>H783+H784+H786</f>
        <v>72494.8</v>
      </c>
      <c r="H789" s="491">
        <f>IF(C789=0,0,ROUNDDOWN(G789*C789/100,1))</f>
        <v>18123.7</v>
      </c>
      <c r="I789" s="465">
        <v>0</v>
      </c>
      <c r="J789" s="493">
        <f>IF(C789=0,0,ROUNDDOWN(I789*C789/100,1))</f>
        <v>0</v>
      </c>
      <c r="K789" s="467">
        <v>0</v>
      </c>
      <c r="L789" s="493">
        <f>IF(C789=0,0,ROUNDDOWN(K789*C789/100,1))</f>
        <v>0</v>
      </c>
      <c r="M789" s="463"/>
      <c r="N789" s="451" t="s">
        <v>2644</v>
      </c>
      <c r="O789" s="468" t="s">
        <v>2373</v>
      </c>
      <c r="P789" s="468" t="s">
        <v>2354</v>
      </c>
      <c r="Q789" s="468" t="s">
        <v>2355</v>
      </c>
    </row>
    <row r="790" spans="1:26" ht="33.200000000000003" customHeight="1">
      <c r="A790" s="463" t="s">
        <v>842</v>
      </c>
      <c r="B790" s="497"/>
      <c r="C790" s="497"/>
      <c r="D790" s="497"/>
      <c r="E790" s="497"/>
      <c r="F790" s="446">
        <f>J790+H790+L790</f>
        <v>232676</v>
      </c>
      <c r="G790" s="497"/>
      <c r="H790" s="446">
        <f>ROUNDDOWN(SUMIF(P783:P789,O790,H783:H789),0)</f>
        <v>90618</v>
      </c>
      <c r="I790" s="497"/>
      <c r="J790" s="446">
        <f>ROUNDDOWN(SUMIF(P783:P789,O790,J783:J789),0)</f>
        <v>142058</v>
      </c>
      <c r="K790" s="497"/>
      <c r="L790" s="446">
        <f>ROUNDDOWN(SUMIF(P783:P789,O790,L783:L789),0)</f>
        <v>0</v>
      </c>
      <c r="M790" s="497"/>
      <c r="O790" s="468" t="s">
        <v>2354</v>
      </c>
    </row>
    <row r="791" spans="1:26" ht="33.200000000000003" customHeight="1">
      <c r="A791" s="484" t="s">
        <v>2802</v>
      </c>
      <c r="B791" s="484"/>
      <c r="C791" s="485"/>
      <c r="D791" s="485"/>
      <c r="E791" s="485"/>
      <c r="F791" s="485"/>
      <c r="G791" s="485"/>
      <c r="H791" s="485"/>
      <c r="I791" s="485"/>
      <c r="J791" s="485"/>
      <c r="K791" s="485"/>
      <c r="L791" s="485"/>
      <c r="M791" s="485"/>
      <c r="N791" s="486" t="str">
        <f>HYPERLINK("#N"&amp;ROW(N799),"_x0005_`BDCOD|B02416_x0007_`POSS|"&amp;ROW(N793)&amp;"_x0007_`POSE|"&amp;ROW(N799)&amp;"_x0007_`")</f>
        <v>_x0005_`BDCOD|B02416_x0007_`POSS|793_x0007_`POSE|799_x0007_`</v>
      </c>
    </row>
    <row r="792" spans="1:26" ht="33.200000000000003" customHeight="1">
      <c r="A792" s="469" t="s">
        <v>5093</v>
      </c>
      <c r="B792" s="469" t="s">
        <v>1000</v>
      </c>
      <c r="C792" s="487"/>
      <c r="D792" s="488" t="s">
        <v>984</v>
      </c>
      <c r="E792" s="487"/>
      <c r="F792" s="487"/>
      <c r="G792" s="487"/>
      <c r="H792" s="487"/>
      <c r="I792" s="487"/>
      <c r="J792" s="487"/>
      <c r="K792" s="487"/>
      <c r="L792" s="487"/>
      <c r="M792" s="488" t="s">
        <v>1001</v>
      </c>
      <c r="O792" s="468" t="s">
        <v>1001</v>
      </c>
    </row>
    <row r="793" spans="1:26" ht="33.200000000000003" customHeight="1">
      <c r="A793" s="452" t="s">
        <v>2484</v>
      </c>
      <c r="B793" s="452" t="s">
        <v>2485</v>
      </c>
      <c r="C793" s="489">
        <v>0.09</v>
      </c>
      <c r="D793" s="480" t="s">
        <v>8</v>
      </c>
      <c r="E793" s="490">
        <f t="shared" ref="E793:F799" si="134">I793+G793+K793</f>
        <v>62811</v>
      </c>
      <c r="F793" s="493">
        <f t="shared" si="134"/>
        <v>5652.9</v>
      </c>
      <c r="G793" s="494">
        <f>단가산출근거목록표!F157</f>
        <v>62811</v>
      </c>
      <c r="H793" s="498">
        <f t="shared" ref="H793:H798" si="135">IF(C793=0,0,ROUNDDOWN(G793*C793,1))</f>
        <v>5652.9</v>
      </c>
      <c r="I793" s="494">
        <f>단가산출근거목록표!G157</f>
        <v>0</v>
      </c>
      <c r="J793" s="498">
        <f t="shared" ref="J793:J798" si="136">IF(C793=0,0,ROUNDDOWN(I793*C793,1))</f>
        <v>0</v>
      </c>
      <c r="K793" s="494">
        <f>단가산출근거목록표!H157</f>
        <v>0</v>
      </c>
      <c r="L793" s="498">
        <f t="shared" ref="L793:L798" si="137">IF(C793=0,0,ROUNDDOWN(K793*C793,1))</f>
        <v>0</v>
      </c>
      <c r="M793" s="463" t="s">
        <v>2486</v>
      </c>
      <c r="N793" s="451" t="s">
        <v>2487</v>
      </c>
      <c r="O793" s="468" t="s">
        <v>2488</v>
      </c>
      <c r="P793" s="468" t="s">
        <v>2354</v>
      </c>
      <c r="Q793" s="468" t="s">
        <v>2355</v>
      </c>
      <c r="Z793" s="433" t="str">
        <f ca="1">HYPERLINK("#"&amp;단가산출근거목록표!J2&amp;"!A"&amp;ROW(단가산출근거목록표!A157),"D01241 →")</f>
        <v>D01241 →</v>
      </c>
    </row>
    <row r="794" spans="1:26" ht="33.200000000000003" customHeight="1">
      <c r="A794" s="452" t="s">
        <v>2321</v>
      </c>
      <c r="B794" s="452" t="s">
        <v>2322</v>
      </c>
      <c r="C794" s="489">
        <v>0.09</v>
      </c>
      <c r="D794" s="480" t="s">
        <v>8</v>
      </c>
      <c r="E794" s="490">
        <f t="shared" si="134"/>
        <v>34413</v>
      </c>
      <c r="F794" s="493">
        <f t="shared" si="134"/>
        <v>3097.1</v>
      </c>
      <c r="G794" s="494">
        <f>일위대가목록표!F275</f>
        <v>34413</v>
      </c>
      <c r="H794" s="498">
        <f t="shared" si="135"/>
        <v>3097.1</v>
      </c>
      <c r="I794" s="494">
        <f>일위대가목록표!G275</f>
        <v>0</v>
      </c>
      <c r="J794" s="498">
        <f t="shared" si="136"/>
        <v>0</v>
      </c>
      <c r="K794" s="494">
        <f>일위대가목록표!H275</f>
        <v>0</v>
      </c>
      <c r="L794" s="498">
        <f t="shared" si="137"/>
        <v>0</v>
      </c>
      <c r="M794" s="463" t="s">
        <v>2489</v>
      </c>
      <c r="N794" s="451" t="s">
        <v>2490</v>
      </c>
      <c r="O794" s="468" t="s">
        <v>2491</v>
      </c>
      <c r="P794" s="468" t="s">
        <v>2354</v>
      </c>
      <c r="Q794" s="468" t="s">
        <v>2355</v>
      </c>
      <c r="Z794" s="433" t="str">
        <f ca="1">HYPERLINK("#"&amp;일위대가목록표!J2&amp;"!A"&amp;ROW(일위대가목록표!A275),"B01414 →")</f>
        <v>B01414 →</v>
      </c>
    </row>
    <row r="795" spans="1:26" ht="33.200000000000003" customHeight="1">
      <c r="A795" s="452" t="s">
        <v>2627</v>
      </c>
      <c r="B795" s="452" t="s">
        <v>2628</v>
      </c>
      <c r="C795" s="489">
        <v>30.178999999999998</v>
      </c>
      <c r="D795" s="480" t="s">
        <v>605</v>
      </c>
      <c r="E795" s="490">
        <f t="shared" si="134"/>
        <v>6200</v>
      </c>
      <c r="F795" s="491">
        <f t="shared" si="134"/>
        <v>187109.8</v>
      </c>
      <c r="G795" s="492">
        <v>0</v>
      </c>
      <c r="H795" s="493">
        <f t="shared" si="135"/>
        <v>0</v>
      </c>
      <c r="I795" s="494">
        <f>재료비목록표!E8</f>
        <v>6200</v>
      </c>
      <c r="J795" s="495">
        <f t="shared" si="136"/>
        <v>187109.8</v>
      </c>
      <c r="K795" s="492">
        <v>0</v>
      </c>
      <c r="L795" s="493">
        <f t="shared" si="137"/>
        <v>0</v>
      </c>
      <c r="M795" s="463" t="s">
        <v>2629</v>
      </c>
      <c r="N795" s="451" t="s">
        <v>2630</v>
      </c>
      <c r="O795" s="468" t="s">
        <v>2631</v>
      </c>
      <c r="P795" s="468" t="s">
        <v>2354</v>
      </c>
      <c r="Z795" s="433" t="str">
        <f ca="1">HYPERLINK("#"&amp;재료비목록표!G2&amp;"!A"&amp;ROW(재료비목록표!A8),"M00950 →")</f>
        <v>M00950 →</v>
      </c>
    </row>
    <row r="796" spans="1:26" ht="33.200000000000003" customHeight="1">
      <c r="A796" s="452" t="s">
        <v>1461</v>
      </c>
      <c r="B796" s="452" t="s">
        <v>1462</v>
      </c>
      <c r="C796" s="489">
        <v>9.6000000000000002E-2</v>
      </c>
      <c r="D796" s="480" t="s">
        <v>8</v>
      </c>
      <c r="E796" s="490">
        <f t="shared" si="134"/>
        <v>915052</v>
      </c>
      <c r="F796" s="493">
        <f t="shared" si="134"/>
        <v>87844.9</v>
      </c>
      <c r="G796" s="494">
        <f>일위대가목록표!F72</f>
        <v>915052</v>
      </c>
      <c r="H796" s="498">
        <f t="shared" si="135"/>
        <v>87844.9</v>
      </c>
      <c r="I796" s="494">
        <f>일위대가목록표!G72</f>
        <v>0</v>
      </c>
      <c r="J796" s="498">
        <f t="shared" si="136"/>
        <v>0</v>
      </c>
      <c r="K796" s="494">
        <f>일위대가목록표!H72</f>
        <v>0</v>
      </c>
      <c r="L796" s="498">
        <f t="shared" si="137"/>
        <v>0</v>
      </c>
      <c r="M796" s="463" t="s">
        <v>2471</v>
      </c>
      <c r="N796" s="451" t="s">
        <v>2472</v>
      </c>
      <c r="O796" s="468" t="s">
        <v>1465</v>
      </c>
      <c r="P796" s="468" t="s">
        <v>2354</v>
      </c>
      <c r="Q796" s="468" t="s">
        <v>2355</v>
      </c>
      <c r="Z796" s="433" t="str">
        <f ca="1">HYPERLINK("#"&amp;일위대가목록표!J2&amp;"!A"&amp;ROW(일위대가목록표!A72),"B01822 →")</f>
        <v>B01822 →</v>
      </c>
    </row>
    <row r="797" spans="1:26" ht="33.200000000000003" customHeight="1">
      <c r="A797" s="452" t="s">
        <v>2574</v>
      </c>
      <c r="B797" s="452" t="s">
        <v>2575</v>
      </c>
      <c r="C797" s="489">
        <v>1.2290000000000001E-3</v>
      </c>
      <c r="D797" s="480" t="s">
        <v>2576</v>
      </c>
      <c r="E797" s="490">
        <f t="shared" si="134"/>
        <v>765000</v>
      </c>
      <c r="F797" s="491">
        <f t="shared" si="134"/>
        <v>940.1</v>
      </c>
      <c r="G797" s="492">
        <v>0</v>
      </c>
      <c r="H797" s="493">
        <f t="shared" si="135"/>
        <v>0</v>
      </c>
      <c r="I797" s="494">
        <f>재료비목록표!E81</f>
        <v>765000</v>
      </c>
      <c r="J797" s="495">
        <f t="shared" si="136"/>
        <v>940.1</v>
      </c>
      <c r="K797" s="492">
        <v>0</v>
      </c>
      <c r="L797" s="493">
        <f t="shared" si="137"/>
        <v>0</v>
      </c>
      <c r="M797" s="463" t="s">
        <v>2577</v>
      </c>
      <c r="N797" s="451" t="s">
        <v>2578</v>
      </c>
      <c r="O797" s="468" t="s">
        <v>2579</v>
      </c>
      <c r="P797" s="468" t="s">
        <v>2354</v>
      </c>
      <c r="Z797" s="433" t="str">
        <f ca="1">HYPERLINK("#"&amp;재료비목록표!G2&amp;"!A"&amp;ROW(재료비목록표!A81),"M00150 →")</f>
        <v>M00150 →</v>
      </c>
    </row>
    <row r="798" spans="1:26" ht="33.200000000000003" customHeight="1">
      <c r="A798" s="452" t="s">
        <v>2574</v>
      </c>
      <c r="B798" s="452" t="s">
        <v>2632</v>
      </c>
      <c r="C798" s="489">
        <v>1.024E-3</v>
      </c>
      <c r="D798" s="480" t="s">
        <v>2576</v>
      </c>
      <c r="E798" s="490">
        <f t="shared" si="134"/>
        <v>775000</v>
      </c>
      <c r="F798" s="491">
        <f t="shared" si="134"/>
        <v>793.6</v>
      </c>
      <c r="G798" s="492">
        <v>0</v>
      </c>
      <c r="H798" s="493">
        <f t="shared" si="135"/>
        <v>0</v>
      </c>
      <c r="I798" s="494">
        <f>재료비목록표!E80</f>
        <v>775000</v>
      </c>
      <c r="J798" s="495">
        <f t="shared" si="136"/>
        <v>793.6</v>
      </c>
      <c r="K798" s="492">
        <v>0</v>
      </c>
      <c r="L798" s="493">
        <f t="shared" si="137"/>
        <v>0</v>
      </c>
      <c r="M798" s="463" t="s">
        <v>2633</v>
      </c>
      <c r="N798" s="451" t="s">
        <v>2634</v>
      </c>
      <c r="O798" s="468" t="s">
        <v>2635</v>
      </c>
      <c r="P798" s="468" t="s">
        <v>2354</v>
      </c>
      <c r="Z798" s="433" t="str">
        <f ca="1">HYPERLINK("#"&amp;재료비목록표!G2&amp;"!A"&amp;ROW(재료비목록표!A80),"M01265 →")</f>
        <v>M01265 →</v>
      </c>
    </row>
    <row r="799" spans="1:26" ht="33.200000000000003" customHeight="1">
      <c r="A799" s="452" t="s">
        <v>2507</v>
      </c>
      <c r="B799" s="452" t="s">
        <v>2441</v>
      </c>
      <c r="C799" s="489">
        <v>25</v>
      </c>
      <c r="D799" s="480" t="s">
        <v>2371</v>
      </c>
      <c r="E799" s="490">
        <f t="shared" si="134"/>
        <v>96594.9</v>
      </c>
      <c r="F799" s="491">
        <f t="shared" si="134"/>
        <v>24148.7</v>
      </c>
      <c r="G799" s="496">
        <f>H793+H794+H796</f>
        <v>96594.9</v>
      </c>
      <c r="H799" s="491">
        <f>IF(C799=0,0,ROUNDDOWN(G799*C799/100,1))</f>
        <v>24148.7</v>
      </c>
      <c r="I799" s="465">
        <v>0</v>
      </c>
      <c r="J799" s="493">
        <f>IF(C799=0,0,ROUNDDOWN(I799*C799/100,1))</f>
        <v>0</v>
      </c>
      <c r="K799" s="467">
        <v>0</v>
      </c>
      <c r="L799" s="493">
        <f>IF(C799=0,0,ROUNDDOWN(K799*C799/100,1))</f>
        <v>0</v>
      </c>
      <c r="M799" s="463"/>
      <c r="N799" s="451" t="s">
        <v>2644</v>
      </c>
      <c r="O799" s="468" t="s">
        <v>2373</v>
      </c>
      <c r="P799" s="468" t="s">
        <v>2354</v>
      </c>
      <c r="Q799" s="468" t="s">
        <v>2355</v>
      </c>
    </row>
    <row r="800" spans="1:26" ht="33.200000000000003" customHeight="1">
      <c r="A800" s="463" t="s">
        <v>842</v>
      </c>
      <c r="B800" s="497"/>
      <c r="C800" s="497"/>
      <c r="D800" s="497"/>
      <c r="E800" s="497"/>
      <c r="F800" s="446">
        <f>J800+H800+L800</f>
        <v>309586</v>
      </c>
      <c r="G800" s="497"/>
      <c r="H800" s="446">
        <f>ROUNDDOWN(SUMIF(P793:P799,O800,H793:H799),0)</f>
        <v>120743</v>
      </c>
      <c r="I800" s="497"/>
      <c r="J800" s="446">
        <f>ROUNDDOWN(SUMIF(P793:P799,O800,J793:J799),0)</f>
        <v>188843</v>
      </c>
      <c r="K800" s="497"/>
      <c r="L800" s="446">
        <f>ROUNDDOWN(SUMIF(P793:P799,O800,L793:L799),0)</f>
        <v>0</v>
      </c>
      <c r="M800" s="497"/>
      <c r="O800" s="468" t="s">
        <v>2354</v>
      </c>
    </row>
    <row r="801" spans="1:26" ht="33.200000000000003" customHeight="1">
      <c r="A801" s="484" t="s">
        <v>2803</v>
      </c>
      <c r="B801" s="484"/>
      <c r="C801" s="485"/>
      <c r="D801" s="485"/>
      <c r="E801" s="485"/>
      <c r="F801" s="485"/>
      <c r="G801" s="485"/>
      <c r="H801" s="485"/>
      <c r="I801" s="485"/>
      <c r="J801" s="485"/>
      <c r="K801" s="485"/>
      <c r="L801" s="485"/>
      <c r="M801" s="485"/>
      <c r="N801" s="486" t="str">
        <f>HYPERLINK("#N"&amp;ROW(N809),"_x0005_`BDCOD|B02387_x0007_`POSS|"&amp;ROW(N803)&amp;"_x0007_`POSE|"&amp;ROW(N809)&amp;"_x0007_`")</f>
        <v>_x0005_`BDCOD|B02387_x0007_`POSS|803_x0007_`POSE|809_x0007_`</v>
      </c>
    </row>
    <row r="802" spans="1:26" ht="33.200000000000003" customHeight="1">
      <c r="A802" s="469" t="s">
        <v>5093</v>
      </c>
      <c r="B802" s="469" t="s">
        <v>983</v>
      </c>
      <c r="C802" s="487"/>
      <c r="D802" s="488" t="s">
        <v>984</v>
      </c>
      <c r="E802" s="487"/>
      <c r="F802" s="487"/>
      <c r="G802" s="487"/>
      <c r="H802" s="487"/>
      <c r="I802" s="487"/>
      <c r="J802" s="487"/>
      <c r="K802" s="487"/>
      <c r="L802" s="487"/>
      <c r="M802" s="488" t="s">
        <v>985</v>
      </c>
      <c r="O802" s="468" t="s">
        <v>985</v>
      </c>
    </row>
    <row r="803" spans="1:26" ht="33.200000000000003" customHeight="1">
      <c r="A803" s="452" t="s">
        <v>2484</v>
      </c>
      <c r="B803" s="452" t="s">
        <v>2485</v>
      </c>
      <c r="C803" s="489">
        <v>3.5999999999999997E-2</v>
      </c>
      <c r="D803" s="480" t="s">
        <v>8</v>
      </c>
      <c r="E803" s="490">
        <f t="shared" ref="E803:F809" si="138">I803+G803+K803</f>
        <v>62811</v>
      </c>
      <c r="F803" s="493">
        <f t="shared" si="138"/>
        <v>2261.1</v>
      </c>
      <c r="G803" s="494">
        <f>단가산출근거목록표!F157</f>
        <v>62811</v>
      </c>
      <c r="H803" s="498">
        <f t="shared" ref="H803:H808" si="139">IF(C803=0,0,ROUNDDOWN(G803*C803,1))</f>
        <v>2261.1</v>
      </c>
      <c r="I803" s="494">
        <f>단가산출근거목록표!G157</f>
        <v>0</v>
      </c>
      <c r="J803" s="498">
        <f t="shared" ref="J803:J808" si="140">IF(C803=0,0,ROUNDDOWN(I803*C803,1))</f>
        <v>0</v>
      </c>
      <c r="K803" s="494">
        <f>단가산출근거목록표!H157</f>
        <v>0</v>
      </c>
      <c r="L803" s="498">
        <f t="shared" ref="L803:L808" si="141">IF(C803=0,0,ROUNDDOWN(K803*C803,1))</f>
        <v>0</v>
      </c>
      <c r="M803" s="463" t="s">
        <v>2486</v>
      </c>
      <c r="N803" s="451" t="s">
        <v>2487</v>
      </c>
      <c r="O803" s="468" t="s">
        <v>2488</v>
      </c>
      <c r="P803" s="468" t="s">
        <v>2354</v>
      </c>
      <c r="Q803" s="468" t="s">
        <v>2355</v>
      </c>
      <c r="Z803" s="433" t="str">
        <f ca="1">HYPERLINK("#"&amp;단가산출근거목록표!J2&amp;"!A"&amp;ROW(단가산출근거목록표!A157),"D01241 →")</f>
        <v>D01241 →</v>
      </c>
    </row>
    <row r="804" spans="1:26" ht="33.200000000000003" customHeight="1">
      <c r="A804" s="452" t="s">
        <v>2321</v>
      </c>
      <c r="B804" s="452" t="s">
        <v>2322</v>
      </c>
      <c r="C804" s="489">
        <v>3.5999999999999997E-2</v>
      </c>
      <c r="D804" s="480" t="s">
        <v>8</v>
      </c>
      <c r="E804" s="490">
        <f t="shared" si="138"/>
        <v>34413</v>
      </c>
      <c r="F804" s="493">
        <f t="shared" si="138"/>
        <v>1238.8</v>
      </c>
      <c r="G804" s="494">
        <f>일위대가목록표!F275</f>
        <v>34413</v>
      </c>
      <c r="H804" s="498">
        <f t="shared" si="139"/>
        <v>1238.8</v>
      </c>
      <c r="I804" s="494">
        <f>일위대가목록표!G275</f>
        <v>0</v>
      </c>
      <c r="J804" s="498">
        <f t="shared" si="140"/>
        <v>0</v>
      </c>
      <c r="K804" s="494">
        <f>일위대가목록표!H275</f>
        <v>0</v>
      </c>
      <c r="L804" s="498">
        <f t="shared" si="141"/>
        <v>0</v>
      </c>
      <c r="M804" s="463" t="s">
        <v>2489</v>
      </c>
      <c r="N804" s="451" t="s">
        <v>2490</v>
      </c>
      <c r="O804" s="468" t="s">
        <v>2491</v>
      </c>
      <c r="P804" s="468" t="s">
        <v>2354</v>
      </c>
      <c r="Q804" s="468" t="s">
        <v>2355</v>
      </c>
      <c r="Z804" s="433" t="str">
        <f ca="1">HYPERLINK("#"&amp;일위대가목록표!J2&amp;"!A"&amp;ROW(일위대가목록표!A275),"B01414 →")</f>
        <v>B01414 →</v>
      </c>
    </row>
    <row r="805" spans="1:26" ht="33.200000000000003" customHeight="1">
      <c r="A805" s="452" t="s">
        <v>2627</v>
      </c>
      <c r="B805" s="452" t="s">
        <v>2628</v>
      </c>
      <c r="C805" s="489">
        <v>12.071</v>
      </c>
      <c r="D805" s="480" t="s">
        <v>605</v>
      </c>
      <c r="E805" s="490">
        <f t="shared" si="138"/>
        <v>6200</v>
      </c>
      <c r="F805" s="491">
        <f t="shared" si="138"/>
        <v>74840.2</v>
      </c>
      <c r="G805" s="492">
        <v>0</v>
      </c>
      <c r="H805" s="493">
        <f t="shared" si="139"/>
        <v>0</v>
      </c>
      <c r="I805" s="494">
        <f>재료비목록표!E8</f>
        <v>6200</v>
      </c>
      <c r="J805" s="495">
        <f t="shared" si="140"/>
        <v>74840.2</v>
      </c>
      <c r="K805" s="492">
        <v>0</v>
      </c>
      <c r="L805" s="493">
        <f t="shared" si="141"/>
        <v>0</v>
      </c>
      <c r="M805" s="463" t="s">
        <v>2629</v>
      </c>
      <c r="N805" s="451" t="s">
        <v>2630</v>
      </c>
      <c r="O805" s="468" t="s">
        <v>2631</v>
      </c>
      <c r="P805" s="468" t="s">
        <v>2354</v>
      </c>
      <c r="Z805" s="433" t="str">
        <f ca="1">HYPERLINK("#"&amp;재료비목록표!G2&amp;"!A"&amp;ROW(재료비목록표!A8),"M00950 →")</f>
        <v>M00950 →</v>
      </c>
    </row>
    <row r="806" spans="1:26" ht="33.200000000000003" customHeight="1">
      <c r="A806" s="452" t="s">
        <v>1461</v>
      </c>
      <c r="B806" s="452" t="s">
        <v>1462</v>
      </c>
      <c r="C806" s="489">
        <v>3.7999999999999999E-2</v>
      </c>
      <c r="D806" s="480" t="s">
        <v>8</v>
      </c>
      <c r="E806" s="490">
        <f t="shared" si="138"/>
        <v>915052</v>
      </c>
      <c r="F806" s="493">
        <f t="shared" si="138"/>
        <v>34771.9</v>
      </c>
      <c r="G806" s="494">
        <f>일위대가목록표!F72</f>
        <v>915052</v>
      </c>
      <c r="H806" s="498">
        <f t="shared" si="139"/>
        <v>34771.9</v>
      </c>
      <c r="I806" s="494">
        <f>일위대가목록표!G72</f>
        <v>0</v>
      </c>
      <c r="J806" s="498">
        <f t="shared" si="140"/>
        <v>0</v>
      </c>
      <c r="K806" s="494">
        <f>일위대가목록표!H72</f>
        <v>0</v>
      </c>
      <c r="L806" s="498">
        <f t="shared" si="141"/>
        <v>0</v>
      </c>
      <c r="M806" s="463" t="s">
        <v>2471</v>
      </c>
      <c r="N806" s="451" t="s">
        <v>2472</v>
      </c>
      <c r="O806" s="468" t="s">
        <v>1465</v>
      </c>
      <c r="P806" s="468" t="s">
        <v>2354</v>
      </c>
      <c r="Q806" s="468" t="s">
        <v>2355</v>
      </c>
      <c r="Z806" s="433" t="str">
        <f ca="1">HYPERLINK("#"&amp;일위대가목록표!J2&amp;"!A"&amp;ROW(일위대가목록표!A72),"B01822 →")</f>
        <v>B01822 →</v>
      </c>
    </row>
    <row r="807" spans="1:26" ht="33.200000000000003" customHeight="1">
      <c r="A807" s="452" t="s">
        <v>2574</v>
      </c>
      <c r="B807" s="452" t="s">
        <v>2575</v>
      </c>
      <c r="C807" s="489">
        <v>1.2290000000000001E-3</v>
      </c>
      <c r="D807" s="480" t="s">
        <v>2576</v>
      </c>
      <c r="E807" s="490">
        <f t="shared" si="138"/>
        <v>765000</v>
      </c>
      <c r="F807" s="491">
        <f t="shared" si="138"/>
        <v>940.1</v>
      </c>
      <c r="G807" s="492">
        <v>0</v>
      </c>
      <c r="H807" s="493">
        <f t="shared" si="139"/>
        <v>0</v>
      </c>
      <c r="I807" s="494">
        <f>재료비목록표!E81</f>
        <v>765000</v>
      </c>
      <c r="J807" s="495">
        <f t="shared" si="140"/>
        <v>940.1</v>
      </c>
      <c r="K807" s="492">
        <v>0</v>
      </c>
      <c r="L807" s="493">
        <f t="shared" si="141"/>
        <v>0</v>
      </c>
      <c r="M807" s="463" t="s">
        <v>2577</v>
      </c>
      <c r="N807" s="451" t="s">
        <v>2578</v>
      </c>
      <c r="O807" s="468" t="s">
        <v>2579</v>
      </c>
      <c r="P807" s="468" t="s">
        <v>2354</v>
      </c>
      <c r="Z807" s="433" t="str">
        <f ca="1">HYPERLINK("#"&amp;재료비목록표!G2&amp;"!A"&amp;ROW(재료비목록표!A81),"M00150 →")</f>
        <v>M00150 →</v>
      </c>
    </row>
    <row r="808" spans="1:26" ht="33.200000000000003" customHeight="1">
      <c r="A808" s="452" t="s">
        <v>2574</v>
      </c>
      <c r="B808" s="452" t="s">
        <v>2632</v>
      </c>
      <c r="C808" s="489">
        <v>1.024E-3</v>
      </c>
      <c r="D808" s="480" t="s">
        <v>2576</v>
      </c>
      <c r="E808" s="490">
        <f t="shared" si="138"/>
        <v>775000</v>
      </c>
      <c r="F808" s="491">
        <f t="shared" si="138"/>
        <v>793.6</v>
      </c>
      <c r="G808" s="492">
        <v>0</v>
      </c>
      <c r="H808" s="493">
        <f t="shared" si="139"/>
        <v>0</v>
      </c>
      <c r="I808" s="494">
        <f>재료비목록표!E80</f>
        <v>775000</v>
      </c>
      <c r="J808" s="495">
        <f t="shared" si="140"/>
        <v>793.6</v>
      </c>
      <c r="K808" s="492">
        <v>0</v>
      </c>
      <c r="L808" s="493">
        <f t="shared" si="141"/>
        <v>0</v>
      </c>
      <c r="M808" s="463" t="s">
        <v>2633</v>
      </c>
      <c r="N808" s="451" t="s">
        <v>2634</v>
      </c>
      <c r="O808" s="468" t="s">
        <v>2635</v>
      </c>
      <c r="P808" s="468" t="s">
        <v>2354</v>
      </c>
      <c r="Z808" s="433" t="str">
        <f ca="1">HYPERLINK("#"&amp;재료비목록표!G2&amp;"!A"&amp;ROW(재료비목록표!A80),"M01265 →")</f>
        <v>M01265 →</v>
      </c>
    </row>
    <row r="809" spans="1:26" ht="33.200000000000003" customHeight="1">
      <c r="A809" s="452" t="s">
        <v>2507</v>
      </c>
      <c r="B809" s="452" t="s">
        <v>2441</v>
      </c>
      <c r="C809" s="489">
        <v>25</v>
      </c>
      <c r="D809" s="480" t="s">
        <v>2371</v>
      </c>
      <c r="E809" s="490">
        <f t="shared" si="138"/>
        <v>38271.800000000003</v>
      </c>
      <c r="F809" s="491">
        <f t="shared" si="138"/>
        <v>9567.9</v>
      </c>
      <c r="G809" s="496">
        <f>H803+H804+H806</f>
        <v>38271.800000000003</v>
      </c>
      <c r="H809" s="491">
        <f>IF(C809=0,0,ROUNDDOWN(G809*C809/100,1))</f>
        <v>9567.9</v>
      </c>
      <c r="I809" s="465">
        <v>0</v>
      </c>
      <c r="J809" s="493">
        <f>IF(C809=0,0,ROUNDDOWN(I809*C809/100,1))</f>
        <v>0</v>
      </c>
      <c r="K809" s="467">
        <v>0</v>
      </c>
      <c r="L809" s="493">
        <f>IF(C809=0,0,ROUNDDOWN(K809*C809/100,1))</f>
        <v>0</v>
      </c>
      <c r="M809" s="463"/>
      <c r="N809" s="451" t="s">
        <v>2644</v>
      </c>
      <c r="O809" s="468" t="s">
        <v>2373</v>
      </c>
      <c r="P809" s="468" t="s">
        <v>2354</v>
      </c>
      <c r="Q809" s="468" t="s">
        <v>2355</v>
      </c>
    </row>
    <row r="810" spans="1:26" ht="33.200000000000003" customHeight="1">
      <c r="A810" s="463" t="s">
        <v>842</v>
      </c>
      <c r="B810" s="497"/>
      <c r="C810" s="497"/>
      <c r="D810" s="497"/>
      <c r="E810" s="497"/>
      <c r="F810" s="446">
        <f>J810+H810+L810</f>
        <v>124412</v>
      </c>
      <c r="G810" s="497"/>
      <c r="H810" s="446">
        <f>ROUNDDOWN(SUMIF(P803:P809,O810,H803:H809),0)</f>
        <v>47839</v>
      </c>
      <c r="I810" s="497"/>
      <c r="J810" s="446">
        <f>ROUNDDOWN(SUMIF(P803:P809,O810,J803:J809),0)</f>
        <v>76573</v>
      </c>
      <c r="K810" s="497"/>
      <c r="L810" s="446">
        <f>ROUNDDOWN(SUMIF(P803:P809,O810,L803:L809),0)</f>
        <v>0</v>
      </c>
      <c r="M810" s="497"/>
      <c r="O810" s="468" t="s">
        <v>2354</v>
      </c>
    </row>
    <row r="811" spans="1:26" ht="33.200000000000003" customHeight="1">
      <c r="A811" s="484" t="s">
        <v>2804</v>
      </c>
      <c r="B811" s="484"/>
      <c r="C811" s="485"/>
      <c r="D811" s="485"/>
      <c r="E811" s="485"/>
      <c r="F811" s="485"/>
      <c r="G811" s="485"/>
      <c r="H811" s="485"/>
      <c r="I811" s="485"/>
      <c r="J811" s="485"/>
      <c r="K811" s="485"/>
      <c r="L811" s="485"/>
      <c r="M811" s="485"/>
      <c r="N811" s="486" t="str">
        <f>HYPERLINK("#N"&amp;ROW(N815),"_x0005_`BDCOD|B02719_x0007_`POSS|"&amp;ROW(N813)&amp;"_x0007_`POSE|"&amp;ROW(N815)&amp;"_x0007_`")</f>
        <v>_x0005_`BDCOD|B02719_x0007_`POSS|813_x0007_`POSE|815_x0007_`</v>
      </c>
    </row>
    <row r="812" spans="1:26" ht="33.200000000000003" customHeight="1">
      <c r="A812" s="469" t="s">
        <v>1507</v>
      </c>
      <c r="B812" s="469" t="s">
        <v>2306</v>
      </c>
      <c r="C812" s="487"/>
      <c r="D812" s="488" t="s">
        <v>595</v>
      </c>
      <c r="E812" s="487"/>
      <c r="F812" s="487"/>
      <c r="G812" s="487"/>
      <c r="H812" s="487"/>
      <c r="I812" s="487"/>
      <c r="J812" s="487"/>
      <c r="K812" s="487"/>
      <c r="L812" s="487"/>
      <c r="M812" s="488" t="s">
        <v>2305</v>
      </c>
      <c r="O812" s="468" t="s">
        <v>2305</v>
      </c>
    </row>
    <row r="813" spans="1:26" ht="33.200000000000003" customHeight="1">
      <c r="A813" s="452" t="s">
        <v>2424</v>
      </c>
      <c r="B813" s="452"/>
      <c r="C813" s="489">
        <v>6.0000000000000001E-3</v>
      </c>
      <c r="D813" s="480" t="s">
        <v>585</v>
      </c>
      <c r="E813" s="490">
        <f t="shared" ref="E813:F815" si="142">I813+G813+K813</f>
        <v>263017</v>
      </c>
      <c r="F813" s="493">
        <f t="shared" si="142"/>
        <v>1578.1</v>
      </c>
      <c r="G813" s="494">
        <f>노무비목록표!E7</f>
        <v>263017</v>
      </c>
      <c r="H813" s="495">
        <f>IF(C813=0,0,ROUNDDOWN(G813*C813,1))</f>
        <v>1578.1</v>
      </c>
      <c r="I813" s="492">
        <v>0</v>
      </c>
      <c r="J813" s="491">
        <f>IF(C813=0,0,ROUNDDOWN(I813*C813,1))</f>
        <v>0</v>
      </c>
      <c r="K813" s="492">
        <v>0</v>
      </c>
      <c r="L813" s="493">
        <f>IF(C813=0,0,ROUNDDOWN(K813*C813,1))</f>
        <v>0</v>
      </c>
      <c r="M813" s="463" t="s">
        <v>2425</v>
      </c>
      <c r="N813" s="451" t="s">
        <v>2426</v>
      </c>
      <c r="O813" s="468" t="s">
        <v>2427</v>
      </c>
      <c r="P813" s="468" t="s">
        <v>2354</v>
      </c>
      <c r="Q813" s="468" t="s">
        <v>2355</v>
      </c>
      <c r="Z813" s="433" t="str">
        <f ca="1">HYPERLINK("#"&amp;노무비목록표!G2&amp;"!A"&amp;ROW(노무비목록표!A7),"L00010 →")</f>
        <v>L00010 →</v>
      </c>
    </row>
    <row r="814" spans="1:26" ht="33.200000000000003" customHeight="1">
      <c r="A814" s="452" t="s">
        <v>2360</v>
      </c>
      <c r="B814" s="452"/>
      <c r="C814" s="489">
        <v>1E-3</v>
      </c>
      <c r="D814" s="480" t="s">
        <v>585</v>
      </c>
      <c r="E814" s="490">
        <f t="shared" si="142"/>
        <v>172068</v>
      </c>
      <c r="F814" s="493">
        <f t="shared" si="142"/>
        <v>172</v>
      </c>
      <c r="G814" s="494">
        <f>노무비목록표!E10</f>
        <v>172068</v>
      </c>
      <c r="H814" s="495">
        <f>IF(C814=0,0,ROUNDDOWN(G814*C814,1))</f>
        <v>172</v>
      </c>
      <c r="I814" s="492">
        <v>0</v>
      </c>
      <c r="J814" s="491">
        <f>IF(C814=0,0,ROUNDDOWN(I814*C814,1))</f>
        <v>0</v>
      </c>
      <c r="K814" s="492">
        <v>0</v>
      </c>
      <c r="L814" s="493">
        <f>IF(C814=0,0,ROUNDDOWN(K814*C814,1))</f>
        <v>0</v>
      </c>
      <c r="M814" s="463" t="s">
        <v>2361</v>
      </c>
      <c r="N814" s="451" t="s">
        <v>2428</v>
      </c>
      <c r="O814" s="468" t="s">
        <v>2363</v>
      </c>
      <c r="P814" s="468" t="s">
        <v>2354</v>
      </c>
      <c r="Q814" s="468" t="s">
        <v>2355</v>
      </c>
      <c r="Z814" s="433" t="str">
        <f ca="1">HYPERLINK("#"&amp;노무비목록표!G2&amp;"!A"&amp;ROW(노무비목록표!A10),"L00017 →")</f>
        <v>L00017 →</v>
      </c>
    </row>
    <row r="815" spans="1:26" ht="33.200000000000003" customHeight="1">
      <c r="A815" s="452" t="s">
        <v>2440</v>
      </c>
      <c r="B815" s="452" t="s">
        <v>2441</v>
      </c>
      <c r="C815" s="489">
        <v>3</v>
      </c>
      <c r="D815" s="480" t="s">
        <v>2371</v>
      </c>
      <c r="E815" s="490">
        <f t="shared" si="142"/>
        <v>1750.1</v>
      </c>
      <c r="F815" s="491">
        <f t="shared" si="142"/>
        <v>52.5</v>
      </c>
      <c r="G815" s="465">
        <v>0</v>
      </c>
      <c r="H815" s="491">
        <f>IF(C815=0,0,ROUNDDOWN(G815*C815/100,1))</f>
        <v>0</v>
      </c>
      <c r="I815" s="465">
        <v>0</v>
      </c>
      <c r="J815" s="493">
        <f>IF(C815=0,0,ROUNDDOWN(I815*C815/100,1))</f>
        <v>0</v>
      </c>
      <c r="K815" s="499">
        <f>H813+H814</f>
        <v>1750.1</v>
      </c>
      <c r="L815" s="493">
        <f>IF(C815=0,0,ROUNDDOWN(K815*C815/100,1))</f>
        <v>52.5</v>
      </c>
      <c r="M815" s="463"/>
      <c r="N815" s="451" t="s">
        <v>2442</v>
      </c>
      <c r="O815" s="468" t="s">
        <v>2373</v>
      </c>
      <c r="P815" s="468" t="s">
        <v>2354</v>
      </c>
    </row>
    <row r="816" spans="1:26" ht="33.200000000000003" customHeight="1">
      <c r="A816" s="463" t="s">
        <v>842</v>
      </c>
      <c r="B816" s="497"/>
      <c r="C816" s="497"/>
      <c r="D816" s="497"/>
      <c r="E816" s="497"/>
      <c r="F816" s="446">
        <f>J816+H816+L816</f>
        <v>1802</v>
      </c>
      <c r="G816" s="497"/>
      <c r="H816" s="446">
        <f>ROUNDDOWN(SUMIF(P813:P815,O816,H813:H815),0)</f>
        <v>1750</v>
      </c>
      <c r="I816" s="497"/>
      <c r="J816" s="446">
        <f>ROUNDDOWN(SUMIF(P813:P815,O816,J813:J815),0)</f>
        <v>0</v>
      </c>
      <c r="K816" s="497"/>
      <c r="L816" s="446">
        <f>ROUNDDOWN(SUMIF(P813:P815,O816,L813:L815),0)</f>
        <v>52</v>
      </c>
      <c r="M816" s="497"/>
      <c r="O816" s="468" t="s">
        <v>2354</v>
      </c>
    </row>
    <row r="817" spans="1:26" ht="33.200000000000003" customHeight="1">
      <c r="A817" s="484" t="s">
        <v>2806</v>
      </c>
      <c r="B817" s="484"/>
      <c r="C817" s="485"/>
      <c r="D817" s="485"/>
      <c r="E817" s="485"/>
      <c r="F817" s="485"/>
      <c r="G817" s="485"/>
      <c r="H817" s="485"/>
      <c r="I817" s="485"/>
      <c r="J817" s="485"/>
      <c r="K817" s="485"/>
      <c r="L817" s="485"/>
      <c r="M817" s="485"/>
      <c r="N817" s="486" t="str">
        <f>HYPERLINK("#N"&amp;ROW(N821),"_x0005_`BDCOD|B02649_x0007_`POSS|"&amp;ROW(N819)&amp;"_x0007_`POSE|"&amp;ROW(N821)&amp;"_x0007_`")</f>
        <v>_x0005_`BDCOD|B02649_x0007_`POSS|819_x0007_`POSE|821_x0007_`</v>
      </c>
    </row>
    <row r="818" spans="1:26" ht="33.200000000000003" customHeight="1">
      <c r="A818" s="469" t="s">
        <v>1507</v>
      </c>
      <c r="B818" s="469" t="s">
        <v>1508</v>
      </c>
      <c r="C818" s="487"/>
      <c r="D818" s="488" t="s">
        <v>595</v>
      </c>
      <c r="E818" s="487"/>
      <c r="F818" s="487"/>
      <c r="G818" s="487"/>
      <c r="H818" s="487"/>
      <c r="I818" s="487"/>
      <c r="J818" s="487"/>
      <c r="K818" s="487"/>
      <c r="L818" s="487"/>
      <c r="M818" s="488" t="s">
        <v>1509</v>
      </c>
      <c r="O818" s="468" t="s">
        <v>1509</v>
      </c>
    </row>
    <row r="819" spans="1:26" ht="33.200000000000003" customHeight="1">
      <c r="A819" s="452" t="s">
        <v>2424</v>
      </c>
      <c r="B819" s="452"/>
      <c r="C819" s="489">
        <v>6.0000000000000001E-3</v>
      </c>
      <c r="D819" s="480" t="s">
        <v>585</v>
      </c>
      <c r="E819" s="490">
        <f t="shared" ref="E819:F821" si="143">I819+G819+K819</f>
        <v>263017</v>
      </c>
      <c r="F819" s="493">
        <f t="shared" si="143"/>
        <v>1578.1</v>
      </c>
      <c r="G819" s="494">
        <f>노무비목록표!E7</f>
        <v>263017</v>
      </c>
      <c r="H819" s="495">
        <f>IF(C819=0,0,ROUNDDOWN(G819*C819,1))</f>
        <v>1578.1</v>
      </c>
      <c r="I819" s="492">
        <v>0</v>
      </c>
      <c r="J819" s="491">
        <f>IF(C819=0,0,ROUNDDOWN(I819*C819,1))</f>
        <v>0</v>
      </c>
      <c r="K819" s="492">
        <v>0</v>
      </c>
      <c r="L819" s="493">
        <f>IF(C819=0,0,ROUNDDOWN(K819*C819,1))</f>
        <v>0</v>
      </c>
      <c r="M819" s="463" t="s">
        <v>2425</v>
      </c>
      <c r="N819" s="451" t="s">
        <v>2426</v>
      </c>
      <c r="O819" s="468" t="s">
        <v>2427</v>
      </c>
      <c r="P819" s="468" t="s">
        <v>2354</v>
      </c>
      <c r="Q819" s="468" t="s">
        <v>2355</v>
      </c>
      <c r="Z819" s="433" t="str">
        <f ca="1">HYPERLINK("#"&amp;노무비목록표!G2&amp;"!A"&amp;ROW(노무비목록표!A7),"L00010 →")</f>
        <v>L00010 →</v>
      </c>
    </row>
    <row r="820" spans="1:26" ht="33.200000000000003" customHeight="1">
      <c r="A820" s="452" t="s">
        <v>2360</v>
      </c>
      <c r="B820" s="452"/>
      <c r="C820" s="489">
        <v>1E-3</v>
      </c>
      <c r="D820" s="480" t="s">
        <v>585</v>
      </c>
      <c r="E820" s="490">
        <f t="shared" si="143"/>
        <v>172068</v>
      </c>
      <c r="F820" s="493">
        <f t="shared" si="143"/>
        <v>172</v>
      </c>
      <c r="G820" s="494">
        <f>노무비목록표!E10</f>
        <v>172068</v>
      </c>
      <c r="H820" s="495">
        <f>IF(C820=0,0,ROUNDDOWN(G820*C820,1))</f>
        <v>172</v>
      </c>
      <c r="I820" s="492">
        <v>0</v>
      </c>
      <c r="J820" s="491">
        <f>IF(C820=0,0,ROUNDDOWN(I820*C820,1))</f>
        <v>0</v>
      </c>
      <c r="K820" s="492">
        <v>0</v>
      </c>
      <c r="L820" s="493">
        <f>IF(C820=0,0,ROUNDDOWN(K820*C820,1))</f>
        <v>0</v>
      </c>
      <c r="M820" s="463" t="s">
        <v>2361</v>
      </c>
      <c r="N820" s="451" t="s">
        <v>2428</v>
      </c>
      <c r="O820" s="468" t="s">
        <v>2363</v>
      </c>
      <c r="P820" s="468" t="s">
        <v>2354</v>
      </c>
      <c r="Q820" s="468" t="s">
        <v>2355</v>
      </c>
      <c r="Z820" s="433" t="str">
        <f ca="1">HYPERLINK("#"&amp;노무비목록표!G2&amp;"!A"&amp;ROW(노무비목록표!A10),"L00017 →")</f>
        <v>L00017 →</v>
      </c>
    </row>
    <row r="821" spans="1:26" ht="33.200000000000003" customHeight="1">
      <c r="A821" s="452" t="s">
        <v>2664</v>
      </c>
      <c r="B821" s="452" t="s">
        <v>2441</v>
      </c>
      <c r="C821" s="489">
        <v>3</v>
      </c>
      <c r="D821" s="480" t="s">
        <v>2371</v>
      </c>
      <c r="E821" s="490">
        <f t="shared" si="143"/>
        <v>1750.1</v>
      </c>
      <c r="F821" s="491">
        <f t="shared" si="143"/>
        <v>52.5</v>
      </c>
      <c r="G821" s="465">
        <v>0</v>
      </c>
      <c r="H821" s="491">
        <f>IF(C821=0,0,ROUNDDOWN(G821*C821/100,1))</f>
        <v>0</v>
      </c>
      <c r="I821" s="465">
        <v>0</v>
      </c>
      <c r="J821" s="493">
        <f>IF(C821=0,0,ROUNDDOWN(I821*C821/100,1))</f>
        <v>0</v>
      </c>
      <c r="K821" s="499">
        <f>H819+H820</f>
        <v>1750.1</v>
      </c>
      <c r="L821" s="493">
        <f>IF(C821=0,0,ROUNDDOWN(K821*C821/100,1))</f>
        <v>52.5</v>
      </c>
      <c r="M821" s="463"/>
      <c r="N821" s="451" t="s">
        <v>2442</v>
      </c>
      <c r="O821" s="468" t="s">
        <v>2373</v>
      </c>
      <c r="P821" s="468" t="s">
        <v>2354</v>
      </c>
    </row>
    <row r="822" spans="1:26" ht="33.200000000000003" customHeight="1">
      <c r="A822" s="463" t="s">
        <v>842</v>
      </c>
      <c r="B822" s="497"/>
      <c r="C822" s="497"/>
      <c r="D822" s="497"/>
      <c r="E822" s="497"/>
      <c r="F822" s="446">
        <f>J822+H822+L822</f>
        <v>1802</v>
      </c>
      <c r="G822" s="497"/>
      <c r="H822" s="446">
        <f>ROUNDDOWN(SUMIF(P819:P821,O822,H819:H821),0)</f>
        <v>1750</v>
      </c>
      <c r="I822" s="497"/>
      <c r="J822" s="446">
        <f>ROUNDDOWN(SUMIF(P819:P821,O822,J819:J821),0)</f>
        <v>0</v>
      </c>
      <c r="K822" s="497"/>
      <c r="L822" s="446">
        <f>ROUNDDOWN(SUMIF(P819:P821,O822,L819:L821),0)</f>
        <v>52</v>
      </c>
      <c r="M822" s="497"/>
      <c r="O822" s="468" t="s">
        <v>2354</v>
      </c>
    </row>
    <row r="823" spans="1:26" ht="33.200000000000003" customHeight="1">
      <c r="A823" s="484" t="s">
        <v>2818</v>
      </c>
      <c r="B823" s="484"/>
      <c r="C823" s="485"/>
      <c r="D823" s="485"/>
      <c r="E823" s="485"/>
      <c r="F823" s="485"/>
      <c r="G823" s="485"/>
      <c r="H823" s="485"/>
      <c r="I823" s="485"/>
      <c r="J823" s="485"/>
      <c r="K823" s="485"/>
      <c r="L823" s="485"/>
      <c r="M823" s="485"/>
      <c r="N823" s="486" t="str">
        <f>HYPERLINK("#N"&amp;ROW(N828),"_x0005_`BDCOD|B02110_x0007_`POSS|"&amp;ROW(N825)&amp;"_x0007_`POSE|"&amp;ROW(N828)&amp;"_x0007_`")</f>
        <v>_x0005_`BDCOD|B02110_x0007_`POSS|825_x0007_`POSE|828_x0007_`</v>
      </c>
    </row>
    <row r="824" spans="1:26" ht="33.200000000000003" customHeight="1">
      <c r="A824" s="469" t="s">
        <v>1507</v>
      </c>
      <c r="B824" s="469" t="s">
        <v>1512</v>
      </c>
      <c r="C824" s="487"/>
      <c r="D824" s="488" t="s">
        <v>595</v>
      </c>
      <c r="E824" s="487"/>
      <c r="F824" s="487"/>
      <c r="G824" s="487"/>
      <c r="H824" s="487"/>
      <c r="I824" s="487"/>
      <c r="J824" s="487"/>
      <c r="K824" s="487"/>
      <c r="L824" s="487"/>
      <c r="M824" s="488" t="s">
        <v>1513</v>
      </c>
      <c r="O824" s="468" t="s">
        <v>1513</v>
      </c>
    </row>
    <row r="825" spans="1:26" ht="33.200000000000003" customHeight="1">
      <c r="A825" s="452" t="s">
        <v>2666</v>
      </c>
      <c r="B825" s="452"/>
      <c r="C825" s="489">
        <v>0.03</v>
      </c>
      <c r="D825" s="480" t="s">
        <v>2611</v>
      </c>
      <c r="E825" s="490">
        <f t="shared" ref="E825:F828" si="144">I825+G825+K825</f>
        <v>1460</v>
      </c>
      <c r="F825" s="491">
        <f t="shared" si="144"/>
        <v>43.8</v>
      </c>
      <c r="G825" s="492">
        <v>0</v>
      </c>
      <c r="H825" s="493">
        <f>IF(C825=0,0,ROUNDDOWN(G825*C825,1))</f>
        <v>0</v>
      </c>
      <c r="I825" s="494">
        <f>재료비목록표!E100</f>
        <v>1460</v>
      </c>
      <c r="J825" s="495">
        <f>IF(C825=0,0,ROUNDDOWN(I825*C825,1))</f>
        <v>43.8</v>
      </c>
      <c r="K825" s="492">
        <v>0</v>
      </c>
      <c r="L825" s="493">
        <f>IF(C825=0,0,ROUNDDOWN(K825*C825,1))</f>
        <v>0</v>
      </c>
      <c r="M825" s="463" t="s">
        <v>2667</v>
      </c>
      <c r="N825" s="451" t="s">
        <v>2668</v>
      </c>
      <c r="O825" s="468" t="s">
        <v>2669</v>
      </c>
      <c r="P825" s="468" t="s">
        <v>2354</v>
      </c>
      <c r="Z825" s="433" t="str">
        <f ca="1">HYPERLINK("#"&amp;재료비목록표!G2&amp;"!A"&amp;ROW(재료비목록표!A100),"M00993 →")</f>
        <v>M00993 →</v>
      </c>
    </row>
    <row r="826" spans="1:26" ht="33.200000000000003" customHeight="1">
      <c r="A826" s="452" t="s">
        <v>2424</v>
      </c>
      <c r="B826" s="452"/>
      <c r="C826" s="489">
        <v>8.9999999999999993E-3</v>
      </c>
      <c r="D826" s="480" t="s">
        <v>585</v>
      </c>
      <c r="E826" s="490">
        <f t="shared" si="144"/>
        <v>263017</v>
      </c>
      <c r="F826" s="493">
        <f t="shared" si="144"/>
        <v>2367.1</v>
      </c>
      <c r="G826" s="494">
        <f>노무비목록표!E7</f>
        <v>263017</v>
      </c>
      <c r="H826" s="495">
        <f>IF(C826=0,0,ROUNDDOWN(G826*C826,1))</f>
        <v>2367.1</v>
      </c>
      <c r="I826" s="492">
        <v>0</v>
      </c>
      <c r="J826" s="491">
        <f>IF(C826=0,0,ROUNDDOWN(I826*C826,1))</f>
        <v>0</v>
      </c>
      <c r="K826" s="492">
        <v>0</v>
      </c>
      <c r="L826" s="493">
        <f>IF(C826=0,0,ROUNDDOWN(K826*C826,1))</f>
        <v>0</v>
      </c>
      <c r="M826" s="463" t="s">
        <v>2425</v>
      </c>
      <c r="N826" s="451" t="s">
        <v>2426</v>
      </c>
      <c r="O826" s="468" t="s">
        <v>2427</v>
      </c>
      <c r="P826" s="468" t="s">
        <v>2354</v>
      </c>
      <c r="Q826" s="468" t="s">
        <v>2355</v>
      </c>
      <c r="Z826" s="433" t="str">
        <f ca="1">HYPERLINK("#"&amp;노무비목록표!G2&amp;"!A"&amp;ROW(노무비목록표!A7),"L00010 →")</f>
        <v>L00010 →</v>
      </c>
    </row>
    <row r="827" spans="1:26" ht="33.200000000000003" customHeight="1">
      <c r="A827" s="452" t="s">
        <v>2360</v>
      </c>
      <c r="B827" s="452"/>
      <c r="C827" s="489">
        <v>1E-3</v>
      </c>
      <c r="D827" s="480" t="s">
        <v>585</v>
      </c>
      <c r="E827" s="490">
        <f t="shared" si="144"/>
        <v>172068</v>
      </c>
      <c r="F827" s="493">
        <f t="shared" si="144"/>
        <v>172</v>
      </c>
      <c r="G827" s="494">
        <f>노무비목록표!E10</f>
        <v>172068</v>
      </c>
      <c r="H827" s="495">
        <f>IF(C827=0,0,ROUNDDOWN(G827*C827,1))</f>
        <v>172</v>
      </c>
      <c r="I827" s="492">
        <v>0</v>
      </c>
      <c r="J827" s="491">
        <f>IF(C827=0,0,ROUNDDOWN(I827*C827,1))</f>
        <v>0</v>
      </c>
      <c r="K827" s="492">
        <v>0</v>
      </c>
      <c r="L827" s="493">
        <f>IF(C827=0,0,ROUNDDOWN(K827*C827,1))</f>
        <v>0</v>
      </c>
      <c r="M827" s="463" t="s">
        <v>2361</v>
      </c>
      <c r="N827" s="451" t="s">
        <v>2428</v>
      </c>
      <c r="O827" s="468" t="s">
        <v>2363</v>
      </c>
      <c r="P827" s="468" t="s">
        <v>2354</v>
      </c>
      <c r="Q827" s="468" t="s">
        <v>2355</v>
      </c>
      <c r="Z827" s="433" t="str">
        <f ca="1">HYPERLINK("#"&amp;노무비목록표!G2&amp;"!A"&amp;ROW(노무비목록표!A10),"L00017 →")</f>
        <v>L00017 →</v>
      </c>
    </row>
    <row r="828" spans="1:26" ht="33.200000000000003" customHeight="1">
      <c r="A828" s="452" t="s">
        <v>2664</v>
      </c>
      <c r="B828" s="452" t="s">
        <v>2441</v>
      </c>
      <c r="C828" s="489">
        <v>3</v>
      </c>
      <c r="D828" s="480" t="s">
        <v>2371</v>
      </c>
      <c r="E828" s="490">
        <f t="shared" si="144"/>
        <v>2539.1</v>
      </c>
      <c r="F828" s="491">
        <f t="shared" si="144"/>
        <v>76.099999999999994</v>
      </c>
      <c r="G828" s="465">
        <v>0</v>
      </c>
      <c r="H828" s="491">
        <f>IF(C828=0,0,ROUNDDOWN(G828*C828/100,1))</f>
        <v>0</v>
      </c>
      <c r="I828" s="465">
        <v>0</v>
      </c>
      <c r="J828" s="493">
        <f>IF(C828=0,0,ROUNDDOWN(I828*C828/100,1))</f>
        <v>0</v>
      </c>
      <c r="K828" s="499">
        <f>H826+H827</f>
        <v>2539.1</v>
      </c>
      <c r="L828" s="493">
        <f>IF(C828=0,0,ROUNDDOWN(K828*C828/100,1))</f>
        <v>76.099999999999994</v>
      </c>
      <c r="M828" s="463"/>
      <c r="N828" s="451" t="s">
        <v>2442</v>
      </c>
      <c r="O828" s="468" t="s">
        <v>2373</v>
      </c>
      <c r="P828" s="468" t="s">
        <v>2354</v>
      </c>
    </row>
    <row r="829" spans="1:26" ht="33.200000000000003" customHeight="1">
      <c r="A829" s="463" t="s">
        <v>842</v>
      </c>
      <c r="B829" s="497"/>
      <c r="C829" s="497"/>
      <c r="D829" s="497"/>
      <c r="E829" s="497"/>
      <c r="F829" s="446">
        <f>J829+H829+L829</f>
        <v>2658</v>
      </c>
      <c r="G829" s="497"/>
      <c r="H829" s="446">
        <f>ROUNDDOWN(SUMIF(P825:P828,O829,H825:H828),0)</f>
        <v>2539</v>
      </c>
      <c r="I829" s="497"/>
      <c r="J829" s="446">
        <f>ROUNDDOWN(SUMIF(P825:P828,O829,J825:J828),0)</f>
        <v>43</v>
      </c>
      <c r="K829" s="497"/>
      <c r="L829" s="446">
        <f>ROUNDDOWN(SUMIF(P825:P828,O829,L825:L828),0)</f>
        <v>76</v>
      </c>
      <c r="M829" s="497"/>
      <c r="O829" s="468" t="s">
        <v>2354</v>
      </c>
    </row>
    <row r="830" spans="1:26" ht="33.200000000000003" customHeight="1">
      <c r="A830" s="484" t="s">
        <v>2826</v>
      </c>
      <c r="B830" s="484"/>
      <c r="C830" s="485"/>
      <c r="D830" s="485"/>
      <c r="E830" s="485"/>
      <c r="F830" s="485"/>
      <c r="G830" s="485"/>
      <c r="H830" s="485"/>
      <c r="I830" s="485"/>
      <c r="J830" s="485"/>
      <c r="K830" s="485"/>
      <c r="L830" s="485"/>
      <c r="M830" s="485"/>
      <c r="N830" s="486" t="str">
        <f>HYPERLINK("#N"&amp;ROW(N836),"_x0005_`BDCOD|B02582_x0007_`POSS|"&amp;ROW(N832)&amp;"_x0007_`POSE|"&amp;ROW(N836)&amp;"_x0007_`")</f>
        <v>_x0005_`BDCOD|B02582_x0007_`POSS|832_x0007_`POSE|836_x0007_`</v>
      </c>
    </row>
    <row r="831" spans="1:26" ht="33.200000000000003" customHeight="1">
      <c r="A831" s="469" t="s">
        <v>1635</v>
      </c>
      <c r="B831" s="469" t="s">
        <v>1636</v>
      </c>
      <c r="C831" s="487"/>
      <c r="D831" s="488" t="s">
        <v>975</v>
      </c>
      <c r="E831" s="487"/>
      <c r="F831" s="487"/>
      <c r="G831" s="487"/>
      <c r="H831" s="487"/>
      <c r="I831" s="487"/>
      <c r="J831" s="487"/>
      <c r="K831" s="487"/>
      <c r="L831" s="487"/>
      <c r="M831" s="488" t="s">
        <v>1637</v>
      </c>
      <c r="O831" s="468" t="s">
        <v>1637</v>
      </c>
    </row>
    <row r="832" spans="1:26" ht="33.200000000000003" customHeight="1">
      <c r="A832" s="452" t="s">
        <v>1466</v>
      </c>
      <c r="B832" s="452" t="s">
        <v>1467</v>
      </c>
      <c r="C832" s="489">
        <v>2.3E-2</v>
      </c>
      <c r="D832" s="480" t="s">
        <v>8</v>
      </c>
      <c r="E832" s="490">
        <f t="shared" ref="E832:F836" si="145">I832+G832+K832</f>
        <v>274515</v>
      </c>
      <c r="F832" s="493">
        <f t="shared" si="145"/>
        <v>6313.8</v>
      </c>
      <c r="G832" s="494">
        <f>일위대가목록표!F73</f>
        <v>274515</v>
      </c>
      <c r="H832" s="498">
        <f>IF(C832=0,0,ROUNDDOWN(G832*C832,1))</f>
        <v>6313.8</v>
      </c>
      <c r="I832" s="494">
        <f>일위대가목록표!G73</f>
        <v>0</v>
      </c>
      <c r="J832" s="498">
        <f>IF(C832=0,0,ROUNDDOWN(I832*C832,1))</f>
        <v>0</v>
      </c>
      <c r="K832" s="494">
        <f>일위대가목록표!H73</f>
        <v>0</v>
      </c>
      <c r="L832" s="498">
        <f>IF(C832=0,0,ROUNDDOWN(K832*C832,1))</f>
        <v>0</v>
      </c>
      <c r="M832" s="463" t="s">
        <v>2596</v>
      </c>
      <c r="N832" s="451" t="s">
        <v>2671</v>
      </c>
      <c r="O832" s="468" t="s">
        <v>1470</v>
      </c>
      <c r="P832" s="468" t="s">
        <v>2354</v>
      </c>
      <c r="Z832" s="433" t="str">
        <f ca="1">HYPERLINK("#"&amp;일위대가목록표!J2&amp;"!A"&amp;ROW(일위대가목록표!A73),"B02396 →")</f>
        <v>B02396 →</v>
      </c>
    </row>
    <row r="833" spans="1:26" ht="33.200000000000003" customHeight="1">
      <c r="A833" s="452" t="s">
        <v>2627</v>
      </c>
      <c r="B833" s="452" t="s">
        <v>2628</v>
      </c>
      <c r="C833" s="489">
        <v>7.28</v>
      </c>
      <c r="D833" s="480" t="s">
        <v>605</v>
      </c>
      <c r="E833" s="490">
        <f t="shared" si="145"/>
        <v>6200</v>
      </c>
      <c r="F833" s="491">
        <f t="shared" si="145"/>
        <v>45136</v>
      </c>
      <c r="G833" s="492">
        <v>0</v>
      </c>
      <c r="H833" s="493">
        <f>IF(C833=0,0,ROUNDDOWN(G833*C833,1))</f>
        <v>0</v>
      </c>
      <c r="I833" s="494">
        <f>재료비목록표!E8</f>
        <v>6200</v>
      </c>
      <c r="J833" s="495">
        <f>IF(C833=0,0,ROUNDDOWN(I833*C833,1))</f>
        <v>45136</v>
      </c>
      <c r="K833" s="492">
        <v>0</v>
      </c>
      <c r="L833" s="493">
        <f>IF(C833=0,0,ROUNDDOWN(K833*C833,1))</f>
        <v>0</v>
      </c>
      <c r="M833" s="463" t="s">
        <v>2629</v>
      </c>
      <c r="N833" s="451" t="s">
        <v>2630</v>
      </c>
      <c r="O833" s="468" t="s">
        <v>2631</v>
      </c>
      <c r="P833" s="468" t="s">
        <v>2354</v>
      </c>
      <c r="Z833" s="433" t="str">
        <f ca="1">HYPERLINK("#"&amp;재료비목록표!G2&amp;"!A"&amp;ROW(재료비목록표!A8),"M00950 →")</f>
        <v>M00950 →</v>
      </c>
    </row>
    <row r="834" spans="1:26" ht="33.200000000000003" customHeight="1">
      <c r="A834" s="452" t="s">
        <v>1461</v>
      </c>
      <c r="B834" s="452" t="s">
        <v>1462</v>
      </c>
      <c r="C834" s="489">
        <v>2.3E-2</v>
      </c>
      <c r="D834" s="480" t="s">
        <v>8</v>
      </c>
      <c r="E834" s="490">
        <f t="shared" si="145"/>
        <v>915052</v>
      </c>
      <c r="F834" s="493">
        <f t="shared" si="145"/>
        <v>21046.1</v>
      </c>
      <c r="G834" s="494">
        <f>일위대가목록표!F72</f>
        <v>915052</v>
      </c>
      <c r="H834" s="498">
        <f>IF(C834=0,0,ROUNDDOWN(G834*C834,1))</f>
        <v>21046.1</v>
      </c>
      <c r="I834" s="494">
        <f>일위대가목록표!G72</f>
        <v>0</v>
      </c>
      <c r="J834" s="498">
        <f>IF(C834=0,0,ROUNDDOWN(I834*C834,1))</f>
        <v>0</v>
      </c>
      <c r="K834" s="494">
        <f>일위대가목록표!H72</f>
        <v>0</v>
      </c>
      <c r="L834" s="498">
        <f>IF(C834=0,0,ROUNDDOWN(K834*C834,1))</f>
        <v>0</v>
      </c>
      <c r="M834" s="463" t="s">
        <v>2471</v>
      </c>
      <c r="N834" s="451" t="s">
        <v>2672</v>
      </c>
      <c r="O834" s="468" t="s">
        <v>1465</v>
      </c>
      <c r="P834" s="468" t="s">
        <v>2354</v>
      </c>
      <c r="Z834" s="433" t="str">
        <f ca="1">HYPERLINK("#"&amp;일위대가목록표!J2&amp;"!A"&amp;ROW(일위대가목록표!A72),"B01822 →")</f>
        <v>B01822 →</v>
      </c>
    </row>
    <row r="835" spans="1:26" ht="33.200000000000003" customHeight="1">
      <c r="A835" s="452" t="s">
        <v>1507</v>
      </c>
      <c r="B835" s="452" t="s">
        <v>1512</v>
      </c>
      <c r="C835" s="489">
        <v>0.97</v>
      </c>
      <c r="D835" s="480" t="s">
        <v>595</v>
      </c>
      <c r="E835" s="490">
        <f t="shared" si="145"/>
        <v>2658</v>
      </c>
      <c r="F835" s="493">
        <f t="shared" si="145"/>
        <v>2578.1999999999998</v>
      </c>
      <c r="G835" s="494">
        <f>일위대가목록표!F115</f>
        <v>2539</v>
      </c>
      <c r="H835" s="498">
        <f>IF(C835=0,0,ROUNDDOWN(G835*C835,1))</f>
        <v>2462.8000000000002</v>
      </c>
      <c r="I835" s="494">
        <f>일위대가목록표!G115</f>
        <v>43</v>
      </c>
      <c r="J835" s="498">
        <f>IF(C835=0,0,ROUNDDOWN(I835*C835,1))</f>
        <v>41.7</v>
      </c>
      <c r="K835" s="494">
        <f>일위대가목록표!H115</f>
        <v>76</v>
      </c>
      <c r="L835" s="498">
        <f>IF(C835=0,0,ROUNDDOWN(K835*C835,1))</f>
        <v>73.7</v>
      </c>
      <c r="M835" s="463" t="s">
        <v>2600</v>
      </c>
      <c r="N835" s="451" t="s">
        <v>2673</v>
      </c>
      <c r="O835" s="468" t="s">
        <v>1515</v>
      </c>
      <c r="P835" s="468" t="s">
        <v>2354</v>
      </c>
      <c r="Z835" s="433" t="str">
        <f ca="1">HYPERLINK("#"&amp;일위대가목록표!J2&amp;"!A"&amp;ROW(일위대가목록표!A115),"B02110 →")</f>
        <v>B02110 →</v>
      </c>
    </row>
    <row r="836" spans="1:26" ht="33.200000000000003" customHeight="1">
      <c r="A836" s="452" t="s">
        <v>1532</v>
      </c>
      <c r="B836" s="452" t="s">
        <v>1537</v>
      </c>
      <c r="C836" s="489">
        <v>0.97</v>
      </c>
      <c r="D836" s="480" t="s">
        <v>595</v>
      </c>
      <c r="E836" s="490">
        <f t="shared" si="145"/>
        <v>12642</v>
      </c>
      <c r="F836" s="493">
        <f t="shared" si="145"/>
        <v>12262.6</v>
      </c>
      <c r="G836" s="494">
        <f>일위대가목록표!F224</f>
        <v>11027</v>
      </c>
      <c r="H836" s="498">
        <f>IF(C836=0,0,ROUNDDOWN(G836*C836,1))</f>
        <v>10696.1</v>
      </c>
      <c r="I836" s="494">
        <f>일위대가목록표!G224</f>
        <v>1395</v>
      </c>
      <c r="J836" s="498">
        <f>IF(C836=0,0,ROUNDDOWN(I836*C836,1))</f>
        <v>1353.1</v>
      </c>
      <c r="K836" s="494">
        <f>일위대가목록표!H224</f>
        <v>220</v>
      </c>
      <c r="L836" s="498">
        <f>IF(C836=0,0,ROUNDDOWN(K836*C836,1))</f>
        <v>213.4</v>
      </c>
      <c r="M836" s="463" t="s">
        <v>2473</v>
      </c>
      <c r="N836" s="451" t="s">
        <v>2674</v>
      </c>
      <c r="O836" s="468" t="s">
        <v>1540</v>
      </c>
      <c r="P836" s="468" t="s">
        <v>2354</v>
      </c>
      <c r="Z836" s="433" t="str">
        <f ca="1">HYPERLINK("#"&amp;일위대가목록표!J2&amp;"!A"&amp;ROW(일위대가목록표!A224),"B01814 →")</f>
        <v>B01814 →</v>
      </c>
    </row>
    <row r="837" spans="1:26" ht="33.200000000000003" customHeight="1">
      <c r="A837" s="463" t="s">
        <v>842</v>
      </c>
      <c r="B837" s="497"/>
      <c r="C837" s="497"/>
      <c r="D837" s="497"/>
      <c r="E837" s="497"/>
      <c r="F837" s="446">
        <f>J837+H837+L837</f>
        <v>87335</v>
      </c>
      <c r="G837" s="497"/>
      <c r="H837" s="446">
        <f>ROUNDDOWN(SUMIF(P832:P836,O837,H832:H836),0)</f>
        <v>40518</v>
      </c>
      <c r="I837" s="497"/>
      <c r="J837" s="446">
        <f>ROUNDDOWN(SUMIF(P832:P836,O837,J832:J836),0)</f>
        <v>46530</v>
      </c>
      <c r="K837" s="497"/>
      <c r="L837" s="446">
        <f>ROUNDDOWN(SUMIF(P832:P836,O837,L832:L836),0)</f>
        <v>287</v>
      </c>
      <c r="M837" s="497"/>
      <c r="O837" s="468" t="s">
        <v>2354</v>
      </c>
    </row>
    <row r="838" spans="1:26" ht="33.200000000000003" customHeight="1">
      <c r="A838" s="484" t="s">
        <v>2827</v>
      </c>
      <c r="B838" s="484"/>
      <c r="C838" s="485"/>
      <c r="D838" s="485"/>
      <c r="E838" s="485"/>
      <c r="F838" s="485"/>
      <c r="G838" s="485"/>
      <c r="H838" s="485"/>
      <c r="I838" s="485"/>
      <c r="J838" s="485"/>
      <c r="K838" s="485"/>
      <c r="L838" s="485"/>
      <c r="M838" s="485"/>
      <c r="N838" s="486" t="str">
        <f>HYPERLINK("#N"&amp;ROW(N840),"_x0005_`BDCOD|B02515_x0007_`POSS|"&amp;ROW(N840)&amp;"_x0007_`POSE|"&amp;ROW(N840)&amp;"_x0007_`")</f>
        <v>_x0005_`BDCOD|B02515_x0007_`POSS|840_x0007_`POSE|840_x0007_`</v>
      </c>
    </row>
    <row r="839" spans="1:26" ht="33.200000000000003" customHeight="1">
      <c r="A839" s="469" t="s">
        <v>1414</v>
      </c>
      <c r="B839" s="469" t="s">
        <v>1415</v>
      </c>
      <c r="C839" s="487"/>
      <c r="D839" s="488" t="s">
        <v>975</v>
      </c>
      <c r="E839" s="487"/>
      <c r="F839" s="487"/>
      <c r="G839" s="487"/>
      <c r="H839" s="487"/>
      <c r="I839" s="487"/>
      <c r="J839" s="487"/>
      <c r="K839" s="487"/>
      <c r="L839" s="487"/>
      <c r="M839" s="488" t="s">
        <v>1416</v>
      </c>
      <c r="O839" s="468" t="s">
        <v>1416</v>
      </c>
    </row>
    <row r="840" spans="1:26" ht="33.200000000000003" customHeight="1">
      <c r="A840" s="452" t="s">
        <v>2676</v>
      </c>
      <c r="B840" s="452" t="s">
        <v>2677</v>
      </c>
      <c r="C840" s="489">
        <v>1</v>
      </c>
      <c r="D840" s="480" t="s">
        <v>1589</v>
      </c>
      <c r="E840" s="490">
        <f>I840+G840+K840</f>
        <v>1584000</v>
      </c>
      <c r="F840" s="491">
        <f>J840+H840+L840</f>
        <v>1584000</v>
      </c>
      <c r="G840" s="492">
        <v>0</v>
      </c>
      <c r="H840" s="493">
        <f>IF(C840=0,0,ROUNDDOWN(G840*C840,1))</f>
        <v>0</v>
      </c>
      <c r="I840" s="494">
        <f>재료비목록표!E35</f>
        <v>1584000</v>
      </c>
      <c r="J840" s="495">
        <f>IF(C840=0,0,ROUNDDOWN(I840*C840,1))</f>
        <v>1584000</v>
      </c>
      <c r="K840" s="492">
        <v>0</v>
      </c>
      <c r="L840" s="493">
        <f>IF(C840=0,0,ROUNDDOWN(K840*C840,1))</f>
        <v>0</v>
      </c>
      <c r="M840" s="463" t="s">
        <v>2678</v>
      </c>
      <c r="N840" s="451" t="s">
        <v>2679</v>
      </c>
      <c r="O840" s="468" t="s">
        <v>2680</v>
      </c>
      <c r="P840" s="468" t="s">
        <v>2354</v>
      </c>
      <c r="Z840" s="433" t="str">
        <f ca="1">HYPERLINK("#"&amp;재료비목록표!G2&amp;"!A"&amp;ROW(재료비목록표!A35),"M01513 →")</f>
        <v>M01513 →</v>
      </c>
    </row>
    <row r="841" spans="1:26" ht="33.200000000000003" customHeight="1">
      <c r="A841" s="463" t="s">
        <v>842</v>
      </c>
      <c r="B841" s="497"/>
      <c r="C841" s="497"/>
      <c r="D841" s="497"/>
      <c r="E841" s="497"/>
      <c r="F841" s="446">
        <f>J841+H841+L841</f>
        <v>1584000</v>
      </c>
      <c r="G841" s="497"/>
      <c r="H841" s="446">
        <f>ROUNDDOWN(SUMIF(P840:P840,O841,H840:H840),0)</f>
        <v>0</v>
      </c>
      <c r="I841" s="497"/>
      <c r="J841" s="446">
        <f>ROUNDDOWN(SUMIF(P840:P840,O841,J840:J840),0)</f>
        <v>1584000</v>
      </c>
      <c r="K841" s="497"/>
      <c r="L841" s="446">
        <f>ROUNDDOWN(SUMIF(P840:P840,O841,L840:L840),0)</f>
        <v>0</v>
      </c>
      <c r="M841" s="497"/>
      <c r="O841" s="468" t="s">
        <v>2354</v>
      </c>
    </row>
    <row r="842" spans="1:26" ht="33.200000000000003" customHeight="1">
      <c r="A842" s="484" t="s">
        <v>2828</v>
      </c>
      <c r="B842" s="484"/>
      <c r="C842" s="485"/>
      <c r="D842" s="485"/>
      <c r="E842" s="485"/>
      <c r="F842" s="485"/>
      <c r="G842" s="485"/>
      <c r="H842" s="485"/>
      <c r="I842" s="485"/>
      <c r="J842" s="485"/>
      <c r="K842" s="485"/>
      <c r="L842" s="485"/>
      <c r="M842" s="485"/>
      <c r="N842" s="486" t="str">
        <f>HYPERLINK("#N"&amp;ROW(N844),"_x0005_`BDCOD|B02517_x0007_`POSS|"&amp;ROW(N844)&amp;"_x0007_`POSE|"&amp;ROW(N844)&amp;"_x0007_`")</f>
        <v>_x0005_`BDCOD|B02517_x0007_`POSS|844_x0007_`POSE|844_x0007_`</v>
      </c>
    </row>
    <row r="843" spans="1:26" ht="33.200000000000003" customHeight="1">
      <c r="A843" s="469" t="s">
        <v>1414</v>
      </c>
      <c r="B843" s="469" t="s">
        <v>1419</v>
      </c>
      <c r="C843" s="487"/>
      <c r="D843" s="488" t="s">
        <v>975</v>
      </c>
      <c r="E843" s="487"/>
      <c r="F843" s="487"/>
      <c r="G843" s="487"/>
      <c r="H843" s="487"/>
      <c r="I843" s="487"/>
      <c r="J843" s="487"/>
      <c r="K843" s="487"/>
      <c r="L843" s="487"/>
      <c r="M843" s="488" t="s">
        <v>1420</v>
      </c>
      <c r="O843" s="468" t="s">
        <v>1420</v>
      </c>
    </row>
    <row r="844" spans="1:26" ht="33.200000000000003" customHeight="1">
      <c r="A844" s="452" t="s">
        <v>2682</v>
      </c>
      <c r="B844" s="452" t="s">
        <v>2677</v>
      </c>
      <c r="C844" s="489">
        <v>1</v>
      </c>
      <c r="D844" s="480" t="s">
        <v>1589</v>
      </c>
      <c r="E844" s="490">
        <f>I844+G844+K844</f>
        <v>1932000</v>
      </c>
      <c r="F844" s="491">
        <f>J844+H844+L844</f>
        <v>1932000</v>
      </c>
      <c r="G844" s="492">
        <v>0</v>
      </c>
      <c r="H844" s="493">
        <f>IF(C844=0,0,ROUNDDOWN(G844*C844,1))</f>
        <v>0</v>
      </c>
      <c r="I844" s="494">
        <f>재료비목록표!E36</f>
        <v>1932000</v>
      </c>
      <c r="J844" s="495">
        <f>IF(C844=0,0,ROUNDDOWN(I844*C844,1))</f>
        <v>1932000</v>
      </c>
      <c r="K844" s="492">
        <v>0</v>
      </c>
      <c r="L844" s="493">
        <f>IF(C844=0,0,ROUNDDOWN(K844*C844,1))</f>
        <v>0</v>
      </c>
      <c r="M844" s="463" t="s">
        <v>2683</v>
      </c>
      <c r="N844" s="451" t="s">
        <v>2684</v>
      </c>
      <c r="O844" s="468" t="s">
        <v>2685</v>
      </c>
      <c r="P844" s="468" t="s">
        <v>2354</v>
      </c>
      <c r="Z844" s="433" t="str">
        <f ca="1">HYPERLINK("#"&amp;재료비목록표!G2&amp;"!A"&amp;ROW(재료비목록표!A36),"M01408 →")</f>
        <v>M01408 →</v>
      </c>
    </row>
    <row r="845" spans="1:26" ht="33.200000000000003" customHeight="1">
      <c r="A845" s="463" t="s">
        <v>842</v>
      </c>
      <c r="B845" s="497"/>
      <c r="C845" s="497"/>
      <c r="D845" s="497"/>
      <c r="E845" s="497"/>
      <c r="F845" s="446">
        <f>J845+H845+L845</f>
        <v>1932000</v>
      </c>
      <c r="G845" s="497"/>
      <c r="H845" s="446">
        <f>ROUNDDOWN(SUMIF(P844:P844,O845,H844:H844),0)</f>
        <v>0</v>
      </c>
      <c r="I845" s="497"/>
      <c r="J845" s="446">
        <f>ROUNDDOWN(SUMIF(P844:P844,O845,J844:J844),0)</f>
        <v>1932000</v>
      </c>
      <c r="K845" s="497"/>
      <c r="L845" s="446">
        <f>ROUNDDOWN(SUMIF(P844:P844,O845,L844:L844),0)</f>
        <v>0</v>
      </c>
      <c r="M845" s="497"/>
      <c r="O845" s="468" t="s">
        <v>2354</v>
      </c>
    </row>
    <row r="846" spans="1:26" ht="33.200000000000003" customHeight="1">
      <c r="A846" s="484" t="s">
        <v>2849</v>
      </c>
      <c r="B846" s="484"/>
      <c r="C846" s="485"/>
      <c r="D846" s="485"/>
      <c r="E846" s="485"/>
      <c r="F846" s="485"/>
      <c r="G846" s="485"/>
      <c r="H846" s="485"/>
      <c r="I846" s="485"/>
      <c r="J846" s="485"/>
      <c r="K846" s="485"/>
      <c r="L846" s="485"/>
      <c r="M846" s="485"/>
      <c r="N846" s="486" t="str">
        <f>HYPERLINK("#N"&amp;ROW(N848),"_x0005_`BDCOD|B02516_x0007_`POSS|"&amp;ROW(N848)&amp;"_x0007_`POSE|"&amp;ROW(N848)&amp;"_x0007_`")</f>
        <v>_x0005_`BDCOD|B02516_x0007_`POSS|848_x0007_`POSE|848_x0007_`</v>
      </c>
    </row>
    <row r="847" spans="1:26" ht="33.200000000000003" customHeight="1">
      <c r="A847" s="469" t="s">
        <v>1414</v>
      </c>
      <c r="B847" s="469" t="s">
        <v>1423</v>
      </c>
      <c r="C847" s="487"/>
      <c r="D847" s="488" t="s">
        <v>975</v>
      </c>
      <c r="E847" s="487"/>
      <c r="F847" s="487"/>
      <c r="G847" s="487"/>
      <c r="H847" s="487"/>
      <c r="I847" s="487"/>
      <c r="J847" s="487"/>
      <c r="K847" s="487"/>
      <c r="L847" s="487"/>
      <c r="M847" s="488" t="s">
        <v>1424</v>
      </c>
      <c r="O847" s="468" t="s">
        <v>1424</v>
      </c>
    </row>
    <row r="848" spans="1:26" ht="33.200000000000003" customHeight="1">
      <c r="A848" s="452" t="s">
        <v>2687</v>
      </c>
      <c r="B848" s="452" t="s">
        <v>2677</v>
      </c>
      <c r="C848" s="489">
        <v>1</v>
      </c>
      <c r="D848" s="480" t="s">
        <v>1589</v>
      </c>
      <c r="E848" s="490">
        <f>I848+G848+K848</f>
        <v>2136000</v>
      </c>
      <c r="F848" s="491">
        <f>J848+H848+L848</f>
        <v>2136000</v>
      </c>
      <c r="G848" s="492">
        <v>0</v>
      </c>
      <c r="H848" s="493">
        <f>IF(C848=0,0,ROUNDDOWN(G848*C848,1))</f>
        <v>0</v>
      </c>
      <c r="I848" s="494">
        <f>재료비목록표!E37</f>
        <v>2136000</v>
      </c>
      <c r="J848" s="495">
        <f>IF(C848=0,0,ROUNDDOWN(I848*C848,1))</f>
        <v>2136000</v>
      </c>
      <c r="K848" s="492">
        <v>0</v>
      </c>
      <c r="L848" s="493">
        <f>IF(C848=0,0,ROUNDDOWN(K848*C848,1))</f>
        <v>0</v>
      </c>
      <c r="M848" s="463" t="s">
        <v>2688</v>
      </c>
      <c r="N848" s="451" t="s">
        <v>2689</v>
      </c>
      <c r="O848" s="468" t="s">
        <v>2690</v>
      </c>
      <c r="P848" s="468" t="s">
        <v>2354</v>
      </c>
      <c r="Z848" s="433" t="str">
        <f ca="1">HYPERLINK("#"&amp;재료비목록표!G2&amp;"!A"&amp;ROW(재료비목록표!A37),"M01524 →")</f>
        <v>M01524 →</v>
      </c>
    </row>
    <row r="849" spans="1:26" ht="33.200000000000003" customHeight="1">
      <c r="A849" s="463" t="s">
        <v>842</v>
      </c>
      <c r="B849" s="497"/>
      <c r="C849" s="497"/>
      <c r="D849" s="497"/>
      <c r="E849" s="497"/>
      <c r="F849" s="446">
        <f>J849+H849+L849</f>
        <v>2136000</v>
      </c>
      <c r="G849" s="497"/>
      <c r="H849" s="446">
        <f>ROUNDDOWN(SUMIF(P848:P848,O849,H848:H848),0)</f>
        <v>0</v>
      </c>
      <c r="I849" s="497"/>
      <c r="J849" s="446">
        <f>ROUNDDOWN(SUMIF(P848:P848,O849,J848:J848),0)</f>
        <v>2136000</v>
      </c>
      <c r="K849" s="497"/>
      <c r="L849" s="446">
        <f>ROUNDDOWN(SUMIF(P848:P848,O849,L848:L848),0)</f>
        <v>0</v>
      </c>
      <c r="M849" s="497"/>
      <c r="O849" s="468" t="s">
        <v>2354</v>
      </c>
    </row>
    <row r="850" spans="1:26" ht="33.200000000000003" customHeight="1">
      <c r="A850" s="484" t="s">
        <v>2850</v>
      </c>
      <c r="B850" s="484"/>
      <c r="C850" s="485"/>
      <c r="D850" s="485"/>
      <c r="E850" s="485"/>
      <c r="F850" s="485"/>
      <c r="G850" s="485"/>
      <c r="H850" s="485"/>
      <c r="I850" s="485"/>
      <c r="J850" s="485"/>
      <c r="K850" s="485"/>
      <c r="L850" s="485"/>
      <c r="M850" s="485"/>
      <c r="N850" s="486" t="str">
        <f>HYPERLINK("#N"&amp;ROW(N855),"_x0005_`BDCOD|B02403_x0007_`POSS|"&amp;ROW(N852)&amp;"_x0007_`POSE|"&amp;ROW(N855)&amp;"_x0007_`")</f>
        <v>_x0005_`BDCOD|B02403_x0007_`POSS|852_x0007_`POSE|855_x0007_`</v>
      </c>
    </row>
    <row r="851" spans="1:26" ht="33.200000000000003" customHeight="1">
      <c r="A851" s="469" t="s">
        <v>1457</v>
      </c>
      <c r="B851" s="469"/>
      <c r="C851" s="487"/>
      <c r="D851" s="488" t="s">
        <v>975</v>
      </c>
      <c r="E851" s="487"/>
      <c r="F851" s="487"/>
      <c r="G851" s="487"/>
      <c r="H851" s="487"/>
      <c r="I851" s="487"/>
      <c r="J851" s="487"/>
      <c r="K851" s="487"/>
      <c r="L851" s="487"/>
      <c r="M851" s="488" t="s">
        <v>1458</v>
      </c>
      <c r="O851" s="468" t="s">
        <v>1458</v>
      </c>
    </row>
    <row r="852" spans="1:26" ht="33.200000000000003" customHeight="1">
      <c r="A852" s="452" t="s">
        <v>2484</v>
      </c>
      <c r="B852" s="452" t="s">
        <v>2485</v>
      </c>
      <c r="C852" s="489">
        <v>0.19900000000000001</v>
      </c>
      <c r="D852" s="480" t="s">
        <v>8</v>
      </c>
      <c r="E852" s="490">
        <f t="shared" ref="E852:F855" si="146">I852+G852+K852</f>
        <v>62811</v>
      </c>
      <c r="F852" s="493">
        <f t="shared" si="146"/>
        <v>12499.3</v>
      </c>
      <c r="G852" s="494">
        <f>단가산출근거목록표!F157</f>
        <v>62811</v>
      </c>
      <c r="H852" s="498">
        <f>IF(C852=0,0,ROUNDDOWN(G852*C852,1))</f>
        <v>12499.3</v>
      </c>
      <c r="I852" s="494">
        <f>단가산출근거목록표!G157</f>
        <v>0</v>
      </c>
      <c r="J852" s="498">
        <f>IF(C852=0,0,ROUNDDOWN(I852*C852,1))</f>
        <v>0</v>
      </c>
      <c r="K852" s="494">
        <f>단가산출근거목록표!H157</f>
        <v>0</v>
      </c>
      <c r="L852" s="498">
        <f>IF(C852=0,0,ROUNDDOWN(K852*C852,1))</f>
        <v>0</v>
      </c>
      <c r="M852" s="463" t="s">
        <v>2486</v>
      </c>
      <c r="N852" s="451" t="s">
        <v>2504</v>
      </c>
      <c r="O852" s="468" t="s">
        <v>2488</v>
      </c>
      <c r="P852" s="468" t="s">
        <v>2354</v>
      </c>
      <c r="Z852" s="433" t="str">
        <f ca="1">HYPERLINK("#"&amp;단가산출근거목록표!J2&amp;"!A"&amp;ROW(단가산출근거목록표!A157),"D01241 →")</f>
        <v>D01241 →</v>
      </c>
    </row>
    <row r="853" spans="1:26" ht="33.200000000000003" customHeight="1">
      <c r="A853" s="452" t="s">
        <v>2321</v>
      </c>
      <c r="B853" s="452" t="s">
        <v>2322</v>
      </c>
      <c r="C853" s="489">
        <v>0.113</v>
      </c>
      <c r="D853" s="480" t="s">
        <v>8</v>
      </c>
      <c r="E853" s="490">
        <f t="shared" si="146"/>
        <v>34413</v>
      </c>
      <c r="F853" s="493">
        <f t="shared" si="146"/>
        <v>3888.6</v>
      </c>
      <c r="G853" s="494">
        <f>일위대가목록표!F275</f>
        <v>34413</v>
      </c>
      <c r="H853" s="498">
        <f>IF(C853=0,0,ROUNDDOWN(G853*C853,1))</f>
        <v>3888.6</v>
      </c>
      <c r="I853" s="494">
        <f>일위대가목록표!G275</f>
        <v>0</v>
      </c>
      <c r="J853" s="498">
        <f>IF(C853=0,0,ROUNDDOWN(I853*C853,1))</f>
        <v>0</v>
      </c>
      <c r="K853" s="494">
        <f>일위대가목록표!H275</f>
        <v>0</v>
      </c>
      <c r="L853" s="498">
        <f>IF(C853=0,0,ROUNDDOWN(K853*C853,1))</f>
        <v>0</v>
      </c>
      <c r="M853" s="463" t="s">
        <v>2489</v>
      </c>
      <c r="N853" s="451" t="s">
        <v>2538</v>
      </c>
      <c r="O853" s="468" t="s">
        <v>2491</v>
      </c>
      <c r="P853" s="468" t="s">
        <v>2354</v>
      </c>
      <c r="Z853" s="433" t="str">
        <f ca="1">HYPERLINK("#"&amp;일위대가목록표!J2&amp;"!A"&amp;ROW(일위대가목록표!A275),"B01414 →")</f>
        <v>B01414 →</v>
      </c>
    </row>
    <row r="854" spans="1:26" ht="33.200000000000003" customHeight="1">
      <c r="A854" s="452" t="s">
        <v>2298</v>
      </c>
      <c r="B854" s="452" t="s">
        <v>2299</v>
      </c>
      <c r="C854" s="489">
        <v>8.5999999999999993E-2</v>
      </c>
      <c r="D854" s="480" t="s">
        <v>8</v>
      </c>
      <c r="E854" s="490">
        <f t="shared" si="146"/>
        <v>24089</v>
      </c>
      <c r="F854" s="493">
        <f t="shared" si="146"/>
        <v>2071.6</v>
      </c>
      <c r="G854" s="494">
        <f>일위대가목록표!F37</f>
        <v>24089</v>
      </c>
      <c r="H854" s="498">
        <f>IF(C854=0,0,ROUNDDOWN(G854*C854,1))</f>
        <v>2071.6</v>
      </c>
      <c r="I854" s="494">
        <f>일위대가목록표!G37</f>
        <v>0</v>
      </c>
      <c r="J854" s="498">
        <f>IF(C854=0,0,ROUNDDOWN(I854*C854,1))</f>
        <v>0</v>
      </c>
      <c r="K854" s="494">
        <f>일위대가목록표!H37</f>
        <v>0</v>
      </c>
      <c r="L854" s="498">
        <f>IF(C854=0,0,ROUNDDOWN(K854*C854,1))</f>
        <v>0</v>
      </c>
      <c r="M854" s="463" t="s">
        <v>2492</v>
      </c>
      <c r="N854" s="451" t="s">
        <v>2537</v>
      </c>
      <c r="O854" s="468" t="s">
        <v>2494</v>
      </c>
      <c r="P854" s="468" t="s">
        <v>2354</v>
      </c>
      <c r="Z854" s="433" t="str">
        <f ca="1">HYPERLINK("#"&amp;일위대가목록표!J2&amp;"!A"&amp;ROW(일위대가목록표!A37),"B01447 →")</f>
        <v>B01447 →</v>
      </c>
    </row>
    <row r="855" spans="1:26" ht="33.200000000000003" customHeight="1">
      <c r="A855" s="452" t="s">
        <v>2360</v>
      </c>
      <c r="B855" s="452"/>
      <c r="C855" s="489">
        <v>0.1</v>
      </c>
      <c r="D855" s="480" t="s">
        <v>585</v>
      </c>
      <c r="E855" s="490">
        <f t="shared" si="146"/>
        <v>172068</v>
      </c>
      <c r="F855" s="493">
        <f t="shared" si="146"/>
        <v>17206.8</v>
      </c>
      <c r="G855" s="494">
        <f>노무비목록표!E10</f>
        <v>172068</v>
      </c>
      <c r="H855" s="495">
        <f>IF(C855=0,0,ROUNDDOWN(G855*C855,1))</f>
        <v>17206.8</v>
      </c>
      <c r="I855" s="492">
        <v>0</v>
      </c>
      <c r="J855" s="491">
        <f>IF(C855=0,0,ROUNDDOWN(I855*C855,1))</f>
        <v>0</v>
      </c>
      <c r="K855" s="492">
        <v>0</v>
      </c>
      <c r="L855" s="493">
        <f>IF(C855=0,0,ROUNDDOWN(K855*C855,1))</f>
        <v>0</v>
      </c>
      <c r="M855" s="463" t="s">
        <v>2361</v>
      </c>
      <c r="N855" s="451" t="s">
        <v>2362</v>
      </c>
      <c r="O855" s="468" t="s">
        <v>2363</v>
      </c>
      <c r="P855" s="468" t="s">
        <v>2354</v>
      </c>
      <c r="Z855" s="433" t="str">
        <f ca="1">HYPERLINK("#"&amp;노무비목록표!G2&amp;"!A"&amp;ROW(노무비목록표!A10),"L00017 →")</f>
        <v>L00017 →</v>
      </c>
    </row>
    <row r="856" spans="1:26" ht="33.200000000000003" customHeight="1">
      <c r="A856" s="463" t="s">
        <v>842</v>
      </c>
      <c r="B856" s="497"/>
      <c r="C856" s="497"/>
      <c r="D856" s="497"/>
      <c r="E856" s="497"/>
      <c r="F856" s="446">
        <f>J856+H856+L856</f>
        <v>35666</v>
      </c>
      <c r="G856" s="497"/>
      <c r="H856" s="446">
        <f>ROUNDDOWN(SUMIF(P852:P855,O856,H852:H855),0)</f>
        <v>35666</v>
      </c>
      <c r="I856" s="497"/>
      <c r="J856" s="446">
        <f>ROUNDDOWN(SUMIF(P852:P855,O856,J852:J855),0)</f>
        <v>0</v>
      </c>
      <c r="K856" s="497"/>
      <c r="L856" s="446">
        <f>ROUNDDOWN(SUMIF(P852:P855,O856,L852:L855),0)</f>
        <v>0</v>
      </c>
      <c r="M856" s="497"/>
      <c r="O856" s="468" t="s">
        <v>2354</v>
      </c>
    </row>
    <row r="857" spans="1:26" ht="33.200000000000003" customHeight="1">
      <c r="A857" s="484" t="s">
        <v>2851</v>
      </c>
      <c r="B857" s="484"/>
      <c r="C857" s="485"/>
      <c r="D857" s="485"/>
      <c r="E857" s="485"/>
      <c r="F857" s="485"/>
      <c r="G857" s="485"/>
      <c r="H857" s="485"/>
      <c r="I857" s="485"/>
      <c r="J857" s="485"/>
      <c r="K857" s="485"/>
      <c r="L857" s="485"/>
      <c r="M857" s="485"/>
      <c r="N857" s="486" t="str">
        <f>HYPERLINK("#N"&amp;ROW(N862),"_x0005_`BDCOD|B02643_x0007_`POSS|"&amp;ROW(N859)&amp;"_x0007_`POSE|"&amp;ROW(N862)&amp;"_x0007_`")</f>
        <v>_x0005_`BDCOD|B02643_x0007_`POSS|859_x0007_`POSE|862_x0007_`</v>
      </c>
    </row>
    <row r="858" spans="1:26" ht="33.200000000000003" customHeight="1">
      <c r="A858" s="469" t="s">
        <v>1720</v>
      </c>
      <c r="B858" s="469" t="s">
        <v>1716</v>
      </c>
      <c r="C858" s="487"/>
      <c r="D858" s="488" t="s">
        <v>975</v>
      </c>
      <c r="E858" s="487"/>
      <c r="F858" s="487"/>
      <c r="G858" s="487"/>
      <c r="H858" s="487"/>
      <c r="I858" s="487"/>
      <c r="J858" s="487"/>
      <c r="K858" s="487"/>
      <c r="L858" s="487"/>
      <c r="M858" s="488" t="s">
        <v>1721</v>
      </c>
      <c r="O858" s="468" t="s">
        <v>1721</v>
      </c>
    </row>
    <row r="859" spans="1:26" ht="33.200000000000003" customHeight="1">
      <c r="A859" s="452" t="s">
        <v>2484</v>
      </c>
      <c r="B859" s="452" t="s">
        <v>2485</v>
      </c>
      <c r="C859" s="489">
        <v>0.125</v>
      </c>
      <c r="D859" s="480" t="s">
        <v>8</v>
      </c>
      <c r="E859" s="490">
        <f t="shared" ref="E859:F862" si="147">I859+G859+K859</f>
        <v>62811</v>
      </c>
      <c r="F859" s="493">
        <f t="shared" si="147"/>
        <v>7851.3</v>
      </c>
      <c r="G859" s="494">
        <f>단가산출근거목록표!F157</f>
        <v>62811</v>
      </c>
      <c r="H859" s="498">
        <f>IF(C859=0,0,ROUNDDOWN(G859*C859,1))</f>
        <v>7851.3</v>
      </c>
      <c r="I859" s="494">
        <f>단가산출근거목록표!G157</f>
        <v>0</v>
      </c>
      <c r="J859" s="498">
        <f>IF(C859=0,0,ROUNDDOWN(I859*C859,1))</f>
        <v>0</v>
      </c>
      <c r="K859" s="494">
        <f>단가산출근거목록표!H157</f>
        <v>0</v>
      </c>
      <c r="L859" s="498">
        <f>IF(C859=0,0,ROUNDDOWN(K859*C859,1))</f>
        <v>0</v>
      </c>
      <c r="M859" s="463" t="s">
        <v>2486</v>
      </c>
      <c r="N859" s="451" t="s">
        <v>2487</v>
      </c>
      <c r="O859" s="468" t="s">
        <v>2488</v>
      </c>
      <c r="P859" s="468" t="s">
        <v>2354</v>
      </c>
      <c r="Q859" s="468" t="s">
        <v>2355</v>
      </c>
      <c r="Z859" s="433" t="str">
        <f ca="1">HYPERLINK("#"&amp;단가산출근거목록표!J2&amp;"!A"&amp;ROW(단가산출근거목록표!A157),"D01241 →")</f>
        <v>D01241 →</v>
      </c>
    </row>
    <row r="860" spans="1:26" ht="33.200000000000003" customHeight="1">
      <c r="A860" s="452" t="s">
        <v>2298</v>
      </c>
      <c r="B860" s="452" t="s">
        <v>2299</v>
      </c>
      <c r="C860" s="489">
        <v>9.8000000000000004E-2</v>
      </c>
      <c r="D860" s="480" t="s">
        <v>8</v>
      </c>
      <c r="E860" s="490">
        <f t="shared" si="147"/>
        <v>24089</v>
      </c>
      <c r="F860" s="493">
        <f t="shared" si="147"/>
        <v>2360.6999999999998</v>
      </c>
      <c r="G860" s="494">
        <f>일위대가목록표!F37</f>
        <v>24089</v>
      </c>
      <c r="H860" s="498">
        <f>IF(C860=0,0,ROUNDDOWN(G860*C860,1))</f>
        <v>2360.6999999999998</v>
      </c>
      <c r="I860" s="494">
        <f>일위대가목록표!G37</f>
        <v>0</v>
      </c>
      <c r="J860" s="498">
        <f>IF(C860=0,0,ROUNDDOWN(I860*C860,1))</f>
        <v>0</v>
      </c>
      <c r="K860" s="494">
        <f>일위대가목록표!H37</f>
        <v>0</v>
      </c>
      <c r="L860" s="498">
        <f>IF(C860=0,0,ROUNDDOWN(K860*C860,1))</f>
        <v>0</v>
      </c>
      <c r="M860" s="463" t="s">
        <v>2492</v>
      </c>
      <c r="N860" s="451" t="s">
        <v>2493</v>
      </c>
      <c r="O860" s="468" t="s">
        <v>2494</v>
      </c>
      <c r="P860" s="468" t="s">
        <v>2354</v>
      </c>
      <c r="Q860" s="468" t="s">
        <v>2355</v>
      </c>
      <c r="Z860" s="433" t="str">
        <f ca="1">HYPERLINK("#"&amp;일위대가목록표!J2&amp;"!A"&amp;ROW(일위대가목록표!A37),"B01447 →")</f>
        <v>B01447 →</v>
      </c>
    </row>
    <row r="861" spans="1:26" ht="33.200000000000003" customHeight="1">
      <c r="A861" s="452" t="s">
        <v>1793</v>
      </c>
      <c r="B861" s="452" t="s">
        <v>1789</v>
      </c>
      <c r="C861" s="489">
        <v>2.7E-2</v>
      </c>
      <c r="D861" s="480" t="s">
        <v>8</v>
      </c>
      <c r="E861" s="490">
        <f t="shared" si="147"/>
        <v>233588</v>
      </c>
      <c r="F861" s="493">
        <f t="shared" si="147"/>
        <v>6306.8</v>
      </c>
      <c r="G861" s="494">
        <f>단가산출근거목록표!F152</f>
        <v>228399</v>
      </c>
      <c r="H861" s="498">
        <f>IF(C861=0,0,ROUNDDOWN(G861*C861,1))</f>
        <v>6166.7</v>
      </c>
      <c r="I861" s="494">
        <f>단가산출근거목록표!G152</f>
        <v>0</v>
      </c>
      <c r="J861" s="498">
        <f>IF(C861=0,0,ROUNDDOWN(I861*C861,1))</f>
        <v>0</v>
      </c>
      <c r="K861" s="494">
        <f>단가산출근거목록표!H152</f>
        <v>5189</v>
      </c>
      <c r="L861" s="498">
        <f>IF(C861=0,0,ROUNDDOWN(K861*C861,1))</f>
        <v>140.1</v>
      </c>
      <c r="M861" s="463" t="s">
        <v>2594</v>
      </c>
      <c r="N861" s="451" t="s">
        <v>2595</v>
      </c>
      <c r="O861" s="468" t="s">
        <v>1796</v>
      </c>
      <c r="P861" s="468" t="s">
        <v>2354</v>
      </c>
      <c r="Q861" s="468" t="s">
        <v>2355</v>
      </c>
      <c r="Z861" s="433" t="str">
        <f ca="1">HYPERLINK("#"&amp;단가산출근거목록표!J2&amp;"!A"&amp;ROW(단가산출근거목록표!A152),"D01242 →")</f>
        <v>D01242 →</v>
      </c>
    </row>
    <row r="862" spans="1:26" ht="33.200000000000003" customHeight="1">
      <c r="A862" s="452" t="s">
        <v>1466</v>
      </c>
      <c r="B862" s="452" t="s">
        <v>1467</v>
      </c>
      <c r="C862" s="489">
        <v>3.5000000000000003E-2</v>
      </c>
      <c r="D862" s="480" t="s">
        <v>8</v>
      </c>
      <c r="E862" s="490">
        <f t="shared" si="147"/>
        <v>274515</v>
      </c>
      <c r="F862" s="493">
        <f t="shared" si="147"/>
        <v>9608</v>
      </c>
      <c r="G862" s="494">
        <f>일위대가목록표!F73</f>
        <v>274515</v>
      </c>
      <c r="H862" s="498">
        <f>IF(C862=0,0,ROUNDDOWN(G862*C862,1))</f>
        <v>9608</v>
      </c>
      <c r="I862" s="494">
        <f>일위대가목록표!G73</f>
        <v>0</v>
      </c>
      <c r="J862" s="498">
        <f>IF(C862=0,0,ROUNDDOWN(I862*C862,1))</f>
        <v>0</v>
      </c>
      <c r="K862" s="494">
        <f>일위대가목록표!H73</f>
        <v>0</v>
      </c>
      <c r="L862" s="498">
        <f>IF(C862=0,0,ROUNDDOWN(K862*C862,1))</f>
        <v>0</v>
      </c>
      <c r="M862" s="463" t="s">
        <v>2596</v>
      </c>
      <c r="N862" s="451" t="s">
        <v>2597</v>
      </c>
      <c r="O862" s="468" t="s">
        <v>1470</v>
      </c>
      <c r="P862" s="468" t="s">
        <v>2354</v>
      </c>
      <c r="Q862" s="468" t="s">
        <v>2355</v>
      </c>
      <c r="Z862" s="433" t="str">
        <f ca="1">HYPERLINK("#"&amp;일위대가목록표!J2&amp;"!A"&amp;ROW(일위대가목록표!A73),"B02396 →")</f>
        <v>B02396 →</v>
      </c>
    </row>
    <row r="863" spans="1:26" ht="33.200000000000003" customHeight="1">
      <c r="A863" s="463" t="s">
        <v>842</v>
      </c>
      <c r="B863" s="497"/>
      <c r="C863" s="497"/>
      <c r="D863" s="497"/>
      <c r="E863" s="497"/>
      <c r="F863" s="446">
        <f>J863+H863+L863</f>
        <v>26126</v>
      </c>
      <c r="G863" s="497"/>
      <c r="H863" s="446">
        <f>ROUNDDOWN(SUMIF(P859:P862,O863,H859:H862),0)</f>
        <v>25986</v>
      </c>
      <c r="I863" s="497"/>
      <c r="J863" s="446">
        <f>ROUNDDOWN(SUMIF(P859:P862,O863,J859:J862),0)</f>
        <v>0</v>
      </c>
      <c r="K863" s="497"/>
      <c r="L863" s="446">
        <f>ROUNDDOWN(SUMIF(P859:P862,O863,L859:L862),0)</f>
        <v>140</v>
      </c>
      <c r="M863" s="497"/>
      <c r="O863" s="468" t="s">
        <v>2354</v>
      </c>
    </row>
    <row r="864" spans="1:26" ht="33.200000000000003" customHeight="1">
      <c r="A864" s="484" t="s">
        <v>2852</v>
      </c>
      <c r="B864" s="484"/>
      <c r="C864" s="485"/>
      <c r="D864" s="485"/>
      <c r="E864" s="485"/>
      <c r="F864" s="485"/>
      <c r="G864" s="485"/>
      <c r="H864" s="485"/>
      <c r="I864" s="485"/>
      <c r="J864" s="485"/>
      <c r="K864" s="485"/>
      <c r="L864" s="485"/>
      <c r="M864" s="485"/>
      <c r="N864" s="486" t="str">
        <f>HYPERLINK("#N"&amp;ROW(N870),"_x0005_`BDCOD|B02879_x0007_`POSS|"&amp;ROW(N866)&amp;"_x0007_`POSE|"&amp;ROW(N870)&amp;"_x0007_`")</f>
        <v>_x0005_`BDCOD|B02879_x0007_`POSS|866_x0007_`POSE|870_x0007_`</v>
      </c>
    </row>
    <row r="865" spans="1:26" ht="33.200000000000003" customHeight="1">
      <c r="A865" s="469" t="s">
        <v>5253</v>
      </c>
      <c r="B865" s="469" t="s">
        <v>1716</v>
      </c>
      <c r="C865" s="487"/>
      <c r="D865" s="488" t="s">
        <v>975</v>
      </c>
      <c r="E865" s="487"/>
      <c r="F865" s="487"/>
      <c r="G865" s="487"/>
      <c r="H865" s="487"/>
      <c r="I865" s="487"/>
      <c r="J865" s="487"/>
      <c r="K865" s="487"/>
      <c r="L865" s="487"/>
      <c r="M865" s="488" t="s">
        <v>5254</v>
      </c>
      <c r="O865" s="468" t="s">
        <v>5254</v>
      </c>
    </row>
    <row r="866" spans="1:26" ht="33.200000000000003" customHeight="1">
      <c r="A866" s="452" t="s">
        <v>2484</v>
      </c>
      <c r="B866" s="452" t="s">
        <v>2485</v>
      </c>
      <c r="C866" s="489">
        <v>0.125</v>
      </c>
      <c r="D866" s="480" t="s">
        <v>8</v>
      </c>
      <c r="E866" s="490">
        <f t="shared" ref="E866:F870" si="148">I866+G866+K866</f>
        <v>62811</v>
      </c>
      <c r="F866" s="493">
        <f t="shared" si="148"/>
        <v>7851.3</v>
      </c>
      <c r="G866" s="494">
        <f>단가산출근거목록표!F157</f>
        <v>62811</v>
      </c>
      <c r="H866" s="498">
        <f>IF(C866=0,0,ROUNDDOWN(G866*C866,1))</f>
        <v>7851.3</v>
      </c>
      <c r="I866" s="494">
        <f>단가산출근거목록표!G157</f>
        <v>0</v>
      </c>
      <c r="J866" s="498">
        <f>IF(C866=0,0,ROUNDDOWN(I866*C866,1))</f>
        <v>0</v>
      </c>
      <c r="K866" s="494">
        <f>단가산출근거목록표!H157</f>
        <v>0</v>
      </c>
      <c r="L866" s="498">
        <f>IF(C866=0,0,ROUNDDOWN(K866*C866,1))</f>
        <v>0</v>
      </c>
      <c r="M866" s="463" t="s">
        <v>2486</v>
      </c>
      <c r="N866" s="451" t="s">
        <v>2487</v>
      </c>
      <c r="O866" s="468" t="s">
        <v>2488</v>
      </c>
      <c r="P866" s="468" t="s">
        <v>2354</v>
      </c>
      <c r="Q866" s="468" t="s">
        <v>2355</v>
      </c>
      <c r="Z866" s="433" t="str">
        <f ca="1">HYPERLINK("#"&amp;단가산출근거목록표!J2&amp;"!A"&amp;ROW(단가산출근거목록표!A157),"D01241 →")</f>
        <v>D01241 →</v>
      </c>
    </row>
    <row r="867" spans="1:26" ht="33.200000000000003" customHeight="1">
      <c r="A867" s="452" t="s">
        <v>2298</v>
      </c>
      <c r="B867" s="452" t="s">
        <v>2299</v>
      </c>
      <c r="C867" s="489">
        <v>9.8000000000000004E-2</v>
      </c>
      <c r="D867" s="480" t="s">
        <v>8</v>
      </c>
      <c r="E867" s="490">
        <f t="shared" si="148"/>
        <v>24089</v>
      </c>
      <c r="F867" s="493">
        <f t="shared" si="148"/>
        <v>2360.6999999999998</v>
      </c>
      <c r="G867" s="494">
        <f>일위대가목록표!F37</f>
        <v>24089</v>
      </c>
      <c r="H867" s="498">
        <f>IF(C867=0,0,ROUNDDOWN(G867*C867,1))</f>
        <v>2360.6999999999998</v>
      </c>
      <c r="I867" s="494">
        <f>일위대가목록표!G37</f>
        <v>0</v>
      </c>
      <c r="J867" s="498">
        <f>IF(C867=0,0,ROUNDDOWN(I867*C867,1))</f>
        <v>0</v>
      </c>
      <c r="K867" s="494">
        <f>일위대가목록표!H37</f>
        <v>0</v>
      </c>
      <c r="L867" s="498">
        <f>IF(C867=0,0,ROUNDDOWN(K867*C867,1))</f>
        <v>0</v>
      </c>
      <c r="M867" s="463" t="s">
        <v>2492</v>
      </c>
      <c r="N867" s="451" t="s">
        <v>2493</v>
      </c>
      <c r="O867" s="468" t="s">
        <v>2494</v>
      </c>
      <c r="P867" s="468" t="s">
        <v>2354</v>
      </c>
      <c r="Q867" s="468" t="s">
        <v>2355</v>
      </c>
      <c r="Z867" s="433" t="str">
        <f ca="1">HYPERLINK("#"&amp;일위대가목록표!J2&amp;"!A"&amp;ROW(일위대가목록표!A37),"B01447 →")</f>
        <v>B01447 →</v>
      </c>
    </row>
    <row r="868" spans="1:26" ht="33.200000000000003" customHeight="1">
      <c r="A868" s="452" t="s">
        <v>1793</v>
      </c>
      <c r="B868" s="452" t="s">
        <v>1789</v>
      </c>
      <c r="C868" s="489">
        <v>2.7E-2</v>
      </c>
      <c r="D868" s="480" t="s">
        <v>8</v>
      </c>
      <c r="E868" s="490">
        <f t="shared" si="148"/>
        <v>233588</v>
      </c>
      <c r="F868" s="493">
        <f t="shared" si="148"/>
        <v>6306.8</v>
      </c>
      <c r="G868" s="494">
        <f>단가산출근거목록표!F152</f>
        <v>228399</v>
      </c>
      <c r="H868" s="498">
        <f>IF(C868=0,0,ROUNDDOWN(G868*C868,1))</f>
        <v>6166.7</v>
      </c>
      <c r="I868" s="494">
        <f>단가산출근거목록표!G152</f>
        <v>0</v>
      </c>
      <c r="J868" s="498">
        <f>IF(C868=0,0,ROUNDDOWN(I868*C868,1))</f>
        <v>0</v>
      </c>
      <c r="K868" s="494">
        <f>단가산출근거목록표!H152</f>
        <v>5189</v>
      </c>
      <c r="L868" s="498">
        <f>IF(C868=0,0,ROUNDDOWN(K868*C868,1))</f>
        <v>140.1</v>
      </c>
      <c r="M868" s="463" t="s">
        <v>2594</v>
      </c>
      <c r="N868" s="451" t="s">
        <v>2595</v>
      </c>
      <c r="O868" s="468" t="s">
        <v>1796</v>
      </c>
      <c r="P868" s="468" t="s">
        <v>2354</v>
      </c>
      <c r="Q868" s="468" t="s">
        <v>2355</v>
      </c>
      <c r="Z868" s="433" t="str">
        <f ca="1">HYPERLINK("#"&amp;단가산출근거목록표!J2&amp;"!A"&amp;ROW(단가산출근거목록표!A152),"D01242 →")</f>
        <v>D01242 →</v>
      </c>
    </row>
    <row r="869" spans="1:26" ht="33.200000000000003" customHeight="1">
      <c r="A869" s="452" t="s">
        <v>1466</v>
      </c>
      <c r="B869" s="452" t="s">
        <v>1467</v>
      </c>
      <c r="C869" s="489">
        <v>3.5000000000000003E-2</v>
      </c>
      <c r="D869" s="480" t="s">
        <v>8</v>
      </c>
      <c r="E869" s="490">
        <f t="shared" si="148"/>
        <v>274515</v>
      </c>
      <c r="F869" s="493">
        <f t="shared" si="148"/>
        <v>9608</v>
      </c>
      <c r="G869" s="494">
        <f>일위대가목록표!F73</f>
        <v>274515</v>
      </c>
      <c r="H869" s="498">
        <f>IF(C869=0,0,ROUNDDOWN(G869*C869,1))</f>
        <v>9608</v>
      </c>
      <c r="I869" s="494">
        <f>일위대가목록표!G73</f>
        <v>0</v>
      </c>
      <c r="J869" s="498">
        <f>IF(C869=0,0,ROUNDDOWN(I869*C869,1))</f>
        <v>0</v>
      </c>
      <c r="K869" s="494">
        <f>일위대가목록표!H73</f>
        <v>0</v>
      </c>
      <c r="L869" s="498">
        <f>IF(C869=0,0,ROUNDDOWN(K869*C869,1))</f>
        <v>0</v>
      </c>
      <c r="M869" s="463" t="s">
        <v>2596</v>
      </c>
      <c r="N869" s="451" t="s">
        <v>2597</v>
      </c>
      <c r="O869" s="468" t="s">
        <v>1470</v>
      </c>
      <c r="P869" s="468" t="s">
        <v>2354</v>
      </c>
      <c r="Q869" s="468" t="s">
        <v>2355</v>
      </c>
      <c r="Z869" s="433" t="str">
        <f ca="1">HYPERLINK("#"&amp;일위대가목록표!J2&amp;"!A"&amp;ROW(일위대가목록표!A73),"B02396 →")</f>
        <v>B02396 →</v>
      </c>
    </row>
    <row r="870" spans="1:26" ht="33.200000000000003" customHeight="1">
      <c r="A870" s="452" t="s">
        <v>2507</v>
      </c>
      <c r="B870" s="452" t="s">
        <v>2441</v>
      </c>
      <c r="C870" s="489">
        <v>15</v>
      </c>
      <c r="D870" s="480" t="s">
        <v>2371</v>
      </c>
      <c r="E870" s="490">
        <f t="shared" si="148"/>
        <v>25986.7</v>
      </c>
      <c r="F870" s="491">
        <f t="shared" si="148"/>
        <v>3898</v>
      </c>
      <c r="G870" s="496">
        <f>H866+H867+H868+H869</f>
        <v>25986.7</v>
      </c>
      <c r="H870" s="491">
        <f>IF(C870=0,0,ROUNDDOWN(G870*C870/100,1))</f>
        <v>3898</v>
      </c>
      <c r="I870" s="465">
        <v>0</v>
      </c>
      <c r="J870" s="493">
        <f>IF(C870=0,0,ROUNDDOWN(I870*C870/100,1))</f>
        <v>0</v>
      </c>
      <c r="K870" s="467">
        <v>0</v>
      </c>
      <c r="L870" s="493">
        <f>IF(C870=0,0,ROUNDDOWN(K870*C870/100,1))</f>
        <v>0</v>
      </c>
      <c r="M870" s="463"/>
      <c r="N870" s="451" t="s">
        <v>2508</v>
      </c>
      <c r="O870" s="468" t="s">
        <v>2373</v>
      </c>
      <c r="P870" s="468" t="s">
        <v>2354</v>
      </c>
    </row>
    <row r="871" spans="1:26" ht="33.200000000000003" customHeight="1">
      <c r="A871" s="463" t="s">
        <v>842</v>
      </c>
      <c r="B871" s="497"/>
      <c r="C871" s="497"/>
      <c r="D871" s="497"/>
      <c r="E871" s="497"/>
      <c r="F871" s="446">
        <f>J871+H871+L871</f>
        <v>30024</v>
      </c>
      <c r="G871" s="497"/>
      <c r="H871" s="446">
        <f>ROUNDDOWN(SUMIF(P866:P870,O871,H866:H870),0)</f>
        <v>29884</v>
      </c>
      <c r="I871" s="497"/>
      <c r="J871" s="446">
        <f>ROUNDDOWN(SUMIF(P866:P870,O871,J866:J870),0)</f>
        <v>0</v>
      </c>
      <c r="K871" s="497"/>
      <c r="L871" s="446">
        <f>ROUNDDOWN(SUMIF(P866:P870,O871,L866:L870),0)</f>
        <v>140</v>
      </c>
      <c r="M871" s="497"/>
      <c r="O871" s="468" t="s">
        <v>2354</v>
      </c>
    </row>
    <row r="872" spans="1:26" ht="33.200000000000003" customHeight="1">
      <c r="A872" s="484" t="s">
        <v>2853</v>
      </c>
      <c r="B872" s="484"/>
      <c r="C872" s="485"/>
      <c r="D872" s="485"/>
      <c r="E872" s="485"/>
      <c r="F872" s="485"/>
      <c r="G872" s="485"/>
      <c r="H872" s="485"/>
      <c r="I872" s="485"/>
      <c r="J872" s="485"/>
      <c r="K872" s="485"/>
      <c r="L872" s="485"/>
      <c r="M872" s="485"/>
      <c r="N872" s="486" t="str">
        <f>HYPERLINK("#N"&amp;ROW(N878),"_x0005_`BDCOD|B02451_x0007_`POSS|"&amp;ROW(N874)&amp;"_x0007_`POSE|"&amp;ROW(N878)&amp;"_x0007_`")</f>
        <v>_x0005_`BDCOD|B02451_x0007_`POSS|874_x0007_`POSE|878_x0007_`</v>
      </c>
    </row>
    <row r="873" spans="1:26" ht="33.200000000000003" customHeight="1">
      <c r="A873" s="469" t="s">
        <v>5257</v>
      </c>
      <c r="B873" s="469" t="s">
        <v>1716</v>
      </c>
      <c r="C873" s="487"/>
      <c r="D873" s="488" t="s">
        <v>975</v>
      </c>
      <c r="E873" s="487"/>
      <c r="F873" s="487"/>
      <c r="G873" s="487"/>
      <c r="H873" s="487"/>
      <c r="I873" s="487"/>
      <c r="J873" s="487"/>
      <c r="K873" s="487"/>
      <c r="L873" s="487"/>
      <c r="M873" s="488" t="s">
        <v>1717</v>
      </c>
      <c r="O873" s="468" t="s">
        <v>1717</v>
      </c>
    </row>
    <row r="874" spans="1:26" ht="33.200000000000003" customHeight="1">
      <c r="A874" s="452" t="s">
        <v>2484</v>
      </c>
      <c r="B874" s="452" t="s">
        <v>2485</v>
      </c>
      <c r="C874" s="489">
        <v>0.125</v>
      </c>
      <c r="D874" s="480" t="s">
        <v>8</v>
      </c>
      <c r="E874" s="490">
        <f t="shared" ref="E874:F878" si="149">I874+G874+K874</f>
        <v>62811</v>
      </c>
      <c r="F874" s="493">
        <f t="shared" si="149"/>
        <v>7851.3</v>
      </c>
      <c r="G874" s="494">
        <f>단가산출근거목록표!F157</f>
        <v>62811</v>
      </c>
      <c r="H874" s="498">
        <f>IF(C874=0,0,ROUNDDOWN(G874*C874,1))</f>
        <v>7851.3</v>
      </c>
      <c r="I874" s="494">
        <f>단가산출근거목록표!G157</f>
        <v>0</v>
      </c>
      <c r="J874" s="498">
        <f>IF(C874=0,0,ROUNDDOWN(I874*C874,1))</f>
        <v>0</v>
      </c>
      <c r="K874" s="494">
        <f>단가산출근거목록표!H157</f>
        <v>0</v>
      </c>
      <c r="L874" s="498">
        <f>IF(C874=0,0,ROUNDDOWN(K874*C874,1))</f>
        <v>0</v>
      </c>
      <c r="M874" s="463" t="s">
        <v>2486</v>
      </c>
      <c r="N874" s="451" t="s">
        <v>2487</v>
      </c>
      <c r="O874" s="468" t="s">
        <v>2488</v>
      </c>
      <c r="P874" s="468" t="s">
        <v>2354</v>
      </c>
      <c r="Q874" s="468" t="s">
        <v>2355</v>
      </c>
      <c r="Z874" s="433" t="str">
        <f ca="1">HYPERLINK("#"&amp;단가산출근거목록표!J2&amp;"!A"&amp;ROW(단가산출근거목록표!A157),"D01241 →")</f>
        <v>D01241 →</v>
      </c>
    </row>
    <row r="875" spans="1:26" ht="33.200000000000003" customHeight="1">
      <c r="A875" s="452" t="s">
        <v>2298</v>
      </c>
      <c r="B875" s="452" t="s">
        <v>2299</v>
      </c>
      <c r="C875" s="489">
        <v>9.8000000000000004E-2</v>
      </c>
      <c r="D875" s="480" t="s">
        <v>8</v>
      </c>
      <c r="E875" s="490">
        <f t="shared" si="149"/>
        <v>24089</v>
      </c>
      <c r="F875" s="493">
        <f t="shared" si="149"/>
        <v>2360.6999999999998</v>
      </c>
      <c r="G875" s="494">
        <f>일위대가목록표!F37</f>
        <v>24089</v>
      </c>
      <c r="H875" s="498">
        <f>IF(C875=0,0,ROUNDDOWN(G875*C875,1))</f>
        <v>2360.6999999999998</v>
      </c>
      <c r="I875" s="494">
        <f>일위대가목록표!G37</f>
        <v>0</v>
      </c>
      <c r="J875" s="498">
        <f>IF(C875=0,0,ROUNDDOWN(I875*C875,1))</f>
        <v>0</v>
      </c>
      <c r="K875" s="494">
        <f>일위대가목록표!H37</f>
        <v>0</v>
      </c>
      <c r="L875" s="498">
        <f>IF(C875=0,0,ROUNDDOWN(K875*C875,1))</f>
        <v>0</v>
      </c>
      <c r="M875" s="463" t="s">
        <v>2492</v>
      </c>
      <c r="N875" s="451" t="s">
        <v>2493</v>
      </c>
      <c r="O875" s="468" t="s">
        <v>2494</v>
      </c>
      <c r="P875" s="468" t="s">
        <v>2354</v>
      </c>
      <c r="Q875" s="468" t="s">
        <v>2355</v>
      </c>
      <c r="Z875" s="433" t="str">
        <f ca="1">HYPERLINK("#"&amp;일위대가목록표!J2&amp;"!A"&amp;ROW(일위대가목록표!A37),"B01447 →")</f>
        <v>B01447 →</v>
      </c>
    </row>
    <row r="876" spans="1:26" ht="33.200000000000003" customHeight="1">
      <c r="A876" s="452" t="s">
        <v>1793</v>
      </c>
      <c r="B876" s="452" t="s">
        <v>1789</v>
      </c>
      <c r="C876" s="489">
        <v>2.7E-2</v>
      </c>
      <c r="D876" s="480" t="s">
        <v>8</v>
      </c>
      <c r="E876" s="490">
        <f t="shared" si="149"/>
        <v>233588</v>
      </c>
      <c r="F876" s="493">
        <f t="shared" si="149"/>
        <v>6306.8</v>
      </c>
      <c r="G876" s="494">
        <f>단가산출근거목록표!F152</f>
        <v>228399</v>
      </c>
      <c r="H876" s="498">
        <f>IF(C876=0,0,ROUNDDOWN(G876*C876,1))</f>
        <v>6166.7</v>
      </c>
      <c r="I876" s="494">
        <f>단가산출근거목록표!G152</f>
        <v>0</v>
      </c>
      <c r="J876" s="498">
        <f>IF(C876=0,0,ROUNDDOWN(I876*C876,1))</f>
        <v>0</v>
      </c>
      <c r="K876" s="494">
        <f>단가산출근거목록표!H152</f>
        <v>5189</v>
      </c>
      <c r="L876" s="498">
        <f>IF(C876=0,0,ROUNDDOWN(K876*C876,1))</f>
        <v>140.1</v>
      </c>
      <c r="M876" s="463" t="s">
        <v>2594</v>
      </c>
      <c r="N876" s="451" t="s">
        <v>2595</v>
      </c>
      <c r="O876" s="468" t="s">
        <v>1796</v>
      </c>
      <c r="P876" s="468" t="s">
        <v>2354</v>
      </c>
      <c r="Q876" s="468" t="s">
        <v>2355</v>
      </c>
      <c r="Z876" s="433" t="str">
        <f ca="1">HYPERLINK("#"&amp;단가산출근거목록표!J2&amp;"!A"&amp;ROW(단가산출근거목록표!A152),"D01242 →")</f>
        <v>D01242 →</v>
      </c>
    </row>
    <row r="877" spans="1:26" ht="33.200000000000003" customHeight="1">
      <c r="A877" s="452" t="s">
        <v>1466</v>
      </c>
      <c r="B877" s="452" t="s">
        <v>1467</v>
      </c>
      <c r="C877" s="489">
        <v>3.5000000000000003E-2</v>
      </c>
      <c r="D877" s="480" t="s">
        <v>8</v>
      </c>
      <c r="E877" s="490">
        <f t="shared" si="149"/>
        <v>274515</v>
      </c>
      <c r="F877" s="493">
        <f t="shared" si="149"/>
        <v>9608</v>
      </c>
      <c r="G877" s="494">
        <f>일위대가목록표!F73</f>
        <v>274515</v>
      </c>
      <c r="H877" s="498">
        <f>IF(C877=0,0,ROUNDDOWN(G877*C877,1))</f>
        <v>9608</v>
      </c>
      <c r="I877" s="494">
        <f>일위대가목록표!G73</f>
        <v>0</v>
      </c>
      <c r="J877" s="498">
        <f>IF(C877=0,0,ROUNDDOWN(I877*C877,1))</f>
        <v>0</v>
      </c>
      <c r="K877" s="494">
        <f>일위대가목록표!H73</f>
        <v>0</v>
      </c>
      <c r="L877" s="498">
        <f>IF(C877=0,0,ROUNDDOWN(K877*C877,1))</f>
        <v>0</v>
      </c>
      <c r="M877" s="463" t="s">
        <v>2596</v>
      </c>
      <c r="N877" s="451" t="s">
        <v>2597</v>
      </c>
      <c r="O877" s="468" t="s">
        <v>1470</v>
      </c>
      <c r="P877" s="468" t="s">
        <v>2354</v>
      </c>
      <c r="Q877" s="468" t="s">
        <v>2355</v>
      </c>
      <c r="Z877" s="433" t="str">
        <f ca="1">HYPERLINK("#"&amp;일위대가목록표!J2&amp;"!A"&amp;ROW(일위대가목록표!A73),"B02396 →")</f>
        <v>B02396 →</v>
      </c>
    </row>
    <row r="878" spans="1:26" ht="33.200000000000003" customHeight="1">
      <c r="A878" s="452" t="s">
        <v>2507</v>
      </c>
      <c r="B878" s="452" t="s">
        <v>2441</v>
      </c>
      <c r="C878" s="489">
        <v>25</v>
      </c>
      <c r="D878" s="480" t="s">
        <v>2371</v>
      </c>
      <c r="E878" s="490">
        <f t="shared" si="149"/>
        <v>25986.7</v>
      </c>
      <c r="F878" s="491">
        <f t="shared" si="149"/>
        <v>6496.6</v>
      </c>
      <c r="G878" s="496">
        <f>H874+H875+H876+H877</f>
        <v>25986.7</v>
      </c>
      <c r="H878" s="491">
        <f>IF(C878=0,0,ROUNDDOWN(G878*C878/100,1))</f>
        <v>6496.6</v>
      </c>
      <c r="I878" s="465">
        <v>0</v>
      </c>
      <c r="J878" s="493">
        <f>IF(C878=0,0,ROUNDDOWN(I878*C878/100,1))</f>
        <v>0</v>
      </c>
      <c r="K878" s="467">
        <v>0</v>
      </c>
      <c r="L878" s="493">
        <f>IF(C878=0,0,ROUNDDOWN(K878*C878/100,1))</f>
        <v>0</v>
      </c>
      <c r="M878" s="463"/>
      <c r="N878" s="451" t="s">
        <v>2508</v>
      </c>
      <c r="O878" s="468" t="s">
        <v>2373</v>
      </c>
      <c r="P878" s="468" t="s">
        <v>2354</v>
      </c>
    </row>
    <row r="879" spans="1:26" ht="33.200000000000003" customHeight="1">
      <c r="A879" s="463" t="s">
        <v>842</v>
      </c>
      <c r="B879" s="497"/>
      <c r="C879" s="497"/>
      <c r="D879" s="497"/>
      <c r="E879" s="497"/>
      <c r="F879" s="446">
        <f>J879+H879+L879</f>
        <v>32623</v>
      </c>
      <c r="G879" s="497"/>
      <c r="H879" s="446">
        <f>ROUNDDOWN(SUMIF(P874:P878,O879,H874:H878),0)</f>
        <v>32483</v>
      </c>
      <c r="I879" s="497"/>
      <c r="J879" s="446">
        <f>ROUNDDOWN(SUMIF(P874:P878,O879,J874:J878),0)</f>
        <v>0</v>
      </c>
      <c r="K879" s="497"/>
      <c r="L879" s="446">
        <f>ROUNDDOWN(SUMIF(P874:P878,O879,L874:L878),0)</f>
        <v>140</v>
      </c>
      <c r="M879" s="497"/>
      <c r="O879" s="468" t="s">
        <v>2354</v>
      </c>
    </row>
    <row r="880" spans="1:26" ht="33.200000000000003" customHeight="1">
      <c r="A880" s="484" t="s">
        <v>2854</v>
      </c>
      <c r="B880" s="484"/>
      <c r="C880" s="485"/>
      <c r="D880" s="485"/>
      <c r="E880" s="485"/>
      <c r="F880" s="485"/>
      <c r="G880" s="485"/>
      <c r="H880" s="485"/>
      <c r="I880" s="485"/>
      <c r="J880" s="485"/>
      <c r="K880" s="485"/>
      <c r="L880" s="485"/>
      <c r="M880" s="485"/>
      <c r="N880" s="486" t="str">
        <f>HYPERLINK("#N"&amp;ROW(N882),"_x0005_`BDCOD|B02586_x0007_`POSS|"&amp;ROW(N882)&amp;"_x0007_`POSE|"&amp;ROW(N882)&amp;"_x0007_`")</f>
        <v>_x0005_`BDCOD|B02586_x0007_`POSS|882_x0007_`POSE|882_x0007_`</v>
      </c>
    </row>
    <row r="881" spans="1:26" ht="33.200000000000003" customHeight="1">
      <c r="A881" s="469" t="s">
        <v>1427</v>
      </c>
      <c r="B881" s="469" t="s">
        <v>1428</v>
      </c>
      <c r="C881" s="487"/>
      <c r="D881" s="488" t="s">
        <v>975</v>
      </c>
      <c r="E881" s="487"/>
      <c r="F881" s="487"/>
      <c r="G881" s="487"/>
      <c r="H881" s="487"/>
      <c r="I881" s="487"/>
      <c r="J881" s="487"/>
      <c r="K881" s="487"/>
      <c r="L881" s="487"/>
      <c r="M881" s="488" t="s">
        <v>1429</v>
      </c>
      <c r="O881" s="468" t="s">
        <v>1429</v>
      </c>
    </row>
    <row r="882" spans="1:26" ht="33.200000000000003" customHeight="1">
      <c r="A882" s="452" t="s">
        <v>2695</v>
      </c>
      <c r="B882" s="452" t="s">
        <v>2677</v>
      </c>
      <c r="C882" s="489">
        <v>1</v>
      </c>
      <c r="D882" s="480" t="s">
        <v>1589</v>
      </c>
      <c r="E882" s="490">
        <f>I882+G882+K882</f>
        <v>264000</v>
      </c>
      <c r="F882" s="491">
        <f>J882+H882+L882</f>
        <v>264000</v>
      </c>
      <c r="G882" s="492">
        <v>0</v>
      </c>
      <c r="H882" s="493">
        <f>IF(C882=0,0,ROUNDDOWN(G882*C882,1))</f>
        <v>0</v>
      </c>
      <c r="I882" s="494">
        <f>재료비목록표!E38</f>
        <v>264000</v>
      </c>
      <c r="J882" s="495">
        <f>IF(C882=0,0,ROUNDDOWN(I882*C882,1))</f>
        <v>264000</v>
      </c>
      <c r="K882" s="492">
        <v>0</v>
      </c>
      <c r="L882" s="493">
        <f>IF(C882=0,0,ROUNDDOWN(K882*C882,1))</f>
        <v>0</v>
      </c>
      <c r="M882" s="463" t="s">
        <v>2696</v>
      </c>
      <c r="N882" s="451" t="s">
        <v>2697</v>
      </c>
      <c r="O882" s="468" t="s">
        <v>2698</v>
      </c>
      <c r="P882" s="468" t="s">
        <v>2354</v>
      </c>
      <c r="Z882" s="433" t="str">
        <f ca="1">HYPERLINK("#"&amp;재료비목록표!G2&amp;"!A"&amp;ROW(재료비목록표!A38),"M01461 →")</f>
        <v>M01461 →</v>
      </c>
    </row>
    <row r="883" spans="1:26" ht="33.200000000000003" customHeight="1">
      <c r="A883" s="463" t="s">
        <v>842</v>
      </c>
      <c r="B883" s="497"/>
      <c r="C883" s="497"/>
      <c r="D883" s="497"/>
      <c r="E883" s="497"/>
      <c r="F883" s="446">
        <f>J883+H883+L883</f>
        <v>264000</v>
      </c>
      <c r="G883" s="497"/>
      <c r="H883" s="446">
        <f>ROUNDDOWN(SUMIF(P882:P882,O883,H882:H882),0)</f>
        <v>0</v>
      </c>
      <c r="I883" s="497"/>
      <c r="J883" s="446">
        <f>ROUNDDOWN(SUMIF(P882:P882,O883,J882:J882),0)</f>
        <v>264000</v>
      </c>
      <c r="K883" s="497"/>
      <c r="L883" s="446">
        <f>ROUNDDOWN(SUMIF(P882:P882,O883,L882:L882),0)</f>
        <v>0</v>
      </c>
      <c r="M883" s="497"/>
      <c r="O883" s="468" t="s">
        <v>2354</v>
      </c>
    </row>
    <row r="884" spans="1:26" ht="33.200000000000003" customHeight="1">
      <c r="A884" s="484" t="s">
        <v>2855</v>
      </c>
      <c r="B884" s="484"/>
      <c r="C884" s="485"/>
      <c r="D884" s="485"/>
      <c r="E884" s="485"/>
      <c r="F884" s="485"/>
      <c r="G884" s="485"/>
      <c r="H884" s="485"/>
      <c r="I884" s="485"/>
      <c r="J884" s="485"/>
      <c r="K884" s="485"/>
      <c r="L884" s="485"/>
      <c r="M884" s="485"/>
      <c r="N884" s="486" t="str">
        <f>HYPERLINK("#N"&amp;ROW(N890),"_x0005_`BDCOD|B01925_x0007_`POSS|"&amp;ROW(N886)&amp;"_x0007_`POSE|"&amp;ROW(N890)&amp;"_x0007_`")</f>
        <v>_x0005_`BDCOD|B01925_x0007_`POSS|886_x0007_`POSE|890_x0007_`</v>
      </c>
    </row>
    <row r="885" spans="1:26" ht="33.200000000000003" customHeight="1">
      <c r="A885" s="469" t="s">
        <v>1291</v>
      </c>
      <c r="B885" s="469" t="s">
        <v>1292</v>
      </c>
      <c r="C885" s="487"/>
      <c r="D885" s="488" t="s">
        <v>911</v>
      </c>
      <c r="E885" s="487"/>
      <c r="F885" s="487"/>
      <c r="G885" s="487"/>
      <c r="H885" s="487"/>
      <c r="I885" s="487"/>
      <c r="J885" s="487"/>
      <c r="K885" s="487"/>
      <c r="L885" s="487"/>
      <c r="M885" s="488" t="s">
        <v>1293</v>
      </c>
      <c r="O885" s="468" t="s">
        <v>1293</v>
      </c>
    </row>
    <row r="886" spans="1:26" ht="33.200000000000003" customHeight="1">
      <c r="A886" s="452" t="s">
        <v>2700</v>
      </c>
      <c r="B886" s="452" t="s">
        <v>2701</v>
      </c>
      <c r="C886" s="489">
        <v>1</v>
      </c>
      <c r="D886" s="480" t="s">
        <v>911</v>
      </c>
      <c r="E886" s="490">
        <f t="shared" ref="E886:F890" si="150">I886+G886+K886</f>
        <v>33900</v>
      </c>
      <c r="F886" s="491">
        <f t="shared" si="150"/>
        <v>33900</v>
      </c>
      <c r="G886" s="492">
        <v>0</v>
      </c>
      <c r="H886" s="493">
        <f>IF(C886=0,0,ROUNDDOWN(G886*C886,1))</f>
        <v>0</v>
      </c>
      <c r="I886" s="494">
        <f>재료비목록표!E98</f>
        <v>33900</v>
      </c>
      <c r="J886" s="495">
        <f>IF(C886=0,0,ROUNDDOWN(I886*C886,1))</f>
        <v>33900</v>
      </c>
      <c r="K886" s="492">
        <v>0</v>
      </c>
      <c r="L886" s="493">
        <f>IF(C886=0,0,ROUNDDOWN(K886*C886,1))</f>
        <v>0</v>
      </c>
      <c r="M886" s="463" t="s">
        <v>2702</v>
      </c>
      <c r="N886" s="451" t="s">
        <v>2703</v>
      </c>
      <c r="O886" s="468" t="s">
        <v>2704</v>
      </c>
      <c r="P886" s="468" t="s">
        <v>2354</v>
      </c>
      <c r="Z886" s="433" t="str">
        <f ca="1">HYPERLINK("#"&amp;재료비목록표!G2&amp;"!A"&amp;ROW(재료비목록표!A98),"M01082 →")</f>
        <v>M01082 →</v>
      </c>
    </row>
    <row r="887" spans="1:26" ht="33.200000000000003" customHeight="1">
      <c r="A887" s="452" t="s">
        <v>2705</v>
      </c>
      <c r="B887" s="452" t="s">
        <v>2706</v>
      </c>
      <c r="C887" s="489">
        <v>1</v>
      </c>
      <c r="D887" s="480" t="s">
        <v>911</v>
      </c>
      <c r="E887" s="490">
        <f t="shared" si="150"/>
        <v>5056</v>
      </c>
      <c r="F887" s="493">
        <f t="shared" si="150"/>
        <v>5056</v>
      </c>
      <c r="G887" s="494">
        <f>단가산출근거목록표!F159</f>
        <v>4564</v>
      </c>
      <c r="H887" s="498">
        <f>IF(C887=0,0,ROUNDDOWN(G887*C887,1))</f>
        <v>4564</v>
      </c>
      <c r="I887" s="494">
        <f>단가산출근거목록표!G159</f>
        <v>182</v>
      </c>
      <c r="J887" s="498">
        <f>IF(C887=0,0,ROUNDDOWN(I887*C887,1))</f>
        <v>182</v>
      </c>
      <c r="K887" s="494">
        <f>단가산출근거목록표!H159</f>
        <v>310</v>
      </c>
      <c r="L887" s="498">
        <f>IF(C887=0,0,ROUNDDOWN(K887*C887,1))</f>
        <v>310</v>
      </c>
      <c r="M887" s="463" t="s">
        <v>2707</v>
      </c>
      <c r="N887" s="451" t="s">
        <v>2708</v>
      </c>
      <c r="O887" s="468" t="s">
        <v>2709</v>
      </c>
      <c r="P887" s="468" t="s">
        <v>2354</v>
      </c>
      <c r="Z887" s="433" t="str">
        <f ca="1">HYPERLINK("#"&amp;단가산출근거목록표!J2&amp;"!A"&amp;ROW(단가산출근거목록표!A159),"D01270 →")</f>
        <v>D01270 →</v>
      </c>
    </row>
    <row r="888" spans="1:26" ht="33.200000000000003" customHeight="1">
      <c r="A888" s="452" t="s">
        <v>2710</v>
      </c>
      <c r="B888" s="452" t="s">
        <v>2711</v>
      </c>
      <c r="C888" s="489">
        <v>2.4700000000000002</v>
      </c>
      <c r="D888" s="480" t="s">
        <v>8</v>
      </c>
      <c r="E888" s="490">
        <f t="shared" si="150"/>
        <v>7809</v>
      </c>
      <c r="F888" s="493">
        <f t="shared" si="150"/>
        <v>19288.100000000002</v>
      </c>
      <c r="G888" s="494">
        <f>단가산출근거목록표!F59</f>
        <v>7053</v>
      </c>
      <c r="H888" s="498">
        <f>IF(C888=0,0,ROUNDDOWN(G888*C888,1))</f>
        <v>17420.900000000001</v>
      </c>
      <c r="I888" s="494">
        <f>단가산출근거목록표!G59</f>
        <v>335</v>
      </c>
      <c r="J888" s="498">
        <f>IF(C888=0,0,ROUNDDOWN(I888*C888,1))</f>
        <v>827.4</v>
      </c>
      <c r="K888" s="494">
        <f>단가산출근거목록표!H59</f>
        <v>421</v>
      </c>
      <c r="L888" s="498">
        <f>IF(C888=0,0,ROUNDDOWN(K888*C888,1))</f>
        <v>1039.8</v>
      </c>
      <c r="M888" s="463" t="s">
        <v>2712</v>
      </c>
      <c r="N888" s="451" t="s">
        <v>2713</v>
      </c>
      <c r="O888" s="468" t="s">
        <v>2714</v>
      </c>
      <c r="P888" s="468" t="s">
        <v>2354</v>
      </c>
      <c r="Z888" s="433" t="str">
        <f ca="1">HYPERLINK("#"&amp;단가산출근거목록표!J2&amp;"!A"&amp;ROW(단가산출근거목록표!A59),"D01272 →")</f>
        <v>D01272 →</v>
      </c>
    </row>
    <row r="889" spans="1:26" ht="33.200000000000003" customHeight="1">
      <c r="A889" s="452" t="s">
        <v>2715</v>
      </c>
      <c r="B889" s="452" t="s">
        <v>2716</v>
      </c>
      <c r="C889" s="489">
        <v>2.39</v>
      </c>
      <c r="D889" s="480" t="s">
        <v>8</v>
      </c>
      <c r="E889" s="490">
        <f t="shared" si="150"/>
        <v>12430</v>
      </c>
      <c r="F889" s="493">
        <f t="shared" si="150"/>
        <v>29707.600000000002</v>
      </c>
      <c r="G889" s="494">
        <f>단가산출근거목록표!F55</f>
        <v>11169</v>
      </c>
      <c r="H889" s="498">
        <f>IF(C889=0,0,ROUNDDOWN(G889*C889,1))</f>
        <v>26693.9</v>
      </c>
      <c r="I889" s="494">
        <f>단가산출근거목록표!G55</f>
        <v>725</v>
      </c>
      <c r="J889" s="498">
        <f>IF(C889=0,0,ROUNDDOWN(I889*C889,1))</f>
        <v>1732.7</v>
      </c>
      <c r="K889" s="494">
        <f>단가산출근거목록표!H55</f>
        <v>536</v>
      </c>
      <c r="L889" s="498">
        <f>IF(C889=0,0,ROUNDDOWN(K889*C889,1))</f>
        <v>1281</v>
      </c>
      <c r="M889" s="463" t="s">
        <v>2717</v>
      </c>
      <c r="N889" s="451" t="s">
        <v>2718</v>
      </c>
      <c r="O889" s="468" t="s">
        <v>2719</v>
      </c>
      <c r="P889" s="468" t="s">
        <v>2354</v>
      </c>
      <c r="Z889" s="433" t="str">
        <f ca="1">HYPERLINK("#"&amp;단가산출근거목록표!J2&amp;"!A"&amp;ROW(단가산출근거목록표!A55),"D00784 →")</f>
        <v>D00784 →</v>
      </c>
    </row>
    <row r="890" spans="1:26" ht="33.200000000000003" customHeight="1">
      <c r="A890" s="452" t="s">
        <v>2720</v>
      </c>
      <c r="B890" s="452" t="s">
        <v>2721</v>
      </c>
      <c r="C890" s="489">
        <v>0.08</v>
      </c>
      <c r="D890" s="480" t="s">
        <v>8</v>
      </c>
      <c r="E890" s="490">
        <f t="shared" si="150"/>
        <v>1814</v>
      </c>
      <c r="F890" s="493">
        <f t="shared" si="150"/>
        <v>145</v>
      </c>
      <c r="G890" s="494">
        <f>단가산출근거목록표!F56</f>
        <v>1039</v>
      </c>
      <c r="H890" s="498">
        <f>IF(C890=0,0,ROUNDDOWN(G890*C890,1))</f>
        <v>83.1</v>
      </c>
      <c r="I890" s="494">
        <f>단가산출근거목록표!G56</f>
        <v>343</v>
      </c>
      <c r="J890" s="498">
        <f>IF(C890=0,0,ROUNDDOWN(I890*C890,1))</f>
        <v>27.4</v>
      </c>
      <c r="K890" s="494">
        <f>단가산출근거목록표!H56</f>
        <v>432</v>
      </c>
      <c r="L890" s="498">
        <f>IF(C890=0,0,ROUNDDOWN(K890*C890,1))</f>
        <v>34.5</v>
      </c>
      <c r="M890" s="463" t="s">
        <v>2722</v>
      </c>
      <c r="N890" s="451" t="s">
        <v>2723</v>
      </c>
      <c r="O890" s="468" t="s">
        <v>2724</v>
      </c>
      <c r="P890" s="468" t="s">
        <v>2354</v>
      </c>
      <c r="Z890" s="433" t="str">
        <f ca="1">HYPERLINK("#"&amp;단가산출근거목록표!J2&amp;"!A"&amp;ROW(단가산출근거목록표!A56),"D00787 →")</f>
        <v>D00787 →</v>
      </c>
    </row>
    <row r="891" spans="1:26" ht="33.200000000000003" customHeight="1">
      <c r="A891" s="463" t="s">
        <v>842</v>
      </c>
      <c r="B891" s="497"/>
      <c r="C891" s="497"/>
      <c r="D891" s="497"/>
      <c r="E891" s="497"/>
      <c r="F891" s="446">
        <f>J891+H891+L891</f>
        <v>88095</v>
      </c>
      <c r="G891" s="497"/>
      <c r="H891" s="446">
        <f>ROUNDDOWN(SUMIF(P886:P890,O891,H886:H890),0)</f>
        <v>48761</v>
      </c>
      <c r="I891" s="497"/>
      <c r="J891" s="446">
        <f>ROUNDDOWN(SUMIF(P886:P890,O891,J886:J890),0)</f>
        <v>36669</v>
      </c>
      <c r="K891" s="497"/>
      <c r="L891" s="446">
        <f>ROUNDDOWN(SUMIF(P886:P890,O891,L886:L890),0)</f>
        <v>2665</v>
      </c>
      <c r="M891" s="497"/>
      <c r="O891" s="468" t="s">
        <v>2354</v>
      </c>
    </row>
    <row r="892" spans="1:26" ht="33.200000000000003" customHeight="1">
      <c r="A892" s="484" t="s">
        <v>2856</v>
      </c>
      <c r="B892" s="484"/>
      <c r="C892" s="485"/>
      <c r="D892" s="485"/>
      <c r="E892" s="485"/>
      <c r="F892" s="485"/>
      <c r="G892" s="485"/>
      <c r="H892" s="485"/>
      <c r="I892" s="485"/>
      <c r="J892" s="485"/>
      <c r="K892" s="485"/>
      <c r="L892" s="485"/>
      <c r="M892" s="485"/>
      <c r="N892" s="486" t="str">
        <f>HYPERLINK("#N"&amp;ROW(N898),"_x0005_`BDCOD|B01926_x0007_`POSS|"&amp;ROW(N894)&amp;"_x0007_`POSE|"&amp;ROW(N898)&amp;"_x0007_`")</f>
        <v>_x0005_`BDCOD|B01926_x0007_`POSS|894_x0007_`POSE|898_x0007_`</v>
      </c>
    </row>
    <row r="893" spans="1:26" ht="33.200000000000003" customHeight="1">
      <c r="A893" s="469" t="s">
        <v>1291</v>
      </c>
      <c r="B893" s="469" t="s">
        <v>1296</v>
      </c>
      <c r="C893" s="487"/>
      <c r="D893" s="488" t="s">
        <v>911</v>
      </c>
      <c r="E893" s="487"/>
      <c r="F893" s="487"/>
      <c r="G893" s="487"/>
      <c r="H893" s="487"/>
      <c r="I893" s="487"/>
      <c r="J893" s="487"/>
      <c r="K893" s="487"/>
      <c r="L893" s="487"/>
      <c r="M893" s="488" t="s">
        <v>1297</v>
      </c>
      <c r="O893" s="468" t="s">
        <v>1297</v>
      </c>
    </row>
    <row r="894" spans="1:26" ht="33.200000000000003" customHeight="1">
      <c r="A894" s="452" t="s">
        <v>2700</v>
      </c>
      <c r="B894" s="452" t="s">
        <v>2726</v>
      </c>
      <c r="C894" s="489">
        <v>1</v>
      </c>
      <c r="D894" s="480" t="s">
        <v>911</v>
      </c>
      <c r="E894" s="490">
        <f t="shared" ref="E894:F898" si="151">I894+G894+K894</f>
        <v>77500</v>
      </c>
      <c r="F894" s="491">
        <f t="shared" si="151"/>
        <v>77500</v>
      </c>
      <c r="G894" s="492">
        <v>0</v>
      </c>
      <c r="H894" s="493">
        <f>IF(C894=0,0,ROUNDDOWN(G894*C894,1))</f>
        <v>0</v>
      </c>
      <c r="I894" s="494">
        <f>재료비목록표!E99</f>
        <v>77500</v>
      </c>
      <c r="J894" s="495">
        <f>IF(C894=0,0,ROUNDDOWN(I894*C894,1))</f>
        <v>77500</v>
      </c>
      <c r="K894" s="492">
        <v>0</v>
      </c>
      <c r="L894" s="493">
        <f>IF(C894=0,0,ROUNDDOWN(K894*C894,1))</f>
        <v>0</v>
      </c>
      <c r="M894" s="463" t="s">
        <v>2727</v>
      </c>
      <c r="N894" s="451" t="s">
        <v>2728</v>
      </c>
      <c r="O894" s="468" t="s">
        <v>2729</v>
      </c>
      <c r="P894" s="468" t="s">
        <v>2354</v>
      </c>
      <c r="Z894" s="433" t="str">
        <f ca="1">HYPERLINK("#"&amp;재료비목록표!G2&amp;"!A"&amp;ROW(재료비목록표!A99),"M01081 →")</f>
        <v>M01081 →</v>
      </c>
    </row>
    <row r="895" spans="1:26" ht="33.200000000000003" customHeight="1">
      <c r="A895" s="452" t="s">
        <v>2705</v>
      </c>
      <c r="B895" s="452" t="s">
        <v>2730</v>
      </c>
      <c r="C895" s="489">
        <v>1</v>
      </c>
      <c r="D895" s="480" t="s">
        <v>911</v>
      </c>
      <c r="E895" s="490">
        <f t="shared" si="151"/>
        <v>12239</v>
      </c>
      <c r="F895" s="493">
        <f t="shared" si="151"/>
        <v>12239</v>
      </c>
      <c r="G895" s="494">
        <f>단가산출근거목록표!F160</f>
        <v>11393</v>
      </c>
      <c r="H895" s="498">
        <f>IF(C895=0,0,ROUNDDOWN(G895*C895,1))</f>
        <v>11393</v>
      </c>
      <c r="I895" s="494">
        <f>단가산출근거목록표!G160</f>
        <v>281</v>
      </c>
      <c r="J895" s="498">
        <f>IF(C895=0,0,ROUNDDOWN(I895*C895,1))</f>
        <v>281</v>
      </c>
      <c r="K895" s="494">
        <f>단가산출근거목록표!H160</f>
        <v>565</v>
      </c>
      <c r="L895" s="498">
        <f>IF(C895=0,0,ROUNDDOWN(K895*C895,1))</f>
        <v>565</v>
      </c>
      <c r="M895" s="463" t="s">
        <v>2731</v>
      </c>
      <c r="N895" s="451" t="s">
        <v>2732</v>
      </c>
      <c r="O895" s="468" t="s">
        <v>2733</v>
      </c>
      <c r="P895" s="468" t="s">
        <v>2354</v>
      </c>
      <c r="Z895" s="433" t="str">
        <f ca="1">HYPERLINK("#"&amp;단가산출근거목록표!J2&amp;"!A"&amp;ROW(단가산출근거목록표!A160),"D01271 →")</f>
        <v>D01271 →</v>
      </c>
    </row>
    <row r="896" spans="1:26" ht="33.200000000000003" customHeight="1">
      <c r="A896" s="452" t="s">
        <v>2710</v>
      </c>
      <c r="B896" s="452" t="s">
        <v>2711</v>
      </c>
      <c r="C896" s="489">
        <v>3.78</v>
      </c>
      <c r="D896" s="480" t="s">
        <v>8</v>
      </c>
      <c r="E896" s="490">
        <f t="shared" si="151"/>
        <v>7809</v>
      </c>
      <c r="F896" s="493">
        <f t="shared" si="151"/>
        <v>29517.899999999998</v>
      </c>
      <c r="G896" s="494">
        <f>단가산출근거목록표!F59</f>
        <v>7053</v>
      </c>
      <c r="H896" s="498">
        <f>IF(C896=0,0,ROUNDDOWN(G896*C896,1))</f>
        <v>26660.3</v>
      </c>
      <c r="I896" s="494">
        <f>단가산출근거목록표!G59</f>
        <v>335</v>
      </c>
      <c r="J896" s="498">
        <f>IF(C896=0,0,ROUNDDOWN(I896*C896,1))</f>
        <v>1266.3</v>
      </c>
      <c r="K896" s="494">
        <f>단가산출근거목록표!H59</f>
        <v>421</v>
      </c>
      <c r="L896" s="498">
        <f>IF(C896=0,0,ROUNDDOWN(K896*C896,1))</f>
        <v>1591.3</v>
      </c>
      <c r="M896" s="463" t="s">
        <v>2712</v>
      </c>
      <c r="N896" s="451" t="s">
        <v>2713</v>
      </c>
      <c r="O896" s="468" t="s">
        <v>2714</v>
      </c>
      <c r="P896" s="468" t="s">
        <v>2354</v>
      </c>
      <c r="Z896" s="433" t="str">
        <f ca="1">HYPERLINK("#"&amp;단가산출근거목록표!J2&amp;"!A"&amp;ROW(단가산출근거목록표!A59),"D01272 →")</f>
        <v>D01272 →</v>
      </c>
    </row>
    <row r="897" spans="1:26" ht="33.200000000000003" customHeight="1">
      <c r="A897" s="452" t="s">
        <v>2715</v>
      </c>
      <c r="B897" s="452" t="s">
        <v>2716</v>
      </c>
      <c r="C897" s="489">
        <v>3.49</v>
      </c>
      <c r="D897" s="480" t="s">
        <v>8</v>
      </c>
      <c r="E897" s="490">
        <f t="shared" si="151"/>
        <v>12430</v>
      </c>
      <c r="F897" s="493">
        <f t="shared" si="151"/>
        <v>43380.6</v>
      </c>
      <c r="G897" s="494">
        <f>단가산출근거목록표!F55</f>
        <v>11169</v>
      </c>
      <c r="H897" s="498">
        <f>IF(C897=0,0,ROUNDDOWN(G897*C897,1))</f>
        <v>38979.800000000003</v>
      </c>
      <c r="I897" s="494">
        <f>단가산출근거목록표!G55</f>
        <v>725</v>
      </c>
      <c r="J897" s="498">
        <f>IF(C897=0,0,ROUNDDOWN(I897*C897,1))</f>
        <v>2530.1999999999998</v>
      </c>
      <c r="K897" s="494">
        <f>단가산출근거목록표!H55</f>
        <v>536</v>
      </c>
      <c r="L897" s="498">
        <f>IF(C897=0,0,ROUNDDOWN(K897*C897,1))</f>
        <v>1870.6</v>
      </c>
      <c r="M897" s="463" t="s">
        <v>2717</v>
      </c>
      <c r="N897" s="451" t="s">
        <v>2718</v>
      </c>
      <c r="O897" s="468" t="s">
        <v>2719</v>
      </c>
      <c r="P897" s="468" t="s">
        <v>2354</v>
      </c>
      <c r="Z897" s="433" t="str">
        <f ca="1">HYPERLINK("#"&amp;단가산출근거목록표!J2&amp;"!A"&amp;ROW(단가산출근거목록표!A55),"D00784 →")</f>
        <v>D00784 →</v>
      </c>
    </row>
    <row r="898" spans="1:26" ht="33.200000000000003" customHeight="1">
      <c r="A898" s="452" t="s">
        <v>2720</v>
      </c>
      <c r="B898" s="452" t="s">
        <v>2721</v>
      </c>
      <c r="C898" s="489">
        <v>0.28999999999999998</v>
      </c>
      <c r="D898" s="480" t="s">
        <v>8</v>
      </c>
      <c r="E898" s="490">
        <f t="shared" si="151"/>
        <v>1814</v>
      </c>
      <c r="F898" s="493">
        <f t="shared" si="151"/>
        <v>525.90000000000009</v>
      </c>
      <c r="G898" s="494">
        <f>단가산출근거목록표!F56</f>
        <v>1039</v>
      </c>
      <c r="H898" s="498">
        <f>IF(C898=0,0,ROUNDDOWN(G898*C898,1))</f>
        <v>301.3</v>
      </c>
      <c r="I898" s="494">
        <f>단가산출근거목록표!G56</f>
        <v>343</v>
      </c>
      <c r="J898" s="498">
        <f>IF(C898=0,0,ROUNDDOWN(I898*C898,1))</f>
        <v>99.4</v>
      </c>
      <c r="K898" s="494">
        <f>단가산출근거목록표!H56</f>
        <v>432</v>
      </c>
      <c r="L898" s="498">
        <f>IF(C898=0,0,ROUNDDOWN(K898*C898,1))</f>
        <v>125.2</v>
      </c>
      <c r="M898" s="463" t="s">
        <v>2722</v>
      </c>
      <c r="N898" s="451" t="s">
        <v>2723</v>
      </c>
      <c r="O898" s="468" t="s">
        <v>2724</v>
      </c>
      <c r="P898" s="468" t="s">
        <v>2354</v>
      </c>
      <c r="Z898" s="433" t="str">
        <f ca="1">HYPERLINK("#"&amp;단가산출근거목록표!J2&amp;"!A"&amp;ROW(단가산출근거목록표!A56),"D00787 →")</f>
        <v>D00787 →</v>
      </c>
    </row>
    <row r="899" spans="1:26" ht="33.200000000000003" customHeight="1">
      <c r="A899" s="463" t="s">
        <v>842</v>
      </c>
      <c r="B899" s="497"/>
      <c r="C899" s="497"/>
      <c r="D899" s="497"/>
      <c r="E899" s="497"/>
      <c r="F899" s="446">
        <f>J899+H899+L899</f>
        <v>163162</v>
      </c>
      <c r="G899" s="497"/>
      <c r="H899" s="446">
        <f>ROUNDDOWN(SUMIF(P894:P898,O899,H894:H898),0)</f>
        <v>77334</v>
      </c>
      <c r="I899" s="497"/>
      <c r="J899" s="446">
        <f>ROUNDDOWN(SUMIF(P894:P898,O899,J894:J898),0)</f>
        <v>81676</v>
      </c>
      <c r="K899" s="497"/>
      <c r="L899" s="446">
        <f>ROUNDDOWN(SUMIF(P894:P898,O899,L894:L898),0)</f>
        <v>4152</v>
      </c>
      <c r="M899" s="497"/>
      <c r="O899" s="468" t="s">
        <v>2354</v>
      </c>
    </row>
    <row r="900" spans="1:26" ht="33.200000000000003" customHeight="1">
      <c r="A900" s="484" t="s">
        <v>2857</v>
      </c>
      <c r="B900" s="484"/>
      <c r="C900" s="485"/>
      <c r="D900" s="485"/>
      <c r="E900" s="485"/>
      <c r="F900" s="485"/>
      <c r="G900" s="485"/>
      <c r="H900" s="485"/>
      <c r="I900" s="485"/>
      <c r="J900" s="485"/>
      <c r="K900" s="485"/>
      <c r="L900" s="485"/>
      <c r="M900" s="485"/>
      <c r="N900" s="486" t="str">
        <f>HYPERLINK("#N"&amp;ROW(N905),"_x0005_`BDCOD|B02381_x0007_`POSS|"&amp;ROW(N902)&amp;"_x0007_`POSE|"&amp;ROW(N905)&amp;"_x0007_`")</f>
        <v>_x0005_`BDCOD|B02381_x0007_`POSS|902_x0007_`POSE|905_x0007_`</v>
      </c>
    </row>
    <row r="901" spans="1:26" ht="33.200000000000003" customHeight="1">
      <c r="A901" s="469" t="s">
        <v>1181</v>
      </c>
      <c r="B901" s="469" t="s">
        <v>1190</v>
      </c>
      <c r="C901" s="487"/>
      <c r="D901" s="488" t="s">
        <v>911</v>
      </c>
      <c r="E901" s="487"/>
      <c r="F901" s="487"/>
      <c r="G901" s="487"/>
      <c r="H901" s="487"/>
      <c r="I901" s="487"/>
      <c r="J901" s="487"/>
      <c r="K901" s="487"/>
      <c r="L901" s="487"/>
      <c r="M901" s="488" t="s">
        <v>1191</v>
      </c>
      <c r="O901" s="468" t="s">
        <v>1191</v>
      </c>
    </row>
    <row r="902" spans="1:26" ht="33.200000000000003" customHeight="1">
      <c r="A902" s="452" t="s">
        <v>2735</v>
      </c>
      <c r="B902" s="452" t="s">
        <v>2736</v>
      </c>
      <c r="C902" s="489">
        <v>1</v>
      </c>
      <c r="D902" s="480" t="s">
        <v>8</v>
      </c>
      <c r="E902" s="490">
        <f t="shared" ref="E902:F905" si="152">I902+G902+K902</f>
        <v>29389</v>
      </c>
      <c r="F902" s="493">
        <f t="shared" si="152"/>
        <v>29389</v>
      </c>
      <c r="G902" s="494">
        <f>단가산출근거목록표!F170</f>
        <v>28442</v>
      </c>
      <c r="H902" s="498">
        <f>IF(C902=0,0,ROUNDDOWN(G902*C902,1))</f>
        <v>28442</v>
      </c>
      <c r="I902" s="494">
        <f>단가산출근거목록표!G170</f>
        <v>647</v>
      </c>
      <c r="J902" s="498">
        <f>IF(C902=0,0,ROUNDDOWN(I902*C902,1))</f>
        <v>647</v>
      </c>
      <c r="K902" s="494">
        <f>단가산출근거목록표!H170</f>
        <v>300</v>
      </c>
      <c r="L902" s="498">
        <f>IF(C902=0,0,ROUNDDOWN(K902*C902,1))</f>
        <v>300</v>
      </c>
      <c r="M902" s="463" t="s">
        <v>2737</v>
      </c>
      <c r="N902" s="451" t="s">
        <v>2738</v>
      </c>
      <c r="O902" s="468" t="s">
        <v>2739</v>
      </c>
      <c r="P902" s="468" t="s">
        <v>2354</v>
      </c>
      <c r="Q902" s="468" t="s">
        <v>2355</v>
      </c>
      <c r="Z902" s="433" t="str">
        <f ca="1">HYPERLINK("#"&amp;단가산출근거목록표!J2&amp;"!A"&amp;ROW(단가산출근거목록표!A170),"D01273 →")</f>
        <v>D01273 →</v>
      </c>
    </row>
    <row r="903" spans="1:26" ht="33.200000000000003" customHeight="1">
      <c r="A903" s="452" t="s">
        <v>2740</v>
      </c>
      <c r="B903" s="452" t="s">
        <v>2741</v>
      </c>
      <c r="C903" s="489">
        <v>1</v>
      </c>
      <c r="D903" s="480" t="s">
        <v>595</v>
      </c>
      <c r="E903" s="490">
        <f t="shared" si="152"/>
        <v>7138</v>
      </c>
      <c r="F903" s="493">
        <f t="shared" si="152"/>
        <v>7138</v>
      </c>
      <c r="G903" s="494">
        <f>단가산출근거목록표!F70</f>
        <v>7138</v>
      </c>
      <c r="H903" s="498">
        <f>IF(C903=0,0,ROUNDDOWN(G903*C903,1))</f>
        <v>7138</v>
      </c>
      <c r="I903" s="494">
        <f>단가산출근거목록표!G70</f>
        <v>0</v>
      </c>
      <c r="J903" s="498">
        <f>IF(C903=0,0,ROUNDDOWN(I903*C903,1))</f>
        <v>0</v>
      </c>
      <c r="K903" s="494">
        <f>단가산출근거목록표!H70</f>
        <v>0</v>
      </c>
      <c r="L903" s="498">
        <f>IF(C903=0,0,ROUNDDOWN(K903*C903,1))</f>
        <v>0</v>
      </c>
      <c r="M903" s="463" t="s">
        <v>2742</v>
      </c>
      <c r="N903" s="451" t="s">
        <v>2743</v>
      </c>
      <c r="O903" s="468" t="s">
        <v>2744</v>
      </c>
      <c r="P903" s="468" t="s">
        <v>2354</v>
      </c>
      <c r="Q903" s="468" t="s">
        <v>2355</v>
      </c>
      <c r="Z903" s="433" t="str">
        <f ca="1">HYPERLINK("#"&amp;단가산출근거목록표!J2&amp;"!A"&amp;ROW(단가산출근거목록표!A70),"D01136 →")</f>
        <v>D01136 →</v>
      </c>
    </row>
    <row r="904" spans="1:26" ht="33.200000000000003" customHeight="1">
      <c r="A904" s="452" t="s">
        <v>2745</v>
      </c>
      <c r="B904" s="452" t="s">
        <v>2746</v>
      </c>
      <c r="C904" s="489">
        <v>1</v>
      </c>
      <c r="D904" s="480" t="s">
        <v>911</v>
      </c>
      <c r="E904" s="490">
        <f t="shared" si="152"/>
        <v>28000</v>
      </c>
      <c r="F904" s="491">
        <f t="shared" si="152"/>
        <v>28000</v>
      </c>
      <c r="G904" s="492">
        <v>0</v>
      </c>
      <c r="H904" s="493">
        <f>IF(C904=0,0,ROUNDDOWN(G904*C904,1))</f>
        <v>0</v>
      </c>
      <c r="I904" s="494">
        <f>재료비목록표!E41</f>
        <v>28000</v>
      </c>
      <c r="J904" s="495">
        <f>IF(C904=0,0,ROUNDDOWN(I904*C904,1))</f>
        <v>28000</v>
      </c>
      <c r="K904" s="492">
        <v>0</v>
      </c>
      <c r="L904" s="493">
        <f>IF(C904=0,0,ROUNDDOWN(K904*C904,1))</f>
        <v>0</v>
      </c>
      <c r="M904" s="463" t="s">
        <v>2747</v>
      </c>
      <c r="N904" s="451" t="s">
        <v>2748</v>
      </c>
      <c r="O904" s="468" t="s">
        <v>2749</v>
      </c>
      <c r="P904" s="468" t="s">
        <v>2354</v>
      </c>
      <c r="Z904" s="433" t="str">
        <f ca="1">HYPERLINK("#"&amp;재료비목록표!G2&amp;"!A"&amp;ROW(재료비목록표!A41),"M01442 →")</f>
        <v>M01442 →</v>
      </c>
    </row>
    <row r="905" spans="1:26" ht="33.200000000000003" customHeight="1">
      <c r="A905" s="452" t="s">
        <v>2364</v>
      </c>
      <c r="B905" s="452" t="s">
        <v>2750</v>
      </c>
      <c r="C905" s="489">
        <v>2.2000000000000002</v>
      </c>
      <c r="D905" s="480" t="s">
        <v>1589</v>
      </c>
      <c r="E905" s="490">
        <f t="shared" si="152"/>
        <v>850</v>
      </c>
      <c r="F905" s="491">
        <f t="shared" si="152"/>
        <v>1870</v>
      </c>
      <c r="G905" s="492">
        <v>0</v>
      </c>
      <c r="H905" s="493">
        <f>IF(C905=0,0,ROUNDDOWN(G905*C905,1))</f>
        <v>0</v>
      </c>
      <c r="I905" s="494">
        <f>재료비목록표!E11</f>
        <v>850</v>
      </c>
      <c r="J905" s="495">
        <f>IF(C905=0,0,ROUNDDOWN(I905*C905,1))</f>
        <v>1870</v>
      </c>
      <c r="K905" s="492">
        <v>0</v>
      </c>
      <c r="L905" s="493">
        <f>IF(C905=0,0,ROUNDDOWN(K905*C905,1))</f>
        <v>0</v>
      </c>
      <c r="M905" s="463" t="s">
        <v>2751</v>
      </c>
      <c r="N905" s="451" t="s">
        <v>2752</v>
      </c>
      <c r="O905" s="468" t="s">
        <v>2753</v>
      </c>
      <c r="P905" s="468" t="s">
        <v>2354</v>
      </c>
      <c r="Z905" s="433" t="str">
        <f ca="1">HYPERLINK("#"&amp;재료비목록표!G2&amp;"!A"&amp;ROW(재료비목록표!A11),"M01205 →")</f>
        <v>M01205 →</v>
      </c>
    </row>
    <row r="906" spans="1:26" ht="33.200000000000003" customHeight="1">
      <c r="A906" s="463" t="s">
        <v>842</v>
      </c>
      <c r="B906" s="497"/>
      <c r="C906" s="497"/>
      <c r="D906" s="497"/>
      <c r="E906" s="497"/>
      <c r="F906" s="446">
        <f>J906+H906+L906</f>
        <v>66397</v>
      </c>
      <c r="G906" s="497"/>
      <c r="H906" s="446">
        <f>ROUNDDOWN(SUMIF(P902:P905,O906,H902:H905),0)</f>
        <v>35580</v>
      </c>
      <c r="I906" s="497"/>
      <c r="J906" s="446">
        <f>ROUNDDOWN(SUMIF(P902:P905,O906,J902:J905),0)</f>
        <v>30517</v>
      </c>
      <c r="K906" s="497"/>
      <c r="L906" s="446">
        <f>ROUNDDOWN(SUMIF(P902:P905,O906,L902:L905),0)</f>
        <v>300</v>
      </c>
      <c r="M906" s="497"/>
      <c r="O906" s="468" t="s">
        <v>2354</v>
      </c>
    </row>
    <row r="907" spans="1:26" ht="33.200000000000003" customHeight="1">
      <c r="A907" s="484" t="s">
        <v>2858</v>
      </c>
      <c r="B907" s="484"/>
      <c r="C907" s="485"/>
      <c r="D907" s="485"/>
      <c r="E907" s="485"/>
      <c r="F907" s="485"/>
      <c r="G907" s="485"/>
      <c r="H907" s="485"/>
      <c r="I907" s="485"/>
      <c r="J907" s="485"/>
      <c r="K907" s="485"/>
      <c r="L907" s="485"/>
      <c r="M907" s="485"/>
      <c r="N907" s="486" t="str">
        <f>HYPERLINK("#N"&amp;ROW(N912),"_x0005_`BDCOD|B02583_x0007_`POSS|"&amp;ROW(N909)&amp;"_x0007_`POSE|"&amp;ROW(N912)&amp;"_x0007_`")</f>
        <v>_x0005_`BDCOD|B02583_x0007_`POSS|909_x0007_`POSE|912_x0007_`</v>
      </c>
    </row>
    <row r="908" spans="1:26" ht="33.200000000000003" customHeight="1">
      <c r="A908" s="469" t="s">
        <v>1181</v>
      </c>
      <c r="B908" s="469" t="s">
        <v>1206</v>
      </c>
      <c r="C908" s="487"/>
      <c r="D908" s="488" t="s">
        <v>911</v>
      </c>
      <c r="E908" s="487"/>
      <c r="F908" s="487"/>
      <c r="G908" s="487"/>
      <c r="H908" s="487"/>
      <c r="I908" s="487"/>
      <c r="J908" s="487"/>
      <c r="K908" s="487"/>
      <c r="L908" s="487"/>
      <c r="M908" s="488" t="s">
        <v>1222</v>
      </c>
      <c r="O908" s="468" t="s">
        <v>1222</v>
      </c>
    </row>
    <row r="909" spans="1:26" ht="33.200000000000003" customHeight="1">
      <c r="A909" s="452" t="s">
        <v>2735</v>
      </c>
      <c r="B909" s="452" t="s">
        <v>2736</v>
      </c>
      <c r="C909" s="489">
        <v>1</v>
      </c>
      <c r="D909" s="480" t="s">
        <v>8</v>
      </c>
      <c r="E909" s="490">
        <f t="shared" ref="E909:F912" si="153">I909+G909+K909</f>
        <v>29389</v>
      </c>
      <c r="F909" s="493">
        <f t="shared" si="153"/>
        <v>29389</v>
      </c>
      <c r="G909" s="494">
        <f>단가산출근거목록표!F170</f>
        <v>28442</v>
      </c>
      <c r="H909" s="498">
        <f>IF(C909=0,0,ROUNDDOWN(G909*C909,1))</f>
        <v>28442</v>
      </c>
      <c r="I909" s="494">
        <f>단가산출근거목록표!G170</f>
        <v>647</v>
      </c>
      <c r="J909" s="498">
        <f>IF(C909=0,0,ROUNDDOWN(I909*C909,1))</f>
        <v>647</v>
      </c>
      <c r="K909" s="494">
        <f>단가산출근거목록표!H170</f>
        <v>300</v>
      </c>
      <c r="L909" s="498">
        <f>IF(C909=0,0,ROUNDDOWN(K909*C909,1))</f>
        <v>300</v>
      </c>
      <c r="M909" s="463" t="s">
        <v>2737</v>
      </c>
      <c r="N909" s="451" t="s">
        <v>2738</v>
      </c>
      <c r="O909" s="468" t="s">
        <v>2739</v>
      </c>
      <c r="P909" s="468" t="s">
        <v>2354</v>
      </c>
      <c r="Q909" s="468" t="s">
        <v>2355</v>
      </c>
      <c r="Z909" s="433" t="str">
        <f ca="1">HYPERLINK("#"&amp;단가산출근거목록표!J2&amp;"!A"&amp;ROW(단가산출근거목록표!A170),"D01273 →")</f>
        <v>D01273 →</v>
      </c>
    </row>
    <row r="910" spans="1:26" ht="33.200000000000003" customHeight="1">
      <c r="A910" s="452" t="s">
        <v>2740</v>
      </c>
      <c r="B910" s="452" t="s">
        <v>2741</v>
      </c>
      <c r="C910" s="489">
        <v>1</v>
      </c>
      <c r="D910" s="480" t="s">
        <v>595</v>
      </c>
      <c r="E910" s="490">
        <f t="shared" si="153"/>
        <v>7138</v>
      </c>
      <c r="F910" s="493">
        <f t="shared" si="153"/>
        <v>7138</v>
      </c>
      <c r="G910" s="494">
        <f>단가산출근거목록표!F70</f>
        <v>7138</v>
      </c>
      <c r="H910" s="498">
        <f>IF(C910=0,0,ROUNDDOWN(G910*C910,1))</f>
        <v>7138</v>
      </c>
      <c r="I910" s="494">
        <f>단가산출근거목록표!G70</f>
        <v>0</v>
      </c>
      <c r="J910" s="498">
        <f>IF(C910=0,0,ROUNDDOWN(I910*C910,1))</f>
        <v>0</v>
      </c>
      <c r="K910" s="494">
        <f>단가산출근거목록표!H70</f>
        <v>0</v>
      </c>
      <c r="L910" s="498">
        <f>IF(C910=0,0,ROUNDDOWN(K910*C910,1))</f>
        <v>0</v>
      </c>
      <c r="M910" s="463" t="s">
        <v>2742</v>
      </c>
      <c r="N910" s="451" t="s">
        <v>2743</v>
      </c>
      <c r="O910" s="468" t="s">
        <v>2744</v>
      </c>
      <c r="P910" s="468" t="s">
        <v>2354</v>
      </c>
      <c r="Q910" s="468" t="s">
        <v>2355</v>
      </c>
      <c r="Z910" s="433" t="str">
        <f ca="1">HYPERLINK("#"&amp;단가산출근거목록표!J2&amp;"!A"&amp;ROW(단가산출근거목록표!A70),"D01136 →")</f>
        <v>D01136 →</v>
      </c>
    </row>
    <row r="911" spans="1:26" ht="33.200000000000003" customHeight="1">
      <c r="A911" s="452" t="s">
        <v>2755</v>
      </c>
      <c r="B911" s="452" t="s">
        <v>2746</v>
      </c>
      <c r="C911" s="489">
        <v>1</v>
      </c>
      <c r="D911" s="480" t="s">
        <v>911</v>
      </c>
      <c r="E911" s="490">
        <f t="shared" si="153"/>
        <v>52500</v>
      </c>
      <c r="F911" s="491">
        <f t="shared" si="153"/>
        <v>52500</v>
      </c>
      <c r="G911" s="492">
        <v>0</v>
      </c>
      <c r="H911" s="493">
        <f>IF(C911=0,0,ROUNDDOWN(G911*C911,1))</f>
        <v>0</v>
      </c>
      <c r="I911" s="494">
        <f>재료비목록표!E47</f>
        <v>52500</v>
      </c>
      <c r="J911" s="495">
        <f>IF(C911=0,0,ROUNDDOWN(I911*C911,1))</f>
        <v>52500</v>
      </c>
      <c r="K911" s="492">
        <v>0</v>
      </c>
      <c r="L911" s="493">
        <f>IF(C911=0,0,ROUNDDOWN(K911*C911,1))</f>
        <v>0</v>
      </c>
      <c r="M911" s="463" t="s">
        <v>2756</v>
      </c>
      <c r="N911" s="451" t="s">
        <v>2757</v>
      </c>
      <c r="O911" s="468" t="s">
        <v>2758</v>
      </c>
      <c r="P911" s="468" t="s">
        <v>2354</v>
      </c>
      <c r="Z911" s="433" t="str">
        <f ca="1">HYPERLINK("#"&amp;재료비목록표!G2&amp;"!A"&amp;ROW(재료비목록표!A47),"M01602 →")</f>
        <v>M01602 →</v>
      </c>
    </row>
    <row r="912" spans="1:26" ht="33.200000000000003" customHeight="1">
      <c r="A912" s="452" t="s">
        <v>2364</v>
      </c>
      <c r="B912" s="452" t="s">
        <v>2750</v>
      </c>
      <c r="C912" s="489">
        <v>2.2000000000000002</v>
      </c>
      <c r="D912" s="480" t="s">
        <v>1589</v>
      </c>
      <c r="E912" s="490">
        <f t="shared" si="153"/>
        <v>850</v>
      </c>
      <c r="F912" s="491">
        <f t="shared" si="153"/>
        <v>1870</v>
      </c>
      <c r="G912" s="492">
        <v>0</v>
      </c>
      <c r="H912" s="493">
        <f>IF(C912=0,0,ROUNDDOWN(G912*C912,1))</f>
        <v>0</v>
      </c>
      <c r="I912" s="494">
        <f>재료비목록표!E11</f>
        <v>850</v>
      </c>
      <c r="J912" s="495">
        <f>IF(C912=0,0,ROUNDDOWN(I912*C912,1))</f>
        <v>1870</v>
      </c>
      <c r="K912" s="492">
        <v>0</v>
      </c>
      <c r="L912" s="493">
        <f>IF(C912=0,0,ROUNDDOWN(K912*C912,1))</f>
        <v>0</v>
      </c>
      <c r="M912" s="463" t="s">
        <v>2751</v>
      </c>
      <c r="N912" s="451" t="s">
        <v>2752</v>
      </c>
      <c r="O912" s="468" t="s">
        <v>2753</v>
      </c>
      <c r="P912" s="468" t="s">
        <v>2354</v>
      </c>
      <c r="Z912" s="433" t="str">
        <f ca="1">HYPERLINK("#"&amp;재료비목록표!G2&amp;"!A"&amp;ROW(재료비목록표!A11),"M01205 →")</f>
        <v>M01205 →</v>
      </c>
    </row>
    <row r="913" spans="1:26" ht="33.200000000000003" customHeight="1">
      <c r="A913" s="463" t="s">
        <v>842</v>
      </c>
      <c r="B913" s="497"/>
      <c r="C913" s="497"/>
      <c r="D913" s="497"/>
      <c r="E913" s="497"/>
      <c r="F913" s="446">
        <f>J913+H913+L913</f>
        <v>90897</v>
      </c>
      <c r="G913" s="497"/>
      <c r="H913" s="446">
        <f>ROUNDDOWN(SUMIF(P909:P912,O913,H909:H912),0)</f>
        <v>35580</v>
      </c>
      <c r="I913" s="497"/>
      <c r="J913" s="446">
        <f>ROUNDDOWN(SUMIF(P909:P912,O913,J909:J912),0)</f>
        <v>55017</v>
      </c>
      <c r="K913" s="497"/>
      <c r="L913" s="446">
        <f>ROUNDDOWN(SUMIF(P909:P912,O913,L909:L912),0)</f>
        <v>300</v>
      </c>
      <c r="M913" s="497"/>
      <c r="O913" s="468" t="s">
        <v>2354</v>
      </c>
    </row>
    <row r="914" spans="1:26" ht="33.200000000000003" customHeight="1">
      <c r="A914" s="484" t="s">
        <v>2859</v>
      </c>
      <c r="B914" s="484"/>
      <c r="C914" s="485"/>
      <c r="D914" s="485"/>
      <c r="E914" s="485"/>
      <c r="F914" s="485"/>
      <c r="G914" s="485"/>
      <c r="H914" s="485"/>
      <c r="I914" s="485"/>
      <c r="J914" s="485"/>
      <c r="K914" s="485"/>
      <c r="L914" s="485"/>
      <c r="M914" s="485"/>
      <c r="N914" s="486" t="str">
        <f>HYPERLINK("#N"&amp;ROW(N919),"_x0005_`BDCOD|B02365_x0007_`POSS|"&amp;ROW(N916)&amp;"_x0007_`POSE|"&amp;ROW(N919)&amp;"_x0007_`")</f>
        <v>_x0005_`BDCOD|B02365_x0007_`POSS|916_x0007_`POSE|919_x0007_`</v>
      </c>
    </row>
    <row r="915" spans="1:26" ht="33.200000000000003" customHeight="1">
      <c r="A915" s="469" t="s">
        <v>1181</v>
      </c>
      <c r="B915" s="469" t="s">
        <v>1194</v>
      </c>
      <c r="C915" s="487"/>
      <c r="D915" s="488" t="s">
        <v>911</v>
      </c>
      <c r="E915" s="487"/>
      <c r="F915" s="487"/>
      <c r="G915" s="487"/>
      <c r="H915" s="487"/>
      <c r="I915" s="487"/>
      <c r="J915" s="487"/>
      <c r="K915" s="487"/>
      <c r="L915" s="487"/>
      <c r="M915" s="488" t="s">
        <v>1195</v>
      </c>
      <c r="O915" s="468" t="s">
        <v>1195</v>
      </c>
    </row>
    <row r="916" spans="1:26" ht="33.200000000000003" customHeight="1">
      <c r="A916" s="452" t="s">
        <v>2735</v>
      </c>
      <c r="B916" s="452" t="s">
        <v>2736</v>
      </c>
      <c r="C916" s="489">
        <v>1.2</v>
      </c>
      <c r="D916" s="480" t="s">
        <v>8</v>
      </c>
      <c r="E916" s="490">
        <f t="shared" ref="E916:F919" si="154">I916+G916+K916</f>
        <v>29389</v>
      </c>
      <c r="F916" s="493">
        <f t="shared" si="154"/>
        <v>35266.800000000003</v>
      </c>
      <c r="G916" s="494">
        <f>단가산출근거목록표!F170</f>
        <v>28442</v>
      </c>
      <c r="H916" s="498">
        <f>IF(C916=0,0,ROUNDDOWN(G916*C916,1))</f>
        <v>34130.400000000001</v>
      </c>
      <c r="I916" s="494">
        <f>단가산출근거목록표!G170</f>
        <v>647</v>
      </c>
      <c r="J916" s="498">
        <f>IF(C916=0,0,ROUNDDOWN(I916*C916,1))</f>
        <v>776.4</v>
      </c>
      <c r="K916" s="494">
        <f>단가산출근거목록표!H170</f>
        <v>300</v>
      </c>
      <c r="L916" s="498">
        <f>IF(C916=0,0,ROUNDDOWN(K916*C916,1))</f>
        <v>360</v>
      </c>
      <c r="M916" s="463" t="s">
        <v>2737</v>
      </c>
      <c r="N916" s="451" t="s">
        <v>2738</v>
      </c>
      <c r="O916" s="468" t="s">
        <v>2739</v>
      </c>
      <c r="P916" s="468" t="s">
        <v>2354</v>
      </c>
      <c r="Q916" s="468" t="s">
        <v>2355</v>
      </c>
      <c r="Z916" s="433" t="str">
        <f ca="1">HYPERLINK("#"&amp;단가산출근거목록표!J2&amp;"!A"&amp;ROW(단가산출근거목록표!A170),"D01273 →")</f>
        <v>D01273 →</v>
      </c>
    </row>
    <row r="917" spans="1:26" ht="33.200000000000003" customHeight="1">
      <c r="A917" s="452" t="s">
        <v>2740</v>
      </c>
      <c r="B917" s="452" t="s">
        <v>2741</v>
      </c>
      <c r="C917" s="489">
        <v>1.2</v>
      </c>
      <c r="D917" s="480" t="s">
        <v>595</v>
      </c>
      <c r="E917" s="490">
        <f t="shared" si="154"/>
        <v>7138</v>
      </c>
      <c r="F917" s="493">
        <f t="shared" si="154"/>
        <v>8565.6</v>
      </c>
      <c r="G917" s="494">
        <f>단가산출근거목록표!F70</f>
        <v>7138</v>
      </c>
      <c r="H917" s="498">
        <f>IF(C917=0,0,ROUNDDOWN(G917*C917,1))</f>
        <v>8565.6</v>
      </c>
      <c r="I917" s="494">
        <f>단가산출근거목록표!G70</f>
        <v>0</v>
      </c>
      <c r="J917" s="498">
        <f>IF(C917=0,0,ROUNDDOWN(I917*C917,1))</f>
        <v>0</v>
      </c>
      <c r="K917" s="494">
        <f>단가산출근거목록표!H70</f>
        <v>0</v>
      </c>
      <c r="L917" s="498">
        <f>IF(C917=0,0,ROUNDDOWN(K917*C917,1))</f>
        <v>0</v>
      </c>
      <c r="M917" s="463" t="s">
        <v>2742</v>
      </c>
      <c r="N917" s="451" t="s">
        <v>2743</v>
      </c>
      <c r="O917" s="468" t="s">
        <v>2744</v>
      </c>
      <c r="P917" s="468" t="s">
        <v>2354</v>
      </c>
      <c r="Q917" s="468" t="s">
        <v>2355</v>
      </c>
      <c r="Z917" s="433" t="str">
        <f ca="1">HYPERLINK("#"&amp;단가산출근거목록표!J2&amp;"!A"&amp;ROW(단가산출근거목록표!A70),"D01136 →")</f>
        <v>D01136 →</v>
      </c>
    </row>
    <row r="918" spans="1:26" ht="33.200000000000003" customHeight="1">
      <c r="A918" s="452" t="s">
        <v>2745</v>
      </c>
      <c r="B918" s="452" t="s">
        <v>2760</v>
      </c>
      <c r="C918" s="489">
        <v>1</v>
      </c>
      <c r="D918" s="480" t="s">
        <v>911</v>
      </c>
      <c r="E918" s="490">
        <f t="shared" si="154"/>
        <v>33500</v>
      </c>
      <c r="F918" s="491">
        <f t="shared" si="154"/>
        <v>33500</v>
      </c>
      <c r="G918" s="492">
        <v>0</v>
      </c>
      <c r="H918" s="493">
        <f>IF(C918=0,0,ROUNDDOWN(G918*C918,1))</f>
        <v>0</v>
      </c>
      <c r="I918" s="494">
        <f>재료비목록표!E42</f>
        <v>33500</v>
      </c>
      <c r="J918" s="495">
        <f>IF(C918=0,0,ROUNDDOWN(I918*C918,1))</f>
        <v>33500</v>
      </c>
      <c r="K918" s="492">
        <v>0</v>
      </c>
      <c r="L918" s="493">
        <f>IF(C918=0,0,ROUNDDOWN(K918*C918,1))</f>
        <v>0</v>
      </c>
      <c r="M918" s="463" t="s">
        <v>2761</v>
      </c>
      <c r="N918" s="451" t="s">
        <v>2762</v>
      </c>
      <c r="O918" s="468" t="s">
        <v>2763</v>
      </c>
      <c r="P918" s="468" t="s">
        <v>2354</v>
      </c>
      <c r="Z918" s="433" t="str">
        <f ca="1">HYPERLINK("#"&amp;재료비목록표!G2&amp;"!A"&amp;ROW(재료비목록표!A42),"M01479 →")</f>
        <v>M01479 →</v>
      </c>
    </row>
    <row r="919" spans="1:26" ht="33.200000000000003" customHeight="1">
      <c r="A919" s="452" t="s">
        <v>2364</v>
      </c>
      <c r="B919" s="452" t="s">
        <v>2750</v>
      </c>
      <c r="C919" s="489">
        <v>2.2000000000000002</v>
      </c>
      <c r="D919" s="480" t="s">
        <v>1589</v>
      </c>
      <c r="E919" s="490">
        <f t="shared" si="154"/>
        <v>850</v>
      </c>
      <c r="F919" s="491">
        <f t="shared" si="154"/>
        <v>1870</v>
      </c>
      <c r="G919" s="492">
        <v>0</v>
      </c>
      <c r="H919" s="493">
        <f>IF(C919=0,0,ROUNDDOWN(G919*C919,1))</f>
        <v>0</v>
      </c>
      <c r="I919" s="494">
        <f>재료비목록표!E11</f>
        <v>850</v>
      </c>
      <c r="J919" s="495">
        <f>IF(C919=0,0,ROUNDDOWN(I919*C919,1))</f>
        <v>1870</v>
      </c>
      <c r="K919" s="492">
        <v>0</v>
      </c>
      <c r="L919" s="493">
        <f>IF(C919=0,0,ROUNDDOWN(K919*C919,1))</f>
        <v>0</v>
      </c>
      <c r="M919" s="463" t="s">
        <v>2751</v>
      </c>
      <c r="N919" s="451" t="s">
        <v>2752</v>
      </c>
      <c r="O919" s="468" t="s">
        <v>2753</v>
      </c>
      <c r="P919" s="468" t="s">
        <v>2354</v>
      </c>
      <c r="Z919" s="433" t="str">
        <f ca="1">HYPERLINK("#"&amp;재료비목록표!G2&amp;"!A"&amp;ROW(재료비목록표!A11),"M01205 →")</f>
        <v>M01205 →</v>
      </c>
    </row>
    <row r="920" spans="1:26" ht="33.200000000000003" customHeight="1">
      <c r="A920" s="463" t="s">
        <v>842</v>
      </c>
      <c r="B920" s="497"/>
      <c r="C920" s="497"/>
      <c r="D920" s="497"/>
      <c r="E920" s="497"/>
      <c r="F920" s="446">
        <f>J920+H920+L920</f>
        <v>79202</v>
      </c>
      <c r="G920" s="497"/>
      <c r="H920" s="446">
        <f>ROUNDDOWN(SUMIF(P916:P919,O920,H916:H919),0)</f>
        <v>42696</v>
      </c>
      <c r="I920" s="497"/>
      <c r="J920" s="446">
        <f>ROUNDDOWN(SUMIF(P916:P919,O920,J916:J919),0)</f>
        <v>36146</v>
      </c>
      <c r="K920" s="497"/>
      <c r="L920" s="446">
        <f>ROUNDDOWN(SUMIF(P916:P919,O920,L916:L919),0)</f>
        <v>360</v>
      </c>
      <c r="M920" s="497"/>
      <c r="O920" s="468" t="s">
        <v>2354</v>
      </c>
    </row>
    <row r="921" spans="1:26" ht="33.200000000000003" customHeight="1">
      <c r="A921" s="484" t="s">
        <v>2860</v>
      </c>
      <c r="B921" s="484"/>
      <c r="C921" s="485"/>
      <c r="D921" s="485"/>
      <c r="E921" s="485"/>
      <c r="F921" s="485"/>
      <c r="G921" s="485"/>
      <c r="H921" s="485"/>
      <c r="I921" s="485"/>
      <c r="J921" s="485"/>
      <c r="K921" s="485"/>
      <c r="L921" s="485"/>
      <c r="M921" s="485"/>
      <c r="N921" s="486" t="str">
        <f>HYPERLINK("#N"&amp;ROW(N926),"_x0005_`BDCOD|B02584_x0007_`POSS|"&amp;ROW(N923)&amp;"_x0007_`POSE|"&amp;ROW(N926)&amp;"_x0007_`")</f>
        <v>_x0005_`BDCOD|B02584_x0007_`POSS|923_x0007_`POSE|926_x0007_`</v>
      </c>
    </row>
    <row r="922" spans="1:26" ht="33.200000000000003" customHeight="1">
      <c r="A922" s="469" t="s">
        <v>1181</v>
      </c>
      <c r="B922" s="469" t="s">
        <v>1210</v>
      </c>
      <c r="C922" s="487"/>
      <c r="D922" s="488" t="s">
        <v>911</v>
      </c>
      <c r="E922" s="487"/>
      <c r="F922" s="487"/>
      <c r="G922" s="487"/>
      <c r="H922" s="487"/>
      <c r="I922" s="487"/>
      <c r="J922" s="487"/>
      <c r="K922" s="487"/>
      <c r="L922" s="487"/>
      <c r="M922" s="488" t="s">
        <v>1225</v>
      </c>
      <c r="O922" s="468" t="s">
        <v>1225</v>
      </c>
    </row>
    <row r="923" spans="1:26" ht="33.200000000000003" customHeight="1">
      <c r="A923" s="452" t="s">
        <v>2735</v>
      </c>
      <c r="B923" s="452" t="s">
        <v>2736</v>
      </c>
      <c r="C923" s="489">
        <v>1.2</v>
      </c>
      <c r="D923" s="480" t="s">
        <v>8</v>
      </c>
      <c r="E923" s="490">
        <f t="shared" ref="E923:F926" si="155">I923+G923+K923</f>
        <v>29389</v>
      </c>
      <c r="F923" s="493">
        <f t="shared" si="155"/>
        <v>35266.800000000003</v>
      </c>
      <c r="G923" s="494">
        <f>단가산출근거목록표!F170</f>
        <v>28442</v>
      </c>
      <c r="H923" s="498">
        <f>IF(C923=0,0,ROUNDDOWN(G923*C923,1))</f>
        <v>34130.400000000001</v>
      </c>
      <c r="I923" s="494">
        <f>단가산출근거목록표!G170</f>
        <v>647</v>
      </c>
      <c r="J923" s="498">
        <f>IF(C923=0,0,ROUNDDOWN(I923*C923,1))</f>
        <v>776.4</v>
      </c>
      <c r="K923" s="494">
        <f>단가산출근거목록표!H170</f>
        <v>300</v>
      </c>
      <c r="L923" s="498">
        <f>IF(C923=0,0,ROUNDDOWN(K923*C923,1))</f>
        <v>360</v>
      </c>
      <c r="M923" s="463" t="s">
        <v>2737</v>
      </c>
      <c r="N923" s="451" t="s">
        <v>2738</v>
      </c>
      <c r="O923" s="468" t="s">
        <v>2739</v>
      </c>
      <c r="P923" s="468" t="s">
        <v>2354</v>
      </c>
      <c r="Q923" s="468" t="s">
        <v>2355</v>
      </c>
      <c r="Z923" s="433" t="str">
        <f ca="1">HYPERLINK("#"&amp;단가산출근거목록표!J2&amp;"!A"&amp;ROW(단가산출근거목록표!A170),"D01273 →")</f>
        <v>D01273 →</v>
      </c>
    </row>
    <row r="924" spans="1:26" ht="33.200000000000003" customHeight="1">
      <c r="A924" s="452" t="s">
        <v>2740</v>
      </c>
      <c r="B924" s="452" t="s">
        <v>2741</v>
      </c>
      <c r="C924" s="489">
        <v>1.2</v>
      </c>
      <c r="D924" s="480" t="s">
        <v>595</v>
      </c>
      <c r="E924" s="490">
        <f t="shared" si="155"/>
        <v>7138</v>
      </c>
      <c r="F924" s="493">
        <f t="shared" si="155"/>
        <v>8565.6</v>
      </c>
      <c r="G924" s="494">
        <f>단가산출근거목록표!F70</f>
        <v>7138</v>
      </c>
      <c r="H924" s="498">
        <f>IF(C924=0,0,ROUNDDOWN(G924*C924,1))</f>
        <v>8565.6</v>
      </c>
      <c r="I924" s="494">
        <f>단가산출근거목록표!G70</f>
        <v>0</v>
      </c>
      <c r="J924" s="498">
        <f>IF(C924=0,0,ROUNDDOWN(I924*C924,1))</f>
        <v>0</v>
      </c>
      <c r="K924" s="494">
        <f>단가산출근거목록표!H70</f>
        <v>0</v>
      </c>
      <c r="L924" s="498">
        <f>IF(C924=0,0,ROUNDDOWN(K924*C924,1))</f>
        <v>0</v>
      </c>
      <c r="M924" s="463" t="s">
        <v>2742</v>
      </c>
      <c r="N924" s="451" t="s">
        <v>2743</v>
      </c>
      <c r="O924" s="468" t="s">
        <v>2744</v>
      </c>
      <c r="P924" s="468" t="s">
        <v>2354</v>
      </c>
      <c r="Q924" s="468" t="s">
        <v>2355</v>
      </c>
      <c r="Z924" s="433" t="str">
        <f ca="1">HYPERLINK("#"&amp;단가산출근거목록표!J2&amp;"!A"&amp;ROW(단가산출근거목록표!A70),"D01136 →")</f>
        <v>D01136 →</v>
      </c>
    </row>
    <row r="925" spans="1:26" ht="33.200000000000003" customHeight="1">
      <c r="A925" s="452" t="s">
        <v>2755</v>
      </c>
      <c r="B925" s="452" t="s">
        <v>2760</v>
      </c>
      <c r="C925" s="489">
        <v>1</v>
      </c>
      <c r="D925" s="480" t="s">
        <v>911</v>
      </c>
      <c r="E925" s="490">
        <f t="shared" si="155"/>
        <v>61500</v>
      </c>
      <c r="F925" s="491">
        <f t="shared" si="155"/>
        <v>61500</v>
      </c>
      <c r="G925" s="492">
        <v>0</v>
      </c>
      <c r="H925" s="493">
        <f>IF(C925=0,0,ROUNDDOWN(G925*C925,1))</f>
        <v>0</v>
      </c>
      <c r="I925" s="494">
        <f>재료비목록표!E48</f>
        <v>61500</v>
      </c>
      <c r="J925" s="495">
        <f>IF(C925=0,0,ROUNDDOWN(I925*C925,1))</f>
        <v>61500</v>
      </c>
      <c r="K925" s="492">
        <v>0</v>
      </c>
      <c r="L925" s="493">
        <f>IF(C925=0,0,ROUNDDOWN(K925*C925,1))</f>
        <v>0</v>
      </c>
      <c r="M925" s="463" t="s">
        <v>2765</v>
      </c>
      <c r="N925" s="451" t="s">
        <v>2766</v>
      </c>
      <c r="O925" s="468" t="s">
        <v>2767</v>
      </c>
      <c r="P925" s="468" t="s">
        <v>2354</v>
      </c>
      <c r="Z925" s="433" t="str">
        <f ca="1">HYPERLINK("#"&amp;재료비목록표!G2&amp;"!A"&amp;ROW(재료비목록표!A48),"M01603 →")</f>
        <v>M01603 →</v>
      </c>
    </row>
    <row r="926" spans="1:26" ht="33.200000000000003" customHeight="1">
      <c r="A926" s="452" t="s">
        <v>2364</v>
      </c>
      <c r="B926" s="452" t="s">
        <v>2750</v>
      </c>
      <c r="C926" s="489">
        <v>2.2000000000000002</v>
      </c>
      <c r="D926" s="480" t="s">
        <v>1589</v>
      </c>
      <c r="E926" s="490">
        <f t="shared" si="155"/>
        <v>850</v>
      </c>
      <c r="F926" s="491">
        <f t="shared" si="155"/>
        <v>1870</v>
      </c>
      <c r="G926" s="492">
        <v>0</v>
      </c>
      <c r="H926" s="493">
        <f>IF(C926=0,0,ROUNDDOWN(G926*C926,1))</f>
        <v>0</v>
      </c>
      <c r="I926" s="494">
        <f>재료비목록표!E11</f>
        <v>850</v>
      </c>
      <c r="J926" s="495">
        <f>IF(C926=0,0,ROUNDDOWN(I926*C926,1))</f>
        <v>1870</v>
      </c>
      <c r="K926" s="492">
        <v>0</v>
      </c>
      <c r="L926" s="493">
        <f>IF(C926=0,0,ROUNDDOWN(K926*C926,1))</f>
        <v>0</v>
      </c>
      <c r="M926" s="463" t="s">
        <v>2751</v>
      </c>
      <c r="N926" s="451" t="s">
        <v>2752</v>
      </c>
      <c r="O926" s="468" t="s">
        <v>2753</v>
      </c>
      <c r="P926" s="468" t="s">
        <v>2354</v>
      </c>
      <c r="Z926" s="433" t="str">
        <f ca="1">HYPERLINK("#"&amp;재료비목록표!G2&amp;"!A"&amp;ROW(재료비목록표!A11),"M01205 →")</f>
        <v>M01205 →</v>
      </c>
    </row>
    <row r="927" spans="1:26" ht="33.200000000000003" customHeight="1">
      <c r="A927" s="463" t="s">
        <v>842</v>
      </c>
      <c r="B927" s="497"/>
      <c r="C927" s="497"/>
      <c r="D927" s="497"/>
      <c r="E927" s="497"/>
      <c r="F927" s="446">
        <f>J927+H927+L927</f>
        <v>107202</v>
      </c>
      <c r="G927" s="497"/>
      <c r="H927" s="446">
        <f>ROUNDDOWN(SUMIF(P923:P926,O927,H923:H926),0)</f>
        <v>42696</v>
      </c>
      <c r="I927" s="497"/>
      <c r="J927" s="446">
        <f>ROUNDDOWN(SUMIF(P923:P926,O927,J923:J926),0)</f>
        <v>64146</v>
      </c>
      <c r="K927" s="497"/>
      <c r="L927" s="446">
        <f>ROUNDDOWN(SUMIF(P923:P926,O927,L923:L926),0)</f>
        <v>360</v>
      </c>
      <c r="M927" s="497"/>
      <c r="O927" s="468" t="s">
        <v>2354</v>
      </c>
    </row>
    <row r="928" spans="1:26" ht="33.200000000000003" customHeight="1">
      <c r="A928" s="484" t="s">
        <v>2861</v>
      </c>
      <c r="B928" s="484"/>
      <c r="C928" s="485"/>
      <c r="D928" s="485"/>
      <c r="E928" s="485"/>
      <c r="F928" s="485"/>
      <c r="G928" s="485"/>
      <c r="H928" s="485"/>
      <c r="I928" s="485"/>
      <c r="J928" s="485"/>
      <c r="K928" s="485"/>
      <c r="L928" s="485"/>
      <c r="M928" s="485"/>
      <c r="N928" s="486" t="str">
        <f>HYPERLINK("#N"&amp;ROW(N933),"_x0005_`BDCOD|B02182_x0007_`POSS|"&amp;ROW(N930)&amp;"_x0007_`POSE|"&amp;ROW(N933)&amp;"_x0007_`")</f>
        <v>_x0005_`BDCOD|B02182_x0007_`POSS|930_x0007_`POSE|933_x0007_`</v>
      </c>
    </row>
    <row r="929" spans="1:26" ht="33.200000000000003" customHeight="1">
      <c r="A929" s="469" t="s">
        <v>1181</v>
      </c>
      <c r="B929" s="469" t="s">
        <v>1198</v>
      </c>
      <c r="C929" s="487"/>
      <c r="D929" s="488" t="s">
        <v>911</v>
      </c>
      <c r="E929" s="487"/>
      <c r="F929" s="487"/>
      <c r="G929" s="487"/>
      <c r="H929" s="487"/>
      <c r="I929" s="487"/>
      <c r="J929" s="487"/>
      <c r="K929" s="487"/>
      <c r="L929" s="487"/>
      <c r="M929" s="488" t="s">
        <v>1199</v>
      </c>
      <c r="O929" s="468" t="s">
        <v>1199</v>
      </c>
    </row>
    <row r="930" spans="1:26" ht="33.200000000000003" customHeight="1">
      <c r="A930" s="452" t="s">
        <v>2735</v>
      </c>
      <c r="B930" s="452" t="s">
        <v>2736</v>
      </c>
      <c r="C930" s="489">
        <v>1.5</v>
      </c>
      <c r="D930" s="480" t="s">
        <v>8</v>
      </c>
      <c r="E930" s="490">
        <f t="shared" ref="E930:F933" si="156">I930+G930+K930</f>
        <v>29389</v>
      </c>
      <c r="F930" s="493">
        <f t="shared" si="156"/>
        <v>44083.5</v>
      </c>
      <c r="G930" s="494">
        <f>단가산출근거목록표!F170</f>
        <v>28442</v>
      </c>
      <c r="H930" s="498">
        <f>IF(C930=0,0,ROUNDDOWN(G930*C930,1))</f>
        <v>42663</v>
      </c>
      <c r="I930" s="494">
        <f>단가산출근거목록표!G170</f>
        <v>647</v>
      </c>
      <c r="J930" s="498">
        <f>IF(C930=0,0,ROUNDDOWN(I930*C930,1))</f>
        <v>970.5</v>
      </c>
      <c r="K930" s="494">
        <f>단가산출근거목록표!H170</f>
        <v>300</v>
      </c>
      <c r="L930" s="498">
        <f>IF(C930=0,0,ROUNDDOWN(K930*C930,1))</f>
        <v>450</v>
      </c>
      <c r="M930" s="463" t="s">
        <v>2737</v>
      </c>
      <c r="N930" s="451" t="s">
        <v>2738</v>
      </c>
      <c r="O930" s="468" t="s">
        <v>2739</v>
      </c>
      <c r="P930" s="468" t="s">
        <v>2354</v>
      </c>
      <c r="Q930" s="468" t="s">
        <v>2355</v>
      </c>
      <c r="Z930" s="433" t="str">
        <f ca="1">HYPERLINK("#"&amp;단가산출근거목록표!J2&amp;"!A"&amp;ROW(단가산출근거목록표!A170),"D01273 →")</f>
        <v>D01273 →</v>
      </c>
    </row>
    <row r="931" spans="1:26" ht="33.200000000000003" customHeight="1">
      <c r="A931" s="452" t="s">
        <v>2740</v>
      </c>
      <c r="B931" s="452" t="s">
        <v>2741</v>
      </c>
      <c r="C931" s="489">
        <v>1.5</v>
      </c>
      <c r="D931" s="480" t="s">
        <v>595</v>
      </c>
      <c r="E931" s="490">
        <f t="shared" si="156"/>
        <v>7138</v>
      </c>
      <c r="F931" s="493">
        <f t="shared" si="156"/>
        <v>10707</v>
      </c>
      <c r="G931" s="494">
        <f>단가산출근거목록표!F70</f>
        <v>7138</v>
      </c>
      <c r="H931" s="498">
        <f>IF(C931=0,0,ROUNDDOWN(G931*C931,1))</f>
        <v>10707</v>
      </c>
      <c r="I931" s="494">
        <f>단가산출근거목록표!G70</f>
        <v>0</v>
      </c>
      <c r="J931" s="498">
        <f>IF(C931=0,0,ROUNDDOWN(I931*C931,1))</f>
        <v>0</v>
      </c>
      <c r="K931" s="494">
        <f>단가산출근거목록표!H70</f>
        <v>0</v>
      </c>
      <c r="L931" s="498">
        <f>IF(C931=0,0,ROUNDDOWN(K931*C931,1))</f>
        <v>0</v>
      </c>
      <c r="M931" s="463" t="s">
        <v>2742</v>
      </c>
      <c r="N931" s="451" t="s">
        <v>2743</v>
      </c>
      <c r="O931" s="468" t="s">
        <v>2744</v>
      </c>
      <c r="P931" s="468" t="s">
        <v>2354</v>
      </c>
      <c r="Q931" s="468" t="s">
        <v>2355</v>
      </c>
      <c r="Z931" s="433" t="str">
        <f ca="1">HYPERLINK("#"&amp;단가산출근거목록표!J2&amp;"!A"&amp;ROW(단가산출근거목록표!A70),"D01136 →")</f>
        <v>D01136 →</v>
      </c>
    </row>
    <row r="932" spans="1:26" ht="33.200000000000003" customHeight="1">
      <c r="A932" s="452" t="s">
        <v>2745</v>
      </c>
      <c r="B932" s="452" t="s">
        <v>2769</v>
      </c>
      <c r="C932" s="489">
        <v>1</v>
      </c>
      <c r="D932" s="480" t="s">
        <v>911</v>
      </c>
      <c r="E932" s="490">
        <f t="shared" si="156"/>
        <v>41000</v>
      </c>
      <c r="F932" s="491">
        <f t="shared" si="156"/>
        <v>41000</v>
      </c>
      <c r="G932" s="492">
        <v>0</v>
      </c>
      <c r="H932" s="493">
        <f>IF(C932=0,0,ROUNDDOWN(G932*C932,1))</f>
        <v>0</v>
      </c>
      <c r="I932" s="494">
        <f>재료비목록표!E43</f>
        <v>41000</v>
      </c>
      <c r="J932" s="495">
        <f>IF(C932=0,0,ROUNDDOWN(I932*C932,1))</f>
        <v>41000</v>
      </c>
      <c r="K932" s="492">
        <v>0</v>
      </c>
      <c r="L932" s="493">
        <f>IF(C932=0,0,ROUNDDOWN(K932*C932,1))</f>
        <v>0</v>
      </c>
      <c r="M932" s="463" t="s">
        <v>2770</v>
      </c>
      <c r="N932" s="451" t="s">
        <v>2771</v>
      </c>
      <c r="O932" s="468" t="s">
        <v>2772</v>
      </c>
      <c r="P932" s="468" t="s">
        <v>2354</v>
      </c>
      <c r="Z932" s="433" t="str">
        <f ca="1">HYPERLINK("#"&amp;재료비목록표!G2&amp;"!A"&amp;ROW(재료비목록표!A43),"M01474 →")</f>
        <v>M01474 →</v>
      </c>
    </row>
    <row r="933" spans="1:26" ht="33.200000000000003" customHeight="1">
      <c r="A933" s="452" t="s">
        <v>2364</v>
      </c>
      <c r="B933" s="452" t="s">
        <v>2750</v>
      </c>
      <c r="C933" s="489">
        <v>2.2000000000000002</v>
      </c>
      <c r="D933" s="480" t="s">
        <v>1589</v>
      </c>
      <c r="E933" s="490">
        <f t="shared" si="156"/>
        <v>850</v>
      </c>
      <c r="F933" s="491">
        <f t="shared" si="156"/>
        <v>1870</v>
      </c>
      <c r="G933" s="492">
        <v>0</v>
      </c>
      <c r="H933" s="493">
        <f>IF(C933=0,0,ROUNDDOWN(G933*C933,1))</f>
        <v>0</v>
      </c>
      <c r="I933" s="494">
        <f>재료비목록표!E11</f>
        <v>850</v>
      </c>
      <c r="J933" s="495">
        <f>IF(C933=0,0,ROUNDDOWN(I933*C933,1))</f>
        <v>1870</v>
      </c>
      <c r="K933" s="492">
        <v>0</v>
      </c>
      <c r="L933" s="493">
        <f>IF(C933=0,0,ROUNDDOWN(K933*C933,1))</f>
        <v>0</v>
      </c>
      <c r="M933" s="463" t="s">
        <v>2751</v>
      </c>
      <c r="N933" s="451" t="s">
        <v>2752</v>
      </c>
      <c r="O933" s="468" t="s">
        <v>2753</v>
      </c>
      <c r="P933" s="468" t="s">
        <v>2354</v>
      </c>
      <c r="Z933" s="433" t="str">
        <f ca="1">HYPERLINK("#"&amp;재료비목록표!G2&amp;"!A"&amp;ROW(재료비목록표!A11),"M01205 →")</f>
        <v>M01205 →</v>
      </c>
    </row>
    <row r="934" spans="1:26" ht="33.200000000000003" customHeight="1">
      <c r="A934" s="463" t="s">
        <v>842</v>
      </c>
      <c r="B934" s="497"/>
      <c r="C934" s="497"/>
      <c r="D934" s="497"/>
      <c r="E934" s="497"/>
      <c r="F934" s="446">
        <f>J934+H934+L934</f>
        <v>97660</v>
      </c>
      <c r="G934" s="497"/>
      <c r="H934" s="446">
        <f>ROUNDDOWN(SUMIF(P930:P933,O934,H930:H933),0)</f>
        <v>53370</v>
      </c>
      <c r="I934" s="497"/>
      <c r="J934" s="446">
        <f>ROUNDDOWN(SUMIF(P930:P933,O934,J930:J933),0)</f>
        <v>43840</v>
      </c>
      <c r="K934" s="497"/>
      <c r="L934" s="446">
        <f>ROUNDDOWN(SUMIF(P930:P933,O934,L930:L933),0)</f>
        <v>450</v>
      </c>
      <c r="M934" s="497"/>
      <c r="O934" s="468" t="s">
        <v>2354</v>
      </c>
    </row>
    <row r="935" spans="1:26" ht="33.200000000000003" customHeight="1">
      <c r="A935" s="484" t="s">
        <v>2862</v>
      </c>
      <c r="B935" s="484"/>
      <c r="C935" s="485"/>
      <c r="D935" s="485"/>
      <c r="E935" s="485"/>
      <c r="F935" s="485"/>
      <c r="G935" s="485"/>
      <c r="H935" s="485"/>
      <c r="I935" s="485"/>
      <c r="J935" s="485"/>
      <c r="K935" s="485"/>
      <c r="L935" s="485"/>
      <c r="M935" s="485"/>
      <c r="N935" s="486" t="str">
        <f>HYPERLINK("#N"&amp;ROW(N940),"_x0005_`BDCOD|B02585_x0007_`POSS|"&amp;ROW(N937)&amp;"_x0007_`POSE|"&amp;ROW(N940)&amp;"_x0007_`")</f>
        <v>_x0005_`BDCOD|B02585_x0007_`POSS|937_x0007_`POSE|940_x0007_`</v>
      </c>
    </row>
    <row r="936" spans="1:26" ht="33.200000000000003" customHeight="1">
      <c r="A936" s="469" t="s">
        <v>1181</v>
      </c>
      <c r="B936" s="469" t="s">
        <v>1214</v>
      </c>
      <c r="C936" s="487"/>
      <c r="D936" s="488" t="s">
        <v>911</v>
      </c>
      <c r="E936" s="487"/>
      <c r="F936" s="487"/>
      <c r="G936" s="487"/>
      <c r="H936" s="487"/>
      <c r="I936" s="487"/>
      <c r="J936" s="487"/>
      <c r="K936" s="487"/>
      <c r="L936" s="487"/>
      <c r="M936" s="488" t="s">
        <v>1228</v>
      </c>
      <c r="O936" s="468" t="s">
        <v>1228</v>
      </c>
    </row>
    <row r="937" spans="1:26" ht="33.200000000000003" customHeight="1">
      <c r="A937" s="452" t="s">
        <v>2735</v>
      </c>
      <c r="B937" s="452" t="s">
        <v>2736</v>
      </c>
      <c r="C937" s="489">
        <v>1.5</v>
      </c>
      <c r="D937" s="480" t="s">
        <v>8</v>
      </c>
      <c r="E937" s="490">
        <f t="shared" ref="E937:F940" si="157">I937+G937+K937</f>
        <v>29389</v>
      </c>
      <c r="F937" s="493">
        <f t="shared" si="157"/>
        <v>44083.5</v>
      </c>
      <c r="G937" s="494">
        <f>단가산출근거목록표!F170</f>
        <v>28442</v>
      </c>
      <c r="H937" s="498">
        <f>IF(C937=0,0,ROUNDDOWN(G937*C937,1))</f>
        <v>42663</v>
      </c>
      <c r="I937" s="494">
        <f>단가산출근거목록표!G170</f>
        <v>647</v>
      </c>
      <c r="J937" s="498">
        <f>IF(C937=0,0,ROUNDDOWN(I937*C937,1))</f>
        <v>970.5</v>
      </c>
      <c r="K937" s="494">
        <f>단가산출근거목록표!H170</f>
        <v>300</v>
      </c>
      <c r="L937" s="498">
        <f>IF(C937=0,0,ROUNDDOWN(K937*C937,1))</f>
        <v>450</v>
      </c>
      <c r="M937" s="463" t="s">
        <v>2737</v>
      </c>
      <c r="N937" s="451" t="s">
        <v>2738</v>
      </c>
      <c r="O937" s="468" t="s">
        <v>2739</v>
      </c>
      <c r="P937" s="468" t="s">
        <v>2354</v>
      </c>
      <c r="Q937" s="468" t="s">
        <v>2355</v>
      </c>
      <c r="Z937" s="433" t="str">
        <f ca="1">HYPERLINK("#"&amp;단가산출근거목록표!J2&amp;"!A"&amp;ROW(단가산출근거목록표!A170),"D01273 →")</f>
        <v>D01273 →</v>
      </c>
    </row>
    <row r="938" spans="1:26" ht="33.200000000000003" customHeight="1">
      <c r="A938" s="452" t="s">
        <v>2740</v>
      </c>
      <c r="B938" s="452" t="s">
        <v>2741</v>
      </c>
      <c r="C938" s="489">
        <v>1.5</v>
      </c>
      <c r="D938" s="480" t="s">
        <v>595</v>
      </c>
      <c r="E938" s="490">
        <f t="shared" si="157"/>
        <v>7138</v>
      </c>
      <c r="F938" s="493">
        <f t="shared" si="157"/>
        <v>10707</v>
      </c>
      <c r="G938" s="494">
        <f>단가산출근거목록표!F70</f>
        <v>7138</v>
      </c>
      <c r="H938" s="498">
        <f>IF(C938=0,0,ROUNDDOWN(G938*C938,1))</f>
        <v>10707</v>
      </c>
      <c r="I938" s="494">
        <f>단가산출근거목록표!G70</f>
        <v>0</v>
      </c>
      <c r="J938" s="498">
        <f>IF(C938=0,0,ROUNDDOWN(I938*C938,1))</f>
        <v>0</v>
      </c>
      <c r="K938" s="494">
        <f>단가산출근거목록표!H70</f>
        <v>0</v>
      </c>
      <c r="L938" s="498">
        <f>IF(C938=0,0,ROUNDDOWN(K938*C938,1))</f>
        <v>0</v>
      </c>
      <c r="M938" s="463" t="s">
        <v>2742</v>
      </c>
      <c r="N938" s="451" t="s">
        <v>2743</v>
      </c>
      <c r="O938" s="468" t="s">
        <v>2744</v>
      </c>
      <c r="P938" s="468" t="s">
        <v>2354</v>
      </c>
      <c r="Q938" s="468" t="s">
        <v>2355</v>
      </c>
      <c r="Z938" s="433" t="str">
        <f ca="1">HYPERLINK("#"&amp;단가산출근거목록표!J2&amp;"!A"&amp;ROW(단가산출근거목록표!A70),"D01136 →")</f>
        <v>D01136 →</v>
      </c>
    </row>
    <row r="939" spans="1:26" ht="33.200000000000003" customHeight="1">
      <c r="A939" s="452" t="s">
        <v>2755</v>
      </c>
      <c r="B939" s="452" t="s">
        <v>2769</v>
      </c>
      <c r="C939" s="489">
        <v>1</v>
      </c>
      <c r="D939" s="480" t="s">
        <v>911</v>
      </c>
      <c r="E939" s="490">
        <f t="shared" si="157"/>
        <v>72000</v>
      </c>
      <c r="F939" s="491">
        <f t="shared" si="157"/>
        <v>72000</v>
      </c>
      <c r="G939" s="492">
        <v>0</v>
      </c>
      <c r="H939" s="493">
        <f>IF(C939=0,0,ROUNDDOWN(G939*C939,1))</f>
        <v>0</v>
      </c>
      <c r="I939" s="494">
        <f>재료비목록표!E49</f>
        <v>72000</v>
      </c>
      <c r="J939" s="495">
        <f>IF(C939=0,0,ROUNDDOWN(I939*C939,1))</f>
        <v>72000</v>
      </c>
      <c r="K939" s="492">
        <v>0</v>
      </c>
      <c r="L939" s="493">
        <f>IF(C939=0,0,ROUNDDOWN(K939*C939,1))</f>
        <v>0</v>
      </c>
      <c r="M939" s="463" t="s">
        <v>2774</v>
      </c>
      <c r="N939" s="451" t="s">
        <v>2775</v>
      </c>
      <c r="O939" s="468" t="s">
        <v>2776</v>
      </c>
      <c r="P939" s="468" t="s">
        <v>2354</v>
      </c>
      <c r="Z939" s="433" t="str">
        <f ca="1">HYPERLINK("#"&amp;재료비목록표!G2&amp;"!A"&amp;ROW(재료비목록표!A49),"M01604 →")</f>
        <v>M01604 →</v>
      </c>
    </row>
    <row r="940" spans="1:26" ht="33.200000000000003" customHeight="1">
      <c r="A940" s="452" t="s">
        <v>2364</v>
      </c>
      <c r="B940" s="452" t="s">
        <v>2750</v>
      </c>
      <c r="C940" s="489">
        <v>2.2000000000000002</v>
      </c>
      <c r="D940" s="480" t="s">
        <v>1589</v>
      </c>
      <c r="E940" s="490">
        <f t="shared" si="157"/>
        <v>850</v>
      </c>
      <c r="F940" s="491">
        <f t="shared" si="157"/>
        <v>1870</v>
      </c>
      <c r="G940" s="492">
        <v>0</v>
      </c>
      <c r="H940" s="493">
        <f>IF(C940=0,0,ROUNDDOWN(G940*C940,1))</f>
        <v>0</v>
      </c>
      <c r="I940" s="494">
        <f>재료비목록표!E11</f>
        <v>850</v>
      </c>
      <c r="J940" s="495">
        <f>IF(C940=0,0,ROUNDDOWN(I940*C940,1))</f>
        <v>1870</v>
      </c>
      <c r="K940" s="492">
        <v>0</v>
      </c>
      <c r="L940" s="493">
        <f>IF(C940=0,0,ROUNDDOWN(K940*C940,1))</f>
        <v>0</v>
      </c>
      <c r="M940" s="463" t="s">
        <v>2751</v>
      </c>
      <c r="N940" s="451" t="s">
        <v>2752</v>
      </c>
      <c r="O940" s="468" t="s">
        <v>2753</v>
      </c>
      <c r="P940" s="468" t="s">
        <v>2354</v>
      </c>
      <c r="Z940" s="433" t="str">
        <f ca="1">HYPERLINK("#"&amp;재료비목록표!G2&amp;"!A"&amp;ROW(재료비목록표!A11),"M01205 →")</f>
        <v>M01205 →</v>
      </c>
    </row>
    <row r="941" spans="1:26" ht="33.200000000000003" customHeight="1">
      <c r="A941" s="463" t="s">
        <v>842</v>
      </c>
      <c r="B941" s="497"/>
      <c r="C941" s="497"/>
      <c r="D941" s="497"/>
      <c r="E941" s="497"/>
      <c r="F941" s="446">
        <f>J941+H941+L941</f>
        <v>128660</v>
      </c>
      <c r="G941" s="497"/>
      <c r="H941" s="446">
        <f>ROUNDDOWN(SUMIF(P937:P940,O941,H937:H940),0)</f>
        <v>53370</v>
      </c>
      <c r="I941" s="497"/>
      <c r="J941" s="446">
        <f>ROUNDDOWN(SUMIF(P937:P940,O941,J937:J940),0)</f>
        <v>74840</v>
      </c>
      <c r="K941" s="497"/>
      <c r="L941" s="446">
        <f>ROUNDDOWN(SUMIF(P937:P940,O941,L937:L940),0)</f>
        <v>450</v>
      </c>
      <c r="M941" s="497"/>
      <c r="O941" s="468" t="s">
        <v>2354</v>
      </c>
    </row>
    <row r="942" spans="1:26" ht="33.200000000000003" customHeight="1">
      <c r="A942" s="484" t="s">
        <v>2863</v>
      </c>
      <c r="B942" s="484"/>
      <c r="C942" s="485"/>
      <c r="D942" s="485"/>
      <c r="E942" s="485"/>
      <c r="F942" s="485"/>
      <c r="G942" s="485"/>
      <c r="H942" s="485"/>
      <c r="I942" s="485"/>
      <c r="J942" s="485"/>
      <c r="K942" s="485"/>
      <c r="L942" s="485"/>
      <c r="M942" s="485"/>
      <c r="N942" s="486" t="str">
        <f>HYPERLINK("#N"&amp;ROW(N947),"_x0005_`BDCOD|B02675_x0007_`POSS|"&amp;ROW(N944)&amp;"_x0007_`POSE|"&amp;ROW(N947)&amp;"_x0007_`")</f>
        <v>_x0005_`BDCOD|B02675_x0007_`POSS|944_x0007_`POSE|947_x0007_`</v>
      </c>
    </row>
    <row r="943" spans="1:26" ht="33.200000000000003" customHeight="1">
      <c r="A943" s="469" t="s">
        <v>1181</v>
      </c>
      <c r="B943" s="469" t="s">
        <v>1202</v>
      </c>
      <c r="C943" s="487"/>
      <c r="D943" s="488" t="s">
        <v>911</v>
      </c>
      <c r="E943" s="487"/>
      <c r="F943" s="487"/>
      <c r="G943" s="487"/>
      <c r="H943" s="487"/>
      <c r="I943" s="487"/>
      <c r="J943" s="487"/>
      <c r="K943" s="487"/>
      <c r="L943" s="487"/>
      <c r="M943" s="488" t="s">
        <v>1203</v>
      </c>
      <c r="O943" s="468" t="s">
        <v>1203</v>
      </c>
    </row>
    <row r="944" spans="1:26" ht="33.200000000000003" customHeight="1">
      <c r="A944" s="452" t="s">
        <v>2735</v>
      </c>
      <c r="B944" s="452" t="s">
        <v>2736</v>
      </c>
      <c r="C944" s="489">
        <v>2</v>
      </c>
      <c r="D944" s="480" t="s">
        <v>8</v>
      </c>
      <c r="E944" s="490">
        <f t="shared" ref="E944:F947" si="158">I944+G944+K944</f>
        <v>29389</v>
      </c>
      <c r="F944" s="493">
        <f t="shared" si="158"/>
        <v>58778</v>
      </c>
      <c r="G944" s="494">
        <f>단가산출근거목록표!F170</f>
        <v>28442</v>
      </c>
      <c r="H944" s="498">
        <f>IF(C944=0,0,ROUNDDOWN(G944*C944,1))</f>
        <v>56884</v>
      </c>
      <c r="I944" s="494">
        <f>단가산출근거목록표!G170</f>
        <v>647</v>
      </c>
      <c r="J944" s="498">
        <f>IF(C944=0,0,ROUNDDOWN(I944*C944,1))</f>
        <v>1294</v>
      </c>
      <c r="K944" s="494">
        <f>단가산출근거목록표!H170</f>
        <v>300</v>
      </c>
      <c r="L944" s="498">
        <f>IF(C944=0,0,ROUNDDOWN(K944*C944,1))</f>
        <v>600</v>
      </c>
      <c r="M944" s="463" t="s">
        <v>2737</v>
      </c>
      <c r="N944" s="451" t="s">
        <v>2778</v>
      </c>
      <c r="O944" s="468" t="s">
        <v>2739</v>
      </c>
      <c r="P944" s="468" t="s">
        <v>2354</v>
      </c>
      <c r="Z944" s="433" t="str">
        <f ca="1">HYPERLINK("#"&amp;단가산출근거목록표!J2&amp;"!A"&amp;ROW(단가산출근거목록표!A170),"D01273 →")</f>
        <v>D01273 →</v>
      </c>
    </row>
    <row r="945" spans="1:26" ht="33.200000000000003" customHeight="1">
      <c r="A945" s="452" t="s">
        <v>2740</v>
      </c>
      <c r="B945" s="452" t="s">
        <v>2779</v>
      </c>
      <c r="C945" s="489">
        <v>2</v>
      </c>
      <c r="D945" s="480" t="s">
        <v>595</v>
      </c>
      <c r="E945" s="490">
        <f t="shared" si="158"/>
        <v>4942</v>
      </c>
      <c r="F945" s="493">
        <f t="shared" si="158"/>
        <v>9884</v>
      </c>
      <c r="G945" s="494">
        <f>단가산출근거목록표!F71</f>
        <v>4942</v>
      </c>
      <c r="H945" s="498">
        <f>IF(C945=0,0,ROUNDDOWN(G945*C945,1))</f>
        <v>9884</v>
      </c>
      <c r="I945" s="494">
        <f>단가산출근거목록표!G71</f>
        <v>0</v>
      </c>
      <c r="J945" s="498">
        <f>IF(C945=0,0,ROUNDDOWN(I945*C945,1))</f>
        <v>0</v>
      </c>
      <c r="K945" s="494">
        <f>단가산출근거목록표!H71</f>
        <v>0</v>
      </c>
      <c r="L945" s="498">
        <f>IF(C945=0,0,ROUNDDOWN(K945*C945,1))</f>
        <v>0</v>
      </c>
      <c r="M945" s="463" t="s">
        <v>2780</v>
      </c>
      <c r="N945" s="451" t="s">
        <v>2781</v>
      </c>
      <c r="O945" s="468" t="s">
        <v>2782</v>
      </c>
      <c r="P945" s="468" t="s">
        <v>2354</v>
      </c>
      <c r="Z945" s="433" t="str">
        <f ca="1">HYPERLINK("#"&amp;단가산출근거목록표!J2&amp;"!A"&amp;ROW(단가산출근거목록표!A71),"D01213 →")</f>
        <v>D01213 →</v>
      </c>
    </row>
    <row r="946" spans="1:26" ht="33.200000000000003" customHeight="1">
      <c r="A946" s="452" t="s">
        <v>2745</v>
      </c>
      <c r="B946" s="452" t="s">
        <v>2783</v>
      </c>
      <c r="C946" s="489">
        <v>1</v>
      </c>
      <c r="D946" s="480" t="s">
        <v>911</v>
      </c>
      <c r="E946" s="490">
        <f t="shared" si="158"/>
        <v>55000</v>
      </c>
      <c r="F946" s="491">
        <f t="shared" si="158"/>
        <v>55000</v>
      </c>
      <c r="G946" s="492">
        <v>0</v>
      </c>
      <c r="H946" s="493">
        <f>IF(C946=0,0,ROUNDDOWN(G946*C946,1))</f>
        <v>0</v>
      </c>
      <c r="I946" s="494">
        <f>재료비목록표!E44</f>
        <v>55000</v>
      </c>
      <c r="J946" s="495">
        <f>IF(C946=0,0,ROUNDDOWN(I946*C946,1))</f>
        <v>55000</v>
      </c>
      <c r="K946" s="492">
        <v>0</v>
      </c>
      <c r="L946" s="493">
        <f>IF(C946=0,0,ROUNDDOWN(K946*C946,1))</f>
        <v>0</v>
      </c>
      <c r="M946" s="463" t="s">
        <v>2784</v>
      </c>
      <c r="N946" s="451" t="s">
        <v>2785</v>
      </c>
      <c r="O946" s="468" t="s">
        <v>2786</v>
      </c>
      <c r="P946" s="468" t="s">
        <v>2354</v>
      </c>
      <c r="Z946" s="433" t="str">
        <f ca="1">HYPERLINK("#"&amp;재료비목록표!G2&amp;"!A"&amp;ROW(재료비목록표!A44),"M08777 →")</f>
        <v>M08777 →</v>
      </c>
    </row>
    <row r="947" spans="1:26" ht="33.200000000000003" customHeight="1">
      <c r="A947" s="452" t="s">
        <v>2364</v>
      </c>
      <c r="B947" s="452" t="s">
        <v>2750</v>
      </c>
      <c r="C947" s="489">
        <v>2.2000000000000002</v>
      </c>
      <c r="D947" s="480" t="s">
        <v>1589</v>
      </c>
      <c r="E947" s="490">
        <f t="shared" si="158"/>
        <v>850</v>
      </c>
      <c r="F947" s="491">
        <f t="shared" si="158"/>
        <v>1870</v>
      </c>
      <c r="G947" s="492">
        <v>0</v>
      </c>
      <c r="H947" s="493">
        <f>IF(C947=0,0,ROUNDDOWN(G947*C947,1))</f>
        <v>0</v>
      </c>
      <c r="I947" s="494">
        <f>재료비목록표!E11</f>
        <v>850</v>
      </c>
      <c r="J947" s="495">
        <f>IF(C947=0,0,ROUNDDOWN(I947*C947,1))</f>
        <v>1870</v>
      </c>
      <c r="K947" s="492">
        <v>0</v>
      </c>
      <c r="L947" s="493">
        <f>IF(C947=0,0,ROUNDDOWN(K947*C947,1))</f>
        <v>0</v>
      </c>
      <c r="M947" s="463" t="s">
        <v>2751</v>
      </c>
      <c r="N947" s="451" t="s">
        <v>2752</v>
      </c>
      <c r="O947" s="468" t="s">
        <v>2753</v>
      </c>
      <c r="P947" s="468" t="s">
        <v>2354</v>
      </c>
      <c r="Z947" s="433" t="str">
        <f ca="1">HYPERLINK("#"&amp;재료비목록표!G2&amp;"!A"&amp;ROW(재료비목록표!A11),"M01205 →")</f>
        <v>M01205 →</v>
      </c>
    </row>
    <row r="948" spans="1:26" ht="33.200000000000003" customHeight="1">
      <c r="A948" s="463" t="s">
        <v>842</v>
      </c>
      <c r="B948" s="497"/>
      <c r="C948" s="497"/>
      <c r="D948" s="497"/>
      <c r="E948" s="497"/>
      <c r="F948" s="446">
        <f>J948+H948+L948</f>
        <v>125532</v>
      </c>
      <c r="G948" s="497"/>
      <c r="H948" s="446">
        <f>ROUNDDOWN(SUMIF(P944:P947,O948,H944:H947),0)</f>
        <v>66768</v>
      </c>
      <c r="I948" s="497"/>
      <c r="J948" s="446">
        <f>ROUNDDOWN(SUMIF(P944:P947,O948,J944:J947),0)</f>
        <v>58164</v>
      </c>
      <c r="K948" s="497"/>
      <c r="L948" s="446">
        <f>ROUNDDOWN(SUMIF(P944:P947,O948,L944:L947),0)</f>
        <v>600</v>
      </c>
      <c r="M948" s="497"/>
      <c r="O948" s="468" t="s">
        <v>2354</v>
      </c>
    </row>
    <row r="949" spans="1:26" ht="33.200000000000003" customHeight="1">
      <c r="A949" s="484" t="s">
        <v>2864</v>
      </c>
      <c r="B949" s="484"/>
      <c r="C949" s="485"/>
      <c r="D949" s="485"/>
      <c r="E949" s="485"/>
      <c r="F949" s="485"/>
      <c r="G949" s="485"/>
      <c r="H949" s="485"/>
      <c r="I949" s="485"/>
      <c r="J949" s="485"/>
      <c r="K949" s="485"/>
      <c r="L949" s="485"/>
      <c r="M949" s="485"/>
      <c r="N949" s="486" t="str">
        <f>HYPERLINK("#N"&amp;ROW(N954),"_x0005_`BDCOD|B02676_x0007_`POSS|"&amp;ROW(N951)&amp;"_x0007_`POSE|"&amp;ROW(N954)&amp;"_x0007_`")</f>
        <v>_x0005_`BDCOD|B02676_x0007_`POSS|951_x0007_`POSE|954_x0007_`</v>
      </c>
    </row>
    <row r="950" spans="1:26" ht="33.200000000000003" customHeight="1">
      <c r="A950" s="469" t="s">
        <v>1181</v>
      </c>
      <c r="B950" s="469" t="s">
        <v>1218</v>
      </c>
      <c r="C950" s="487"/>
      <c r="D950" s="488" t="s">
        <v>911</v>
      </c>
      <c r="E950" s="487"/>
      <c r="F950" s="487"/>
      <c r="G950" s="487"/>
      <c r="H950" s="487"/>
      <c r="I950" s="487"/>
      <c r="J950" s="487"/>
      <c r="K950" s="487"/>
      <c r="L950" s="487"/>
      <c r="M950" s="488" t="s">
        <v>1231</v>
      </c>
      <c r="O950" s="468" t="s">
        <v>1231</v>
      </c>
    </row>
    <row r="951" spans="1:26" ht="33.200000000000003" customHeight="1">
      <c r="A951" s="452" t="s">
        <v>2735</v>
      </c>
      <c r="B951" s="452" t="s">
        <v>2736</v>
      </c>
      <c r="C951" s="489">
        <v>2</v>
      </c>
      <c r="D951" s="480" t="s">
        <v>8</v>
      </c>
      <c r="E951" s="490">
        <f t="shared" ref="E951:F954" si="159">I951+G951+K951</f>
        <v>29389</v>
      </c>
      <c r="F951" s="493">
        <f t="shared" si="159"/>
        <v>58778</v>
      </c>
      <c r="G951" s="494">
        <f>단가산출근거목록표!F170</f>
        <v>28442</v>
      </c>
      <c r="H951" s="498">
        <f>IF(C951=0,0,ROUNDDOWN(G951*C951,1))</f>
        <v>56884</v>
      </c>
      <c r="I951" s="494">
        <f>단가산출근거목록표!G170</f>
        <v>647</v>
      </c>
      <c r="J951" s="498">
        <f>IF(C951=0,0,ROUNDDOWN(I951*C951,1))</f>
        <v>1294</v>
      </c>
      <c r="K951" s="494">
        <f>단가산출근거목록표!H170</f>
        <v>300</v>
      </c>
      <c r="L951" s="498">
        <f>IF(C951=0,0,ROUNDDOWN(K951*C951,1))</f>
        <v>600</v>
      </c>
      <c r="M951" s="463" t="s">
        <v>2737</v>
      </c>
      <c r="N951" s="451" t="s">
        <v>2778</v>
      </c>
      <c r="O951" s="468" t="s">
        <v>2739</v>
      </c>
      <c r="P951" s="468" t="s">
        <v>2354</v>
      </c>
      <c r="Z951" s="433" t="str">
        <f ca="1">HYPERLINK("#"&amp;단가산출근거목록표!J2&amp;"!A"&amp;ROW(단가산출근거목록표!A170),"D01273 →")</f>
        <v>D01273 →</v>
      </c>
    </row>
    <row r="952" spans="1:26" ht="33.200000000000003" customHeight="1">
      <c r="A952" s="452" t="s">
        <v>2740</v>
      </c>
      <c r="B952" s="452" t="s">
        <v>2779</v>
      </c>
      <c r="C952" s="489">
        <v>2</v>
      </c>
      <c r="D952" s="480" t="s">
        <v>595</v>
      </c>
      <c r="E952" s="490">
        <f t="shared" si="159"/>
        <v>4942</v>
      </c>
      <c r="F952" s="493">
        <f t="shared" si="159"/>
        <v>9884</v>
      </c>
      <c r="G952" s="494">
        <f>단가산출근거목록표!F71</f>
        <v>4942</v>
      </c>
      <c r="H952" s="498">
        <f>IF(C952=0,0,ROUNDDOWN(G952*C952,1))</f>
        <v>9884</v>
      </c>
      <c r="I952" s="494">
        <f>단가산출근거목록표!G71</f>
        <v>0</v>
      </c>
      <c r="J952" s="498">
        <f>IF(C952=0,0,ROUNDDOWN(I952*C952,1))</f>
        <v>0</v>
      </c>
      <c r="K952" s="494">
        <f>단가산출근거목록표!H71</f>
        <v>0</v>
      </c>
      <c r="L952" s="498">
        <f>IF(C952=0,0,ROUNDDOWN(K952*C952,1))</f>
        <v>0</v>
      </c>
      <c r="M952" s="463" t="s">
        <v>2780</v>
      </c>
      <c r="N952" s="451" t="s">
        <v>2781</v>
      </c>
      <c r="O952" s="468" t="s">
        <v>2782</v>
      </c>
      <c r="P952" s="468" t="s">
        <v>2354</v>
      </c>
      <c r="Z952" s="433" t="str">
        <f ca="1">HYPERLINK("#"&amp;단가산출근거목록표!J2&amp;"!A"&amp;ROW(단가산출근거목록표!A71),"D01213 →")</f>
        <v>D01213 →</v>
      </c>
    </row>
    <row r="953" spans="1:26" ht="33.200000000000003" customHeight="1">
      <c r="A953" s="452" t="s">
        <v>2755</v>
      </c>
      <c r="B953" s="452" t="s">
        <v>2783</v>
      </c>
      <c r="C953" s="489">
        <v>1</v>
      </c>
      <c r="D953" s="480" t="s">
        <v>911</v>
      </c>
      <c r="E953" s="490">
        <f t="shared" si="159"/>
        <v>97500</v>
      </c>
      <c r="F953" s="491">
        <f t="shared" si="159"/>
        <v>97500</v>
      </c>
      <c r="G953" s="492">
        <v>0</v>
      </c>
      <c r="H953" s="493">
        <f>IF(C953=0,0,ROUNDDOWN(G953*C953,1))</f>
        <v>0</v>
      </c>
      <c r="I953" s="494">
        <f>재료비목록표!E50</f>
        <v>97500</v>
      </c>
      <c r="J953" s="495">
        <f>IF(C953=0,0,ROUNDDOWN(I953*C953,1))</f>
        <v>97500</v>
      </c>
      <c r="K953" s="492">
        <v>0</v>
      </c>
      <c r="L953" s="493">
        <f>IF(C953=0,0,ROUNDDOWN(K953*C953,1))</f>
        <v>0</v>
      </c>
      <c r="M953" s="463" t="s">
        <v>2788</v>
      </c>
      <c r="N953" s="451" t="s">
        <v>2789</v>
      </c>
      <c r="O953" s="468" t="s">
        <v>2790</v>
      </c>
      <c r="P953" s="468" t="s">
        <v>2354</v>
      </c>
      <c r="Z953" s="433" t="str">
        <f ca="1">HYPERLINK("#"&amp;재료비목록표!G2&amp;"!A"&amp;ROW(재료비목록표!A50),"M08778 →")</f>
        <v>M08778 →</v>
      </c>
    </row>
    <row r="954" spans="1:26" ht="33.200000000000003" customHeight="1">
      <c r="A954" s="452" t="s">
        <v>2364</v>
      </c>
      <c r="B954" s="452" t="s">
        <v>2750</v>
      </c>
      <c r="C954" s="489">
        <v>2.2000000000000002</v>
      </c>
      <c r="D954" s="480" t="s">
        <v>1589</v>
      </c>
      <c r="E954" s="490">
        <f t="shared" si="159"/>
        <v>850</v>
      </c>
      <c r="F954" s="491">
        <f t="shared" si="159"/>
        <v>1870</v>
      </c>
      <c r="G954" s="492">
        <v>0</v>
      </c>
      <c r="H954" s="493">
        <f>IF(C954=0,0,ROUNDDOWN(G954*C954,1))</f>
        <v>0</v>
      </c>
      <c r="I954" s="494">
        <f>재료비목록표!E11</f>
        <v>850</v>
      </c>
      <c r="J954" s="495">
        <f>IF(C954=0,0,ROUNDDOWN(I954*C954,1))</f>
        <v>1870</v>
      </c>
      <c r="K954" s="492">
        <v>0</v>
      </c>
      <c r="L954" s="493">
        <f>IF(C954=0,0,ROUNDDOWN(K954*C954,1))</f>
        <v>0</v>
      </c>
      <c r="M954" s="463" t="s">
        <v>2751</v>
      </c>
      <c r="N954" s="451" t="s">
        <v>2752</v>
      </c>
      <c r="O954" s="468" t="s">
        <v>2753</v>
      </c>
      <c r="P954" s="468" t="s">
        <v>2354</v>
      </c>
      <c r="Z954" s="433" t="str">
        <f ca="1">HYPERLINK("#"&amp;재료비목록표!G2&amp;"!A"&amp;ROW(재료비목록표!A11),"M01205 →")</f>
        <v>M01205 →</v>
      </c>
    </row>
    <row r="955" spans="1:26" ht="33.200000000000003" customHeight="1">
      <c r="A955" s="463" t="s">
        <v>842</v>
      </c>
      <c r="B955" s="497"/>
      <c r="C955" s="497"/>
      <c r="D955" s="497"/>
      <c r="E955" s="497"/>
      <c r="F955" s="446">
        <f>J955+H955+L955</f>
        <v>168032</v>
      </c>
      <c r="G955" s="497"/>
      <c r="H955" s="446">
        <f>ROUNDDOWN(SUMIF(P951:P954,O955,H951:H954),0)</f>
        <v>66768</v>
      </c>
      <c r="I955" s="497"/>
      <c r="J955" s="446">
        <f>ROUNDDOWN(SUMIF(P951:P954,O955,J951:J954),0)</f>
        <v>100664</v>
      </c>
      <c r="K955" s="497"/>
      <c r="L955" s="446">
        <f>ROUNDDOWN(SUMIF(P951:P954,O955,L951:L954),0)</f>
        <v>600</v>
      </c>
      <c r="M955" s="497"/>
      <c r="O955" s="468" t="s">
        <v>2354</v>
      </c>
    </row>
    <row r="956" spans="1:26" ht="33.200000000000003" customHeight="1">
      <c r="A956" s="484" t="s">
        <v>2865</v>
      </c>
      <c r="B956" s="484"/>
      <c r="C956" s="485"/>
      <c r="D956" s="485"/>
      <c r="E956" s="485"/>
      <c r="F956" s="485"/>
      <c r="G956" s="485"/>
      <c r="H956" s="485"/>
      <c r="I956" s="485"/>
      <c r="J956" s="485"/>
      <c r="K956" s="485"/>
      <c r="L956" s="485"/>
      <c r="M956" s="485"/>
      <c r="N956" s="486" t="str">
        <f>HYPERLINK("#N"&amp;ROW(N961),"_x0005_`BDCOD|B02366_x0007_`POSS|"&amp;ROW(N958)&amp;"_x0007_`POSE|"&amp;ROW(N961)&amp;"_x0007_`")</f>
        <v>_x0005_`BDCOD|B02366_x0007_`POSS|958_x0007_`POSE|961_x0007_`</v>
      </c>
    </row>
    <row r="957" spans="1:26" ht="33.200000000000003" customHeight="1">
      <c r="A957" s="469" t="s">
        <v>1181</v>
      </c>
      <c r="B957" s="469" t="s">
        <v>1182</v>
      </c>
      <c r="C957" s="487"/>
      <c r="D957" s="488" t="s">
        <v>911</v>
      </c>
      <c r="E957" s="487"/>
      <c r="F957" s="487"/>
      <c r="G957" s="487"/>
      <c r="H957" s="487"/>
      <c r="I957" s="487"/>
      <c r="J957" s="487"/>
      <c r="K957" s="487"/>
      <c r="L957" s="487"/>
      <c r="M957" s="488" t="s">
        <v>1183</v>
      </c>
      <c r="O957" s="468" t="s">
        <v>1183</v>
      </c>
    </row>
    <row r="958" spans="1:26" ht="33.200000000000003" customHeight="1">
      <c r="A958" s="452" t="s">
        <v>2735</v>
      </c>
      <c r="B958" s="452" t="s">
        <v>2736</v>
      </c>
      <c r="C958" s="489">
        <v>0.6</v>
      </c>
      <c r="D958" s="480" t="s">
        <v>8</v>
      </c>
      <c r="E958" s="490">
        <f t="shared" ref="E958:F961" si="160">I958+G958+K958</f>
        <v>29389</v>
      </c>
      <c r="F958" s="493">
        <f t="shared" si="160"/>
        <v>17633.400000000001</v>
      </c>
      <c r="G958" s="494">
        <f>단가산출근거목록표!F170</f>
        <v>28442</v>
      </c>
      <c r="H958" s="498">
        <f>IF(C958=0,0,ROUNDDOWN(G958*C958,1))</f>
        <v>17065.2</v>
      </c>
      <c r="I958" s="494">
        <f>단가산출근거목록표!G170</f>
        <v>647</v>
      </c>
      <c r="J958" s="498">
        <f>IF(C958=0,0,ROUNDDOWN(I958*C958,1))</f>
        <v>388.2</v>
      </c>
      <c r="K958" s="494">
        <f>단가산출근거목록표!H170</f>
        <v>300</v>
      </c>
      <c r="L958" s="498">
        <f>IF(C958=0,0,ROUNDDOWN(K958*C958,1))</f>
        <v>180</v>
      </c>
      <c r="M958" s="463" t="s">
        <v>2737</v>
      </c>
      <c r="N958" s="451" t="s">
        <v>2738</v>
      </c>
      <c r="O958" s="468" t="s">
        <v>2739</v>
      </c>
      <c r="P958" s="468" t="s">
        <v>2354</v>
      </c>
      <c r="Q958" s="468" t="s">
        <v>2355</v>
      </c>
      <c r="Z958" s="433" t="str">
        <f ca="1">HYPERLINK("#"&amp;단가산출근거목록표!J2&amp;"!A"&amp;ROW(단가산출근거목록표!A170),"D01273 →")</f>
        <v>D01273 →</v>
      </c>
    </row>
    <row r="959" spans="1:26" ht="33.200000000000003" customHeight="1">
      <c r="A959" s="452" t="s">
        <v>2740</v>
      </c>
      <c r="B959" s="452" t="s">
        <v>2741</v>
      </c>
      <c r="C959" s="489">
        <v>0.6</v>
      </c>
      <c r="D959" s="480" t="s">
        <v>595</v>
      </c>
      <c r="E959" s="490">
        <f t="shared" si="160"/>
        <v>7138</v>
      </c>
      <c r="F959" s="493">
        <f t="shared" si="160"/>
        <v>4282.8</v>
      </c>
      <c r="G959" s="494">
        <f>단가산출근거목록표!F70</f>
        <v>7138</v>
      </c>
      <c r="H959" s="498">
        <f>IF(C959=0,0,ROUNDDOWN(G959*C959,1))</f>
        <v>4282.8</v>
      </c>
      <c r="I959" s="494">
        <f>단가산출근거목록표!G70</f>
        <v>0</v>
      </c>
      <c r="J959" s="498">
        <f>IF(C959=0,0,ROUNDDOWN(I959*C959,1))</f>
        <v>0</v>
      </c>
      <c r="K959" s="494">
        <f>단가산출근거목록표!H70</f>
        <v>0</v>
      </c>
      <c r="L959" s="498">
        <f>IF(C959=0,0,ROUNDDOWN(K959*C959,1))</f>
        <v>0</v>
      </c>
      <c r="M959" s="463" t="s">
        <v>2742</v>
      </c>
      <c r="N959" s="451" t="s">
        <v>2743</v>
      </c>
      <c r="O959" s="468" t="s">
        <v>2744</v>
      </c>
      <c r="P959" s="468" t="s">
        <v>2354</v>
      </c>
      <c r="Q959" s="468" t="s">
        <v>2355</v>
      </c>
      <c r="Z959" s="433" t="str">
        <f ca="1">HYPERLINK("#"&amp;단가산출근거목록표!J2&amp;"!A"&amp;ROW(단가산출근거목록표!A70),"D01136 →")</f>
        <v>D01136 →</v>
      </c>
    </row>
    <row r="960" spans="1:26" ht="33.200000000000003" customHeight="1">
      <c r="A960" s="452" t="s">
        <v>2745</v>
      </c>
      <c r="B960" s="452" t="s">
        <v>2792</v>
      </c>
      <c r="C960" s="489">
        <v>1</v>
      </c>
      <c r="D960" s="480" t="s">
        <v>911</v>
      </c>
      <c r="E960" s="490">
        <f t="shared" si="160"/>
        <v>21000</v>
      </c>
      <c r="F960" s="491">
        <f t="shared" si="160"/>
        <v>21000</v>
      </c>
      <c r="G960" s="492">
        <v>0</v>
      </c>
      <c r="H960" s="493">
        <f>IF(C960=0,0,ROUNDDOWN(G960*C960,1))</f>
        <v>0</v>
      </c>
      <c r="I960" s="494">
        <f>재료비목록표!E45</f>
        <v>21000</v>
      </c>
      <c r="J960" s="495">
        <f>IF(C960=0,0,ROUNDDOWN(I960*C960,1))</f>
        <v>21000</v>
      </c>
      <c r="K960" s="492">
        <v>0</v>
      </c>
      <c r="L960" s="493">
        <f>IF(C960=0,0,ROUNDDOWN(K960*C960,1))</f>
        <v>0</v>
      </c>
      <c r="M960" s="463" t="s">
        <v>2793</v>
      </c>
      <c r="N960" s="451" t="s">
        <v>2794</v>
      </c>
      <c r="O960" s="468" t="s">
        <v>2795</v>
      </c>
      <c r="P960" s="468" t="s">
        <v>2354</v>
      </c>
      <c r="Z960" s="433" t="str">
        <f ca="1">HYPERLINK("#"&amp;재료비목록표!G2&amp;"!A"&amp;ROW(재료비목록표!A45),"M01440 →")</f>
        <v>M01440 →</v>
      </c>
    </row>
    <row r="961" spans="1:26" ht="33.200000000000003" customHeight="1">
      <c r="A961" s="452" t="s">
        <v>2364</v>
      </c>
      <c r="B961" s="452" t="s">
        <v>2750</v>
      </c>
      <c r="C961" s="489">
        <v>2.2000000000000002</v>
      </c>
      <c r="D961" s="480" t="s">
        <v>1589</v>
      </c>
      <c r="E961" s="490">
        <f t="shared" si="160"/>
        <v>850</v>
      </c>
      <c r="F961" s="491">
        <f t="shared" si="160"/>
        <v>1870</v>
      </c>
      <c r="G961" s="492">
        <v>0</v>
      </c>
      <c r="H961" s="493">
        <f>IF(C961=0,0,ROUNDDOWN(G961*C961,1))</f>
        <v>0</v>
      </c>
      <c r="I961" s="494">
        <f>재료비목록표!E11</f>
        <v>850</v>
      </c>
      <c r="J961" s="495">
        <f>IF(C961=0,0,ROUNDDOWN(I961*C961,1))</f>
        <v>1870</v>
      </c>
      <c r="K961" s="492">
        <v>0</v>
      </c>
      <c r="L961" s="493">
        <f>IF(C961=0,0,ROUNDDOWN(K961*C961,1))</f>
        <v>0</v>
      </c>
      <c r="M961" s="463" t="s">
        <v>2751</v>
      </c>
      <c r="N961" s="451" t="s">
        <v>2752</v>
      </c>
      <c r="O961" s="468" t="s">
        <v>2753</v>
      </c>
      <c r="P961" s="468" t="s">
        <v>2354</v>
      </c>
      <c r="Z961" s="433" t="str">
        <f ca="1">HYPERLINK("#"&amp;재료비목록표!G2&amp;"!A"&amp;ROW(재료비목록표!A11),"M01205 →")</f>
        <v>M01205 →</v>
      </c>
    </row>
    <row r="962" spans="1:26" ht="33.200000000000003" customHeight="1">
      <c r="A962" s="463" t="s">
        <v>842</v>
      </c>
      <c r="B962" s="497"/>
      <c r="C962" s="497"/>
      <c r="D962" s="497"/>
      <c r="E962" s="497"/>
      <c r="F962" s="446">
        <f>J962+H962+L962</f>
        <v>44786</v>
      </c>
      <c r="G962" s="497"/>
      <c r="H962" s="446">
        <f>ROUNDDOWN(SUMIF(P958:P961,O962,H958:H961),0)</f>
        <v>21348</v>
      </c>
      <c r="I962" s="497"/>
      <c r="J962" s="446">
        <f>ROUNDDOWN(SUMIF(P958:P961,O962,J958:J961),0)</f>
        <v>23258</v>
      </c>
      <c r="K962" s="497"/>
      <c r="L962" s="446">
        <f>ROUNDDOWN(SUMIF(P958:P961,O962,L958:L961),0)</f>
        <v>180</v>
      </c>
      <c r="M962" s="497"/>
      <c r="O962" s="468" t="s">
        <v>2354</v>
      </c>
    </row>
    <row r="963" spans="1:26" ht="33.200000000000003" customHeight="1">
      <c r="A963" s="484" t="s">
        <v>2866</v>
      </c>
      <c r="B963" s="484"/>
      <c r="C963" s="485"/>
      <c r="D963" s="485"/>
      <c r="E963" s="485"/>
      <c r="F963" s="485"/>
      <c r="G963" s="485"/>
      <c r="H963" s="485"/>
      <c r="I963" s="485"/>
      <c r="J963" s="485"/>
      <c r="K963" s="485"/>
      <c r="L963" s="485"/>
      <c r="M963" s="485"/>
      <c r="N963" s="486" t="str">
        <f>HYPERLINK("#N"&amp;ROW(N968),"_x0005_`BDCOD|B02402_x0007_`POSS|"&amp;ROW(N965)&amp;"_x0007_`POSE|"&amp;ROW(N968)&amp;"_x0007_`")</f>
        <v>_x0005_`BDCOD|B02402_x0007_`POSS|965_x0007_`POSE|968_x0007_`</v>
      </c>
    </row>
    <row r="964" spans="1:26" ht="33.200000000000003" customHeight="1">
      <c r="A964" s="469" t="s">
        <v>1181</v>
      </c>
      <c r="B964" s="469" t="s">
        <v>1186</v>
      </c>
      <c r="C964" s="487"/>
      <c r="D964" s="488" t="s">
        <v>911</v>
      </c>
      <c r="E964" s="487"/>
      <c r="F964" s="487"/>
      <c r="G964" s="487"/>
      <c r="H964" s="487"/>
      <c r="I964" s="487"/>
      <c r="J964" s="487"/>
      <c r="K964" s="487"/>
      <c r="L964" s="487"/>
      <c r="M964" s="488" t="s">
        <v>1187</v>
      </c>
      <c r="O964" s="468" t="s">
        <v>1187</v>
      </c>
    </row>
    <row r="965" spans="1:26" ht="33.200000000000003" customHeight="1">
      <c r="A965" s="452" t="s">
        <v>2735</v>
      </c>
      <c r="B965" s="452" t="s">
        <v>2736</v>
      </c>
      <c r="C965" s="489">
        <v>0.8</v>
      </c>
      <c r="D965" s="480" t="s">
        <v>8</v>
      </c>
      <c r="E965" s="490">
        <f t="shared" ref="E965:F968" si="161">I965+G965+K965</f>
        <v>29389</v>
      </c>
      <c r="F965" s="493">
        <f t="shared" si="161"/>
        <v>23511.199999999997</v>
      </c>
      <c r="G965" s="494">
        <f>단가산출근거목록표!F170</f>
        <v>28442</v>
      </c>
      <c r="H965" s="498">
        <f>IF(C965=0,0,ROUNDDOWN(G965*C965,1))</f>
        <v>22753.599999999999</v>
      </c>
      <c r="I965" s="494">
        <f>단가산출근거목록표!G170</f>
        <v>647</v>
      </c>
      <c r="J965" s="498">
        <f>IF(C965=0,0,ROUNDDOWN(I965*C965,1))</f>
        <v>517.6</v>
      </c>
      <c r="K965" s="494">
        <f>단가산출근거목록표!H170</f>
        <v>300</v>
      </c>
      <c r="L965" s="498">
        <f>IF(C965=0,0,ROUNDDOWN(K965*C965,1))</f>
        <v>240</v>
      </c>
      <c r="M965" s="463" t="s">
        <v>2737</v>
      </c>
      <c r="N965" s="451" t="s">
        <v>2778</v>
      </c>
      <c r="O965" s="468" t="s">
        <v>2739</v>
      </c>
      <c r="P965" s="468" t="s">
        <v>2354</v>
      </c>
      <c r="Z965" s="433" t="str">
        <f ca="1">HYPERLINK("#"&amp;단가산출근거목록표!J2&amp;"!A"&amp;ROW(단가산출근거목록표!A170),"D01273 →")</f>
        <v>D01273 →</v>
      </c>
    </row>
    <row r="966" spans="1:26" ht="33.200000000000003" customHeight="1">
      <c r="A966" s="452" t="s">
        <v>2740</v>
      </c>
      <c r="B966" s="452" t="s">
        <v>2741</v>
      </c>
      <c r="C966" s="489">
        <v>0.8</v>
      </c>
      <c r="D966" s="480" t="s">
        <v>595</v>
      </c>
      <c r="E966" s="490">
        <f t="shared" si="161"/>
        <v>7138</v>
      </c>
      <c r="F966" s="493">
        <f t="shared" si="161"/>
        <v>5710.4</v>
      </c>
      <c r="G966" s="494">
        <f>단가산출근거목록표!F70</f>
        <v>7138</v>
      </c>
      <c r="H966" s="498">
        <f>IF(C966=0,0,ROUNDDOWN(G966*C966,1))</f>
        <v>5710.4</v>
      </c>
      <c r="I966" s="494">
        <f>단가산출근거목록표!G70</f>
        <v>0</v>
      </c>
      <c r="J966" s="498">
        <f>IF(C966=0,0,ROUNDDOWN(I966*C966,1))</f>
        <v>0</v>
      </c>
      <c r="K966" s="494">
        <f>단가산출근거목록표!H70</f>
        <v>0</v>
      </c>
      <c r="L966" s="498">
        <f>IF(C966=0,0,ROUNDDOWN(K966*C966,1))</f>
        <v>0</v>
      </c>
      <c r="M966" s="463" t="s">
        <v>2742</v>
      </c>
      <c r="N966" s="451" t="s">
        <v>2743</v>
      </c>
      <c r="O966" s="468" t="s">
        <v>2744</v>
      </c>
      <c r="P966" s="468" t="s">
        <v>2354</v>
      </c>
      <c r="Q966" s="468" t="s">
        <v>2355</v>
      </c>
      <c r="Z966" s="433" t="str">
        <f ca="1">HYPERLINK("#"&amp;단가산출근거목록표!J2&amp;"!A"&amp;ROW(단가산출근거목록표!A70),"D01136 →")</f>
        <v>D01136 →</v>
      </c>
    </row>
    <row r="967" spans="1:26" ht="33.200000000000003" customHeight="1">
      <c r="A967" s="452" t="s">
        <v>2745</v>
      </c>
      <c r="B967" s="452" t="s">
        <v>2797</v>
      </c>
      <c r="C967" s="489">
        <v>1</v>
      </c>
      <c r="D967" s="480" t="s">
        <v>911</v>
      </c>
      <c r="E967" s="490">
        <f t="shared" si="161"/>
        <v>23000</v>
      </c>
      <c r="F967" s="491">
        <f t="shared" si="161"/>
        <v>23000</v>
      </c>
      <c r="G967" s="492">
        <v>0</v>
      </c>
      <c r="H967" s="493">
        <f>IF(C967=0,0,ROUNDDOWN(G967*C967,1))</f>
        <v>0</v>
      </c>
      <c r="I967" s="494">
        <f>재료비목록표!E46</f>
        <v>23000</v>
      </c>
      <c r="J967" s="495">
        <f>IF(C967=0,0,ROUNDDOWN(I967*C967,1))</f>
        <v>23000</v>
      </c>
      <c r="K967" s="492">
        <v>0</v>
      </c>
      <c r="L967" s="493">
        <f>IF(C967=0,0,ROUNDDOWN(K967*C967,1))</f>
        <v>0</v>
      </c>
      <c r="M967" s="463" t="s">
        <v>2798</v>
      </c>
      <c r="N967" s="451" t="s">
        <v>2799</v>
      </c>
      <c r="O967" s="468" t="s">
        <v>2800</v>
      </c>
      <c r="P967" s="468" t="s">
        <v>2354</v>
      </c>
      <c r="Z967" s="433" t="str">
        <f ca="1">HYPERLINK("#"&amp;재료비목록표!G2&amp;"!A"&amp;ROW(재료비목록표!A46),"M01441 →")</f>
        <v>M01441 →</v>
      </c>
    </row>
    <row r="968" spans="1:26" ht="33.200000000000003" customHeight="1">
      <c r="A968" s="452" t="s">
        <v>2364</v>
      </c>
      <c r="B968" s="452" t="s">
        <v>2750</v>
      </c>
      <c r="C968" s="489">
        <v>2.2000000000000002</v>
      </c>
      <c r="D968" s="480" t="s">
        <v>1589</v>
      </c>
      <c r="E968" s="490">
        <f t="shared" si="161"/>
        <v>850</v>
      </c>
      <c r="F968" s="491">
        <f t="shared" si="161"/>
        <v>1870</v>
      </c>
      <c r="G968" s="492">
        <v>0</v>
      </c>
      <c r="H968" s="493">
        <f>IF(C968=0,0,ROUNDDOWN(G968*C968,1))</f>
        <v>0</v>
      </c>
      <c r="I968" s="494">
        <f>재료비목록표!E11</f>
        <v>850</v>
      </c>
      <c r="J968" s="495">
        <f>IF(C968=0,0,ROUNDDOWN(I968*C968,1))</f>
        <v>1870</v>
      </c>
      <c r="K968" s="492">
        <v>0</v>
      </c>
      <c r="L968" s="493">
        <f>IF(C968=0,0,ROUNDDOWN(K968*C968,1))</f>
        <v>0</v>
      </c>
      <c r="M968" s="463" t="s">
        <v>2751</v>
      </c>
      <c r="N968" s="451" t="s">
        <v>2752</v>
      </c>
      <c r="O968" s="468" t="s">
        <v>2753</v>
      </c>
      <c r="P968" s="468" t="s">
        <v>2354</v>
      </c>
      <c r="Z968" s="433" t="str">
        <f ca="1">HYPERLINK("#"&amp;재료비목록표!G2&amp;"!A"&amp;ROW(재료비목록표!A11),"M01205 →")</f>
        <v>M01205 →</v>
      </c>
    </row>
    <row r="969" spans="1:26" ht="33.200000000000003" customHeight="1">
      <c r="A969" s="463" t="s">
        <v>842</v>
      </c>
      <c r="B969" s="497"/>
      <c r="C969" s="497"/>
      <c r="D969" s="497"/>
      <c r="E969" s="497"/>
      <c r="F969" s="446">
        <f>J969+H969+L969</f>
        <v>54091</v>
      </c>
      <c r="G969" s="497"/>
      <c r="H969" s="446">
        <f>ROUNDDOWN(SUMIF(P965:P968,O969,H965:H968),0)</f>
        <v>28464</v>
      </c>
      <c r="I969" s="497"/>
      <c r="J969" s="446">
        <f>ROUNDDOWN(SUMIF(P965:P968,O969,J965:J968),0)</f>
        <v>25387</v>
      </c>
      <c r="K969" s="497"/>
      <c r="L969" s="446">
        <f>ROUNDDOWN(SUMIF(P965:P968,O969,L965:L968),0)</f>
        <v>240</v>
      </c>
      <c r="M969" s="497"/>
      <c r="O969" s="468" t="s">
        <v>2354</v>
      </c>
    </row>
    <row r="970" spans="1:26" ht="33.200000000000003" customHeight="1">
      <c r="A970" s="484" t="s">
        <v>2867</v>
      </c>
      <c r="B970" s="484"/>
      <c r="C970" s="485"/>
      <c r="D970" s="485"/>
      <c r="E970" s="485"/>
      <c r="F970" s="485"/>
      <c r="G970" s="485"/>
      <c r="H970" s="485"/>
      <c r="I970" s="485"/>
      <c r="J970" s="485"/>
      <c r="K970" s="485"/>
      <c r="L970" s="485"/>
      <c r="M970" s="485"/>
      <c r="N970" s="486" t="str">
        <f>HYPERLINK("#N"&amp;ROW(N976),"_x0005_`BDCOD|B02860_x0007_`POSS|"&amp;ROW(N972)&amp;"_x0007_`POSE|"&amp;ROW(N976)&amp;"_x0007_`")</f>
        <v>_x0005_`BDCOD|B02860_x0007_`POSS|972_x0007_`POSE|976_x0007_`</v>
      </c>
    </row>
    <row r="971" spans="1:26" ht="33.200000000000003" customHeight="1">
      <c r="A971" s="469" t="s">
        <v>5174</v>
      </c>
      <c r="B971" s="469" t="s">
        <v>1206</v>
      </c>
      <c r="C971" s="487"/>
      <c r="D971" s="488" t="s">
        <v>911</v>
      </c>
      <c r="E971" s="487"/>
      <c r="F971" s="487"/>
      <c r="G971" s="487"/>
      <c r="H971" s="487"/>
      <c r="I971" s="487"/>
      <c r="J971" s="487"/>
      <c r="K971" s="487"/>
      <c r="L971" s="487"/>
      <c r="M971" s="488" t="s">
        <v>5175</v>
      </c>
      <c r="O971" s="468" t="s">
        <v>5175</v>
      </c>
    </row>
    <row r="972" spans="1:26" ht="33.200000000000003" customHeight="1">
      <c r="A972" s="452" t="s">
        <v>2735</v>
      </c>
      <c r="B972" s="452" t="s">
        <v>2736</v>
      </c>
      <c r="C972" s="489">
        <v>1</v>
      </c>
      <c r="D972" s="480" t="s">
        <v>8</v>
      </c>
      <c r="E972" s="490">
        <f t="shared" ref="E972:F976" si="162">I972+G972+K972</f>
        <v>29389</v>
      </c>
      <c r="F972" s="493">
        <f t="shared" si="162"/>
        <v>29389</v>
      </c>
      <c r="G972" s="494">
        <f>단가산출근거목록표!F170</f>
        <v>28442</v>
      </c>
      <c r="H972" s="498">
        <f>IF(C972=0,0,ROUNDDOWN(G972*C972,1))</f>
        <v>28442</v>
      </c>
      <c r="I972" s="494">
        <f>단가산출근거목록표!G170</f>
        <v>647</v>
      </c>
      <c r="J972" s="498">
        <f>IF(C972=0,0,ROUNDDOWN(I972*C972,1))</f>
        <v>647</v>
      </c>
      <c r="K972" s="494">
        <f>단가산출근거목록표!H170</f>
        <v>300</v>
      </c>
      <c r="L972" s="498">
        <f>IF(C972=0,0,ROUNDDOWN(K972*C972,1))</f>
        <v>300</v>
      </c>
      <c r="M972" s="463" t="s">
        <v>2737</v>
      </c>
      <c r="N972" s="451" t="s">
        <v>2738</v>
      </c>
      <c r="O972" s="468" t="s">
        <v>2739</v>
      </c>
      <c r="P972" s="468" t="s">
        <v>2354</v>
      </c>
      <c r="Q972" s="468" t="s">
        <v>2355</v>
      </c>
      <c r="Z972" s="433" t="str">
        <f ca="1">HYPERLINK("#"&amp;단가산출근거목록표!J2&amp;"!A"&amp;ROW(단가산출근거목록표!A170),"D01273 →")</f>
        <v>D01273 →</v>
      </c>
    </row>
    <row r="973" spans="1:26" ht="33.200000000000003" customHeight="1">
      <c r="A973" s="452" t="s">
        <v>2740</v>
      </c>
      <c r="B973" s="452" t="s">
        <v>2741</v>
      </c>
      <c r="C973" s="489">
        <v>1</v>
      </c>
      <c r="D973" s="480" t="s">
        <v>595</v>
      </c>
      <c r="E973" s="490">
        <f t="shared" si="162"/>
        <v>7138</v>
      </c>
      <c r="F973" s="493">
        <f t="shared" si="162"/>
        <v>7138</v>
      </c>
      <c r="G973" s="494">
        <f>단가산출근거목록표!F70</f>
        <v>7138</v>
      </c>
      <c r="H973" s="498">
        <f>IF(C973=0,0,ROUNDDOWN(G973*C973,1))</f>
        <v>7138</v>
      </c>
      <c r="I973" s="494">
        <f>단가산출근거목록표!G70</f>
        <v>0</v>
      </c>
      <c r="J973" s="498">
        <f>IF(C973=0,0,ROUNDDOWN(I973*C973,1))</f>
        <v>0</v>
      </c>
      <c r="K973" s="494">
        <f>단가산출근거목록표!H70</f>
        <v>0</v>
      </c>
      <c r="L973" s="498">
        <f>IF(C973=0,0,ROUNDDOWN(K973*C973,1))</f>
        <v>0</v>
      </c>
      <c r="M973" s="463" t="s">
        <v>2742</v>
      </c>
      <c r="N973" s="451" t="s">
        <v>2743</v>
      </c>
      <c r="O973" s="468" t="s">
        <v>2744</v>
      </c>
      <c r="P973" s="468" t="s">
        <v>2354</v>
      </c>
      <c r="Q973" s="468" t="s">
        <v>2355</v>
      </c>
      <c r="Z973" s="433" t="str">
        <f ca="1">HYPERLINK("#"&amp;단가산출근거목록표!J2&amp;"!A"&amp;ROW(단가산출근거목록표!A70),"D01136 →")</f>
        <v>D01136 →</v>
      </c>
    </row>
    <row r="974" spans="1:26" ht="33.200000000000003" customHeight="1">
      <c r="A974" s="452" t="s">
        <v>2755</v>
      </c>
      <c r="B974" s="452" t="s">
        <v>2746</v>
      </c>
      <c r="C974" s="489">
        <v>1</v>
      </c>
      <c r="D974" s="480" t="s">
        <v>911</v>
      </c>
      <c r="E974" s="490">
        <f t="shared" si="162"/>
        <v>52500</v>
      </c>
      <c r="F974" s="491">
        <f t="shared" si="162"/>
        <v>52500</v>
      </c>
      <c r="G974" s="492">
        <v>0</v>
      </c>
      <c r="H974" s="493">
        <f>IF(C974=0,0,ROUNDDOWN(G974*C974,1))</f>
        <v>0</v>
      </c>
      <c r="I974" s="494">
        <f>재료비목록표!E47</f>
        <v>52500</v>
      </c>
      <c r="J974" s="495">
        <f>IF(C974=0,0,ROUNDDOWN(I974*C974,1))</f>
        <v>52500</v>
      </c>
      <c r="K974" s="492">
        <v>0</v>
      </c>
      <c r="L974" s="493">
        <f>IF(C974=0,0,ROUNDDOWN(K974*C974,1))</f>
        <v>0</v>
      </c>
      <c r="M974" s="463" t="s">
        <v>2756</v>
      </c>
      <c r="N974" s="451" t="s">
        <v>2757</v>
      </c>
      <c r="O974" s="468" t="s">
        <v>2758</v>
      </c>
      <c r="P974" s="468" t="s">
        <v>2354</v>
      </c>
      <c r="Z974" s="433" t="str">
        <f ca="1">HYPERLINK("#"&amp;재료비목록표!G2&amp;"!A"&amp;ROW(재료비목록표!A47),"M01602 →")</f>
        <v>M01602 →</v>
      </c>
    </row>
    <row r="975" spans="1:26" ht="33.200000000000003" customHeight="1">
      <c r="A975" s="452" t="s">
        <v>2364</v>
      </c>
      <c r="B975" s="452" t="s">
        <v>2750</v>
      </c>
      <c r="C975" s="489">
        <v>2.2000000000000002</v>
      </c>
      <c r="D975" s="480" t="s">
        <v>1589</v>
      </c>
      <c r="E975" s="490">
        <f t="shared" si="162"/>
        <v>850</v>
      </c>
      <c r="F975" s="491">
        <f t="shared" si="162"/>
        <v>1870</v>
      </c>
      <c r="G975" s="492">
        <v>0</v>
      </c>
      <c r="H975" s="493">
        <f>IF(C975=0,0,ROUNDDOWN(G975*C975,1))</f>
        <v>0</v>
      </c>
      <c r="I975" s="494">
        <f>재료비목록표!E11</f>
        <v>850</v>
      </c>
      <c r="J975" s="495">
        <f>IF(C975=0,0,ROUNDDOWN(I975*C975,1))</f>
        <v>1870</v>
      </c>
      <c r="K975" s="492">
        <v>0</v>
      </c>
      <c r="L975" s="493">
        <f>IF(C975=0,0,ROUNDDOWN(K975*C975,1))</f>
        <v>0</v>
      </c>
      <c r="M975" s="463" t="s">
        <v>2751</v>
      </c>
      <c r="N975" s="451" t="s">
        <v>2752</v>
      </c>
      <c r="O975" s="468" t="s">
        <v>2753</v>
      </c>
      <c r="P975" s="468" t="s">
        <v>2354</v>
      </c>
      <c r="Z975" s="433" t="str">
        <f ca="1">HYPERLINK("#"&amp;재료비목록표!G2&amp;"!A"&amp;ROW(재료비목록표!A11),"M01205 →")</f>
        <v>M01205 →</v>
      </c>
    </row>
    <row r="976" spans="1:26" ht="33.200000000000003" customHeight="1">
      <c r="A976" s="452" t="s">
        <v>2507</v>
      </c>
      <c r="B976" s="452" t="s">
        <v>2441</v>
      </c>
      <c r="C976" s="489">
        <v>15</v>
      </c>
      <c r="D976" s="480" t="s">
        <v>2371</v>
      </c>
      <c r="E976" s="490">
        <f t="shared" si="162"/>
        <v>35580</v>
      </c>
      <c r="F976" s="491">
        <f t="shared" si="162"/>
        <v>5337</v>
      </c>
      <c r="G976" s="496">
        <f>H972+H973</f>
        <v>35580</v>
      </c>
      <c r="H976" s="491">
        <f>IF(C976=0,0,ROUNDDOWN(G976*C976/100,1))</f>
        <v>5337</v>
      </c>
      <c r="I976" s="465">
        <v>0</v>
      </c>
      <c r="J976" s="493">
        <f>IF(C976=0,0,ROUNDDOWN(I976*C976/100,1))</f>
        <v>0</v>
      </c>
      <c r="K976" s="467">
        <v>0</v>
      </c>
      <c r="L976" s="493">
        <f>IF(C976=0,0,ROUNDDOWN(K976*C976/100,1))</f>
        <v>0</v>
      </c>
      <c r="M976" s="463"/>
      <c r="N976" s="451" t="s">
        <v>2508</v>
      </c>
      <c r="O976" s="468" t="s">
        <v>2373</v>
      </c>
      <c r="P976" s="468" t="s">
        <v>2354</v>
      </c>
    </row>
    <row r="977" spans="1:26" ht="33.200000000000003" customHeight="1">
      <c r="A977" s="463" t="s">
        <v>842</v>
      </c>
      <c r="B977" s="497"/>
      <c r="C977" s="497"/>
      <c r="D977" s="497"/>
      <c r="E977" s="497"/>
      <c r="F977" s="446">
        <f>J977+H977+L977</f>
        <v>96234</v>
      </c>
      <c r="G977" s="497"/>
      <c r="H977" s="446">
        <f>ROUNDDOWN(SUMIF(P972:P976,O977,H972:H976),0)</f>
        <v>40917</v>
      </c>
      <c r="I977" s="497"/>
      <c r="J977" s="446">
        <f>ROUNDDOWN(SUMIF(P972:P976,O977,J972:J976),0)</f>
        <v>55017</v>
      </c>
      <c r="K977" s="497"/>
      <c r="L977" s="446">
        <f>ROUNDDOWN(SUMIF(P972:P976,O977,L972:L976),0)</f>
        <v>300</v>
      </c>
      <c r="M977" s="497"/>
      <c r="O977" s="468" t="s">
        <v>2354</v>
      </c>
    </row>
    <row r="978" spans="1:26" ht="33.200000000000003" customHeight="1">
      <c r="A978" s="484" t="s">
        <v>2873</v>
      </c>
      <c r="B978" s="484"/>
      <c r="C978" s="485"/>
      <c r="D978" s="485"/>
      <c r="E978" s="485"/>
      <c r="F978" s="485"/>
      <c r="G978" s="485"/>
      <c r="H978" s="485"/>
      <c r="I978" s="485"/>
      <c r="J978" s="485"/>
      <c r="K978" s="485"/>
      <c r="L978" s="485"/>
      <c r="M978" s="485"/>
      <c r="N978" s="486" t="str">
        <f>HYPERLINK("#N"&amp;ROW(N984),"_x0005_`BDCOD|B02861_x0007_`POSS|"&amp;ROW(N980)&amp;"_x0007_`POSE|"&amp;ROW(N984)&amp;"_x0007_`")</f>
        <v>_x0005_`BDCOD|B02861_x0007_`POSS|980_x0007_`POSE|984_x0007_`</v>
      </c>
    </row>
    <row r="979" spans="1:26" ht="33.200000000000003" customHeight="1">
      <c r="A979" s="469" t="s">
        <v>5174</v>
      </c>
      <c r="B979" s="469" t="s">
        <v>1210</v>
      </c>
      <c r="C979" s="487"/>
      <c r="D979" s="488" t="s">
        <v>911</v>
      </c>
      <c r="E979" s="487"/>
      <c r="F979" s="487"/>
      <c r="G979" s="487"/>
      <c r="H979" s="487"/>
      <c r="I979" s="487"/>
      <c r="J979" s="487"/>
      <c r="K979" s="487"/>
      <c r="L979" s="487"/>
      <c r="M979" s="488" t="s">
        <v>5178</v>
      </c>
      <c r="O979" s="468" t="s">
        <v>5178</v>
      </c>
    </row>
    <row r="980" spans="1:26" ht="33.200000000000003" customHeight="1">
      <c r="A980" s="452" t="s">
        <v>2735</v>
      </c>
      <c r="B980" s="452" t="s">
        <v>2736</v>
      </c>
      <c r="C980" s="489">
        <v>1.2</v>
      </c>
      <c r="D980" s="480" t="s">
        <v>8</v>
      </c>
      <c r="E980" s="490">
        <f t="shared" ref="E980:F984" si="163">I980+G980+K980</f>
        <v>29389</v>
      </c>
      <c r="F980" s="493">
        <f t="shared" si="163"/>
        <v>35266.800000000003</v>
      </c>
      <c r="G980" s="494">
        <f>단가산출근거목록표!F170</f>
        <v>28442</v>
      </c>
      <c r="H980" s="498">
        <f>IF(C980=0,0,ROUNDDOWN(G980*C980,1))</f>
        <v>34130.400000000001</v>
      </c>
      <c r="I980" s="494">
        <f>단가산출근거목록표!G170</f>
        <v>647</v>
      </c>
      <c r="J980" s="498">
        <f>IF(C980=0,0,ROUNDDOWN(I980*C980,1))</f>
        <v>776.4</v>
      </c>
      <c r="K980" s="494">
        <f>단가산출근거목록표!H170</f>
        <v>300</v>
      </c>
      <c r="L980" s="498">
        <f>IF(C980=0,0,ROUNDDOWN(K980*C980,1))</f>
        <v>360</v>
      </c>
      <c r="M980" s="463" t="s">
        <v>2737</v>
      </c>
      <c r="N980" s="451" t="s">
        <v>2738</v>
      </c>
      <c r="O980" s="468" t="s">
        <v>2739</v>
      </c>
      <c r="P980" s="468" t="s">
        <v>2354</v>
      </c>
      <c r="Q980" s="468" t="s">
        <v>2355</v>
      </c>
      <c r="Z980" s="433" t="str">
        <f ca="1">HYPERLINK("#"&amp;단가산출근거목록표!J2&amp;"!A"&amp;ROW(단가산출근거목록표!A170),"D01273 →")</f>
        <v>D01273 →</v>
      </c>
    </row>
    <row r="981" spans="1:26" ht="33.200000000000003" customHeight="1">
      <c r="A981" s="452" t="s">
        <v>2740</v>
      </c>
      <c r="B981" s="452" t="s">
        <v>2741</v>
      </c>
      <c r="C981" s="489">
        <v>1.2</v>
      </c>
      <c r="D981" s="480" t="s">
        <v>595</v>
      </c>
      <c r="E981" s="490">
        <f t="shared" si="163"/>
        <v>7138</v>
      </c>
      <c r="F981" s="493">
        <f t="shared" si="163"/>
        <v>8565.6</v>
      </c>
      <c r="G981" s="494">
        <f>단가산출근거목록표!F70</f>
        <v>7138</v>
      </c>
      <c r="H981" s="498">
        <f>IF(C981=0,0,ROUNDDOWN(G981*C981,1))</f>
        <v>8565.6</v>
      </c>
      <c r="I981" s="494">
        <f>단가산출근거목록표!G70</f>
        <v>0</v>
      </c>
      <c r="J981" s="498">
        <f>IF(C981=0,0,ROUNDDOWN(I981*C981,1))</f>
        <v>0</v>
      </c>
      <c r="K981" s="494">
        <f>단가산출근거목록표!H70</f>
        <v>0</v>
      </c>
      <c r="L981" s="498">
        <f>IF(C981=0,0,ROUNDDOWN(K981*C981,1))</f>
        <v>0</v>
      </c>
      <c r="M981" s="463" t="s">
        <v>2742</v>
      </c>
      <c r="N981" s="451" t="s">
        <v>2743</v>
      </c>
      <c r="O981" s="468" t="s">
        <v>2744</v>
      </c>
      <c r="P981" s="468" t="s">
        <v>2354</v>
      </c>
      <c r="Q981" s="468" t="s">
        <v>2355</v>
      </c>
      <c r="Z981" s="433" t="str">
        <f ca="1">HYPERLINK("#"&amp;단가산출근거목록표!J2&amp;"!A"&amp;ROW(단가산출근거목록표!A70),"D01136 →")</f>
        <v>D01136 →</v>
      </c>
    </row>
    <row r="982" spans="1:26" ht="33.200000000000003" customHeight="1">
      <c r="A982" s="452" t="s">
        <v>2755</v>
      </c>
      <c r="B982" s="452" t="s">
        <v>2760</v>
      </c>
      <c r="C982" s="489">
        <v>1</v>
      </c>
      <c r="D982" s="480" t="s">
        <v>911</v>
      </c>
      <c r="E982" s="490">
        <f t="shared" si="163"/>
        <v>61500</v>
      </c>
      <c r="F982" s="491">
        <f t="shared" si="163"/>
        <v>61500</v>
      </c>
      <c r="G982" s="492">
        <v>0</v>
      </c>
      <c r="H982" s="493">
        <f>IF(C982=0,0,ROUNDDOWN(G982*C982,1))</f>
        <v>0</v>
      </c>
      <c r="I982" s="494">
        <f>재료비목록표!E48</f>
        <v>61500</v>
      </c>
      <c r="J982" s="495">
        <f>IF(C982=0,0,ROUNDDOWN(I982*C982,1))</f>
        <v>61500</v>
      </c>
      <c r="K982" s="492">
        <v>0</v>
      </c>
      <c r="L982" s="493">
        <f>IF(C982=0,0,ROUNDDOWN(K982*C982,1))</f>
        <v>0</v>
      </c>
      <c r="M982" s="463" t="s">
        <v>2765</v>
      </c>
      <c r="N982" s="451" t="s">
        <v>2766</v>
      </c>
      <c r="O982" s="468" t="s">
        <v>2767</v>
      </c>
      <c r="P982" s="468" t="s">
        <v>2354</v>
      </c>
      <c r="Z982" s="433" t="str">
        <f ca="1">HYPERLINK("#"&amp;재료비목록표!G2&amp;"!A"&amp;ROW(재료비목록표!A48),"M01603 →")</f>
        <v>M01603 →</v>
      </c>
    </row>
    <row r="983" spans="1:26" ht="33.200000000000003" customHeight="1">
      <c r="A983" s="452" t="s">
        <v>2364</v>
      </c>
      <c r="B983" s="452" t="s">
        <v>2750</v>
      </c>
      <c r="C983" s="489">
        <v>2.2000000000000002</v>
      </c>
      <c r="D983" s="480" t="s">
        <v>1589</v>
      </c>
      <c r="E983" s="490">
        <f t="shared" si="163"/>
        <v>850</v>
      </c>
      <c r="F983" s="491">
        <f t="shared" si="163"/>
        <v>1870</v>
      </c>
      <c r="G983" s="492">
        <v>0</v>
      </c>
      <c r="H983" s="493">
        <f>IF(C983=0,0,ROUNDDOWN(G983*C983,1))</f>
        <v>0</v>
      </c>
      <c r="I983" s="494">
        <f>재료비목록표!E11</f>
        <v>850</v>
      </c>
      <c r="J983" s="495">
        <f>IF(C983=0,0,ROUNDDOWN(I983*C983,1))</f>
        <v>1870</v>
      </c>
      <c r="K983" s="492">
        <v>0</v>
      </c>
      <c r="L983" s="493">
        <f>IF(C983=0,0,ROUNDDOWN(K983*C983,1))</f>
        <v>0</v>
      </c>
      <c r="M983" s="463" t="s">
        <v>2751</v>
      </c>
      <c r="N983" s="451" t="s">
        <v>2752</v>
      </c>
      <c r="O983" s="468" t="s">
        <v>2753</v>
      </c>
      <c r="P983" s="468" t="s">
        <v>2354</v>
      </c>
      <c r="Z983" s="433" t="str">
        <f ca="1">HYPERLINK("#"&amp;재료비목록표!G2&amp;"!A"&amp;ROW(재료비목록표!A11),"M01205 →")</f>
        <v>M01205 →</v>
      </c>
    </row>
    <row r="984" spans="1:26" ht="33.200000000000003" customHeight="1">
      <c r="A984" s="452" t="s">
        <v>2507</v>
      </c>
      <c r="B984" s="452" t="s">
        <v>2441</v>
      </c>
      <c r="C984" s="489">
        <v>15</v>
      </c>
      <c r="D984" s="480" t="s">
        <v>2371</v>
      </c>
      <c r="E984" s="490">
        <f t="shared" si="163"/>
        <v>42696</v>
      </c>
      <c r="F984" s="491">
        <f t="shared" si="163"/>
        <v>6404.4</v>
      </c>
      <c r="G984" s="496">
        <f>H980+H981</f>
        <v>42696</v>
      </c>
      <c r="H984" s="491">
        <f>IF(C984=0,0,ROUNDDOWN(G984*C984/100,1))</f>
        <v>6404.4</v>
      </c>
      <c r="I984" s="465">
        <v>0</v>
      </c>
      <c r="J984" s="493">
        <f>IF(C984=0,0,ROUNDDOWN(I984*C984/100,1))</f>
        <v>0</v>
      </c>
      <c r="K984" s="467">
        <v>0</v>
      </c>
      <c r="L984" s="493">
        <f>IF(C984=0,0,ROUNDDOWN(K984*C984/100,1))</f>
        <v>0</v>
      </c>
      <c r="M984" s="463"/>
      <c r="N984" s="451" t="s">
        <v>2508</v>
      </c>
      <c r="O984" s="468" t="s">
        <v>2373</v>
      </c>
      <c r="P984" s="468" t="s">
        <v>2354</v>
      </c>
    </row>
    <row r="985" spans="1:26" ht="33.200000000000003" customHeight="1">
      <c r="A985" s="463" t="s">
        <v>842</v>
      </c>
      <c r="B985" s="497"/>
      <c r="C985" s="497"/>
      <c r="D985" s="497"/>
      <c r="E985" s="497"/>
      <c r="F985" s="446">
        <f>J985+H985+L985</f>
        <v>113606</v>
      </c>
      <c r="G985" s="497"/>
      <c r="H985" s="446">
        <f>ROUNDDOWN(SUMIF(P980:P984,O985,H980:H984),0)</f>
        <v>49100</v>
      </c>
      <c r="I985" s="497"/>
      <c r="J985" s="446">
        <f>ROUNDDOWN(SUMIF(P980:P984,O985,J980:J984),0)</f>
        <v>64146</v>
      </c>
      <c r="K985" s="497"/>
      <c r="L985" s="446">
        <f>ROUNDDOWN(SUMIF(P980:P984,O985,L980:L984),0)</f>
        <v>360</v>
      </c>
      <c r="M985" s="497"/>
      <c r="O985" s="468" t="s">
        <v>2354</v>
      </c>
    </row>
    <row r="986" spans="1:26" ht="33.200000000000003" customHeight="1">
      <c r="A986" s="484" t="s">
        <v>2882</v>
      </c>
      <c r="B986" s="484"/>
      <c r="C986" s="485"/>
      <c r="D986" s="485"/>
      <c r="E986" s="485"/>
      <c r="F986" s="485"/>
      <c r="G986" s="485"/>
      <c r="H986" s="485"/>
      <c r="I986" s="485"/>
      <c r="J986" s="485"/>
      <c r="K986" s="485"/>
      <c r="L986" s="485"/>
      <c r="M986" s="485"/>
      <c r="N986" s="486" t="str">
        <f>HYPERLINK("#N"&amp;ROW(N992),"_x0005_`BDCOD|B02862_x0007_`POSS|"&amp;ROW(N988)&amp;"_x0007_`POSE|"&amp;ROW(N992)&amp;"_x0007_`")</f>
        <v>_x0005_`BDCOD|B02862_x0007_`POSS|988_x0007_`POSE|992_x0007_`</v>
      </c>
    </row>
    <row r="987" spans="1:26" ht="33.200000000000003" customHeight="1">
      <c r="A987" s="469" t="s">
        <v>5174</v>
      </c>
      <c r="B987" s="469" t="s">
        <v>1214</v>
      </c>
      <c r="C987" s="487"/>
      <c r="D987" s="488" t="s">
        <v>911</v>
      </c>
      <c r="E987" s="487"/>
      <c r="F987" s="487"/>
      <c r="G987" s="487"/>
      <c r="H987" s="487"/>
      <c r="I987" s="487"/>
      <c r="J987" s="487"/>
      <c r="K987" s="487"/>
      <c r="L987" s="487"/>
      <c r="M987" s="488" t="s">
        <v>5181</v>
      </c>
      <c r="O987" s="468" t="s">
        <v>5181</v>
      </c>
    </row>
    <row r="988" spans="1:26" ht="33.200000000000003" customHeight="1">
      <c r="A988" s="452" t="s">
        <v>2735</v>
      </c>
      <c r="B988" s="452" t="s">
        <v>2736</v>
      </c>
      <c r="C988" s="489">
        <v>1.5</v>
      </c>
      <c r="D988" s="480" t="s">
        <v>8</v>
      </c>
      <c r="E988" s="490">
        <f t="shared" ref="E988:F992" si="164">I988+G988+K988</f>
        <v>29389</v>
      </c>
      <c r="F988" s="493">
        <f t="shared" si="164"/>
        <v>44083.5</v>
      </c>
      <c r="G988" s="494">
        <f>단가산출근거목록표!F170</f>
        <v>28442</v>
      </c>
      <c r="H988" s="498">
        <f>IF(C988=0,0,ROUNDDOWN(G988*C988,1))</f>
        <v>42663</v>
      </c>
      <c r="I988" s="494">
        <f>단가산출근거목록표!G170</f>
        <v>647</v>
      </c>
      <c r="J988" s="498">
        <f>IF(C988=0,0,ROUNDDOWN(I988*C988,1))</f>
        <v>970.5</v>
      </c>
      <c r="K988" s="494">
        <f>단가산출근거목록표!H170</f>
        <v>300</v>
      </c>
      <c r="L988" s="498">
        <f>IF(C988=0,0,ROUNDDOWN(K988*C988,1))</f>
        <v>450</v>
      </c>
      <c r="M988" s="463" t="s">
        <v>2737</v>
      </c>
      <c r="N988" s="451" t="s">
        <v>2738</v>
      </c>
      <c r="O988" s="468" t="s">
        <v>2739</v>
      </c>
      <c r="P988" s="468" t="s">
        <v>2354</v>
      </c>
      <c r="Q988" s="468" t="s">
        <v>2355</v>
      </c>
      <c r="Z988" s="433" t="str">
        <f ca="1">HYPERLINK("#"&amp;단가산출근거목록표!J2&amp;"!A"&amp;ROW(단가산출근거목록표!A170),"D01273 →")</f>
        <v>D01273 →</v>
      </c>
    </row>
    <row r="989" spans="1:26" ht="33.200000000000003" customHeight="1">
      <c r="A989" s="452" t="s">
        <v>2740</v>
      </c>
      <c r="B989" s="452" t="s">
        <v>2741</v>
      </c>
      <c r="C989" s="489">
        <v>1.5</v>
      </c>
      <c r="D989" s="480" t="s">
        <v>595</v>
      </c>
      <c r="E989" s="490">
        <f t="shared" si="164"/>
        <v>7138</v>
      </c>
      <c r="F989" s="493">
        <f t="shared" si="164"/>
        <v>10707</v>
      </c>
      <c r="G989" s="494">
        <f>단가산출근거목록표!F70</f>
        <v>7138</v>
      </c>
      <c r="H989" s="498">
        <f>IF(C989=0,0,ROUNDDOWN(G989*C989,1))</f>
        <v>10707</v>
      </c>
      <c r="I989" s="494">
        <f>단가산출근거목록표!G70</f>
        <v>0</v>
      </c>
      <c r="J989" s="498">
        <f>IF(C989=0,0,ROUNDDOWN(I989*C989,1))</f>
        <v>0</v>
      </c>
      <c r="K989" s="494">
        <f>단가산출근거목록표!H70</f>
        <v>0</v>
      </c>
      <c r="L989" s="498">
        <f>IF(C989=0,0,ROUNDDOWN(K989*C989,1))</f>
        <v>0</v>
      </c>
      <c r="M989" s="463" t="s">
        <v>2742</v>
      </c>
      <c r="N989" s="451" t="s">
        <v>2743</v>
      </c>
      <c r="O989" s="468" t="s">
        <v>2744</v>
      </c>
      <c r="P989" s="468" t="s">
        <v>2354</v>
      </c>
      <c r="Q989" s="468" t="s">
        <v>2355</v>
      </c>
      <c r="Z989" s="433" t="str">
        <f ca="1">HYPERLINK("#"&amp;단가산출근거목록표!J2&amp;"!A"&amp;ROW(단가산출근거목록표!A70),"D01136 →")</f>
        <v>D01136 →</v>
      </c>
    </row>
    <row r="990" spans="1:26" ht="33.200000000000003" customHeight="1">
      <c r="A990" s="452" t="s">
        <v>2755</v>
      </c>
      <c r="B990" s="452" t="s">
        <v>2769</v>
      </c>
      <c r="C990" s="489">
        <v>1</v>
      </c>
      <c r="D990" s="480" t="s">
        <v>911</v>
      </c>
      <c r="E990" s="490">
        <f t="shared" si="164"/>
        <v>72000</v>
      </c>
      <c r="F990" s="491">
        <f t="shared" si="164"/>
        <v>72000</v>
      </c>
      <c r="G990" s="492">
        <v>0</v>
      </c>
      <c r="H990" s="493">
        <f>IF(C990=0,0,ROUNDDOWN(G990*C990,1))</f>
        <v>0</v>
      </c>
      <c r="I990" s="494">
        <f>재료비목록표!E49</f>
        <v>72000</v>
      </c>
      <c r="J990" s="495">
        <f>IF(C990=0,0,ROUNDDOWN(I990*C990,1))</f>
        <v>72000</v>
      </c>
      <c r="K990" s="492">
        <v>0</v>
      </c>
      <c r="L990" s="493">
        <f>IF(C990=0,0,ROUNDDOWN(K990*C990,1))</f>
        <v>0</v>
      </c>
      <c r="M990" s="463" t="s">
        <v>2774</v>
      </c>
      <c r="N990" s="451" t="s">
        <v>2775</v>
      </c>
      <c r="O990" s="468" t="s">
        <v>2776</v>
      </c>
      <c r="P990" s="468" t="s">
        <v>2354</v>
      </c>
      <c r="Z990" s="433" t="str">
        <f ca="1">HYPERLINK("#"&amp;재료비목록표!G2&amp;"!A"&amp;ROW(재료비목록표!A49),"M01604 →")</f>
        <v>M01604 →</v>
      </c>
    </row>
    <row r="991" spans="1:26" ht="33.200000000000003" customHeight="1">
      <c r="A991" s="452" t="s">
        <v>2364</v>
      </c>
      <c r="B991" s="452" t="s">
        <v>2750</v>
      </c>
      <c r="C991" s="489">
        <v>2.2000000000000002</v>
      </c>
      <c r="D991" s="480" t="s">
        <v>1589</v>
      </c>
      <c r="E991" s="490">
        <f t="shared" si="164"/>
        <v>850</v>
      </c>
      <c r="F991" s="491">
        <f t="shared" si="164"/>
        <v>1870</v>
      </c>
      <c r="G991" s="492">
        <v>0</v>
      </c>
      <c r="H991" s="493">
        <f>IF(C991=0,0,ROUNDDOWN(G991*C991,1))</f>
        <v>0</v>
      </c>
      <c r="I991" s="494">
        <f>재료비목록표!E11</f>
        <v>850</v>
      </c>
      <c r="J991" s="495">
        <f>IF(C991=0,0,ROUNDDOWN(I991*C991,1))</f>
        <v>1870</v>
      </c>
      <c r="K991" s="492">
        <v>0</v>
      </c>
      <c r="L991" s="493">
        <f>IF(C991=0,0,ROUNDDOWN(K991*C991,1))</f>
        <v>0</v>
      </c>
      <c r="M991" s="463" t="s">
        <v>2751</v>
      </c>
      <c r="N991" s="451" t="s">
        <v>2752</v>
      </c>
      <c r="O991" s="468" t="s">
        <v>2753</v>
      </c>
      <c r="P991" s="468" t="s">
        <v>2354</v>
      </c>
      <c r="Z991" s="433" t="str">
        <f ca="1">HYPERLINK("#"&amp;재료비목록표!G2&amp;"!A"&amp;ROW(재료비목록표!A11),"M01205 →")</f>
        <v>M01205 →</v>
      </c>
    </row>
    <row r="992" spans="1:26" ht="33.200000000000003" customHeight="1">
      <c r="A992" s="452" t="s">
        <v>2507</v>
      </c>
      <c r="B992" s="452" t="s">
        <v>2441</v>
      </c>
      <c r="C992" s="489">
        <v>15</v>
      </c>
      <c r="D992" s="480" t="s">
        <v>2371</v>
      </c>
      <c r="E992" s="490">
        <f t="shared" si="164"/>
        <v>53370</v>
      </c>
      <c r="F992" s="491">
        <f t="shared" si="164"/>
        <v>8005.5</v>
      </c>
      <c r="G992" s="496">
        <f>H988+H989</f>
        <v>53370</v>
      </c>
      <c r="H992" s="491">
        <f>IF(C992=0,0,ROUNDDOWN(G992*C992/100,1))</f>
        <v>8005.5</v>
      </c>
      <c r="I992" s="465">
        <v>0</v>
      </c>
      <c r="J992" s="493">
        <f>IF(C992=0,0,ROUNDDOWN(I992*C992/100,1))</f>
        <v>0</v>
      </c>
      <c r="K992" s="467">
        <v>0</v>
      </c>
      <c r="L992" s="493">
        <f>IF(C992=0,0,ROUNDDOWN(K992*C992/100,1))</f>
        <v>0</v>
      </c>
      <c r="M992" s="463"/>
      <c r="N992" s="451" t="s">
        <v>2508</v>
      </c>
      <c r="O992" s="468" t="s">
        <v>2373</v>
      </c>
      <c r="P992" s="468" t="s">
        <v>2354</v>
      </c>
    </row>
    <row r="993" spans="1:26" ht="33.200000000000003" customHeight="1">
      <c r="A993" s="463" t="s">
        <v>842</v>
      </c>
      <c r="B993" s="497"/>
      <c r="C993" s="497"/>
      <c r="D993" s="497"/>
      <c r="E993" s="497"/>
      <c r="F993" s="446">
        <f>J993+H993+L993</f>
        <v>136665</v>
      </c>
      <c r="G993" s="497"/>
      <c r="H993" s="446">
        <f>ROUNDDOWN(SUMIF(P988:P992,O993,H988:H992),0)</f>
        <v>61375</v>
      </c>
      <c r="I993" s="497"/>
      <c r="J993" s="446">
        <f>ROUNDDOWN(SUMIF(P988:P992,O993,J988:J992),0)</f>
        <v>74840</v>
      </c>
      <c r="K993" s="497"/>
      <c r="L993" s="446">
        <f>ROUNDDOWN(SUMIF(P988:P992,O993,L988:L992),0)</f>
        <v>450</v>
      </c>
      <c r="M993" s="497"/>
      <c r="O993" s="468" t="s">
        <v>2354</v>
      </c>
    </row>
    <row r="994" spans="1:26" ht="33.200000000000003" customHeight="1">
      <c r="A994" s="484" t="s">
        <v>2893</v>
      </c>
      <c r="B994" s="484"/>
      <c r="C994" s="485"/>
      <c r="D994" s="485"/>
      <c r="E994" s="485"/>
      <c r="F994" s="485"/>
      <c r="G994" s="485"/>
      <c r="H994" s="485"/>
      <c r="I994" s="485"/>
      <c r="J994" s="485"/>
      <c r="K994" s="485"/>
      <c r="L994" s="485"/>
      <c r="M994" s="485"/>
      <c r="N994" s="486" t="str">
        <f>HYPERLINK("#N"&amp;ROW(N1000),"_x0005_`BDCOD|B02863_x0007_`POSS|"&amp;ROW(N996)&amp;"_x0007_`POSE|"&amp;ROW(N1000)&amp;"_x0007_`")</f>
        <v>_x0005_`BDCOD|B02863_x0007_`POSS|996_x0007_`POSE|1000_x0007_`</v>
      </c>
    </row>
    <row r="995" spans="1:26" ht="33.200000000000003" customHeight="1">
      <c r="A995" s="469" t="s">
        <v>5174</v>
      </c>
      <c r="B995" s="469" t="s">
        <v>1218</v>
      </c>
      <c r="C995" s="487"/>
      <c r="D995" s="488" t="s">
        <v>911</v>
      </c>
      <c r="E995" s="487"/>
      <c r="F995" s="487"/>
      <c r="G995" s="487"/>
      <c r="H995" s="487"/>
      <c r="I995" s="487"/>
      <c r="J995" s="487"/>
      <c r="K995" s="487"/>
      <c r="L995" s="487"/>
      <c r="M995" s="488" t="s">
        <v>5184</v>
      </c>
      <c r="O995" s="468" t="s">
        <v>5184</v>
      </c>
    </row>
    <row r="996" spans="1:26" ht="33.200000000000003" customHeight="1">
      <c r="A996" s="452" t="s">
        <v>2735</v>
      </c>
      <c r="B996" s="452" t="s">
        <v>2736</v>
      </c>
      <c r="C996" s="489">
        <v>2</v>
      </c>
      <c r="D996" s="480" t="s">
        <v>8</v>
      </c>
      <c r="E996" s="490">
        <f t="shared" ref="E996:F1000" si="165">I996+G996+K996</f>
        <v>29389</v>
      </c>
      <c r="F996" s="493">
        <f t="shared" si="165"/>
        <v>58778</v>
      </c>
      <c r="G996" s="494">
        <f>단가산출근거목록표!F170</f>
        <v>28442</v>
      </c>
      <c r="H996" s="498">
        <f>IF(C996=0,0,ROUNDDOWN(G996*C996,1))</f>
        <v>56884</v>
      </c>
      <c r="I996" s="494">
        <f>단가산출근거목록표!G170</f>
        <v>647</v>
      </c>
      <c r="J996" s="498">
        <f>IF(C996=0,0,ROUNDDOWN(I996*C996,1))</f>
        <v>1294</v>
      </c>
      <c r="K996" s="494">
        <f>단가산출근거목록표!H170</f>
        <v>300</v>
      </c>
      <c r="L996" s="498">
        <f>IF(C996=0,0,ROUNDDOWN(K996*C996,1))</f>
        <v>600</v>
      </c>
      <c r="M996" s="463" t="s">
        <v>2737</v>
      </c>
      <c r="N996" s="451" t="s">
        <v>2738</v>
      </c>
      <c r="O996" s="468" t="s">
        <v>2739</v>
      </c>
      <c r="P996" s="468" t="s">
        <v>2354</v>
      </c>
      <c r="Q996" s="468" t="s">
        <v>2355</v>
      </c>
      <c r="Z996" s="433" t="str">
        <f ca="1">HYPERLINK("#"&amp;단가산출근거목록표!J2&amp;"!A"&amp;ROW(단가산출근거목록표!A170),"D01273 →")</f>
        <v>D01273 →</v>
      </c>
    </row>
    <row r="997" spans="1:26" ht="33.200000000000003" customHeight="1">
      <c r="A997" s="452" t="s">
        <v>2740</v>
      </c>
      <c r="B997" s="452" t="s">
        <v>2779</v>
      </c>
      <c r="C997" s="489">
        <v>2</v>
      </c>
      <c r="D997" s="480" t="s">
        <v>595</v>
      </c>
      <c r="E997" s="490">
        <f t="shared" si="165"/>
        <v>4942</v>
      </c>
      <c r="F997" s="493">
        <f t="shared" si="165"/>
        <v>9884</v>
      </c>
      <c r="G997" s="494">
        <f>단가산출근거목록표!F71</f>
        <v>4942</v>
      </c>
      <c r="H997" s="498">
        <f>IF(C997=0,0,ROUNDDOWN(G997*C997,1))</f>
        <v>9884</v>
      </c>
      <c r="I997" s="494">
        <f>단가산출근거목록표!G71</f>
        <v>0</v>
      </c>
      <c r="J997" s="498">
        <f>IF(C997=0,0,ROUNDDOWN(I997*C997,1))</f>
        <v>0</v>
      </c>
      <c r="K997" s="494">
        <f>단가산출근거목록표!H71</f>
        <v>0</v>
      </c>
      <c r="L997" s="498">
        <f>IF(C997=0,0,ROUNDDOWN(K997*C997,1))</f>
        <v>0</v>
      </c>
      <c r="M997" s="463" t="s">
        <v>2780</v>
      </c>
      <c r="N997" s="451" t="s">
        <v>2805</v>
      </c>
      <c r="O997" s="468" t="s">
        <v>2782</v>
      </c>
      <c r="P997" s="468" t="s">
        <v>2354</v>
      </c>
      <c r="Q997" s="468" t="s">
        <v>2355</v>
      </c>
      <c r="Z997" s="433" t="str">
        <f ca="1">HYPERLINK("#"&amp;단가산출근거목록표!J2&amp;"!A"&amp;ROW(단가산출근거목록표!A71),"D01213 →")</f>
        <v>D01213 →</v>
      </c>
    </row>
    <row r="998" spans="1:26" ht="33.200000000000003" customHeight="1">
      <c r="A998" s="452" t="s">
        <v>2755</v>
      </c>
      <c r="B998" s="452" t="s">
        <v>2783</v>
      </c>
      <c r="C998" s="489">
        <v>1</v>
      </c>
      <c r="D998" s="480" t="s">
        <v>911</v>
      </c>
      <c r="E998" s="490">
        <f t="shared" si="165"/>
        <v>97500</v>
      </c>
      <c r="F998" s="491">
        <f t="shared" si="165"/>
        <v>97500</v>
      </c>
      <c r="G998" s="492">
        <v>0</v>
      </c>
      <c r="H998" s="493">
        <f>IF(C998=0,0,ROUNDDOWN(G998*C998,1))</f>
        <v>0</v>
      </c>
      <c r="I998" s="494">
        <f>재료비목록표!E50</f>
        <v>97500</v>
      </c>
      <c r="J998" s="495">
        <f>IF(C998=0,0,ROUNDDOWN(I998*C998,1))</f>
        <v>97500</v>
      </c>
      <c r="K998" s="492">
        <v>0</v>
      </c>
      <c r="L998" s="493">
        <f>IF(C998=0,0,ROUNDDOWN(K998*C998,1))</f>
        <v>0</v>
      </c>
      <c r="M998" s="463" t="s">
        <v>2788</v>
      </c>
      <c r="N998" s="451" t="s">
        <v>2789</v>
      </c>
      <c r="O998" s="468" t="s">
        <v>2790</v>
      </c>
      <c r="P998" s="468" t="s">
        <v>2354</v>
      </c>
      <c r="Z998" s="433" t="str">
        <f ca="1">HYPERLINK("#"&amp;재료비목록표!G2&amp;"!A"&amp;ROW(재료비목록표!A50),"M08778 →")</f>
        <v>M08778 →</v>
      </c>
    </row>
    <row r="999" spans="1:26" ht="33.200000000000003" customHeight="1">
      <c r="A999" s="452" t="s">
        <v>2364</v>
      </c>
      <c r="B999" s="452" t="s">
        <v>2750</v>
      </c>
      <c r="C999" s="489">
        <v>2.2000000000000002</v>
      </c>
      <c r="D999" s="480" t="s">
        <v>1589</v>
      </c>
      <c r="E999" s="490">
        <f t="shared" si="165"/>
        <v>850</v>
      </c>
      <c r="F999" s="491">
        <f t="shared" si="165"/>
        <v>1870</v>
      </c>
      <c r="G999" s="492">
        <v>0</v>
      </c>
      <c r="H999" s="493">
        <f>IF(C999=0,0,ROUNDDOWN(G999*C999,1))</f>
        <v>0</v>
      </c>
      <c r="I999" s="494">
        <f>재료비목록표!E11</f>
        <v>850</v>
      </c>
      <c r="J999" s="495">
        <f>IF(C999=0,0,ROUNDDOWN(I999*C999,1))</f>
        <v>1870</v>
      </c>
      <c r="K999" s="492">
        <v>0</v>
      </c>
      <c r="L999" s="493">
        <f>IF(C999=0,0,ROUNDDOWN(K999*C999,1))</f>
        <v>0</v>
      </c>
      <c r="M999" s="463" t="s">
        <v>2751</v>
      </c>
      <c r="N999" s="451" t="s">
        <v>2752</v>
      </c>
      <c r="O999" s="468" t="s">
        <v>2753</v>
      </c>
      <c r="P999" s="468" t="s">
        <v>2354</v>
      </c>
      <c r="Z999" s="433" t="str">
        <f ca="1">HYPERLINK("#"&amp;재료비목록표!G2&amp;"!A"&amp;ROW(재료비목록표!A11),"M01205 →")</f>
        <v>M01205 →</v>
      </c>
    </row>
    <row r="1000" spans="1:26" ht="33.200000000000003" customHeight="1">
      <c r="A1000" s="452" t="s">
        <v>2507</v>
      </c>
      <c r="B1000" s="452" t="s">
        <v>2441</v>
      </c>
      <c r="C1000" s="489">
        <v>15</v>
      </c>
      <c r="D1000" s="480" t="s">
        <v>2371</v>
      </c>
      <c r="E1000" s="490">
        <f t="shared" si="165"/>
        <v>66768</v>
      </c>
      <c r="F1000" s="491">
        <f t="shared" si="165"/>
        <v>10015.200000000001</v>
      </c>
      <c r="G1000" s="496">
        <f>H996+H997</f>
        <v>66768</v>
      </c>
      <c r="H1000" s="491">
        <f>IF(C1000=0,0,ROUNDDOWN(G1000*C1000/100,1))</f>
        <v>10015.200000000001</v>
      </c>
      <c r="I1000" s="465">
        <v>0</v>
      </c>
      <c r="J1000" s="493">
        <f>IF(C1000=0,0,ROUNDDOWN(I1000*C1000/100,1))</f>
        <v>0</v>
      </c>
      <c r="K1000" s="467">
        <v>0</v>
      </c>
      <c r="L1000" s="493">
        <f>IF(C1000=0,0,ROUNDDOWN(K1000*C1000/100,1))</f>
        <v>0</v>
      </c>
      <c r="M1000" s="463"/>
      <c r="N1000" s="451" t="s">
        <v>2508</v>
      </c>
      <c r="O1000" s="468" t="s">
        <v>2373</v>
      </c>
      <c r="P1000" s="468" t="s">
        <v>2354</v>
      </c>
    </row>
    <row r="1001" spans="1:26" ht="33.200000000000003" customHeight="1">
      <c r="A1001" s="463" t="s">
        <v>842</v>
      </c>
      <c r="B1001" s="497"/>
      <c r="C1001" s="497"/>
      <c r="D1001" s="497"/>
      <c r="E1001" s="497"/>
      <c r="F1001" s="446">
        <f>J1001+H1001+L1001</f>
        <v>178047</v>
      </c>
      <c r="G1001" s="497"/>
      <c r="H1001" s="446">
        <f>ROUNDDOWN(SUMIF(P996:P1000,O1001,H996:H1000),0)</f>
        <v>76783</v>
      </c>
      <c r="I1001" s="497"/>
      <c r="J1001" s="446">
        <f>ROUNDDOWN(SUMIF(P996:P1000,O1001,J996:J1000),0)</f>
        <v>100664</v>
      </c>
      <c r="K1001" s="497"/>
      <c r="L1001" s="446">
        <f>ROUNDDOWN(SUMIF(P996:P1000,O1001,L996:L1000),0)</f>
        <v>600</v>
      </c>
      <c r="M1001" s="497"/>
      <c r="O1001" s="468" t="s">
        <v>2354</v>
      </c>
    </row>
    <row r="1002" spans="1:26" ht="33.200000000000003" customHeight="1">
      <c r="A1002" s="484" t="s">
        <v>2894</v>
      </c>
      <c r="B1002" s="484"/>
      <c r="C1002" s="485"/>
      <c r="D1002" s="485"/>
      <c r="E1002" s="485"/>
      <c r="F1002" s="485"/>
      <c r="G1002" s="485"/>
      <c r="H1002" s="485"/>
      <c r="I1002" s="485"/>
      <c r="J1002" s="485"/>
      <c r="K1002" s="485"/>
      <c r="L1002" s="485"/>
      <c r="M1002" s="485"/>
      <c r="N1002" s="486" t="str">
        <f>HYPERLINK("#N"&amp;ROW(N1008),"_x0005_`BDCOD|B02677_x0007_`POSS|"&amp;ROW(N1004)&amp;"_x0007_`POSE|"&amp;ROW(N1008)&amp;"_x0007_`")</f>
        <v>_x0005_`BDCOD|B02677_x0007_`POSS|1004_x0007_`POSE|1008_x0007_`</v>
      </c>
    </row>
    <row r="1003" spans="1:26" ht="33.200000000000003" customHeight="1">
      <c r="A1003" s="469" t="s">
        <v>5187</v>
      </c>
      <c r="B1003" s="469" t="s">
        <v>1206</v>
      </c>
      <c r="C1003" s="487"/>
      <c r="D1003" s="488" t="s">
        <v>911</v>
      </c>
      <c r="E1003" s="487"/>
      <c r="F1003" s="487"/>
      <c r="G1003" s="487"/>
      <c r="H1003" s="487"/>
      <c r="I1003" s="487"/>
      <c r="J1003" s="487"/>
      <c r="K1003" s="487"/>
      <c r="L1003" s="487"/>
      <c r="M1003" s="488" t="s">
        <v>1207</v>
      </c>
      <c r="O1003" s="468" t="s">
        <v>1207</v>
      </c>
    </row>
    <row r="1004" spans="1:26" ht="33.200000000000003" customHeight="1">
      <c r="A1004" s="452" t="s">
        <v>2735</v>
      </c>
      <c r="B1004" s="452" t="s">
        <v>2736</v>
      </c>
      <c r="C1004" s="489">
        <v>1</v>
      </c>
      <c r="D1004" s="480" t="s">
        <v>8</v>
      </c>
      <c r="E1004" s="490">
        <f t="shared" ref="E1004:F1008" si="166">I1004+G1004+K1004</f>
        <v>29389</v>
      </c>
      <c r="F1004" s="493">
        <f t="shared" si="166"/>
        <v>29389</v>
      </c>
      <c r="G1004" s="494">
        <f>단가산출근거목록표!F170</f>
        <v>28442</v>
      </c>
      <c r="H1004" s="498">
        <f>IF(C1004=0,0,ROUNDDOWN(G1004*C1004,1))</f>
        <v>28442</v>
      </c>
      <c r="I1004" s="494">
        <f>단가산출근거목록표!G170</f>
        <v>647</v>
      </c>
      <c r="J1004" s="498">
        <f>IF(C1004=0,0,ROUNDDOWN(I1004*C1004,1))</f>
        <v>647</v>
      </c>
      <c r="K1004" s="494">
        <f>단가산출근거목록표!H170</f>
        <v>300</v>
      </c>
      <c r="L1004" s="498">
        <f>IF(C1004=0,0,ROUNDDOWN(K1004*C1004,1))</f>
        <v>300</v>
      </c>
      <c r="M1004" s="463" t="s">
        <v>2737</v>
      </c>
      <c r="N1004" s="451" t="s">
        <v>2738</v>
      </c>
      <c r="O1004" s="468" t="s">
        <v>2739</v>
      </c>
      <c r="P1004" s="468" t="s">
        <v>2354</v>
      </c>
      <c r="Q1004" s="468" t="s">
        <v>2355</v>
      </c>
      <c r="Z1004" s="433" t="str">
        <f ca="1">HYPERLINK("#"&amp;단가산출근거목록표!J2&amp;"!A"&amp;ROW(단가산출근거목록표!A170),"D01273 →")</f>
        <v>D01273 →</v>
      </c>
    </row>
    <row r="1005" spans="1:26" ht="33.200000000000003" customHeight="1">
      <c r="A1005" s="452" t="s">
        <v>2740</v>
      </c>
      <c r="B1005" s="452" t="s">
        <v>2741</v>
      </c>
      <c r="C1005" s="489">
        <v>1</v>
      </c>
      <c r="D1005" s="480" t="s">
        <v>595</v>
      </c>
      <c r="E1005" s="490">
        <f t="shared" si="166"/>
        <v>7138</v>
      </c>
      <c r="F1005" s="493">
        <f t="shared" si="166"/>
        <v>7138</v>
      </c>
      <c r="G1005" s="494">
        <f>단가산출근거목록표!F70</f>
        <v>7138</v>
      </c>
      <c r="H1005" s="498">
        <f>IF(C1005=0,0,ROUNDDOWN(G1005*C1005,1))</f>
        <v>7138</v>
      </c>
      <c r="I1005" s="494">
        <f>단가산출근거목록표!G70</f>
        <v>0</v>
      </c>
      <c r="J1005" s="498">
        <f>IF(C1005=0,0,ROUNDDOWN(I1005*C1005,1))</f>
        <v>0</v>
      </c>
      <c r="K1005" s="494">
        <f>단가산출근거목록표!H70</f>
        <v>0</v>
      </c>
      <c r="L1005" s="498">
        <f>IF(C1005=0,0,ROUNDDOWN(K1005*C1005,1))</f>
        <v>0</v>
      </c>
      <c r="M1005" s="463" t="s">
        <v>2742</v>
      </c>
      <c r="N1005" s="451" t="s">
        <v>2743</v>
      </c>
      <c r="O1005" s="468" t="s">
        <v>2744</v>
      </c>
      <c r="P1005" s="468" t="s">
        <v>2354</v>
      </c>
      <c r="Q1005" s="468" t="s">
        <v>2355</v>
      </c>
      <c r="Z1005" s="433" t="str">
        <f ca="1">HYPERLINK("#"&amp;단가산출근거목록표!J2&amp;"!A"&amp;ROW(단가산출근거목록표!A70),"D01136 →")</f>
        <v>D01136 →</v>
      </c>
    </row>
    <row r="1006" spans="1:26" ht="33.200000000000003" customHeight="1">
      <c r="A1006" s="452" t="s">
        <v>2755</v>
      </c>
      <c r="B1006" s="452" t="s">
        <v>2746</v>
      </c>
      <c r="C1006" s="489">
        <v>1</v>
      </c>
      <c r="D1006" s="480" t="s">
        <v>911</v>
      </c>
      <c r="E1006" s="490">
        <f t="shared" si="166"/>
        <v>52500</v>
      </c>
      <c r="F1006" s="491">
        <f t="shared" si="166"/>
        <v>52500</v>
      </c>
      <c r="G1006" s="492">
        <v>0</v>
      </c>
      <c r="H1006" s="493">
        <f>IF(C1006=0,0,ROUNDDOWN(G1006*C1006,1))</f>
        <v>0</v>
      </c>
      <c r="I1006" s="494">
        <f>재료비목록표!E47</f>
        <v>52500</v>
      </c>
      <c r="J1006" s="495">
        <f>IF(C1006=0,0,ROUNDDOWN(I1006*C1006,1))</f>
        <v>52500</v>
      </c>
      <c r="K1006" s="492">
        <v>0</v>
      </c>
      <c r="L1006" s="493">
        <f>IF(C1006=0,0,ROUNDDOWN(K1006*C1006,1))</f>
        <v>0</v>
      </c>
      <c r="M1006" s="463" t="s">
        <v>2756</v>
      </c>
      <c r="N1006" s="451" t="s">
        <v>2757</v>
      </c>
      <c r="O1006" s="468" t="s">
        <v>2758</v>
      </c>
      <c r="P1006" s="468" t="s">
        <v>2354</v>
      </c>
      <c r="Z1006" s="433" t="str">
        <f ca="1">HYPERLINK("#"&amp;재료비목록표!G2&amp;"!A"&amp;ROW(재료비목록표!A47),"M01602 →")</f>
        <v>M01602 →</v>
      </c>
    </row>
    <row r="1007" spans="1:26" ht="33.200000000000003" customHeight="1">
      <c r="A1007" s="452" t="s">
        <v>2364</v>
      </c>
      <c r="B1007" s="452" t="s">
        <v>2750</v>
      </c>
      <c r="C1007" s="489">
        <v>2.2000000000000002</v>
      </c>
      <c r="D1007" s="480" t="s">
        <v>1589</v>
      </c>
      <c r="E1007" s="490">
        <f t="shared" si="166"/>
        <v>850</v>
      </c>
      <c r="F1007" s="491">
        <f t="shared" si="166"/>
        <v>1870</v>
      </c>
      <c r="G1007" s="492">
        <v>0</v>
      </c>
      <c r="H1007" s="493">
        <f>IF(C1007=0,0,ROUNDDOWN(G1007*C1007,1))</f>
        <v>0</v>
      </c>
      <c r="I1007" s="494">
        <f>재료비목록표!E11</f>
        <v>850</v>
      </c>
      <c r="J1007" s="495">
        <f>IF(C1007=0,0,ROUNDDOWN(I1007*C1007,1))</f>
        <v>1870</v>
      </c>
      <c r="K1007" s="492">
        <v>0</v>
      </c>
      <c r="L1007" s="493">
        <f>IF(C1007=0,0,ROUNDDOWN(K1007*C1007,1))</f>
        <v>0</v>
      </c>
      <c r="M1007" s="463" t="s">
        <v>2751</v>
      </c>
      <c r="N1007" s="451" t="s">
        <v>2752</v>
      </c>
      <c r="O1007" s="468" t="s">
        <v>2753</v>
      </c>
      <c r="P1007" s="468" t="s">
        <v>2354</v>
      </c>
      <c r="Z1007" s="433" t="str">
        <f ca="1">HYPERLINK("#"&amp;재료비목록표!G2&amp;"!A"&amp;ROW(재료비목록표!A11),"M01205 →")</f>
        <v>M01205 →</v>
      </c>
    </row>
    <row r="1008" spans="1:26" ht="33.200000000000003" customHeight="1">
      <c r="A1008" s="452" t="s">
        <v>2507</v>
      </c>
      <c r="B1008" s="452" t="s">
        <v>2441</v>
      </c>
      <c r="C1008" s="489">
        <v>25</v>
      </c>
      <c r="D1008" s="480" t="s">
        <v>2371</v>
      </c>
      <c r="E1008" s="490">
        <f t="shared" si="166"/>
        <v>35580</v>
      </c>
      <c r="F1008" s="491">
        <f t="shared" si="166"/>
        <v>8895</v>
      </c>
      <c r="G1008" s="496">
        <f>H1004+H1005</f>
        <v>35580</v>
      </c>
      <c r="H1008" s="491">
        <f>IF(C1008=0,0,ROUNDDOWN(G1008*C1008/100,1))</f>
        <v>8895</v>
      </c>
      <c r="I1008" s="465">
        <v>0</v>
      </c>
      <c r="J1008" s="493">
        <f>IF(C1008=0,0,ROUNDDOWN(I1008*C1008/100,1))</f>
        <v>0</v>
      </c>
      <c r="K1008" s="467">
        <v>0</v>
      </c>
      <c r="L1008" s="493">
        <f>IF(C1008=0,0,ROUNDDOWN(K1008*C1008/100,1))</f>
        <v>0</v>
      </c>
      <c r="M1008" s="463"/>
      <c r="N1008" s="451" t="s">
        <v>2508</v>
      </c>
      <c r="O1008" s="468" t="s">
        <v>2373</v>
      </c>
      <c r="P1008" s="468" t="s">
        <v>2354</v>
      </c>
    </row>
    <row r="1009" spans="1:26" ht="33.200000000000003" customHeight="1">
      <c r="A1009" s="463" t="s">
        <v>842</v>
      </c>
      <c r="B1009" s="497"/>
      <c r="C1009" s="497"/>
      <c r="D1009" s="497"/>
      <c r="E1009" s="497"/>
      <c r="F1009" s="446">
        <f>J1009+H1009+L1009</f>
        <v>99792</v>
      </c>
      <c r="G1009" s="497"/>
      <c r="H1009" s="446">
        <f>ROUNDDOWN(SUMIF(P1004:P1008,O1009,H1004:H1008),0)</f>
        <v>44475</v>
      </c>
      <c r="I1009" s="497"/>
      <c r="J1009" s="446">
        <f>ROUNDDOWN(SUMIF(P1004:P1008,O1009,J1004:J1008),0)</f>
        <v>55017</v>
      </c>
      <c r="K1009" s="497"/>
      <c r="L1009" s="446">
        <f>ROUNDDOWN(SUMIF(P1004:P1008,O1009,L1004:L1008),0)</f>
        <v>300</v>
      </c>
      <c r="M1009" s="497"/>
      <c r="O1009" s="468" t="s">
        <v>2354</v>
      </c>
    </row>
    <row r="1010" spans="1:26" ht="33.200000000000003" customHeight="1">
      <c r="A1010" s="484" t="s">
        <v>2895</v>
      </c>
      <c r="B1010" s="484"/>
      <c r="C1010" s="485"/>
      <c r="D1010" s="485"/>
      <c r="E1010" s="485"/>
      <c r="F1010" s="485"/>
      <c r="G1010" s="485"/>
      <c r="H1010" s="485"/>
      <c r="I1010" s="485"/>
      <c r="J1010" s="485"/>
      <c r="K1010" s="485"/>
      <c r="L1010" s="485"/>
      <c r="M1010" s="485"/>
      <c r="N1010" s="486" t="str">
        <f>HYPERLINK("#N"&amp;ROW(N1016),"_x0005_`BDCOD|B02678_x0007_`POSS|"&amp;ROW(N1012)&amp;"_x0007_`POSE|"&amp;ROW(N1016)&amp;"_x0007_`")</f>
        <v>_x0005_`BDCOD|B02678_x0007_`POSS|1012_x0007_`POSE|1016_x0007_`</v>
      </c>
    </row>
    <row r="1011" spans="1:26" ht="33.200000000000003" customHeight="1">
      <c r="A1011" s="469" t="s">
        <v>5187</v>
      </c>
      <c r="B1011" s="469" t="s">
        <v>1210</v>
      </c>
      <c r="C1011" s="487"/>
      <c r="D1011" s="488" t="s">
        <v>911</v>
      </c>
      <c r="E1011" s="487"/>
      <c r="F1011" s="487"/>
      <c r="G1011" s="487"/>
      <c r="H1011" s="487"/>
      <c r="I1011" s="487"/>
      <c r="J1011" s="487"/>
      <c r="K1011" s="487"/>
      <c r="L1011" s="487"/>
      <c r="M1011" s="488" t="s">
        <v>1211</v>
      </c>
      <c r="O1011" s="468" t="s">
        <v>1211</v>
      </c>
    </row>
    <row r="1012" spans="1:26" ht="33.200000000000003" customHeight="1">
      <c r="A1012" s="452" t="s">
        <v>2735</v>
      </c>
      <c r="B1012" s="452" t="s">
        <v>2736</v>
      </c>
      <c r="C1012" s="489">
        <v>1.2</v>
      </c>
      <c r="D1012" s="480" t="s">
        <v>8</v>
      </c>
      <c r="E1012" s="490">
        <f t="shared" ref="E1012:F1016" si="167">I1012+G1012+K1012</f>
        <v>29389</v>
      </c>
      <c r="F1012" s="493">
        <f t="shared" si="167"/>
        <v>35266.800000000003</v>
      </c>
      <c r="G1012" s="494">
        <f>단가산출근거목록표!F170</f>
        <v>28442</v>
      </c>
      <c r="H1012" s="498">
        <f>IF(C1012=0,0,ROUNDDOWN(G1012*C1012,1))</f>
        <v>34130.400000000001</v>
      </c>
      <c r="I1012" s="494">
        <f>단가산출근거목록표!G170</f>
        <v>647</v>
      </c>
      <c r="J1012" s="498">
        <f>IF(C1012=0,0,ROUNDDOWN(I1012*C1012,1))</f>
        <v>776.4</v>
      </c>
      <c r="K1012" s="494">
        <f>단가산출근거목록표!H170</f>
        <v>300</v>
      </c>
      <c r="L1012" s="498">
        <f>IF(C1012=0,0,ROUNDDOWN(K1012*C1012,1))</f>
        <v>360</v>
      </c>
      <c r="M1012" s="463" t="s">
        <v>2737</v>
      </c>
      <c r="N1012" s="451" t="s">
        <v>2738</v>
      </c>
      <c r="O1012" s="468" t="s">
        <v>2739</v>
      </c>
      <c r="P1012" s="468" t="s">
        <v>2354</v>
      </c>
      <c r="Q1012" s="468" t="s">
        <v>2355</v>
      </c>
      <c r="Z1012" s="433" t="str">
        <f ca="1">HYPERLINK("#"&amp;단가산출근거목록표!J2&amp;"!A"&amp;ROW(단가산출근거목록표!A170),"D01273 →")</f>
        <v>D01273 →</v>
      </c>
    </row>
    <row r="1013" spans="1:26" ht="33.200000000000003" customHeight="1">
      <c r="A1013" s="452" t="s">
        <v>2740</v>
      </c>
      <c r="B1013" s="452" t="s">
        <v>2741</v>
      </c>
      <c r="C1013" s="489">
        <v>1.2</v>
      </c>
      <c r="D1013" s="480" t="s">
        <v>595</v>
      </c>
      <c r="E1013" s="490">
        <f t="shared" si="167"/>
        <v>7138</v>
      </c>
      <c r="F1013" s="493">
        <f t="shared" si="167"/>
        <v>8565.6</v>
      </c>
      <c r="G1013" s="494">
        <f>단가산출근거목록표!F70</f>
        <v>7138</v>
      </c>
      <c r="H1013" s="498">
        <f>IF(C1013=0,0,ROUNDDOWN(G1013*C1013,1))</f>
        <v>8565.6</v>
      </c>
      <c r="I1013" s="494">
        <f>단가산출근거목록표!G70</f>
        <v>0</v>
      </c>
      <c r="J1013" s="498">
        <f>IF(C1013=0,0,ROUNDDOWN(I1013*C1013,1))</f>
        <v>0</v>
      </c>
      <c r="K1013" s="494">
        <f>단가산출근거목록표!H70</f>
        <v>0</v>
      </c>
      <c r="L1013" s="498">
        <f>IF(C1013=0,0,ROUNDDOWN(K1013*C1013,1))</f>
        <v>0</v>
      </c>
      <c r="M1013" s="463" t="s">
        <v>2742</v>
      </c>
      <c r="N1013" s="451" t="s">
        <v>2743</v>
      </c>
      <c r="O1013" s="468" t="s">
        <v>2744</v>
      </c>
      <c r="P1013" s="468" t="s">
        <v>2354</v>
      </c>
      <c r="Q1013" s="468" t="s">
        <v>2355</v>
      </c>
      <c r="Z1013" s="433" t="str">
        <f ca="1">HYPERLINK("#"&amp;단가산출근거목록표!J2&amp;"!A"&amp;ROW(단가산출근거목록표!A70),"D01136 →")</f>
        <v>D01136 →</v>
      </c>
    </row>
    <row r="1014" spans="1:26" ht="33.200000000000003" customHeight="1">
      <c r="A1014" s="452" t="s">
        <v>2755</v>
      </c>
      <c r="B1014" s="452" t="s">
        <v>2760</v>
      </c>
      <c r="C1014" s="489">
        <v>1</v>
      </c>
      <c r="D1014" s="480" t="s">
        <v>911</v>
      </c>
      <c r="E1014" s="490">
        <f t="shared" si="167"/>
        <v>61500</v>
      </c>
      <c r="F1014" s="491">
        <f t="shared" si="167"/>
        <v>61500</v>
      </c>
      <c r="G1014" s="492">
        <v>0</v>
      </c>
      <c r="H1014" s="493">
        <f>IF(C1014=0,0,ROUNDDOWN(G1014*C1014,1))</f>
        <v>0</v>
      </c>
      <c r="I1014" s="494">
        <f>재료비목록표!E48</f>
        <v>61500</v>
      </c>
      <c r="J1014" s="495">
        <f>IF(C1014=0,0,ROUNDDOWN(I1014*C1014,1))</f>
        <v>61500</v>
      </c>
      <c r="K1014" s="492">
        <v>0</v>
      </c>
      <c r="L1014" s="493">
        <f>IF(C1014=0,0,ROUNDDOWN(K1014*C1014,1))</f>
        <v>0</v>
      </c>
      <c r="M1014" s="463" t="s">
        <v>2765</v>
      </c>
      <c r="N1014" s="451" t="s">
        <v>2766</v>
      </c>
      <c r="O1014" s="468" t="s">
        <v>2767</v>
      </c>
      <c r="P1014" s="468" t="s">
        <v>2354</v>
      </c>
      <c r="Z1014" s="433" t="str">
        <f ca="1">HYPERLINK("#"&amp;재료비목록표!G2&amp;"!A"&amp;ROW(재료비목록표!A48),"M01603 →")</f>
        <v>M01603 →</v>
      </c>
    </row>
    <row r="1015" spans="1:26" ht="33.200000000000003" customHeight="1">
      <c r="A1015" s="452" t="s">
        <v>2364</v>
      </c>
      <c r="B1015" s="452" t="s">
        <v>2750</v>
      </c>
      <c r="C1015" s="489">
        <v>2.2000000000000002</v>
      </c>
      <c r="D1015" s="480" t="s">
        <v>1589</v>
      </c>
      <c r="E1015" s="490">
        <f t="shared" si="167"/>
        <v>850</v>
      </c>
      <c r="F1015" s="491">
        <f t="shared" si="167"/>
        <v>1870</v>
      </c>
      <c r="G1015" s="492">
        <v>0</v>
      </c>
      <c r="H1015" s="493">
        <f>IF(C1015=0,0,ROUNDDOWN(G1015*C1015,1))</f>
        <v>0</v>
      </c>
      <c r="I1015" s="494">
        <f>재료비목록표!E11</f>
        <v>850</v>
      </c>
      <c r="J1015" s="495">
        <f>IF(C1015=0,0,ROUNDDOWN(I1015*C1015,1))</f>
        <v>1870</v>
      </c>
      <c r="K1015" s="492">
        <v>0</v>
      </c>
      <c r="L1015" s="493">
        <f>IF(C1015=0,0,ROUNDDOWN(K1015*C1015,1))</f>
        <v>0</v>
      </c>
      <c r="M1015" s="463" t="s">
        <v>2751</v>
      </c>
      <c r="N1015" s="451" t="s">
        <v>2752</v>
      </c>
      <c r="O1015" s="468" t="s">
        <v>2753</v>
      </c>
      <c r="P1015" s="468" t="s">
        <v>2354</v>
      </c>
      <c r="Z1015" s="433" t="str">
        <f ca="1">HYPERLINK("#"&amp;재료비목록표!G2&amp;"!A"&amp;ROW(재료비목록표!A11),"M01205 →")</f>
        <v>M01205 →</v>
      </c>
    </row>
    <row r="1016" spans="1:26" ht="33.200000000000003" customHeight="1">
      <c r="A1016" s="452" t="s">
        <v>2507</v>
      </c>
      <c r="B1016" s="452" t="s">
        <v>2441</v>
      </c>
      <c r="C1016" s="489">
        <v>25</v>
      </c>
      <c r="D1016" s="480" t="s">
        <v>2371</v>
      </c>
      <c r="E1016" s="490">
        <f t="shared" si="167"/>
        <v>42696</v>
      </c>
      <c r="F1016" s="491">
        <f t="shared" si="167"/>
        <v>10674</v>
      </c>
      <c r="G1016" s="496">
        <f>H1012+H1013</f>
        <v>42696</v>
      </c>
      <c r="H1016" s="491">
        <f>IF(C1016=0,0,ROUNDDOWN(G1016*C1016/100,1))</f>
        <v>10674</v>
      </c>
      <c r="I1016" s="465">
        <v>0</v>
      </c>
      <c r="J1016" s="493">
        <f>IF(C1016=0,0,ROUNDDOWN(I1016*C1016/100,1))</f>
        <v>0</v>
      </c>
      <c r="K1016" s="467">
        <v>0</v>
      </c>
      <c r="L1016" s="493">
        <f>IF(C1016=0,0,ROUNDDOWN(K1016*C1016/100,1))</f>
        <v>0</v>
      </c>
      <c r="M1016" s="463"/>
      <c r="N1016" s="451" t="s">
        <v>2508</v>
      </c>
      <c r="O1016" s="468" t="s">
        <v>2373</v>
      </c>
      <c r="P1016" s="468" t="s">
        <v>2354</v>
      </c>
    </row>
    <row r="1017" spans="1:26" ht="33.200000000000003" customHeight="1">
      <c r="A1017" s="463" t="s">
        <v>842</v>
      </c>
      <c r="B1017" s="497"/>
      <c r="C1017" s="497"/>
      <c r="D1017" s="497"/>
      <c r="E1017" s="497"/>
      <c r="F1017" s="446">
        <f>J1017+H1017+L1017</f>
        <v>117876</v>
      </c>
      <c r="G1017" s="497"/>
      <c r="H1017" s="446">
        <f>ROUNDDOWN(SUMIF(P1012:P1016,O1017,H1012:H1016),0)</f>
        <v>53370</v>
      </c>
      <c r="I1017" s="497"/>
      <c r="J1017" s="446">
        <f>ROUNDDOWN(SUMIF(P1012:P1016,O1017,J1012:J1016),0)</f>
        <v>64146</v>
      </c>
      <c r="K1017" s="497"/>
      <c r="L1017" s="446">
        <f>ROUNDDOWN(SUMIF(P1012:P1016,O1017,L1012:L1016),0)</f>
        <v>360</v>
      </c>
      <c r="M1017" s="497"/>
      <c r="O1017" s="468" t="s">
        <v>2354</v>
      </c>
    </row>
    <row r="1018" spans="1:26" ht="33.200000000000003" customHeight="1">
      <c r="A1018" s="484" t="s">
        <v>2897</v>
      </c>
      <c r="B1018" s="484"/>
      <c r="C1018" s="485"/>
      <c r="D1018" s="485"/>
      <c r="E1018" s="485"/>
      <c r="F1018" s="485"/>
      <c r="G1018" s="485"/>
      <c r="H1018" s="485"/>
      <c r="I1018" s="485"/>
      <c r="J1018" s="485"/>
      <c r="K1018" s="485"/>
      <c r="L1018" s="485"/>
      <c r="M1018" s="485"/>
      <c r="N1018" s="486" t="str">
        <f>HYPERLINK("#N"&amp;ROW(N1024),"_x0005_`BDCOD|B02679_x0007_`POSS|"&amp;ROW(N1020)&amp;"_x0007_`POSE|"&amp;ROW(N1024)&amp;"_x0007_`")</f>
        <v>_x0005_`BDCOD|B02679_x0007_`POSS|1020_x0007_`POSE|1024_x0007_`</v>
      </c>
    </row>
    <row r="1019" spans="1:26" ht="33.200000000000003" customHeight="1">
      <c r="A1019" s="469" t="s">
        <v>5187</v>
      </c>
      <c r="B1019" s="469" t="s">
        <v>1214</v>
      </c>
      <c r="C1019" s="487"/>
      <c r="D1019" s="488" t="s">
        <v>911</v>
      </c>
      <c r="E1019" s="487"/>
      <c r="F1019" s="487"/>
      <c r="G1019" s="487"/>
      <c r="H1019" s="487"/>
      <c r="I1019" s="487"/>
      <c r="J1019" s="487"/>
      <c r="K1019" s="487"/>
      <c r="L1019" s="487"/>
      <c r="M1019" s="488" t="s">
        <v>1215</v>
      </c>
      <c r="O1019" s="468" t="s">
        <v>1215</v>
      </c>
    </row>
    <row r="1020" spans="1:26" ht="33.200000000000003" customHeight="1">
      <c r="A1020" s="452" t="s">
        <v>2735</v>
      </c>
      <c r="B1020" s="452" t="s">
        <v>2736</v>
      </c>
      <c r="C1020" s="489">
        <v>1.5</v>
      </c>
      <c r="D1020" s="480" t="s">
        <v>8</v>
      </c>
      <c r="E1020" s="490">
        <f t="shared" ref="E1020:F1024" si="168">I1020+G1020+K1020</f>
        <v>29389</v>
      </c>
      <c r="F1020" s="493">
        <f t="shared" si="168"/>
        <v>44083.5</v>
      </c>
      <c r="G1020" s="494">
        <f>단가산출근거목록표!F170</f>
        <v>28442</v>
      </c>
      <c r="H1020" s="498">
        <f>IF(C1020=0,0,ROUNDDOWN(G1020*C1020,1))</f>
        <v>42663</v>
      </c>
      <c r="I1020" s="494">
        <f>단가산출근거목록표!G170</f>
        <v>647</v>
      </c>
      <c r="J1020" s="498">
        <f>IF(C1020=0,0,ROUNDDOWN(I1020*C1020,1))</f>
        <v>970.5</v>
      </c>
      <c r="K1020" s="494">
        <f>단가산출근거목록표!H170</f>
        <v>300</v>
      </c>
      <c r="L1020" s="498">
        <f>IF(C1020=0,0,ROUNDDOWN(K1020*C1020,1))</f>
        <v>450</v>
      </c>
      <c r="M1020" s="463" t="s">
        <v>2737</v>
      </c>
      <c r="N1020" s="451" t="s">
        <v>2738</v>
      </c>
      <c r="O1020" s="468" t="s">
        <v>2739</v>
      </c>
      <c r="P1020" s="468" t="s">
        <v>2354</v>
      </c>
      <c r="Q1020" s="468" t="s">
        <v>2355</v>
      </c>
      <c r="Z1020" s="433" t="str">
        <f ca="1">HYPERLINK("#"&amp;단가산출근거목록표!J2&amp;"!A"&amp;ROW(단가산출근거목록표!A170),"D01273 →")</f>
        <v>D01273 →</v>
      </c>
    </row>
    <row r="1021" spans="1:26" ht="33.200000000000003" customHeight="1">
      <c r="A1021" s="452" t="s">
        <v>2740</v>
      </c>
      <c r="B1021" s="452" t="s">
        <v>2741</v>
      </c>
      <c r="C1021" s="489">
        <v>1.5</v>
      </c>
      <c r="D1021" s="480" t="s">
        <v>595</v>
      </c>
      <c r="E1021" s="490">
        <f t="shared" si="168"/>
        <v>7138</v>
      </c>
      <c r="F1021" s="493">
        <f t="shared" si="168"/>
        <v>10707</v>
      </c>
      <c r="G1021" s="494">
        <f>단가산출근거목록표!F70</f>
        <v>7138</v>
      </c>
      <c r="H1021" s="498">
        <f>IF(C1021=0,0,ROUNDDOWN(G1021*C1021,1))</f>
        <v>10707</v>
      </c>
      <c r="I1021" s="494">
        <f>단가산출근거목록표!G70</f>
        <v>0</v>
      </c>
      <c r="J1021" s="498">
        <f>IF(C1021=0,0,ROUNDDOWN(I1021*C1021,1))</f>
        <v>0</v>
      </c>
      <c r="K1021" s="494">
        <f>단가산출근거목록표!H70</f>
        <v>0</v>
      </c>
      <c r="L1021" s="498">
        <f>IF(C1021=0,0,ROUNDDOWN(K1021*C1021,1))</f>
        <v>0</v>
      </c>
      <c r="M1021" s="463" t="s">
        <v>2742</v>
      </c>
      <c r="N1021" s="451" t="s">
        <v>2743</v>
      </c>
      <c r="O1021" s="468" t="s">
        <v>2744</v>
      </c>
      <c r="P1021" s="468" t="s">
        <v>2354</v>
      </c>
      <c r="Q1021" s="468" t="s">
        <v>2355</v>
      </c>
      <c r="Z1021" s="433" t="str">
        <f ca="1">HYPERLINK("#"&amp;단가산출근거목록표!J2&amp;"!A"&amp;ROW(단가산출근거목록표!A70),"D01136 →")</f>
        <v>D01136 →</v>
      </c>
    </row>
    <row r="1022" spans="1:26" ht="33.200000000000003" customHeight="1">
      <c r="A1022" s="452" t="s">
        <v>2755</v>
      </c>
      <c r="B1022" s="452" t="s">
        <v>2769</v>
      </c>
      <c r="C1022" s="489">
        <v>1</v>
      </c>
      <c r="D1022" s="480" t="s">
        <v>911</v>
      </c>
      <c r="E1022" s="490">
        <f t="shared" si="168"/>
        <v>72000</v>
      </c>
      <c r="F1022" s="491">
        <f t="shared" si="168"/>
        <v>72000</v>
      </c>
      <c r="G1022" s="492">
        <v>0</v>
      </c>
      <c r="H1022" s="493">
        <f>IF(C1022=0,0,ROUNDDOWN(G1022*C1022,1))</f>
        <v>0</v>
      </c>
      <c r="I1022" s="494">
        <f>재료비목록표!E49</f>
        <v>72000</v>
      </c>
      <c r="J1022" s="495">
        <f>IF(C1022=0,0,ROUNDDOWN(I1022*C1022,1))</f>
        <v>72000</v>
      </c>
      <c r="K1022" s="492">
        <v>0</v>
      </c>
      <c r="L1022" s="493">
        <f>IF(C1022=0,0,ROUNDDOWN(K1022*C1022,1))</f>
        <v>0</v>
      </c>
      <c r="M1022" s="463" t="s">
        <v>2774</v>
      </c>
      <c r="N1022" s="451" t="s">
        <v>2775</v>
      </c>
      <c r="O1022" s="468" t="s">
        <v>2776</v>
      </c>
      <c r="P1022" s="468" t="s">
        <v>2354</v>
      </c>
      <c r="Z1022" s="433" t="str">
        <f ca="1">HYPERLINK("#"&amp;재료비목록표!G2&amp;"!A"&amp;ROW(재료비목록표!A49),"M01604 →")</f>
        <v>M01604 →</v>
      </c>
    </row>
    <row r="1023" spans="1:26" ht="33.200000000000003" customHeight="1">
      <c r="A1023" s="452" t="s">
        <v>2364</v>
      </c>
      <c r="B1023" s="452" t="s">
        <v>2750</v>
      </c>
      <c r="C1023" s="489">
        <v>2.2000000000000002</v>
      </c>
      <c r="D1023" s="480" t="s">
        <v>1589</v>
      </c>
      <c r="E1023" s="490">
        <f t="shared" si="168"/>
        <v>850</v>
      </c>
      <c r="F1023" s="491">
        <f t="shared" si="168"/>
        <v>1870</v>
      </c>
      <c r="G1023" s="492">
        <v>0</v>
      </c>
      <c r="H1023" s="493">
        <f>IF(C1023=0,0,ROUNDDOWN(G1023*C1023,1))</f>
        <v>0</v>
      </c>
      <c r="I1023" s="494">
        <f>재료비목록표!E11</f>
        <v>850</v>
      </c>
      <c r="J1023" s="495">
        <f>IF(C1023=0,0,ROUNDDOWN(I1023*C1023,1))</f>
        <v>1870</v>
      </c>
      <c r="K1023" s="492">
        <v>0</v>
      </c>
      <c r="L1023" s="493">
        <f>IF(C1023=0,0,ROUNDDOWN(K1023*C1023,1))</f>
        <v>0</v>
      </c>
      <c r="M1023" s="463" t="s">
        <v>2751</v>
      </c>
      <c r="N1023" s="451" t="s">
        <v>2752</v>
      </c>
      <c r="O1023" s="468" t="s">
        <v>2753</v>
      </c>
      <c r="P1023" s="468" t="s">
        <v>2354</v>
      </c>
      <c r="Z1023" s="433" t="str">
        <f ca="1">HYPERLINK("#"&amp;재료비목록표!G2&amp;"!A"&amp;ROW(재료비목록표!A11),"M01205 →")</f>
        <v>M01205 →</v>
      </c>
    </row>
    <row r="1024" spans="1:26" ht="33.200000000000003" customHeight="1">
      <c r="A1024" s="452" t="s">
        <v>2507</v>
      </c>
      <c r="B1024" s="452" t="s">
        <v>2441</v>
      </c>
      <c r="C1024" s="489">
        <v>25</v>
      </c>
      <c r="D1024" s="480" t="s">
        <v>2371</v>
      </c>
      <c r="E1024" s="490">
        <f t="shared" si="168"/>
        <v>53370</v>
      </c>
      <c r="F1024" s="491">
        <f t="shared" si="168"/>
        <v>13342.5</v>
      </c>
      <c r="G1024" s="496">
        <f>H1020+H1021</f>
        <v>53370</v>
      </c>
      <c r="H1024" s="491">
        <f>IF(C1024=0,0,ROUNDDOWN(G1024*C1024/100,1))</f>
        <v>13342.5</v>
      </c>
      <c r="I1024" s="465">
        <v>0</v>
      </c>
      <c r="J1024" s="493">
        <f>IF(C1024=0,0,ROUNDDOWN(I1024*C1024/100,1))</f>
        <v>0</v>
      </c>
      <c r="K1024" s="467">
        <v>0</v>
      </c>
      <c r="L1024" s="493">
        <f>IF(C1024=0,0,ROUNDDOWN(K1024*C1024/100,1))</f>
        <v>0</v>
      </c>
      <c r="M1024" s="463"/>
      <c r="N1024" s="451" t="s">
        <v>2508</v>
      </c>
      <c r="O1024" s="468" t="s">
        <v>2373</v>
      </c>
      <c r="P1024" s="468" t="s">
        <v>2354</v>
      </c>
    </row>
    <row r="1025" spans="1:26" ht="33.200000000000003" customHeight="1">
      <c r="A1025" s="463" t="s">
        <v>842</v>
      </c>
      <c r="B1025" s="497"/>
      <c r="C1025" s="497"/>
      <c r="D1025" s="497"/>
      <c r="E1025" s="497"/>
      <c r="F1025" s="446">
        <f>J1025+H1025+L1025</f>
        <v>142002</v>
      </c>
      <c r="G1025" s="497"/>
      <c r="H1025" s="446">
        <f>ROUNDDOWN(SUMIF(P1020:P1024,O1025,H1020:H1024),0)</f>
        <v>66712</v>
      </c>
      <c r="I1025" s="497"/>
      <c r="J1025" s="446">
        <f>ROUNDDOWN(SUMIF(P1020:P1024,O1025,J1020:J1024),0)</f>
        <v>74840</v>
      </c>
      <c r="K1025" s="497"/>
      <c r="L1025" s="446">
        <f>ROUNDDOWN(SUMIF(P1020:P1024,O1025,L1020:L1024),0)</f>
        <v>450</v>
      </c>
      <c r="M1025" s="497"/>
      <c r="O1025" s="468" t="s">
        <v>2354</v>
      </c>
    </row>
    <row r="1026" spans="1:26" ht="33.200000000000003" customHeight="1">
      <c r="A1026" s="484" t="s">
        <v>2898</v>
      </c>
      <c r="B1026" s="484"/>
      <c r="C1026" s="485"/>
      <c r="D1026" s="485"/>
      <c r="E1026" s="485"/>
      <c r="F1026" s="485"/>
      <c r="G1026" s="485"/>
      <c r="H1026" s="485"/>
      <c r="I1026" s="485"/>
      <c r="J1026" s="485"/>
      <c r="K1026" s="485"/>
      <c r="L1026" s="485"/>
      <c r="M1026" s="485"/>
      <c r="N1026" s="486" t="str">
        <f>HYPERLINK("#N"&amp;ROW(N1032),"_x0005_`BDCOD|B02680_x0007_`POSS|"&amp;ROW(N1028)&amp;"_x0007_`POSE|"&amp;ROW(N1032)&amp;"_x0007_`")</f>
        <v>_x0005_`BDCOD|B02680_x0007_`POSS|1028_x0007_`POSE|1032_x0007_`</v>
      </c>
    </row>
    <row r="1027" spans="1:26" ht="33.200000000000003" customHeight="1">
      <c r="A1027" s="469" t="s">
        <v>5187</v>
      </c>
      <c r="B1027" s="469" t="s">
        <v>1218</v>
      </c>
      <c r="C1027" s="487"/>
      <c r="D1027" s="488" t="s">
        <v>911</v>
      </c>
      <c r="E1027" s="487"/>
      <c r="F1027" s="487"/>
      <c r="G1027" s="487"/>
      <c r="H1027" s="487"/>
      <c r="I1027" s="487"/>
      <c r="J1027" s="487"/>
      <c r="K1027" s="487"/>
      <c r="L1027" s="487"/>
      <c r="M1027" s="488" t="s">
        <v>1219</v>
      </c>
      <c r="O1027" s="468" t="s">
        <v>1219</v>
      </c>
    </row>
    <row r="1028" spans="1:26" ht="33.200000000000003" customHeight="1">
      <c r="A1028" s="452" t="s">
        <v>2735</v>
      </c>
      <c r="B1028" s="452" t="s">
        <v>2736</v>
      </c>
      <c r="C1028" s="489">
        <v>2</v>
      </c>
      <c r="D1028" s="480" t="s">
        <v>8</v>
      </c>
      <c r="E1028" s="490">
        <f t="shared" ref="E1028:F1032" si="169">I1028+G1028+K1028</f>
        <v>29389</v>
      </c>
      <c r="F1028" s="493">
        <f t="shared" si="169"/>
        <v>58778</v>
      </c>
      <c r="G1028" s="494">
        <f>단가산출근거목록표!F170</f>
        <v>28442</v>
      </c>
      <c r="H1028" s="498">
        <f>IF(C1028=0,0,ROUNDDOWN(G1028*C1028,1))</f>
        <v>56884</v>
      </c>
      <c r="I1028" s="494">
        <f>단가산출근거목록표!G170</f>
        <v>647</v>
      </c>
      <c r="J1028" s="498">
        <f>IF(C1028=0,0,ROUNDDOWN(I1028*C1028,1))</f>
        <v>1294</v>
      </c>
      <c r="K1028" s="494">
        <f>단가산출근거목록표!H170</f>
        <v>300</v>
      </c>
      <c r="L1028" s="498">
        <f>IF(C1028=0,0,ROUNDDOWN(K1028*C1028,1))</f>
        <v>600</v>
      </c>
      <c r="M1028" s="463" t="s">
        <v>2737</v>
      </c>
      <c r="N1028" s="451" t="s">
        <v>2738</v>
      </c>
      <c r="O1028" s="468" t="s">
        <v>2739</v>
      </c>
      <c r="P1028" s="468" t="s">
        <v>2354</v>
      </c>
      <c r="Q1028" s="468" t="s">
        <v>2355</v>
      </c>
      <c r="Z1028" s="433" t="str">
        <f ca="1">HYPERLINK("#"&amp;단가산출근거목록표!J2&amp;"!A"&amp;ROW(단가산출근거목록표!A170),"D01273 →")</f>
        <v>D01273 →</v>
      </c>
    </row>
    <row r="1029" spans="1:26" ht="33.200000000000003" customHeight="1">
      <c r="A1029" s="452" t="s">
        <v>2740</v>
      </c>
      <c r="B1029" s="452" t="s">
        <v>2779</v>
      </c>
      <c r="C1029" s="489">
        <v>2</v>
      </c>
      <c r="D1029" s="480" t="s">
        <v>595</v>
      </c>
      <c r="E1029" s="490">
        <f t="shared" si="169"/>
        <v>4942</v>
      </c>
      <c r="F1029" s="493">
        <f t="shared" si="169"/>
        <v>9884</v>
      </c>
      <c r="G1029" s="494">
        <f>단가산출근거목록표!F71</f>
        <v>4942</v>
      </c>
      <c r="H1029" s="498">
        <f>IF(C1029=0,0,ROUNDDOWN(G1029*C1029,1))</f>
        <v>9884</v>
      </c>
      <c r="I1029" s="494">
        <f>단가산출근거목록표!G71</f>
        <v>0</v>
      </c>
      <c r="J1029" s="498">
        <f>IF(C1029=0,0,ROUNDDOWN(I1029*C1029,1))</f>
        <v>0</v>
      </c>
      <c r="K1029" s="494">
        <f>단가산출근거목록표!H71</f>
        <v>0</v>
      </c>
      <c r="L1029" s="498">
        <f>IF(C1029=0,0,ROUNDDOWN(K1029*C1029,1))</f>
        <v>0</v>
      </c>
      <c r="M1029" s="463" t="s">
        <v>2780</v>
      </c>
      <c r="N1029" s="451" t="s">
        <v>2805</v>
      </c>
      <c r="O1029" s="468" t="s">
        <v>2782</v>
      </c>
      <c r="P1029" s="468" t="s">
        <v>2354</v>
      </c>
      <c r="Q1029" s="468" t="s">
        <v>2355</v>
      </c>
      <c r="Z1029" s="433" t="str">
        <f ca="1">HYPERLINK("#"&amp;단가산출근거목록표!J2&amp;"!A"&amp;ROW(단가산출근거목록표!A71),"D01213 →")</f>
        <v>D01213 →</v>
      </c>
    </row>
    <row r="1030" spans="1:26" ht="33.200000000000003" customHeight="1">
      <c r="A1030" s="452" t="s">
        <v>2755</v>
      </c>
      <c r="B1030" s="452" t="s">
        <v>2783</v>
      </c>
      <c r="C1030" s="489">
        <v>1</v>
      </c>
      <c r="D1030" s="480" t="s">
        <v>911</v>
      </c>
      <c r="E1030" s="490">
        <f t="shared" si="169"/>
        <v>97500</v>
      </c>
      <c r="F1030" s="491">
        <f t="shared" si="169"/>
        <v>97500</v>
      </c>
      <c r="G1030" s="492">
        <v>0</v>
      </c>
      <c r="H1030" s="493">
        <f>IF(C1030=0,0,ROUNDDOWN(G1030*C1030,1))</f>
        <v>0</v>
      </c>
      <c r="I1030" s="494">
        <f>재료비목록표!E50</f>
        <v>97500</v>
      </c>
      <c r="J1030" s="495">
        <f>IF(C1030=0,0,ROUNDDOWN(I1030*C1030,1))</f>
        <v>97500</v>
      </c>
      <c r="K1030" s="492">
        <v>0</v>
      </c>
      <c r="L1030" s="493">
        <f>IF(C1030=0,0,ROUNDDOWN(K1030*C1030,1))</f>
        <v>0</v>
      </c>
      <c r="M1030" s="463" t="s">
        <v>2788</v>
      </c>
      <c r="N1030" s="451" t="s">
        <v>2789</v>
      </c>
      <c r="O1030" s="468" t="s">
        <v>2790</v>
      </c>
      <c r="P1030" s="468" t="s">
        <v>2354</v>
      </c>
      <c r="Z1030" s="433" t="str">
        <f ca="1">HYPERLINK("#"&amp;재료비목록표!G2&amp;"!A"&amp;ROW(재료비목록표!A50),"M08778 →")</f>
        <v>M08778 →</v>
      </c>
    </row>
    <row r="1031" spans="1:26" ht="33.200000000000003" customHeight="1">
      <c r="A1031" s="452" t="s">
        <v>2364</v>
      </c>
      <c r="B1031" s="452" t="s">
        <v>2750</v>
      </c>
      <c r="C1031" s="489">
        <v>2.2000000000000002</v>
      </c>
      <c r="D1031" s="480" t="s">
        <v>1589</v>
      </c>
      <c r="E1031" s="490">
        <f t="shared" si="169"/>
        <v>850</v>
      </c>
      <c r="F1031" s="491">
        <f t="shared" si="169"/>
        <v>1870</v>
      </c>
      <c r="G1031" s="492">
        <v>0</v>
      </c>
      <c r="H1031" s="493">
        <f>IF(C1031=0,0,ROUNDDOWN(G1031*C1031,1))</f>
        <v>0</v>
      </c>
      <c r="I1031" s="494">
        <f>재료비목록표!E11</f>
        <v>850</v>
      </c>
      <c r="J1031" s="495">
        <f>IF(C1031=0,0,ROUNDDOWN(I1031*C1031,1))</f>
        <v>1870</v>
      </c>
      <c r="K1031" s="492">
        <v>0</v>
      </c>
      <c r="L1031" s="493">
        <f>IF(C1031=0,0,ROUNDDOWN(K1031*C1031,1))</f>
        <v>0</v>
      </c>
      <c r="M1031" s="463" t="s">
        <v>2751</v>
      </c>
      <c r="N1031" s="451" t="s">
        <v>2752</v>
      </c>
      <c r="O1031" s="468" t="s">
        <v>2753</v>
      </c>
      <c r="P1031" s="468" t="s">
        <v>2354</v>
      </c>
      <c r="Z1031" s="433" t="str">
        <f ca="1">HYPERLINK("#"&amp;재료비목록표!G2&amp;"!A"&amp;ROW(재료비목록표!A11),"M01205 →")</f>
        <v>M01205 →</v>
      </c>
    </row>
    <row r="1032" spans="1:26" ht="33.200000000000003" customHeight="1">
      <c r="A1032" s="452" t="s">
        <v>2507</v>
      </c>
      <c r="B1032" s="452" t="s">
        <v>2441</v>
      </c>
      <c r="C1032" s="489">
        <v>25</v>
      </c>
      <c r="D1032" s="480" t="s">
        <v>2371</v>
      </c>
      <c r="E1032" s="490">
        <f t="shared" si="169"/>
        <v>66768</v>
      </c>
      <c r="F1032" s="491">
        <f t="shared" si="169"/>
        <v>16692</v>
      </c>
      <c r="G1032" s="496">
        <f>H1028+H1029</f>
        <v>66768</v>
      </c>
      <c r="H1032" s="491">
        <f>IF(C1032=0,0,ROUNDDOWN(G1032*C1032/100,1))</f>
        <v>16692</v>
      </c>
      <c r="I1032" s="465">
        <v>0</v>
      </c>
      <c r="J1032" s="493">
        <f>IF(C1032=0,0,ROUNDDOWN(I1032*C1032/100,1))</f>
        <v>0</v>
      </c>
      <c r="K1032" s="467">
        <v>0</v>
      </c>
      <c r="L1032" s="493">
        <f>IF(C1032=0,0,ROUNDDOWN(K1032*C1032/100,1))</f>
        <v>0</v>
      </c>
      <c r="M1032" s="463"/>
      <c r="N1032" s="451" t="s">
        <v>2508</v>
      </c>
      <c r="O1032" s="468" t="s">
        <v>2373</v>
      </c>
      <c r="P1032" s="468" t="s">
        <v>2354</v>
      </c>
    </row>
    <row r="1033" spans="1:26" ht="33.200000000000003" customHeight="1">
      <c r="A1033" s="463" t="s">
        <v>842</v>
      </c>
      <c r="B1033" s="497"/>
      <c r="C1033" s="497"/>
      <c r="D1033" s="497"/>
      <c r="E1033" s="497"/>
      <c r="F1033" s="446">
        <f>J1033+H1033+L1033</f>
        <v>184724</v>
      </c>
      <c r="G1033" s="497"/>
      <c r="H1033" s="446">
        <f>ROUNDDOWN(SUMIF(P1028:P1032,O1033,H1028:H1032),0)</f>
        <v>83460</v>
      </c>
      <c r="I1033" s="497"/>
      <c r="J1033" s="446">
        <f>ROUNDDOWN(SUMIF(P1028:P1032,O1033,J1028:J1032),0)</f>
        <v>100664</v>
      </c>
      <c r="K1033" s="497"/>
      <c r="L1033" s="446">
        <f>ROUNDDOWN(SUMIF(P1028:P1032,O1033,L1028:L1032),0)</f>
        <v>600</v>
      </c>
      <c r="M1033" s="497"/>
      <c r="O1033" s="468" t="s">
        <v>2354</v>
      </c>
    </row>
    <row r="1034" spans="1:26" ht="33.200000000000003" customHeight="1">
      <c r="A1034" s="484" t="s">
        <v>2899</v>
      </c>
      <c r="B1034" s="484"/>
      <c r="C1034" s="485"/>
      <c r="D1034" s="485"/>
      <c r="E1034" s="485"/>
      <c r="F1034" s="485"/>
      <c r="G1034" s="485"/>
      <c r="H1034" s="485"/>
      <c r="I1034" s="485"/>
      <c r="J1034" s="485"/>
      <c r="K1034" s="485"/>
      <c r="L1034" s="485"/>
      <c r="M1034" s="485"/>
      <c r="N1034" s="486" t="str">
        <f>HYPERLINK("#N"&amp;ROW(N1039),"_x0005_`BDCOD|B01416_x0007_`POSS|"&amp;ROW(N1036)&amp;"_x0007_`POSE|"&amp;ROW(N1039)&amp;"_x0007_`")</f>
        <v>_x0005_`BDCOD|B01416_x0007_`POSS|1036_x0007_`POSE|1039_x0007_`</v>
      </c>
    </row>
    <row r="1035" spans="1:26" ht="33.200000000000003" customHeight="1">
      <c r="A1035" s="469" t="s">
        <v>2310</v>
      </c>
      <c r="B1035" s="469" t="s">
        <v>2311</v>
      </c>
      <c r="C1035" s="487"/>
      <c r="D1035" s="488" t="s">
        <v>975</v>
      </c>
      <c r="E1035" s="487"/>
      <c r="F1035" s="487"/>
      <c r="G1035" s="487"/>
      <c r="H1035" s="487"/>
      <c r="I1035" s="487"/>
      <c r="J1035" s="487"/>
      <c r="K1035" s="487"/>
      <c r="L1035" s="487"/>
      <c r="M1035" s="488" t="s">
        <v>2309</v>
      </c>
      <c r="O1035" s="468" t="s">
        <v>2309</v>
      </c>
    </row>
    <row r="1036" spans="1:26" ht="33.200000000000003" customHeight="1">
      <c r="A1036" s="452" t="s">
        <v>2807</v>
      </c>
      <c r="B1036" s="452"/>
      <c r="C1036" s="489">
        <v>2E-3</v>
      </c>
      <c r="D1036" s="480" t="s">
        <v>585</v>
      </c>
      <c r="E1036" s="490">
        <f t="shared" ref="E1036:F1039" si="170">I1036+G1036+K1036</f>
        <v>252641</v>
      </c>
      <c r="F1036" s="493">
        <f t="shared" si="170"/>
        <v>505.2</v>
      </c>
      <c r="G1036" s="494">
        <f>노무비목록표!E17</f>
        <v>252641</v>
      </c>
      <c r="H1036" s="495">
        <f>IF(C1036=0,0,ROUNDDOWN(G1036*C1036,1))</f>
        <v>505.2</v>
      </c>
      <c r="I1036" s="492">
        <v>0</v>
      </c>
      <c r="J1036" s="491">
        <f>IF(C1036=0,0,ROUNDDOWN(I1036*C1036,1))</f>
        <v>0</v>
      </c>
      <c r="K1036" s="492">
        <v>0</v>
      </c>
      <c r="L1036" s="493">
        <f>IF(C1036=0,0,ROUNDDOWN(K1036*C1036,1))</f>
        <v>0</v>
      </c>
      <c r="M1036" s="463" t="s">
        <v>2808</v>
      </c>
      <c r="N1036" s="451" t="s">
        <v>2809</v>
      </c>
      <c r="O1036" s="468" t="s">
        <v>2810</v>
      </c>
      <c r="P1036" s="468" t="s">
        <v>2354</v>
      </c>
      <c r="Q1036" s="468" t="s">
        <v>2355</v>
      </c>
      <c r="Z1036" s="433" t="str">
        <f ca="1">HYPERLINK("#"&amp;노무비목록표!G2&amp;"!A"&amp;ROW(노무비목록표!A17),"L00199 →")</f>
        <v>L00199 →</v>
      </c>
    </row>
    <row r="1037" spans="1:26" ht="33.200000000000003" customHeight="1">
      <c r="A1037" s="452" t="s">
        <v>2360</v>
      </c>
      <c r="B1037" s="452"/>
      <c r="C1037" s="489">
        <v>1E-3</v>
      </c>
      <c r="D1037" s="480" t="s">
        <v>585</v>
      </c>
      <c r="E1037" s="490">
        <f t="shared" si="170"/>
        <v>172068</v>
      </c>
      <c r="F1037" s="493">
        <f t="shared" si="170"/>
        <v>172</v>
      </c>
      <c r="G1037" s="494">
        <f>노무비목록표!E10</f>
        <v>172068</v>
      </c>
      <c r="H1037" s="495">
        <f>IF(C1037=0,0,ROUNDDOWN(G1037*C1037,1))</f>
        <v>172</v>
      </c>
      <c r="I1037" s="492">
        <v>0</v>
      </c>
      <c r="J1037" s="491">
        <f>IF(C1037=0,0,ROUNDDOWN(I1037*C1037,1))</f>
        <v>0</v>
      </c>
      <c r="K1037" s="492">
        <v>0</v>
      </c>
      <c r="L1037" s="493">
        <f>IF(C1037=0,0,ROUNDDOWN(K1037*C1037,1))</f>
        <v>0</v>
      </c>
      <c r="M1037" s="463" t="s">
        <v>2361</v>
      </c>
      <c r="N1037" s="451" t="s">
        <v>2428</v>
      </c>
      <c r="O1037" s="468" t="s">
        <v>2363</v>
      </c>
      <c r="P1037" s="468" t="s">
        <v>2354</v>
      </c>
      <c r="Q1037" s="468" t="s">
        <v>2355</v>
      </c>
      <c r="Z1037" s="433" t="str">
        <f ca="1">HYPERLINK("#"&amp;노무비목록표!G2&amp;"!A"&amp;ROW(노무비목록표!A10),"L00017 →")</f>
        <v>L00017 →</v>
      </c>
    </row>
    <row r="1038" spans="1:26" ht="33.200000000000003" customHeight="1">
      <c r="A1038" s="452" t="s">
        <v>2811</v>
      </c>
      <c r="B1038" s="452" t="s">
        <v>2812</v>
      </c>
      <c r="C1038" s="489">
        <v>5.1999999999999995E-4</v>
      </c>
      <c r="D1038" s="480" t="s">
        <v>2377</v>
      </c>
      <c r="E1038" s="490">
        <f t="shared" si="170"/>
        <v>141000</v>
      </c>
      <c r="F1038" s="491">
        <f t="shared" si="170"/>
        <v>73.3</v>
      </c>
      <c r="G1038" s="492">
        <v>0</v>
      </c>
      <c r="H1038" s="493">
        <f>IF(C1038=0,0,ROUNDDOWN(G1038*C1038,1))</f>
        <v>0</v>
      </c>
      <c r="I1038" s="494">
        <f>재료비목록표!E95</f>
        <v>141000</v>
      </c>
      <c r="J1038" s="495">
        <f>IF(C1038=0,0,ROUNDDOWN(I1038*C1038,1))</f>
        <v>73.3</v>
      </c>
      <c r="K1038" s="492">
        <v>0</v>
      </c>
      <c r="L1038" s="493">
        <f>IF(C1038=0,0,ROUNDDOWN(K1038*C1038,1))</f>
        <v>0</v>
      </c>
      <c r="M1038" s="463" t="s">
        <v>2813</v>
      </c>
      <c r="N1038" s="451" t="s">
        <v>2814</v>
      </c>
      <c r="O1038" s="468" t="s">
        <v>2815</v>
      </c>
      <c r="P1038" s="468" t="s">
        <v>2354</v>
      </c>
      <c r="Z1038" s="433" t="str">
        <f ca="1">HYPERLINK("#"&amp;재료비목록표!G2&amp;"!A"&amp;ROW(재료비목록표!A95),"M08791 →")</f>
        <v>M08791 →</v>
      </c>
    </row>
    <row r="1039" spans="1:26" ht="33.200000000000003" customHeight="1">
      <c r="A1039" s="452" t="s">
        <v>2816</v>
      </c>
      <c r="B1039" s="452" t="s">
        <v>2441</v>
      </c>
      <c r="C1039" s="489">
        <v>5</v>
      </c>
      <c r="D1039" s="480" t="s">
        <v>2371</v>
      </c>
      <c r="E1039" s="490">
        <f t="shared" si="170"/>
        <v>677.2</v>
      </c>
      <c r="F1039" s="491">
        <f t="shared" si="170"/>
        <v>33.799999999999997</v>
      </c>
      <c r="G1039" s="465">
        <v>0</v>
      </c>
      <c r="H1039" s="491">
        <f>IF(C1039=0,0,ROUNDDOWN(G1039*C1039/100,1))</f>
        <v>0</v>
      </c>
      <c r="I1039" s="496">
        <f>H1036+H1037</f>
        <v>677.2</v>
      </c>
      <c r="J1039" s="493">
        <f>IF(C1039=0,0,ROUNDDOWN(I1039*C1039/100,1))</f>
        <v>33.799999999999997</v>
      </c>
      <c r="K1039" s="467">
        <v>0</v>
      </c>
      <c r="L1039" s="493">
        <f>IF(C1039=0,0,ROUNDDOWN(K1039*C1039/100,1))</f>
        <v>0</v>
      </c>
      <c r="M1039" s="463"/>
      <c r="N1039" s="451" t="s">
        <v>2817</v>
      </c>
      <c r="O1039" s="468" t="s">
        <v>2373</v>
      </c>
      <c r="P1039" s="468" t="s">
        <v>2354</v>
      </c>
    </row>
    <row r="1040" spans="1:26" ht="33.200000000000003" customHeight="1">
      <c r="A1040" s="463" t="s">
        <v>842</v>
      </c>
      <c r="B1040" s="497"/>
      <c r="C1040" s="497"/>
      <c r="D1040" s="497"/>
      <c r="E1040" s="497"/>
      <c r="F1040" s="446">
        <f>J1040+H1040+L1040</f>
        <v>784</v>
      </c>
      <c r="G1040" s="497"/>
      <c r="H1040" s="446">
        <f>ROUNDDOWN(SUMIF(P1036:P1039,O1040,H1036:H1039),0)</f>
        <v>677</v>
      </c>
      <c r="I1040" s="497"/>
      <c r="J1040" s="446">
        <f>ROUNDDOWN(SUMIF(P1036:P1039,O1040,J1036:J1039),0)</f>
        <v>107</v>
      </c>
      <c r="K1040" s="497"/>
      <c r="L1040" s="446">
        <f>ROUNDDOWN(SUMIF(P1036:P1039,O1040,L1036:L1039),0)</f>
        <v>0</v>
      </c>
      <c r="M1040" s="497"/>
      <c r="O1040" s="468" t="s">
        <v>2354</v>
      </c>
    </row>
    <row r="1041" spans="1:26" ht="33.200000000000003" customHeight="1">
      <c r="A1041" s="484" t="s">
        <v>2900</v>
      </c>
      <c r="B1041" s="484"/>
      <c r="C1041" s="485"/>
      <c r="D1041" s="485"/>
      <c r="E1041" s="485"/>
      <c r="F1041" s="485"/>
      <c r="G1041" s="485"/>
      <c r="H1041" s="485"/>
      <c r="I1041" s="485"/>
      <c r="J1041" s="485"/>
      <c r="K1041" s="485"/>
      <c r="L1041" s="485"/>
      <c r="M1041" s="485"/>
      <c r="N1041" s="486" t="str">
        <f>HYPERLINK("#N"&amp;ROW(N1044),"_x0005_`BDCOD|B02799_x0007_`POSS|"&amp;ROW(N1043)&amp;"_x0007_`POSE|"&amp;ROW(N1044)&amp;"_x0007_`")</f>
        <v>_x0005_`BDCOD|B02799_x0007_`POSS|1043_x0007_`POSE|1044_x0007_`</v>
      </c>
    </row>
    <row r="1042" spans="1:26" ht="33.200000000000003" customHeight="1">
      <c r="A1042" s="469" t="s">
        <v>1797</v>
      </c>
      <c r="B1042" s="469" t="s">
        <v>1798</v>
      </c>
      <c r="C1042" s="487"/>
      <c r="D1042" s="488" t="s">
        <v>1799</v>
      </c>
      <c r="E1042" s="487"/>
      <c r="F1042" s="487"/>
      <c r="G1042" s="487"/>
      <c r="H1042" s="487"/>
      <c r="I1042" s="487"/>
      <c r="J1042" s="487"/>
      <c r="K1042" s="487"/>
      <c r="L1042" s="487"/>
      <c r="M1042" s="488" t="s">
        <v>1800</v>
      </c>
      <c r="O1042" s="468" t="s">
        <v>1800</v>
      </c>
    </row>
    <row r="1043" spans="1:26" ht="33.200000000000003" customHeight="1">
      <c r="A1043" s="452" t="s">
        <v>2819</v>
      </c>
      <c r="B1043" s="452" t="s">
        <v>2820</v>
      </c>
      <c r="C1043" s="489">
        <v>1</v>
      </c>
      <c r="D1043" s="480" t="s">
        <v>1799</v>
      </c>
      <c r="E1043" s="490">
        <f>I1043+G1043+K1043</f>
        <v>160000</v>
      </c>
      <c r="F1043" s="491">
        <f>J1043+H1043+L1043</f>
        <v>160000</v>
      </c>
      <c r="G1043" s="492">
        <v>0</v>
      </c>
      <c r="H1043" s="493">
        <f>IF(C1043=0,0,ROUNDDOWN(G1043*C1043,1))</f>
        <v>0</v>
      </c>
      <c r="I1043" s="494">
        <f>재료비목록표!E52</f>
        <v>160000</v>
      </c>
      <c r="J1043" s="495">
        <f>IF(C1043=0,0,ROUNDDOWN(I1043*C1043,1))</f>
        <v>160000</v>
      </c>
      <c r="K1043" s="492">
        <v>0</v>
      </c>
      <c r="L1043" s="493">
        <f>IF(C1043=0,0,ROUNDDOWN(K1043*C1043,1))</f>
        <v>0</v>
      </c>
      <c r="M1043" s="463" t="s">
        <v>2821</v>
      </c>
      <c r="N1043" s="451" t="s">
        <v>2822</v>
      </c>
      <c r="O1043" s="468" t="s">
        <v>2823</v>
      </c>
      <c r="P1043" s="468" t="s">
        <v>2354</v>
      </c>
      <c r="Z1043" s="433" t="str">
        <f ca="1">HYPERLINK("#"&amp;재료비목록표!G2&amp;"!A"&amp;ROW(재료비목록표!A52),"M08852 →")</f>
        <v>M08852 →</v>
      </c>
    </row>
    <row r="1044" spans="1:26" ht="33.200000000000003" customHeight="1">
      <c r="A1044" s="452" t="s">
        <v>1803</v>
      </c>
      <c r="B1044" s="452" t="s">
        <v>1851</v>
      </c>
      <c r="C1044" s="489">
        <v>1</v>
      </c>
      <c r="D1044" s="480" t="s">
        <v>1799</v>
      </c>
      <c r="E1044" s="490">
        <f>I1044+G1044+K1044</f>
        <v>135479</v>
      </c>
      <c r="F1044" s="493">
        <f>J1044+H1044+L1044</f>
        <v>135479</v>
      </c>
      <c r="G1044" s="494">
        <f>단가산출근거목록표!F44</f>
        <v>107079</v>
      </c>
      <c r="H1044" s="498">
        <f>IF(C1044=0,0,ROUNDDOWN(G1044*C1044,1))</f>
        <v>107079</v>
      </c>
      <c r="I1044" s="494">
        <f>단가산출근거목록표!G44</f>
        <v>28400</v>
      </c>
      <c r="J1044" s="498">
        <f>IF(C1044=0,0,ROUNDDOWN(I1044*C1044,1))</f>
        <v>28400</v>
      </c>
      <c r="K1044" s="494">
        <f>단가산출근거목록표!H44</f>
        <v>0</v>
      </c>
      <c r="L1044" s="498">
        <f>IF(C1044=0,0,ROUNDDOWN(K1044*C1044,1))</f>
        <v>0</v>
      </c>
      <c r="M1044" s="463" t="s">
        <v>2824</v>
      </c>
      <c r="N1044" s="451" t="s">
        <v>2825</v>
      </c>
      <c r="O1044" s="468" t="s">
        <v>1854</v>
      </c>
      <c r="P1044" s="468" t="s">
        <v>2354</v>
      </c>
      <c r="Z1044" s="433" t="str">
        <f ca="1">HYPERLINK("#"&amp;단가산출근거목록표!J2&amp;"!A"&amp;ROW(단가산출근거목록표!A44),"D01318 →")</f>
        <v>D01318 →</v>
      </c>
    </row>
    <row r="1045" spans="1:26" ht="33.200000000000003" customHeight="1">
      <c r="A1045" s="463" t="s">
        <v>842</v>
      </c>
      <c r="B1045" s="497"/>
      <c r="C1045" s="497"/>
      <c r="D1045" s="497"/>
      <c r="E1045" s="497"/>
      <c r="F1045" s="446">
        <f>J1045+H1045+L1045</f>
        <v>295479</v>
      </c>
      <c r="G1045" s="497"/>
      <c r="H1045" s="446">
        <f>ROUNDDOWN(SUMIF(P1043:P1044,O1045,H1043:H1044),0)</f>
        <v>107079</v>
      </c>
      <c r="I1045" s="497"/>
      <c r="J1045" s="446">
        <f>ROUNDDOWN(SUMIF(P1043:P1044,O1045,J1043:J1044),0)</f>
        <v>188400</v>
      </c>
      <c r="K1045" s="497"/>
      <c r="L1045" s="446">
        <f>ROUNDDOWN(SUMIF(P1043:P1044,O1045,L1043:L1044),0)</f>
        <v>0</v>
      </c>
      <c r="M1045" s="497"/>
      <c r="O1045" s="468" t="s">
        <v>2354</v>
      </c>
    </row>
    <row r="1046" spans="1:26" ht="33.200000000000003" customHeight="1">
      <c r="A1046" s="484" t="s">
        <v>2902</v>
      </c>
      <c r="B1046" s="484"/>
      <c r="C1046" s="485"/>
      <c r="D1046" s="485"/>
      <c r="E1046" s="485"/>
      <c r="F1046" s="485"/>
      <c r="G1046" s="485"/>
      <c r="H1046" s="485"/>
      <c r="I1046" s="485"/>
      <c r="J1046" s="485"/>
      <c r="K1046" s="485"/>
      <c r="L1046" s="485"/>
      <c r="M1046" s="485"/>
      <c r="N1046" s="486" t="str">
        <f>HYPERLINK("#N"&amp;ROW(N1049),"_x0005_`BDCOD|B02889_x0007_`POSS|"&amp;ROW(N1048)&amp;"_x0007_`POSE|"&amp;ROW(N1049)&amp;"_x0007_`")</f>
        <v>_x0005_`BDCOD|B02889_x0007_`POSS|1048_x0007_`POSE|1049_x0007_`</v>
      </c>
    </row>
    <row r="1047" spans="1:26" ht="33.200000000000003" customHeight="1">
      <c r="A1047" s="469" t="s">
        <v>5305</v>
      </c>
      <c r="B1047" s="469" t="s">
        <v>1798</v>
      </c>
      <c r="C1047" s="487"/>
      <c r="D1047" s="488" t="s">
        <v>1799</v>
      </c>
      <c r="E1047" s="487"/>
      <c r="F1047" s="487"/>
      <c r="G1047" s="487"/>
      <c r="H1047" s="487"/>
      <c r="I1047" s="487"/>
      <c r="J1047" s="487"/>
      <c r="K1047" s="487"/>
      <c r="L1047" s="487"/>
      <c r="M1047" s="488" t="s">
        <v>5306</v>
      </c>
      <c r="O1047" s="468" t="s">
        <v>5306</v>
      </c>
    </row>
    <row r="1048" spans="1:26" ht="33.200000000000003" customHeight="1">
      <c r="A1048" s="452" t="s">
        <v>2819</v>
      </c>
      <c r="B1048" s="452" t="s">
        <v>2820</v>
      </c>
      <c r="C1048" s="489">
        <v>1</v>
      </c>
      <c r="D1048" s="480" t="s">
        <v>1799</v>
      </c>
      <c r="E1048" s="490">
        <f>I1048+G1048+K1048</f>
        <v>160000</v>
      </c>
      <c r="F1048" s="491">
        <f>J1048+H1048+L1048</f>
        <v>160000</v>
      </c>
      <c r="G1048" s="492">
        <v>0</v>
      </c>
      <c r="H1048" s="493">
        <f>IF(C1048=0,0,ROUNDDOWN(G1048*C1048,1))</f>
        <v>0</v>
      </c>
      <c r="I1048" s="494">
        <f>재료비목록표!E52</f>
        <v>160000</v>
      </c>
      <c r="J1048" s="495">
        <f>IF(C1048=0,0,ROUNDDOWN(I1048*C1048,1))</f>
        <v>160000</v>
      </c>
      <c r="K1048" s="492">
        <v>0</v>
      </c>
      <c r="L1048" s="493">
        <f>IF(C1048=0,0,ROUNDDOWN(K1048*C1048,1))</f>
        <v>0</v>
      </c>
      <c r="M1048" s="463" t="s">
        <v>2821</v>
      </c>
      <c r="N1048" s="451" t="s">
        <v>2822</v>
      </c>
      <c r="O1048" s="468" t="s">
        <v>2823</v>
      </c>
      <c r="P1048" s="468" t="s">
        <v>2354</v>
      </c>
      <c r="Z1048" s="433" t="str">
        <f ca="1">HYPERLINK("#"&amp;재료비목록표!G2&amp;"!A"&amp;ROW(재료비목록표!A52),"M08852 →")</f>
        <v>M08852 →</v>
      </c>
    </row>
    <row r="1049" spans="1:26" ht="33.200000000000003" customHeight="1">
      <c r="A1049" s="452" t="s">
        <v>5313</v>
      </c>
      <c r="B1049" s="452" t="s">
        <v>1851</v>
      </c>
      <c r="C1049" s="489">
        <v>1</v>
      </c>
      <c r="D1049" s="480" t="s">
        <v>1799</v>
      </c>
      <c r="E1049" s="490">
        <f>I1049+G1049+K1049</f>
        <v>151541</v>
      </c>
      <c r="F1049" s="493">
        <f>J1049+H1049+L1049</f>
        <v>151541</v>
      </c>
      <c r="G1049" s="494">
        <f>단가산출근거목록표!F49</f>
        <v>123141</v>
      </c>
      <c r="H1049" s="498">
        <f>IF(C1049=0,0,ROUNDDOWN(G1049*C1049,1))</f>
        <v>123141</v>
      </c>
      <c r="I1049" s="494">
        <f>단가산출근거목록표!G49</f>
        <v>28400</v>
      </c>
      <c r="J1049" s="498">
        <f>IF(C1049=0,0,ROUNDDOWN(I1049*C1049,1))</f>
        <v>28400</v>
      </c>
      <c r="K1049" s="494">
        <f>단가산출근거목록표!H49</f>
        <v>0</v>
      </c>
      <c r="L1049" s="498">
        <f>IF(C1049=0,0,ROUNDDOWN(K1049*C1049,1))</f>
        <v>0</v>
      </c>
      <c r="M1049" s="463" t="s">
        <v>5498</v>
      </c>
      <c r="N1049" s="451" t="s">
        <v>5499</v>
      </c>
      <c r="O1049" s="468" t="s">
        <v>5335</v>
      </c>
      <c r="P1049" s="468" t="s">
        <v>2354</v>
      </c>
      <c r="Z1049" s="433" t="str">
        <f ca="1">HYPERLINK("#"&amp;단가산출근거목록표!J2&amp;"!A"&amp;ROW(단가산출근거목록표!A49),"D01350 →")</f>
        <v>D01350 →</v>
      </c>
    </row>
    <row r="1050" spans="1:26" ht="33.200000000000003" customHeight="1">
      <c r="A1050" s="463" t="s">
        <v>842</v>
      </c>
      <c r="B1050" s="497"/>
      <c r="C1050" s="497"/>
      <c r="D1050" s="497"/>
      <c r="E1050" s="497"/>
      <c r="F1050" s="446">
        <f>J1050+H1050+L1050</f>
        <v>311541</v>
      </c>
      <c r="G1050" s="497"/>
      <c r="H1050" s="446">
        <f>ROUNDDOWN(SUMIF(P1048:P1049,O1050,H1048:H1049),0)</f>
        <v>123141</v>
      </c>
      <c r="I1050" s="497"/>
      <c r="J1050" s="446">
        <f>ROUNDDOWN(SUMIF(P1048:P1049,O1050,J1048:J1049),0)</f>
        <v>188400</v>
      </c>
      <c r="K1050" s="497"/>
      <c r="L1050" s="446">
        <f>ROUNDDOWN(SUMIF(P1048:P1049,O1050,L1048:L1049),0)</f>
        <v>0</v>
      </c>
      <c r="M1050" s="497"/>
      <c r="O1050" s="468" t="s">
        <v>2354</v>
      </c>
    </row>
    <row r="1051" spans="1:26" ht="33.200000000000003" customHeight="1">
      <c r="A1051" s="484" t="s">
        <v>2903</v>
      </c>
      <c r="B1051" s="484"/>
      <c r="C1051" s="485"/>
      <c r="D1051" s="485"/>
      <c r="E1051" s="485"/>
      <c r="F1051" s="485"/>
      <c r="G1051" s="485"/>
      <c r="H1051" s="485"/>
      <c r="I1051" s="485"/>
      <c r="J1051" s="485"/>
      <c r="K1051" s="485"/>
      <c r="L1051" s="485"/>
      <c r="M1051" s="485"/>
      <c r="N1051" s="486" t="str">
        <f>HYPERLINK("#N"&amp;ROW(N1054),"_x0005_`BDCOD|B02820_x0007_`POSS|"&amp;ROW(N1053)&amp;"_x0007_`POSE|"&amp;ROW(N1054)&amp;"_x0007_`")</f>
        <v>_x0005_`BDCOD|B02820_x0007_`POSS|1053_x0007_`POSE|1054_x0007_`</v>
      </c>
    </row>
    <row r="1052" spans="1:26" ht="33.200000000000003" customHeight="1">
      <c r="A1052" s="469" t="s">
        <v>5309</v>
      </c>
      <c r="B1052" s="469" t="s">
        <v>1798</v>
      </c>
      <c r="C1052" s="487"/>
      <c r="D1052" s="488" t="s">
        <v>1799</v>
      </c>
      <c r="E1052" s="487"/>
      <c r="F1052" s="487"/>
      <c r="G1052" s="487"/>
      <c r="H1052" s="487"/>
      <c r="I1052" s="487"/>
      <c r="J1052" s="487"/>
      <c r="K1052" s="487"/>
      <c r="L1052" s="487"/>
      <c r="M1052" s="488" t="s">
        <v>5310</v>
      </c>
      <c r="O1052" s="468" t="s">
        <v>5310</v>
      </c>
    </row>
    <row r="1053" spans="1:26" ht="33.200000000000003" customHeight="1">
      <c r="A1053" s="452" t="s">
        <v>2819</v>
      </c>
      <c r="B1053" s="452" t="s">
        <v>2820</v>
      </c>
      <c r="C1053" s="489">
        <v>1</v>
      </c>
      <c r="D1053" s="480" t="s">
        <v>1799</v>
      </c>
      <c r="E1053" s="490">
        <f>I1053+G1053+K1053</f>
        <v>160000</v>
      </c>
      <c r="F1053" s="491">
        <f>J1053+H1053+L1053</f>
        <v>160000</v>
      </c>
      <c r="G1053" s="492">
        <v>0</v>
      </c>
      <c r="H1053" s="493">
        <f>IF(C1053=0,0,ROUNDDOWN(G1053*C1053,1))</f>
        <v>0</v>
      </c>
      <c r="I1053" s="494">
        <f>재료비목록표!E52</f>
        <v>160000</v>
      </c>
      <c r="J1053" s="495">
        <f>IF(C1053=0,0,ROUNDDOWN(I1053*C1053,1))</f>
        <v>160000</v>
      </c>
      <c r="K1053" s="492">
        <v>0</v>
      </c>
      <c r="L1053" s="493">
        <f>IF(C1053=0,0,ROUNDDOWN(K1053*C1053,1))</f>
        <v>0</v>
      </c>
      <c r="M1053" s="463" t="s">
        <v>2821</v>
      </c>
      <c r="N1053" s="451" t="s">
        <v>2822</v>
      </c>
      <c r="O1053" s="468" t="s">
        <v>2823</v>
      </c>
      <c r="P1053" s="468" t="s">
        <v>2354</v>
      </c>
      <c r="Z1053" s="433" t="str">
        <f ca="1">HYPERLINK("#"&amp;재료비목록표!G2&amp;"!A"&amp;ROW(재료비목록표!A52),"M08852 →")</f>
        <v>M08852 →</v>
      </c>
    </row>
    <row r="1054" spans="1:26" ht="33.200000000000003" customHeight="1">
      <c r="A1054" s="452" t="s">
        <v>5320</v>
      </c>
      <c r="B1054" s="452" t="s">
        <v>1851</v>
      </c>
      <c r="C1054" s="489">
        <v>1</v>
      </c>
      <c r="D1054" s="480" t="s">
        <v>1799</v>
      </c>
      <c r="E1054" s="490">
        <f>I1054+G1054+K1054</f>
        <v>162249</v>
      </c>
      <c r="F1054" s="493">
        <f>J1054+H1054+L1054</f>
        <v>162249</v>
      </c>
      <c r="G1054" s="494">
        <f>단가산출근거목록표!F54</f>
        <v>133849</v>
      </c>
      <c r="H1054" s="498">
        <f>IF(C1054=0,0,ROUNDDOWN(G1054*C1054,1))</f>
        <v>133849</v>
      </c>
      <c r="I1054" s="494">
        <f>단가산출근거목록표!G54</f>
        <v>28400</v>
      </c>
      <c r="J1054" s="498">
        <f>IF(C1054=0,0,ROUNDDOWN(I1054*C1054,1))</f>
        <v>28400</v>
      </c>
      <c r="K1054" s="494">
        <f>단가산출근거목록표!H54</f>
        <v>0</v>
      </c>
      <c r="L1054" s="498">
        <f>IF(C1054=0,0,ROUNDDOWN(K1054*C1054,1))</f>
        <v>0</v>
      </c>
      <c r="M1054" s="463" t="s">
        <v>5500</v>
      </c>
      <c r="N1054" s="451" t="s">
        <v>5501</v>
      </c>
      <c r="O1054" s="468" t="s">
        <v>5344</v>
      </c>
      <c r="P1054" s="468" t="s">
        <v>2354</v>
      </c>
      <c r="Z1054" s="433" t="str">
        <f ca="1">HYPERLINK("#"&amp;단가산출근거목록표!J2&amp;"!A"&amp;ROW(단가산출근거목록표!A54),"D01324 →")</f>
        <v>D01324 →</v>
      </c>
    </row>
    <row r="1055" spans="1:26" ht="33.200000000000003" customHeight="1">
      <c r="A1055" s="463" t="s">
        <v>842</v>
      </c>
      <c r="B1055" s="497"/>
      <c r="C1055" s="497"/>
      <c r="D1055" s="497"/>
      <c r="E1055" s="497"/>
      <c r="F1055" s="446">
        <f>J1055+H1055+L1055</f>
        <v>322249</v>
      </c>
      <c r="G1055" s="497"/>
      <c r="H1055" s="446">
        <f>ROUNDDOWN(SUMIF(P1053:P1054,O1055,H1053:H1054),0)</f>
        <v>133849</v>
      </c>
      <c r="I1055" s="497"/>
      <c r="J1055" s="446">
        <f>ROUNDDOWN(SUMIF(P1053:P1054,O1055,J1053:J1054),0)</f>
        <v>188400</v>
      </c>
      <c r="K1055" s="497"/>
      <c r="L1055" s="446">
        <f>ROUNDDOWN(SUMIF(P1053:P1054,O1055,L1053:L1054),0)</f>
        <v>0</v>
      </c>
      <c r="M1055" s="497"/>
      <c r="O1055" s="468" t="s">
        <v>2354</v>
      </c>
    </row>
    <row r="1056" spans="1:26" ht="33.200000000000003" customHeight="1">
      <c r="A1056" s="484" t="s">
        <v>2904</v>
      </c>
      <c r="B1056" s="484"/>
      <c r="C1056" s="485"/>
      <c r="D1056" s="485"/>
      <c r="E1056" s="485"/>
      <c r="F1056" s="485"/>
      <c r="G1056" s="485"/>
      <c r="H1056" s="485"/>
      <c r="I1056" s="485"/>
      <c r="J1056" s="485"/>
      <c r="K1056" s="485"/>
      <c r="L1056" s="485"/>
      <c r="M1056" s="485"/>
      <c r="N1056" s="486" t="str">
        <f>HYPERLINK("#N"&amp;ROW(N1058),"_x0005_`BDCOD|B02186_x0007_`POSS|"&amp;ROW(N1058)&amp;"_x0007_`POSE|"&amp;ROW(N1058)&amp;"_x0007_`")</f>
        <v>_x0005_`BDCOD|B02186_x0007_`POSS|1058_x0007_`POSE|1058_x0007_`</v>
      </c>
    </row>
    <row r="1057" spans="1:26" ht="33.200000000000003" customHeight="1">
      <c r="A1057" s="469" t="s">
        <v>1268</v>
      </c>
      <c r="B1057" s="469" t="s">
        <v>1273</v>
      </c>
      <c r="C1057" s="487"/>
      <c r="D1057" s="488" t="s">
        <v>595</v>
      </c>
      <c r="E1057" s="487"/>
      <c r="F1057" s="487"/>
      <c r="G1057" s="487"/>
      <c r="H1057" s="487"/>
      <c r="I1057" s="487"/>
      <c r="J1057" s="487"/>
      <c r="K1057" s="487"/>
      <c r="L1057" s="487"/>
      <c r="M1057" s="488" t="s">
        <v>1274</v>
      </c>
      <c r="O1057" s="468" t="s">
        <v>1274</v>
      </c>
    </row>
    <row r="1058" spans="1:26" ht="33.200000000000003" customHeight="1">
      <c r="A1058" s="452" t="s">
        <v>2360</v>
      </c>
      <c r="B1058" s="452"/>
      <c r="C1058" s="489">
        <v>1.7000000000000001E-2</v>
      </c>
      <c r="D1058" s="480" t="s">
        <v>585</v>
      </c>
      <c r="E1058" s="490">
        <f>I1058+G1058+K1058</f>
        <v>172068</v>
      </c>
      <c r="F1058" s="493">
        <f>J1058+H1058+L1058</f>
        <v>2925.1</v>
      </c>
      <c r="G1058" s="494">
        <f>노무비목록표!E10</f>
        <v>172068</v>
      </c>
      <c r="H1058" s="495">
        <f>IF(C1058=0,0,ROUNDDOWN(G1058*C1058,1))</f>
        <v>2925.1</v>
      </c>
      <c r="I1058" s="492">
        <v>0</v>
      </c>
      <c r="J1058" s="491">
        <f>IF(C1058=0,0,ROUNDDOWN(I1058*C1058,1))</f>
        <v>0</v>
      </c>
      <c r="K1058" s="492">
        <v>0</v>
      </c>
      <c r="L1058" s="493">
        <f>IF(C1058=0,0,ROUNDDOWN(K1058*C1058,1))</f>
        <v>0</v>
      </c>
      <c r="M1058" s="463" t="s">
        <v>2361</v>
      </c>
      <c r="N1058" s="451" t="s">
        <v>2362</v>
      </c>
      <c r="O1058" s="468" t="s">
        <v>2363</v>
      </c>
      <c r="P1058" s="468" t="s">
        <v>2354</v>
      </c>
      <c r="Z1058" s="433" t="str">
        <f ca="1">HYPERLINK("#"&amp;노무비목록표!G2&amp;"!A"&amp;ROW(노무비목록표!A10),"L00017 →")</f>
        <v>L00017 →</v>
      </c>
    </row>
    <row r="1059" spans="1:26" ht="33.200000000000003" customHeight="1">
      <c r="A1059" s="463" t="s">
        <v>842</v>
      </c>
      <c r="B1059" s="497"/>
      <c r="C1059" s="497"/>
      <c r="D1059" s="497"/>
      <c r="E1059" s="497"/>
      <c r="F1059" s="446">
        <f>J1059+H1059+L1059</f>
        <v>2925</v>
      </c>
      <c r="G1059" s="497"/>
      <c r="H1059" s="446">
        <f>ROUNDDOWN(SUMIF(P1058:P1058,O1059,H1058:H1058),0)</f>
        <v>2925</v>
      </c>
      <c r="I1059" s="497"/>
      <c r="J1059" s="446">
        <f>ROUNDDOWN(SUMIF(P1058:P1058,O1059,J1058:J1058),0)</f>
        <v>0</v>
      </c>
      <c r="K1059" s="497"/>
      <c r="L1059" s="446">
        <f>ROUNDDOWN(SUMIF(P1058:P1058,O1059,L1058:L1058),0)</f>
        <v>0</v>
      </c>
      <c r="M1059" s="497"/>
      <c r="O1059" s="468" t="s">
        <v>2354</v>
      </c>
    </row>
    <row r="1060" spans="1:26" ht="33.200000000000003" customHeight="1">
      <c r="A1060" s="484" t="s">
        <v>2905</v>
      </c>
      <c r="B1060" s="484"/>
      <c r="C1060" s="485"/>
      <c r="D1060" s="485"/>
      <c r="E1060" s="485"/>
      <c r="F1060" s="485"/>
      <c r="G1060" s="485"/>
      <c r="H1060" s="485"/>
      <c r="I1060" s="485"/>
      <c r="J1060" s="485"/>
      <c r="K1060" s="485"/>
      <c r="L1060" s="485"/>
      <c r="M1060" s="485"/>
      <c r="N1060" s="486" t="str">
        <f>HYPERLINK("#N"&amp;ROW(N1062),"_x0005_`BDCOD|B02124_x0007_`POSS|"&amp;ROW(N1062)&amp;"_x0007_`POSE|"&amp;ROW(N1062)&amp;"_x0007_`")</f>
        <v>_x0005_`BDCOD|B02124_x0007_`POSS|1062_x0007_`POSE|1062_x0007_`</v>
      </c>
    </row>
    <row r="1061" spans="1:26" ht="33.200000000000003" customHeight="1">
      <c r="A1061" s="469" t="s">
        <v>1268</v>
      </c>
      <c r="B1061" s="469" t="s">
        <v>1269</v>
      </c>
      <c r="C1061" s="487"/>
      <c r="D1061" s="488" t="s">
        <v>595</v>
      </c>
      <c r="E1061" s="487"/>
      <c r="F1061" s="487"/>
      <c r="G1061" s="487"/>
      <c r="H1061" s="487"/>
      <c r="I1061" s="487"/>
      <c r="J1061" s="487"/>
      <c r="K1061" s="487"/>
      <c r="L1061" s="487"/>
      <c r="M1061" s="488" t="s">
        <v>1270</v>
      </c>
      <c r="O1061" s="468" t="s">
        <v>1270</v>
      </c>
    </row>
    <row r="1062" spans="1:26" ht="33.200000000000003" customHeight="1">
      <c r="A1062" s="452" t="s">
        <v>2360</v>
      </c>
      <c r="B1062" s="452"/>
      <c r="C1062" s="489">
        <v>1.9E-2</v>
      </c>
      <c r="D1062" s="480" t="s">
        <v>585</v>
      </c>
      <c r="E1062" s="490">
        <f>I1062+G1062+K1062</f>
        <v>172068</v>
      </c>
      <c r="F1062" s="493">
        <f>J1062+H1062+L1062</f>
        <v>3269.2</v>
      </c>
      <c r="G1062" s="494">
        <f>노무비목록표!E10</f>
        <v>172068</v>
      </c>
      <c r="H1062" s="495">
        <f>IF(C1062=0,0,ROUNDDOWN(G1062*C1062,1))</f>
        <v>3269.2</v>
      </c>
      <c r="I1062" s="492">
        <v>0</v>
      </c>
      <c r="J1062" s="491">
        <f>IF(C1062=0,0,ROUNDDOWN(I1062*C1062,1))</f>
        <v>0</v>
      </c>
      <c r="K1062" s="492">
        <v>0</v>
      </c>
      <c r="L1062" s="493">
        <f>IF(C1062=0,0,ROUNDDOWN(K1062*C1062,1))</f>
        <v>0</v>
      </c>
      <c r="M1062" s="463" t="s">
        <v>2361</v>
      </c>
      <c r="N1062" s="451" t="s">
        <v>2362</v>
      </c>
      <c r="O1062" s="468" t="s">
        <v>2363</v>
      </c>
      <c r="P1062" s="468" t="s">
        <v>2354</v>
      </c>
      <c r="Z1062" s="433" t="str">
        <f ca="1">HYPERLINK("#"&amp;노무비목록표!G2&amp;"!A"&amp;ROW(노무비목록표!A10),"L00017 →")</f>
        <v>L00017 →</v>
      </c>
    </row>
    <row r="1063" spans="1:26" ht="33.200000000000003" customHeight="1">
      <c r="A1063" s="463" t="s">
        <v>842</v>
      </c>
      <c r="B1063" s="497"/>
      <c r="C1063" s="497"/>
      <c r="D1063" s="497"/>
      <c r="E1063" s="497"/>
      <c r="F1063" s="446">
        <f>J1063+H1063+L1063</f>
        <v>3269</v>
      </c>
      <c r="G1063" s="497"/>
      <c r="H1063" s="446">
        <f>ROUNDDOWN(SUMIF(P1062:P1062,O1063,H1062:H1062),0)</f>
        <v>3269</v>
      </c>
      <c r="I1063" s="497"/>
      <c r="J1063" s="446">
        <f>ROUNDDOWN(SUMIF(P1062:P1062,O1063,J1062:J1062),0)</f>
        <v>0</v>
      </c>
      <c r="K1063" s="497"/>
      <c r="L1063" s="446">
        <f>ROUNDDOWN(SUMIF(P1062:P1062,O1063,L1062:L1062),0)</f>
        <v>0</v>
      </c>
      <c r="M1063" s="497"/>
      <c r="O1063" s="468" t="s">
        <v>2354</v>
      </c>
    </row>
    <row r="1064" spans="1:26" ht="33.200000000000003" customHeight="1">
      <c r="A1064" s="484" t="s">
        <v>2906</v>
      </c>
      <c r="B1064" s="484"/>
      <c r="C1064" s="485"/>
      <c r="D1064" s="485"/>
      <c r="E1064" s="485"/>
      <c r="F1064" s="485"/>
      <c r="G1064" s="485"/>
      <c r="H1064" s="485"/>
      <c r="I1064" s="485"/>
      <c r="J1064" s="485"/>
      <c r="K1064" s="485"/>
      <c r="L1064" s="485"/>
      <c r="M1064" s="485"/>
      <c r="N1064" s="486" t="str">
        <f>HYPERLINK("#N"&amp;ROW(N1070),"_x0005_`BDCOD|B02694_x0007_`POSS|"&amp;ROW(N1066)&amp;"_x0007_`POSE|"&amp;ROW(N1070)&amp;"_x0007_`")</f>
        <v>_x0005_`BDCOD|B02694_x0007_`POSS|1066_x0007_`POSE|1070_x0007_`</v>
      </c>
    </row>
    <row r="1065" spans="1:26" ht="33.200000000000003" customHeight="1">
      <c r="A1065" s="469" t="s">
        <v>2006</v>
      </c>
      <c r="B1065" s="469" t="s">
        <v>2011</v>
      </c>
      <c r="C1065" s="487"/>
      <c r="D1065" s="488" t="s">
        <v>1799</v>
      </c>
      <c r="E1065" s="487"/>
      <c r="F1065" s="487"/>
      <c r="G1065" s="487"/>
      <c r="H1065" s="487"/>
      <c r="I1065" s="487"/>
      <c r="J1065" s="487"/>
      <c r="K1065" s="487"/>
      <c r="L1065" s="487"/>
      <c r="M1065" s="488" t="s">
        <v>2012</v>
      </c>
      <c r="O1065" s="468" t="s">
        <v>2012</v>
      </c>
    </row>
    <row r="1066" spans="1:26" ht="33.200000000000003" customHeight="1">
      <c r="A1066" s="452" t="s">
        <v>2829</v>
      </c>
      <c r="B1066" s="452"/>
      <c r="C1066" s="489">
        <v>1.6E-2</v>
      </c>
      <c r="D1066" s="480" t="s">
        <v>585</v>
      </c>
      <c r="E1066" s="490">
        <f t="shared" ref="E1066:F1070" si="171">I1066+G1066+K1066</f>
        <v>253243</v>
      </c>
      <c r="F1066" s="493">
        <f t="shared" si="171"/>
        <v>4051.8</v>
      </c>
      <c r="G1066" s="494">
        <f>노무비목록표!E9</f>
        <v>253243</v>
      </c>
      <c r="H1066" s="495">
        <f>IF(C1066=0,0,ROUNDDOWN(G1066*C1066,1))</f>
        <v>4051.8</v>
      </c>
      <c r="I1066" s="492">
        <v>0</v>
      </c>
      <c r="J1066" s="491">
        <f>IF(C1066=0,0,ROUNDDOWN(I1066*C1066,1))</f>
        <v>0</v>
      </c>
      <c r="K1066" s="492">
        <v>0</v>
      </c>
      <c r="L1066" s="493">
        <f>IF(C1066=0,0,ROUNDDOWN(K1066*C1066,1))</f>
        <v>0</v>
      </c>
      <c r="M1066" s="463" t="s">
        <v>2830</v>
      </c>
      <c r="N1066" s="451" t="s">
        <v>2831</v>
      </c>
      <c r="O1066" s="468" t="s">
        <v>2832</v>
      </c>
      <c r="P1066" s="468" t="s">
        <v>2354</v>
      </c>
      <c r="Z1066" s="433" t="str">
        <f ca="1">HYPERLINK("#"&amp;노무비목록표!G2&amp;"!A"&amp;ROW(노무비목록표!A9),"L00188 →")</f>
        <v>L00188 →</v>
      </c>
    </row>
    <row r="1067" spans="1:26" ht="33.200000000000003" customHeight="1">
      <c r="A1067" s="452" t="s">
        <v>2360</v>
      </c>
      <c r="B1067" s="452"/>
      <c r="C1067" s="489">
        <v>6.4000000000000001E-2</v>
      </c>
      <c r="D1067" s="480" t="s">
        <v>585</v>
      </c>
      <c r="E1067" s="490">
        <f t="shared" si="171"/>
        <v>172068</v>
      </c>
      <c r="F1067" s="493">
        <f t="shared" si="171"/>
        <v>11012.3</v>
      </c>
      <c r="G1067" s="494">
        <f>노무비목록표!E10</f>
        <v>172068</v>
      </c>
      <c r="H1067" s="495">
        <f>IF(C1067=0,0,ROUNDDOWN(G1067*C1067,1))</f>
        <v>11012.3</v>
      </c>
      <c r="I1067" s="492">
        <v>0</v>
      </c>
      <c r="J1067" s="491">
        <f>IF(C1067=0,0,ROUNDDOWN(I1067*C1067,1))</f>
        <v>0</v>
      </c>
      <c r="K1067" s="492">
        <v>0</v>
      </c>
      <c r="L1067" s="493">
        <f>IF(C1067=0,0,ROUNDDOWN(K1067*C1067,1))</f>
        <v>0</v>
      </c>
      <c r="M1067" s="463" t="s">
        <v>2361</v>
      </c>
      <c r="N1067" s="451" t="s">
        <v>2362</v>
      </c>
      <c r="O1067" s="468" t="s">
        <v>2363</v>
      </c>
      <c r="P1067" s="468" t="s">
        <v>2354</v>
      </c>
      <c r="Z1067" s="433" t="str">
        <f ca="1">HYPERLINK("#"&amp;노무비목록표!G2&amp;"!A"&amp;ROW(노무비목록표!A10),"L00017 →")</f>
        <v>L00017 →</v>
      </c>
    </row>
    <row r="1068" spans="1:26" ht="33.200000000000003" customHeight="1">
      <c r="A1068" s="452" t="s">
        <v>2833</v>
      </c>
      <c r="B1068" s="452"/>
      <c r="C1068" s="489">
        <v>0.13500000000000001</v>
      </c>
      <c r="D1068" s="480" t="s">
        <v>2834</v>
      </c>
      <c r="E1068" s="490">
        <f t="shared" si="171"/>
        <v>607</v>
      </c>
      <c r="F1068" s="491">
        <f t="shared" si="171"/>
        <v>81.900000000000006</v>
      </c>
      <c r="G1068" s="492">
        <v>0</v>
      </c>
      <c r="H1068" s="491">
        <f>IF(C1068=0,0,ROUNDDOWN(G1068*C1068,1))</f>
        <v>0</v>
      </c>
      <c r="I1068" s="492">
        <v>0</v>
      </c>
      <c r="J1068" s="493">
        <f>IF(C1068=0,0,ROUNDDOWN(I1068*C1068,1))</f>
        <v>0</v>
      </c>
      <c r="K1068" s="494">
        <f>경비목록표!E13</f>
        <v>607</v>
      </c>
      <c r="L1068" s="498">
        <f>IF(C1068=0,0,ROUNDDOWN(K1068*C1068,1))</f>
        <v>81.900000000000006</v>
      </c>
      <c r="M1068" s="463" t="s">
        <v>2835</v>
      </c>
      <c r="N1068" s="451" t="s">
        <v>2836</v>
      </c>
      <c r="O1068" s="468" t="s">
        <v>2837</v>
      </c>
      <c r="P1068" s="468" t="s">
        <v>2354</v>
      </c>
      <c r="Z1068" s="433" t="str">
        <f ca="1">HYPERLINK("#"&amp;경비목록표!G2&amp;"!A"&amp;ROW(경비목록표!A13),"S00297 →")</f>
        <v>S00297 →</v>
      </c>
    </row>
    <row r="1069" spans="1:26" ht="33.200000000000003" customHeight="1">
      <c r="A1069" s="452" t="s">
        <v>2838</v>
      </c>
      <c r="B1069" s="452" t="s">
        <v>2839</v>
      </c>
      <c r="C1069" s="489">
        <v>9.4E-2</v>
      </c>
      <c r="D1069" s="480" t="s">
        <v>2840</v>
      </c>
      <c r="E1069" s="490">
        <f t="shared" si="171"/>
        <v>1472</v>
      </c>
      <c r="F1069" s="491">
        <f t="shared" si="171"/>
        <v>138.30000000000001</v>
      </c>
      <c r="G1069" s="492">
        <v>0</v>
      </c>
      <c r="H1069" s="493">
        <f>IF(C1069=0,0,ROUNDDOWN(G1069*C1069,1))</f>
        <v>0</v>
      </c>
      <c r="I1069" s="494">
        <f>재료비목록표!E110</f>
        <v>1472</v>
      </c>
      <c r="J1069" s="495">
        <f>IF(C1069=0,0,ROUNDDOWN(I1069*C1069,1))</f>
        <v>138.30000000000001</v>
      </c>
      <c r="K1069" s="492">
        <v>0</v>
      </c>
      <c r="L1069" s="493">
        <f>IF(C1069=0,0,ROUNDDOWN(K1069*C1069,1))</f>
        <v>0</v>
      </c>
      <c r="M1069" s="463" t="s">
        <v>2841</v>
      </c>
      <c r="N1069" s="451" t="s">
        <v>2842</v>
      </c>
      <c r="O1069" s="468" t="s">
        <v>2843</v>
      </c>
      <c r="P1069" s="468" t="s">
        <v>2354</v>
      </c>
      <c r="Z1069" s="433" t="str">
        <f ca="1">HYPERLINK("#"&amp;재료비목록표!G2&amp;"!A"&amp;ROW(재료비목록표!A110),"M00927 →")</f>
        <v>M00927 →</v>
      </c>
    </row>
    <row r="1070" spans="1:26" ht="33.200000000000003" customHeight="1">
      <c r="A1070" s="452" t="s">
        <v>2844</v>
      </c>
      <c r="B1070" s="452" t="s">
        <v>2845</v>
      </c>
      <c r="C1070" s="489">
        <v>3.9E-2</v>
      </c>
      <c r="D1070" s="480" t="s">
        <v>2840</v>
      </c>
      <c r="E1070" s="490">
        <f t="shared" si="171"/>
        <v>5141</v>
      </c>
      <c r="F1070" s="491">
        <f t="shared" si="171"/>
        <v>200.4</v>
      </c>
      <c r="G1070" s="492">
        <v>0</v>
      </c>
      <c r="H1070" s="493">
        <f>IF(C1070=0,0,ROUNDDOWN(G1070*C1070,1))</f>
        <v>0</v>
      </c>
      <c r="I1070" s="494">
        <f>재료비목록표!E67</f>
        <v>5141</v>
      </c>
      <c r="J1070" s="495">
        <f>IF(C1070=0,0,ROUNDDOWN(I1070*C1070,1))</f>
        <v>200.4</v>
      </c>
      <c r="K1070" s="492">
        <v>0</v>
      </c>
      <c r="L1070" s="493">
        <f>IF(C1070=0,0,ROUNDDOWN(K1070*C1070,1))</f>
        <v>0</v>
      </c>
      <c r="M1070" s="463" t="s">
        <v>2846</v>
      </c>
      <c r="N1070" s="451" t="s">
        <v>2847</v>
      </c>
      <c r="O1070" s="468" t="s">
        <v>2848</v>
      </c>
      <c r="P1070" s="468" t="s">
        <v>2354</v>
      </c>
      <c r="Z1070" s="433" t="str">
        <f ca="1">HYPERLINK("#"&amp;재료비목록표!G2&amp;"!A"&amp;ROW(재료비목록표!A67),"M08793 →")</f>
        <v>M08793 →</v>
      </c>
    </row>
    <row r="1071" spans="1:26" ht="33.200000000000003" customHeight="1">
      <c r="A1071" s="463" t="s">
        <v>842</v>
      </c>
      <c r="B1071" s="497"/>
      <c r="C1071" s="497"/>
      <c r="D1071" s="497"/>
      <c r="E1071" s="497"/>
      <c r="F1071" s="446">
        <f>J1071+H1071+L1071</f>
        <v>15483</v>
      </c>
      <c r="G1071" s="497"/>
      <c r="H1071" s="446">
        <f>ROUNDDOWN(SUMIF(P1066:P1070,O1071,H1066:H1070),0)</f>
        <v>15064</v>
      </c>
      <c r="I1071" s="497"/>
      <c r="J1071" s="446">
        <f>ROUNDDOWN(SUMIF(P1066:P1070,O1071,J1066:J1070),0)</f>
        <v>338</v>
      </c>
      <c r="K1071" s="497"/>
      <c r="L1071" s="446">
        <f>ROUNDDOWN(SUMIF(P1066:P1070,O1071,L1066:L1070),0)</f>
        <v>81</v>
      </c>
      <c r="M1071" s="497"/>
      <c r="O1071" s="468" t="s">
        <v>2354</v>
      </c>
    </row>
    <row r="1072" spans="1:26" ht="33.200000000000003" customHeight="1">
      <c r="A1072" s="484" t="s">
        <v>2907</v>
      </c>
      <c r="B1072" s="484"/>
      <c r="C1072" s="485"/>
      <c r="D1072" s="485"/>
      <c r="E1072" s="485"/>
      <c r="F1072" s="485"/>
      <c r="G1072" s="485"/>
      <c r="H1072" s="485"/>
      <c r="I1072" s="485"/>
      <c r="J1072" s="485"/>
      <c r="K1072" s="485"/>
      <c r="L1072" s="485"/>
      <c r="M1072" s="485"/>
      <c r="N1072" s="486" t="str">
        <f>HYPERLINK("#N"&amp;ROW(N1078),"_x0005_`BDCOD|B02695_x0007_`POSS|"&amp;ROW(N1074)&amp;"_x0007_`POSE|"&amp;ROW(N1078)&amp;"_x0007_`")</f>
        <v>_x0005_`BDCOD|B02695_x0007_`POSS|1074_x0007_`POSE|1078_x0007_`</v>
      </c>
    </row>
    <row r="1073" spans="1:26" ht="33.200000000000003" customHeight="1">
      <c r="A1073" s="469" t="s">
        <v>2006</v>
      </c>
      <c r="B1073" s="469" t="s">
        <v>2015</v>
      </c>
      <c r="C1073" s="487"/>
      <c r="D1073" s="488" t="s">
        <v>1799</v>
      </c>
      <c r="E1073" s="487"/>
      <c r="F1073" s="487"/>
      <c r="G1073" s="487"/>
      <c r="H1073" s="487"/>
      <c r="I1073" s="487"/>
      <c r="J1073" s="487"/>
      <c r="K1073" s="487"/>
      <c r="L1073" s="487"/>
      <c r="M1073" s="488" t="s">
        <v>2016</v>
      </c>
      <c r="O1073" s="468" t="s">
        <v>2016</v>
      </c>
    </row>
    <row r="1074" spans="1:26" ht="33.200000000000003" customHeight="1">
      <c r="A1074" s="452" t="s">
        <v>2829</v>
      </c>
      <c r="B1074" s="452"/>
      <c r="C1074" s="489">
        <v>2.3E-2</v>
      </c>
      <c r="D1074" s="480" t="s">
        <v>585</v>
      </c>
      <c r="E1074" s="490">
        <f t="shared" ref="E1074:F1078" si="172">I1074+G1074+K1074</f>
        <v>253243</v>
      </c>
      <c r="F1074" s="493">
        <f t="shared" si="172"/>
        <v>5824.5</v>
      </c>
      <c r="G1074" s="494">
        <f>노무비목록표!E9</f>
        <v>253243</v>
      </c>
      <c r="H1074" s="495">
        <f>IF(C1074=0,0,ROUNDDOWN(G1074*C1074,1))</f>
        <v>5824.5</v>
      </c>
      <c r="I1074" s="492">
        <v>0</v>
      </c>
      <c r="J1074" s="491">
        <f>IF(C1074=0,0,ROUNDDOWN(I1074*C1074,1))</f>
        <v>0</v>
      </c>
      <c r="K1074" s="492">
        <v>0</v>
      </c>
      <c r="L1074" s="493">
        <f>IF(C1074=0,0,ROUNDDOWN(K1074*C1074,1))</f>
        <v>0</v>
      </c>
      <c r="M1074" s="463" t="s">
        <v>2830</v>
      </c>
      <c r="N1074" s="451" t="s">
        <v>2831</v>
      </c>
      <c r="O1074" s="468" t="s">
        <v>2832</v>
      </c>
      <c r="P1074" s="468" t="s">
        <v>2354</v>
      </c>
      <c r="Z1074" s="433" t="str">
        <f ca="1">HYPERLINK("#"&amp;노무비목록표!G2&amp;"!A"&amp;ROW(노무비목록표!A9),"L00188 →")</f>
        <v>L00188 →</v>
      </c>
    </row>
    <row r="1075" spans="1:26" ht="33.200000000000003" customHeight="1">
      <c r="A1075" s="452" t="s">
        <v>2360</v>
      </c>
      <c r="B1075" s="452"/>
      <c r="C1075" s="489">
        <v>9.1999999999999998E-2</v>
      </c>
      <c r="D1075" s="480" t="s">
        <v>585</v>
      </c>
      <c r="E1075" s="490">
        <f t="shared" si="172"/>
        <v>172068</v>
      </c>
      <c r="F1075" s="493">
        <f t="shared" si="172"/>
        <v>15830.2</v>
      </c>
      <c r="G1075" s="494">
        <f>노무비목록표!E10</f>
        <v>172068</v>
      </c>
      <c r="H1075" s="495">
        <f>IF(C1075=0,0,ROUNDDOWN(G1075*C1075,1))</f>
        <v>15830.2</v>
      </c>
      <c r="I1075" s="492">
        <v>0</v>
      </c>
      <c r="J1075" s="491">
        <f>IF(C1075=0,0,ROUNDDOWN(I1075*C1075,1))</f>
        <v>0</v>
      </c>
      <c r="K1075" s="492">
        <v>0</v>
      </c>
      <c r="L1075" s="493">
        <f>IF(C1075=0,0,ROUNDDOWN(K1075*C1075,1))</f>
        <v>0</v>
      </c>
      <c r="M1075" s="463" t="s">
        <v>2361</v>
      </c>
      <c r="N1075" s="451" t="s">
        <v>2362</v>
      </c>
      <c r="O1075" s="468" t="s">
        <v>2363</v>
      </c>
      <c r="P1075" s="468" t="s">
        <v>2354</v>
      </c>
      <c r="Z1075" s="433" t="str">
        <f ca="1">HYPERLINK("#"&amp;노무비목록표!G2&amp;"!A"&amp;ROW(노무비목록표!A10),"L00017 →")</f>
        <v>L00017 →</v>
      </c>
    </row>
    <row r="1076" spans="1:26" ht="33.200000000000003" customHeight="1">
      <c r="A1076" s="452" t="s">
        <v>2833</v>
      </c>
      <c r="B1076" s="452"/>
      <c r="C1076" s="489">
        <v>0.185</v>
      </c>
      <c r="D1076" s="480" t="s">
        <v>2834</v>
      </c>
      <c r="E1076" s="490">
        <f t="shared" si="172"/>
        <v>607</v>
      </c>
      <c r="F1076" s="491">
        <f t="shared" si="172"/>
        <v>112.2</v>
      </c>
      <c r="G1076" s="492">
        <v>0</v>
      </c>
      <c r="H1076" s="491">
        <f>IF(C1076=0,0,ROUNDDOWN(G1076*C1076,1))</f>
        <v>0</v>
      </c>
      <c r="I1076" s="492">
        <v>0</v>
      </c>
      <c r="J1076" s="493">
        <f>IF(C1076=0,0,ROUNDDOWN(I1076*C1076,1))</f>
        <v>0</v>
      </c>
      <c r="K1076" s="494">
        <f>경비목록표!E13</f>
        <v>607</v>
      </c>
      <c r="L1076" s="498">
        <f>IF(C1076=0,0,ROUNDDOWN(K1076*C1076,1))</f>
        <v>112.2</v>
      </c>
      <c r="M1076" s="463" t="s">
        <v>2835</v>
      </c>
      <c r="N1076" s="451" t="s">
        <v>2836</v>
      </c>
      <c r="O1076" s="468" t="s">
        <v>2837</v>
      </c>
      <c r="P1076" s="468" t="s">
        <v>2354</v>
      </c>
      <c r="Z1076" s="433" t="str">
        <f ca="1">HYPERLINK("#"&amp;경비목록표!G2&amp;"!A"&amp;ROW(경비목록표!A13),"S00297 →")</f>
        <v>S00297 →</v>
      </c>
    </row>
    <row r="1077" spans="1:26" ht="33.200000000000003" customHeight="1">
      <c r="A1077" s="452" t="s">
        <v>2838</v>
      </c>
      <c r="B1077" s="452" t="s">
        <v>2839</v>
      </c>
      <c r="C1077" s="489">
        <v>0.129</v>
      </c>
      <c r="D1077" s="480" t="s">
        <v>2840</v>
      </c>
      <c r="E1077" s="490">
        <f t="shared" si="172"/>
        <v>1472</v>
      </c>
      <c r="F1077" s="491">
        <f t="shared" si="172"/>
        <v>189.8</v>
      </c>
      <c r="G1077" s="492">
        <v>0</v>
      </c>
      <c r="H1077" s="493">
        <f>IF(C1077=0,0,ROUNDDOWN(G1077*C1077,1))</f>
        <v>0</v>
      </c>
      <c r="I1077" s="494">
        <f>재료비목록표!E110</f>
        <v>1472</v>
      </c>
      <c r="J1077" s="495">
        <f>IF(C1077=0,0,ROUNDDOWN(I1077*C1077,1))</f>
        <v>189.8</v>
      </c>
      <c r="K1077" s="492">
        <v>0</v>
      </c>
      <c r="L1077" s="493">
        <f>IF(C1077=0,0,ROUNDDOWN(K1077*C1077,1))</f>
        <v>0</v>
      </c>
      <c r="M1077" s="463" t="s">
        <v>2841</v>
      </c>
      <c r="N1077" s="451" t="s">
        <v>2842</v>
      </c>
      <c r="O1077" s="468" t="s">
        <v>2843</v>
      </c>
      <c r="P1077" s="468" t="s">
        <v>2354</v>
      </c>
      <c r="Z1077" s="433" t="str">
        <f ca="1">HYPERLINK("#"&amp;재료비목록표!G2&amp;"!A"&amp;ROW(재료비목록표!A110),"M00927 →")</f>
        <v>M00927 →</v>
      </c>
    </row>
    <row r="1078" spans="1:26" ht="33.200000000000003" customHeight="1">
      <c r="A1078" s="452" t="s">
        <v>2844</v>
      </c>
      <c r="B1078" s="452" t="s">
        <v>2845</v>
      </c>
      <c r="C1078" s="489">
        <v>5.2999999999999999E-2</v>
      </c>
      <c r="D1078" s="480" t="s">
        <v>2840</v>
      </c>
      <c r="E1078" s="490">
        <f t="shared" si="172"/>
        <v>5141</v>
      </c>
      <c r="F1078" s="491">
        <f t="shared" si="172"/>
        <v>272.39999999999998</v>
      </c>
      <c r="G1078" s="492">
        <v>0</v>
      </c>
      <c r="H1078" s="493">
        <f>IF(C1078=0,0,ROUNDDOWN(G1078*C1078,1))</f>
        <v>0</v>
      </c>
      <c r="I1078" s="494">
        <f>재료비목록표!E67</f>
        <v>5141</v>
      </c>
      <c r="J1078" s="495">
        <f>IF(C1078=0,0,ROUNDDOWN(I1078*C1078,1))</f>
        <v>272.39999999999998</v>
      </c>
      <c r="K1078" s="492">
        <v>0</v>
      </c>
      <c r="L1078" s="493">
        <f>IF(C1078=0,0,ROUNDDOWN(K1078*C1078,1))</f>
        <v>0</v>
      </c>
      <c r="M1078" s="463" t="s">
        <v>2846</v>
      </c>
      <c r="N1078" s="451" t="s">
        <v>2847</v>
      </c>
      <c r="O1078" s="468" t="s">
        <v>2848</v>
      </c>
      <c r="P1078" s="468" t="s">
        <v>2354</v>
      </c>
      <c r="Z1078" s="433" t="str">
        <f ca="1">HYPERLINK("#"&amp;재료비목록표!G2&amp;"!A"&amp;ROW(재료비목록표!A67),"M08793 →")</f>
        <v>M08793 →</v>
      </c>
    </row>
    <row r="1079" spans="1:26" ht="33.200000000000003" customHeight="1">
      <c r="A1079" s="463" t="s">
        <v>842</v>
      </c>
      <c r="B1079" s="497"/>
      <c r="C1079" s="497"/>
      <c r="D1079" s="497"/>
      <c r="E1079" s="497"/>
      <c r="F1079" s="446">
        <f>J1079+H1079+L1079</f>
        <v>22228</v>
      </c>
      <c r="G1079" s="497"/>
      <c r="H1079" s="446">
        <f>ROUNDDOWN(SUMIF(P1074:P1078,O1079,H1074:H1078),0)</f>
        <v>21654</v>
      </c>
      <c r="I1079" s="497"/>
      <c r="J1079" s="446">
        <f>ROUNDDOWN(SUMIF(P1074:P1078,O1079,J1074:J1078),0)</f>
        <v>462</v>
      </c>
      <c r="K1079" s="497"/>
      <c r="L1079" s="446">
        <f>ROUNDDOWN(SUMIF(P1074:P1078,O1079,L1074:L1078),0)</f>
        <v>112</v>
      </c>
      <c r="M1079" s="497"/>
      <c r="O1079" s="468" t="s">
        <v>2354</v>
      </c>
    </row>
    <row r="1080" spans="1:26" ht="33.200000000000003" customHeight="1">
      <c r="A1080" s="484" t="s">
        <v>2908</v>
      </c>
      <c r="B1080" s="484"/>
      <c r="C1080" s="485"/>
      <c r="D1080" s="485"/>
      <c r="E1080" s="485"/>
      <c r="F1080" s="485"/>
      <c r="G1080" s="485"/>
      <c r="H1080" s="485"/>
      <c r="I1080" s="485"/>
      <c r="J1080" s="485"/>
      <c r="K1080" s="485"/>
      <c r="L1080" s="485"/>
      <c r="M1080" s="485"/>
      <c r="N1080" s="486" t="str">
        <f>HYPERLINK("#N"&amp;ROW(N1086),"_x0005_`BDCOD|B02696_x0007_`POSS|"&amp;ROW(N1082)&amp;"_x0007_`POSE|"&amp;ROW(N1086)&amp;"_x0007_`")</f>
        <v>_x0005_`BDCOD|B02696_x0007_`POSS|1082_x0007_`POSE|1086_x0007_`</v>
      </c>
    </row>
    <row r="1081" spans="1:26" ht="33.200000000000003" customHeight="1">
      <c r="A1081" s="469" t="s">
        <v>2006</v>
      </c>
      <c r="B1081" s="469" t="s">
        <v>2019</v>
      </c>
      <c r="C1081" s="487"/>
      <c r="D1081" s="488" t="s">
        <v>1799</v>
      </c>
      <c r="E1081" s="487"/>
      <c r="F1081" s="487"/>
      <c r="G1081" s="487"/>
      <c r="H1081" s="487"/>
      <c r="I1081" s="487"/>
      <c r="J1081" s="487"/>
      <c r="K1081" s="487"/>
      <c r="L1081" s="487"/>
      <c r="M1081" s="488" t="s">
        <v>2020</v>
      </c>
      <c r="O1081" s="468" t="s">
        <v>2020</v>
      </c>
    </row>
    <row r="1082" spans="1:26" ht="33.200000000000003" customHeight="1">
      <c r="A1082" s="452" t="s">
        <v>2829</v>
      </c>
      <c r="B1082" s="452"/>
      <c r="C1082" s="489">
        <v>3.4000000000000002E-2</v>
      </c>
      <c r="D1082" s="480" t="s">
        <v>585</v>
      </c>
      <c r="E1082" s="490">
        <f t="shared" ref="E1082:F1086" si="173">I1082+G1082+K1082</f>
        <v>253243</v>
      </c>
      <c r="F1082" s="493">
        <f t="shared" si="173"/>
        <v>8610.2000000000007</v>
      </c>
      <c r="G1082" s="494">
        <f>노무비목록표!E9</f>
        <v>253243</v>
      </c>
      <c r="H1082" s="495">
        <f>IF(C1082=0,0,ROUNDDOWN(G1082*C1082,1))</f>
        <v>8610.2000000000007</v>
      </c>
      <c r="I1082" s="492">
        <v>0</v>
      </c>
      <c r="J1082" s="491">
        <f>IF(C1082=0,0,ROUNDDOWN(I1082*C1082,1))</f>
        <v>0</v>
      </c>
      <c r="K1082" s="492">
        <v>0</v>
      </c>
      <c r="L1082" s="493">
        <f>IF(C1082=0,0,ROUNDDOWN(K1082*C1082,1))</f>
        <v>0</v>
      </c>
      <c r="M1082" s="463" t="s">
        <v>2830</v>
      </c>
      <c r="N1082" s="451" t="s">
        <v>2831</v>
      </c>
      <c r="O1082" s="468" t="s">
        <v>2832</v>
      </c>
      <c r="P1082" s="468" t="s">
        <v>2354</v>
      </c>
      <c r="Z1082" s="433" t="str">
        <f ca="1">HYPERLINK("#"&amp;노무비목록표!G2&amp;"!A"&amp;ROW(노무비목록표!A9),"L00188 →")</f>
        <v>L00188 →</v>
      </c>
    </row>
    <row r="1083" spans="1:26" ht="33.200000000000003" customHeight="1">
      <c r="A1083" s="452" t="s">
        <v>2360</v>
      </c>
      <c r="B1083" s="452"/>
      <c r="C1083" s="489">
        <v>0.13600000000000001</v>
      </c>
      <c r="D1083" s="480" t="s">
        <v>585</v>
      </c>
      <c r="E1083" s="490">
        <f t="shared" si="173"/>
        <v>172068</v>
      </c>
      <c r="F1083" s="493">
        <f t="shared" si="173"/>
        <v>23401.200000000001</v>
      </c>
      <c r="G1083" s="494">
        <f>노무비목록표!E10</f>
        <v>172068</v>
      </c>
      <c r="H1083" s="495">
        <f>IF(C1083=0,0,ROUNDDOWN(G1083*C1083,1))</f>
        <v>23401.200000000001</v>
      </c>
      <c r="I1083" s="492">
        <v>0</v>
      </c>
      <c r="J1083" s="491">
        <f>IF(C1083=0,0,ROUNDDOWN(I1083*C1083,1))</f>
        <v>0</v>
      </c>
      <c r="K1083" s="492">
        <v>0</v>
      </c>
      <c r="L1083" s="493">
        <f>IF(C1083=0,0,ROUNDDOWN(K1083*C1083,1))</f>
        <v>0</v>
      </c>
      <c r="M1083" s="463" t="s">
        <v>2361</v>
      </c>
      <c r="N1083" s="451" t="s">
        <v>2362</v>
      </c>
      <c r="O1083" s="468" t="s">
        <v>2363</v>
      </c>
      <c r="P1083" s="468" t="s">
        <v>2354</v>
      </c>
      <c r="Z1083" s="433" t="str">
        <f ca="1">HYPERLINK("#"&amp;노무비목록표!G2&amp;"!A"&amp;ROW(노무비목록표!A10),"L00017 →")</f>
        <v>L00017 →</v>
      </c>
    </row>
    <row r="1084" spans="1:26" ht="33.200000000000003" customHeight="1">
      <c r="A1084" s="452" t="s">
        <v>2833</v>
      </c>
      <c r="B1084" s="452"/>
      <c r="C1084" s="489">
        <v>0.27800000000000002</v>
      </c>
      <c r="D1084" s="480" t="s">
        <v>2834</v>
      </c>
      <c r="E1084" s="490">
        <f t="shared" si="173"/>
        <v>607</v>
      </c>
      <c r="F1084" s="491">
        <f t="shared" si="173"/>
        <v>168.7</v>
      </c>
      <c r="G1084" s="492">
        <v>0</v>
      </c>
      <c r="H1084" s="491">
        <f>IF(C1084=0,0,ROUNDDOWN(G1084*C1084,1))</f>
        <v>0</v>
      </c>
      <c r="I1084" s="492">
        <v>0</v>
      </c>
      <c r="J1084" s="493">
        <f>IF(C1084=0,0,ROUNDDOWN(I1084*C1084,1))</f>
        <v>0</v>
      </c>
      <c r="K1084" s="494">
        <f>경비목록표!E13</f>
        <v>607</v>
      </c>
      <c r="L1084" s="498">
        <f>IF(C1084=0,0,ROUNDDOWN(K1084*C1084,1))</f>
        <v>168.7</v>
      </c>
      <c r="M1084" s="463" t="s">
        <v>2835</v>
      </c>
      <c r="N1084" s="451" t="s">
        <v>2836</v>
      </c>
      <c r="O1084" s="468" t="s">
        <v>2837</v>
      </c>
      <c r="P1084" s="468" t="s">
        <v>2354</v>
      </c>
      <c r="Z1084" s="433" t="str">
        <f ca="1">HYPERLINK("#"&amp;경비목록표!G2&amp;"!A"&amp;ROW(경비목록표!A13),"S00297 →")</f>
        <v>S00297 →</v>
      </c>
    </row>
    <row r="1085" spans="1:26" ht="33.200000000000003" customHeight="1">
      <c r="A1085" s="452" t="s">
        <v>2838</v>
      </c>
      <c r="B1085" s="452" t="s">
        <v>2839</v>
      </c>
      <c r="C1085" s="489">
        <v>0.19400000000000001</v>
      </c>
      <c r="D1085" s="480" t="s">
        <v>2840</v>
      </c>
      <c r="E1085" s="490">
        <f t="shared" si="173"/>
        <v>1472</v>
      </c>
      <c r="F1085" s="491">
        <f t="shared" si="173"/>
        <v>285.5</v>
      </c>
      <c r="G1085" s="492">
        <v>0</v>
      </c>
      <c r="H1085" s="493">
        <f>IF(C1085=0,0,ROUNDDOWN(G1085*C1085,1))</f>
        <v>0</v>
      </c>
      <c r="I1085" s="494">
        <f>재료비목록표!E110</f>
        <v>1472</v>
      </c>
      <c r="J1085" s="495">
        <f>IF(C1085=0,0,ROUNDDOWN(I1085*C1085,1))</f>
        <v>285.5</v>
      </c>
      <c r="K1085" s="492">
        <v>0</v>
      </c>
      <c r="L1085" s="493">
        <f>IF(C1085=0,0,ROUNDDOWN(K1085*C1085,1))</f>
        <v>0</v>
      </c>
      <c r="M1085" s="463" t="s">
        <v>2841</v>
      </c>
      <c r="N1085" s="451" t="s">
        <v>2842</v>
      </c>
      <c r="O1085" s="468" t="s">
        <v>2843</v>
      </c>
      <c r="P1085" s="468" t="s">
        <v>2354</v>
      </c>
      <c r="Z1085" s="433" t="str">
        <f ca="1">HYPERLINK("#"&amp;재료비목록표!G2&amp;"!A"&amp;ROW(재료비목록표!A110),"M00927 →")</f>
        <v>M00927 →</v>
      </c>
    </row>
    <row r="1086" spans="1:26" ht="33.200000000000003" customHeight="1">
      <c r="A1086" s="452" t="s">
        <v>2844</v>
      </c>
      <c r="B1086" s="452" t="s">
        <v>2845</v>
      </c>
      <c r="C1086" s="489">
        <v>0.08</v>
      </c>
      <c r="D1086" s="480" t="s">
        <v>2840</v>
      </c>
      <c r="E1086" s="490">
        <f t="shared" si="173"/>
        <v>5141</v>
      </c>
      <c r="F1086" s="491">
        <f t="shared" si="173"/>
        <v>411.2</v>
      </c>
      <c r="G1086" s="492">
        <v>0</v>
      </c>
      <c r="H1086" s="493">
        <f>IF(C1086=0,0,ROUNDDOWN(G1086*C1086,1))</f>
        <v>0</v>
      </c>
      <c r="I1086" s="494">
        <f>재료비목록표!E67</f>
        <v>5141</v>
      </c>
      <c r="J1086" s="495">
        <f>IF(C1086=0,0,ROUNDDOWN(I1086*C1086,1))</f>
        <v>411.2</v>
      </c>
      <c r="K1086" s="492">
        <v>0</v>
      </c>
      <c r="L1086" s="493">
        <f>IF(C1086=0,0,ROUNDDOWN(K1086*C1086,1))</f>
        <v>0</v>
      </c>
      <c r="M1086" s="463" t="s">
        <v>2846</v>
      </c>
      <c r="N1086" s="451" t="s">
        <v>2847</v>
      </c>
      <c r="O1086" s="468" t="s">
        <v>2848</v>
      </c>
      <c r="P1086" s="468" t="s">
        <v>2354</v>
      </c>
      <c r="Z1086" s="433" t="str">
        <f ca="1">HYPERLINK("#"&amp;재료비목록표!G2&amp;"!A"&amp;ROW(재료비목록표!A67),"M08793 →")</f>
        <v>M08793 →</v>
      </c>
    </row>
    <row r="1087" spans="1:26" ht="33.200000000000003" customHeight="1">
      <c r="A1087" s="463" t="s">
        <v>842</v>
      </c>
      <c r="B1087" s="497"/>
      <c r="C1087" s="497"/>
      <c r="D1087" s="497"/>
      <c r="E1087" s="497"/>
      <c r="F1087" s="446">
        <f>J1087+H1087+L1087</f>
        <v>32875</v>
      </c>
      <c r="G1087" s="497"/>
      <c r="H1087" s="446">
        <f>ROUNDDOWN(SUMIF(P1082:P1086,O1087,H1082:H1086),0)</f>
        <v>32011</v>
      </c>
      <c r="I1087" s="497"/>
      <c r="J1087" s="446">
        <f>ROUNDDOWN(SUMIF(P1082:P1086,O1087,J1082:J1086),0)</f>
        <v>696</v>
      </c>
      <c r="K1087" s="497"/>
      <c r="L1087" s="446">
        <f>ROUNDDOWN(SUMIF(P1082:P1086,O1087,L1082:L1086),0)</f>
        <v>168</v>
      </c>
      <c r="M1087" s="497"/>
      <c r="O1087" s="468" t="s">
        <v>2354</v>
      </c>
    </row>
    <row r="1088" spans="1:26" ht="33.200000000000003" customHeight="1">
      <c r="A1088" s="484" t="s">
        <v>2909</v>
      </c>
      <c r="B1088" s="484"/>
      <c r="C1088" s="485"/>
      <c r="D1088" s="485"/>
      <c r="E1088" s="485"/>
      <c r="F1088" s="485"/>
      <c r="G1088" s="485"/>
      <c r="H1088" s="485"/>
      <c r="I1088" s="485"/>
      <c r="J1088" s="485"/>
      <c r="K1088" s="485"/>
      <c r="L1088" s="485"/>
      <c r="M1088" s="485"/>
      <c r="N1088" s="486" t="str">
        <f>HYPERLINK("#N"&amp;ROW(N1094),"_x0005_`BDCOD|B02697_x0007_`POSS|"&amp;ROW(N1090)&amp;"_x0007_`POSE|"&amp;ROW(N1094)&amp;"_x0007_`")</f>
        <v>_x0005_`BDCOD|B02697_x0007_`POSS|1090_x0007_`POSE|1094_x0007_`</v>
      </c>
    </row>
    <row r="1089" spans="1:26" ht="33.200000000000003" customHeight="1">
      <c r="A1089" s="469" t="s">
        <v>2006</v>
      </c>
      <c r="B1089" s="469" t="s">
        <v>2023</v>
      </c>
      <c r="C1089" s="487"/>
      <c r="D1089" s="488" t="s">
        <v>1799</v>
      </c>
      <c r="E1089" s="487"/>
      <c r="F1089" s="487"/>
      <c r="G1089" s="487"/>
      <c r="H1089" s="487"/>
      <c r="I1089" s="487"/>
      <c r="J1089" s="487"/>
      <c r="K1089" s="487"/>
      <c r="L1089" s="487"/>
      <c r="M1089" s="488" t="s">
        <v>2024</v>
      </c>
      <c r="O1089" s="468" t="s">
        <v>2024</v>
      </c>
    </row>
    <row r="1090" spans="1:26" ht="33.200000000000003" customHeight="1">
      <c r="A1090" s="452" t="s">
        <v>2829</v>
      </c>
      <c r="B1090" s="452"/>
      <c r="C1090" s="489">
        <v>4.2999999999999997E-2</v>
      </c>
      <c r="D1090" s="480" t="s">
        <v>585</v>
      </c>
      <c r="E1090" s="490">
        <f t="shared" ref="E1090:F1094" si="174">I1090+G1090+K1090</f>
        <v>253243</v>
      </c>
      <c r="F1090" s="493">
        <f t="shared" si="174"/>
        <v>10889.4</v>
      </c>
      <c r="G1090" s="494">
        <f>노무비목록표!E9</f>
        <v>253243</v>
      </c>
      <c r="H1090" s="495">
        <f>IF(C1090=0,0,ROUNDDOWN(G1090*C1090,1))</f>
        <v>10889.4</v>
      </c>
      <c r="I1090" s="492">
        <v>0</v>
      </c>
      <c r="J1090" s="491">
        <f>IF(C1090=0,0,ROUNDDOWN(I1090*C1090,1))</f>
        <v>0</v>
      </c>
      <c r="K1090" s="492">
        <v>0</v>
      </c>
      <c r="L1090" s="493">
        <f>IF(C1090=0,0,ROUNDDOWN(K1090*C1090,1))</f>
        <v>0</v>
      </c>
      <c r="M1090" s="463" t="s">
        <v>2830</v>
      </c>
      <c r="N1090" s="451" t="s">
        <v>2831</v>
      </c>
      <c r="O1090" s="468" t="s">
        <v>2832</v>
      </c>
      <c r="P1090" s="468" t="s">
        <v>2354</v>
      </c>
      <c r="Z1090" s="433" t="str">
        <f ca="1">HYPERLINK("#"&amp;노무비목록표!G2&amp;"!A"&amp;ROW(노무비목록표!A9),"L00188 →")</f>
        <v>L00188 →</v>
      </c>
    </row>
    <row r="1091" spans="1:26" ht="33.200000000000003" customHeight="1">
      <c r="A1091" s="452" t="s">
        <v>2360</v>
      </c>
      <c r="B1091" s="452"/>
      <c r="C1091" s="489">
        <v>0.17199999999999999</v>
      </c>
      <c r="D1091" s="480" t="s">
        <v>585</v>
      </c>
      <c r="E1091" s="490">
        <f t="shared" si="174"/>
        <v>172068</v>
      </c>
      <c r="F1091" s="493">
        <f t="shared" si="174"/>
        <v>29595.599999999999</v>
      </c>
      <c r="G1091" s="494">
        <f>노무비목록표!E10</f>
        <v>172068</v>
      </c>
      <c r="H1091" s="495">
        <f>IF(C1091=0,0,ROUNDDOWN(G1091*C1091,1))</f>
        <v>29595.599999999999</v>
      </c>
      <c r="I1091" s="492">
        <v>0</v>
      </c>
      <c r="J1091" s="491">
        <f>IF(C1091=0,0,ROUNDDOWN(I1091*C1091,1))</f>
        <v>0</v>
      </c>
      <c r="K1091" s="492">
        <v>0</v>
      </c>
      <c r="L1091" s="493">
        <f>IF(C1091=0,0,ROUNDDOWN(K1091*C1091,1))</f>
        <v>0</v>
      </c>
      <c r="M1091" s="463" t="s">
        <v>2361</v>
      </c>
      <c r="N1091" s="451" t="s">
        <v>2362</v>
      </c>
      <c r="O1091" s="468" t="s">
        <v>2363</v>
      </c>
      <c r="P1091" s="468" t="s">
        <v>2354</v>
      </c>
      <c r="Z1091" s="433" t="str">
        <f ca="1">HYPERLINK("#"&amp;노무비목록표!G2&amp;"!A"&amp;ROW(노무비목록표!A10),"L00017 →")</f>
        <v>L00017 →</v>
      </c>
    </row>
    <row r="1092" spans="1:26" ht="33.200000000000003" customHeight="1">
      <c r="A1092" s="452" t="s">
        <v>2833</v>
      </c>
      <c r="B1092" s="452"/>
      <c r="C1092" s="489">
        <v>0.34699999999999998</v>
      </c>
      <c r="D1092" s="480" t="s">
        <v>2834</v>
      </c>
      <c r="E1092" s="490">
        <f t="shared" si="174"/>
        <v>607</v>
      </c>
      <c r="F1092" s="491">
        <f t="shared" si="174"/>
        <v>210.6</v>
      </c>
      <c r="G1092" s="492">
        <v>0</v>
      </c>
      <c r="H1092" s="491">
        <f>IF(C1092=0,0,ROUNDDOWN(G1092*C1092,1))</f>
        <v>0</v>
      </c>
      <c r="I1092" s="492">
        <v>0</v>
      </c>
      <c r="J1092" s="493">
        <f>IF(C1092=0,0,ROUNDDOWN(I1092*C1092,1))</f>
        <v>0</v>
      </c>
      <c r="K1092" s="494">
        <f>경비목록표!E13</f>
        <v>607</v>
      </c>
      <c r="L1092" s="498">
        <f>IF(C1092=0,0,ROUNDDOWN(K1092*C1092,1))</f>
        <v>210.6</v>
      </c>
      <c r="M1092" s="463" t="s">
        <v>2835</v>
      </c>
      <c r="N1092" s="451" t="s">
        <v>2836</v>
      </c>
      <c r="O1092" s="468" t="s">
        <v>2837</v>
      </c>
      <c r="P1092" s="468" t="s">
        <v>2354</v>
      </c>
      <c r="Z1092" s="433" t="str">
        <f ca="1">HYPERLINK("#"&amp;경비목록표!G2&amp;"!A"&amp;ROW(경비목록표!A13),"S00297 →")</f>
        <v>S00297 →</v>
      </c>
    </row>
    <row r="1093" spans="1:26" ht="33.200000000000003" customHeight="1">
      <c r="A1093" s="452" t="s">
        <v>2838</v>
      </c>
      <c r="B1093" s="452" t="s">
        <v>2839</v>
      </c>
      <c r="C1093" s="489">
        <v>0.24199999999999999</v>
      </c>
      <c r="D1093" s="480" t="s">
        <v>2840</v>
      </c>
      <c r="E1093" s="490">
        <f t="shared" si="174"/>
        <v>1472</v>
      </c>
      <c r="F1093" s="491">
        <f t="shared" si="174"/>
        <v>356.2</v>
      </c>
      <c r="G1093" s="492">
        <v>0</v>
      </c>
      <c r="H1093" s="493">
        <f>IF(C1093=0,0,ROUNDDOWN(G1093*C1093,1))</f>
        <v>0</v>
      </c>
      <c r="I1093" s="494">
        <f>재료비목록표!E110</f>
        <v>1472</v>
      </c>
      <c r="J1093" s="495">
        <f>IF(C1093=0,0,ROUNDDOWN(I1093*C1093,1))</f>
        <v>356.2</v>
      </c>
      <c r="K1093" s="492">
        <v>0</v>
      </c>
      <c r="L1093" s="493">
        <f>IF(C1093=0,0,ROUNDDOWN(K1093*C1093,1))</f>
        <v>0</v>
      </c>
      <c r="M1093" s="463" t="s">
        <v>2841</v>
      </c>
      <c r="N1093" s="451" t="s">
        <v>2842</v>
      </c>
      <c r="O1093" s="468" t="s">
        <v>2843</v>
      </c>
      <c r="P1093" s="468" t="s">
        <v>2354</v>
      </c>
      <c r="Z1093" s="433" t="str">
        <f ca="1">HYPERLINK("#"&amp;재료비목록표!G2&amp;"!A"&amp;ROW(재료비목록표!A110),"M00927 →")</f>
        <v>M00927 →</v>
      </c>
    </row>
    <row r="1094" spans="1:26" ht="33.200000000000003" customHeight="1">
      <c r="A1094" s="452" t="s">
        <v>2844</v>
      </c>
      <c r="B1094" s="452" t="s">
        <v>2845</v>
      </c>
      <c r="C1094" s="489">
        <v>0.1</v>
      </c>
      <c r="D1094" s="480" t="s">
        <v>2840</v>
      </c>
      <c r="E1094" s="490">
        <f t="shared" si="174"/>
        <v>5141</v>
      </c>
      <c r="F1094" s="491">
        <f t="shared" si="174"/>
        <v>514.1</v>
      </c>
      <c r="G1094" s="492">
        <v>0</v>
      </c>
      <c r="H1094" s="493">
        <f>IF(C1094=0,0,ROUNDDOWN(G1094*C1094,1))</f>
        <v>0</v>
      </c>
      <c r="I1094" s="494">
        <f>재료비목록표!E67</f>
        <v>5141</v>
      </c>
      <c r="J1094" s="495">
        <f>IF(C1094=0,0,ROUNDDOWN(I1094*C1094,1))</f>
        <v>514.1</v>
      </c>
      <c r="K1094" s="492">
        <v>0</v>
      </c>
      <c r="L1094" s="493">
        <f>IF(C1094=0,0,ROUNDDOWN(K1094*C1094,1))</f>
        <v>0</v>
      </c>
      <c r="M1094" s="463" t="s">
        <v>2846</v>
      </c>
      <c r="N1094" s="451" t="s">
        <v>2847</v>
      </c>
      <c r="O1094" s="468" t="s">
        <v>2848</v>
      </c>
      <c r="P1094" s="468" t="s">
        <v>2354</v>
      </c>
      <c r="Z1094" s="433" t="str">
        <f ca="1">HYPERLINK("#"&amp;재료비목록표!G2&amp;"!A"&amp;ROW(재료비목록표!A67),"M08793 →")</f>
        <v>M08793 →</v>
      </c>
    </row>
    <row r="1095" spans="1:26" ht="33.200000000000003" customHeight="1">
      <c r="A1095" s="463" t="s">
        <v>842</v>
      </c>
      <c r="B1095" s="497"/>
      <c r="C1095" s="497"/>
      <c r="D1095" s="497"/>
      <c r="E1095" s="497"/>
      <c r="F1095" s="446">
        <f>J1095+H1095+L1095</f>
        <v>41565</v>
      </c>
      <c r="G1095" s="497"/>
      <c r="H1095" s="446">
        <f>ROUNDDOWN(SUMIF(P1090:P1094,O1095,H1090:H1094),0)</f>
        <v>40485</v>
      </c>
      <c r="I1095" s="497"/>
      <c r="J1095" s="446">
        <f>ROUNDDOWN(SUMIF(P1090:P1094,O1095,J1090:J1094),0)</f>
        <v>870</v>
      </c>
      <c r="K1095" s="497"/>
      <c r="L1095" s="446">
        <f>ROUNDDOWN(SUMIF(P1090:P1094,O1095,L1090:L1094),0)</f>
        <v>210</v>
      </c>
      <c r="M1095" s="497"/>
      <c r="O1095" s="468" t="s">
        <v>2354</v>
      </c>
    </row>
    <row r="1096" spans="1:26" ht="33.200000000000003" customHeight="1">
      <c r="A1096" s="484" t="s">
        <v>2953</v>
      </c>
      <c r="B1096" s="484"/>
      <c r="C1096" s="485"/>
      <c r="D1096" s="485"/>
      <c r="E1096" s="485"/>
      <c r="F1096" s="485"/>
      <c r="G1096" s="485"/>
      <c r="H1096" s="485"/>
      <c r="I1096" s="485"/>
      <c r="J1096" s="485"/>
      <c r="K1096" s="485"/>
      <c r="L1096" s="485"/>
      <c r="M1096" s="485"/>
      <c r="N1096" s="486" t="str">
        <f>HYPERLINK("#N"&amp;ROW(N1102),"_x0005_`BDCOD|B02698_x0007_`POSS|"&amp;ROW(N1098)&amp;"_x0007_`POSE|"&amp;ROW(N1102)&amp;"_x0007_`")</f>
        <v>_x0005_`BDCOD|B02698_x0007_`POSS|1098_x0007_`POSE|1102_x0007_`</v>
      </c>
    </row>
    <row r="1097" spans="1:26" ht="33.200000000000003" customHeight="1">
      <c r="A1097" s="469" t="s">
        <v>2006</v>
      </c>
      <c r="B1097" s="469" t="s">
        <v>2027</v>
      </c>
      <c r="C1097" s="487"/>
      <c r="D1097" s="488" t="s">
        <v>1799</v>
      </c>
      <c r="E1097" s="487"/>
      <c r="F1097" s="487"/>
      <c r="G1097" s="487"/>
      <c r="H1097" s="487"/>
      <c r="I1097" s="487"/>
      <c r="J1097" s="487"/>
      <c r="K1097" s="487"/>
      <c r="L1097" s="487"/>
      <c r="M1097" s="488" t="s">
        <v>2028</v>
      </c>
      <c r="O1097" s="468" t="s">
        <v>2028</v>
      </c>
    </row>
    <row r="1098" spans="1:26" ht="33.200000000000003" customHeight="1">
      <c r="A1098" s="452" t="s">
        <v>2829</v>
      </c>
      <c r="B1098" s="452"/>
      <c r="C1098" s="489">
        <v>6.0999999999999999E-2</v>
      </c>
      <c r="D1098" s="480" t="s">
        <v>585</v>
      </c>
      <c r="E1098" s="490">
        <f t="shared" ref="E1098:F1102" si="175">I1098+G1098+K1098</f>
        <v>253243</v>
      </c>
      <c r="F1098" s="493">
        <f t="shared" si="175"/>
        <v>15447.8</v>
      </c>
      <c r="G1098" s="494">
        <f>노무비목록표!E9</f>
        <v>253243</v>
      </c>
      <c r="H1098" s="495">
        <f>IF(C1098=0,0,ROUNDDOWN(G1098*C1098,1))</f>
        <v>15447.8</v>
      </c>
      <c r="I1098" s="492">
        <v>0</v>
      </c>
      <c r="J1098" s="491">
        <f>IF(C1098=0,0,ROUNDDOWN(I1098*C1098,1))</f>
        <v>0</v>
      </c>
      <c r="K1098" s="492">
        <v>0</v>
      </c>
      <c r="L1098" s="493">
        <f>IF(C1098=0,0,ROUNDDOWN(K1098*C1098,1))</f>
        <v>0</v>
      </c>
      <c r="M1098" s="463" t="s">
        <v>2830</v>
      </c>
      <c r="N1098" s="451" t="s">
        <v>2831</v>
      </c>
      <c r="O1098" s="468" t="s">
        <v>2832</v>
      </c>
      <c r="P1098" s="468" t="s">
        <v>2354</v>
      </c>
      <c r="Z1098" s="433" t="str">
        <f ca="1">HYPERLINK("#"&amp;노무비목록표!G2&amp;"!A"&amp;ROW(노무비목록표!A9),"L00188 →")</f>
        <v>L00188 →</v>
      </c>
    </row>
    <row r="1099" spans="1:26" ht="33.200000000000003" customHeight="1">
      <c r="A1099" s="452" t="s">
        <v>2360</v>
      </c>
      <c r="B1099" s="452"/>
      <c r="C1099" s="489">
        <v>0.24399999999999999</v>
      </c>
      <c r="D1099" s="480" t="s">
        <v>585</v>
      </c>
      <c r="E1099" s="490">
        <f t="shared" si="175"/>
        <v>172068</v>
      </c>
      <c r="F1099" s="493">
        <f t="shared" si="175"/>
        <v>41984.5</v>
      </c>
      <c r="G1099" s="494">
        <f>노무비목록표!E10</f>
        <v>172068</v>
      </c>
      <c r="H1099" s="495">
        <f>IF(C1099=0,0,ROUNDDOWN(G1099*C1099,1))</f>
        <v>41984.5</v>
      </c>
      <c r="I1099" s="492">
        <v>0</v>
      </c>
      <c r="J1099" s="491">
        <f>IF(C1099=0,0,ROUNDDOWN(I1099*C1099,1))</f>
        <v>0</v>
      </c>
      <c r="K1099" s="492">
        <v>0</v>
      </c>
      <c r="L1099" s="493">
        <f>IF(C1099=0,0,ROUNDDOWN(K1099*C1099,1))</f>
        <v>0</v>
      </c>
      <c r="M1099" s="463" t="s">
        <v>2361</v>
      </c>
      <c r="N1099" s="451" t="s">
        <v>2362</v>
      </c>
      <c r="O1099" s="468" t="s">
        <v>2363</v>
      </c>
      <c r="P1099" s="468" t="s">
        <v>2354</v>
      </c>
      <c r="Z1099" s="433" t="str">
        <f ca="1">HYPERLINK("#"&amp;노무비목록표!G2&amp;"!A"&amp;ROW(노무비목록표!A10),"L00017 →")</f>
        <v>L00017 →</v>
      </c>
    </row>
    <row r="1100" spans="1:26" ht="33.200000000000003" customHeight="1">
      <c r="A1100" s="452" t="s">
        <v>2833</v>
      </c>
      <c r="B1100" s="452"/>
      <c r="C1100" s="489">
        <v>0.49399999999999999</v>
      </c>
      <c r="D1100" s="480" t="s">
        <v>2834</v>
      </c>
      <c r="E1100" s="490">
        <f t="shared" si="175"/>
        <v>607</v>
      </c>
      <c r="F1100" s="491">
        <f t="shared" si="175"/>
        <v>299.8</v>
      </c>
      <c r="G1100" s="492">
        <v>0</v>
      </c>
      <c r="H1100" s="491">
        <f>IF(C1100=0,0,ROUNDDOWN(G1100*C1100,1))</f>
        <v>0</v>
      </c>
      <c r="I1100" s="492">
        <v>0</v>
      </c>
      <c r="J1100" s="493">
        <f>IF(C1100=0,0,ROUNDDOWN(I1100*C1100,1))</f>
        <v>0</v>
      </c>
      <c r="K1100" s="494">
        <f>경비목록표!E13</f>
        <v>607</v>
      </c>
      <c r="L1100" s="498">
        <f>IF(C1100=0,0,ROUNDDOWN(K1100*C1100,1))</f>
        <v>299.8</v>
      </c>
      <c r="M1100" s="463" t="s">
        <v>2835</v>
      </c>
      <c r="N1100" s="451" t="s">
        <v>2836</v>
      </c>
      <c r="O1100" s="468" t="s">
        <v>2837</v>
      </c>
      <c r="P1100" s="468" t="s">
        <v>2354</v>
      </c>
      <c r="Z1100" s="433" t="str">
        <f ca="1">HYPERLINK("#"&amp;경비목록표!G2&amp;"!A"&amp;ROW(경비목록표!A13),"S00297 →")</f>
        <v>S00297 →</v>
      </c>
    </row>
    <row r="1101" spans="1:26" ht="33.200000000000003" customHeight="1">
      <c r="A1101" s="452" t="s">
        <v>2838</v>
      </c>
      <c r="B1101" s="452" t="s">
        <v>2839</v>
      </c>
      <c r="C1101" s="489">
        <v>0.34499999999999997</v>
      </c>
      <c r="D1101" s="480" t="s">
        <v>2840</v>
      </c>
      <c r="E1101" s="490">
        <f t="shared" si="175"/>
        <v>1472</v>
      </c>
      <c r="F1101" s="491">
        <f t="shared" si="175"/>
        <v>507.8</v>
      </c>
      <c r="G1101" s="492">
        <v>0</v>
      </c>
      <c r="H1101" s="493">
        <f>IF(C1101=0,0,ROUNDDOWN(G1101*C1101,1))</f>
        <v>0</v>
      </c>
      <c r="I1101" s="494">
        <f>재료비목록표!E110</f>
        <v>1472</v>
      </c>
      <c r="J1101" s="495">
        <f>IF(C1101=0,0,ROUNDDOWN(I1101*C1101,1))</f>
        <v>507.8</v>
      </c>
      <c r="K1101" s="492">
        <v>0</v>
      </c>
      <c r="L1101" s="493">
        <f>IF(C1101=0,0,ROUNDDOWN(K1101*C1101,1))</f>
        <v>0</v>
      </c>
      <c r="M1101" s="463" t="s">
        <v>2841</v>
      </c>
      <c r="N1101" s="451" t="s">
        <v>2842</v>
      </c>
      <c r="O1101" s="468" t="s">
        <v>2843</v>
      </c>
      <c r="P1101" s="468" t="s">
        <v>2354</v>
      </c>
      <c r="Z1101" s="433" t="str">
        <f ca="1">HYPERLINK("#"&amp;재료비목록표!G2&amp;"!A"&amp;ROW(재료비목록표!A110),"M00927 →")</f>
        <v>M00927 →</v>
      </c>
    </row>
    <row r="1102" spans="1:26" ht="33.200000000000003" customHeight="1">
      <c r="A1102" s="452" t="s">
        <v>2844</v>
      </c>
      <c r="B1102" s="452" t="s">
        <v>2845</v>
      </c>
      <c r="C1102" s="489">
        <v>0.14299999999999999</v>
      </c>
      <c r="D1102" s="480" t="s">
        <v>2840</v>
      </c>
      <c r="E1102" s="490">
        <f t="shared" si="175"/>
        <v>5141</v>
      </c>
      <c r="F1102" s="491">
        <f t="shared" si="175"/>
        <v>735.1</v>
      </c>
      <c r="G1102" s="492">
        <v>0</v>
      </c>
      <c r="H1102" s="493">
        <f>IF(C1102=0,0,ROUNDDOWN(G1102*C1102,1))</f>
        <v>0</v>
      </c>
      <c r="I1102" s="494">
        <f>재료비목록표!E67</f>
        <v>5141</v>
      </c>
      <c r="J1102" s="495">
        <f>IF(C1102=0,0,ROUNDDOWN(I1102*C1102,1))</f>
        <v>735.1</v>
      </c>
      <c r="K1102" s="492">
        <v>0</v>
      </c>
      <c r="L1102" s="493">
        <f>IF(C1102=0,0,ROUNDDOWN(K1102*C1102,1))</f>
        <v>0</v>
      </c>
      <c r="M1102" s="463" t="s">
        <v>2846</v>
      </c>
      <c r="N1102" s="451" t="s">
        <v>2847</v>
      </c>
      <c r="O1102" s="468" t="s">
        <v>2848</v>
      </c>
      <c r="P1102" s="468" t="s">
        <v>2354</v>
      </c>
      <c r="Z1102" s="433" t="str">
        <f ca="1">HYPERLINK("#"&amp;재료비목록표!G2&amp;"!A"&amp;ROW(재료비목록표!A67),"M08793 →")</f>
        <v>M08793 →</v>
      </c>
    </row>
    <row r="1103" spans="1:26" ht="33.200000000000003" customHeight="1">
      <c r="A1103" s="463" t="s">
        <v>842</v>
      </c>
      <c r="B1103" s="497"/>
      <c r="C1103" s="497"/>
      <c r="D1103" s="497"/>
      <c r="E1103" s="497"/>
      <c r="F1103" s="446">
        <f>J1103+H1103+L1103</f>
        <v>58973</v>
      </c>
      <c r="G1103" s="497"/>
      <c r="H1103" s="446">
        <f>ROUNDDOWN(SUMIF(P1098:P1102,O1103,H1098:H1102),0)</f>
        <v>57432</v>
      </c>
      <c r="I1103" s="497"/>
      <c r="J1103" s="446">
        <f>ROUNDDOWN(SUMIF(P1098:P1102,O1103,J1098:J1102),0)</f>
        <v>1242</v>
      </c>
      <c r="K1103" s="497"/>
      <c r="L1103" s="446">
        <f>ROUNDDOWN(SUMIF(P1098:P1102,O1103,L1098:L1102),0)</f>
        <v>299</v>
      </c>
      <c r="M1103" s="497"/>
      <c r="O1103" s="468" t="s">
        <v>2354</v>
      </c>
    </row>
    <row r="1104" spans="1:26" ht="33.200000000000003" customHeight="1">
      <c r="A1104" s="484" t="s">
        <v>2954</v>
      </c>
      <c r="B1104" s="484"/>
      <c r="C1104" s="485"/>
      <c r="D1104" s="485"/>
      <c r="E1104" s="485"/>
      <c r="F1104" s="485"/>
      <c r="G1104" s="485"/>
      <c r="H1104" s="485"/>
      <c r="I1104" s="485"/>
      <c r="J1104" s="485"/>
      <c r="K1104" s="485"/>
      <c r="L1104" s="485"/>
      <c r="M1104" s="485"/>
      <c r="N1104" s="486" t="str">
        <f>HYPERLINK("#N"&amp;ROW(N1110),"_x0005_`BDCOD|B02699_x0007_`POSS|"&amp;ROW(N1106)&amp;"_x0007_`POSE|"&amp;ROW(N1110)&amp;"_x0007_`")</f>
        <v>_x0005_`BDCOD|B02699_x0007_`POSS|1106_x0007_`POSE|1110_x0007_`</v>
      </c>
    </row>
    <row r="1105" spans="1:26" ht="33.200000000000003" customHeight="1">
      <c r="A1105" s="469" t="s">
        <v>2006</v>
      </c>
      <c r="B1105" s="469" t="s">
        <v>2031</v>
      </c>
      <c r="C1105" s="487"/>
      <c r="D1105" s="488" t="s">
        <v>1799</v>
      </c>
      <c r="E1105" s="487"/>
      <c r="F1105" s="487"/>
      <c r="G1105" s="487"/>
      <c r="H1105" s="487"/>
      <c r="I1105" s="487"/>
      <c r="J1105" s="487"/>
      <c r="K1105" s="487"/>
      <c r="L1105" s="487"/>
      <c r="M1105" s="488" t="s">
        <v>2032</v>
      </c>
      <c r="O1105" s="468" t="s">
        <v>2032</v>
      </c>
    </row>
    <row r="1106" spans="1:26" ht="33.200000000000003" customHeight="1">
      <c r="A1106" s="452" t="s">
        <v>2829</v>
      </c>
      <c r="B1106" s="452"/>
      <c r="C1106" s="489">
        <v>7.2999999999999995E-2</v>
      </c>
      <c r="D1106" s="480" t="s">
        <v>585</v>
      </c>
      <c r="E1106" s="490">
        <f t="shared" ref="E1106:F1110" si="176">I1106+G1106+K1106</f>
        <v>253243</v>
      </c>
      <c r="F1106" s="493">
        <f t="shared" si="176"/>
        <v>18486.7</v>
      </c>
      <c r="G1106" s="494">
        <f>노무비목록표!E9</f>
        <v>253243</v>
      </c>
      <c r="H1106" s="495">
        <f>IF(C1106=0,0,ROUNDDOWN(G1106*C1106,1))</f>
        <v>18486.7</v>
      </c>
      <c r="I1106" s="492">
        <v>0</v>
      </c>
      <c r="J1106" s="491">
        <f>IF(C1106=0,0,ROUNDDOWN(I1106*C1106,1))</f>
        <v>0</v>
      </c>
      <c r="K1106" s="492">
        <v>0</v>
      </c>
      <c r="L1106" s="493">
        <f>IF(C1106=0,0,ROUNDDOWN(K1106*C1106,1))</f>
        <v>0</v>
      </c>
      <c r="M1106" s="463" t="s">
        <v>2830</v>
      </c>
      <c r="N1106" s="451" t="s">
        <v>2831</v>
      </c>
      <c r="O1106" s="468" t="s">
        <v>2832</v>
      </c>
      <c r="P1106" s="468" t="s">
        <v>2354</v>
      </c>
      <c r="Z1106" s="433" t="str">
        <f ca="1">HYPERLINK("#"&amp;노무비목록표!G2&amp;"!A"&amp;ROW(노무비목록표!A9),"L00188 →")</f>
        <v>L00188 →</v>
      </c>
    </row>
    <row r="1107" spans="1:26" ht="33.200000000000003" customHeight="1">
      <c r="A1107" s="452" t="s">
        <v>2360</v>
      </c>
      <c r="B1107" s="452"/>
      <c r="C1107" s="489">
        <v>0.29199999999999998</v>
      </c>
      <c r="D1107" s="480" t="s">
        <v>585</v>
      </c>
      <c r="E1107" s="490">
        <f t="shared" si="176"/>
        <v>172068</v>
      </c>
      <c r="F1107" s="493">
        <f t="shared" si="176"/>
        <v>50243.8</v>
      </c>
      <c r="G1107" s="494">
        <f>노무비목록표!E10</f>
        <v>172068</v>
      </c>
      <c r="H1107" s="495">
        <f>IF(C1107=0,0,ROUNDDOWN(G1107*C1107,1))</f>
        <v>50243.8</v>
      </c>
      <c r="I1107" s="492">
        <v>0</v>
      </c>
      <c r="J1107" s="491">
        <f>IF(C1107=0,0,ROUNDDOWN(I1107*C1107,1))</f>
        <v>0</v>
      </c>
      <c r="K1107" s="492">
        <v>0</v>
      </c>
      <c r="L1107" s="493">
        <f>IF(C1107=0,0,ROUNDDOWN(K1107*C1107,1))</f>
        <v>0</v>
      </c>
      <c r="M1107" s="463" t="s">
        <v>2361</v>
      </c>
      <c r="N1107" s="451" t="s">
        <v>2362</v>
      </c>
      <c r="O1107" s="468" t="s">
        <v>2363</v>
      </c>
      <c r="P1107" s="468" t="s">
        <v>2354</v>
      </c>
      <c r="Z1107" s="433" t="str">
        <f ca="1">HYPERLINK("#"&amp;노무비목록표!G2&amp;"!A"&amp;ROW(노무비목록표!A10),"L00017 →")</f>
        <v>L00017 →</v>
      </c>
    </row>
    <row r="1108" spans="1:26" ht="33.200000000000003" customHeight="1">
      <c r="A1108" s="452" t="s">
        <v>2833</v>
      </c>
      <c r="B1108" s="452"/>
      <c r="C1108" s="489">
        <v>0.58899999999999997</v>
      </c>
      <c r="D1108" s="480" t="s">
        <v>2834</v>
      </c>
      <c r="E1108" s="490">
        <f t="shared" si="176"/>
        <v>607</v>
      </c>
      <c r="F1108" s="491">
        <f t="shared" si="176"/>
        <v>357.5</v>
      </c>
      <c r="G1108" s="492">
        <v>0</v>
      </c>
      <c r="H1108" s="491">
        <f>IF(C1108=0,0,ROUNDDOWN(G1108*C1108,1))</f>
        <v>0</v>
      </c>
      <c r="I1108" s="492">
        <v>0</v>
      </c>
      <c r="J1108" s="493">
        <f>IF(C1108=0,0,ROUNDDOWN(I1108*C1108,1))</f>
        <v>0</v>
      </c>
      <c r="K1108" s="494">
        <f>경비목록표!E13</f>
        <v>607</v>
      </c>
      <c r="L1108" s="498">
        <f>IF(C1108=0,0,ROUNDDOWN(K1108*C1108,1))</f>
        <v>357.5</v>
      </c>
      <c r="M1108" s="463" t="s">
        <v>2835</v>
      </c>
      <c r="N1108" s="451" t="s">
        <v>2836</v>
      </c>
      <c r="O1108" s="468" t="s">
        <v>2837</v>
      </c>
      <c r="P1108" s="468" t="s">
        <v>2354</v>
      </c>
      <c r="Z1108" s="433" t="str">
        <f ca="1">HYPERLINK("#"&amp;경비목록표!G2&amp;"!A"&amp;ROW(경비목록표!A13),"S00297 →")</f>
        <v>S00297 →</v>
      </c>
    </row>
    <row r="1109" spans="1:26" ht="33.200000000000003" customHeight="1">
      <c r="A1109" s="452" t="s">
        <v>2838</v>
      </c>
      <c r="B1109" s="452" t="s">
        <v>2839</v>
      </c>
      <c r="C1109" s="489">
        <v>0.41199999999999998</v>
      </c>
      <c r="D1109" s="480" t="s">
        <v>2840</v>
      </c>
      <c r="E1109" s="490">
        <f t="shared" si="176"/>
        <v>1472</v>
      </c>
      <c r="F1109" s="491">
        <f t="shared" si="176"/>
        <v>606.4</v>
      </c>
      <c r="G1109" s="492">
        <v>0</v>
      </c>
      <c r="H1109" s="493">
        <f>IF(C1109=0,0,ROUNDDOWN(G1109*C1109,1))</f>
        <v>0</v>
      </c>
      <c r="I1109" s="494">
        <f>재료비목록표!E110</f>
        <v>1472</v>
      </c>
      <c r="J1109" s="495">
        <f>IF(C1109=0,0,ROUNDDOWN(I1109*C1109,1))</f>
        <v>606.4</v>
      </c>
      <c r="K1109" s="492">
        <v>0</v>
      </c>
      <c r="L1109" s="493">
        <f>IF(C1109=0,0,ROUNDDOWN(K1109*C1109,1))</f>
        <v>0</v>
      </c>
      <c r="M1109" s="463" t="s">
        <v>2841</v>
      </c>
      <c r="N1109" s="451" t="s">
        <v>2842</v>
      </c>
      <c r="O1109" s="468" t="s">
        <v>2843</v>
      </c>
      <c r="P1109" s="468" t="s">
        <v>2354</v>
      </c>
      <c r="Z1109" s="433" t="str">
        <f ca="1">HYPERLINK("#"&amp;재료비목록표!G2&amp;"!A"&amp;ROW(재료비목록표!A110),"M00927 →")</f>
        <v>M00927 →</v>
      </c>
    </row>
    <row r="1110" spans="1:26" ht="33.200000000000003" customHeight="1">
      <c r="A1110" s="452" t="s">
        <v>2844</v>
      </c>
      <c r="B1110" s="452" t="s">
        <v>2845</v>
      </c>
      <c r="C1110" s="489">
        <v>0.17</v>
      </c>
      <c r="D1110" s="480" t="s">
        <v>2840</v>
      </c>
      <c r="E1110" s="490">
        <f t="shared" si="176"/>
        <v>5141</v>
      </c>
      <c r="F1110" s="491">
        <f t="shared" si="176"/>
        <v>873.9</v>
      </c>
      <c r="G1110" s="492">
        <v>0</v>
      </c>
      <c r="H1110" s="493">
        <f>IF(C1110=0,0,ROUNDDOWN(G1110*C1110,1))</f>
        <v>0</v>
      </c>
      <c r="I1110" s="494">
        <f>재료비목록표!E67</f>
        <v>5141</v>
      </c>
      <c r="J1110" s="495">
        <f>IF(C1110=0,0,ROUNDDOWN(I1110*C1110,1))</f>
        <v>873.9</v>
      </c>
      <c r="K1110" s="492">
        <v>0</v>
      </c>
      <c r="L1110" s="493">
        <f>IF(C1110=0,0,ROUNDDOWN(K1110*C1110,1))</f>
        <v>0</v>
      </c>
      <c r="M1110" s="463" t="s">
        <v>2846</v>
      </c>
      <c r="N1110" s="451" t="s">
        <v>2847</v>
      </c>
      <c r="O1110" s="468" t="s">
        <v>2848</v>
      </c>
      <c r="P1110" s="468" t="s">
        <v>2354</v>
      </c>
      <c r="Z1110" s="433" t="str">
        <f ca="1">HYPERLINK("#"&amp;재료비목록표!G2&amp;"!A"&amp;ROW(재료비목록표!A67),"M08793 →")</f>
        <v>M08793 →</v>
      </c>
    </row>
    <row r="1111" spans="1:26" ht="33.200000000000003" customHeight="1">
      <c r="A1111" s="463" t="s">
        <v>842</v>
      </c>
      <c r="B1111" s="497"/>
      <c r="C1111" s="497"/>
      <c r="D1111" s="497"/>
      <c r="E1111" s="497"/>
      <c r="F1111" s="446">
        <f>J1111+H1111+L1111</f>
        <v>70567</v>
      </c>
      <c r="G1111" s="497"/>
      <c r="H1111" s="446">
        <f>ROUNDDOWN(SUMIF(P1106:P1110,O1111,H1106:H1110),0)</f>
        <v>68730</v>
      </c>
      <c r="I1111" s="497"/>
      <c r="J1111" s="446">
        <f>ROUNDDOWN(SUMIF(P1106:P1110,O1111,J1106:J1110),0)</f>
        <v>1480</v>
      </c>
      <c r="K1111" s="497"/>
      <c r="L1111" s="446">
        <f>ROUNDDOWN(SUMIF(P1106:P1110,O1111,L1106:L1110),0)</f>
        <v>357</v>
      </c>
      <c r="M1111" s="497"/>
      <c r="O1111" s="468" t="s">
        <v>2354</v>
      </c>
    </row>
    <row r="1112" spans="1:26" ht="33.200000000000003" customHeight="1">
      <c r="A1112" s="484" t="s">
        <v>2959</v>
      </c>
      <c r="B1112" s="484"/>
      <c r="C1112" s="485"/>
      <c r="D1112" s="485"/>
      <c r="E1112" s="485"/>
      <c r="F1112" s="485"/>
      <c r="G1112" s="485"/>
      <c r="H1112" s="485"/>
      <c r="I1112" s="485"/>
      <c r="J1112" s="485"/>
      <c r="K1112" s="485"/>
      <c r="L1112" s="485"/>
      <c r="M1112" s="485"/>
      <c r="N1112" s="486" t="str">
        <f>HYPERLINK("#N"&amp;ROW(N1118),"_x0005_`BDCOD|B02700_x0007_`POSS|"&amp;ROW(N1114)&amp;"_x0007_`POSE|"&amp;ROW(N1118)&amp;"_x0007_`")</f>
        <v>_x0005_`BDCOD|B02700_x0007_`POSS|1114_x0007_`POSE|1118_x0007_`</v>
      </c>
    </row>
    <row r="1113" spans="1:26" ht="33.200000000000003" customHeight="1">
      <c r="A1113" s="469" t="s">
        <v>2006</v>
      </c>
      <c r="B1113" s="469" t="s">
        <v>2035</v>
      </c>
      <c r="C1113" s="487"/>
      <c r="D1113" s="488" t="s">
        <v>1799</v>
      </c>
      <c r="E1113" s="487"/>
      <c r="F1113" s="487"/>
      <c r="G1113" s="487"/>
      <c r="H1113" s="487"/>
      <c r="I1113" s="487"/>
      <c r="J1113" s="487"/>
      <c r="K1113" s="487"/>
      <c r="L1113" s="487"/>
      <c r="M1113" s="488" t="s">
        <v>2036</v>
      </c>
      <c r="O1113" s="468" t="s">
        <v>2036</v>
      </c>
    </row>
    <row r="1114" spans="1:26" ht="33.200000000000003" customHeight="1">
      <c r="A1114" s="452" t="s">
        <v>2829</v>
      </c>
      <c r="B1114" s="452"/>
      <c r="C1114" s="489">
        <v>9.8000000000000004E-2</v>
      </c>
      <c r="D1114" s="480" t="s">
        <v>585</v>
      </c>
      <c r="E1114" s="490">
        <f t="shared" ref="E1114:F1118" si="177">I1114+G1114+K1114</f>
        <v>253243</v>
      </c>
      <c r="F1114" s="493">
        <f t="shared" si="177"/>
        <v>24817.8</v>
      </c>
      <c r="G1114" s="494">
        <f>노무비목록표!E9</f>
        <v>253243</v>
      </c>
      <c r="H1114" s="495">
        <f>IF(C1114=0,0,ROUNDDOWN(G1114*C1114,1))</f>
        <v>24817.8</v>
      </c>
      <c r="I1114" s="492">
        <v>0</v>
      </c>
      <c r="J1114" s="491">
        <f>IF(C1114=0,0,ROUNDDOWN(I1114*C1114,1))</f>
        <v>0</v>
      </c>
      <c r="K1114" s="492">
        <v>0</v>
      </c>
      <c r="L1114" s="493">
        <f>IF(C1114=0,0,ROUNDDOWN(K1114*C1114,1))</f>
        <v>0</v>
      </c>
      <c r="M1114" s="463" t="s">
        <v>2830</v>
      </c>
      <c r="N1114" s="451" t="s">
        <v>2831</v>
      </c>
      <c r="O1114" s="468" t="s">
        <v>2832</v>
      </c>
      <c r="P1114" s="468" t="s">
        <v>2354</v>
      </c>
      <c r="Z1114" s="433" t="str">
        <f ca="1">HYPERLINK("#"&amp;노무비목록표!G2&amp;"!A"&amp;ROW(노무비목록표!A9),"L00188 →")</f>
        <v>L00188 →</v>
      </c>
    </row>
    <row r="1115" spans="1:26" ht="33.200000000000003" customHeight="1">
      <c r="A1115" s="452" t="s">
        <v>2360</v>
      </c>
      <c r="B1115" s="452"/>
      <c r="C1115" s="489">
        <v>0.39200000000000002</v>
      </c>
      <c r="D1115" s="480" t="s">
        <v>585</v>
      </c>
      <c r="E1115" s="490">
        <f t="shared" si="177"/>
        <v>172068</v>
      </c>
      <c r="F1115" s="493">
        <f t="shared" si="177"/>
        <v>67450.600000000006</v>
      </c>
      <c r="G1115" s="494">
        <f>노무비목록표!E10</f>
        <v>172068</v>
      </c>
      <c r="H1115" s="495">
        <f>IF(C1115=0,0,ROUNDDOWN(G1115*C1115,1))</f>
        <v>67450.600000000006</v>
      </c>
      <c r="I1115" s="492">
        <v>0</v>
      </c>
      <c r="J1115" s="491">
        <f>IF(C1115=0,0,ROUNDDOWN(I1115*C1115,1))</f>
        <v>0</v>
      </c>
      <c r="K1115" s="492">
        <v>0</v>
      </c>
      <c r="L1115" s="493">
        <f>IF(C1115=0,0,ROUNDDOWN(K1115*C1115,1))</f>
        <v>0</v>
      </c>
      <c r="M1115" s="463" t="s">
        <v>2361</v>
      </c>
      <c r="N1115" s="451" t="s">
        <v>2362</v>
      </c>
      <c r="O1115" s="468" t="s">
        <v>2363</v>
      </c>
      <c r="P1115" s="468" t="s">
        <v>2354</v>
      </c>
      <c r="Z1115" s="433" t="str">
        <f ca="1">HYPERLINK("#"&amp;노무비목록표!G2&amp;"!A"&amp;ROW(노무비목록표!A10),"L00017 →")</f>
        <v>L00017 →</v>
      </c>
    </row>
    <row r="1116" spans="1:26" ht="33.200000000000003" customHeight="1">
      <c r="A1116" s="452" t="s">
        <v>2833</v>
      </c>
      <c r="B1116" s="452"/>
      <c r="C1116" s="489">
        <v>0.78800000000000003</v>
      </c>
      <c r="D1116" s="480" t="s">
        <v>2834</v>
      </c>
      <c r="E1116" s="490">
        <f t="shared" si="177"/>
        <v>607</v>
      </c>
      <c r="F1116" s="491">
        <f t="shared" si="177"/>
        <v>478.3</v>
      </c>
      <c r="G1116" s="492">
        <v>0</v>
      </c>
      <c r="H1116" s="491">
        <f>IF(C1116=0,0,ROUNDDOWN(G1116*C1116,1))</f>
        <v>0</v>
      </c>
      <c r="I1116" s="492">
        <v>0</v>
      </c>
      <c r="J1116" s="493">
        <f>IF(C1116=0,0,ROUNDDOWN(I1116*C1116,1))</f>
        <v>0</v>
      </c>
      <c r="K1116" s="494">
        <f>경비목록표!E13</f>
        <v>607</v>
      </c>
      <c r="L1116" s="498">
        <f>IF(C1116=0,0,ROUNDDOWN(K1116*C1116,1))</f>
        <v>478.3</v>
      </c>
      <c r="M1116" s="463" t="s">
        <v>2835</v>
      </c>
      <c r="N1116" s="451" t="s">
        <v>2836</v>
      </c>
      <c r="O1116" s="468" t="s">
        <v>2837</v>
      </c>
      <c r="P1116" s="468" t="s">
        <v>2354</v>
      </c>
      <c r="Z1116" s="433" t="str">
        <f ca="1">HYPERLINK("#"&amp;경비목록표!G2&amp;"!A"&amp;ROW(경비목록표!A13),"S00297 →")</f>
        <v>S00297 →</v>
      </c>
    </row>
    <row r="1117" spans="1:26" ht="33.200000000000003" customHeight="1">
      <c r="A1117" s="452" t="s">
        <v>2838</v>
      </c>
      <c r="B1117" s="452" t="s">
        <v>2839</v>
      </c>
      <c r="C1117" s="489">
        <v>0.55100000000000005</v>
      </c>
      <c r="D1117" s="480" t="s">
        <v>2840</v>
      </c>
      <c r="E1117" s="490">
        <f t="shared" si="177"/>
        <v>1472</v>
      </c>
      <c r="F1117" s="491">
        <f t="shared" si="177"/>
        <v>811</v>
      </c>
      <c r="G1117" s="492">
        <v>0</v>
      </c>
      <c r="H1117" s="493">
        <f>IF(C1117=0,0,ROUNDDOWN(G1117*C1117,1))</f>
        <v>0</v>
      </c>
      <c r="I1117" s="494">
        <f>재료비목록표!E110</f>
        <v>1472</v>
      </c>
      <c r="J1117" s="495">
        <f>IF(C1117=0,0,ROUNDDOWN(I1117*C1117,1))</f>
        <v>811</v>
      </c>
      <c r="K1117" s="492">
        <v>0</v>
      </c>
      <c r="L1117" s="493">
        <f>IF(C1117=0,0,ROUNDDOWN(K1117*C1117,1))</f>
        <v>0</v>
      </c>
      <c r="M1117" s="463" t="s">
        <v>2841</v>
      </c>
      <c r="N1117" s="451" t="s">
        <v>2842</v>
      </c>
      <c r="O1117" s="468" t="s">
        <v>2843</v>
      </c>
      <c r="P1117" s="468" t="s">
        <v>2354</v>
      </c>
      <c r="Z1117" s="433" t="str">
        <f ca="1">HYPERLINK("#"&amp;재료비목록표!G2&amp;"!A"&amp;ROW(재료비목록표!A110),"M00927 →")</f>
        <v>M00927 →</v>
      </c>
    </row>
    <row r="1118" spans="1:26" ht="33.200000000000003" customHeight="1">
      <c r="A1118" s="452" t="s">
        <v>2844</v>
      </c>
      <c r="B1118" s="452" t="s">
        <v>2845</v>
      </c>
      <c r="C1118" s="489">
        <v>0.22800000000000001</v>
      </c>
      <c r="D1118" s="480" t="s">
        <v>2840</v>
      </c>
      <c r="E1118" s="490">
        <f t="shared" si="177"/>
        <v>5141</v>
      </c>
      <c r="F1118" s="491">
        <f t="shared" si="177"/>
        <v>1172.0999999999999</v>
      </c>
      <c r="G1118" s="492">
        <v>0</v>
      </c>
      <c r="H1118" s="493">
        <f>IF(C1118=0,0,ROUNDDOWN(G1118*C1118,1))</f>
        <v>0</v>
      </c>
      <c r="I1118" s="494">
        <f>재료비목록표!E67</f>
        <v>5141</v>
      </c>
      <c r="J1118" s="495">
        <f>IF(C1118=0,0,ROUNDDOWN(I1118*C1118,1))</f>
        <v>1172.0999999999999</v>
      </c>
      <c r="K1118" s="492">
        <v>0</v>
      </c>
      <c r="L1118" s="493">
        <f>IF(C1118=0,0,ROUNDDOWN(K1118*C1118,1))</f>
        <v>0</v>
      </c>
      <c r="M1118" s="463" t="s">
        <v>2846</v>
      </c>
      <c r="N1118" s="451" t="s">
        <v>2847</v>
      </c>
      <c r="O1118" s="468" t="s">
        <v>2848</v>
      </c>
      <c r="P1118" s="468" t="s">
        <v>2354</v>
      </c>
      <c r="Z1118" s="433" t="str">
        <f ca="1">HYPERLINK("#"&amp;재료비목록표!G2&amp;"!A"&amp;ROW(재료비목록표!A67),"M08793 →")</f>
        <v>M08793 →</v>
      </c>
    </row>
    <row r="1119" spans="1:26" ht="33.200000000000003" customHeight="1">
      <c r="A1119" s="463" t="s">
        <v>842</v>
      </c>
      <c r="B1119" s="497"/>
      <c r="C1119" s="497"/>
      <c r="D1119" s="497"/>
      <c r="E1119" s="497"/>
      <c r="F1119" s="446">
        <f>J1119+H1119+L1119</f>
        <v>94729</v>
      </c>
      <c r="G1119" s="497"/>
      <c r="H1119" s="446">
        <f>ROUNDDOWN(SUMIF(P1114:P1118,O1119,H1114:H1118),0)</f>
        <v>92268</v>
      </c>
      <c r="I1119" s="497"/>
      <c r="J1119" s="446">
        <f>ROUNDDOWN(SUMIF(P1114:P1118,O1119,J1114:J1118),0)</f>
        <v>1983</v>
      </c>
      <c r="K1119" s="497"/>
      <c r="L1119" s="446">
        <f>ROUNDDOWN(SUMIF(P1114:P1118,O1119,L1114:L1118),0)</f>
        <v>478</v>
      </c>
      <c r="M1119" s="497"/>
      <c r="O1119" s="468" t="s">
        <v>2354</v>
      </c>
    </row>
    <row r="1120" spans="1:26" ht="33.200000000000003" customHeight="1">
      <c r="A1120" s="484" t="s">
        <v>2961</v>
      </c>
      <c r="B1120" s="484"/>
      <c r="C1120" s="485"/>
      <c r="D1120" s="485"/>
      <c r="E1120" s="485"/>
      <c r="F1120" s="485"/>
      <c r="G1120" s="485"/>
      <c r="H1120" s="485"/>
      <c r="I1120" s="485"/>
      <c r="J1120" s="485"/>
      <c r="K1120" s="485"/>
      <c r="L1120" s="485"/>
      <c r="M1120" s="485"/>
      <c r="N1120" s="486" t="str">
        <f>HYPERLINK("#N"&amp;ROW(N1126),"_x0005_`BDCOD|B02701_x0007_`POSS|"&amp;ROW(N1122)&amp;"_x0007_`POSE|"&amp;ROW(N1126)&amp;"_x0007_`")</f>
        <v>_x0005_`BDCOD|B02701_x0007_`POSS|1122_x0007_`POSE|1126_x0007_`</v>
      </c>
    </row>
    <row r="1121" spans="1:26" ht="33.200000000000003" customHeight="1">
      <c r="A1121" s="469" t="s">
        <v>2006</v>
      </c>
      <c r="B1121" s="469" t="s">
        <v>2039</v>
      </c>
      <c r="C1121" s="487"/>
      <c r="D1121" s="488" t="s">
        <v>1799</v>
      </c>
      <c r="E1121" s="487"/>
      <c r="F1121" s="487"/>
      <c r="G1121" s="487"/>
      <c r="H1121" s="487"/>
      <c r="I1121" s="487"/>
      <c r="J1121" s="487"/>
      <c r="K1121" s="487"/>
      <c r="L1121" s="487"/>
      <c r="M1121" s="488" t="s">
        <v>2040</v>
      </c>
      <c r="O1121" s="468" t="s">
        <v>2040</v>
      </c>
    </row>
    <row r="1122" spans="1:26" ht="33.200000000000003" customHeight="1">
      <c r="A1122" s="452" t="s">
        <v>2829</v>
      </c>
      <c r="B1122" s="452"/>
      <c r="C1122" s="489">
        <v>0.114</v>
      </c>
      <c r="D1122" s="480" t="s">
        <v>585</v>
      </c>
      <c r="E1122" s="490">
        <f t="shared" ref="E1122:F1126" si="178">I1122+G1122+K1122</f>
        <v>253243</v>
      </c>
      <c r="F1122" s="493">
        <f t="shared" si="178"/>
        <v>28869.7</v>
      </c>
      <c r="G1122" s="494">
        <f>노무비목록표!E9</f>
        <v>253243</v>
      </c>
      <c r="H1122" s="495">
        <f>IF(C1122=0,0,ROUNDDOWN(G1122*C1122,1))</f>
        <v>28869.7</v>
      </c>
      <c r="I1122" s="492">
        <v>0</v>
      </c>
      <c r="J1122" s="491">
        <f>IF(C1122=0,0,ROUNDDOWN(I1122*C1122,1))</f>
        <v>0</v>
      </c>
      <c r="K1122" s="492">
        <v>0</v>
      </c>
      <c r="L1122" s="493">
        <f>IF(C1122=0,0,ROUNDDOWN(K1122*C1122,1))</f>
        <v>0</v>
      </c>
      <c r="M1122" s="463" t="s">
        <v>2830</v>
      </c>
      <c r="N1122" s="451" t="s">
        <v>2831</v>
      </c>
      <c r="O1122" s="468" t="s">
        <v>2832</v>
      </c>
      <c r="P1122" s="468" t="s">
        <v>2354</v>
      </c>
      <c r="Z1122" s="433" t="str">
        <f ca="1">HYPERLINK("#"&amp;노무비목록표!G2&amp;"!A"&amp;ROW(노무비목록표!A9),"L00188 →")</f>
        <v>L00188 →</v>
      </c>
    </row>
    <row r="1123" spans="1:26" ht="33.200000000000003" customHeight="1">
      <c r="A1123" s="452" t="s">
        <v>2360</v>
      </c>
      <c r="B1123" s="452"/>
      <c r="C1123" s="489">
        <v>0.45600000000000002</v>
      </c>
      <c r="D1123" s="480" t="s">
        <v>585</v>
      </c>
      <c r="E1123" s="490">
        <f t="shared" si="178"/>
        <v>172068</v>
      </c>
      <c r="F1123" s="493">
        <f t="shared" si="178"/>
        <v>78463</v>
      </c>
      <c r="G1123" s="494">
        <f>노무비목록표!E10</f>
        <v>172068</v>
      </c>
      <c r="H1123" s="495">
        <f>IF(C1123=0,0,ROUNDDOWN(G1123*C1123,1))</f>
        <v>78463</v>
      </c>
      <c r="I1123" s="492">
        <v>0</v>
      </c>
      <c r="J1123" s="491">
        <f>IF(C1123=0,0,ROUNDDOWN(I1123*C1123,1))</f>
        <v>0</v>
      </c>
      <c r="K1123" s="492">
        <v>0</v>
      </c>
      <c r="L1123" s="493">
        <f>IF(C1123=0,0,ROUNDDOWN(K1123*C1123,1))</f>
        <v>0</v>
      </c>
      <c r="M1123" s="463" t="s">
        <v>2361</v>
      </c>
      <c r="N1123" s="451" t="s">
        <v>2362</v>
      </c>
      <c r="O1123" s="468" t="s">
        <v>2363</v>
      </c>
      <c r="P1123" s="468" t="s">
        <v>2354</v>
      </c>
      <c r="Z1123" s="433" t="str">
        <f ca="1">HYPERLINK("#"&amp;노무비목록표!G2&amp;"!A"&amp;ROW(노무비목록표!A10),"L00017 →")</f>
        <v>L00017 →</v>
      </c>
    </row>
    <row r="1124" spans="1:26" ht="33.200000000000003" customHeight="1">
      <c r="A1124" s="452" t="s">
        <v>2833</v>
      </c>
      <c r="B1124" s="452"/>
      <c r="C1124" s="489">
        <v>0.91300000000000003</v>
      </c>
      <c r="D1124" s="480" t="s">
        <v>2834</v>
      </c>
      <c r="E1124" s="490">
        <f t="shared" si="178"/>
        <v>607</v>
      </c>
      <c r="F1124" s="491">
        <f t="shared" si="178"/>
        <v>554.1</v>
      </c>
      <c r="G1124" s="492">
        <v>0</v>
      </c>
      <c r="H1124" s="491">
        <f>IF(C1124=0,0,ROUNDDOWN(G1124*C1124,1))</f>
        <v>0</v>
      </c>
      <c r="I1124" s="492">
        <v>0</v>
      </c>
      <c r="J1124" s="493">
        <f>IF(C1124=0,0,ROUNDDOWN(I1124*C1124,1))</f>
        <v>0</v>
      </c>
      <c r="K1124" s="494">
        <f>경비목록표!E13</f>
        <v>607</v>
      </c>
      <c r="L1124" s="498">
        <f>IF(C1124=0,0,ROUNDDOWN(K1124*C1124,1))</f>
        <v>554.1</v>
      </c>
      <c r="M1124" s="463" t="s">
        <v>2835</v>
      </c>
      <c r="N1124" s="451" t="s">
        <v>2836</v>
      </c>
      <c r="O1124" s="468" t="s">
        <v>2837</v>
      </c>
      <c r="P1124" s="468" t="s">
        <v>2354</v>
      </c>
      <c r="Z1124" s="433" t="str">
        <f ca="1">HYPERLINK("#"&amp;경비목록표!G2&amp;"!A"&amp;ROW(경비목록표!A13),"S00297 →")</f>
        <v>S00297 →</v>
      </c>
    </row>
    <row r="1125" spans="1:26" ht="33.200000000000003" customHeight="1">
      <c r="A1125" s="452" t="s">
        <v>2838</v>
      </c>
      <c r="B1125" s="452" t="s">
        <v>2839</v>
      </c>
      <c r="C1125" s="489">
        <v>0.63900000000000001</v>
      </c>
      <c r="D1125" s="480" t="s">
        <v>2840</v>
      </c>
      <c r="E1125" s="490">
        <f t="shared" si="178"/>
        <v>1472</v>
      </c>
      <c r="F1125" s="491">
        <f t="shared" si="178"/>
        <v>940.6</v>
      </c>
      <c r="G1125" s="492">
        <v>0</v>
      </c>
      <c r="H1125" s="493">
        <f>IF(C1125=0,0,ROUNDDOWN(G1125*C1125,1))</f>
        <v>0</v>
      </c>
      <c r="I1125" s="494">
        <f>재료비목록표!E110</f>
        <v>1472</v>
      </c>
      <c r="J1125" s="495">
        <f>IF(C1125=0,0,ROUNDDOWN(I1125*C1125,1))</f>
        <v>940.6</v>
      </c>
      <c r="K1125" s="492">
        <v>0</v>
      </c>
      <c r="L1125" s="493">
        <f>IF(C1125=0,0,ROUNDDOWN(K1125*C1125,1))</f>
        <v>0</v>
      </c>
      <c r="M1125" s="463" t="s">
        <v>2841</v>
      </c>
      <c r="N1125" s="451" t="s">
        <v>2842</v>
      </c>
      <c r="O1125" s="468" t="s">
        <v>2843</v>
      </c>
      <c r="P1125" s="468" t="s">
        <v>2354</v>
      </c>
      <c r="Z1125" s="433" t="str">
        <f ca="1">HYPERLINK("#"&amp;재료비목록표!G2&amp;"!A"&amp;ROW(재료비목록표!A110),"M00927 →")</f>
        <v>M00927 →</v>
      </c>
    </row>
    <row r="1126" spans="1:26" ht="33.200000000000003" customHeight="1">
      <c r="A1126" s="452" t="s">
        <v>2844</v>
      </c>
      <c r="B1126" s="452" t="s">
        <v>2845</v>
      </c>
      <c r="C1126" s="489">
        <v>0.26400000000000001</v>
      </c>
      <c r="D1126" s="480" t="s">
        <v>2840</v>
      </c>
      <c r="E1126" s="490">
        <f t="shared" si="178"/>
        <v>5141</v>
      </c>
      <c r="F1126" s="491">
        <f t="shared" si="178"/>
        <v>1357.2</v>
      </c>
      <c r="G1126" s="492">
        <v>0</v>
      </c>
      <c r="H1126" s="493">
        <f>IF(C1126=0,0,ROUNDDOWN(G1126*C1126,1))</f>
        <v>0</v>
      </c>
      <c r="I1126" s="494">
        <f>재료비목록표!E67</f>
        <v>5141</v>
      </c>
      <c r="J1126" s="495">
        <f>IF(C1126=0,0,ROUNDDOWN(I1126*C1126,1))</f>
        <v>1357.2</v>
      </c>
      <c r="K1126" s="492">
        <v>0</v>
      </c>
      <c r="L1126" s="493">
        <f>IF(C1126=0,0,ROUNDDOWN(K1126*C1126,1))</f>
        <v>0</v>
      </c>
      <c r="M1126" s="463" t="s">
        <v>2846</v>
      </c>
      <c r="N1126" s="451" t="s">
        <v>2847</v>
      </c>
      <c r="O1126" s="468" t="s">
        <v>2848</v>
      </c>
      <c r="P1126" s="468" t="s">
        <v>2354</v>
      </c>
      <c r="Z1126" s="433" t="str">
        <f ca="1">HYPERLINK("#"&amp;재료비목록표!G2&amp;"!A"&amp;ROW(재료비목록표!A67),"M08793 →")</f>
        <v>M08793 →</v>
      </c>
    </row>
    <row r="1127" spans="1:26" ht="33.200000000000003" customHeight="1">
      <c r="A1127" s="463" t="s">
        <v>842</v>
      </c>
      <c r="B1127" s="497"/>
      <c r="C1127" s="497"/>
      <c r="D1127" s="497"/>
      <c r="E1127" s="497"/>
      <c r="F1127" s="446">
        <f>J1127+H1127+L1127</f>
        <v>110183</v>
      </c>
      <c r="G1127" s="497"/>
      <c r="H1127" s="446">
        <f>ROUNDDOWN(SUMIF(P1122:P1126,O1127,H1122:H1126),0)</f>
        <v>107332</v>
      </c>
      <c r="I1127" s="497"/>
      <c r="J1127" s="446">
        <f>ROUNDDOWN(SUMIF(P1122:P1126,O1127,J1122:J1126),0)</f>
        <v>2297</v>
      </c>
      <c r="K1127" s="497"/>
      <c r="L1127" s="446">
        <f>ROUNDDOWN(SUMIF(P1122:P1126,O1127,L1122:L1126),0)</f>
        <v>554</v>
      </c>
      <c r="M1127" s="497"/>
      <c r="O1127" s="468" t="s">
        <v>2354</v>
      </c>
    </row>
    <row r="1128" spans="1:26" ht="33.200000000000003" customHeight="1">
      <c r="A1128" s="484" t="s">
        <v>2971</v>
      </c>
      <c r="B1128" s="484"/>
      <c r="C1128" s="485"/>
      <c r="D1128" s="485"/>
      <c r="E1128" s="485"/>
      <c r="F1128" s="485"/>
      <c r="G1128" s="485"/>
      <c r="H1128" s="485"/>
      <c r="I1128" s="485"/>
      <c r="J1128" s="485"/>
      <c r="K1128" s="485"/>
      <c r="L1128" s="485"/>
      <c r="M1128" s="485"/>
      <c r="N1128" s="486" t="str">
        <f>HYPERLINK("#N"&amp;ROW(N1134),"_x0005_`BDCOD|B02702_x0007_`POSS|"&amp;ROW(N1130)&amp;"_x0007_`POSE|"&amp;ROW(N1134)&amp;"_x0007_`")</f>
        <v>_x0005_`BDCOD|B02702_x0007_`POSS|1130_x0007_`POSE|1134_x0007_`</v>
      </c>
    </row>
    <row r="1129" spans="1:26" ht="33.200000000000003" customHeight="1">
      <c r="A1129" s="469" t="s">
        <v>2006</v>
      </c>
      <c r="B1129" s="469" t="s">
        <v>2043</v>
      </c>
      <c r="C1129" s="487"/>
      <c r="D1129" s="488" t="s">
        <v>1799</v>
      </c>
      <c r="E1129" s="487"/>
      <c r="F1129" s="487"/>
      <c r="G1129" s="487"/>
      <c r="H1129" s="487"/>
      <c r="I1129" s="487"/>
      <c r="J1129" s="487"/>
      <c r="K1129" s="487"/>
      <c r="L1129" s="487"/>
      <c r="M1129" s="488" t="s">
        <v>2044</v>
      </c>
      <c r="O1129" s="468" t="s">
        <v>2044</v>
      </c>
    </row>
    <row r="1130" spans="1:26" ht="33.200000000000003" customHeight="1">
      <c r="A1130" s="452" t="s">
        <v>2829</v>
      </c>
      <c r="B1130" s="452"/>
      <c r="C1130" s="489">
        <v>0.14599999999999999</v>
      </c>
      <c r="D1130" s="480" t="s">
        <v>585</v>
      </c>
      <c r="E1130" s="490">
        <f t="shared" ref="E1130:F1134" si="179">I1130+G1130+K1130</f>
        <v>253243</v>
      </c>
      <c r="F1130" s="493">
        <f t="shared" si="179"/>
        <v>36973.4</v>
      </c>
      <c r="G1130" s="494">
        <f>노무비목록표!E9</f>
        <v>253243</v>
      </c>
      <c r="H1130" s="495">
        <f>IF(C1130=0,0,ROUNDDOWN(G1130*C1130,1))</f>
        <v>36973.4</v>
      </c>
      <c r="I1130" s="492">
        <v>0</v>
      </c>
      <c r="J1130" s="491">
        <f>IF(C1130=0,0,ROUNDDOWN(I1130*C1130,1))</f>
        <v>0</v>
      </c>
      <c r="K1130" s="492">
        <v>0</v>
      </c>
      <c r="L1130" s="493">
        <f>IF(C1130=0,0,ROUNDDOWN(K1130*C1130,1))</f>
        <v>0</v>
      </c>
      <c r="M1130" s="463" t="s">
        <v>2830</v>
      </c>
      <c r="N1130" s="451" t="s">
        <v>2831</v>
      </c>
      <c r="O1130" s="468" t="s">
        <v>2832</v>
      </c>
      <c r="P1130" s="468" t="s">
        <v>2354</v>
      </c>
      <c r="Z1130" s="433" t="str">
        <f ca="1">HYPERLINK("#"&amp;노무비목록표!G2&amp;"!A"&amp;ROW(노무비목록표!A9),"L00188 →")</f>
        <v>L00188 →</v>
      </c>
    </row>
    <row r="1131" spans="1:26" ht="33.200000000000003" customHeight="1">
      <c r="A1131" s="452" t="s">
        <v>2360</v>
      </c>
      <c r="B1131" s="452"/>
      <c r="C1131" s="489">
        <v>0.58399999999999996</v>
      </c>
      <c r="D1131" s="480" t="s">
        <v>585</v>
      </c>
      <c r="E1131" s="490">
        <f t="shared" si="179"/>
        <v>172068</v>
      </c>
      <c r="F1131" s="493">
        <f t="shared" si="179"/>
        <v>100487.7</v>
      </c>
      <c r="G1131" s="494">
        <f>노무비목록표!E10</f>
        <v>172068</v>
      </c>
      <c r="H1131" s="495">
        <f>IF(C1131=0,0,ROUNDDOWN(G1131*C1131,1))</f>
        <v>100487.7</v>
      </c>
      <c r="I1131" s="492">
        <v>0</v>
      </c>
      <c r="J1131" s="491">
        <f>IF(C1131=0,0,ROUNDDOWN(I1131*C1131,1))</f>
        <v>0</v>
      </c>
      <c r="K1131" s="492">
        <v>0</v>
      </c>
      <c r="L1131" s="493">
        <f>IF(C1131=0,0,ROUNDDOWN(K1131*C1131,1))</f>
        <v>0</v>
      </c>
      <c r="M1131" s="463" t="s">
        <v>2361</v>
      </c>
      <c r="N1131" s="451" t="s">
        <v>2362</v>
      </c>
      <c r="O1131" s="468" t="s">
        <v>2363</v>
      </c>
      <c r="P1131" s="468" t="s">
        <v>2354</v>
      </c>
      <c r="Z1131" s="433" t="str">
        <f ca="1">HYPERLINK("#"&amp;노무비목록표!G2&amp;"!A"&amp;ROW(노무비목록표!A10),"L00017 →")</f>
        <v>L00017 →</v>
      </c>
    </row>
    <row r="1132" spans="1:26" ht="33.200000000000003" customHeight="1">
      <c r="A1132" s="452" t="s">
        <v>2833</v>
      </c>
      <c r="B1132" s="452"/>
      <c r="C1132" s="489">
        <v>1.1719999999999999</v>
      </c>
      <c r="D1132" s="480" t="s">
        <v>2834</v>
      </c>
      <c r="E1132" s="490">
        <f t="shared" si="179"/>
        <v>607</v>
      </c>
      <c r="F1132" s="491">
        <f t="shared" si="179"/>
        <v>711.4</v>
      </c>
      <c r="G1132" s="492">
        <v>0</v>
      </c>
      <c r="H1132" s="491">
        <f>IF(C1132=0,0,ROUNDDOWN(G1132*C1132,1))</f>
        <v>0</v>
      </c>
      <c r="I1132" s="492">
        <v>0</v>
      </c>
      <c r="J1132" s="493">
        <f>IF(C1132=0,0,ROUNDDOWN(I1132*C1132,1))</f>
        <v>0</v>
      </c>
      <c r="K1132" s="494">
        <f>경비목록표!E13</f>
        <v>607</v>
      </c>
      <c r="L1132" s="498">
        <f>IF(C1132=0,0,ROUNDDOWN(K1132*C1132,1))</f>
        <v>711.4</v>
      </c>
      <c r="M1132" s="463" t="s">
        <v>2835</v>
      </c>
      <c r="N1132" s="451" t="s">
        <v>2836</v>
      </c>
      <c r="O1132" s="468" t="s">
        <v>2837</v>
      </c>
      <c r="P1132" s="468" t="s">
        <v>2354</v>
      </c>
      <c r="Z1132" s="433" t="str">
        <f ca="1">HYPERLINK("#"&amp;경비목록표!G2&amp;"!A"&amp;ROW(경비목록표!A13),"S00297 →")</f>
        <v>S00297 →</v>
      </c>
    </row>
    <row r="1133" spans="1:26" ht="33.200000000000003" customHeight="1">
      <c r="A1133" s="452" t="s">
        <v>2838</v>
      </c>
      <c r="B1133" s="452" t="s">
        <v>2839</v>
      </c>
      <c r="C1133" s="489">
        <v>0.82</v>
      </c>
      <c r="D1133" s="480" t="s">
        <v>2840</v>
      </c>
      <c r="E1133" s="490">
        <f t="shared" si="179"/>
        <v>1472</v>
      </c>
      <c r="F1133" s="491">
        <f t="shared" si="179"/>
        <v>1207</v>
      </c>
      <c r="G1133" s="492">
        <v>0</v>
      </c>
      <c r="H1133" s="493">
        <f>IF(C1133=0,0,ROUNDDOWN(G1133*C1133,1))</f>
        <v>0</v>
      </c>
      <c r="I1133" s="494">
        <f>재료비목록표!E110</f>
        <v>1472</v>
      </c>
      <c r="J1133" s="495">
        <f>IF(C1133=0,0,ROUNDDOWN(I1133*C1133,1))</f>
        <v>1207</v>
      </c>
      <c r="K1133" s="492">
        <v>0</v>
      </c>
      <c r="L1133" s="493">
        <f>IF(C1133=0,0,ROUNDDOWN(K1133*C1133,1))</f>
        <v>0</v>
      </c>
      <c r="M1133" s="463" t="s">
        <v>2841</v>
      </c>
      <c r="N1133" s="451" t="s">
        <v>2842</v>
      </c>
      <c r="O1133" s="468" t="s">
        <v>2843</v>
      </c>
      <c r="P1133" s="468" t="s">
        <v>2354</v>
      </c>
      <c r="Z1133" s="433" t="str">
        <f ca="1">HYPERLINK("#"&amp;재료비목록표!G2&amp;"!A"&amp;ROW(재료비목록표!A110),"M00927 →")</f>
        <v>M00927 →</v>
      </c>
    </row>
    <row r="1134" spans="1:26" ht="33.200000000000003" customHeight="1">
      <c r="A1134" s="452" t="s">
        <v>2844</v>
      </c>
      <c r="B1134" s="452" t="s">
        <v>2845</v>
      </c>
      <c r="C1134" s="489">
        <v>0.33900000000000002</v>
      </c>
      <c r="D1134" s="480" t="s">
        <v>2840</v>
      </c>
      <c r="E1134" s="490">
        <f t="shared" si="179"/>
        <v>5141</v>
      </c>
      <c r="F1134" s="491">
        <f t="shared" si="179"/>
        <v>1742.7</v>
      </c>
      <c r="G1134" s="492">
        <v>0</v>
      </c>
      <c r="H1134" s="493">
        <f>IF(C1134=0,0,ROUNDDOWN(G1134*C1134,1))</f>
        <v>0</v>
      </c>
      <c r="I1134" s="494">
        <f>재료비목록표!E67</f>
        <v>5141</v>
      </c>
      <c r="J1134" s="495">
        <f>IF(C1134=0,0,ROUNDDOWN(I1134*C1134,1))</f>
        <v>1742.7</v>
      </c>
      <c r="K1134" s="492">
        <v>0</v>
      </c>
      <c r="L1134" s="493">
        <f>IF(C1134=0,0,ROUNDDOWN(K1134*C1134,1))</f>
        <v>0</v>
      </c>
      <c r="M1134" s="463" t="s">
        <v>2846</v>
      </c>
      <c r="N1134" s="451" t="s">
        <v>2847</v>
      </c>
      <c r="O1134" s="468" t="s">
        <v>2848</v>
      </c>
      <c r="P1134" s="468" t="s">
        <v>2354</v>
      </c>
      <c r="Z1134" s="433" t="str">
        <f ca="1">HYPERLINK("#"&amp;재료비목록표!G2&amp;"!A"&amp;ROW(재료비목록표!A67),"M08793 →")</f>
        <v>M08793 →</v>
      </c>
    </row>
    <row r="1135" spans="1:26" ht="33.200000000000003" customHeight="1">
      <c r="A1135" s="463" t="s">
        <v>842</v>
      </c>
      <c r="B1135" s="497"/>
      <c r="C1135" s="497"/>
      <c r="D1135" s="497"/>
      <c r="E1135" s="497"/>
      <c r="F1135" s="446">
        <f>J1135+H1135+L1135</f>
        <v>141121</v>
      </c>
      <c r="G1135" s="497"/>
      <c r="H1135" s="446">
        <f>ROUNDDOWN(SUMIF(P1130:P1134,O1135,H1130:H1134),0)</f>
        <v>137461</v>
      </c>
      <c r="I1135" s="497"/>
      <c r="J1135" s="446">
        <f>ROUNDDOWN(SUMIF(P1130:P1134,O1135,J1130:J1134),0)</f>
        <v>2949</v>
      </c>
      <c r="K1135" s="497"/>
      <c r="L1135" s="446">
        <f>ROUNDDOWN(SUMIF(P1130:P1134,O1135,L1130:L1134),0)</f>
        <v>711</v>
      </c>
      <c r="M1135" s="497"/>
      <c r="O1135" s="468" t="s">
        <v>2354</v>
      </c>
    </row>
    <row r="1136" spans="1:26" ht="33.200000000000003" customHeight="1">
      <c r="A1136" s="484" t="s">
        <v>2974</v>
      </c>
      <c r="B1136" s="484"/>
      <c r="C1136" s="485"/>
      <c r="D1136" s="485"/>
      <c r="E1136" s="485"/>
      <c r="F1136" s="485"/>
      <c r="G1136" s="485"/>
      <c r="H1136" s="485"/>
      <c r="I1136" s="485"/>
      <c r="J1136" s="485"/>
      <c r="K1136" s="485"/>
      <c r="L1136" s="485"/>
      <c r="M1136" s="485"/>
      <c r="N1136" s="486" t="str">
        <f>HYPERLINK("#N"&amp;ROW(N1142),"_x0005_`BDCOD|B02703_x0007_`POSS|"&amp;ROW(N1138)&amp;"_x0007_`POSE|"&amp;ROW(N1142)&amp;"_x0007_`")</f>
        <v>_x0005_`BDCOD|B02703_x0007_`POSS|1138_x0007_`POSE|1142_x0007_`</v>
      </c>
    </row>
    <row r="1137" spans="1:26" ht="33.200000000000003" customHeight="1">
      <c r="A1137" s="469" t="s">
        <v>2006</v>
      </c>
      <c r="B1137" s="469" t="s">
        <v>2047</v>
      </c>
      <c r="C1137" s="487"/>
      <c r="D1137" s="488" t="s">
        <v>1799</v>
      </c>
      <c r="E1137" s="487"/>
      <c r="F1137" s="487"/>
      <c r="G1137" s="487"/>
      <c r="H1137" s="487"/>
      <c r="I1137" s="487"/>
      <c r="J1137" s="487"/>
      <c r="K1137" s="487"/>
      <c r="L1137" s="487"/>
      <c r="M1137" s="488" t="s">
        <v>2048</v>
      </c>
      <c r="O1137" s="468" t="s">
        <v>2048</v>
      </c>
    </row>
    <row r="1138" spans="1:26" ht="33.200000000000003" customHeight="1">
      <c r="A1138" s="452" t="s">
        <v>2829</v>
      </c>
      <c r="B1138" s="452"/>
      <c r="C1138" s="489">
        <v>0.16600000000000001</v>
      </c>
      <c r="D1138" s="480" t="s">
        <v>585</v>
      </c>
      <c r="E1138" s="490">
        <f t="shared" ref="E1138:F1142" si="180">I1138+G1138+K1138</f>
        <v>253243</v>
      </c>
      <c r="F1138" s="493">
        <f t="shared" si="180"/>
        <v>42038.3</v>
      </c>
      <c r="G1138" s="494">
        <f>노무비목록표!E9</f>
        <v>253243</v>
      </c>
      <c r="H1138" s="495">
        <f>IF(C1138=0,0,ROUNDDOWN(G1138*C1138,1))</f>
        <v>42038.3</v>
      </c>
      <c r="I1138" s="492">
        <v>0</v>
      </c>
      <c r="J1138" s="491">
        <f>IF(C1138=0,0,ROUNDDOWN(I1138*C1138,1))</f>
        <v>0</v>
      </c>
      <c r="K1138" s="492">
        <v>0</v>
      </c>
      <c r="L1138" s="493">
        <f>IF(C1138=0,0,ROUNDDOWN(K1138*C1138,1))</f>
        <v>0</v>
      </c>
      <c r="M1138" s="463" t="s">
        <v>2830</v>
      </c>
      <c r="N1138" s="451" t="s">
        <v>2831</v>
      </c>
      <c r="O1138" s="468" t="s">
        <v>2832</v>
      </c>
      <c r="P1138" s="468" t="s">
        <v>2354</v>
      </c>
      <c r="Z1138" s="433" t="str">
        <f ca="1">HYPERLINK("#"&amp;노무비목록표!G2&amp;"!A"&amp;ROW(노무비목록표!A9),"L00188 →")</f>
        <v>L00188 →</v>
      </c>
    </row>
    <row r="1139" spans="1:26" ht="33.200000000000003" customHeight="1">
      <c r="A1139" s="452" t="s">
        <v>2360</v>
      </c>
      <c r="B1139" s="452"/>
      <c r="C1139" s="489">
        <v>0.66400000000000003</v>
      </c>
      <c r="D1139" s="480" t="s">
        <v>585</v>
      </c>
      <c r="E1139" s="490">
        <f t="shared" si="180"/>
        <v>172068</v>
      </c>
      <c r="F1139" s="493">
        <f t="shared" si="180"/>
        <v>114253.1</v>
      </c>
      <c r="G1139" s="494">
        <f>노무비목록표!E10</f>
        <v>172068</v>
      </c>
      <c r="H1139" s="495">
        <f>IF(C1139=0,0,ROUNDDOWN(G1139*C1139,1))</f>
        <v>114253.1</v>
      </c>
      <c r="I1139" s="492">
        <v>0</v>
      </c>
      <c r="J1139" s="491">
        <f>IF(C1139=0,0,ROUNDDOWN(I1139*C1139,1))</f>
        <v>0</v>
      </c>
      <c r="K1139" s="492">
        <v>0</v>
      </c>
      <c r="L1139" s="493">
        <f>IF(C1139=0,0,ROUNDDOWN(K1139*C1139,1))</f>
        <v>0</v>
      </c>
      <c r="M1139" s="463" t="s">
        <v>2361</v>
      </c>
      <c r="N1139" s="451" t="s">
        <v>2362</v>
      </c>
      <c r="O1139" s="468" t="s">
        <v>2363</v>
      </c>
      <c r="P1139" s="468" t="s">
        <v>2354</v>
      </c>
      <c r="Z1139" s="433" t="str">
        <f ca="1">HYPERLINK("#"&amp;노무비목록표!G2&amp;"!A"&amp;ROW(노무비목록표!A10),"L00017 →")</f>
        <v>L00017 →</v>
      </c>
    </row>
    <row r="1140" spans="1:26" ht="33.200000000000003" customHeight="1">
      <c r="A1140" s="452" t="s">
        <v>2833</v>
      </c>
      <c r="B1140" s="452"/>
      <c r="C1140" s="489">
        <v>1.335</v>
      </c>
      <c r="D1140" s="480" t="s">
        <v>2834</v>
      </c>
      <c r="E1140" s="490">
        <f t="shared" si="180"/>
        <v>607</v>
      </c>
      <c r="F1140" s="491">
        <f t="shared" si="180"/>
        <v>810.3</v>
      </c>
      <c r="G1140" s="492">
        <v>0</v>
      </c>
      <c r="H1140" s="491">
        <f>IF(C1140=0,0,ROUNDDOWN(G1140*C1140,1))</f>
        <v>0</v>
      </c>
      <c r="I1140" s="492">
        <v>0</v>
      </c>
      <c r="J1140" s="493">
        <f>IF(C1140=0,0,ROUNDDOWN(I1140*C1140,1))</f>
        <v>0</v>
      </c>
      <c r="K1140" s="494">
        <f>경비목록표!E13</f>
        <v>607</v>
      </c>
      <c r="L1140" s="498">
        <f>IF(C1140=0,0,ROUNDDOWN(K1140*C1140,1))</f>
        <v>810.3</v>
      </c>
      <c r="M1140" s="463" t="s">
        <v>2835</v>
      </c>
      <c r="N1140" s="451" t="s">
        <v>2836</v>
      </c>
      <c r="O1140" s="468" t="s">
        <v>2837</v>
      </c>
      <c r="P1140" s="468" t="s">
        <v>2354</v>
      </c>
      <c r="Z1140" s="433" t="str">
        <f ca="1">HYPERLINK("#"&amp;경비목록표!G2&amp;"!A"&amp;ROW(경비목록표!A13),"S00297 →")</f>
        <v>S00297 →</v>
      </c>
    </row>
    <row r="1141" spans="1:26" ht="33.200000000000003" customHeight="1">
      <c r="A1141" s="452" t="s">
        <v>2838</v>
      </c>
      <c r="B1141" s="452" t="s">
        <v>2839</v>
      </c>
      <c r="C1141" s="489">
        <v>0.93400000000000005</v>
      </c>
      <c r="D1141" s="480" t="s">
        <v>2840</v>
      </c>
      <c r="E1141" s="490">
        <f t="shared" si="180"/>
        <v>1472</v>
      </c>
      <c r="F1141" s="491">
        <f t="shared" si="180"/>
        <v>1374.8</v>
      </c>
      <c r="G1141" s="492">
        <v>0</v>
      </c>
      <c r="H1141" s="493">
        <f>IF(C1141=0,0,ROUNDDOWN(G1141*C1141,1))</f>
        <v>0</v>
      </c>
      <c r="I1141" s="494">
        <f>재료비목록표!E110</f>
        <v>1472</v>
      </c>
      <c r="J1141" s="495">
        <f>IF(C1141=0,0,ROUNDDOWN(I1141*C1141,1))</f>
        <v>1374.8</v>
      </c>
      <c r="K1141" s="492">
        <v>0</v>
      </c>
      <c r="L1141" s="493">
        <f>IF(C1141=0,0,ROUNDDOWN(K1141*C1141,1))</f>
        <v>0</v>
      </c>
      <c r="M1141" s="463" t="s">
        <v>2841</v>
      </c>
      <c r="N1141" s="451" t="s">
        <v>2842</v>
      </c>
      <c r="O1141" s="468" t="s">
        <v>2843</v>
      </c>
      <c r="P1141" s="468" t="s">
        <v>2354</v>
      </c>
      <c r="Z1141" s="433" t="str">
        <f ca="1">HYPERLINK("#"&amp;재료비목록표!G2&amp;"!A"&amp;ROW(재료비목록표!A110),"M00927 →")</f>
        <v>M00927 →</v>
      </c>
    </row>
    <row r="1142" spans="1:26" ht="33.200000000000003" customHeight="1">
      <c r="A1142" s="452" t="s">
        <v>2844</v>
      </c>
      <c r="B1142" s="452" t="s">
        <v>2845</v>
      </c>
      <c r="C1142" s="489">
        <v>0.38700000000000001</v>
      </c>
      <c r="D1142" s="480" t="s">
        <v>2840</v>
      </c>
      <c r="E1142" s="490">
        <f t="shared" si="180"/>
        <v>5141</v>
      </c>
      <c r="F1142" s="491">
        <f t="shared" si="180"/>
        <v>1989.5</v>
      </c>
      <c r="G1142" s="492">
        <v>0</v>
      </c>
      <c r="H1142" s="493">
        <f>IF(C1142=0,0,ROUNDDOWN(G1142*C1142,1))</f>
        <v>0</v>
      </c>
      <c r="I1142" s="494">
        <f>재료비목록표!E67</f>
        <v>5141</v>
      </c>
      <c r="J1142" s="495">
        <f>IF(C1142=0,0,ROUNDDOWN(I1142*C1142,1))</f>
        <v>1989.5</v>
      </c>
      <c r="K1142" s="492">
        <v>0</v>
      </c>
      <c r="L1142" s="493">
        <f>IF(C1142=0,0,ROUNDDOWN(K1142*C1142,1))</f>
        <v>0</v>
      </c>
      <c r="M1142" s="463" t="s">
        <v>2846</v>
      </c>
      <c r="N1142" s="451" t="s">
        <v>2847</v>
      </c>
      <c r="O1142" s="468" t="s">
        <v>2848</v>
      </c>
      <c r="P1142" s="468" t="s">
        <v>2354</v>
      </c>
      <c r="Z1142" s="433" t="str">
        <f ca="1">HYPERLINK("#"&amp;재료비목록표!G2&amp;"!A"&amp;ROW(재료비목록표!A67),"M08793 →")</f>
        <v>M08793 →</v>
      </c>
    </row>
    <row r="1143" spans="1:26" ht="33.200000000000003" customHeight="1">
      <c r="A1143" s="463" t="s">
        <v>842</v>
      </c>
      <c r="B1143" s="497"/>
      <c r="C1143" s="497"/>
      <c r="D1143" s="497"/>
      <c r="E1143" s="497"/>
      <c r="F1143" s="446">
        <f>J1143+H1143+L1143</f>
        <v>160465</v>
      </c>
      <c r="G1143" s="497"/>
      <c r="H1143" s="446">
        <f>ROUNDDOWN(SUMIF(P1138:P1142,O1143,H1138:H1142),0)</f>
        <v>156291</v>
      </c>
      <c r="I1143" s="497"/>
      <c r="J1143" s="446">
        <f>ROUNDDOWN(SUMIF(P1138:P1142,O1143,J1138:J1142),0)</f>
        <v>3364</v>
      </c>
      <c r="K1143" s="497"/>
      <c r="L1143" s="446">
        <f>ROUNDDOWN(SUMIF(P1138:P1142,O1143,L1138:L1142),0)</f>
        <v>810</v>
      </c>
      <c r="M1143" s="497"/>
      <c r="O1143" s="468" t="s">
        <v>2354</v>
      </c>
    </row>
    <row r="1144" spans="1:26" ht="33.200000000000003" customHeight="1">
      <c r="A1144" s="484" t="s">
        <v>2980</v>
      </c>
      <c r="B1144" s="484"/>
      <c r="C1144" s="485"/>
      <c r="D1144" s="485"/>
      <c r="E1144" s="485"/>
      <c r="F1144" s="485"/>
      <c r="G1144" s="485"/>
      <c r="H1144" s="485"/>
      <c r="I1144" s="485"/>
      <c r="J1144" s="485"/>
      <c r="K1144" s="485"/>
      <c r="L1144" s="485"/>
      <c r="M1144" s="485"/>
      <c r="N1144" s="486" t="str">
        <f>HYPERLINK("#N"&amp;ROW(N1150),"_x0005_`BDCOD|B02704_x0007_`POSS|"&amp;ROW(N1146)&amp;"_x0007_`POSE|"&amp;ROW(N1150)&amp;"_x0007_`")</f>
        <v>_x0005_`BDCOD|B02704_x0007_`POSS|1146_x0007_`POSE|1150_x0007_`</v>
      </c>
    </row>
    <row r="1145" spans="1:26" ht="33.200000000000003" customHeight="1">
      <c r="A1145" s="469" t="s">
        <v>2006</v>
      </c>
      <c r="B1145" s="469" t="s">
        <v>2051</v>
      </c>
      <c r="C1145" s="487"/>
      <c r="D1145" s="488" t="s">
        <v>1799</v>
      </c>
      <c r="E1145" s="487"/>
      <c r="F1145" s="487"/>
      <c r="G1145" s="487"/>
      <c r="H1145" s="487"/>
      <c r="I1145" s="487"/>
      <c r="J1145" s="487"/>
      <c r="K1145" s="487"/>
      <c r="L1145" s="487"/>
      <c r="M1145" s="488" t="s">
        <v>2052</v>
      </c>
      <c r="O1145" s="468" t="s">
        <v>2052</v>
      </c>
    </row>
    <row r="1146" spans="1:26" ht="33.200000000000003" customHeight="1">
      <c r="A1146" s="452" t="s">
        <v>2829</v>
      </c>
      <c r="B1146" s="452"/>
      <c r="C1146" s="489">
        <v>0.21</v>
      </c>
      <c r="D1146" s="480" t="s">
        <v>585</v>
      </c>
      <c r="E1146" s="490">
        <f t="shared" ref="E1146:F1150" si="181">I1146+G1146+K1146</f>
        <v>253243</v>
      </c>
      <c r="F1146" s="493">
        <f t="shared" si="181"/>
        <v>53181</v>
      </c>
      <c r="G1146" s="494">
        <f>노무비목록표!E9</f>
        <v>253243</v>
      </c>
      <c r="H1146" s="495">
        <f>IF(C1146=0,0,ROUNDDOWN(G1146*C1146,1))</f>
        <v>53181</v>
      </c>
      <c r="I1146" s="492">
        <v>0</v>
      </c>
      <c r="J1146" s="491">
        <f>IF(C1146=0,0,ROUNDDOWN(I1146*C1146,1))</f>
        <v>0</v>
      </c>
      <c r="K1146" s="492">
        <v>0</v>
      </c>
      <c r="L1146" s="493">
        <f>IF(C1146=0,0,ROUNDDOWN(K1146*C1146,1))</f>
        <v>0</v>
      </c>
      <c r="M1146" s="463" t="s">
        <v>2830</v>
      </c>
      <c r="N1146" s="451" t="s">
        <v>2831</v>
      </c>
      <c r="O1146" s="468" t="s">
        <v>2832</v>
      </c>
      <c r="P1146" s="468" t="s">
        <v>2354</v>
      </c>
      <c r="Z1146" s="433" t="str">
        <f ca="1">HYPERLINK("#"&amp;노무비목록표!G2&amp;"!A"&amp;ROW(노무비목록표!A9),"L00188 →")</f>
        <v>L00188 →</v>
      </c>
    </row>
    <row r="1147" spans="1:26" ht="33.200000000000003" customHeight="1">
      <c r="A1147" s="452" t="s">
        <v>2360</v>
      </c>
      <c r="B1147" s="452"/>
      <c r="C1147" s="489">
        <v>0.84</v>
      </c>
      <c r="D1147" s="480" t="s">
        <v>585</v>
      </c>
      <c r="E1147" s="490">
        <f t="shared" si="181"/>
        <v>172068</v>
      </c>
      <c r="F1147" s="493">
        <f t="shared" si="181"/>
        <v>144537.1</v>
      </c>
      <c r="G1147" s="494">
        <f>노무비목록표!E10</f>
        <v>172068</v>
      </c>
      <c r="H1147" s="495">
        <f>IF(C1147=0,0,ROUNDDOWN(G1147*C1147,1))</f>
        <v>144537.1</v>
      </c>
      <c r="I1147" s="492">
        <v>0</v>
      </c>
      <c r="J1147" s="491">
        <f>IF(C1147=0,0,ROUNDDOWN(I1147*C1147,1))</f>
        <v>0</v>
      </c>
      <c r="K1147" s="492">
        <v>0</v>
      </c>
      <c r="L1147" s="493">
        <f>IF(C1147=0,0,ROUNDDOWN(K1147*C1147,1))</f>
        <v>0</v>
      </c>
      <c r="M1147" s="463" t="s">
        <v>2361</v>
      </c>
      <c r="N1147" s="451" t="s">
        <v>2362</v>
      </c>
      <c r="O1147" s="468" t="s">
        <v>2363</v>
      </c>
      <c r="P1147" s="468" t="s">
        <v>2354</v>
      </c>
      <c r="Z1147" s="433" t="str">
        <f ca="1">HYPERLINK("#"&amp;노무비목록표!G2&amp;"!A"&amp;ROW(노무비목록표!A10),"L00017 →")</f>
        <v>L00017 →</v>
      </c>
    </row>
    <row r="1148" spans="1:26" ht="33.200000000000003" customHeight="1">
      <c r="A1148" s="452" t="s">
        <v>2833</v>
      </c>
      <c r="B1148" s="452"/>
      <c r="C1148" s="489">
        <v>1.68</v>
      </c>
      <c r="D1148" s="480" t="s">
        <v>2834</v>
      </c>
      <c r="E1148" s="490">
        <f t="shared" si="181"/>
        <v>607</v>
      </c>
      <c r="F1148" s="491">
        <f t="shared" si="181"/>
        <v>1019.7</v>
      </c>
      <c r="G1148" s="492">
        <v>0</v>
      </c>
      <c r="H1148" s="491">
        <f>IF(C1148=0,0,ROUNDDOWN(G1148*C1148,1))</f>
        <v>0</v>
      </c>
      <c r="I1148" s="492">
        <v>0</v>
      </c>
      <c r="J1148" s="493">
        <f>IF(C1148=0,0,ROUNDDOWN(I1148*C1148,1))</f>
        <v>0</v>
      </c>
      <c r="K1148" s="494">
        <f>경비목록표!E13</f>
        <v>607</v>
      </c>
      <c r="L1148" s="498">
        <f>IF(C1148=0,0,ROUNDDOWN(K1148*C1148,1))</f>
        <v>1019.7</v>
      </c>
      <c r="M1148" s="463" t="s">
        <v>2835</v>
      </c>
      <c r="N1148" s="451" t="s">
        <v>2836</v>
      </c>
      <c r="O1148" s="468" t="s">
        <v>2837</v>
      </c>
      <c r="P1148" s="468" t="s">
        <v>2354</v>
      </c>
      <c r="Z1148" s="433" t="str">
        <f ca="1">HYPERLINK("#"&amp;경비목록표!G2&amp;"!A"&amp;ROW(경비목록표!A13),"S00297 →")</f>
        <v>S00297 →</v>
      </c>
    </row>
    <row r="1149" spans="1:26" ht="33.200000000000003" customHeight="1">
      <c r="A1149" s="452" t="s">
        <v>2838</v>
      </c>
      <c r="B1149" s="452" t="s">
        <v>2839</v>
      </c>
      <c r="C1149" s="489">
        <v>1.1759999999999999</v>
      </c>
      <c r="D1149" s="480" t="s">
        <v>2840</v>
      </c>
      <c r="E1149" s="490">
        <f t="shared" si="181"/>
        <v>1472</v>
      </c>
      <c r="F1149" s="491">
        <f t="shared" si="181"/>
        <v>1731</v>
      </c>
      <c r="G1149" s="492">
        <v>0</v>
      </c>
      <c r="H1149" s="493">
        <f>IF(C1149=0,0,ROUNDDOWN(G1149*C1149,1))</f>
        <v>0</v>
      </c>
      <c r="I1149" s="494">
        <f>재료비목록표!E110</f>
        <v>1472</v>
      </c>
      <c r="J1149" s="495">
        <f>IF(C1149=0,0,ROUNDDOWN(I1149*C1149,1))</f>
        <v>1731</v>
      </c>
      <c r="K1149" s="492">
        <v>0</v>
      </c>
      <c r="L1149" s="493">
        <f>IF(C1149=0,0,ROUNDDOWN(K1149*C1149,1))</f>
        <v>0</v>
      </c>
      <c r="M1149" s="463" t="s">
        <v>2841</v>
      </c>
      <c r="N1149" s="451" t="s">
        <v>2842</v>
      </c>
      <c r="O1149" s="468" t="s">
        <v>2843</v>
      </c>
      <c r="P1149" s="468" t="s">
        <v>2354</v>
      </c>
      <c r="Z1149" s="433" t="str">
        <f ca="1">HYPERLINK("#"&amp;재료비목록표!G2&amp;"!A"&amp;ROW(재료비목록표!A110),"M00927 →")</f>
        <v>M00927 →</v>
      </c>
    </row>
    <row r="1150" spans="1:26" ht="33.200000000000003" customHeight="1">
      <c r="A1150" s="452" t="s">
        <v>2844</v>
      </c>
      <c r="B1150" s="452" t="s">
        <v>2845</v>
      </c>
      <c r="C1150" s="489">
        <v>0.48699999999999999</v>
      </c>
      <c r="D1150" s="480" t="s">
        <v>2840</v>
      </c>
      <c r="E1150" s="490">
        <f t="shared" si="181"/>
        <v>5141</v>
      </c>
      <c r="F1150" s="491">
        <f t="shared" si="181"/>
        <v>2503.6</v>
      </c>
      <c r="G1150" s="492">
        <v>0</v>
      </c>
      <c r="H1150" s="493">
        <f>IF(C1150=0,0,ROUNDDOWN(G1150*C1150,1))</f>
        <v>0</v>
      </c>
      <c r="I1150" s="494">
        <f>재료비목록표!E67</f>
        <v>5141</v>
      </c>
      <c r="J1150" s="495">
        <f>IF(C1150=0,0,ROUNDDOWN(I1150*C1150,1))</f>
        <v>2503.6</v>
      </c>
      <c r="K1150" s="492">
        <v>0</v>
      </c>
      <c r="L1150" s="493">
        <f>IF(C1150=0,0,ROUNDDOWN(K1150*C1150,1))</f>
        <v>0</v>
      </c>
      <c r="M1150" s="463" t="s">
        <v>2846</v>
      </c>
      <c r="N1150" s="451" t="s">
        <v>2847</v>
      </c>
      <c r="O1150" s="468" t="s">
        <v>2848</v>
      </c>
      <c r="P1150" s="468" t="s">
        <v>2354</v>
      </c>
      <c r="Z1150" s="433" t="str">
        <f ca="1">HYPERLINK("#"&amp;재료비목록표!G2&amp;"!A"&amp;ROW(재료비목록표!A67),"M08793 →")</f>
        <v>M08793 →</v>
      </c>
    </row>
    <row r="1151" spans="1:26" ht="33.200000000000003" customHeight="1">
      <c r="A1151" s="463" t="s">
        <v>842</v>
      </c>
      <c r="B1151" s="497"/>
      <c r="C1151" s="497"/>
      <c r="D1151" s="497"/>
      <c r="E1151" s="497"/>
      <c r="F1151" s="446">
        <f>J1151+H1151+L1151</f>
        <v>202971</v>
      </c>
      <c r="G1151" s="497"/>
      <c r="H1151" s="446">
        <f>ROUNDDOWN(SUMIF(P1146:P1150,O1151,H1146:H1150),0)</f>
        <v>197718</v>
      </c>
      <c r="I1151" s="497"/>
      <c r="J1151" s="446">
        <f>ROUNDDOWN(SUMIF(P1146:P1150,O1151,J1146:J1150),0)</f>
        <v>4234</v>
      </c>
      <c r="K1151" s="497"/>
      <c r="L1151" s="446">
        <f>ROUNDDOWN(SUMIF(P1146:P1150,O1151,L1146:L1150),0)</f>
        <v>1019</v>
      </c>
      <c r="M1151" s="497"/>
      <c r="O1151" s="468" t="s">
        <v>2354</v>
      </c>
    </row>
    <row r="1152" spans="1:26" ht="33.200000000000003" customHeight="1">
      <c r="A1152" s="484" t="s">
        <v>2981</v>
      </c>
      <c r="B1152" s="484"/>
      <c r="C1152" s="485"/>
      <c r="D1152" s="485"/>
      <c r="E1152" s="485"/>
      <c r="F1152" s="485"/>
      <c r="G1152" s="485"/>
      <c r="H1152" s="485"/>
      <c r="I1152" s="485"/>
      <c r="J1152" s="485"/>
      <c r="K1152" s="485"/>
      <c r="L1152" s="485"/>
      <c r="M1152" s="485"/>
      <c r="N1152" s="486" t="str">
        <f>HYPERLINK("#N"&amp;ROW(N1158),"_x0005_`BDCOD|B02705_x0007_`POSS|"&amp;ROW(N1154)&amp;"_x0007_`POSE|"&amp;ROW(N1158)&amp;"_x0007_`")</f>
        <v>_x0005_`BDCOD|B02705_x0007_`POSS|1154_x0007_`POSE|1158_x0007_`</v>
      </c>
    </row>
    <row r="1153" spans="1:26" ht="33.200000000000003" customHeight="1">
      <c r="A1153" s="469" t="s">
        <v>2006</v>
      </c>
      <c r="B1153" s="469" t="s">
        <v>2055</v>
      </c>
      <c r="C1153" s="487"/>
      <c r="D1153" s="488" t="s">
        <v>1799</v>
      </c>
      <c r="E1153" s="487"/>
      <c r="F1153" s="487"/>
      <c r="G1153" s="487"/>
      <c r="H1153" s="487"/>
      <c r="I1153" s="487"/>
      <c r="J1153" s="487"/>
      <c r="K1153" s="487"/>
      <c r="L1153" s="487"/>
      <c r="M1153" s="488" t="s">
        <v>2056</v>
      </c>
      <c r="O1153" s="468" t="s">
        <v>2056</v>
      </c>
    </row>
    <row r="1154" spans="1:26" ht="33.200000000000003" customHeight="1">
      <c r="A1154" s="452" t="s">
        <v>2829</v>
      </c>
      <c r="B1154" s="452"/>
      <c r="C1154" s="489">
        <v>0.311</v>
      </c>
      <c r="D1154" s="480" t="s">
        <v>585</v>
      </c>
      <c r="E1154" s="490">
        <f t="shared" ref="E1154:F1158" si="182">I1154+G1154+K1154</f>
        <v>253243</v>
      </c>
      <c r="F1154" s="493">
        <f t="shared" si="182"/>
        <v>78758.5</v>
      </c>
      <c r="G1154" s="494">
        <f>노무비목록표!E9</f>
        <v>253243</v>
      </c>
      <c r="H1154" s="495">
        <f>IF(C1154=0,0,ROUNDDOWN(G1154*C1154,1))</f>
        <v>78758.5</v>
      </c>
      <c r="I1154" s="492">
        <v>0</v>
      </c>
      <c r="J1154" s="491">
        <f>IF(C1154=0,0,ROUNDDOWN(I1154*C1154,1))</f>
        <v>0</v>
      </c>
      <c r="K1154" s="492">
        <v>0</v>
      </c>
      <c r="L1154" s="493">
        <f>IF(C1154=0,0,ROUNDDOWN(K1154*C1154,1))</f>
        <v>0</v>
      </c>
      <c r="M1154" s="463" t="s">
        <v>2830</v>
      </c>
      <c r="N1154" s="451" t="s">
        <v>2831</v>
      </c>
      <c r="O1154" s="468" t="s">
        <v>2832</v>
      </c>
      <c r="P1154" s="468" t="s">
        <v>2354</v>
      </c>
      <c r="Z1154" s="433" t="str">
        <f ca="1">HYPERLINK("#"&amp;노무비목록표!G2&amp;"!A"&amp;ROW(노무비목록표!A9),"L00188 →")</f>
        <v>L00188 →</v>
      </c>
    </row>
    <row r="1155" spans="1:26" ht="33.200000000000003" customHeight="1">
      <c r="A1155" s="452" t="s">
        <v>2360</v>
      </c>
      <c r="B1155" s="452"/>
      <c r="C1155" s="489">
        <v>1.244</v>
      </c>
      <c r="D1155" s="480" t="s">
        <v>585</v>
      </c>
      <c r="E1155" s="490">
        <f t="shared" si="182"/>
        <v>172068</v>
      </c>
      <c r="F1155" s="493">
        <f t="shared" si="182"/>
        <v>214052.5</v>
      </c>
      <c r="G1155" s="494">
        <f>노무비목록표!E10</f>
        <v>172068</v>
      </c>
      <c r="H1155" s="495">
        <f>IF(C1155=0,0,ROUNDDOWN(G1155*C1155,1))</f>
        <v>214052.5</v>
      </c>
      <c r="I1155" s="492">
        <v>0</v>
      </c>
      <c r="J1155" s="491">
        <f>IF(C1155=0,0,ROUNDDOWN(I1155*C1155,1))</f>
        <v>0</v>
      </c>
      <c r="K1155" s="492">
        <v>0</v>
      </c>
      <c r="L1155" s="493">
        <f>IF(C1155=0,0,ROUNDDOWN(K1155*C1155,1))</f>
        <v>0</v>
      </c>
      <c r="M1155" s="463" t="s">
        <v>2361</v>
      </c>
      <c r="N1155" s="451" t="s">
        <v>2362</v>
      </c>
      <c r="O1155" s="468" t="s">
        <v>2363</v>
      </c>
      <c r="P1155" s="468" t="s">
        <v>2354</v>
      </c>
      <c r="Z1155" s="433" t="str">
        <f ca="1">HYPERLINK("#"&amp;노무비목록표!G2&amp;"!A"&amp;ROW(노무비목록표!A10),"L00017 →")</f>
        <v>L00017 →</v>
      </c>
    </row>
    <row r="1156" spans="1:26" ht="33.200000000000003" customHeight="1">
      <c r="A1156" s="452" t="s">
        <v>2833</v>
      </c>
      <c r="B1156" s="452"/>
      <c r="C1156" s="489">
        <v>2.492</v>
      </c>
      <c r="D1156" s="480" t="s">
        <v>2834</v>
      </c>
      <c r="E1156" s="490">
        <f t="shared" si="182"/>
        <v>607</v>
      </c>
      <c r="F1156" s="491">
        <f t="shared" si="182"/>
        <v>1512.6</v>
      </c>
      <c r="G1156" s="492">
        <v>0</v>
      </c>
      <c r="H1156" s="491">
        <f>IF(C1156=0,0,ROUNDDOWN(G1156*C1156,1))</f>
        <v>0</v>
      </c>
      <c r="I1156" s="492">
        <v>0</v>
      </c>
      <c r="J1156" s="493">
        <f>IF(C1156=0,0,ROUNDDOWN(I1156*C1156,1))</f>
        <v>0</v>
      </c>
      <c r="K1156" s="494">
        <f>경비목록표!E13</f>
        <v>607</v>
      </c>
      <c r="L1156" s="498">
        <f>IF(C1156=0,0,ROUNDDOWN(K1156*C1156,1))</f>
        <v>1512.6</v>
      </c>
      <c r="M1156" s="463" t="s">
        <v>2835</v>
      </c>
      <c r="N1156" s="451" t="s">
        <v>2836</v>
      </c>
      <c r="O1156" s="468" t="s">
        <v>2837</v>
      </c>
      <c r="P1156" s="468" t="s">
        <v>2354</v>
      </c>
      <c r="Z1156" s="433" t="str">
        <f ca="1">HYPERLINK("#"&amp;경비목록표!G2&amp;"!A"&amp;ROW(경비목록표!A13),"S00297 →")</f>
        <v>S00297 →</v>
      </c>
    </row>
    <row r="1157" spans="1:26" ht="33.200000000000003" customHeight="1">
      <c r="A1157" s="452" t="s">
        <v>2838</v>
      </c>
      <c r="B1157" s="452" t="s">
        <v>2839</v>
      </c>
      <c r="C1157" s="489">
        <v>1.744</v>
      </c>
      <c r="D1157" s="480" t="s">
        <v>2840</v>
      </c>
      <c r="E1157" s="490">
        <f t="shared" si="182"/>
        <v>1472</v>
      </c>
      <c r="F1157" s="491">
        <f t="shared" si="182"/>
        <v>2567.1</v>
      </c>
      <c r="G1157" s="492">
        <v>0</v>
      </c>
      <c r="H1157" s="493">
        <f>IF(C1157=0,0,ROUNDDOWN(G1157*C1157,1))</f>
        <v>0</v>
      </c>
      <c r="I1157" s="494">
        <f>재료비목록표!E110</f>
        <v>1472</v>
      </c>
      <c r="J1157" s="495">
        <f>IF(C1157=0,0,ROUNDDOWN(I1157*C1157,1))</f>
        <v>2567.1</v>
      </c>
      <c r="K1157" s="492">
        <v>0</v>
      </c>
      <c r="L1157" s="493">
        <f>IF(C1157=0,0,ROUNDDOWN(K1157*C1157,1))</f>
        <v>0</v>
      </c>
      <c r="M1157" s="463" t="s">
        <v>2841</v>
      </c>
      <c r="N1157" s="451" t="s">
        <v>2842</v>
      </c>
      <c r="O1157" s="468" t="s">
        <v>2843</v>
      </c>
      <c r="P1157" s="468" t="s">
        <v>2354</v>
      </c>
      <c r="Z1157" s="433" t="str">
        <f ca="1">HYPERLINK("#"&amp;재료비목록표!G2&amp;"!A"&amp;ROW(재료비목록표!A110),"M00927 →")</f>
        <v>M00927 →</v>
      </c>
    </row>
    <row r="1158" spans="1:26" ht="33.200000000000003" customHeight="1">
      <c r="A1158" s="452" t="s">
        <v>2844</v>
      </c>
      <c r="B1158" s="452" t="s">
        <v>2845</v>
      </c>
      <c r="C1158" s="489">
        <v>0.72199999999999998</v>
      </c>
      <c r="D1158" s="480" t="s">
        <v>2840</v>
      </c>
      <c r="E1158" s="490">
        <f t="shared" si="182"/>
        <v>5141</v>
      </c>
      <c r="F1158" s="491">
        <f t="shared" si="182"/>
        <v>3711.8</v>
      </c>
      <c r="G1158" s="492">
        <v>0</v>
      </c>
      <c r="H1158" s="493">
        <f>IF(C1158=0,0,ROUNDDOWN(G1158*C1158,1))</f>
        <v>0</v>
      </c>
      <c r="I1158" s="494">
        <f>재료비목록표!E67</f>
        <v>5141</v>
      </c>
      <c r="J1158" s="495">
        <f>IF(C1158=0,0,ROUNDDOWN(I1158*C1158,1))</f>
        <v>3711.8</v>
      </c>
      <c r="K1158" s="492">
        <v>0</v>
      </c>
      <c r="L1158" s="493">
        <f>IF(C1158=0,0,ROUNDDOWN(K1158*C1158,1))</f>
        <v>0</v>
      </c>
      <c r="M1158" s="463" t="s">
        <v>2846</v>
      </c>
      <c r="N1158" s="451" t="s">
        <v>2847</v>
      </c>
      <c r="O1158" s="468" t="s">
        <v>2848</v>
      </c>
      <c r="P1158" s="468" t="s">
        <v>2354</v>
      </c>
      <c r="Z1158" s="433" t="str">
        <f ca="1">HYPERLINK("#"&amp;재료비목록표!G2&amp;"!A"&amp;ROW(재료비목록표!A67),"M08793 →")</f>
        <v>M08793 →</v>
      </c>
    </row>
    <row r="1159" spans="1:26" ht="33.200000000000003" customHeight="1">
      <c r="A1159" s="463" t="s">
        <v>842</v>
      </c>
      <c r="B1159" s="497"/>
      <c r="C1159" s="497"/>
      <c r="D1159" s="497"/>
      <c r="E1159" s="497"/>
      <c r="F1159" s="446">
        <f>J1159+H1159+L1159</f>
        <v>300601</v>
      </c>
      <c r="G1159" s="497"/>
      <c r="H1159" s="446">
        <f>ROUNDDOWN(SUMIF(P1154:P1158,O1159,H1154:H1158),0)</f>
        <v>292811</v>
      </c>
      <c r="I1159" s="497"/>
      <c r="J1159" s="446">
        <f>ROUNDDOWN(SUMIF(P1154:P1158,O1159,J1154:J1158),0)</f>
        <v>6278</v>
      </c>
      <c r="K1159" s="497"/>
      <c r="L1159" s="446">
        <f>ROUNDDOWN(SUMIF(P1154:P1158,O1159,L1154:L1158),0)</f>
        <v>1512</v>
      </c>
      <c r="M1159" s="497"/>
      <c r="O1159" s="468" t="s">
        <v>2354</v>
      </c>
    </row>
    <row r="1160" spans="1:26" ht="33.200000000000003" customHeight="1">
      <c r="A1160" s="484" t="s">
        <v>2982</v>
      </c>
      <c r="B1160" s="484"/>
      <c r="C1160" s="485"/>
      <c r="D1160" s="485"/>
      <c r="E1160" s="485"/>
      <c r="F1160" s="485"/>
      <c r="G1160" s="485"/>
      <c r="H1160" s="485"/>
      <c r="I1160" s="485"/>
      <c r="J1160" s="485"/>
      <c r="K1160" s="485"/>
      <c r="L1160" s="485"/>
      <c r="M1160" s="485"/>
      <c r="N1160" s="486" t="str">
        <f>HYPERLINK("#N"&amp;ROW(N1166),"_x0005_`BDCOD|B02706_x0007_`POSS|"&amp;ROW(N1162)&amp;"_x0007_`POSE|"&amp;ROW(N1166)&amp;"_x0007_`")</f>
        <v>_x0005_`BDCOD|B02706_x0007_`POSS|1162_x0007_`POSE|1166_x0007_`</v>
      </c>
    </row>
    <row r="1161" spans="1:26" ht="33.200000000000003" customHeight="1">
      <c r="A1161" s="469" t="s">
        <v>2006</v>
      </c>
      <c r="B1161" s="469" t="s">
        <v>2059</v>
      </c>
      <c r="C1161" s="487"/>
      <c r="D1161" s="488" t="s">
        <v>1799</v>
      </c>
      <c r="E1161" s="487"/>
      <c r="F1161" s="487"/>
      <c r="G1161" s="487"/>
      <c r="H1161" s="487"/>
      <c r="I1161" s="487"/>
      <c r="J1161" s="487"/>
      <c r="K1161" s="487"/>
      <c r="L1161" s="487"/>
      <c r="M1161" s="488" t="s">
        <v>2060</v>
      </c>
      <c r="O1161" s="468" t="s">
        <v>2060</v>
      </c>
    </row>
    <row r="1162" spans="1:26" ht="33.200000000000003" customHeight="1">
      <c r="A1162" s="452" t="s">
        <v>2829</v>
      </c>
      <c r="B1162" s="452"/>
      <c r="C1162" s="489">
        <v>0.52200000000000002</v>
      </c>
      <c r="D1162" s="480" t="s">
        <v>585</v>
      </c>
      <c r="E1162" s="490">
        <f t="shared" ref="E1162:F1166" si="183">I1162+G1162+K1162</f>
        <v>253243</v>
      </c>
      <c r="F1162" s="493">
        <f t="shared" si="183"/>
        <v>132192.79999999999</v>
      </c>
      <c r="G1162" s="494">
        <f>노무비목록표!E9</f>
        <v>253243</v>
      </c>
      <c r="H1162" s="495">
        <f>IF(C1162=0,0,ROUNDDOWN(G1162*C1162,1))</f>
        <v>132192.79999999999</v>
      </c>
      <c r="I1162" s="492">
        <v>0</v>
      </c>
      <c r="J1162" s="491">
        <f>IF(C1162=0,0,ROUNDDOWN(I1162*C1162,1))</f>
        <v>0</v>
      </c>
      <c r="K1162" s="492">
        <v>0</v>
      </c>
      <c r="L1162" s="493">
        <f>IF(C1162=0,0,ROUNDDOWN(K1162*C1162,1))</f>
        <v>0</v>
      </c>
      <c r="M1162" s="463" t="s">
        <v>2830</v>
      </c>
      <c r="N1162" s="451" t="s">
        <v>2831</v>
      </c>
      <c r="O1162" s="468" t="s">
        <v>2832</v>
      </c>
      <c r="P1162" s="468" t="s">
        <v>2354</v>
      </c>
      <c r="Z1162" s="433" t="str">
        <f ca="1">HYPERLINK("#"&amp;노무비목록표!G2&amp;"!A"&amp;ROW(노무비목록표!A9),"L00188 →")</f>
        <v>L00188 →</v>
      </c>
    </row>
    <row r="1163" spans="1:26" ht="33.200000000000003" customHeight="1">
      <c r="A1163" s="452" t="s">
        <v>2360</v>
      </c>
      <c r="B1163" s="452"/>
      <c r="C1163" s="489">
        <v>2.0880000000000001</v>
      </c>
      <c r="D1163" s="480" t="s">
        <v>585</v>
      </c>
      <c r="E1163" s="490">
        <f t="shared" si="183"/>
        <v>172068</v>
      </c>
      <c r="F1163" s="493">
        <f t="shared" si="183"/>
        <v>359277.9</v>
      </c>
      <c r="G1163" s="494">
        <f>노무비목록표!E10</f>
        <v>172068</v>
      </c>
      <c r="H1163" s="495">
        <f>IF(C1163=0,0,ROUNDDOWN(G1163*C1163,1))</f>
        <v>359277.9</v>
      </c>
      <c r="I1163" s="492">
        <v>0</v>
      </c>
      <c r="J1163" s="491">
        <f>IF(C1163=0,0,ROUNDDOWN(I1163*C1163,1))</f>
        <v>0</v>
      </c>
      <c r="K1163" s="492">
        <v>0</v>
      </c>
      <c r="L1163" s="493">
        <f>IF(C1163=0,0,ROUNDDOWN(K1163*C1163,1))</f>
        <v>0</v>
      </c>
      <c r="M1163" s="463" t="s">
        <v>2361</v>
      </c>
      <c r="N1163" s="451" t="s">
        <v>2362</v>
      </c>
      <c r="O1163" s="468" t="s">
        <v>2363</v>
      </c>
      <c r="P1163" s="468" t="s">
        <v>2354</v>
      </c>
      <c r="Z1163" s="433" t="str">
        <f ca="1">HYPERLINK("#"&amp;노무비목록표!G2&amp;"!A"&amp;ROW(노무비목록표!A10),"L00017 →")</f>
        <v>L00017 →</v>
      </c>
    </row>
    <row r="1164" spans="1:26" ht="33.200000000000003" customHeight="1">
      <c r="A1164" s="452" t="s">
        <v>2833</v>
      </c>
      <c r="B1164" s="452"/>
      <c r="C1164" s="489">
        <v>4.1769999999999996</v>
      </c>
      <c r="D1164" s="480" t="s">
        <v>2834</v>
      </c>
      <c r="E1164" s="490">
        <f t="shared" si="183"/>
        <v>607</v>
      </c>
      <c r="F1164" s="491">
        <f t="shared" si="183"/>
        <v>2535.4</v>
      </c>
      <c r="G1164" s="492">
        <v>0</v>
      </c>
      <c r="H1164" s="491">
        <f>IF(C1164=0,0,ROUNDDOWN(G1164*C1164,1))</f>
        <v>0</v>
      </c>
      <c r="I1164" s="492">
        <v>0</v>
      </c>
      <c r="J1164" s="493">
        <f>IF(C1164=0,0,ROUNDDOWN(I1164*C1164,1))</f>
        <v>0</v>
      </c>
      <c r="K1164" s="494">
        <f>경비목록표!E13</f>
        <v>607</v>
      </c>
      <c r="L1164" s="498">
        <f>IF(C1164=0,0,ROUNDDOWN(K1164*C1164,1))</f>
        <v>2535.4</v>
      </c>
      <c r="M1164" s="463" t="s">
        <v>2835</v>
      </c>
      <c r="N1164" s="451" t="s">
        <v>2836</v>
      </c>
      <c r="O1164" s="468" t="s">
        <v>2837</v>
      </c>
      <c r="P1164" s="468" t="s">
        <v>2354</v>
      </c>
      <c r="Z1164" s="433" t="str">
        <f ca="1">HYPERLINK("#"&amp;경비목록표!G2&amp;"!A"&amp;ROW(경비목록표!A13),"S00297 →")</f>
        <v>S00297 →</v>
      </c>
    </row>
    <row r="1165" spans="1:26" ht="33.200000000000003" customHeight="1">
      <c r="A1165" s="452" t="s">
        <v>2838</v>
      </c>
      <c r="B1165" s="452" t="s">
        <v>2839</v>
      </c>
      <c r="C1165" s="489">
        <v>2.923</v>
      </c>
      <c r="D1165" s="480" t="s">
        <v>2840</v>
      </c>
      <c r="E1165" s="490">
        <f t="shared" si="183"/>
        <v>1472</v>
      </c>
      <c r="F1165" s="491">
        <f t="shared" si="183"/>
        <v>4302.6000000000004</v>
      </c>
      <c r="G1165" s="492">
        <v>0</v>
      </c>
      <c r="H1165" s="493">
        <f>IF(C1165=0,0,ROUNDDOWN(G1165*C1165,1))</f>
        <v>0</v>
      </c>
      <c r="I1165" s="494">
        <f>재료비목록표!E110</f>
        <v>1472</v>
      </c>
      <c r="J1165" s="495">
        <f>IF(C1165=0,0,ROUNDDOWN(I1165*C1165,1))</f>
        <v>4302.6000000000004</v>
      </c>
      <c r="K1165" s="492">
        <v>0</v>
      </c>
      <c r="L1165" s="493">
        <f>IF(C1165=0,0,ROUNDDOWN(K1165*C1165,1))</f>
        <v>0</v>
      </c>
      <c r="M1165" s="463" t="s">
        <v>2841</v>
      </c>
      <c r="N1165" s="451" t="s">
        <v>2842</v>
      </c>
      <c r="O1165" s="468" t="s">
        <v>2843</v>
      </c>
      <c r="P1165" s="468" t="s">
        <v>2354</v>
      </c>
      <c r="Z1165" s="433" t="str">
        <f ca="1">HYPERLINK("#"&amp;재료비목록표!G2&amp;"!A"&amp;ROW(재료비목록표!A110),"M00927 →")</f>
        <v>M00927 →</v>
      </c>
    </row>
    <row r="1166" spans="1:26" ht="33.200000000000003" customHeight="1">
      <c r="A1166" s="452" t="s">
        <v>2844</v>
      </c>
      <c r="B1166" s="452" t="s">
        <v>2845</v>
      </c>
      <c r="C1166" s="489">
        <v>1.2110000000000001</v>
      </c>
      <c r="D1166" s="480" t="s">
        <v>2840</v>
      </c>
      <c r="E1166" s="490">
        <f t="shared" si="183"/>
        <v>5141</v>
      </c>
      <c r="F1166" s="491">
        <f t="shared" si="183"/>
        <v>6225.7</v>
      </c>
      <c r="G1166" s="492">
        <v>0</v>
      </c>
      <c r="H1166" s="493">
        <f>IF(C1166=0,0,ROUNDDOWN(G1166*C1166,1))</f>
        <v>0</v>
      </c>
      <c r="I1166" s="494">
        <f>재료비목록표!E67</f>
        <v>5141</v>
      </c>
      <c r="J1166" s="495">
        <f>IF(C1166=0,0,ROUNDDOWN(I1166*C1166,1))</f>
        <v>6225.7</v>
      </c>
      <c r="K1166" s="492">
        <v>0</v>
      </c>
      <c r="L1166" s="493">
        <f>IF(C1166=0,0,ROUNDDOWN(K1166*C1166,1))</f>
        <v>0</v>
      </c>
      <c r="M1166" s="463" t="s">
        <v>2846</v>
      </c>
      <c r="N1166" s="451" t="s">
        <v>2847</v>
      </c>
      <c r="O1166" s="468" t="s">
        <v>2848</v>
      </c>
      <c r="P1166" s="468" t="s">
        <v>2354</v>
      </c>
      <c r="Z1166" s="433" t="str">
        <f ca="1">HYPERLINK("#"&amp;재료비목록표!G2&amp;"!A"&amp;ROW(재료비목록표!A67),"M08793 →")</f>
        <v>M08793 →</v>
      </c>
    </row>
    <row r="1167" spans="1:26" ht="33.200000000000003" customHeight="1">
      <c r="A1167" s="463" t="s">
        <v>842</v>
      </c>
      <c r="B1167" s="497"/>
      <c r="C1167" s="497"/>
      <c r="D1167" s="497"/>
      <c r="E1167" s="497"/>
      <c r="F1167" s="446">
        <f>J1167+H1167+L1167</f>
        <v>504533</v>
      </c>
      <c r="G1167" s="497"/>
      <c r="H1167" s="446">
        <f>ROUNDDOWN(SUMIF(P1162:P1166,O1167,H1162:H1166),0)</f>
        <v>491470</v>
      </c>
      <c r="I1167" s="497"/>
      <c r="J1167" s="446">
        <f>ROUNDDOWN(SUMIF(P1162:P1166,O1167,J1162:J1166),0)</f>
        <v>10528</v>
      </c>
      <c r="K1167" s="497"/>
      <c r="L1167" s="446">
        <f>ROUNDDOWN(SUMIF(P1162:P1166,O1167,L1162:L1166),0)</f>
        <v>2535</v>
      </c>
      <c r="M1167" s="497"/>
      <c r="O1167" s="468" t="s">
        <v>2354</v>
      </c>
    </row>
    <row r="1168" spans="1:26" ht="33.200000000000003" customHeight="1">
      <c r="A1168" s="484" t="s">
        <v>2983</v>
      </c>
      <c r="B1168" s="484"/>
      <c r="C1168" s="485"/>
      <c r="D1168" s="485"/>
      <c r="E1168" s="485"/>
      <c r="F1168" s="485"/>
      <c r="G1168" s="485"/>
      <c r="H1168" s="485"/>
      <c r="I1168" s="485"/>
      <c r="J1168" s="485"/>
      <c r="K1168" s="485"/>
      <c r="L1168" s="485"/>
      <c r="M1168" s="485"/>
      <c r="N1168" s="486" t="str">
        <f>HYPERLINK("#N"&amp;ROW(N1174),"_x0005_`BDCOD|B02707_x0007_`POSS|"&amp;ROW(N1170)&amp;"_x0007_`POSE|"&amp;ROW(N1174)&amp;"_x0007_`")</f>
        <v>_x0005_`BDCOD|B02707_x0007_`POSS|1170_x0007_`POSE|1174_x0007_`</v>
      </c>
    </row>
    <row r="1169" spans="1:26" ht="33.200000000000003" customHeight="1">
      <c r="A1169" s="469" t="s">
        <v>2006</v>
      </c>
      <c r="B1169" s="469" t="s">
        <v>2063</v>
      </c>
      <c r="C1169" s="487"/>
      <c r="D1169" s="488" t="s">
        <v>1799</v>
      </c>
      <c r="E1169" s="487"/>
      <c r="F1169" s="487"/>
      <c r="G1169" s="487"/>
      <c r="H1169" s="487"/>
      <c r="I1169" s="487"/>
      <c r="J1169" s="487"/>
      <c r="K1169" s="487"/>
      <c r="L1169" s="487"/>
      <c r="M1169" s="488" t="s">
        <v>2064</v>
      </c>
      <c r="O1169" s="468" t="s">
        <v>2064</v>
      </c>
    </row>
    <row r="1170" spans="1:26" ht="33.200000000000003" customHeight="1">
      <c r="A1170" s="452" t="s">
        <v>2829</v>
      </c>
      <c r="B1170" s="452"/>
      <c r="C1170" s="489">
        <v>0.69799999999999995</v>
      </c>
      <c r="D1170" s="480" t="s">
        <v>585</v>
      </c>
      <c r="E1170" s="490">
        <f t="shared" ref="E1170:F1174" si="184">I1170+G1170+K1170</f>
        <v>253243</v>
      </c>
      <c r="F1170" s="493">
        <f t="shared" si="184"/>
        <v>176763.6</v>
      </c>
      <c r="G1170" s="494">
        <f>노무비목록표!E9</f>
        <v>253243</v>
      </c>
      <c r="H1170" s="495">
        <f>IF(C1170=0,0,ROUNDDOWN(G1170*C1170,1))</f>
        <v>176763.6</v>
      </c>
      <c r="I1170" s="492">
        <v>0</v>
      </c>
      <c r="J1170" s="491">
        <f>IF(C1170=0,0,ROUNDDOWN(I1170*C1170,1))</f>
        <v>0</v>
      </c>
      <c r="K1170" s="492">
        <v>0</v>
      </c>
      <c r="L1170" s="493">
        <f>IF(C1170=0,0,ROUNDDOWN(K1170*C1170,1))</f>
        <v>0</v>
      </c>
      <c r="M1170" s="463" t="s">
        <v>2830</v>
      </c>
      <c r="N1170" s="451" t="s">
        <v>2831</v>
      </c>
      <c r="O1170" s="468" t="s">
        <v>2832</v>
      </c>
      <c r="P1170" s="468" t="s">
        <v>2354</v>
      </c>
      <c r="Z1170" s="433" t="str">
        <f ca="1">HYPERLINK("#"&amp;노무비목록표!G2&amp;"!A"&amp;ROW(노무비목록표!A9),"L00188 →")</f>
        <v>L00188 →</v>
      </c>
    </row>
    <row r="1171" spans="1:26" ht="33.200000000000003" customHeight="1">
      <c r="A1171" s="452" t="s">
        <v>2360</v>
      </c>
      <c r="B1171" s="452"/>
      <c r="C1171" s="489">
        <v>2.7919999999999998</v>
      </c>
      <c r="D1171" s="480" t="s">
        <v>585</v>
      </c>
      <c r="E1171" s="490">
        <f t="shared" si="184"/>
        <v>172068</v>
      </c>
      <c r="F1171" s="493">
        <f t="shared" si="184"/>
        <v>480413.8</v>
      </c>
      <c r="G1171" s="494">
        <f>노무비목록표!E10</f>
        <v>172068</v>
      </c>
      <c r="H1171" s="495">
        <f>IF(C1171=0,0,ROUNDDOWN(G1171*C1171,1))</f>
        <v>480413.8</v>
      </c>
      <c r="I1171" s="492">
        <v>0</v>
      </c>
      <c r="J1171" s="491">
        <f>IF(C1171=0,0,ROUNDDOWN(I1171*C1171,1))</f>
        <v>0</v>
      </c>
      <c r="K1171" s="492">
        <v>0</v>
      </c>
      <c r="L1171" s="493">
        <f>IF(C1171=0,0,ROUNDDOWN(K1171*C1171,1))</f>
        <v>0</v>
      </c>
      <c r="M1171" s="463" t="s">
        <v>2361</v>
      </c>
      <c r="N1171" s="451" t="s">
        <v>2362</v>
      </c>
      <c r="O1171" s="468" t="s">
        <v>2363</v>
      </c>
      <c r="P1171" s="468" t="s">
        <v>2354</v>
      </c>
      <c r="Z1171" s="433" t="str">
        <f ca="1">HYPERLINK("#"&amp;노무비목록표!G2&amp;"!A"&amp;ROW(노무비목록표!A10),"L00017 →")</f>
        <v>L00017 →</v>
      </c>
    </row>
    <row r="1172" spans="1:26" ht="33.200000000000003" customHeight="1">
      <c r="A1172" s="452" t="s">
        <v>2833</v>
      </c>
      <c r="B1172" s="452"/>
      <c r="C1172" s="489">
        <v>5.5860000000000003</v>
      </c>
      <c r="D1172" s="480" t="s">
        <v>2834</v>
      </c>
      <c r="E1172" s="490">
        <f t="shared" si="184"/>
        <v>607</v>
      </c>
      <c r="F1172" s="491">
        <f t="shared" si="184"/>
        <v>3390.7</v>
      </c>
      <c r="G1172" s="492">
        <v>0</v>
      </c>
      <c r="H1172" s="491">
        <f>IF(C1172=0,0,ROUNDDOWN(G1172*C1172,1))</f>
        <v>0</v>
      </c>
      <c r="I1172" s="492">
        <v>0</v>
      </c>
      <c r="J1172" s="493">
        <f>IF(C1172=0,0,ROUNDDOWN(I1172*C1172,1))</f>
        <v>0</v>
      </c>
      <c r="K1172" s="494">
        <f>경비목록표!E13</f>
        <v>607</v>
      </c>
      <c r="L1172" s="498">
        <f>IF(C1172=0,0,ROUNDDOWN(K1172*C1172,1))</f>
        <v>3390.7</v>
      </c>
      <c r="M1172" s="463" t="s">
        <v>2835</v>
      </c>
      <c r="N1172" s="451" t="s">
        <v>2836</v>
      </c>
      <c r="O1172" s="468" t="s">
        <v>2837</v>
      </c>
      <c r="P1172" s="468" t="s">
        <v>2354</v>
      </c>
      <c r="Z1172" s="433" t="str">
        <f ca="1">HYPERLINK("#"&amp;경비목록표!G2&amp;"!A"&amp;ROW(경비목록표!A13),"S00297 →")</f>
        <v>S00297 →</v>
      </c>
    </row>
    <row r="1173" spans="1:26" ht="33.200000000000003" customHeight="1">
      <c r="A1173" s="452" t="s">
        <v>2838</v>
      </c>
      <c r="B1173" s="452" t="s">
        <v>2839</v>
      </c>
      <c r="C1173" s="489">
        <v>3.91</v>
      </c>
      <c r="D1173" s="480" t="s">
        <v>2840</v>
      </c>
      <c r="E1173" s="490">
        <f t="shared" si="184"/>
        <v>1472</v>
      </c>
      <c r="F1173" s="491">
        <f t="shared" si="184"/>
        <v>5755.5</v>
      </c>
      <c r="G1173" s="492">
        <v>0</v>
      </c>
      <c r="H1173" s="493">
        <f>IF(C1173=0,0,ROUNDDOWN(G1173*C1173,1))</f>
        <v>0</v>
      </c>
      <c r="I1173" s="494">
        <f>재료비목록표!E110</f>
        <v>1472</v>
      </c>
      <c r="J1173" s="495">
        <f>IF(C1173=0,0,ROUNDDOWN(I1173*C1173,1))</f>
        <v>5755.5</v>
      </c>
      <c r="K1173" s="492">
        <v>0</v>
      </c>
      <c r="L1173" s="493">
        <f>IF(C1173=0,0,ROUNDDOWN(K1173*C1173,1))</f>
        <v>0</v>
      </c>
      <c r="M1173" s="463" t="s">
        <v>2841</v>
      </c>
      <c r="N1173" s="451" t="s">
        <v>2842</v>
      </c>
      <c r="O1173" s="468" t="s">
        <v>2843</v>
      </c>
      <c r="P1173" s="468" t="s">
        <v>2354</v>
      </c>
      <c r="Z1173" s="433" t="str">
        <f ca="1">HYPERLINK("#"&amp;재료비목록표!G2&amp;"!A"&amp;ROW(재료비목록표!A110),"M00927 →")</f>
        <v>M00927 →</v>
      </c>
    </row>
    <row r="1174" spans="1:26" ht="33.200000000000003" customHeight="1">
      <c r="A1174" s="452" t="s">
        <v>2844</v>
      </c>
      <c r="B1174" s="452" t="s">
        <v>2845</v>
      </c>
      <c r="C1174" s="489">
        <v>1.619</v>
      </c>
      <c r="D1174" s="480" t="s">
        <v>2840</v>
      </c>
      <c r="E1174" s="490">
        <f t="shared" si="184"/>
        <v>5141</v>
      </c>
      <c r="F1174" s="491">
        <f t="shared" si="184"/>
        <v>8323.2000000000007</v>
      </c>
      <c r="G1174" s="492">
        <v>0</v>
      </c>
      <c r="H1174" s="493">
        <f>IF(C1174=0,0,ROUNDDOWN(G1174*C1174,1))</f>
        <v>0</v>
      </c>
      <c r="I1174" s="494">
        <f>재료비목록표!E67</f>
        <v>5141</v>
      </c>
      <c r="J1174" s="495">
        <f>IF(C1174=0,0,ROUNDDOWN(I1174*C1174,1))</f>
        <v>8323.2000000000007</v>
      </c>
      <c r="K1174" s="492">
        <v>0</v>
      </c>
      <c r="L1174" s="493">
        <f>IF(C1174=0,0,ROUNDDOWN(K1174*C1174,1))</f>
        <v>0</v>
      </c>
      <c r="M1174" s="463" t="s">
        <v>2846</v>
      </c>
      <c r="N1174" s="451" t="s">
        <v>2847</v>
      </c>
      <c r="O1174" s="468" t="s">
        <v>2848</v>
      </c>
      <c r="P1174" s="468" t="s">
        <v>2354</v>
      </c>
      <c r="Z1174" s="433" t="str">
        <f ca="1">HYPERLINK("#"&amp;재료비목록표!G2&amp;"!A"&amp;ROW(재료비목록표!A67),"M08793 →")</f>
        <v>M08793 →</v>
      </c>
    </row>
    <row r="1175" spans="1:26" ht="33.200000000000003" customHeight="1">
      <c r="A1175" s="463" t="s">
        <v>842</v>
      </c>
      <c r="B1175" s="497"/>
      <c r="C1175" s="497"/>
      <c r="D1175" s="497"/>
      <c r="E1175" s="497"/>
      <c r="F1175" s="446">
        <f>J1175+H1175+L1175</f>
        <v>674645</v>
      </c>
      <c r="G1175" s="497"/>
      <c r="H1175" s="446">
        <f>ROUNDDOWN(SUMIF(P1170:P1174,O1175,H1170:H1174),0)</f>
        <v>657177</v>
      </c>
      <c r="I1175" s="497"/>
      <c r="J1175" s="446">
        <f>ROUNDDOWN(SUMIF(P1170:P1174,O1175,J1170:J1174),0)</f>
        <v>14078</v>
      </c>
      <c r="K1175" s="497"/>
      <c r="L1175" s="446">
        <f>ROUNDDOWN(SUMIF(P1170:P1174,O1175,L1170:L1174),0)</f>
        <v>3390</v>
      </c>
      <c r="M1175" s="497"/>
      <c r="O1175" s="468" t="s">
        <v>2354</v>
      </c>
    </row>
    <row r="1176" spans="1:26" ht="33.200000000000003" customHeight="1">
      <c r="A1176" s="484" t="s">
        <v>2984</v>
      </c>
      <c r="B1176" s="484"/>
      <c r="C1176" s="485"/>
      <c r="D1176" s="485"/>
      <c r="E1176" s="485"/>
      <c r="F1176" s="485"/>
      <c r="G1176" s="485"/>
      <c r="H1176" s="485"/>
      <c r="I1176" s="485"/>
      <c r="J1176" s="485"/>
      <c r="K1176" s="485"/>
      <c r="L1176" s="485"/>
      <c r="M1176" s="485"/>
      <c r="N1176" s="486" t="str">
        <f>HYPERLINK("#N"&amp;ROW(N1182),"_x0005_`BDCOD|B02708_x0007_`POSS|"&amp;ROW(N1178)&amp;"_x0007_`POSE|"&amp;ROW(N1182)&amp;"_x0007_`")</f>
        <v>_x0005_`BDCOD|B02708_x0007_`POSS|1178_x0007_`POSE|1182_x0007_`</v>
      </c>
    </row>
    <row r="1177" spans="1:26" ht="33.200000000000003" customHeight="1">
      <c r="A1177" s="469" t="s">
        <v>2006</v>
      </c>
      <c r="B1177" s="469" t="s">
        <v>2067</v>
      </c>
      <c r="C1177" s="487"/>
      <c r="D1177" s="488" t="s">
        <v>1799</v>
      </c>
      <c r="E1177" s="487"/>
      <c r="F1177" s="487"/>
      <c r="G1177" s="487"/>
      <c r="H1177" s="487"/>
      <c r="I1177" s="487"/>
      <c r="J1177" s="487"/>
      <c r="K1177" s="487"/>
      <c r="L1177" s="487"/>
      <c r="M1177" s="488" t="s">
        <v>2068</v>
      </c>
      <c r="O1177" s="468" t="s">
        <v>2068</v>
      </c>
    </row>
    <row r="1178" spans="1:26" ht="33.200000000000003" customHeight="1">
      <c r="A1178" s="452" t="s">
        <v>2829</v>
      </c>
      <c r="B1178" s="452"/>
      <c r="C1178" s="489">
        <v>1.028</v>
      </c>
      <c r="D1178" s="480" t="s">
        <v>585</v>
      </c>
      <c r="E1178" s="490">
        <f t="shared" ref="E1178:F1182" si="185">I1178+G1178+K1178</f>
        <v>253243</v>
      </c>
      <c r="F1178" s="493">
        <f t="shared" si="185"/>
        <v>260333.8</v>
      </c>
      <c r="G1178" s="494">
        <f>노무비목록표!E9</f>
        <v>253243</v>
      </c>
      <c r="H1178" s="495">
        <f>IF(C1178=0,0,ROUNDDOWN(G1178*C1178,1))</f>
        <v>260333.8</v>
      </c>
      <c r="I1178" s="492">
        <v>0</v>
      </c>
      <c r="J1178" s="491">
        <f>IF(C1178=0,0,ROUNDDOWN(I1178*C1178,1))</f>
        <v>0</v>
      </c>
      <c r="K1178" s="492">
        <v>0</v>
      </c>
      <c r="L1178" s="493">
        <f>IF(C1178=0,0,ROUNDDOWN(K1178*C1178,1))</f>
        <v>0</v>
      </c>
      <c r="M1178" s="463" t="s">
        <v>2830</v>
      </c>
      <c r="N1178" s="451" t="s">
        <v>2831</v>
      </c>
      <c r="O1178" s="468" t="s">
        <v>2832</v>
      </c>
      <c r="P1178" s="468" t="s">
        <v>2354</v>
      </c>
      <c r="Z1178" s="433" t="str">
        <f ca="1">HYPERLINK("#"&amp;노무비목록표!G2&amp;"!A"&amp;ROW(노무비목록표!A9),"L00188 →")</f>
        <v>L00188 →</v>
      </c>
    </row>
    <row r="1179" spans="1:26" ht="33.200000000000003" customHeight="1">
      <c r="A1179" s="452" t="s">
        <v>2360</v>
      </c>
      <c r="B1179" s="452"/>
      <c r="C1179" s="489">
        <v>4.1120000000000001</v>
      </c>
      <c r="D1179" s="480" t="s">
        <v>585</v>
      </c>
      <c r="E1179" s="490">
        <f t="shared" si="185"/>
        <v>172068</v>
      </c>
      <c r="F1179" s="493">
        <f t="shared" si="185"/>
        <v>707543.6</v>
      </c>
      <c r="G1179" s="494">
        <f>노무비목록표!E10</f>
        <v>172068</v>
      </c>
      <c r="H1179" s="495">
        <f>IF(C1179=0,0,ROUNDDOWN(G1179*C1179,1))</f>
        <v>707543.6</v>
      </c>
      <c r="I1179" s="492">
        <v>0</v>
      </c>
      <c r="J1179" s="491">
        <f>IF(C1179=0,0,ROUNDDOWN(I1179*C1179,1))</f>
        <v>0</v>
      </c>
      <c r="K1179" s="492">
        <v>0</v>
      </c>
      <c r="L1179" s="493">
        <f>IF(C1179=0,0,ROUNDDOWN(K1179*C1179,1))</f>
        <v>0</v>
      </c>
      <c r="M1179" s="463" t="s">
        <v>2361</v>
      </c>
      <c r="N1179" s="451" t="s">
        <v>2362</v>
      </c>
      <c r="O1179" s="468" t="s">
        <v>2363</v>
      </c>
      <c r="P1179" s="468" t="s">
        <v>2354</v>
      </c>
      <c r="Z1179" s="433" t="str">
        <f ca="1">HYPERLINK("#"&amp;노무비목록표!G2&amp;"!A"&amp;ROW(노무비목록표!A10),"L00017 →")</f>
        <v>L00017 →</v>
      </c>
    </row>
    <row r="1180" spans="1:26" ht="33.200000000000003" customHeight="1">
      <c r="A1180" s="452" t="s">
        <v>2833</v>
      </c>
      <c r="B1180" s="452"/>
      <c r="C1180" s="489">
        <v>8.2260000000000009</v>
      </c>
      <c r="D1180" s="480" t="s">
        <v>2834</v>
      </c>
      <c r="E1180" s="490">
        <f t="shared" si="185"/>
        <v>607</v>
      </c>
      <c r="F1180" s="491">
        <f t="shared" si="185"/>
        <v>4993.1000000000004</v>
      </c>
      <c r="G1180" s="492">
        <v>0</v>
      </c>
      <c r="H1180" s="491">
        <f>IF(C1180=0,0,ROUNDDOWN(G1180*C1180,1))</f>
        <v>0</v>
      </c>
      <c r="I1180" s="492">
        <v>0</v>
      </c>
      <c r="J1180" s="493">
        <f>IF(C1180=0,0,ROUNDDOWN(I1180*C1180,1))</f>
        <v>0</v>
      </c>
      <c r="K1180" s="494">
        <f>경비목록표!E13</f>
        <v>607</v>
      </c>
      <c r="L1180" s="498">
        <f>IF(C1180=0,0,ROUNDDOWN(K1180*C1180,1))</f>
        <v>4993.1000000000004</v>
      </c>
      <c r="M1180" s="463" t="s">
        <v>2835</v>
      </c>
      <c r="N1180" s="451" t="s">
        <v>2836</v>
      </c>
      <c r="O1180" s="468" t="s">
        <v>2837</v>
      </c>
      <c r="P1180" s="468" t="s">
        <v>2354</v>
      </c>
      <c r="Z1180" s="433" t="str">
        <f ca="1">HYPERLINK("#"&amp;경비목록표!G2&amp;"!A"&amp;ROW(경비목록표!A13),"S00297 →")</f>
        <v>S00297 →</v>
      </c>
    </row>
    <row r="1181" spans="1:26" ht="33.200000000000003" customHeight="1">
      <c r="A1181" s="452" t="s">
        <v>2838</v>
      </c>
      <c r="B1181" s="452" t="s">
        <v>2839</v>
      </c>
      <c r="C1181" s="489">
        <v>5.758</v>
      </c>
      <c r="D1181" s="480" t="s">
        <v>2840</v>
      </c>
      <c r="E1181" s="490">
        <f t="shared" si="185"/>
        <v>1472</v>
      </c>
      <c r="F1181" s="491">
        <f t="shared" si="185"/>
        <v>8475.7000000000007</v>
      </c>
      <c r="G1181" s="492">
        <v>0</v>
      </c>
      <c r="H1181" s="493">
        <f>IF(C1181=0,0,ROUNDDOWN(G1181*C1181,1))</f>
        <v>0</v>
      </c>
      <c r="I1181" s="494">
        <f>재료비목록표!E110</f>
        <v>1472</v>
      </c>
      <c r="J1181" s="495">
        <f>IF(C1181=0,0,ROUNDDOWN(I1181*C1181,1))</f>
        <v>8475.7000000000007</v>
      </c>
      <c r="K1181" s="492">
        <v>0</v>
      </c>
      <c r="L1181" s="493">
        <f>IF(C1181=0,0,ROUNDDOWN(K1181*C1181,1))</f>
        <v>0</v>
      </c>
      <c r="M1181" s="463" t="s">
        <v>2841</v>
      </c>
      <c r="N1181" s="451" t="s">
        <v>2842</v>
      </c>
      <c r="O1181" s="468" t="s">
        <v>2843</v>
      </c>
      <c r="P1181" s="468" t="s">
        <v>2354</v>
      </c>
      <c r="Z1181" s="433" t="str">
        <f ca="1">HYPERLINK("#"&amp;재료비목록표!G2&amp;"!A"&amp;ROW(재료비목록표!A110),"M00927 →")</f>
        <v>M00927 →</v>
      </c>
    </row>
    <row r="1182" spans="1:26" ht="33.200000000000003" customHeight="1">
      <c r="A1182" s="452" t="s">
        <v>2844</v>
      </c>
      <c r="B1182" s="452" t="s">
        <v>2845</v>
      </c>
      <c r="C1182" s="489">
        <v>2.3849999999999998</v>
      </c>
      <c r="D1182" s="480" t="s">
        <v>2840</v>
      </c>
      <c r="E1182" s="490">
        <f t="shared" si="185"/>
        <v>5141</v>
      </c>
      <c r="F1182" s="491">
        <f t="shared" si="185"/>
        <v>12261.2</v>
      </c>
      <c r="G1182" s="492">
        <v>0</v>
      </c>
      <c r="H1182" s="493">
        <f>IF(C1182=0,0,ROUNDDOWN(G1182*C1182,1))</f>
        <v>0</v>
      </c>
      <c r="I1182" s="494">
        <f>재료비목록표!E67</f>
        <v>5141</v>
      </c>
      <c r="J1182" s="495">
        <f>IF(C1182=0,0,ROUNDDOWN(I1182*C1182,1))</f>
        <v>12261.2</v>
      </c>
      <c r="K1182" s="492">
        <v>0</v>
      </c>
      <c r="L1182" s="493">
        <f>IF(C1182=0,0,ROUNDDOWN(K1182*C1182,1))</f>
        <v>0</v>
      </c>
      <c r="M1182" s="463" t="s">
        <v>2846</v>
      </c>
      <c r="N1182" s="451" t="s">
        <v>2847</v>
      </c>
      <c r="O1182" s="468" t="s">
        <v>2848</v>
      </c>
      <c r="P1182" s="468" t="s">
        <v>2354</v>
      </c>
      <c r="Z1182" s="433" t="str">
        <f ca="1">HYPERLINK("#"&amp;재료비목록표!G2&amp;"!A"&amp;ROW(재료비목록표!A67),"M08793 →")</f>
        <v>M08793 →</v>
      </c>
    </row>
    <row r="1183" spans="1:26" ht="33.200000000000003" customHeight="1">
      <c r="A1183" s="463" t="s">
        <v>842</v>
      </c>
      <c r="B1183" s="497"/>
      <c r="C1183" s="497"/>
      <c r="D1183" s="497"/>
      <c r="E1183" s="497"/>
      <c r="F1183" s="446">
        <f>J1183+H1183+L1183</f>
        <v>993606</v>
      </c>
      <c r="G1183" s="497"/>
      <c r="H1183" s="446">
        <f>ROUNDDOWN(SUMIF(P1178:P1182,O1183,H1178:H1182),0)</f>
        <v>967877</v>
      </c>
      <c r="I1183" s="497"/>
      <c r="J1183" s="446">
        <f>ROUNDDOWN(SUMIF(P1178:P1182,O1183,J1178:J1182),0)</f>
        <v>20736</v>
      </c>
      <c r="K1183" s="497"/>
      <c r="L1183" s="446">
        <f>ROUNDDOWN(SUMIF(P1178:P1182,O1183,L1178:L1182),0)</f>
        <v>4993</v>
      </c>
      <c r="M1183" s="497"/>
      <c r="O1183" s="468" t="s">
        <v>2354</v>
      </c>
    </row>
    <row r="1184" spans="1:26" ht="33.200000000000003" customHeight="1">
      <c r="A1184" s="484" t="s">
        <v>2985</v>
      </c>
      <c r="B1184" s="484"/>
      <c r="C1184" s="485"/>
      <c r="D1184" s="485"/>
      <c r="E1184" s="485"/>
      <c r="F1184" s="485"/>
      <c r="G1184" s="485"/>
      <c r="H1184" s="485"/>
      <c r="I1184" s="485"/>
      <c r="J1184" s="485"/>
      <c r="K1184" s="485"/>
      <c r="L1184" s="485"/>
      <c r="M1184" s="485"/>
      <c r="N1184" s="486" t="str">
        <f>HYPERLINK("#N"&amp;ROW(N1190),"_x0005_`BDCOD|B02709_x0007_`POSS|"&amp;ROW(N1186)&amp;"_x0007_`POSE|"&amp;ROW(N1190)&amp;"_x0007_`")</f>
        <v>_x0005_`BDCOD|B02709_x0007_`POSS|1186_x0007_`POSE|1190_x0007_`</v>
      </c>
    </row>
    <row r="1185" spans="1:26" ht="33.200000000000003" customHeight="1">
      <c r="A1185" s="469" t="s">
        <v>2006</v>
      </c>
      <c r="B1185" s="469" t="s">
        <v>2071</v>
      </c>
      <c r="C1185" s="487"/>
      <c r="D1185" s="488" t="s">
        <v>1799</v>
      </c>
      <c r="E1185" s="487"/>
      <c r="F1185" s="487"/>
      <c r="G1185" s="487"/>
      <c r="H1185" s="487"/>
      <c r="I1185" s="487"/>
      <c r="J1185" s="487"/>
      <c r="K1185" s="487"/>
      <c r="L1185" s="487"/>
      <c r="M1185" s="488" t="s">
        <v>2072</v>
      </c>
      <c r="O1185" s="468" t="s">
        <v>2072</v>
      </c>
    </row>
    <row r="1186" spans="1:26" ht="33.200000000000003" customHeight="1">
      <c r="A1186" s="452" t="s">
        <v>2829</v>
      </c>
      <c r="B1186" s="452"/>
      <c r="C1186" s="489">
        <v>1.27</v>
      </c>
      <c r="D1186" s="480" t="s">
        <v>585</v>
      </c>
      <c r="E1186" s="490">
        <f t="shared" ref="E1186:F1190" si="186">I1186+G1186+K1186</f>
        <v>253243</v>
      </c>
      <c r="F1186" s="493">
        <f t="shared" si="186"/>
        <v>321618.59999999998</v>
      </c>
      <c r="G1186" s="494">
        <f>노무비목록표!E9</f>
        <v>253243</v>
      </c>
      <c r="H1186" s="495">
        <f>IF(C1186=0,0,ROUNDDOWN(G1186*C1186,1))</f>
        <v>321618.59999999998</v>
      </c>
      <c r="I1186" s="492">
        <v>0</v>
      </c>
      <c r="J1186" s="491">
        <f>IF(C1186=0,0,ROUNDDOWN(I1186*C1186,1))</f>
        <v>0</v>
      </c>
      <c r="K1186" s="492">
        <v>0</v>
      </c>
      <c r="L1186" s="493">
        <f>IF(C1186=0,0,ROUNDDOWN(K1186*C1186,1))</f>
        <v>0</v>
      </c>
      <c r="M1186" s="463" t="s">
        <v>2830</v>
      </c>
      <c r="N1186" s="451" t="s">
        <v>2831</v>
      </c>
      <c r="O1186" s="468" t="s">
        <v>2832</v>
      </c>
      <c r="P1186" s="468" t="s">
        <v>2354</v>
      </c>
      <c r="Z1186" s="433" t="str">
        <f ca="1">HYPERLINK("#"&amp;노무비목록표!G2&amp;"!A"&amp;ROW(노무비목록표!A9),"L00188 →")</f>
        <v>L00188 →</v>
      </c>
    </row>
    <row r="1187" spans="1:26" ht="33.200000000000003" customHeight="1">
      <c r="A1187" s="452" t="s">
        <v>2360</v>
      </c>
      <c r="B1187" s="452"/>
      <c r="C1187" s="489">
        <v>5.08</v>
      </c>
      <c r="D1187" s="480" t="s">
        <v>585</v>
      </c>
      <c r="E1187" s="490">
        <f t="shared" si="186"/>
        <v>172068</v>
      </c>
      <c r="F1187" s="493">
        <f t="shared" si="186"/>
        <v>874105.4</v>
      </c>
      <c r="G1187" s="494">
        <f>노무비목록표!E10</f>
        <v>172068</v>
      </c>
      <c r="H1187" s="495">
        <f>IF(C1187=0,0,ROUNDDOWN(G1187*C1187,1))</f>
        <v>874105.4</v>
      </c>
      <c r="I1187" s="492">
        <v>0</v>
      </c>
      <c r="J1187" s="491">
        <f>IF(C1187=0,0,ROUNDDOWN(I1187*C1187,1))</f>
        <v>0</v>
      </c>
      <c r="K1187" s="492">
        <v>0</v>
      </c>
      <c r="L1187" s="493">
        <f>IF(C1187=0,0,ROUNDDOWN(K1187*C1187,1))</f>
        <v>0</v>
      </c>
      <c r="M1187" s="463" t="s">
        <v>2361</v>
      </c>
      <c r="N1187" s="451" t="s">
        <v>2362</v>
      </c>
      <c r="O1187" s="468" t="s">
        <v>2363</v>
      </c>
      <c r="P1187" s="468" t="s">
        <v>2354</v>
      </c>
      <c r="Z1187" s="433" t="str">
        <f ca="1">HYPERLINK("#"&amp;노무비목록표!G2&amp;"!A"&amp;ROW(노무비목록표!A10),"L00017 →")</f>
        <v>L00017 →</v>
      </c>
    </row>
    <row r="1188" spans="1:26" ht="33.200000000000003" customHeight="1">
      <c r="A1188" s="452" t="s">
        <v>2833</v>
      </c>
      <c r="B1188" s="452"/>
      <c r="C1188" s="489">
        <v>10.167</v>
      </c>
      <c r="D1188" s="480" t="s">
        <v>2834</v>
      </c>
      <c r="E1188" s="490">
        <f t="shared" si="186"/>
        <v>607</v>
      </c>
      <c r="F1188" s="491">
        <f t="shared" si="186"/>
        <v>6171.3</v>
      </c>
      <c r="G1188" s="492">
        <v>0</v>
      </c>
      <c r="H1188" s="491">
        <f>IF(C1188=0,0,ROUNDDOWN(G1188*C1188,1))</f>
        <v>0</v>
      </c>
      <c r="I1188" s="492">
        <v>0</v>
      </c>
      <c r="J1188" s="493">
        <f>IF(C1188=0,0,ROUNDDOWN(I1188*C1188,1))</f>
        <v>0</v>
      </c>
      <c r="K1188" s="494">
        <f>경비목록표!E13</f>
        <v>607</v>
      </c>
      <c r="L1188" s="498">
        <f>IF(C1188=0,0,ROUNDDOWN(K1188*C1188,1))</f>
        <v>6171.3</v>
      </c>
      <c r="M1188" s="463" t="s">
        <v>2835</v>
      </c>
      <c r="N1188" s="451" t="s">
        <v>2836</v>
      </c>
      <c r="O1188" s="468" t="s">
        <v>2837</v>
      </c>
      <c r="P1188" s="468" t="s">
        <v>2354</v>
      </c>
      <c r="Z1188" s="433" t="str">
        <f ca="1">HYPERLINK("#"&amp;경비목록표!G2&amp;"!A"&amp;ROW(경비목록표!A13),"S00297 →")</f>
        <v>S00297 →</v>
      </c>
    </row>
    <row r="1189" spans="1:26" ht="33.200000000000003" customHeight="1">
      <c r="A1189" s="452" t="s">
        <v>2838</v>
      </c>
      <c r="B1189" s="452" t="s">
        <v>2839</v>
      </c>
      <c r="C1189" s="489">
        <v>7.1159999999999997</v>
      </c>
      <c r="D1189" s="480" t="s">
        <v>2840</v>
      </c>
      <c r="E1189" s="490">
        <f t="shared" si="186"/>
        <v>1472</v>
      </c>
      <c r="F1189" s="491">
        <f t="shared" si="186"/>
        <v>10474.700000000001</v>
      </c>
      <c r="G1189" s="492">
        <v>0</v>
      </c>
      <c r="H1189" s="493">
        <f>IF(C1189=0,0,ROUNDDOWN(G1189*C1189,1))</f>
        <v>0</v>
      </c>
      <c r="I1189" s="494">
        <f>재료비목록표!E110</f>
        <v>1472</v>
      </c>
      <c r="J1189" s="495">
        <f>IF(C1189=0,0,ROUNDDOWN(I1189*C1189,1))</f>
        <v>10474.700000000001</v>
      </c>
      <c r="K1189" s="492">
        <v>0</v>
      </c>
      <c r="L1189" s="493">
        <f>IF(C1189=0,0,ROUNDDOWN(K1189*C1189,1))</f>
        <v>0</v>
      </c>
      <c r="M1189" s="463" t="s">
        <v>2841</v>
      </c>
      <c r="N1189" s="451" t="s">
        <v>2842</v>
      </c>
      <c r="O1189" s="468" t="s">
        <v>2843</v>
      </c>
      <c r="P1189" s="468" t="s">
        <v>2354</v>
      </c>
      <c r="Z1189" s="433" t="str">
        <f ca="1">HYPERLINK("#"&amp;재료비목록표!G2&amp;"!A"&amp;ROW(재료비목록표!A110),"M00927 →")</f>
        <v>M00927 →</v>
      </c>
    </row>
    <row r="1190" spans="1:26" ht="33.200000000000003" customHeight="1">
      <c r="A1190" s="452" t="s">
        <v>2844</v>
      </c>
      <c r="B1190" s="452" t="s">
        <v>2845</v>
      </c>
      <c r="C1190" s="489">
        <v>2.948</v>
      </c>
      <c r="D1190" s="480" t="s">
        <v>2840</v>
      </c>
      <c r="E1190" s="490">
        <f t="shared" si="186"/>
        <v>5141</v>
      </c>
      <c r="F1190" s="491">
        <f t="shared" si="186"/>
        <v>15155.6</v>
      </c>
      <c r="G1190" s="492">
        <v>0</v>
      </c>
      <c r="H1190" s="493">
        <f>IF(C1190=0,0,ROUNDDOWN(G1190*C1190,1))</f>
        <v>0</v>
      </c>
      <c r="I1190" s="494">
        <f>재료비목록표!E67</f>
        <v>5141</v>
      </c>
      <c r="J1190" s="495">
        <f>IF(C1190=0,0,ROUNDDOWN(I1190*C1190,1))</f>
        <v>15155.6</v>
      </c>
      <c r="K1190" s="492">
        <v>0</v>
      </c>
      <c r="L1190" s="493">
        <f>IF(C1190=0,0,ROUNDDOWN(K1190*C1190,1))</f>
        <v>0</v>
      </c>
      <c r="M1190" s="463" t="s">
        <v>2846</v>
      </c>
      <c r="N1190" s="451" t="s">
        <v>2847</v>
      </c>
      <c r="O1190" s="468" t="s">
        <v>2848</v>
      </c>
      <c r="P1190" s="468" t="s">
        <v>2354</v>
      </c>
      <c r="Z1190" s="433" t="str">
        <f ca="1">HYPERLINK("#"&amp;재료비목록표!G2&amp;"!A"&amp;ROW(재료비목록표!A67),"M08793 →")</f>
        <v>M08793 →</v>
      </c>
    </row>
    <row r="1191" spans="1:26" ht="33.200000000000003" customHeight="1">
      <c r="A1191" s="463" t="s">
        <v>842</v>
      </c>
      <c r="B1191" s="497"/>
      <c r="C1191" s="497"/>
      <c r="D1191" s="497"/>
      <c r="E1191" s="497"/>
      <c r="F1191" s="446">
        <f>J1191+H1191+L1191</f>
        <v>1227525</v>
      </c>
      <c r="G1191" s="497"/>
      <c r="H1191" s="446">
        <f>ROUNDDOWN(SUMIF(P1186:P1190,O1191,H1186:H1190),0)</f>
        <v>1195724</v>
      </c>
      <c r="I1191" s="497"/>
      <c r="J1191" s="446">
        <f>ROUNDDOWN(SUMIF(P1186:P1190,O1191,J1186:J1190),0)</f>
        <v>25630</v>
      </c>
      <c r="K1191" s="497"/>
      <c r="L1191" s="446">
        <f>ROUNDDOWN(SUMIF(P1186:P1190,O1191,L1186:L1190),0)</f>
        <v>6171</v>
      </c>
      <c r="M1191" s="497"/>
      <c r="O1191" s="468" t="s">
        <v>2354</v>
      </c>
    </row>
    <row r="1192" spans="1:26" ht="33.200000000000003" customHeight="1">
      <c r="A1192" s="484" t="s">
        <v>2994</v>
      </c>
      <c r="B1192" s="484"/>
      <c r="C1192" s="485"/>
      <c r="D1192" s="485"/>
      <c r="E1192" s="485"/>
      <c r="F1192" s="485"/>
      <c r="G1192" s="485"/>
      <c r="H1192" s="485"/>
      <c r="I1192" s="485"/>
      <c r="J1192" s="485"/>
      <c r="K1192" s="485"/>
      <c r="L1192" s="485"/>
      <c r="M1192" s="485"/>
      <c r="N1192" s="486" t="str">
        <f>HYPERLINK("#N"&amp;ROW(N1198),"_x0005_`BDCOD|B02710_x0007_`POSS|"&amp;ROW(N1194)&amp;"_x0007_`POSE|"&amp;ROW(N1198)&amp;"_x0007_`")</f>
        <v>_x0005_`BDCOD|B02710_x0007_`POSS|1194_x0007_`POSE|1198_x0007_`</v>
      </c>
    </row>
    <row r="1193" spans="1:26" ht="33.200000000000003" customHeight="1">
      <c r="A1193" s="469" t="s">
        <v>2006</v>
      </c>
      <c r="B1193" s="469" t="s">
        <v>2075</v>
      </c>
      <c r="C1193" s="487"/>
      <c r="D1193" s="488" t="s">
        <v>1799</v>
      </c>
      <c r="E1193" s="487"/>
      <c r="F1193" s="487"/>
      <c r="G1193" s="487"/>
      <c r="H1193" s="487"/>
      <c r="I1193" s="487"/>
      <c r="J1193" s="487"/>
      <c r="K1193" s="487"/>
      <c r="L1193" s="487"/>
      <c r="M1193" s="488" t="s">
        <v>2076</v>
      </c>
      <c r="O1193" s="468" t="s">
        <v>2076</v>
      </c>
    </row>
    <row r="1194" spans="1:26" ht="33.200000000000003" customHeight="1">
      <c r="A1194" s="452" t="s">
        <v>2829</v>
      </c>
      <c r="B1194" s="452"/>
      <c r="C1194" s="489">
        <v>1.6339999999999999</v>
      </c>
      <c r="D1194" s="480" t="s">
        <v>585</v>
      </c>
      <c r="E1194" s="490">
        <f t="shared" ref="E1194:F1198" si="187">I1194+G1194+K1194</f>
        <v>253243</v>
      </c>
      <c r="F1194" s="493">
        <f t="shared" si="187"/>
        <v>413799</v>
      </c>
      <c r="G1194" s="494">
        <f>노무비목록표!E9</f>
        <v>253243</v>
      </c>
      <c r="H1194" s="495">
        <f>IF(C1194=0,0,ROUNDDOWN(G1194*C1194,1))</f>
        <v>413799</v>
      </c>
      <c r="I1194" s="492">
        <v>0</v>
      </c>
      <c r="J1194" s="491">
        <f>IF(C1194=0,0,ROUNDDOWN(I1194*C1194,1))</f>
        <v>0</v>
      </c>
      <c r="K1194" s="492">
        <v>0</v>
      </c>
      <c r="L1194" s="493">
        <f>IF(C1194=0,0,ROUNDDOWN(K1194*C1194,1))</f>
        <v>0</v>
      </c>
      <c r="M1194" s="463" t="s">
        <v>2830</v>
      </c>
      <c r="N1194" s="451" t="s">
        <v>2831</v>
      </c>
      <c r="O1194" s="468" t="s">
        <v>2832</v>
      </c>
      <c r="P1194" s="468" t="s">
        <v>2354</v>
      </c>
      <c r="Z1194" s="433" t="str">
        <f ca="1">HYPERLINK("#"&amp;노무비목록표!G2&amp;"!A"&amp;ROW(노무비목록표!A9),"L00188 →")</f>
        <v>L00188 →</v>
      </c>
    </row>
    <row r="1195" spans="1:26" ht="33.200000000000003" customHeight="1">
      <c r="A1195" s="452" t="s">
        <v>2360</v>
      </c>
      <c r="B1195" s="452"/>
      <c r="C1195" s="489">
        <v>6.5359999999999996</v>
      </c>
      <c r="D1195" s="480" t="s">
        <v>585</v>
      </c>
      <c r="E1195" s="490">
        <f t="shared" si="187"/>
        <v>172068</v>
      </c>
      <c r="F1195" s="493">
        <f t="shared" si="187"/>
        <v>1124636.3999999999</v>
      </c>
      <c r="G1195" s="494">
        <f>노무비목록표!E10</f>
        <v>172068</v>
      </c>
      <c r="H1195" s="495">
        <f>IF(C1195=0,0,ROUNDDOWN(G1195*C1195,1))</f>
        <v>1124636.3999999999</v>
      </c>
      <c r="I1195" s="492">
        <v>0</v>
      </c>
      <c r="J1195" s="491">
        <f>IF(C1195=0,0,ROUNDDOWN(I1195*C1195,1))</f>
        <v>0</v>
      </c>
      <c r="K1195" s="492">
        <v>0</v>
      </c>
      <c r="L1195" s="493">
        <f>IF(C1195=0,0,ROUNDDOWN(K1195*C1195,1))</f>
        <v>0</v>
      </c>
      <c r="M1195" s="463" t="s">
        <v>2361</v>
      </c>
      <c r="N1195" s="451" t="s">
        <v>2362</v>
      </c>
      <c r="O1195" s="468" t="s">
        <v>2363</v>
      </c>
      <c r="P1195" s="468" t="s">
        <v>2354</v>
      </c>
      <c r="Z1195" s="433" t="str">
        <f ca="1">HYPERLINK("#"&amp;노무비목록표!G2&amp;"!A"&amp;ROW(노무비목록표!A10),"L00017 →")</f>
        <v>L00017 →</v>
      </c>
    </row>
    <row r="1196" spans="1:26" ht="33.200000000000003" customHeight="1">
      <c r="A1196" s="452" t="s">
        <v>2833</v>
      </c>
      <c r="B1196" s="452"/>
      <c r="C1196" s="489">
        <v>13.077999999999999</v>
      </c>
      <c r="D1196" s="480" t="s">
        <v>2834</v>
      </c>
      <c r="E1196" s="490">
        <f t="shared" si="187"/>
        <v>607</v>
      </c>
      <c r="F1196" s="491">
        <f t="shared" si="187"/>
        <v>7938.3</v>
      </c>
      <c r="G1196" s="492">
        <v>0</v>
      </c>
      <c r="H1196" s="491">
        <f>IF(C1196=0,0,ROUNDDOWN(G1196*C1196,1))</f>
        <v>0</v>
      </c>
      <c r="I1196" s="492">
        <v>0</v>
      </c>
      <c r="J1196" s="493">
        <f>IF(C1196=0,0,ROUNDDOWN(I1196*C1196,1))</f>
        <v>0</v>
      </c>
      <c r="K1196" s="494">
        <f>경비목록표!E13</f>
        <v>607</v>
      </c>
      <c r="L1196" s="498">
        <f>IF(C1196=0,0,ROUNDDOWN(K1196*C1196,1))</f>
        <v>7938.3</v>
      </c>
      <c r="M1196" s="463" t="s">
        <v>2835</v>
      </c>
      <c r="N1196" s="451" t="s">
        <v>2836</v>
      </c>
      <c r="O1196" s="468" t="s">
        <v>2837</v>
      </c>
      <c r="P1196" s="468" t="s">
        <v>2354</v>
      </c>
      <c r="Z1196" s="433" t="str">
        <f ca="1">HYPERLINK("#"&amp;경비목록표!G2&amp;"!A"&amp;ROW(경비목록표!A13),"S00297 →")</f>
        <v>S00297 →</v>
      </c>
    </row>
    <row r="1197" spans="1:26" ht="33.200000000000003" customHeight="1">
      <c r="A1197" s="452" t="s">
        <v>2838</v>
      </c>
      <c r="B1197" s="452" t="s">
        <v>2839</v>
      </c>
      <c r="C1197" s="489">
        <v>9.1539999999999999</v>
      </c>
      <c r="D1197" s="480" t="s">
        <v>2840</v>
      </c>
      <c r="E1197" s="490">
        <f t="shared" si="187"/>
        <v>1472</v>
      </c>
      <c r="F1197" s="491">
        <f t="shared" si="187"/>
        <v>13474.6</v>
      </c>
      <c r="G1197" s="492">
        <v>0</v>
      </c>
      <c r="H1197" s="493">
        <f>IF(C1197=0,0,ROUNDDOWN(G1197*C1197,1))</f>
        <v>0</v>
      </c>
      <c r="I1197" s="494">
        <f>재료비목록표!E110</f>
        <v>1472</v>
      </c>
      <c r="J1197" s="495">
        <f>IF(C1197=0,0,ROUNDDOWN(I1197*C1197,1))</f>
        <v>13474.6</v>
      </c>
      <c r="K1197" s="492">
        <v>0</v>
      </c>
      <c r="L1197" s="493">
        <f>IF(C1197=0,0,ROUNDDOWN(K1197*C1197,1))</f>
        <v>0</v>
      </c>
      <c r="M1197" s="463" t="s">
        <v>2841</v>
      </c>
      <c r="N1197" s="451" t="s">
        <v>2842</v>
      </c>
      <c r="O1197" s="468" t="s">
        <v>2843</v>
      </c>
      <c r="P1197" s="468" t="s">
        <v>2354</v>
      </c>
      <c r="Z1197" s="433" t="str">
        <f ca="1">HYPERLINK("#"&amp;재료비목록표!G2&amp;"!A"&amp;ROW(재료비목록표!A110),"M00927 →")</f>
        <v>M00927 →</v>
      </c>
    </row>
    <row r="1198" spans="1:26" ht="33.200000000000003" customHeight="1">
      <c r="A1198" s="452" t="s">
        <v>2844</v>
      </c>
      <c r="B1198" s="452" t="s">
        <v>2845</v>
      </c>
      <c r="C1198" s="489">
        <v>3.7919999999999998</v>
      </c>
      <c r="D1198" s="480" t="s">
        <v>2840</v>
      </c>
      <c r="E1198" s="490">
        <f t="shared" si="187"/>
        <v>5141</v>
      </c>
      <c r="F1198" s="491">
        <f t="shared" si="187"/>
        <v>19494.599999999999</v>
      </c>
      <c r="G1198" s="492">
        <v>0</v>
      </c>
      <c r="H1198" s="493">
        <f>IF(C1198=0,0,ROUNDDOWN(G1198*C1198,1))</f>
        <v>0</v>
      </c>
      <c r="I1198" s="494">
        <f>재료비목록표!E67</f>
        <v>5141</v>
      </c>
      <c r="J1198" s="495">
        <f>IF(C1198=0,0,ROUNDDOWN(I1198*C1198,1))</f>
        <v>19494.599999999999</v>
      </c>
      <c r="K1198" s="492">
        <v>0</v>
      </c>
      <c r="L1198" s="493">
        <f>IF(C1198=0,0,ROUNDDOWN(K1198*C1198,1))</f>
        <v>0</v>
      </c>
      <c r="M1198" s="463" t="s">
        <v>2846</v>
      </c>
      <c r="N1198" s="451" t="s">
        <v>2847</v>
      </c>
      <c r="O1198" s="468" t="s">
        <v>2848</v>
      </c>
      <c r="P1198" s="468" t="s">
        <v>2354</v>
      </c>
      <c r="Z1198" s="433" t="str">
        <f ca="1">HYPERLINK("#"&amp;재료비목록표!G2&amp;"!A"&amp;ROW(재료비목록표!A67),"M08793 →")</f>
        <v>M08793 →</v>
      </c>
    </row>
    <row r="1199" spans="1:26" ht="33.200000000000003" customHeight="1">
      <c r="A1199" s="463" t="s">
        <v>842</v>
      </c>
      <c r="B1199" s="497"/>
      <c r="C1199" s="497"/>
      <c r="D1199" s="497"/>
      <c r="E1199" s="497"/>
      <c r="F1199" s="446">
        <f>J1199+H1199+L1199</f>
        <v>1579342</v>
      </c>
      <c r="G1199" s="497"/>
      <c r="H1199" s="446">
        <f>ROUNDDOWN(SUMIF(P1194:P1198,O1199,H1194:H1198),0)</f>
        <v>1538435</v>
      </c>
      <c r="I1199" s="497"/>
      <c r="J1199" s="446">
        <f>ROUNDDOWN(SUMIF(P1194:P1198,O1199,J1194:J1198),0)</f>
        <v>32969</v>
      </c>
      <c r="K1199" s="497"/>
      <c r="L1199" s="446">
        <f>ROUNDDOWN(SUMIF(P1194:P1198,O1199,L1194:L1198),0)</f>
        <v>7938</v>
      </c>
      <c r="M1199" s="497"/>
      <c r="O1199" s="468" t="s">
        <v>2354</v>
      </c>
    </row>
    <row r="1200" spans="1:26" ht="33.200000000000003" customHeight="1">
      <c r="A1200" s="484" t="s">
        <v>2998</v>
      </c>
      <c r="B1200" s="484"/>
      <c r="C1200" s="485"/>
      <c r="D1200" s="485"/>
      <c r="E1200" s="485"/>
      <c r="F1200" s="485"/>
      <c r="G1200" s="485"/>
      <c r="H1200" s="485"/>
      <c r="I1200" s="485"/>
      <c r="J1200" s="485"/>
      <c r="K1200" s="485"/>
      <c r="L1200" s="485"/>
      <c r="M1200" s="485"/>
      <c r="N1200" s="486" t="str">
        <f>HYPERLINK("#N"&amp;ROW(N1206),"_x0005_`BDCOD|B02711_x0007_`POSS|"&amp;ROW(N1202)&amp;"_x0007_`POSE|"&amp;ROW(N1206)&amp;"_x0007_`")</f>
        <v>_x0005_`BDCOD|B02711_x0007_`POSS|1202_x0007_`POSE|1206_x0007_`</v>
      </c>
    </row>
    <row r="1201" spans="1:26" ht="33.200000000000003" customHeight="1">
      <c r="A1201" s="469" t="s">
        <v>2006</v>
      </c>
      <c r="B1201" s="469" t="s">
        <v>2079</v>
      </c>
      <c r="C1201" s="487"/>
      <c r="D1201" s="488" t="s">
        <v>1799</v>
      </c>
      <c r="E1201" s="487"/>
      <c r="F1201" s="487"/>
      <c r="G1201" s="487"/>
      <c r="H1201" s="487"/>
      <c r="I1201" s="487"/>
      <c r="J1201" s="487"/>
      <c r="K1201" s="487"/>
      <c r="L1201" s="487"/>
      <c r="M1201" s="488" t="s">
        <v>2080</v>
      </c>
      <c r="O1201" s="468" t="s">
        <v>2080</v>
      </c>
    </row>
    <row r="1202" spans="1:26" ht="33.200000000000003" customHeight="1">
      <c r="A1202" s="452" t="s">
        <v>2829</v>
      </c>
      <c r="B1202" s="452"/>
      <c r="C1202" s="489">
        <v>1.9877</v>
      </c>
      <c r="D1202" s="480" t="s">
        <v>585</v>
      </c>
      <c r="E1202" s="490">
        <f t="shared" ref="E1202:F1206" si="188">I1202+G1202+K1202</f>
        <v>253243</v>
      </c>
      <c r="F1202" s="493">
        <f t="shared" si="188"/>
        <v>503371.1</v>
      </c>
      <c r="G1202" s="494">
        <f>노무비목록표!E9</f>
        <v>253243</v>
      </c>
      <c r="H1202" s="495">
        <f>IF(C1202=0,0,ROUNDDOWN(G1202*C1202,1))</f>
        <v>503371.1</v>
      </c>
      <c r="I1202" s="492">
        <v>0</v>
      </c>
      <c r="J1202" s="491">
        <f>IF(C1202=0,0,ROUNDDOWN(I1202*C1202,1))</f>
        <v>0</v>
      </c>
      <c r="K1202" s="492">
        <v>0</v>
      </c>
      <c r="L1202" s="493">
        <f>IF(C1202=0,0,ROUNDDOWN(K1202*C1202,1))</f>
        <v>0</v>
      </c>
      <c r="M1202" s="463" t="s">
        <v>2830</v>
      </c>
      <c r="N1202" s="451" t="s">
        <v>2831</v>
      </c>
      <c r="O1202" s="468" t="s">
        <v>2832</v>
      </c>
      <c r="P1202" s="468" t="s">
        <v>2354</v>
      </c>
      <c r="Z1202" s="433" t="str">
        <f ca="1">HYPERLINK("#"&amp;노무비목록표!G2&amp;"!A"&amp;ROW(노무비목록표!A9),"L00188 →")</f>
        <v>L00188 →</v>
      </c>
    </row>
    <row r="1203" spans="1:26" ht="33.200000000000003" customHeight="1">
      <c r="A1203" s="452" t="s">
        <v>2360</v>
      </c>
      <c r="B1203" s="452"/>
      <c r="C1203" s="489">
        <v>7.508</v>
      </c>
      <c r="D1203" s="480" t="s">
        <v>585</v>
      </c>
      <c r="E1203" s="490">
        <f t="shared" si="188"/>
        <v>172068</v>
      </c>
      <c r="F1203" s="493">
        <f t="shared" si="188"/>
        <v>1291886.5</v>
      </c>
      <c r="G1203" s="494">
        <f>노무비목록표!E10</f>
        <v>172068</v>
      </c>
      <c r="H1203" s="495">
        <f>IF(C1203=0,0,ROUNDDOWN(G1203*C1203,1))</f>
        <v>1291886.5</v>
      </c>
      <c r="I1203" s="492">
        <v>0</v>
      </c>
      <c r="J1203" s="491">
        <f>IF(C1203=0,0,ROUNDDOWN(I1203*C1203,1))</f>
        <v>0</v>
      </c>
      <c r="K1203" s="492">
        <v>0</v>
      </c>
      <c r="L1203" s="493">
        <f>IF(C1203=0,0,ROUNDDOWN(K1203*C1203,1))</f>
        <v>0</v>
      </c>
      <c r="M1203" s="463" t="s">
        <v>2361</v>
      </c>
      <c r="N1203" s="451" t="s">
        <v>2362</v>
      </c>
      <c r="O1203" s="468" t="s">
        <v>2363</v>
      </c>
      <c r="P1203" s="468" t="s">
        <v>2354</v>
      </c>
      <c r="Z1203" s="433" t="str">
        <f ca="1">HYPERLINK("#"&amp;노무비목록표!G2&amp;"!A"&amp;ROW(노무비목록표!A10),"L00017 →")</f>
        <v>L00017 →</v>
      </c>
    </row>
    <row r="1204" spans="1:26" ht="33.200000000000003" customHeight="1">
      <c r="A1204" s="452" t="s">
        <v>2833</v>
      </c>
      <c r="B1204" s="452"/>
      <c r="C1204" s="489">
        <v>15.019</v>
      </c>
      <c r="D1204" s="480" t="s">
        <v>2834</v>
      </c>
      <c r="E1204" s="490">
        <f t="shared" si="188"/>
        <v>607</v>
      </c>
      <c r="F1204" s="491">
        <f t="shared" si="188"/>
        <v>9116.5</v>
      </c>
      <c r="G1204" s="492">
        <v>0</v>
      </c>
      <c r="H1204" s="491">
        <f>IF(C1204=0,0,ROUNDDOWN(G1204*C1204,1))</f>
        <v>0</v>
      </c>
      <c r="I1204" s="492">
        <v>0</v>
      </c>
      <c r="J1204" s="493">
        <f>IF(C1204=0,0,ROUNDDOWN(I1204*C1204,1))</f>
        <v>0</v>
      </c>
      <c r="K1204" s="494">
        <f>경비목록표!E13</f>
        <v>607</v>
      </c>
      <c r="L1204" s="498">
        <f>IF(C1204=0,0,ROUNDDOWN(K1204*C1204,1))</f>
        <v>9116.5</v>
      </c>
      <c r="M1204" s="463" t="s">
        <v>2835</v>
      </c>
      <c r="N1204" s="451" t="s">
        <v>2836</v>
      </c>
      <c r="O1204" s="468" t="s">
        <v>2837</v>
      </c>
      <c r="P1204" s="468" t="s">
        <v>2354</v>
      </c>
      <c r="Z1204" s="433" t="str">
        <f ca="1">HYPERLINK("#"&amp;경비목록표!G2&amp;"!A"&amp;ROW(경비목록표!A13),"S00297 →")</f>
        <v>S00297 →</v>
      </c>
    </row>
    <row r="1205" spans="1:26" ht="33.200000000000003" customHeight="1">
      <c r="A1205" s="452" t="s">
        <v>2838</v>
      </c>
      <c r="B1205" s="452" t="s">
        <v>2839</v>
      </c>
      <c r="C1205" s="489">
        <v>10.513</v>
      </c>
      <c r="D1205" s="480" t="s">
        <v>2840</v>
      </c>
      <c r="E1205" s="490">
        <f t="shared" si="188"/>
        <v>1472</v>
      </c>
      <c r="F1205" s="491">
        <f t="shared" si="188"/>
        <v>15475.1</v>
      </c>
      <c r="G1205" s="492">
        <v>0</v>
      </c>
      <c r="H1205" s="493">
        <f>IF(C1205=0,0,ROUNDDOWN(G1205*C1205,1))</f>
        <v>0</v>
      </c>
      <c r="I1205" s="494">
        <f>재료비목록표!E110</f>
        <v>1472</v>
      </c>
      <c r="J1205" s="495">
        <f>IF(C1205=0,0,ROUNDDOWN(I1205*C1205,1))</f>
        <v>15475.1</v>
      </c>
      <c r="K1205" s="492">
        <v>0</v>
      </c>
      <c r="L1205" s="493">
        <f>IF(C1205=0,0,ROUNDDOWN(K1205*C1205,1))</f>
        <v>0</v>
      </c>
      <c r="M1205" s="463" t="s">
        <v>2841</v>
      </c>
      <c r="N1205" s="451" t="s">
        <v>2842</v>
      </c>
      <c r="O1205" s="468" t="s">
        <v>2843</v>
      </c>
      <c r="P1205" s="468" t="s">
        <v>2354</v>
      </c>
      <c r="Z1205" s="433" t="str">
        <f ca="1">HYPERLINK("#"&amp;재료비목록표!G2&amp;"!A"&amp;ROW(재료비목록표!A110),"M00927 →")</f>
        <v>M00927 →</v>
      </c>
    </row>
    <row r="1206" spans="1:26" ht="33.200000000000003" customHeight="1">
      <c r="A1206" s="452" t="s">
        <v>2844</v>
      </c>
      <c r="B1206" s="452" t="s">
        <v>2845</v>
      </c>
      <c r="C1206" s="489">
        <v>4.3550000000000004</v>
      </c>
      <c r="D1206" s="480" t="s">
        <v>2840</v>
      </c>
      <c r="E1206" s="490">
        <f t="shared" si="188"/>
        <v>5141</v>
      </c>
      <c r="F1206" s="491">
        <f t="shared" si="188"/>
        <v>22389</v>
      </c>
      <c r="G1206" s="492">
        <v>0</v>
      </c>
      <c r="H1206" s="493">
        <f>IF(C1206=0,0,ROUNDDOWN(G1206*C1206,1))</f>
        <v>0</v>
      </c>
      <c r="I1206" s="494">
        <f>재료비목록표!E67</f>
        <v>5141</v>
      </c>
      <c r="J1206" s="495">
        <f>IF(C1206=0,0,ROUNDDOWN(I1206*C1206,1))</f>
        <v>22389</v>
      </c>
      <c r="K1206" s="492">
        <v>0</v>
      </c>
      <c r="L1206" s="493">
        <f>IF(C1206=0,0,ROUNDDOWN(K1206*C1206,1))</f>
        <v>0</v>
      </c>
      <c r="M1206" s="463" t="s">
        <v>2846</v>
      </c>
      <c r="N1206" s="451" t="s">
        <v>2847</v>
      </c>
      <c r="O1206" s="468" t="s">
        <v>2848</v>
      </c>
      <c r="P1206" s="468" t="s">
        <v>2354</v>
      </c>
      <c r="Z1206" s="433" t="str">
        <f ca="1">HYPERLINK("#"&amp;재료비목록표!G2&amp;"!A"&amp;ROW(재료비목록표!A67),"M08793 →")</f>
        <v>M08793 →</v>
      </c>
    </row>
    <row r="1207" spans="1:26" ht="33.200000000000003" customHeight="1">
      <c r="A1207" s="463" t="s">
        <v>842</v>
      </c>
      <c r="B1207" s="497"/>
      <c r="C1207" s="497"/>
      <c r="D1207" s="497"/>
      <c r="E1207" s="497"/>
      <c r="F1207" s="446">
        <f>J1207+H1207+L1207</f>
        <v>1842237</v>
      </c>
      <c r="G1207" s="497"/>
      <c r="H1207" s="446">
        <f>ROUNDDOWN(SUMIF(P1202:P1206,O1207,H1202:H1206),0)</f>
        <v>1795257</v>
      </c>
      <c r="I1207" s="497"/>
      <c r="J1207" s="446">
        <f>ROUNDDOWN(SUMIF(P1202:P1206,O1207,J1202:J1206),0)</f>
        <v>37864</v>
      </c>
      <c r="K1207" s="497"/>
      <c r="L1207" s="446">
        <f>ROUNDDOWN(SUMIF(P1202:P1206,O1207,L1202:L1206),0)</f>
        <v>9116</v>
      </c>
      <c r="M1207" s="497"/>
      <c r="O1207" s="468" t="s">
        <v>2354</v>
      </c>
    </row>
    <row r="1208" spans="1:26" ht="33.200000000000003" customHeight="1">
      <c r="A1208" s="484" t="s">
        <v>3003</v>
      </c>
      <c r="B1208" s="484"/>
      <c r="C1208" s="485"/>
      <c r="D1208" s="485"/>
      <c r="E1208" s="485"/>
      <c r="F1208" s="485"/>
      <c r="G1208" s="485"/>
      <c r="H1208" s="485"/>
      <c r="I1208" s="485"/>
      <c r="J1208" s="485"/>
      <c r="K1208" s="485"/>
      <c r="L1208" s="485"/>
      <c r="M1208" s="485"/>
      <c r="N1208" s="486" t="str">
        <f>HYPERLINK("#N"&amp;ROW(N1214),"_x0005_`BDCOD|B02693_x0007_`POSS|"&amp;ROW(N1210)&amp;"_x0007_`POSE|"&amp;ROW(N1214)&amp;"_x0007_`")</f>
        <v>_x0005_`BDCOD|B02693_x0007_`POSS|1210_x0007_`POSE|1214_x0007_`</v>
      </c>
    </row>
    <row r="1209" spans="1:26" ht="33.200000000000003" customHeight="1">
      <c r="A1209" s="469" t="s">
        <v>2006</v>
      </c>
      <c r="B1209" s="469" t="s">
        <v>2007</v>
      </c>
      <c r="C1209" s="487"/>
      <c r="D1209" s="488" t="s">
        <v>1799</v>
      </c>
      <c r="E1209" s="487"/>
      <c r="F1209" s="487"/>
      <c r="G1209" s="487"/>
      <c r="H1209" s="487"/>
      <c r="I1209" s="487"/>
      <c r="J1209" s="487"/>
      <c r="K1209" s="487"/>
      <c r="L1209" s="487"/>
      <c r="M1209" s="488" t="s">
        <v>2008</v>
      </c>
      <c r="O1209" s="468" t="s">
        <v>2008</v>
      </c>
    </row>
    <row r="1210" spans="1:26" ht="33.200000000000003" customHeight="1">
      <c r="A1210" s="452" t="s">
        <v>2829</v>
      </c>
      <c r="B1210" s="452"/>
      <c r="C1210" s="489">
        <v>1.0999999999999999E-2</v>
      </c>
      <c r="D1210" s="480" t="s">
        <v>585</v>
      </c>
      <c r="E1210" s="490">
        <f t="shared" ref="E1210:F1214" si="189">I1210+G1210+K1210</f>
        <v>253243</v>
      </c>
      <c r="F1210" s="493">
        <f t="shared" si="189"/>
        <v>2785.6</v>
      </c>
      <c r="G1210" s="494">
        <f>노무비목록표!E9</f>
        <v>253243</v>
      </c>
      <c r="H1210" s="495">
        <f>IF(C1210=0,0,ROUNDDOWN(G1210*C1210,1))</f>
        <v>2785.6</v>
      </c>
      <c r="I1210" s="492">
        <v>0</v>
      </c>
      <c r="J1210" s="491">
        <f>IF(C1210=0,0,ROUNDDOWN(I1210*C1210,1))</f>
        <v>0</v>
      </c>
      <c r="K1210" s="492">
        <v>0</v>
      </c>
      <c r="L1210" s="493">
        <f>IF(C1210=0,0,ROUNDDOWN(K1210*C1210,1))</f>
        <v>0</v>
      </c>
      <c r="M1210" s="463" t="s">
        <v>2830</v>
      </c>
      <c r="N1210" s="451" t="s">
        <v>2831</v>
      </c>
      <c r="O1210" s="468" t="s">
        <v>2832</v>
      </c>
      <c r="P1210" s="468" t="s">
        <v>2354</v>
      </c>
      <c r="Z1210" s="433" t="str">
        <f ca="1">HYPERLINK("#"&amp;노무비목록표!G2&amp;"!A"&amp;ROW(노무비목록표!A9),"L00188 →")</f>
        <v>L00188 →</v>
      </c>
    </row>
    <row r="1211" spans="1:26" ht="33.200000000000003" customHeight="1">
      <c r="A1211" s="452" t="s">
        <v>2360</v>
      </c>
      <c r="B1211" s="452"/>
      <c r="C1211" s="489">
        <v>4.3999999999999997E-2</v>
      </c>
      <c r="D1211" s="480" t="s">
        <v>585</v>
      </c>
      <c r="E1211" s="490">
        <f t="shared" si="189"/>
        <v>172068</v>
      </c>
      <c r="F1211" s="493">
        <f t="shared" si="189"/>
        <v>7570.9</v>
      </c>
      <c r="G1211" s="494">
        <f>노무비목록표!E10</f>
        <v>172068</v>
      </c>
      <c r="H1211" s="495">
        <f>IF(C1211=0,0,ROUNDDOWN(G1211*C1211,1))</f>
        <v>7570.9</v>
      </c>
      <c r="I1211" s="492">
        <v>0</v>
      </c>
      <c r="J1211" s="491">
        <f>IF(C1211=0,0,ROUNDDOWN(I1211*C1211,1))</f>
        <v>0</v>
      </c>
      <c r="K1211" s="492">
        <v>0</v>
      </c>
      <c r="L1211" s="493">
        <f>IF(C1211=0,0,ROUNDDOWN(K1211*C1211,1))</f>
        <v>0</v>
      </c>
      <c r="M1211" s="463" t="s">
        <v>2361</v>
      </c>
      <c r="N1211" s="451" t="s">
        <v>2362</v>
      </c>
      <c r="O1211" s="468" t="s">
        <v>2363</v>
      </c>
      <c r="P1211" s="468" t="s">
        <v>2354</v>
      </c>
      <c r="Z1211" s="433" t="str">
        <f ca="1">HYPERLINK("#"&amp;노무비목록표!G2&amp;"!A"&amp;ROW(노무비목록표!A10),"L00017 →")</f>
        <v>L00017 →</v>
      </c>
    </row>
    <row r="1212" spans="1:26" ht="33.200000000000003" customHeight="1">
      <c r="A1212" s="452" t="s">
        <v>2833</v>
      </c>
      <c r="B1212" s="452"/>
      <c r="C1212" s="489">
        <v>9.2999999999999999E-2</v>
      </c>
      <c r="D1212" s="480" t="s">
        <v>2834</v>
      </c>
      <c r="E1212" s="490">
        <f t="shared" si="189"/>
        <v>607</v>
      </c>
      <c r="F1212" s="491">
        <f t="shared" si="189"/>
        <v>56.4</v>
      </c>
      <c r="G1212" s="492">
        <v>0</v>
      </c>
      <c r="H1212" s="491">
        <f>IF(C1212=0,0,ROUNDDOWN(G1212*C1212,1))</f>
        <v>0</v>
      </c>
      <c r="I1212" s="492">
        <v>0</v>
      </c>
      <c r="J1212" s="493">
        <f>IF(C1212=0,0,ROUNDDOWN(I1212*C1212,1))</f>
        <v>0</v>
      </c>
      <c r="K1212" s="494">
        <f>경비목록표!E13</f>
        <v>607</v>
      </c>
      <c r="L1212" s="498">
        <f>IF(C1212=0,0,ROUNDDOWN(K1212*C1212,1))</f>
        <v>56.4</v>
      </c>
      <c r="M1212" s="463" t="s">
        <v>2835</v>
      </c>
      <c r="N1212" s="451" t="s">
        <v>2836</v>
      </c>
      <c r="O1212" s="468" t="s">
        <v>2837</v>
      </c>
      <c r="P1212" s="468" t="s">
        <v>2354</v>
      </c>
      <c r="Z1212" s="433" t="str">
        <f ca="1">HYPERLINK("#"&amp;경비목록표!G2&amp;"!A"&amp;ROW(경비목록표!A13),"S00297 →")</f>
        <v>S00297 →</v>
      </c>
    </row>
    <row r="1213" spans="1:26" ht="33.200000000000003" customHeight="1">
      <c r="A1213" s="452" t="s">
        <v>2838</v>
      </c>
      <c r="B1213" s="452" t="s">
        <v>2839</v>
      </c>
      <c r="C1213" s="489">
        <v>6.5000000000000002E-2</v>
      </c>
      <c r="D1213" s="480" t="s">
        <v>2840</v>
      </c>
      <c r="E1213" s="490">
        <f t="shared" si="189"/>
        <v>1472</v>
      </c>
      <c r="F1213" s="491">
        <f t="shared" si="189"/>
        <v>95.6</v>
      </c>
      <c r="G1213" s="492">
        <v>0</v>
      </c>
      <c r="H1213" s="493">
        <f>IF(C1213=0,0,ROUNDDOWN(G1213*C1213,1))</f>
        <v>0</v>
      </c>
      <c r="I1213" s="494">
        <f>재료비목록표!E110</f>
        <v>1472</v>
      </c>
      <c r="J1213" s="495">
        <f>IF(C1213=0,0,ROUNDDOWN(I1213*C1213,1))</f>
        <v>95.6</v>
      </c>
      <c r="K1213" s="492">
        <v>0</v>
      </c>
      <c r="L1213" s="493">
        <f>IF(C1213=0,0,ROUNDDOWN(K1213*C1213,1))</f>
        <v>0</v>
      </c>
      <c r="M1213" s="463" t="s">
        <v>2841</v>
      </c>
      <c r="N1213" s="451" t="s">
        <v>2842</v>
      </c>
      <c r="O1213" s="468" t="s">
        <v>2843</v>
      </c>
      <c r="P1213" s="468" t="s">
        <v>2354</v>
      </c>
      <c r="Z1213" s="433" t="str">
        <f ca="1">HYPERLINK("#"&amp;재료비목록표!G2&amp;"!A"&amp;ROW(재료비목록표!A110),"M00927 →")</f>
        <v>M00927 →</v>
      </c>
    </row>
    <row r="1214" spans="1:26" ht="33.200000000000003" customHeight="1">
      <c r="A1214" s="452" t="s">
        <v>2844</v>
      </c>
      <c r="B1214" s="452" t="s">
        <v>2845</v>
      </c>
      <c r="C1214" s="489">
        <v>2.5999999999999999E-2</v>
      </c>
      <c r="D1214" s="480" t="s">
        <v>2840</v>
      </c>
      <c r="E1214" s="490">
        <f t="shared" si="189"/>
        <v>5141</v>
      </c>
      <c r="F1214" s="491">
        <f t="shared" si="189"/>
        <v>133.6</v>
      </c>
      <c r="G1214" s="492">
        <v>0</v>
      </c>
      <c r="H1214" s="493">
        <f>IF(C1214=0,0,ROUNDDOWN(G1214*C1214,1))</f>
        <v>0</v>
      </c>
      <c r="I1214" s="494">
        <f>재료비목록표!E67</f>
        <v>5141</v>
      </c>
      <c r="J1214" s="495">
        <f>IF(C1214=0,0,ROUNDDOWN(I1214*C1214,1))</f>
        <v>133.6</v>
      </c>
      <c r="K1214" s="492">
        <v>0</v>
      </c>
      <c r="L1214" s="493">
        <f>IF(C1214=0,0,ROUNDDOWN(K1214*C1214,1))</f>
        <v>0</v>
      </c>
      <c r="M1214" s="463" t="s">
        <v>2846</v>
      </c>
      <c r="N1214" s="451" t="s">
        <v>2847</v>
      </c>
      <c r="O1214" s="468" t="s">
        <v>2848</v>
      </c>
      <c r="P1214" s="468" t="s">
        <v>2354</v>
      </c>
      <c r="Z1214" s="433" t="str">
        <f ca="1">HYPERLINK("#"&amp;재료비목록표!G2&amp;"!A"&amp;ROW(재료비목록표!A67),"M08793 →")</f>
        <v>M08793 →</v>
      </c>
    </row>
    <row r="1215" spans="1:26" ht="33.200000000000003" customHeight="1">
      <c r="A1215" s="463" t="s">
        <v>842</v>
      </c>
      <c r="B1215" s="497"/>
      <c r="C1215" s="497"/>
      <c r="D1215" s="497"/>
      <c r="E1215" s="497"/>
      <c r="F1215" s="446">
        <f>J1215+H1215+L1215</f>
        <v>10641</v>
      </c>
      <c r="G1215" s="497"/>
      <c r="H1215" s="446">
        <f>ROUNDDOWN(SUMIF(P1210:P1214,O1215,H1210:H1214),0)</f>
        <v>10356</v>
      </c>
      <c r="I1215" s="497"/>
      <c r="J1215" s="446">
        <f>ROUNDDOWN(SUMIF(P1210:P1214,O1215,J1210:J1214),0)</f>
        <v>229</v>
      </c>
      <c r="K1215" s="497"/>
      <c r="L1215" s="446">
        <f>ROUNDDOWN(SUMIF(P1210:P1214,O1215,L1210:L1214),0)</f>
        <v>56</v>
      </c>
      <c r="M1215" s="497"/>
      <c r="O1215" s="468" t="s">
        <v>2354</v>
      </c>
    </row>
    <row r="1216" spans="1:26" ht="33.200000000000003" customHeight="1">
      <c r="A1216" s="484" t="s">
        <v>3008</v>
      </c>
      <c r="B1216" s="484"/>
      <c r="C1216" s="485"/>
      <c r="D1216" s="485"/>
      <c r="E1216" s="485"/>
      <c r="F1216" s="485"/>
      <c r="G1216" s="485"/>
      <c r="H1216" s="485"/>
      <c r="I1216" s="485"/>
      <c r="J1216" s="485"/>
      <c r="K1216" s="485"/>
      <c r="L1216" s="485"/>
      <c r="M1216" s="485"/>
      <c r="N1216" s="486" t="str">
        <f>HYPERLINK("#N"&amp;ROW(N1218),"_x0005_`BDCOD|B02588_x0007_`POSS|"&amp;ROW(N1218)&amp;"_x0007_`POSE|"&amp;ROW(N1218)&amp;"_x0007_`")</f>
        <v>_x0005_`BDCOD|B02588_x0007_`POSS|1218_x0007_`POSE|1218_x0007_`</v>
      </c>
    </row>
    <row r="1217" spans="1:26" ht="33.200000000000003" customHeight="1">
      <c r="A1217" s="469" t="s">
        <v>1437</v>
      </c>
      <c r="B1217" s="469" t="s">
        <v>1438</v>
      </c>
      <c r="C1217" s="487"/>
      <c r="D1217" s="488" t="s">
        <v>975</v>
      </c>
      <c r="E1217" s="487"/>
      <c r="F1217" s="487"/>
      <c r="G1217" s="487"/>
      <c r="H1217" s="487"/>
      <c r="I1217" s="487"/>
      <c r="J1217" s="487"/>
      <c r="K1217" s="487"/>
      <c r="L1217" s="487"/>
      <c r="M1217" s="488" t="s">
        <v>1439</v>
      </c>
      <c r="O1217" s="468" t="s">
        <v>1439</v>
      </c>
    </row>
    <row r="1218" spans="1:26" ht="33.200000000000003" customHeight="1">
      <c r="A1218" s="452" t="s">
        <v>2868</v>
      </c>
      <c r="B1218" s="452" t="s">
        <v>2869</v>
      </c>
      <c r="C1218" s="489">
        <v>1</v>
      </c>
      <c r="D1218" s="480" t="s">
        <v>2377</v>
      </c>
      <c r="E1218" s="490">
        <f>I1218+G1218+K1218</f>
        <v>2436000</v>
      </c>
      <c r="F1218" s="491">
        <f>J1218+H1218+L1218</f>
        <v>2436000</v>
      </c>
      <c r="G1218" s="492">
        <v>0</v>
      </c>
      <c r="H1218" s="493">
        <f>IF(C1218=0,0,ROUNDDOWN(G1218*C1218,1))</f>
        <v>0</v>
      </c>
      <c r="I1218" s="494">
        <f>재료비목록표!E58</f>
        <v>2436000</v>
      </c>
      <c r="J1218" s="495">
        <f>IF(C1218=0,0,ROUNDDOWN(I1218*C1218,1))</f>
        <v>2436000</v>
      </c>
      <c r="K1218" s="492">
        <v>0</v>
      </c>
      <c r="L1218" s="493">
        <f>IF(C1218=0,0,ROUNDDOWN(K1218*C1218,1))</f>
        <v>0</v>
      </c>
      <c r="M1218" s="463" t="s">
        <v>2870</v>
      </c>
      <c r="N1218" s="451" t="s">
        <v>2871</v>
      </c>
      <c r="O1218" s="468" t="s">
        <v>2872</v>
      </c>
      <c r="P1218" s="468" t="s">
        <v>2354</v>
      </c>
      <c r="Z1218" s="433" t="str">
        <f ca="1">HYPERLINK("#"&amp;재료비목록표!G2&amp;"!A"&amp;ROW(재료비목록표!A58),"M01606 →")</f>
        <v>M01606 →</v>
      </c>
    </row>
    <row r="1219" spans="1:26" ht="33.200000000000003" customHeight="1">
      <c r="A1219" s="463" t="s">
        <v>842</v>
      </c>
      <c r="B1219" s="497"/>
      <c r="C1219" s="497"/>
      <c r="D1219" s="497"/>
      <c r="E1219" s="497"/>
      <c r="F1219" s="446">
        <f>J1219+H1219+L1219</f>
        <v>2436000</v>
      </c>
      <c r="G1219" s="497"/>
      <c r="H1219" s="446">
        <f>ROUNDDOWN(SUMIF(P1218:P1218,O1219,H1218:H1218),0)</f>
        <v>0</v>
      </c>
      <c r="I1219" s="497"/>
      <c r="J1219" s="446">
        <f>ROUNDDOWN(SUMIF(P1218:P1218,O1219,J1218:J1218),0)</f>
        <v>2436000</v>
      </c>
      <c r="K1219" s="497"/>
      <c r="L1219" s="446">
        <f>ROUNDDOWN(SUMIF(P1218:P1218,O1219,L1218:L1218),0)</f>
        <v>0</v>
      </c>
      <c r="M1219" s="497"/>
      <c r="O1219" s="468" t="s">
        <v>2354</v>
      </c>
    </row>
    <row r="1220" spans="1:26" ht="33.200000000000003" customHeight="1">
      <c r="A1220" s="484" t="s">
        <v>3013</v>
      </c>
      <c r="B1220" s="484"/>
      <c r="C1220" s="485"/>
      <c r="D1220" s="485"/>
      <c r="E1220" s="485"/>
      <c r="F1220" s="485"/>
      <c r="G1220" s="485"/>
      <c r="H1220" s="485"/>
      <c r="I1220" s="485"/>
      <c r="J1220" s="485"/>
      <c r="K1220" s="485"/>
      <c r="L1220" s="485"/>
      <c r="M1220" s="485"/>
      <c r="N1220" s="486" t="str">
        <f>HYPERLINK("#N"&amp;ROW(N1225),"_x0005_`BDCOD|B02796_x0007_`POSS|"&amp;ROW(N1222)&amp;"_x0007_`POSE|"&amp;ROW(N1225)&amp;"_x0007_`")</f>
        <v>_x0005_`BDCOD|B02796_x0007_`POSS|1222_x0007_`POSE|1225_x0007_`</v>
      </c>
    </row>
    <row r="1221" spans="1:26" ht="33.200000000000003" customHeight="1">
      <c r="A1221" s="469" t="s">
        <v>1282</v>
      </c>
      <c r="B1221" s="469" t="s">
        <v>1283</v>
      </c>
      <c r="C1221" s="487"/>
      <c r="D1221" s="488" t="s">
        <v>595</v>
      </c>
      <c r="E1221" s="487"/>
      <c r="F1221" s="487"/>
      <c r="G1221" s="487"/>
      <c r="H1221" s="487"/>
      <c r="I1221" s="487"/>
      <c r="J1221" s="487"/>
      <c r="K1221" s="487"/>
      <c r="L1221" s="487"/>
      <c r="M1221" s="488" t="s">
        <v>1284</v>
      </c>
      <c r="O1221" s="468" t="s">
        <v>1284</v>
      </c>
    </row>
    <row r="1222" spans="1:26" ht="33.200000000000003" customHeight="1">
      <c r="A1222" s="452" t="s">
        <v>2874</v>
      </c>
      <c r="B1222" s="452"/>
      <c r="C1222" s="489">
        <v>1</v>
      </c>
      <c r="D1222" s="480" t="s">
        <v>595</v>
      </c>
      <c r="E1222" s="490">
        <f t="shared" ref="E1222:F1225" si="190">I1222+G1222+K1222</f>
        <v>7628</v>
      </c>
      <c r="F1222" s="493">
        <f t="shared" si="190"/>
        <v>7628</v>
      </c>
      <c r="G1222" s="494">
        <f>단가산출근거목록표!F66</f>
        <v>6371</v>
      </c>
      <c r="H1222" s="498">
        <f>IF(C1222=0,0,ROUNDDOWN(G1222*C1222,1))</f>
        <v>6371</v>
      </c>
      <c r="I1222" s="494">
        <f>단가산출근거목록표!G66</f>
        <v>531</v>
      </c>
      <c r="J1222" s="498">
        <f>IF(C1222=0,0,ROUNDDOWN(I1222*C1222,1))</f>
        <v>531</v>
      </c>
      <c r="K1222" s="494">
        <f>단가산출근거목록표!H66</f>
        <v>726</v>
      </c>
      <c r="L1222" s="498">
        <f>IF(C1222=0,0,ROUNDDOWN(K1222*C1222,1))</f>
        <v>726</v>
      </c>
      <c r="M1222" s="463" t="s">
        <v>2875</v>
      </c>
      <c r="N1222" s="451" t="s">
        <v>2876</v>
      </c>
      <c r="O1222" s="468" t="s">
        <v>2877</v>
      </c>
      <c r="P1222" s="468" t="s">
        <v>2354</v>
      </c>
      <c r="Z1222" s="433" t="str">
        <f ca="1">HYPERLINK("#"&amp;단가산출근거목록표!J2&amp;"!A"&amp;ROW(단가산출근거목록표!A66),"D01298 →")</f>
        <v>D01298 →</v>
      </c>
    </row>
    <row r="1223" spans="1:26" ht="33.200000000000003" customHeight="1">
      <c r="A1223" s="452" t="s">
        <v>2878</v>
      </c>
      <c r="B1223" s="452" t="s">
        <v>1283</v>
      </c>
      <c r="C1223" s="489">
        <v>1</v>
      </c>
      <c r="D1223" s="480" t="s">
        <v>595</v>
      </c>
      <c r="E1223" s="490">
        <f t="shared" si="190"/>
        <v>8250</v>
      </c>
      <c r="F1223" s="491">
        <f t="shared" si="190"/>
        <v>8250</v>
      </c>
      <c r="G1223" s="492">
        <v>0</v>
      </c>
      <c r="H1223" s="493">
        <f>IF(C1223=0,0,ROUNDDOWN(G1223*C1223,1))</f>
        <v>0</v>
      </c>
      <c r="I1223" s="494">
        <f>재료비목록표!E59</f>
        <v>8250</v>
      </c>
      <c r="J1223" s="495">
        <f>IF(C1223=0,0,ROUNDDOWN(I1223*C1223,1))</f>
        <v>8250</v>
      </c>
      <c r="K1223" s="492">
        <v>0</v>
      </c>
      <c r="L1223" s="493">
        <f>IF(C1223=0,0,ROUNDDOWN(K1223*C1223,1))</f>
        <v>0</v>
      </c>
      <c r="M1223" s="463" t="s">
        <v>2879</v>
      </c>
      <c r="N1223" s="451" t="s">
        <v>2880</v>
      </c>
      <c r="O1223" s="468" t="s">
        <v>2881</v>
      </c>
      <c r="P1223" s="468" t="s">
        <v>2354</v>
      </c>
      <c r="Q1223" s="468" t="s">
        <v>2355</v>
      </c>
      <c r="Z1223" s="433" t="str">
        <f ca="1">HYPERLINK("#"&amp;재료비목록표!G2&amp;"!A"&amp;ROW(재료비목록표!A59),"M08844 →")</f>
        <v>M08844 →</v>
      </c>
    </row>
    <row r="1224" spans="1:26" ht="33.200000000000003" customHeight="1">
      <c r="A1224" s="452" t="s">
        <v>2364</v>
      </c>
      <c r="B1224" s="452" t="s">
        <v>2365</v>
      </c>
      <c r="C1224" s="489">
        <v>3</v>
      </c>
      <c r="D1224" s="480" t="s">
        <v>1589</v>
      </c>
      <c r="E1224" s="490">
        <f t="shared" si="190"/>
        <v>1000</v>
      </c>
      <c r="F1224" s="491">
        <f t="shared" si="190"/>
        <v>3000</v>
      </c>
      <c r="G1224" s="492">
        <v>0</v>
      </c>
      <c r="H1224" s="493">
        <f>IF(C1224=0,0,ROUNDDOWN(G1224*C1224,1))</f>
        <v>0</v>
      </c>
      <c r="I1224" s="494">
        <f>재료비목록표!E12</f>
        <v>1000</v>
      </c>
      <c r="J1224" s="495">
        <f>IF(C1224=0,0,ROUNDDOWN(I1224*C1224,1))</f>
        <v>3000</v>
      </c>
      <c r="K1224" s="492">
        <v>0</v>
      </c>
      <c r="L1224" s="493">
        <f>IF(C1224=0,0,ROUNDDOWN(K1224*C1224,1))</f>
        <v>0</v>
      </c>
      <c r="M1224" s="463" t="s">
        <v>2366</v>
      </c>
      <c r="N1224" s="451" t="s">
        <v>2367</v>
      </c>
      <c r="O1224" s="468" t="s">
        <v>2368</v>
      </c>
      <c r="P1224" s="468" t="s">
        <v>2354</v>
      </c>
      <c r="Q1224" s="468" t="s">
        <v>2355</v>
      </c>
      <c r="Z1224" s="433" t="str">
        <f ca="1">HYPERLINK("#"&amp;재료비목록표!G2&amp;"!A"&amp;ROW(재료비목록표!A12),"M08843 →")</f>
        <v>M08843 →</v>
      </c>
    </row>
    <row r="1225" spans="1:26" ht="33.200000000000003" customHeight="1">
      <c r="A1225" s="452" t="s">
        <v>2369</v>
      </c>
      <c r="B1225" s="452" t="s">
        <v>2370</v>
      </c>
      <c r="C1225" s="489">
        <v>3</v>
      </c>
      <c r="D1225" s="480" t="s">
        <v>2371</v>
      </c>
      <c r="E1225" s="490">
        <f t="shared" si="190"/>
        <v>11250</v>
      </c>
      <c r="F1225" s="491">
        <f t="shared" si="190"/>
        <v>337.5</v>
      </c>
      <c r="G1225" s="465">
        <v>0</v>
      </c>
      <c r="H1225" s="491">
        <f>IF(C1225=0,0,ROUNDDOWN(G1225*C1225/100,1))</f>
        <v>0</v>
      </c>
      <c r="I1225" s="496">
        <f>J1223+J1224</f>
        <v>11250</v>
      </c>
      <c r="J1225" s="493">
        <f>IF(C1225=0,0,ROUNDDOWN(I1225*C1225/100,1))</f>
        <v>337.5</v>
      </c>
      <c r="K1225" s="467">
        <v>0</v>
      </c>
      <c r="L1225" s="493">
        <f>IF(C1225=0,0,ROUNDDOWN(K1225*C1225/100,1))</f>
        <v>0</v>
      </c>
      <c r="M1225" s="463"/>
      <c r="N1225" s="451" t="s">
        <v>2372</v>
      </c>
      <c r="O1225" s="468" t="s">
        <v>2373</v>
      </c>
      <c r="P1225" s="468" t="s">
        <v>2354</v>
      </c>
      <c r="Q1225" s="468" t="s">
        <v>2355</v>
      </c>
    </row>
    <row r="1226" spans="1:26" ht="33.200000000000003" customHeight="1">
      <c r="A1226" s="463" t="s">
        <v>842</v>
      </c>
      <c r="B1226" s="497"/>
      <c r="C1226" s="497"/>
      <c r="D1226" s="497"/>
      <c r="E1226" s="497"/>
      <c r="F1226" s="446">
        <f>J1226+H1226+L1226</f>
        <v>19215</v>
      </c>
      <c r="G1226" s="497"/>
      <c r="H1226" s="446">
        <f>ROUNDDOWN(SUMIF(P1222:P1225,O1226,H1222:H1225),0)</f>
        <v>6371</v>
      </c>
      <c r="I1226" s="497"/>
      <c r="J1226" s="446">
        <f>ROUNDDOWN(SUMIF(P1222:P1225,O1226,J1222:J1225),0)</f>
        <v>12118</v>
      </c>
      <c r="K1226" s="497"/>
      <c r="L1226" s="446">
        <f>ROUNDDOWN(SUMIF(P1222:P1225,O1226,L1222:L1225),0)</f>
        <v>726</v>
      </c>
      <c r="M1226" s="497"/>
      <c r="O1226" s="468" t="s">
        <v>2354</v>
      </c>
    </row>
    <row r="1227" spans="1:26" ht="33.200000000000003" customHeight="1">
      <c r="A1227" s="484" t="s">
        <v>3018</v>
      </c>
      <c r="B1227" s="484"/>
      <c r="C1227" s="485"/>
      <c r="D1227" s="485"/>
      <c r="E1227" s="485"/>
      <c r="F1227" s="485"/>
      <c r="G1227" s="485"/>
      <c r="H1227" s="485"/>
      <c r="I1227" s="485"/>
      <c r="J1227" s="485"/>
      <c r="K1227" s="485"/>
      <c r="L1227" s="485"/>
      <c r="M1227" s="485"/>
      <c r="N1227" s="486" t="str">
        <f>HYPERLINK("#N"&amp;ROW(N1230),"_x0005_`BDCOD|B02328_x0007_`POSS|"&amp;ROW(N1229)&amp;"_x0007_`POSE|"&amp;ROW(N1230)&amp;"_x0007_`")</f>
        <v>_x0005_`BDCOD|B02328_x0007_`POSS|1229_x0007_`POSE|1230_x0007_`</v>
      </c>
    </row>
    <row r="1228" spans="1:26" ht="33.200000000000003" customHeight="1">
      <c r="A1228" s="469" t="s">
        <v>1144</v>
      </c>
      <c r="B1228" s="469" t="s">
        <v>1132</v>
      </c>
      <c r="C1228" s="487"/>
      <c r="D1228" s="488" t="s">
        <v>911</v>
      </c>
      <c r="E1228" s="487"/>
      <c r="F1228" s="487"/>
      <c r="G1228" s="487"/>
      <c r="H1228" s="487"/>
      <c r="I1228" s="487"/>
      <c r="J1228" s="487"/>
      <c r="K1228" s="487"/>
      <c r="L1228" s="487"/>
      <c r="M1228" s="488" t="s">
        <v>1145</v>
      </c>
      <c r="O1228" s="468" t="s">
        <v>1145</v>
      </c>
    </row>
    <row r="1229" spans="1:26" ht="33.200000000000003" customHeight="1">
      <c r="A1229" s="452" t="s">
        <v>2883</v>
      </c>
      <c r="B1229" s="452" t="s">
        <v>2884</v>
      </c>
      <c r="C1229" s="489">
        <v>1.25</v>
      </c>
      <c r="D1229" s="480" t="s">
        <v>2377</v>
      </c>
      <c r="E1229" s="490">
        <f>I1229+G1229+K1229</f>
        <v>16277</v>
      </c>
      <c r="F1229" s="493">
        <f>J1229+H1229+L1229</f>
        <v>20346.2</v>
      </c>
      <c r="G1229" s="494">
        <f>단가산출근거목록표!F67</f>
        <v>16277</v>
      </c>
      <c r="H1229" s="498">
        <f>IF(C1229=0,0,ROUNDDOWN(G1229*C1229,1))</f>
        <v>20346.2</v>
      </c>
      <c r="I1229" s="494">
        <f>단가산출근거목록표!G67</f>
        <v>0</v>
      </c>
      <c r="J1229" s="498">
        <f>IF(C1229=0,0,ROUNDDOWN(I1229*C1229,1))</f>
        <v>0</v>
      </c>
      <c r="K1229" s="494">
        <f>단가산출근거목록표!H67</f>
        <v>0</v>
      </c>
      <c r="L1229" s="498">
        <f>IF(C1229=0,0,ROUNDDOWN(K1229*C1229,1))</f>
        <v>0</v>
      </c>
      <c r="M1229" s="463" t="s">
        <v>2885</v>
      </c>
      <c r="N1229" s="451" t="s">
        <v>2886</v>
      </c>
      <c r="O1229" s="468" t="s">
        <v>2887</v>
      </c>
      <c r="P1229" s="468" t="s">
        <v>2354</v>
      </c>
      <c r="Z1229" s="433" t="str">
        <f ca="1">HYPERLINK("#"&amp;단가산출근거목록표!J2&amp;"!A"&amp;ROW(단가산출근거목록표!A67),"D01055 →")</f>
        <v>D01055 →</v>
      </c>
    </row>
    <row r="1230" spans="1:26" ht="33.200000000000003" customHeight="1">
      <c r="A1230" s="452" t="s">
        <v>1144</v>
      </c>
      <c r="B1230" s="452" t="s">
        <v>2888</v>
      </c>
      <c r="C1230" s="489">
        <v>1.25</v>
      </c>
      <c r="D1230" s="480" t="s">
        <v>2889</v>
      </c>
      <c r="E1230" s="490">
        <f>I1230+G1230+K1230</f>
        <v>9900</v>
      </c>
      <c r="F1230" s="491">
        <f>J1230+H1230+L1230</f>
        <v>12375</v>
      </c>
      <c r="G1230" s="492">
        <v>0</v>
      </c>
      <c r="H1230" s="493">
        <f>IF(C1230=0,0,ROUNDDOWN(G1230*C1230,1))</f>
        <v>0</v>
      </c>
      <c r="I1230" s="494">
        <f>재료비목록표!E60</f>
        <v>9900</v>
      </c>
      <c r="J1230" s="495">
        <f>IF(C1230=0,0,ROUNDDOWN(I1230*C1230,1))</f>
        <v>12375</v>
      </c>
      <c r="K1230" s="492">
        <v>0</v>
      </c>
      <c r="L1230" s="493">
        <f>IF(C1230=0,0,ROUNDDOWN(K1230*C1230,1))</f>
        <v>0</v>
      </c>
      <c r="M1230" s="463" t="s">
        <v>2890</v>
      </c>
      <c r="N1230" s="451" t="s">
        <v>2891</v>
      </c>
      <c r="O1230" s="468" t="s">
        <v>2892</v>
      </c>
      <c r="P1230" s="468" t="s">
        <v>2354</v>
      </c>
      <c r="Z1230" s="433" t="str">
        <f ca="1">HYPERLINK("#"&amp;재료비목록표!G2&amp;"!A"&amp;ROW(재료비목록표!A60),"M00801 →")</f>
        <v>M00801 →</v>
      </c>
    </row>
    <row r="1231" spans="1:26" ht="33.200000000000003" customHeight="1">
      <c r="A1231" s="463" t="s">
        <v>842</v>
      </c>
      <c r="B1231" s="497"/>
      <c r="C1231" s="497"/>
      <c r="D1231" s="497"/>
      <c r="E1231" s="497"/>
      <c r="F1231" s="446">
        <f>J1231+H1231+L1231</f>
        <v>32721</v>
      </c>
      <c r="G1231" s="497"/>
      <c r="H1231" s="446">
        <f>ROUNDDOWN(SUMIF(P1229:P1230,O1231,H1229:H1230),0)</f>
        <v>20346</v>
      </c>
      <c r="I1231" s="497"/>
      <c r="J1231" s="446">
        <f>ROUNDDOWN(SUMIF(P1229:P1230,O1231,J1229:J1230),0)</f>
        <v>12375</v>
      </c>
      <c r="K1231" s="497"/>
      <c r="L1231" s="446">
        <f>ROUNDDOWN(SUMIF(P1229:P1230,O1231,L1229:L1230),0)</f>
        <v>0</v>
      </c>
      <c r="M1231" s="497"/>
      <c r="O1231" s="468" t="s">
        <v>2354</v>
      </c>
    </row>
    <row r="1232" spans="1:26" ht="33.200000000000003" customHeight="1">
      <c r="A1232" s="484" t="s">
        <v>3026</v>
      </c>
      <c r="B1232" s="484"/>
      <c r="C1232" s="485"/>
      <c r="D1232" s="485"/>
      <c r="E1232" s="485"/>
      <c r="F1232" s="485"/>
      <c r="G1232" s="485"/>
      <c r="H1232" s="485"/>
      <c r="I1232" s="485"/>
      <c r="J1232" s="485"/>
      <c r="K1232" s="485"/>
      <c r="L1232" s="485"/>
      <c r="M1232" s="485"/>
      <c r="N1232" s="486" t="str">
        <f>HYPERLINK("#N"&amp;ROW(N1235),"_x0005_`BDCOD|B02263_x0007_`POSS|"&amp;ROW(N1234)&amp;"_x0007_`POSE|"&amp;ROW(N1235)&amp;"_x0007_`")</f>
        <v>_x0005_`BDCOD|B02263_x0007_`POSS|1234_x0007_`POSE|1235_x0007_`</v>
      </c>
    </row>
    <row r="1233" spans="1:26" ht="33.200000000000003" customHeight="1">
      <c r="A1233" s="469" t="s">
        <v>1144</v>
      </c>
      <c r="B1233" s="469" t="s">
        <v>1136</v>
      </c>
      <c r="C1233" s="487"/>
      <c r="D1233" s="488" t="s">
        <v>911</v>
      </c>
      <c r="E1233" s="487"/>
      <c r="F1233" s="487"/>
      <c r="G1233" s="487"/>
      <c r="H1233" s="487"/>
      <c r="I1233" s="487"/>
      <c r="J1233" s="487"/>
      <c r="K1233" s="487"/>
      <c r="L1233" s="487"/>
      <c r="M1233" s="488" t="s">
        <v>1148</v>
      </c>
      <c r="O1233" s="468" t="s">
        <v>1148</v>
      </c>
    </row>
    <row r="1234" spans="1:26" ht="33.200000000000003" customHeight="1">
      <c r="A1234" s="452" t="s">
        <v>2883</v>
      </c>
      <c r="B1234" s="452" t="s">
        <v>2884</v>
      </c>
      <c r="C1234" s="489">
        <v>2.5</v>
      </c>
      <c r="D1234" s="480" t="s">
        <v>2377</v>
      </c>
      <c r="E1234" s="490">
        <f>I1234+G1234+K1234</f>
        <v>16277</v>
      </c>
      <c r="F1234" s="493">
        <f>J1234+H1234+L1234</f>
        <v>40692.5</v>
      </c>
      <c r="G1234" s="494">
        <f>단가산출근거목록표!F67</f>
        <v>16277</v>
      </c>
      <c r="H1234" s="498">
        <f>IF(C1234=0,0,ROUNDDOWN(G1234*C1234,1))</f>
        <v>40692.5</v>
      </c>
      <c r="I1234" s="494">
        <f>단가산출근거목록표!G67</f>
        <v>0</v>
      </c>
      <c r="J1234" s="498">
        <f>IF(C1234=0,0,ROUNDDOWN(I1234*C1234,1))</f>
        <v>0</v>
      </c>
      <c r="K1234" s="494">
        <f>단가산출근거목록표!H67</f>
        <v>0</v>
      </c>
      <c r="L1234" s="498">
        <f>IF(C1234=0,0,ROUNDDOWN(K1234*C1234,1))</f>
        <v>0</v>
      </c>
      <c r="M1234" s="463" t="s">
        <v>2885</v>
      </c>
      <c r="N1234" s="451" t="s">
        <v>2886</v>
      </c>
      <c r="O1234" s="468" t="s">
        <v>2887</v>
      </c>
      <c r="P1234" s="468" t="s">
        <v>2354</v>
      </c>
      <c r="Z1234" s="433" t="str">
        <f ca="1">HYPERLINK("#"&amp;단가산출근거목록표!J2&amp;"!A"&amp;ROW(단가산출근거목록표!A67),"D01055 →")</f>
        <v>D01055 →</v>
      </c>
    </row>
    <row r="1235" spans="1:26" ht="33.200000000000003" customHeight="1">
      <c r="A1235" s="452" t="s">
        <v>1144</v>
      </c>
      <c r="B1235" s="452" t="s">
        <v>2888</v>
      </c>
      <c r="C1235" s="489">
        <v>2.5</v>
      </c>
      <c r="D1235" s="480" t="s">
        <v>2889</v>
      </c>
      <c r="E1235" s="490">
        <f>I1235+G1235+K1235</f>
        <v>9900</v>
      </c>
      <c r="F1235" s="491">
        <f>J1235+H1235+L1235</f>
        <v>24750</v>
      </c>
      <c r="G1235" s="492">
        <v>0</v>
      </c>
      <c r="H1235" s="493">
        <f>IF(C1235=0,0,ROUNDDOWN(G1235*C1235,1))</f>
        <v>0</v>
      </c>
      <c r="I1235" s="494">
        <f>재료비목록표!E60</f>
        <v>9900</v>
      </c>
      <c r="J1235" s="495">
        <f>IF(C1235=0,0,ROUNDDOWN(I1235*C1235,1))</f>
        <v>24750</v>
      </c>
      <c r="K1235" s="492">
        <v>0</v>
      </c>
      <c r="L1235" s="493">
        <f>IF(C1235=0,0,ROUNDDOWN(K1235*C1235,1))</f>
        <v>0</v>
      </c>
      <c r="M1235" s="463" t="s">
        <v>2890</v>
      </c>
      <c r="N1235" s="451" t="s">
        <v>2891</v>
      </c>
      <c r="O1235" s="468" t="s">
        <v>2892</v>
      </c>
      <c r="P1235" s="468" t="s">
        <v>2354</v>
      </c>
      <c r="Z1235" s="433" t="str">
        <f ca="1">HYPERLINK("#"&amp;재료비목록표!G2&amp;"!A"&amp;ROW(재료비목록표!A60),"M00801 →")</f>
        <v>M00801 →</v>
      </c>
    </row>
    <row r="1236" spans="1:26" ht="33.200000000000003" customHeight="1">
      <c r="A1236" s="463" t="s">
        <v>842</v>
      </c>
      <c r="B1236" s="497"/>
      <c r="C1236" s="497"/>
      <c r="D1236" s="497"/>
      <c r="E1236" s="497"/>
      <c r="F1236" s="446">
        <f>J1236+H1236+L1236</f>
        <v>65442</v>
      </c>
      <c r="G1236" s="497"/>
      <c r="H1236" s="446">
        <f>ROUNDDOWN(SUMIF(P1234:P1235,O1236,H1234:H1235),0)</f>
        <v>40692</v>
      </c>
      <c r="I1236" s="497"/>
      <c r="J1236" s="446">
        <f>ROUNDDOWN(SUMIF(P1234:P1235,O1236,J1234:J1235),0)</f>
        <v>24750</v>
      </c>
      <c r="K1236" s="497"/>
      <c r="L1236" s="446">
        <f>ROUNDDOWN(SUMIF(P1234:P1235,O1236,L1234:L1235),0)</f>
        <v>0</v>
      </c>
      <c r="M1236" s="497"/>
      <c r="O1236" s="468" t="s">
        <v>2354</v>
      </c>
    </row>
    <row r="1237" spans="1:26" ht="33.200000000000003" customHeight="1">
      <c r="A1237" s="484" t="s">
        <v>3031</v>
      </c>
      <c r="B1237" s="484"/>
      <c r="C1237" s="485"/>
      <c r="D1237" s="485"/>
      <c r="E1237" s="485"/>
      <c r="F1237" s="485"/>
      <c r="G1237" s="485"/>
      <c r="H1237" s="485"/>
      <c r="I1237" s="485"/>
      <c r="J1237" s="485"/>
      <c r="K1237" s="485"/>
      <c r="L1237" s="485"/>
      <c r="M1237" s="485"/>
      <c r="N1237" s="486" t="str">
        <f>HYPERLINK("#N"&amp;ROW(N1240),"_x0005_`BDCOD|B02273_x0007_`POSS|"&amp;ROW(N1239)&amp;"_x0007_`POSE|"&amp;ROW(N1240)&amp;"_x0007_`")</f>
        <v>_x0005_`BDCOD|B02273_x0007_`POSS|1239_x0007_`POSE|1240_x0007_`</v>
      </c>
    </row>
    <row r="1238" spans="1:26" ht="33.200000000000003" customHeight="1">
      <c r="A1238" s="469" t="s">
        <v>1144</v>
      </c>
      <c r="B1238" s="469" t="s">
        <v>1140</v>
      </c>
      <c r="C1238" s="487"/>
      <c r="D1238" s="488" t="s">
        <v>911</v>
      </c>
      <c r="E1238" s="487"/>
      <c r="F1238" s="487"/>
      <c r="G1238" s="487"/>
      <c r="H1238" s="487"/>
      <c r="I1238" s="487"/>
      <c r="J1238" s="487"/>
      <c r="K1238" s="487"/>
      <c r="L1238" s="487"/>
      <c r="M1238" s="488" t="s">
        <v>1151</v>
      </c>
      <c r="O1238" s="468" t="s">
        <v>1151</v>
      </c>
    </row>
    <row r="1239" spans="1:26" ht="33.200000000000003" customHeight="1">
      <c r="A1239" s="452" t="s">
        <v>2883</v>
      </c>
      <c r="B1239" s="452" t="s">
        <v>2884</v>
      </c>
      <c r="C1239" s="489">
        <v>3.75</v>
      </c>
      <c r="D1239" s="480" t="s">
        <v>2377</v>
      </c>
      <c r="E1239" s="490">
        <f>I1239+G1239+K1239</f>
        <v>16277</v>
      </c>
      <c r="F1239" s="493">
        <f>J1239+H1239+L1239</f>
        <v>61038.7</v>
      </c>
      <c r="G1239" s="494">
        <f>단가산출근거목록표!F67</f>
        <v>16277</v>
      </c>
      <c r="H1239" s="498">
        <f>IF(C1239=0,0,ROUNDDOWN(G1239*C1239,1))</f>
        <v>61038.7</v>
      </c>
      <c r="I1239" s="494">
        <f>단가산출근거목록표!G67</f>
        <v>0</v>
      </c>
      <c r="J1239" s="498">
        <f>IF(C1239=0,0,ROUNDDOWN(I1239*C1239,1))</f>
        <v>0</v>
      </c>
      <c r="K1239" s="494">
        <f>단가산출근거목록표!H67</f>
        <v>0</v>
      </c>
      <c r="L1239" s="498">
        <f>IF(C1239=0,0,ROUNDDOWN(K1239*C1239,1))</f>
        <v>0</v>
      </c>
      <c r="M1239" s="463" t="s">
        <v>2885</v>
      </c>
      <c r="N1239" s="451" t="s">
        <v>2886</v>
      </c>
      <c r="O1239" s="468" t="s">
        <v>2887</v>
      </c>
      <c r="P1239" s="468" t="s">
        <v>2354</v>
      </c>
      <c r="Z1239" s="433" t="str">
        <f ca="1">HYPERLINK("#"&amp;단가산출근거목록표!J2&amp;"!A"&amp;ROW(단가산출근거목록표!A67),"D01055 →")</f>
        <v>D01055 →</v>
      </c>
    </row>
    <row r="1240" spans="1:26" ht="33.200000000000003" customHeight="1">
      <c r="A1240" s="452" t="s">
        <v>1144</v>
      </c>
      <c r="B1240" s="452" t="s">
        <v>2888</v>
      </c>
      <c r="C1240" s="489">
        <v>3.75</v>
      </c>
      <c r="D1240" s="480" t="s">
        <v>2889</v>
      </c>
      <c r="E1240" s="490">
        <f>I1240+G1240+K1240</f>
        <v>9900</v>
      </c>
      <c r="F1240" s="491">
        <f>J1240+H1240+L1240</f>
        <v>37125</v>
      </c>
      <c r="G1240" s="492">
        <v>0</v>
      </c>
      <c r="H1240" s="493">
        <f>IF(C1240=0,0,ROUNDDOWN(G1240*C1240,1))</f>
        <v>0</v>
      </c>
      <c r="I1240" s="494">
        <f>재료비목록표!E60</f>
        <v>9900</v>
      </c>
      <c r="J1240" s="495">
        <f>IF(C1240=0,0,ROUNDDOWN(I1240*C1240,1))</f>
        <v>37125</v>
      </c>
      <c r="K1240" s="492">
        <v>0</v>
      </c>
      <c r="L1240" s="493">
        <f>IF(C1240=0,0,ROUNDDOWN(K1240*C1240,1))</f>
        <v>0</v>
      </c>
      <c r="M1240" s="463" t="s">
        <v>2890</v>
      </c>
      <c r="N1240" s="451" t="s">
        <v>2891</v>
      </c>
      <c r="O1240" s="468" t="s">
        <v>2892</v>
      </c>
      <c r="P1240" s="468" t="s">
        <v>2354</v>
      </c>
      <c r="Z1240" s="433" t="str">
        <f ca="1">HYPERLINK("#"&amp;재료비목록표!G2&amp;"!A"&amp;ROW(재료비목록표!A60),"M00801 →")</f>
        <v>M00801 →</v>
      </c>
    </row>
    <row r="1241" spans="1:26" ht="33.200000000000003" customHeight="1">
      <c r="A1241" s="463" t="s">
        <v>842</v>
      </c>
      <c r="B1241" s="497"/>
      <c r="C1241" s="497"/>
      <c r="D1241" s="497"/>
      <c r="E1241" s="497"/>
      <c r="F1241" s="446">
        <f>J1241+H1241+L1241</f>
        <v>98163</v>
      </c>
      <c r="G1241" s="497"/>
      <c r="H1241" s="446">
        <f>ROUNDDOWN(SUMIF(P1239:P1240,O1241,H1239:H1240),0)</f>
        <v>61038</v>
      </c>
      <c r="I1241" s="497"/>
      <c r="J1241" s="446">
        <f>ROUNDDOWN(SUMIF(P1239:P1240,O1241,J1239:J1240),0)</f>
        <v>37125</v>
      </c>
      <c r="K1241" s="497"/>
      <c r="L1241" s="446">
        <f>ROUNDDOWN(SUMIF(P1239:P1240,O1241,L1239:L1240),0)</f>
        <v>0</v>
      </c>
      <c r="M1241" s="497"/>
      <c r="O1241" s="468" t="s">
        <v>2354</v>
      </c>
    </row>
    <row r="1242" spans="1:26" ht="33.200000000000003" customHeight="1">
      <c r="A1242" s="484" t="s">
        <v>3036</v>
      </c>
      <c r="B1242" s="484"/>
      <c r="C1242" s="485"/>
      <c r="D1242" s="485"/>
      <c r="E1242" s="485"/>
      <c r="F1242" s="485"/>
      <c r="G1242" s="485"/>
      <c r="H1242" s="485"/>
      <c r="I1242" s="485"/>
      <c r="J1242" s="485"/>
      <c r="K1242" s="485"/>
      <c r="L1242" s="485"/>
      <c r="M1242" s="485"/>
      <c r="N1242" s="486" t="str">
        <f>HYPERLINK("#N"&amp;ROW(N1246),"_x0005_`BDCOD|B02854_x0007_`POSS|"&amp;ROW(N1244)&amp;"_x0007_`POSE|"&amp;ROW(N1246)&amp;"_x0007_`")</f>
        <v>_x0005_`BDCOD|B02854_x0007_`POSS|1244_x0007_`POSE|1246_x0007_`</v>
      </c>
    </row>
    <row r="1243" spans="1:26" ht="33.200000000000003" customHeight="1">
      <c r="A1243" s="469" t="s">
        <v>5152</v>
      </c>
      <c r="B1243" s="469" t="s">
        <v>1132</v>
      </c>
      <c r="C1243" s="487"/>
      <c r="D1243" s="488" t="s">
        <v>911</v>
      </c>
      <c r="E1243" s="487"/>
      <c r="F1243" s="487"/>
      <c r="G1243" s="487"/>
      <c r="H1243" s="487"/>
      <c r="I1243" s="487"/>
      <c r="J1243" s="487"/>
      <c r="K1243" s="487"/>
      <c r="L1243" s="487"/>
      <c r="M1243" s="488" t="s">
        <v>5153</v>
      </c>
      <c r="O1243" s="468" t="s">
        <v>5153</v>
      </c>
    </row>
    <row r="1244" spans="1:26" ht="33.200000000000003" customHeight="1">
      <c r="A1244" s="452" t="s">
        <v>2883</v>
      </c>
      <c r="B1244" s="452" t="s">
        <v>2884</v>
      </c>
      <c r="C1244" s="489">
        <v>1.25</v>
      </c>
      <c r="D1244" s="480" t="s">
        <v>2377</v>
      </c>
      <c r="E1244" s="490">
        <f t="shared" ref="E1244:F1246" si="191">I1244+G1244+K1244</f>
        <v>16277</v>
      </c>
      <c r="F1244" s="493">
        <f t="shared" si="191"/>
        <v>20346.2</v>
      </c>
      <c r="G1244" s="494">
        <f>단가산출근거목록표!F67</f>
        <v>16277</v>
      </c>
      <c r="H1244" s="498">
        <f>IF(C1244=0,0,ROUNDDOWN(G1244*C1244,1))</f>
        <v>20346.2</v>
      </c>
      <c r="I1244" s="494">
        <f>단가산출근거목록표!G67</f>
        <v>0</v>
      </c>
      <c r="J1244" s="498">
        <f>IF(C1244=0,0,ROUNDDOWN(I1244*C1244,1))</f>
        <v>0</v>
      </c>
      <c r="K1244" s="494">
        <f>단가산출근거목록표!H67</f>
        <v>0</v>
      </c>
      <c r="L1244" s="498">
        <f>IF(C1244=0,0,ROUNDDOWN(K1244*C1244,1))</f>
        <v>0</v>
      </c>
      <c r="M1244" s="463" t="s">
        <v>2885</v>
      </c>
      <c r="N1244" s="451" t="s">
        <v>2896</v>
      </c>
      <c r="O1244" s="468" t="s">
        <v>2887</v>
      </c>
      <c r="P1244" s="468" t="s">
        <v>2354</v>
      </c>
      <c r="Q1244" s="468" t="s">
        <v>2355</v>
      </c>
      <c r="Z1244" s="433" t="str">
        <f ca="1">HYPERLINK("#"&amp;단가산출근거목록표!J2&amp;"!A"&amp;ROW(단가산출근거목록표!A67),"D01055 →")</f>
        <v>D01055 →</v>
      </c>
    </row>
    <row r="1245" spans="1:26" ht="33.200000000000003" customHeight="1">
      <c r="A1245" s="452" t="s">
        <v>1144</v>
      </c>
      <c r="B1245" s="452" t="s">
        <v>2888</v>
      </c>
      <c r="C1245" s="489">
        <v>1.25</v>
      </c>
      <c r="D1245" s="480" t="s">
        <v>2889</v>
      </c>
      <c r="E1245" s="490">
        <f t="shared" si="191"/>
        <v>9900</v>
      </c>
      <c r="F1245" s="491">
        <f t="shared" si="191"/>
        <v>12375</v>
      </c>
      <c r="G1245" s="492">
        <v>0</v>
      </c>
      <c r="H1245" s="493">
        <f>IF(C1245=0,0,ROUNDDOWN(G1245*C1245,1))</f>
        <v>0</v>
      </c>
      <c r="I1245" s="494">
        <f>재료비목록표!E60</f>
        <v>9900</v>
      </c>
      <c r="J1245" s="495">
        <f>IF(C1245=0,0,ROUNDDOWN(I1245*C1245,1))</f>
        <v>12375</v>
      </c>
      <c r="K1245" s="492">
        <v>0</v>
      </c>
      <c r="L1245" s="493">
        <f>IF(C1245=0,0,ROUNDDOWN(K1245*C1245,1))</f>
        <v>0</v>
      </c>
      <c r="M1245" s="463" t="s">
        <v>2890</v>
      </c>
      <c r="N1245" s="451" t="s">
        <v>2891</v>
      </c>
      <c r="O1245" s="468" t="s">
        <v>2892</v>
      </c>
      <c r="P1245" s="468" t="s">
        <v>2354</v>
      </c>
      <c r="Z1245" s="433" t="str">
        <f ca="1">HYPERLINK("#"&amp;재료비목록표!G2&amp;"!A"&amp;ROW(재료비목록표!A60),"M00801 →")</f>
        <v>M00801 →</v>
      </c>
    </row>
    <row r="1246" spans="1:26" ht="33.200000000000003" customHeight="1">
      <c r="A1246" s="452" t="s">
        <v>2507</v>
      </c>
      <c r="B1246" s="452" t="s">
        <v>2441</v>
      </c>
      <c r="C1246" s="489">
        <v>15</v>
      </c>
      <c r="D1246" s="480" t="s">
        <v>2371</v>
      </c>
      <c r="E1246" s="490">
        <f t="shared" si="191"/>
        <v>20346.2</v>
      </c>
      <c r="F1246" s="491">
        <f t="shared" si="191"/>
        <v>3051.9</v>
      </c>
      <c r="G1246" s="496">
        <f>H1244</f>
        <v>20346.2</v>
      </c>
      <c r="H1246" s="491">
        <f>IF(C1246=0,0,ROUNDDOWN(G1246*C1246/100,1))</f>
        <v>3051.9</v>
      </c>
      <c r="I1246" s="465">
        <v>0</v>
      </c>
      <c r="J1246" s="493">
        <f>IF(C1246=0,0,ROUNDDOWN(I1246*C1246/100,1))</f>
        <v>0</v>
      </c>
      <c r="K1246" s="467">
        <v>0</v>
      </c>
      <c r="L1246" s="493">
        <f>IF(C1246=0,0,ROUNDDOWN(K1246*C1246/100,1))</f>
        <v>0</v>
      </c>
      <c r="M1246" s="463"/>
      <c r="N1246" s="451" t="s">
        <v>2508</v>
      </c>
      <c r="O1246" s="468" t="s">
        <v>2373</v>
      </c>
      <c r="P1246" s="468" t="s">
        <v>2354</v>
      </c>
    </row>
    <row r="1247" spans="1:26" ht="33.200000000000003" customHeight="1">
      <c r="A1247" s="463" t="s">
        <v>842</v>
      </c>
      <c r="B1247" s="497"/>
      <c r="C1247" s="497"/>
      <c r="D1247" s="497"/>
      <c r="E1247" s="497"/>
      <c r="F1247" s="446">
        <f>J1247+H1247+L1247</f>
        <v>35773</v>
      </c>
      <c r="G1247" s="497"/>
      <c r="H1247" s="446">
        <f>ROUNDDOWN(SUMIF(P1244:P1246,O1247,H1244:H1246),0)</f>
        <v>23398</v>
      </c>
      <c r="I1247" s="497"/>
      <c r="J1247" s="446">
        <f>ROUNDDOWN(SUMIF(P1244:P1246,O1247,J1244:J1246),0)</f>
        <v>12375</v>
      </c>
      <c r="K1247" s="497"/>
      <c r="L1247" s="446">
        <f>ROUNDDOWN(SUMIF(P1244:P1246,O1247,L1244:L1246),0)</f>
        <v>0</v>
      </c>
      <c r="M1247" s="497"/>
      <c r="O1247" s="468" t="s">
        <v>2354</v>
      </c>
    </row>
    <row r="1248" spans="1:26" ht="33.200000000000003" customHeight="1">
      <c r="A1248" s="484" t="s">
        <v>3042</v>
      </c>
      <c r="B1248" s="484"/>
      <c r="C1248" s="485"/>
      <c r="D1248" s="485"/>
      <c r="E1248" s="485"/>
      <c r="F1248" s="485"/>
      <c r="G1248" s="485"/>
      <c r="H1248" s="485"/>
      <c r="I1248" s="485"/>
      <c r="J1248" s="485"/>
      <c r="K1248" s="485"/>
      <c r="L1248" s="485"/>
      <c r="M1248" s="485"/>
      <c r="N1248" s="486" t="str">
        <f>HYPERLINK("#N"&amp;ROW(N1252),"_x0005_`BDCOD|B02855_x0007_`POSS|"&amp;ROW(N1250)&amp;"_x0007_`POSE|"&amp;ROW(N1252)&amp;"_x0007_`")</f>
        <v>_x0005_`BDCOD|B02855_x0007_`POSS|1250_x0007_`POSE|1252_x0007_`</v>
      </c>
    </row>
    <row r="1249" spans="1:26" ht="33.200000000000003" customHeight="1">
      <c r="A1249" s="469" t="s">
        <v>5152</v>
      </c>
      <c r="B1249" s="469" t="s">
        <v>1136</v>
      </c>
      <c r="C1249" s="487"/>
      <c r="D1249" s="488" t="s">
        <v>911</v>
      </c>
      <c r="E1249" s="487"/>
      <c r="F1249" s="487"/>
      <c r="G1249" s="487"/>
      <c r="H1249" s="487"/>
      <c r="I1249" s="487"/>
      <c r="J1249" s="487"/>
      <c r="K1249" s="487"/>
      <c r="L1249" s="487"/>
      <c r="M1249" s="488" t="s">
        <v>5156</v>
      </c>
      <c r="O1249" s="468" t="s">
        <v>5156</v>
      </c>
    </row>
    <row r="1250" spans="1:26" ht="33.200000000000003" customHeight="1">
      <c r="A1250" s="452" t="s">
        <v>2883</v>
      </c>
      <c r="B1250" s="452" t="s">
        <v>2884</v>
      </c>
      <c r="C1250" s="489">
        <v>2.5</v>
      </c>
      <c r="D1250" s="480" t="s">
        <v>2377</v>
      </c>
      <c r="E1250" s="490">
        <f t="shared" ref="E1250:F1252" si="192">I1250+G1250+K1250</f>
        <v>16277</v>
      </c>
      <c r="F1250" s="493">
        <f t="shared" si="192"/>
        <v>40692.5</v>
      </c>
      <c r="G1250" s="494">
        <f>단가산출근거목록표!F67</f>
        <v>16277</v>
      </c>
      <c r="H1250" s="498">
        <f>IF(C1250=0,0,ROUNDDOWN(G1250*C1250,1))</f>
        <v>40692.5</v>
      </c>
      <c r="I1250" s="494">
        <f>단가산출근거목록표!G67</f>
        <v>0</v>
      </c>
      <c r="J1250" s="498">
        <f>IF(C1250=0,0,ROUNDDOWN(I1250*C1250,1))</f>
        <v>0</v>
      </c>
      <c r="K1250" s="494">
        <f>단가산출근거목록표!H67</f>
        <v>0</v>
      </c>
      <c r="L1250" s="498">
        <f>IF(C1250=0,0,ROUNDDOWN(K1250*C1250,1))</f>
        <v>0</v>
      </c>
      <c r="M1250" s="463" t="s">
        <v>2885</v>
      </c>
      <c r="N1250" s="451" t="s">
        <v>2896</v>
      </c>
      <c r="O1250" s="468" t="s">
        <v>2887</v>
      </c>
      <c r="P1250" s="468" t="s">
        <v>2354</v>
      </c>
      <c r="Q1250" s="468" t="s">
        <v>2355</v>
      </c>
      <c r="Z1250" s="433" t="str">
        <f ca="1">HYPERLINK("#"&amp;단가산출근거목록표!J2&amp;"!A"&amp;ROW(단가산출근거목록표!A67),"D01055 →")</f>
        <v>D01055 →</v>
      </c>
    </row>
    <row r="1251" spans="1:26" ht="33.200000000000003" customHeight="1">
      <c r="A1251" s="452" t="s">
        <v>1144</v>
      </c>
      <c r="B1251" s="452" t="s">
        <v>2888</v>
      </c>
      <c r="C1251" s="489">
        <v>2.5</v>
      </c>
      <c r="D1251" s="480" t="s">
        <v>2889</v>
      </c>
      <c r="E1251" s="490">
        <f t="shared" si="192"/>
        <v>9900</v>
      </c>
      <c r="F1251" s="491">
        <f t="shared" si="192"/>
        <v>24750</v>
      </c>
      <c r="G1251" s="492">
        <v>0</v>
      </c>
      <c r="H1251" s="493">
        <f>IF(C1251=0,0,ROUNDDOWN(G1251*C1251,1))</f>
        <v>0</v>
      </c>
      <c r="I1251" s="494">
        <f>재료비목록표!E60</f>
        <v>9900</v>
      </c>
      <c r="J1251" s="495">
        <f>IF(C1251=0,0,ROUNDDOWN(I1251*C1251,1))</f>
        <v>24750</v>
      </c>
      <c r="K1251" s="492">
        <v>0</v>
      </c>
      <c r="L1251" s="493">
        <f>IF(C1251=0,0,ROUNDDOWN(K1251*C1251,1))</f>
        <v>0</v>
      </c>
      <c r="M1251" s="463" t="s">
        <v>2890</v>
      </c>
      <c r="N1251" s="451" t="s">
        <v>2891</v>
      </c>
      <c r="O1251" s="468" t="s">
        <v>2892</v>
      </c>
      <c r="P1251" s="468" t="s">
        <v>2354</v>
      </c>
      <c r="Z1251" s="433" t="str">
        <f ca="1">HYPERLINK("#"&amp;재료비목록표!G2&amp;"!A"&amp;ROW(재료비목록표!A60),"M00801 →")</f>
        <v>M00801 →</v>
      </c>
    </row>
    <row r="1252" spans="1:26" ht="33.200000000000003" customHeight="1">
      <c r="A1252" s="452" t="s">
        <v>2507</v>
      </c>
      <c r="B1252" s="452" t="s">
        <v>2441</v>
      </c>
      <c r="C1252" s="489">
        <v>15</v>
      </c>
      <c r="D1252" s="480" t="s">
        <v>2371</v>
      </c>
      <c r="E1252" s="490">
        <f t="shared" si="192"/>
        <v>40692.5</v>
      </c>
      <c r="F1252" s="491">
        <f t="shared" si="192"/>
        <v>6103.8</v>
      </c>
      <c r="G1252" s="496">
        <f>H1250</f>
        <v>40692.5</v>
      </c>
      <c r="H1252" s="491">
        <f>IF(C1252=0,0,ROUNDDOWN(G1252*C1252/100,1))</f>
        <v>6103.8</v>
      </c>
      <c r="I1252" s="465">
        <v>0</v>
      </c>
      <c r="J1252" s="493">
        <f>IF(C1252=0,0,ROUNDDOWN(I1252*C1252/100,1))</f>
        <v>0</v>
      </c>
      <c r="K1252" s="467">
        <v>0</v>
      </c>
      <c r="L1252" s="493">
        <f>IF(C1252=0,0,ROUNDDOWN(K1252*C1252/100,1))</f>
        <v>0</v>
      </c>
      <c r="M1252" s="463"/>
      <c r="N1252" s="451" t="s">
        <v>2508</v>
      </c>
      <c r="O1252" s="468" t="s">
        <v>2373</v>
      </c>
      <c r="P1252" s="468" t="s">
        <v>2354</v>
      </c>
    </row>
    <row r="1253" spans="1:26" ht="33.200000000000003" customHeight="1">
      <c r="A1253" s="463" t="s">
        <v>842</v>
      </c>
      <c r="B1253" s="497"/>
      <c r="C1253" s="497"/>
      <c r="D1253" s="497"/>
      <c r="E1253" s="497"/>
      <c r="F1253" s="446">
        <f>J1253+H1253+L1253</f>
        <v>71546</v>
      </c>
      <c r="G1253" s="497"/>
      <c r="H1253" s="446">
        <f>ROUNDDOWN(SUMIF(P1250:P1252,O1253,H1250:H1252),0)</f>
        <v>46796</v>
      </c>
      <c r="I1253" s="497"/>
      <c r="J1253" s="446">
        <f>ROUNDDOWN(SUMIF(P1250:P1252,O1253,J1250:J1252),0)</f>
        <v>24750</v>
      </c>
      <c r="K1253" s="497"/>
      <c r="L1253" s="446">
        <f>ROUNDDOWN(SUMIF(P1250:P1252,O1253,L1250:L1252),0)</f>
        <v>0</v>
      </c>
      <c r="M1253" s="497"/>
      <c r="O1253" s="468" t="s">
        <v>2354</v>
      </c>
    </row>
    <row r="1254" spans="1:26" ht="33.200000000000003" customHeight="1">
      <c r="A1254" s="484" t="s">
        <v>3043</v>
      </c>
      <c r="B1254" s="484"/>
      <c r="C1254" s="485"/>
      <c r="D1254" s="485"/>
      <c r="E1254" s="485"/>
      <c r="F1254" s="485"/>
      <c r="G1254" s="485"/>
      <c r="H1254" s="485"/>
      <c r="I1254" s="485"/>
      <c r="J1254" s="485"/>
      <c r="K1254" s="485"/>
      <c r="L1254" s="485"/>
      <c r="M1254" s="485"/>
      <c r="N1254" s="486" t="str">
        <f>HYPERLINK("#N"&amp;ROW(N1258),"_x0005_`BDCOD|B02856_x0007_`POSS|"&amp;ROW(N1256)&amp;"_x0007_`POSE|"&amp;ROW(N1258)&amp;"_x0007_`")</f>
        <v>_x0005_`BDCOD|B02856_x0007_`POSS|1256_x0007_`POSE|1258_x0007_`</v>
      </c>
    </row>
    <row r="1255" spans="1:26" ht="33.200000000000003" customHeight="1">
      <c r="A1255" s="469" t="s">
        <v>5152</v>
      </c>
      <c r="B1255" s="469" t="s">
        <v>1140</v>
      </c>
      <c r="C1255" s="487"/>
      <c r="D1255" s="488" t="s">
        <v>911</v>
      </c>
      <c r="E1255" s="487"/>
      <c r="F1255" s="487"/>
      <c r="G1255" s="487"/>
      <c r="H1255" s="487"/>
      <c r="I1255" s="487"/>
      <c r="J1255" s="487"/>
      <c r="K1255" s="487"/>
      <c r="L1255" s="487"/>
      <c r="M1255" s="488" t="s">
        <v>5159</v>
      </c>
      <c r="O1255" s="468" t="s">
        <v>5159</v>
      </c>
    </row>
    <row r="1256" spans="1:26" ht="33.200000000000003" customHeight="1">
      <c r="A1256" s="452" t="s">
        <v>2883</v>
      </c>
      <c r="B1256" s="452" t="s">
        <v>2884</v>
      </c>
      <c r="C1256" s="489">
        <v>3.75</v>
      </c>
      <c r="D1256" s="480" t="s">
        <v>2377</v>
      </c>
      <c r="E1256" s="490">
        <f t="shared" ref="E1256:F1258" si="193">I1256+G1256+K1256</f>
        <v>16277</v>
      </c>
      <c r="F1256" s="493">
        <f t="shared" si="193"/>
        <v>61038.7</v>
      </c>
      <c r="G1256" s="494">
        <f>단가산출근거목록표!F67</f>
        <v>16277</v>
      </c>
      <c r="H1256" s="498">
        <f>IF(C1256=0,0,ROUNDDOWN(G1256*C1256,1))</f>
        <v>61038.7</v>
      </c>
      <c r="I1256" s="494">
        <f>단가산출근거목록표!G67</f>
        <v>0</v>
      </c>
      <c r="J1256" s="498">
        <f>IF(C1256=0,0,ROUNDDOWN(I1256*C1256,1))</f>
        <v>0</v>
      </c>
      <c r="K1256" s="494">
        <f>단가산출근거목록표!H67</f>
        <v>0</v>
      </c>
      <c r="L1256" s="498">
        <f>IF(C1256=0,0,ROUNDDOWN(K1256*C1256,1))</f>
        <v>0</v>
      </c>
      <c r="M1256" s="463" t="s">
        <v>2885</v>
      </c>
      <c r="N1256" s="451" t="s">
        <v>2896</v>
      </c>
      <c r="O1256" s="468" t="s">
        <v>2887</v>
      </c>
      <c r="P1256" s="468" t="s">
        <v>2354</v>
      </c>
      <c r="Q1256" s="468" t="s">
        <v>2355</v>
      </c>
      <c r="Z1256" s="433" t="str">
        <f ca="1">HYPERLINK("#"&amp;단가산출근거목록표!J2&amp;"!A"&amp;ROW(단가산출근거목록표!A67),"D01055 →")</f>
        <v>D01055 →</v>
      </c>
    </row>
    <row r="1257" spans="1:26" ht="33.200000000000003" customHeight="1">
      <c r="A1257" s="452" t="s">
        <v>1144</v>
      </c>
      <c r="B1257" s="452" t="s">
        <v>2888</v>
      </c>
      <c r="C1257" s="489">
        <v>3.75</v>
      </c>
      <c r="D1257" s="480" t="s">
        <v>2889</v>
      </c>
      <c r="E1257" s="490">
        <f t="shared" si="193"/>
        <v>9900</v>
      </c>
      <c r="F1257" s="491">
        <f t="shared" si="193"/>
        <v>37125</v>
      </c>
      <c r="G1257" s="492">
        <v>0</v>
      </c>
      <c r="H1257" s="493">
        <f>IF(C1257=0,0,ROUNDDOWN(G1257*C1257,1))</f>
        <v>0</v>
      </c>
      <c r="I1257" s="494">
        <f>재료비목록표!E60</f>
        <v>9900</v>
      </c>
      <c r="J1257" s="495">
        <f>IF(C1257=0,0,ROUNDDOWN(I1257*C1257,1))</f>
        <v>37125</v>
      </c>
      <c r="K1257" s="492">
        <v>0</v>
      </c>
      <c r="L1257" s="493">
        <f>IF(C1257=0,0,ROUNDDOWN(K1257*C1257,1))</f>
        <v>0</v>
      </c>
      <c r="M1257" s="463" t="s">
        <v>2890</v>
      </c>
      <c r="N1257" s="451" t="s">
        <v>2891</v>
      </c>
      <c r="O1257" s="468" t="s">
        <v>2892</v>
      </c>
      <c r="P1257" s="468" t="s">
        <v>2354</v>
      </c>
      <c r="Z1257" s="433" t="str">
        <f ca="1">HYPERLINK("#"&amp;재료비목록표!G2&amp;"!A"&amp;ROW(재료비목록표!A60),"M00801 →")</f>
        <v>M00801 →</v>
      </c>
    </row>
    <row r="1258" spans="1:26" ht="33.200000000000003" customHeight="1">
      <c r="A1258" s="452" t="s">
        <v>2507</v>
      </c>
      <c r="B1258" s="452" t="s">
        <v>2441</v>
      </c>
      <c r="C1258" s="489">
        <v>15</v>
      </c>
      <c r="D1258" s="480" t="s">
        <v>2371</v>
      </c>
      <c r="E1258" s="490">
        <f t="shared" si="193"/>
        <v>61038.7</v>
      </c>
      <c r="F1258" s="491">
        <f t="shared" si="193"/>
        <v>9155.7999999999993</v>
      </c>
      <c r="G1258" s="496">
        <f>H1256</f>
        <v>61038.7</v>
      </c>
      <c r="H1258" s="491">
        <f>IF(C1258=0,0,ROUNDDOWN(G1258*C1258/100,1))</f>
        <v>9155.7999999999993</v>
      </c>
      <c r="I1258" s="465">
        <v>0</v>
      </c>
      <c r="J1258" s="493">
        <f>IF(C1258=0,0,ROUNDDOWN(I1258*C1258/100,1))</f>
        <v>0</v>
      </c>
      <c r="K1258" s="467">
        <v>0</v>
      </c>
      <c r="L1258" s="493">
        <f>IF(C1258=0,0,ROUNDDOWN(K1258*C1258/100,1))</f>
        <v>0</v>
      </c>
      <c r="M1258" s="463"/>
      <c r="N1258" s="451" t="s">
        <v>2508</v>
      </c>
      <c r="O1258" s="468" t="s">
        <v>2373</v>
      </c>
      <c r="P1258" s="468" t="s">
        <v>2354</v>
      </c>
    </row>
    <row r="1259" spans="1:26" ht="33.200000000000003" customHeight="1">
      <c r="A1259" s="463" t="s">
        <v>842</v>
      </c>
      <c r="B1259" s="497"/>
      <c r="C1259" s="497"/>
      <c r="D1259" s="497"/>
      <c r="E1259" s="497"/>
      <c r="F1259" s="446">
        <f>J1259+H1259+L1259</f>
        <v>107319</v>
      </c>
      <c r="G1259" s="497"/>
      <c r="H1259" s="446">
        <f>ROUNDDOWN(SUMIF(P1256:P1258,O1259,H1256:H1258),0)</f>
        <v>70194</v>
      </c>
      <c r="I1259" s="497"/>
      <c r="J1259" s="446">
        <f>ROUNDDOWN(SUMIF(P1256:P1258,O1259,J1256:J1258),0)</f>
        <v>37125</v>
      </c>
      <c r="K1259" s="497"/>
      <c r="L1259" s="446">
        <f>ROUNDDOWN(SUMIF(P1256:P1258,O1259,L1256:L1258),0)</f>
        <v>0</v>
      </c>
      <c r="M1259" s="497"/>
      <c r="O1259" s="468" t="s">
        <v>2354</v>
      </c>
    </row>
    <row r="1260" spans="1:26" ht="33.200000000000003" customHeight="1">
      <c r="A1260" s="484" t="s">
        <v>3048</v>
      </c>
      <c r="B1260" s="484"/>
      <c r="C1260" s="485"/>
      <c r="D1260" s="485"/>
      <c r="E1260" s="485"/>
      <c r="F1260" s="485"/>
      <c r="G1260" s="485"/>
      <c r="H1260" s="485"/>
      <c r="I1260" s="485"/>
      <c r="J1260" s="485"/>
      <c r="K1260" s="485"/>
      <c r="L1260" s="485"/>
      <c r="M1260" s="485"/>
      <c r="N1260" s="486" t="str">
        <f>HYPERLINK("#N"&amp;ROW(N1264),"_x0005_`BDCOD|B02672_x0007_`POSS|"&amp;ROW(N1262)&amp;"_x0007_`POSE|"&amp;ROW(N1264)&amp;"_x0007_`")</f>
        <v>_x0005_`BDCOD|B02672_x0007_`POSS|1262_x0007_`POSE|1264_x0007_`</v>
      </c>
    </row>
    <row r="1261" spans="1:26" ht="33.200000000000003" customHeight="1">
      <c r="A1261" s="469" t="s">
        <v>5162</v>
      </c>
      <c r="B1261" s="469" t="s">
        <v>1132</v>
      </c>
      <c r="C1261" s="487"/>
      <c r="D1261" s="488" t="s">
        <v>911</v>
      </c>
      <c r="E1261" s="487"/>
      <c r="F1261" s="487"/>
      <c r="G1261" s="487"/>
      <c r="H1261" s="487"/>
      <c r="I1261" s="487"/>
      <c r="J1261" s="487"/>
      <c r="K1261" s="487"/>
      <c r="L1261" s="487"/>
      <c r="M1261" s="488" t="s">
        <v>1133</v>
      </c>
      <c r="O1261" s="468" t="s">
        <v>1133</v>
      </c>
    </row>
    <row r="1262" spans="1:26" ht="33.200000000000003" customHeight="1">
      <c r="A1262" s="452" t="s">
        <v>2883</v>
      </c>
      <c r="B1262" s="452" t="s">
        <v>2884</v>
      </c>
      <c r="C1262" s="489">
        <v>1.25</v>
      </c>
      <c r="D1262" s="480" t="s">
        <v>2377</v>
      </c>
      <c r="E1262" s="490">
        <f t="shared" ref="E1262:F1264" si="194">I1262+G1262+K1262</f>
        <v>16277</v>
      </c>
      <c r="F1262" s="493">
        <f t="shared" si="194"/>
        <v>20346.2</v>
      </c>
      <c r="G1262" s="494">
        <f>단가산출근거목록표!F67</f>
        <v>16277</v>
      </c>
      <c r="H1262" s="498">
        <f>IF(C1262=0,0,ROUNDDOWN(G1262*C1262,1))</f>
        <v>20346.2</v>
      </c>
      <c r="I1262" s="494">
        <f>단가산출근거목록표!G67</f>
        <v>0</v>
      </c>
      <c r="J1262" s="498">
        <f>IF(C1262=0,0,ROUNDDOWN(I1262*C1262,1))</f>
        <v>0</v>
      </c>
      <c r="K1262" s="494">
        <f>단가산출근거목록표!H67</f>
        <v>0</v>
      </c>
      <c r="L1262" s="498">
        <f>IF(C1262=0,0,ROUNDDOWN(K1262*C1262,1))</f>
        <v>0</v>
      </c>
      <c r="M1262" s="463" t="s">
        <v>2885</v>
      </c>
      <c r="N1262" s="451" t="s">
        <v>2896</v>
      </c>
      <c r="O1262" s="468" t="s">
        <v>2887</v>
      </c>
      <c r="P1262" s="468" t="s">
        <v>2354</v>
      </c>
      <c r="Q1262" s="468" t="s">
        <v>2355</v>
      </c>
      <c r="Z1262" s="433" t="str">
        <f ca="1">HYPERLINK("#"&amp;단가산출근거목록표!J2&amp;"!A"&amp;ROW(단가산출근거목록표!A67),"D01055 →")</f>
        <v>D01055 →</v>
      </c>
    </row>
    <row r="1263" spans="1:26" ht="33.200000000000003" customHeight="1">
      <c r="A1263" s="452" t="s">
        <v>1144</v>
      </c>
      <c r="B1263" s="452" t="s">
        <v>2888</v>
      </c>
      <c r="C1263" s="489">
        <v>1.25</v>
      </c>
      <c r="D1263" s="480" t="s">
        <v>2889</v>
      </c>
      <c r="E1263" s="490">
        <f t="shared" si="194"/>
        <v>9900</v>
      </c>
      <c r="F1263" s="491">
        <f t="shared" si="194"/>
        <v>12375</v>
      </c>
      <c r="G1263" s="492">
        <v>0</v>
      </c>
      <c r="H1263" s="493">
        <f>IF(C1263=0,0,ROUNDDOWN(G1263*C1263,1))</f>
        <v>0</v>
      </c>
      <c r="I1263" s="494">
        <f>재료비목록표!E60</f>
        <v>9900</v>
      </c>
      <c r="J1263" s="495">
        <f>IF(C1263=0,0,ROUNDDOWN(I1263*C1263,1))</f>
        <v>12375</v>
      </c>
      <c r="K1263" s="492">
        <v>0</v>
      </c>
      <c r="L1263" s="493">
        <f>IF(C1263=0,0,ROUNDDOWN(K1263*C1263,1))</f>
        <v>0</v>
      </c>
      <c r="M1263" s="463" t="s">
        <v>2890</v>
      </c>
      <c r="N1263" s="451" t="s">
        <v>2891</v>
      </c>
      <c r="O1263" s="468" t="s">
        <v>2892</v>
      </c>
      <c r="P1263" s="468" t="s">
        <v>2354</v>
      </c>
      <c r="Z1263" s="433" t="str">
        <f ca="1">HYPERLINK("#"&amp;재료비목록표!G2&amp;"!A"&amp;ROW(재료비목록표!A60),"M00801 →")</f>
        <v>M00801 →</v>
      </c>
    </row>
    <row r="1264" spans="1:26" ht="33.200000000000003" customHeight="1">
      <c r="A1264" s="452" t="s">
        <v>2507</v>
      </c>
      <c r="B1264" s="452" t="s">
        <v>2441</v>
      </c>
      <c r="C1264" s="489">
        <v>25</v>
      </c>
      <c r="D1264" s="480" t="s">
        <v>2371</v>
      </c>
      <c r="E1264" s="490">
        <f t="shared" si="194"/>
        <v>20346.2</v>
      </c>
      <c r="F1264" s="491">
        <f t="shared" si="194"/>
        <v>5086.5</v>
      </c>
      <c r="G1264" s="496">
        <f>H1262</f>
        <v>20346.2</v>
      </c>
      <c r="H1264" s="491">
        <f>IF(C1264=0,0,ROUNDDOWN(G1264*C1264/100,1))</f>
        <v>5086.5</v>
      </c>
      <c r="I1264" s="465">
        <v>0</v>
      </c>
      <c r="J1264" s="493">
        <f>IF(C1264=0,0,ROUNDDOWN(I1264*C1264/100,1))</f>
        <v>0</v>
      </c>
      <c r="K1264" s="467">
        <v>0</v>
      </c>
      <c r="L1264" s="493">
        <f>IF(C1264=0,0,ROUNDDOWN(K1264*C1264/100,1))</f>
        <v>0</v>
      </c>
      <c r="M1264" s="463"/>
      <c r="N1264" s="451" t="s">
        <v>2508</v>
      </c>
      <c r="O1264" s="468" t="s">
        <v>2373</v>
      </c>
      <c r="P1264" s="468" t="s">
        <v>2354</v>
      </c>
    </row>
    <row r="1265" spans="1:26" ht="33.200000000000003" customHeight="1">
      <c r="A1265" s="463" t="s">
        <v>842</v>
      </c>
      <c r="B1265" s="497"/>
      <c r="C1265" s="497"/>
      <c r="D1265" s="497"/>
      <c r="E1265" s="497"/>
      <c r="F1265" s="446">
        <f>J1265+H1265+L1265</f>
        <v>37807</v>
      </c>
      <c r="G1265" s="497"/>
      <c r="H1265" s="446">
        <f>ROUNDDOWN(SUMIF(P1262:P1264,O1265,H1262:H1264),0)</f>
        <v>25432</v>
      </c>
      <c r="I1265" s="497"/>
      <c r="J1265" s="446">
        <f>ROUNDDOWN(SUMIF(P1262:P1264,O1265,J1262:J1264),0)</f>
        <v>12375</v>
      </c>
      <c r="K1265" s="497"/>
      <c r="L1265" s="446">
        <f>ROUNDDOWN(SUMIF(P1262:P1264,O1265,L1262:L1264),0)</f>
        <v>0</v>
      </c>
      <c r="M1265" s="497"/>
      <c r="O1265" s="468" t="s">
        <v>2354</v>
      </c>
    </row>
    <row r="1266" spans="1:26" ht="33.200000000000003" customHeight="1">
      <c r="A1266" s="484" t="s">
        <v>3053</v>
      </c>
      <c r="B1266" s="484"/>
      <c r="C1266" s="485"/>
      <c r="D1266" s="485"/>
      <c r="E1266" s="485"/>
      <c r="F1266" s="485"/>
      <c r="G1266" s="485"/>
      <c r="H1266" s="485"/>
      <c r="I1266" s="485"/>
      <c r="J1266" s="485"/>
      <c r="K1266" s="485"/>
      <c r="L1266" s="485"/>
      <c r="M1266" s="485"/>
      <c r="N1266" s="486" t="str">
        <f>HYPERLINK("#N"&amp;ROW(N1270),"_x0005_`BDCOD|B02673_x0007_`POSS|"&amp;ROW(N1268)&amp;"_x0007_`POSE|"&amp;ROW(N1270)&amp;"_x0007_`")</f>
        <v>_x0005_`BDCOD|B02673_x0007_`POSS|1268_x0007_`POSE|1270_x0007_`</v>
      </c>
    </row>
    <row r="1267" spans="1:26" ht="33.200000000000003" customHeight="1">
      <c r="A1267" s="469" t="s">
        <v>5162</v>
      </c>
      <c r="B1267" s="469" t="s">
        <v>1136</v>
      </c>
      <c r="C1267" s="487"/>
      <c r="D1267" s="488" t="s">
        <v>911</v>
      </c>
      <c r="E1267" s="487"/>
      <c r="F1267" s="487"/>
      <c r="G1267" s="487"/>
      <c r="H1267" s="487"/>
      <c r="I1267" s="487"/>
      <c r="J1267" s="487"/>
      <c r="K1267" s="487"/>
      <c r="L1267" s="487"/>
      <c r="M1267" s="488" t="s">
        <v>1137</v>
      </c>
      <c r="O1267" s="468" t="s">
        <v>1137</v>
      </c>
    </row>
    <row r="1268" spans="1:26" ht="33.200000000000003" customHeight="1">
      <c r="A1268" s="452" t="s">
        <v>2883</v>
      </c>
      <c r="B1268" s="452" t="s">
        <v>2884</v>
      </c>
      <c r="C1268" s="489">
        <v>2.5</v>
      </c>
      <c r="D1268" s="480" t="s">
        <v>2377</v>
      </c>
      <c r="E1268" s="490">
        <f t="shared" ref="E1268:F1270" si="195">I1268+G1268+K1268</f>
        <v>16277</v>
      </c>
      <c r="F1268" s="493">
        <f t="shared" si="195"/>
        <v>40692.5</v>
      </c>
      <c r="G1268" s="494">
        <f>단가산출근거목록표!F67</f>
        <v>16277</v>
      </c>
      <c r="H1268" s="498">
        <f>IF(C1268=0,0,ROUNDDOWN(G1268*C1268,1))</f>
        <v>40692.5</v>
      </c>
      <c r="I1268" s="494">
        <f>단가산출근거목록표!G67</f>
        <v>0</v>
      </c>
      <c r="J1268" s="498">
        <f>IF(C1268=0,0,ROUNDDOWN(I1268*C1268,1))</f>
        <v>0</v>
      </c>
      <c r="K1268" s="494">
        <f>단가산출근거목록표!H67</f>
        <v>0</v>
      </c>
      <c r="L1268" s="498">
        <f>IF(C1268=0,0,ROUNDDOWN(K1268*C1268,1))</f>
        <v>0</v>
      </c>
      <c r="M1268" s="463" t="s">
        <v>2885</v>
      </c>
      <c r="N1268" s="451" t="s">
        <v>2896</v>
      </c>
      <c r="O1268" s="468" t="s">
        <v>2887</v>
      </c>
      <c r="P1268" s="468" t="s">
        <v>2354</v>
      </c>
      <c r="Q1268" s="468" t="s">
        <v>2355</v>
      </c>
      <c r="Z1268" s="433" t="str">
        <f ca="1">HYPERLINK("#"&amp;단가산출근거목록표!J2&amp;"!A"&amp;ROW(단가산출근거목록표!A67),"D01055 →")</f>
        <v>D01055 →</v>
      </c>
    </row>
    <row r="1269" spans="1:26" ht="33.200000000000003" customHeight="1">
      <c r="A1269" s="452" t="s">
        <v>1144</v>
      </c>
      <c r="B1269" s="452" t="s">
        <v>2888</v>
      </c>
      <c r="C1269" s="489">
        <v>2.5</v>
      </c>
      <c r="D1269" s="480" t="s">
        <v>2889</v>
      </c>
      <c r="E1269" s="490">
        <f t="shared" si="195"/>
        <v>9900</v>
      </c>
      <c r="F1269" s="491">
        <f t="shared" si="195"/>
        <v>24750</v>
      </c>
      <c r="G1269" s="492">
        <v>0</v>
      </c>
      <c r="H1269" s="493">
        <f>IF(C1269=0,0,ROUNDDOWN(G1269*C1269,1))</f>
        <v>0</v>
      </c>
      <c r="I1269" s="494">
        <f>재료비목록표!E60</f>
        <v>9900</v>
      </c>
      <c r="J1269" s="495">
        <f>IF(C1269=0,0,ROUNDDOWN(I1269*C1269,1))</f>
        <v>24750</v>
      </c>
      <c r="K1269" s="492">
        <v>0</v>
      </c>
      <c r="L1269" s="493">
        <f>IF(C1269=0,0,ROUNDDOWN(K1269*C1269,1))</f>
        <v>0</v>
      </c>
      <c r="M1269" s="463" t="s">
        <v>2890</v>
      </c>
      <c r="N1269" s="451" t="s">
        <v>2891</v>
      </c>
      <c r="O1269" s="468" t="s">
        <v>2892</v>
      </c>
      <c r="P1269" s="468" t="s">
        <v>2354</v>
      </c>
      <c r="Z1269" s="433" t="str">
        <f ca="1">HYPERLINK("#"&amp;재료비목록표!G2&amp;"!A"&amp;ROW(재료비목록표!A60),"M00801 →")</f>
        <v>M00801 →</v>
      </c>
    </row>
    <row r="1270" spans="1:26" ht="33.200000000000003" customHeight="1">
      <c r="A1270" s="452" t="s">
        <v>2507</v>
      </c>
      <c r="B1270" s="452" t="s">
        <v>2441</v>
      </c>
      <c r="C1270" s="489">
        <v>25</v>
      </c>
      <c r="D1270" s="480" t="s">
        <v>2371</v>
      </c>
      <c r="E1270" s="490">
        <f t="shared" si="195"/>
        <v>40692.5</v>
      </c>
      <c r="F1270" s="491">
        <f t="shared" si="195"/>
        <v>10173.1</v>
      </c>
      <c r="G1270" s="496">
        <f>H1268</f>
        <v>40692.5</v>
      </c>
      <c r="H1270" s="491">
        <f>IF(C1270=0,0,ROUNDDOWN(G1270*C1270/100,1))</f>
        <v>10173.1</v>
      </c>
      <c r="I1270" s="465">
        <v>0</v>
      </c>
      <c r="J1270" s="493">
        <f>IF(C1270=0,0,ROUNDDOWN(I1270*C1270/100,1))</f>
        <v>0</v>
      </c>
      <c r="K1270" s="467">
        <v>0</v>
      </c>
      <c r="L1270" s="493">
        <f>IF(C1270=0,0,ROUNDDOWN(K1270*C1270/100,1))</f>
        <v>0</v>
      </c>
      <c r="M1270" s="463"/>
      <c r="N1270" s="451" t="s">
        <v>2508</v>
      </c>
      <c r="O1270" s="468" t="s">
        <v>2373</v>
      </c>
      <c r="P1270" s="468" t="s">
        <v>2354</v>
      </c>
    </row>
    <row r="1271" spans="1:26" ht="33.200000000000003" customHeight="1">
      <c r="A1271" s="463" t="s">
        <v>842</v>
      </c>
      <c r="B1271" s="497"/>
      <c r="C1271" s="497"/>
      <c r="D1271" s="497"/>
      <c r="E1271" s="497"/>
      <c r="F1271" s="446">
        <f>J1271+H1271+L1271</f>
        <v>75615</v>
      </c>
      <c r="G1271" s="497"/>
      <c r="H1271" s="446">
        <f>ROUNDDOWN(SUMIF(P1268:P1270,O1271,H1268:H1270),0)</f>
        <v>50865</v>
      </c>
      <c r="I1271" s="497"/>
      <c r="J1271" s="446">
        <f>ROUNDDOWN(SUMIF(P1268:P1270,O1271,J1268:J1270),0)</f>
        <v>24750</v>
      </c>
      <c r="K1271" s="497"/>
      <c r="L1271" s="446">
        <f>ROUNDDOWN(SUMIF(P1268:P1270,O1271,L1268:L1270),0)</f>
        <v>0</v>
      </c>
      <c r="M1271" s="497"/>
      <c r="O1271" s="468" t="s">
        <v>2354</v>
      </c>
    </row>
    <row r="1272" spans="1:26" ht="33.200000000000003" customHeight="1">
      <c r="A1272" s="484" t="s">
        <v>3072</v>
      </c>
      <c r="B1272" s="484"/>
      <c r="C1272" s="485"/>
      <c r="D1272" s="485"/>
      <c r="E1272" s="485"/>
      <c r="F1272" s="485"/>
      <c r="G1272" s="485"/>
      <c r="H1272" s="485"/>
      <c r="I1272" s="485"/>
      <c r="J1272" s="485"/>
      <c r="K1272" s="485"/>
      <c r="L1272" s="485"/>
      <c r="M1272" s="485"/>
      <c r="N1272" s="486" t="str">
        <f>HYPERLINK("#N"&amp;ROW(N1276),"_x0005_`BDCOD|B02674_x0007_`POSS|"&amp;ROW(N1274)&amp;"_x0007_`POSE|"&amp;ROW(N1276)&amp;"_x0007_`")</f>
        <v>_x0005_`BDCOD|B02674_x0007_`POSS|1274_x0007_`POSE|1276_x0007_`</v>
      </c>
    </row>
    <row r="1273" spans="1:26" ht="33.200000000000003" customHeight="1">
      <c r="A1273" s="469" t="s">
        <v>5162</v>
      </c>
      <c r="B1273" s="469" t="s">
        <v>1140</v>
      </c>
      <c r="C1273" s="487"/>
      <c r="D1273" s="488" t="s">
        <v>911</v>
      </c>
      <c r="E1273" s="487"/>
      <c r="F1273" s="487"/>
      <c r="G1273" s="487"/>
      <c r="H1273" s="487"/>
      <c r="I1273" s="487"/>
      <c r="J1273" s="487"/>
      <c r="K1273" s="487"/>
      <c r="L1273" s="487"/>
      <c r="M1273" s="488" t="s">
        <v>1141</v>
      </c>
      <c r="O1273" s="468" t="s">
        <v>1141</v>
      </c>
    </row>
    <row r="1274" spans="1:26" ht="33.200000000000003" customHeight="1">
      <c r="A1274" s="452" t="s">
        <v>2883</v>
      </c>
      <c r="B1274" s="452" t="s">
        <v>2884</v>
      </c>
      <c r="C1274" s="489">
        <v>3.75</v>
      </c>
      <c r="D1274" s="480" t="s">
        <v>2377</v>
      </c>
      <c r="E1274" s="490">
        <f t="shared" ref="E1274:F1276" si="196">I1274+G1274+K1274</f>
        <v>16277</v>
      </c>
      <c r="F1274" s="493">
        <f t="shared" si="196"/>
        <v>61038.7</v>
      </c>
      <c r="G1274" s="494">
        <f>단가산출근거목록표!F67</f>
        <v>16277</v>
      </c>
      <c r="H1274" s="498">
        <f>IF(C1274=0,0,ROUNDDOWN(G1274*C1274,1))</f>
        <v>61038.7</v>
      </c>
      <c r="I1274" s="494">
        <f>단가산출근거목록표!G67</f>
        <v>0</v>
      </c>
      <c r="J1274" s="498">
        <f>IF(C1274=0,0,ROUNDDOWN(I1274*C1274,1))</f>
        <v>0</v>
      </c>
      <c r="K1274" s="494">
        <f>단가산출근거목록표!H67</f>
        <v>0</v>
      </c>
      <c r="L1274" s="498">
        <f>IF(C1274=0,0,ROUNDDOWN(K1274*C1274,1))</f>
        <v>0</v>
      </c>
      <c r="M1274" s="463" t="s">
        <v>2885</v>
      </c>
      <c r="N1274" s="451" t="s">
        <v>2896</v>
      </c>
      <c r="O1274" s="468" t="s">
        <v>2887</v>
      </c>
      <c r="P1274" s="468" t="s">
        <v>2354</v>
      </c>
      <c r="Q1274" s="468" t="s">
        <v>2355</v>
      </c>
      <c r="Z1274" s="433" t="str">
        <f ca="1">HYPERLINK("#"&amp;단가산출근거목록표!J2&amp;"!A"&amp;ROW(단가산출근거목록표!A67),"D01055 →")</f>
        <v>D01055 →</v>
      </c>
    </row>
    <row r="1275" spans="1:26" ht="33.200000000000003" customHeight="1">
      <c r="A1275" s="452" t="s">
        <v>1144</v>
      </c>
      <c r="B1275" s="452" t="s">
        <v>2888</v>
      </c>
      <c r="C1275" s="489">
        <v>3.75</v>
      </c>
      <c r="D1275" s="480" t="s">
        <v>2889</v>
      </c>
      <c r="E1275" s="490">
        <f t="shared" si="196"/>
        <v>9900</v>
      </c>
      <c r="F1275" s="491">
        <f t="shared" si="196"/>
        <v>37125</v>
      </c>
      <c r="G1275" s="492">
        <v>0</v>
      </c>
      <c r="H1275" s="493">
        <f>IF(C1275=0,0,ROUNDDOWN(G1275*C1275,1))</f>
        <v>0</v>
      </c>
      <c r="I1275" s="494">
        <f>재료비목록표!E60</f>
        <v>9900</v>
      </c>
      <c r="J1275" s="495">
        <f>IF(C1275=0,0,ROUNDDOWN(I1275*C1275,1))</f>
        <v>37125</v>
      </c>
      <c r="K1275" s="492">
        <v>0</v>
      </c>
      <c r="L1275" s="493">
        <f>IF(C1275=0,0,ROUNDDOWN(K1275*C1275,1))</f>
        <v>0</v>
      </c>
      <c r="M1275" s="463" t="s">
        <v>2890</v>
      </c>
      <c r="N1275" s="451" t="s">
        <v>2891</v>
      </c>
      <c r="O1275" s="468" t="s">
        <v>2892</v>
      </c>
      <c r="P1275" s="468" t="s">
        <v>2354</v>
      </c>
      <c r="Z1275" s="433" t="str">
        <f ca="1">HYPERLINK("#"&amp;재료비목록표!G2&amp;"!A"&amp;ROW(재료비목록표!A60),"M00801 →")</f>
        <v>M00801 →</v>
      </c>
    </row>
    <row r="1276" spans="1:26" ht="33.200000000000003" customHeight="1">
      <c r="A1276" s="452" t="s">
        <v>2507</v>
      </c>
      <c r="B1276" s="452" t="s">
        <v>2441</v>
      </c>
      <c r="C1276" s="489">
        <v>25</v>
      </c>
      <c r="D1276" s="480" t="s">
        <v>2371</v>
      </c>
      <c r="E1276" s="490">
        <f t="shared" si="196"/>
        <v>61038.7</v>
      </c>
      <c r="F1276" s="491">
        <f t="shared" si="196"/>
        <v>15259.6</v>
      </c>
      <c r="G1276" s="496">
        <f>H1274</f>
        <v>61038.7</v>
      </c>
      <c r="H1276" s="491">
        <f>IF(C1276=0,0,ROUNDDOWN(G1276*C1276/100,1))</f>
        <v>15259.6</v>
      </c>
      <c r="I1276" s="465">
        <v>0</v>
      </c>
      <c r="J1276" s="493">
        <f>IF(C1276=0,0,ROUNDDOWN(I1276*C1276/100,1))</f>
        <v>0</v>
      </c>
      <c r="K1276" s="467">
        <v>0</v>
      </c>
      <c r="L1276" s="493">
        <f>IF(C1276=0,0,ROUNDDOWN(K1276*C1276/100,1))</f>
        <v>0</v>
      </c>
      <c r="M1276" s="463"/>
      <c r="N1276" s="451" t="s">
        <v>2508</v>
      </c>
      <c r="O1276" s="468" t="s">
        <v>2373</v>
      </c>
      <c r="P1276" s="468" t="s">
        <v>2354</v>
      </c>
    </row>
    <row r="1277" spans="1:26" ht="33.200000000000003" customHeight="1">
      <c r="A1277" s="463" t="s">
        <v>842</v>
      </c>
      <c r="B1277" s="497"/>
      <c r="C1277" s="497"/>
      <c r="D1277" s="497"/>
      <c r="E1277" s="497"/>
      <c r="F1277" s="446">
        <f>J1277+H1277+L1277</f>
        <v>113423</v>
      </c>
      <c r="G1277" s="497"/>
      <c r="H1277" s="446">
        <f>ROUNDDOWN(SUMIF(P1274:P1276,O1277,H1274:H1276),0)</f>
        <v>76298</v>
      </c>
      <c r="I1277" s="497"/>
      <c r="J1277" s="446">
        <f>ROUNDDOWN(SUMIF(P1274:P1276,O1277,J1274:J1276),0)</f>
        <v>37125</v>
      </c>
      <c r="K1277" s="497"/>
      <c r="L1277" s="446">
        <f>ROUNDDOWN(SUMIF(P1274:P1276,O1277,L1274:L1276),0)</f>
        <v>0</v>
      </c>
      <c r="M1277" s="497"/>
      <c r="O1277" s="468" t="s">
        <v>2354</v>
      </c>
    </row>
    <row r="1278" spans="1:26" ht="33.200000000000003" customHeight="1">
      <c r="A1278" s="484" t="s">
        <v>3075</v>
      </c>
      <c r="B1278" s="484"/>
      <c r="C1278" s="485"/>
      <c r="D1278" s="485"/>
      <c r="E1278" s="485"/>
      <c r="F1278" s="485"/>
      <c r="G1278" s="485"/>
      <c r="H1278" s="485"/>
      <c r="I1278" s="485"/>
      <c r="J1278" s="485"/>
      <c r="K1278" s="485"/>
      <c r="L1278" s="485"/>
      <c r="M1278" s="485"/>
      <c r="N1278" s="486" t="str">
        <f>HYPERLINK("#N"&amp;ROW(N1281),"_x0005_`BDCOD|B02439_x0007_`POSS|"&amp;ROW(N1280)&amp;"_x0007_`POSE|"&amp;ROW(N1281)&amp;"_x0007_`")</f>
        <v>_x0005_`BDCOD|B02439_x0007_`POSS|1280_x0007_`POSE|1281_x0007_`</v>
      </c>
    </row>
    <row r="1279" spans="1:26" ht="33.200000000000003" customHeight="1">
      <c r="A1279" s="469" t="s">
        <v>1154</v>
      </c>
      <c r="B1279" s="469" t="s">
        <v>1155</v>
      </c>
      <c r="C1279" s="487"/>
      <c r="D1279" s="488" t="s">
        <v>911</v>
      </c>
      <c r="E1279" s="487"/>
      <c r="F1279" s="487"/>
      <c r="G1279" s="487"/>
      <c r="H1279" s="487"/>
      <c r="I1279" s="487"/>
      <c r="J1279" s="487"/>
      <c r="K1279" s="487"/>
      <c r="L1279" s="487"/>
      <c r="M1279" s="488" t="s">
        <v>1156</v>
      </c>
      <c r="O1279" s="468" t="s">
        <v>1156</v>
      </c>
    </row>
    <row r="1280" spans="1:26" ht="33.200000000000003" customHeight="1">
      <c r="A1280" s="452" t="s">
        <v>2883</v>
      </c>
      <c r="B1280" s="452" t="s">
        <v>2884</v>
      </c>
      <c r="C1280" s="489">
        <v>6.25</v>
      </c>
      <c r="D1280" s="480" t="s">
        <v>2377</v>
      </c>
      <c r="E1280" s="490">
        <f>I1280+G1280+K1280</f>
        <v>16277</v>
      </c>
      <c r="F1280" s="493">
        <f>J1280+H1280+L1280</f>
        <v>101731.2</v>
      </c>
      <c r="G1280" s="494">
        <f>단가산출근거목록표!F67</f>
        <v>16277</v>
      </c>
      <c r="H1280" s="498">
        <f>IF(C1280=0,0,ROUNDDOWN(G1280*C1280,1))</f>
        <v>101731.2</v>
      </c>
      <c r="I1280" s="494">
        <f>단가산출근거목록표!G67</f>
        <v>0</v>
      </c>
      <c r="J1280" s="498">
        <f>IF(C1280=0,0,ROUNDDOWN(I1280*C1280,1))</f>
        <v>0</v>
      </c>
      <c r="K1280" s="494">
        <f>단가산출근거목록표!H67</f>
        <v>0</v>
      </c>
      <c r="L1280" s="498">
        <f>IF(C1280=0,0,ROUNDDOWN(K1280*C1280,1))</f>
        <v>0</v>
      </c>
      <c r="M1280" s="463" t="s">
        <v>2885</v>
      </c>
      <c r="N1280" s="451" t="s">
        <v>2886</v>
      </c>
      <c r="O1280" s="468" t="s">
        <v>2887</v>
      </c>
      <c r="P1280" s="468" t="s">
        <v>2354</v>
      </c>
      <c r="Z1280" s="433" t="str">
        <f ca="1">HYPERLINK("#"&amp;단가산출근거목록표!J2&amp;"!A"&amp;ROW(단가산출근거목록표!A67),"D01055 →")</f>
        <v>D01055 →</v>
      </c>
    </row>
    <row r="1281" spans="1:26" ht="33.200000000000003" customHeight="1">
      <c r="A1281" s="452" t="s">
        <v>1144</v>
      </c>
      <c r="B1281" s="452" t="s">
        <v>2888</v>
      </c>
      <c r="C1281" s="489">
        <v>6.25</v>
      </c>
      <c r="D1281" s="480" t="s">
        <v>2889</v>
      </c>
      <c r="E1281" s="490">
        <f>I1281+G1281+K1281</f>
        <v>9900</v>
      </c>
      <c r="F1281" s="491">
        <f>J1281+H1281+L1281</f>
        <v>61875</v>
      </c>
      <c r="G1281" s="492">
        <v>0</v>
      </c>
      <c r="H1281" s="493">
        <f>IF(C1281=0,0,ROUNDDOWN(G1281*C1281,1))</f>
        <v>0</v>
      </c>
      <c r="I1281" s="494">
        <f>재료비목록표!E60</f>
        <v>9900</v>
      </c>
      <c r="J1281" s="495">
        <f>IF(C1281=0,0,ROUNDDOWN(I1281*C1281,1))</f>
        <v>61875</v>
      </c>
      <c r="K1281" s="492">
        <v>0</v>
      </c>
      <c r="L1281" s="493">
        <f>IF(C1281=0,0,ROUNDDOWN(K1281*C1281,1))</f>
        <v>0</v>
      </c>
      <c r="M1281" s="463" t="s">
        <v>2890</v>
      </c>
      <c r="N1281" s="451" t="s">
        <v>2891</v>
      </c>
      <c r="O1281" s="468" t="s">
        <v>2892</v>
      </c>
      <c r="P1281" s="468" t="s">
        <v>2354</v>
      </c>
      <c r="Z1281" s="433" t="str">
        <f ca="1">HYPERLINK("#"&amp;재료비목록표!G2&amp;"!A"&amp;ROW(재료비목록표!A60),"M00801 →")</f>
        <v>M00801 →</v>
      </c>
    </row>
    <row r="1282" spans="1:26" ht="33.200000000000003" customHeight="1">
      <c r="A1282" s="463" t="s">
        <v>842</v>
      </c>
      <c r="B1282" s="497"/>
      <c r="C1282" s="497"/>
      <c r="D1282" s="497"/>
      <c r="E1282" s="497"/>
      <c r="F1282" s="446">
        <f>J1282+H1282+L1282</f>
        <v>163606</v>
      </c>
      <c r="G1282" s="497"/>
      <c r="H1282" s="446">
        <f>ROUNDDOWN(SUMIF(P1280:P1281,O1282,H1280:H1281),0)</f>
        <v>101731</v>
      </c>
      <c r="I1282" s="497"/>
      <c r="J1282" s="446">
        <f>ROUNDDOWN(SUMIF(P1280:P1281,O1282,J1280:J1281),0)</f>
        <v>61875</v>
      </c>
      <c r="K1282" s="497"/>
      <c r="L1282" s="446">
        <f>ROUNDDOWN(SUMIF(P1280:P1281,O1282,L1280:L1281),0)</f>
        <v>0</v>
      </c>
      <c r="M1282" s="497"/>
      <c r="O1282" s="468" t="s">
        <v>2354</v>
      </c>
    </row>
    <row r="1283" spans="1:26" ht="33.200000000000003" customHeight="1">
      <c r="A1283" s="484" t="s">
        <v>3080</v>
      </c>
      <c r="B1283" s="484"/>
      <c r="C1283" s="485"/>
      <c r="D1283" s="485"/>
      <c r="E1283" s="485"/>
      <c r="F1283" s="485"/>
      <c r="G1283" s="485"/>
      <c r="H1283" s="485"/>
      <c r="I1283" s="485"/>
      <c r="J1283" s="485"/>
      <c r="K1283" s="485"/>
      <c r="L1283" s="485"/>
      <c r="M1283" s="485"/>
      <c r="N1283" s="486" t="str">
        <f>HYPERLINK("#N"&amp;ROW(N1288),"_x0005_`BDCOD|B02445_x0007_`POSS|"&amp;ROW(N1285)&amp;"_x0007_`POSE|"&amp;ROW(N1288)&amp;"_x0007_`")</f>
        <v>_x0005_`BDCOD|B02445_x0007_`POSS|1285_x0007_`POSE|1288_x0007_`</v>
      </c>
    </row>
    <row r="1284" spans="1:26" ht="33.200000000000003" customHeight="1">
      <c r="A1284" s="469" t="s">
        <v>1740</v>
      </c>
      <c r="B1284" s="469" t="s">
        <v>1728</v>
      </c>
      <c r="C1284" s="487"/>
      <c r="D1284" s="488" t="s">
        <v>975</v>
      </c>
      <c r="E1284" s="487"/>
      <c r="F1284" s="487"/>
      <c r="G1284" s="487"/>
      <c r="H1284" s="487"/>
      <c r="I1284" s="487"/>
      <c r="J1284" s="487"/>
      <c r="K1284" s="487"/>
      <c r="L1284" s="487"/>
      <c r="M1284" s="488" t="s">
        <v>1744</v>
      </c>
      <c r="O1284" s="468" t="s">
        <v>1744</v>
      </c>
    </row>
    <row r="1285" spans="1:26" ht="33.200000000000003" customHeight="1">
      <c r="A1285" s="452" t="s">
        <v>2484</v>
      </c>
      <c r="B1285" s="452" t="s">
        <v>2485</v>
      </c>
      <c r="C1285" s="489">
        <v>0.14399999999999999</v>
      </c>
      <c r="D1285" s="480" t="s">
        <v>8</v>
      </c>
      <c r="E1285" s="490">
        <f t="shared" ref="E1285:F1288" si="197">I1285+G1285+K1285</f>
        <v>62811</v>
      </c>
      <c r="F1285" s="493">
        <f t="shared" si="197"/>
        <v>9044.7000000000007</v>
      </c>
      <c r="G1285" s="494">
        <f>단가산출근거목록표!F157</f>
        <v>62811</v>
      </c>
      <c r="H1285" s="498">
        <f>IF(C1285=0,0,ROUNDDOWN(G1285*C1285,1))</f>
        <v>9044.7000000000007</v>
      </c>
      <c r="I1285" s="494">
        <f>단가산출근거목록표!G157</f>
        <v>0</v>
      </c>
      <c r="J1285" s="498">
        <f>IF(C1285=0,0,ROUNDDOWN(I1285*C1285,1))</f>
        <v>0</v>
      </c>
      <c r="K1285" s="494">
        <f>단가산출근거목록표!H157</f>
        <v>0</v>
      </c>
      <c r="L1285" s="498">
        <f>IF(C1285=0,0,ROUNDDOWN(K1285*C1285,1))</f>
        <v>0</v>
      </c>
      <c r="M1285" s="463" t="s">
        <v>2486</v>
      </c>
      <c r="N1285" s="451" t="s">
        <v>2504</v>
      </c>
      <c r="O1285" s="468" t="s">
        <v>2488</v>
      </c>
      <c r="P1285" s="468" t="s">
        <v>2354</v>
      </c>
      <c r="Z1285" s="433" t="str">
        <f ca="1">HYPERLINK("#"&amp;단가산출근거목록표!J2&amp;"!A"&amp;ROW(단가산출근거목록표!A157),"D01241 →")</f>
        <v>D01241 →</v>
      </c>
    </row>
    <row r="1286" spans="1:26" ht="33.200000000000003" customHeight="1">
      <c r="A1286" s="452" t="s">
        <v>2298</v>
      </c>
      <c r="B1286" s="452" t="s">
        <v>2299</v>
      </c>
      <c r="C1286" s="489">
        <v>0.09</v>
      </c>
      <c r="D1286" s="480" t="s">
        <v>8</v>
      </c>
      <c r="E1286" s="490">
        <f t="shared" si="197"/>
        <v>24089</v>
      </c>
      <c r="F1286" s="493">
        <f t="shared" si="197"/>
        <v>2168</v>
      </c>
      <c r="G1286" s="494">
        <f>일위대가목록표!F37</f>
        <v>24089</v>
      </c>
      <c r="H1286" s="498">
        <f>IF(C1286=0,0,ROUNDDOWN(G1286*C1286,1))</f>
        <v>2168</v>
      </c>
      <c r="I1286" s="494">
        <f>일위대가목록표!G37</f>
        <v>0</v>
      </c>
      <c r="J1286" s="498">
        <f>IF(C1286=0,0,ROUNDDOWN(I1286*C1286,1))</f>
        <v>0</v>
      </c>
      <c r="K1286" s="494">
        <f>일위대가목록표!H37</f>
        <v>0</v>
      </c>
      <c r="L1286" s="498">
        <f>IF(C1286=0,0,ROUNDDOWN(K1286*C1286,1))</f>
        <v>0</v>
      </c>
      <c r="M1286" s="463" t="s">
        <v>2492</v>
      </c>
      <c r="N1286" s="451" t="s">
        <v>2537</v>
      </c>
      <c r="O1286" s="468" t="s">
        <v>2494</v>
      </c>
      <c r="P1286" s="468" t="s">
        <v>2354</v>
      </c>
      <c r="Z1286" s="433" t="str">
        <f ca="1">HYPERLINK("#"&amp;일위대가목록표!J2&amp;"!A"&amp;ROW(일위대가목록표!A37),"B01447 →")</f>
        <v>B01447 →</v>
      </c>
    </row>
    <row r="1287" spans="1:26" ht="33.200000000000003" customHeight="1">
      <c r="A1287" s="452" t="s">
        <v>1793</v>
      </c>
      <c r="B1287" s="452" t="s">
        <v>1789</v>
      </c>
      <c r="C1287" s="489">
        <v>5.3999999999999999E-2</v>
      </c>
      <c r="D1287" s="480" t="s">
        <v>8</v>
      </c>
      <c r="E1287" s="490">
        <f t="shared" si="197"/>
        <v>233588</v>
      </c>
      <c r="F1287" s="493">
        <f t="shared" si="197"/>
        <v>12613.7</v>
      </c>
      <c r="G1287" s="494">
        <f>단가산출근거목록표!F152</f>
        <v>228399</v>
      </c>
      <c r="H1287" s="498">
        <f>IF(C1287=0,0,ROUNDDOWN(G1287*C1287,1))</f>
        <v>12333.5</v>
      </c>
      <c r="I1287" s="494">
        <f>단가산출근거목록표!G152</f>
        <v>0</v>
      </c>
      <c r="J1287" s="498">
        <f>IF(C1287=0,0,ROUNDDOWN(I1287*C1287,1))</f>
        <v>0</v>
      </c>
      <c r="K1287" s="494">
        <f>단가산출근거목록표!H152</f>
        <v>5189</v>
      </c>
      <c r="L1287" s="498">
        <f>IF(C1287=0,0,ROUNDDOWN(K1287*C1287,1))</f>
        <v>280.2</v>
      </c>
      <c r="M1287" s="463" t="s">
        <v>2594</v>
      </c>
      <c r="N1287" s="451" t="s">
        <v>2901</v>
      </c>
      <c r="O1287" s="468" t="s">
        <v>1796</v>
      </c>
      <c r="P1287" s="468" t="s">
        <v>2354</v>
      </c>
      <c r="Z1287" s="433" t="str">
        <f ca="1">HYPERLINK("#"&amp;단가산출근거목록표!J2&amp;"!A"&amp;ROW(단가산출근거목록표!A152),"D01242 →")</f>
        <v>D01242 →</v>
      </c>
    </row>
    <row r="1288" spans="1:26" ht="33.200000000000003" customHeight="1">
      <c r="A1288" s="452" t="s">
        <v>1466</v>
      </c>
      <c r="B1288" s="452" t="s">
        <v>1467</v>
      </c>
      <c r="C1288" s="489">
        <v>0.21</v>
      </c>
      <c r="D1288" s="480" t="s">
        <v>8</v>
      </c>
      <c r="E1288" s="490">
        <f t="shared" si="197"/>
        <v>274515</v>
      </c>
      <c r="F1288" s="493">
        <f t="shared" si="197"/>
        <v>57648.1</v>
      </c>
      <c r="G1288" s="494">
        <f>일위대가목록표!F73</f>
        <v>274515</v>
      </c>
      <c r="H1288" s="498">
        <f>IF(C1288=0,0,ROUNDDOWN(G1288*C1288,1))</f>
        <v>57648.1</v>
      </c>
      <c r="I1288" s="494">
        <f>일위대가목록표!G73</f>
        <v>0</v>
      </c>
      <c r="J1288" s="498">
        <f>IF(C1288=0,0,ROUNDDOWN(I1288*C1288,1))</f>
        <v>0</v>
      </c>
      <c r="K1288" s="494">
        <f>일위대가목록표!H73</f>
        <v>0</v>
      </c>
      <c r="L1288" s="498">
        <f>IF(C1288=0,0,ROUNDDOWN(K1288*C1288,1))</f>
        <v>0</v>
      </c>
      <c r="M1288" s="463" t="s">
        <v>2596</v>
      </c>
      <c r="N1288" s="451" t="s">
        <v>2597</v>
      </c>
      <c r="O1288" s="468" t="s">
        <v>1470</v>
      </c>
      <c r="P1288" s="468" t="s">
        <v>2354</v>
      </c>
      <c r="Q1288" s="468" t="s">
        <v>2355</v>
      </c>
      <c r="Z1288" s="433" t="str">
        <f ca="1">HYPERLINK("#"&amp;일위대가목록표!J2&amp;"!A"&amp;ROW(일위대가목록표!A73),"B02396 →")</f>
        <v>B02396 →</v>
      </c>
    </row>
    <row r="1289" spans="1:26" ht="33.200000000000003" customHeight="1">
      <c r="A1289" s="463" t="s">
        <v>842</v>
      </c>
      <c r="B1289" s="497"/>
      <c r="C1289" s="497"/>
      <c r="D1289" s="497"/>
      <c r="E1289" s="497"/>
      <c r="F1289" s="446">
        <f>J1289+H1289+L1289</f>
        <v>81474</v>
      </c>
      <c r="G1289" s="497"/>
      <c r="H1289" s="446">
        <f>ROUNDDOWN(SUMIF(P1285:P1288,O1289,H1285:H1288),0)</f>
        <v>81194</v>
      </c>
      <c r="I1289" s="497"/>
      <c r="J1289" s="446">
        <f>ROUNDDOWN(SUMIF(P1285:P1288,O1289,J1285:J1288),0)</f>
        <v>0</v>
      </c>
      <c r="K1289" s="497"/>
      <c r="L1289" s="446">
        <f>ROUNDDOWN(SUMIF(P1285:P1288,O1289,L1285:L1288),0)</f>
        <v>280</v>
      </c>
      <c r="M1289" s="497"/>
      <c r="O1289" s="468" t="s">
        <v>2354</v>
      </c>
    </row>
    <row r="1290" spans="1:26" ht="33.200000000000003" customHeight="1">
      <c r="A1290" s="484" t="s">
        <v>3081</v>
      </c>
      <c r="B1290" s="484"/>
      <c r="C1290" s="485"/>
      <c r="D1290" s="485"/>
      <c r="E1290" s="485"/>
      <c r="F1290" s="485"/>
      <c r="G1290" s="485"/>
      <c r="H1290" s="485"/>
      <c r="I1290" s="485"/>
      <c r="J1290" s="485"/>
      <c r="K1290" s="485"/>
      <c r="L1290" s="485"/>
      <c r="M1290" s="485"/>
      <c r="N1290" s="486" t="str">
        <f>HYPERLINK("#N"&amp;ROW(N1295),"_x0005_`BDCOD|B02570_x0007_`POSS|"&amp;ROW(N1292)&amp;"_x0007_`POSE|"&amp;ROW(N1295)&amp;"_x0007_`")</f>
        <v>_x0005_`BDCOD|B02570_x0007_`POSS|1292_x0007_`POSE|1295_x0007_`</v>
      </c>
    </row>
    <row r="1291" spans="1:26" ht="33.200000000000003" customHeight="1">
      <c r="A1291" s="469" t="s">
        <v>1740</v>
      </c>
      <c r="B1291" s="469" t="s">
        <v>1732</v>
      </c>
      <c r="C1291" s="487"/>
      <c r="D1291" s="488" t="s">
        <v>975</v>
      </c>
      <c r="E1291" s="487"/>
      <c r="F1291" s="487"/>
      <c r="G1291" s="487"/>
      <c r="H1291" s="487"/>
      <c r="I1291" s="487"/>
      <c r="J1291" s="487"/>
      <c r="K1291" s="487"/>
      <c r="L1291" s="487"/>
      <c r="M1291" s="488" t="s">
        <v>1747</v>
      </c>
      <c r="O1291" s="468" t="s">
        <v>1747</v>
      </c>
    </row>
    <row r="1292" spans="1:26" ht="33.200000000000003" customHeight="1">
      <c r="A1292" s="452" t="s">
        <v>2484</v>
      </c>
      <c r="B1292" s="452" t="s">
        <v>2485</v>
      </c>
      <c r="C1292" s="489">
        <v>0.14399999999999999</v>
      </c>
      <c r="D1292" s="480" t="s">
        <v>8</v>
      </c>
      <c r="E1292" s="490">
        <f t="shared" ref="E1292:F1295" si="198">I1292+G1292+K1292</f>
        <v>62811</v>
      </c>
      <c r="F1292" s="493">
        <f t="shared" si="198"/>
        <v>9044.7000000000007</v>
      </c>
      <c r="G1292" s="494">
        <f>단가산출근거목록표!F157</f>
        <v>62811</v>
      </c>
      <c r="H1292" s="498">
        <f>IF(C1292=0,0,ROUNDDOWN(G1292*C1292,1))</f>
        <v>9044.7000000000007</v>
      </c>
      <c r="I1292" s="494">
        <f>단가산출근거목록표!G157</f>
        <v>0</v>
      </c>
      <c r="J1292" s="498">
        <f>IF(C1292=0,0,ROUNDDOWN(I1292*C1292,1))</f>
        <v>0</v>
      </c>
      <c r="K1292" s="494">
        <f>단가산출근거목록표!H157</f>
        <v>0</v>
      </c>
      <c r="L1292" s="498">
        <f>IF(C1292=0,0,ROUNDDOWN(K1292*C1292,1))</f>
        <v>0</v>
      </c>
      <c r="M1292" s="463" t="s">
        <v>2486</v>
      </c>
      <c r="N1292" s="451" t="s">
        <v>2504</v>
      </c>
      <c r="O1292" s="468" t="s">
        <v>2488</v>
      </c>
      <c r="P1292" s="468" t="s">
        <v>2354</v>
      </c>
      <c r="Z1292" s="433" t="str">
        <f ca="1">HYPERLINK("#"&amp;단가산출근거목록표!J2&amp;"!A"&amp;ROW(단가산출근거목록표!A157),"D01241 →")</f>
        <v>D01241 →</v>
      </c>
    </row>
    <row r="1293" spans="1:26" ht="33.200000000000003" customHeight="1">
      <c r="A1293" s="452" t="s">
        <v>2298</v>
      </c>
      <c r="B1293" s="452" t="s">
        <v>2299</v>
      </c>
      <c r="C1293" s="489">
        <v>0.09</v>
      </c>
      <c r="D1293" s="480" t="s">
        <v>8</v>
      </c>
      <c r="E1293" s="490">
        <f t="shared" si="198"/>
        <v>24089</v>
      </c>
      <c r="F1293" s="493">
        <f t="shared" si="198"/>
        <v>2168</v>
      </c>
      <c r="G1293" s="494">
        <f>일위대가목록표!F37</f>
        <v>24089</v>
      </c>
      <c r="H1293" s="498">
        <f>IF(C1293=0,0,ROUNDDOWN(G1293*C1293,1))</f>
        <v>2168</v>
      </c>
      <c r="I1293" s="494">
        <f>일위대가목록표!G37</f>
        <v>0</v>
      </c>
      <c r="J1293" s="498">
        <f>IF(C1293=0,0,ROUNDDOWN(I1293*C1293,1))</f>
        <v>0</v>
      </c>
      <c r="K1293" s="494">
        <f>일위대가목록표!H37</f>
        <v>0</v>
      </c>
      <c r="L1293" s="498">
        <f>IF(C1293=0,0,ROUNDDOWN(K1293*C1293,1))</f>
        <v>0</v>
      </c>
      <c r="M1293" s="463" t="s">
        <v>2492</v>
      </c>
      <c r="N1293" s="451" t="s">
        <v>2537</v>
      </c>
      <c r="O1293" s="468" t="s">
        <v>2494</v>
      </c>
      <c r="P1293" s="468" t="s">
        <v>2354</v>
      </c>
      <c r="Z1293" s="433" t="str">
        <f ca="1">HYPERLINK("#"&amp;일위대가목록표!J2&amp;"!A"&amp;ROW(일위대가목록표!A37),"B01447 →")</f>
        <v>B01447 →</v>
      </c>
    </row>
    <row r="1294" spans="1:26" ht="33.200000000000003" customHeight="1">
      <c r="A1294" s="452" t="s">
        <v>1793</v>
      </c>
      <c r="B1294" s="452" t="s">
        <v>1789</v>
      </c>
      <c r="C1294" s="489">
        <v>5.3999999999999999E-2</v>
      </c>
      <c r="D1294" s="480" t="s">
        <v>8</v>
      </c>
      <c r="E1294" s="490">
        <f t="shared" si="198"/>
        <v>233588</v>
      </c>
      <c r="F1294" s="493">
        <f t="shared" si="198"/>
        <v>12613.7</v>
      </c>
      <c r="G1294" s="494">
        <f>단가산출근거목록표!F152</f>
        <v>228399</v>
      </c>
      <c r="H1294" s="498">
        <f>IF(C1294=0,0,ROUNDDOWN(G1294*C1294,1))</f>
        <v>12333.5</v>
      </c>
      <c r="I1294" s="494">
        <f>단가산출근거목록표!G152</f>
        <v>0</v>
      </c>
      <c r="J1294" s="498">
        <f>IF(C1294=0,0,ROUNDDOWN(I1294*C1294,1))</f>
        <v>0</v>
      </c>
      <c r="K1294" s="494">
        <f>단가산출근거목록표!H152</f>
        <v>5189</v>
      </c>
      <c r="L1294" s="498">
        <f>IF(C1294=0,0,ROUNDDOWN(K1294*C1294,1))</f>
        <v>280.2</v>
      </c>
      <c r="M1294" s="463" t="s">
        <v>2594</v>
      </c>
      <c r="N1294" s="451" t="s">
        <v>2901</v>
      </c>
      <c r="O1294" s="468" t="s">
        <v>1796</v>
      </c>
      <c r="P1294" s="468" t="s">
        <v>2354</v>
      </c>
      <c r="Z1294" s="433" t="str">
        <f ca="1">HYPERLINK("#"&amp;단가산출근거목록표!J2&amp;"!A"&amp;ROW(단가산출근거목록표!A152),"D01242 →")</f>
        <v>D01242 →</v>
      </c>
    </row>
    <row r="1295" spans="1:26" ht="33.200000000000003" customHeight="1">
      <c r="A1295" s="452" t="s">
        <v>1466</v>
      </c>
      <c r="B1295" s="452" t="s">
        <v>1467</v>
      </c>
      <c r="C1295" s="489">
        <v>0.26500000000000001</v>
      </c>
      <c r="D1295" s="480" t="s">
        <v>8</v>
      </c>
      <c r="E1295" s="490">
        <f t="shared" si="198"/>
        <v>274515</v>
      </c>
      <c r="F1295" s="493">
        <f t="shared" si="198"/>
        <v>72746.399999999994</v>
      </c>
      <c r="G1295" s="494">
        <f>일위대가목록표!F73</f>
        <v>274515</v>
      </c>
      <c r="H1295" s="498">
        <f>IF(C1295=0,0,ROUNDDOWN(G1295*C1295,1))</f>
        <v>72746.399999999994</v>
      </c>
      <c r="I1295" s="494">
        <f>일위대가목록표!G73</f>
        <v>0</v>
      </c>
      <c r="J1295" s="498">
        <f>IF(C1295=0,0,ROUNDDOWN(I1295*C1295,1))</f>
        <v>0</v>
      </c>
      <c r="K1295" s="494">
        <f>일위대가목록표!H73</f>
        <v>0</v>
      </c>
      <c r="L1295" s="498">
        <f>IF(C1295=0,0,ROUNDDOWN(K1295*C1295,1))</f>
        <v>0</v>
      </c>
      <c r="M1295" s="463" t="s">
        <v>2596</v>
      </c>
      <c r="N1295" s="451" t="s">
        <v>2597</v>
      </c>
      <c r="O1295" s="468" t="s">
        <v>1470</v>
      </c>
      <c r="P1295" s="468" t="s">
        <v>2354</v>
      </c>
      <c r="Q1295" s="468" t="s">
        <v>2355</v>
      </c>
      <c r="Z1295" s="433" t="str">
        <f ca="1">HYPERLINK("#"&amp;일위대가목록표!J2&amp;"!A"&amp;ROW(일위대가목록표!A73),"B02396 →")</f>
        <v>B02396 →</v>
      </c>
    </row>
    <row r="1296" spans="1:26" ht="33.200000000000003" customHeight="1">
      <c r="A1296" s="463" t="s">
        <v>842</v>
      </c>
      <c r="B1296" s="497"/>
      <c r="C1296" s="497"/>
      <c r="D1296" s="497"/>
      <c r="E1296" s="497"/>
      <c r="F1296" s="446">
        <f>J1296+H1296+L1296</f>
        <v>96572</v>
      </c>
      <c r="G1296" s="497"/>
      <c r="H1296" s="446">
        <f>ROUNDDOWN(SUMIF(P1292:P1295,O1296,H1292:H1295),0)</f>
        <v>96292</v>
      </c>
      <c r="I1296" s="497"/>
      <c r="J1296" s="446">
        <f>ROUNDDOWN(SUMIF(P1292:P1295,O1296,J1292:J1295),0)</f>
        <v>0</v>
      </c>
      <c r="K1296" s="497"/>
      <c r="L1296" s="446">
        <f>ROUNDDOWN(SUMIF(P1292:P1295,O1296,L1292:L1295),0)</f>
        <v>280</v>
      </c>
      <c r="M1296" s="497"/>
      <c r="O1296" s="468" t="s">
        <v>2354</v>
      </c>
    </row>
    <row r="1297" spans="1:26" ht="33.200000000000003" customHeight="1">
      <c r="A1297" s="484" t="s">
        <v>3082</v>
      </c>
      <c r="B1297" s="484"/>
      <c r="C1297" s="485"/>
      <c r="D1297" s="485"/>
      <c r="E1297" s="485"/>
      <c r="F1297" s="485"/>
      <c r="G1297" s="485"/>
      <c r="H1297" s="485"/>
      <c r="I1297" s="485"/>
      <c r="J1297" s="485"/>
      <c r="K1297" s="485"/>
      <c r="L1297" s="485"/>
      <c r="M1297" s="485"/>
      <c r="N1297" s="486" t="str">
        <f>HYPERLINK("#N"&amp;ROW(N1302),"_x0005_`BDCOD|B02465_x0007_`POSS|"&amp;ROW(N1299)&amp;"_x0007_`POSE|"&amp;ROW(N1302)&amp;"_x0007_`")</f>
        <v>_x0005_`BDCOD|B02465_x0007_`POSS|1299_x0007_`POSE|1302_x0007_`</v>
      </c>
    </row>
    <row r="1298" spans="1:26" ht="33.200000000000003" customHeight="1">
      <c r="A1298" s="469" t="s">
        <v>1740</v>
      </c>
      <c r="B1298" s="469" t="s">
        <v>1736</v>
      </c>
      <c r="C1298" s="487"/>
      <c r="D1298" s="488" t="s">
        <v>975</v>
      </c>
      <c r="E1298" s="487"/>
      <c r="F1298" s="487"/>
      <c r="G1298" s="487"/>
      <c r="H1298" s="487"/>
      <c r="I1298" s="487"/>
      <c r="J1298" s="487"/>
      <c r="K1298" s="487"/>
      <c r="L1298" s="487"/>
      <c r="M1298" s="488" t="s">
        <v>1750</v>
      </c>
      <c r="O1298" s="468" t="s">
        <v>1750</v>
      </c>
    </row>
    <row r="1299" spans="1:26" ht="33.200000000000003" customHeight="1">
      <c r="A1299" s="452" t="s">
        <v>2484</v>
      </c>
      <c r="B1299" s="452" t="s">
        <v>2485</v>
      </c>
      <c r="C1299" s="489">
        <v>0.25</v>
      </c>
      <c r="D1299" s="480" t="s">
        <v>8</v>
      </c>
      <c r="E1299" s="490">
        <f t="shared" ref="E1299:F1302" si="199">I1299+G1299+K1299</f>
        <v>62811</v>
      </c>
      <c r="F1299" s="493">
        <f t="shared" si="199"/>
        <v>15702.7</v>
      </c>
      <c r="G1299" s="494">
        <f>단가산출근거목록표!F157</f>
        <v>62811</v>
      </c>
      <c r="H1299" s="498">
        <f>IF(C1299=0,0,ROUNDDOWN(G1299*C1299,1))</f>
        <v>15702.7</v>
      </c>
      <c r="I1299" s="494">
        <f>단가산출근거목록표!G157</f>
        <v>0</v>
      </c>
      <c r="J1299" s="498">
        <f>IF(C1299=0,0,ROUNDDOWN(I1299*C1299,1))</f>
        <v>0</v>
      </c>
      <c r="K1299" s="494">
        <f>단가산출근거목록표!H157</f>
        <v>0</v>
      </c>
      <c r="L1299" s="498">
        <f>IF(C1299=0,0,ROUNDDOWN(K1299*C1299,1))</f>
        <v>0</v>
      </c>
      <c r="M1299" s="463" t="s">
        <v>2486</v>
      </c>
      <c r="N1299" s="451" t="s">
        <v>2504</v>
      </c>
      <c r="O1299" s="468" t="s">
        <v>2488</v>
      </c>
      <c r="P1299" s="468" t="s">
        <v>2354</v>
      </c>
      <c r="Z1299" s="433" t="str">
        <f ca="1">HYPERLINK("#"&amp;단가산출근거목록표!J2&amp;"!A"&amp;ROW(단가산출근거목록표!A157),"D01241 →")</f>
        <v>D01241 →</v>
      </c>
    </row>
    <row r="1300" spans="1:26" ht="33.200000000000003" customHeight="1">
      <c r="A1300" s="452" t="s">
        <v>2298</v>
      </c>
      <c r="B1300" s="452" t="s">
        <v>2299</v>
      </c>
      <c r="C1300" s="489">
        <v>0.20200000000000001</v>
      </c>
      <c r="D1300" s="480" t="s">
        <v>8</v>
      </c>
      <c r="E1300" s="490">
        <f t="shared" si="199"/>
        <v>24089</v>
      </c>
      <c r="F1300" s="493">
        <f t="shared" si="199"/>
        <v>4865.8999999999996</v>
      </c>
      <c r="G1300" s="494">
        <f>일위대가목록표!F37</f>
        <v>24089</v>
      </c>
      <c r="H1300" s="498">
        <f>IF(C1300=0,0,ROUNDDOWN(G1300*C1300,1))</f>
        <v>4865.8999999999996</v>
      </c>
      <c r="I1300" s="494">
        <f>일위대가목록표!G37</f>
        <v>0</v>
      </c>
      <c r="J1300" s="498">
        <f>IF(C1300=0,0,ROUNDDOWN(I1300*C1300,1))</f>
        <v>0</v>
      </c>
      <c r="K1300" s="494">
        <f>일위대가목록표!H37</f>
        <v>0</v>
      </c>
      <c r="L1300" s="498">
        <f>IF(C1300=0,0,ROUNDDOWN(K1300*C1300,1))</f>
        <v>0</v>
      </c>
      <c r="M1300" s="463" t="s">
        <v>2492</v>
      </c>
      <c r="N1300" s="451" t="s">
        <v>2537</v>
      </c>
      <c r="O1300" s="468" t="s">
        <v>2494</v>
      </c>
      <c r="P1300" s="468" t="s">
        <v>2354</v>
      </c>
      <c r="Z1300" s="433" t="str">
        <f ca="1">HYPERLINK("#"&amp;일위대가목록표!J2&amp;"!A"&amp;ROW(일위대가목록표!A37),"B01447 →")</f>
        <v>B01447 →</v>
      </c>
    </row>
    <row r="1301" spans="1:26" ht="33.200000000000003" customHeight="1">
      <c r="A1301" s="452" t="s">
        <v>1793</v>
      </c>
      <c r="B1301" s="452" t="s">
        <v>1789</v>
      </c>
      <c r="C1301" s="489">
        <v>4.8000000000000001E-2</v>
      </c>
      <c r="D1301" s="480" t="s">
        <v>8</v>
      </c>
      <c r="E1301" s="490">
        <f t="shared" si="199"/>
        <v>233588</v>
      </c>
      <c r="F1301" s="493">
        <f t="shared" si="199"/>
        <v>11212.1</v>
      </c>
      <c r="G1301" s="494">
        <f>단가산출근거목록표!F152</f>
        <v>228399</v>
      </c>
      <c r="H1301" s="498">
        <f>IF(C1301=0,0,ROUNDDOWN(G1301*C1301,1))</f>
        <v>10963.1</v>
      </c>
      <c r="I1301" s="494">
        <f>단가산출근거목록표!G152</f>
        <v>0</v>
      </c>
      <c r="J1301" s="498">
        <f>IF(C1301=0,0,ROUNDDOWN(I1301*C1301,1))</f>
        <v>0</v>
      </c>
      <c r="K1301" s="494">
        <f>단가산출근거목록표!H152</f>
        <v>5189</v>
      </c>
      <c r="L1301" s="498">
        <f>IF(C1301=0,0,ROUNDDOWN(K1301*C1301,1))</f>
        <v>249</v>
      </c>
      <c r="M1301" s="463" t="s">
        <v>2594</v>
      </c>
      <c r="N1301" s="451" t="s">
        <v>2901</v>
      </c>
      <c r="O1301" s="468" t="s">
        <v>1796</v>
      </c>
      <c r="P1301" s="468" t="s">
        <v>2354</v>
      </c>
      <c r="Z1301" s="433" t="str">
        <f ca="1">HYPERLINK("#"&amp;단가산출근거목록표!J2&amp;"!A"&amp;ROW(단가산출근거목록표!A152),"D01242 →")</f>
        <v>D01242 →</v>
      </c>
    </row>
    <row r="1302" spans="1:26" ht="33.200000000000003" customHeight="1">
      <c r="A1302" s="452" t="s">
        <v>1466</v>
      </c>
      <c r="B1302" s="452" t="s">
        <v>1467</v>
      </c>
      <c r="C1302" s="489">
        <v>0.78700000000000003</v>
      </c>
      <c r="D1302" s="480" t="s">
        <v>8</v>
      </c>
      <c r="E1302" s="490">
        <f t="shared" si="199"/>
        <v>274515</v>
      </c>
      <c r="F1302" s="493">
        <f t="shared" si="199"/>
        <v>216043.3</v>
      </c>
      <c r="G1302" s="494">
        <f>일위대가목록표!F73</f>
        <v>274515</v>
      </c>
      <c r="H1302" s="498">
        <f>IF(C1302=0,0,ROUNDDOWN(G1302*C1302,1))</f>
        <v>216043.3</v>
      </c>
      <c r="I1302" s="494">
        <f>일위대가목록표!G73</f>
        <v>0</v>
      </c>
      <c r="J1302" s="498">
        <f>IF(C1302=0,0,ROUNDDOWN(I1302*C1302,1))</f>
        <v>0</v>
      </c>
      <c r="K1302" s="494">
        <f>일위대가목록표!H73</f>
        <v>0</v>
      </c>
      <c r="L1302" s="498">
        <f>IF(C1302=0,0,ROUNDDOWN(K1302*C1302,1))</f>
        <v>0</v>
      </c>
      <c r="M1302" s="463" t="s">
        <v>2596</v>
      </c>
      <c r="N1302" s="451" t="s">
        <v>2597</v>
      </c>
      <c r="O1302" s="468" t="s">
        <v>1470</v>
      </c>
      <c r="P1302" s="468" t="s">
        <v>2354</v>
      </c>
      <c r="Q1302" s="468" t="s">
        <v>2355</v>
      </c>
      <c r="Z1302" s="433" t="str">
        <f ca="1">HYPERLINK("#"&amp;일위대가목록표!J2&amp;"!A"&amp;ROW(일위대가목록표!A73),"B02396 →")</f>
        <v>B02396 →</v>
      </c>
    </row>
    <row r="1303" spans="1:26" ht="33.200000000000003" customHeight="1">
      <c r="A1303" s="463" t="s">
        <v>842</v>
      </c>
      <c r="B1303" s="497"/>
      <c r="C1303" s="497"/>
      <c r="D1303" s="497"/>
      <c r="E1303" s="497"/>
      <c r="F1303" s="446">
        <f>J1303+H1303+L1303</f>
        <v>247824</v>
      </c>
      <c r="G1303" s="497"/>
      <c r="H1303" s="446">
        <f>ROUNDDOWN(SUMIF(P1299:P1302,O1303,H1299:H1302),0)</f>
        <v>247575</v>
      </c>
      <c r="I1303" s="497"/>
      <c r="J1303" s="446">
        <f>ROUNDDOWN(SUMIF(P1299:P1302,O1303,J1299:J1302),0)</f>
        <v>0</v>
      </c>
      <c r="K1303" s="497"/>
      <c r="L1303" s="446">
        <f>ROUNDDOWN(SUMIF(P1299:P1302,O1303,L1299:L1302),0)</f>
        <v>249</v>
      </c>
      <c r="M1303" s="497"/>
      <c r="O1303" s="468" t="s">
        <v>2354</v>
      </c>
    </row>
    <row r="1304" spans="1:26" ht="33.200000000000003" customHeight="1">
      <c r="A1304" s="484" t="s">
        <v>3083</v>
      </c>
      <c r="B1304" s="484"/>
      <c r="C1304" s="485"/>
      <c r="D1304" s="485"/>
      <c r="E1304" s="485"/>
      <c r="F1304" s="485"/>
      <c r="G1304" s="485"/>
      <c r="H1304" s="485"/>
      <c r="I1304" s="485"/>
      <c r="J1304" s="485"/>
      <c r="K1304" s="485"/>
      <c r="L1304" s="485"/>
      <c r="M1304" s="485"/>
      <c r="N1304" s="486" t="str">
        <f>HYPERLINK("#N"&amp;ROW(N1308),"_x0005_`BDCOD|B02464_x0007_`POSS|"&amp;ROW(N1306)&amp;"_x0007_`POSE|"&amp;ROW(N1308)&amp;"_x0007_`")</f>
        <v>_x0005_`BDCOD|B02464_x0007_`POSS|1306_x0007_`POSE|1308_x0007_`</v>
      </c>
    </row>
    <row r="1305" spans="1:26" ht="33.200000000000003" customHeight="1">
      <c r="A1305" s="469" t="s">
        <v>1740</v>
      </c>
      <c r="B1305" s="469" t="s">
        <v>1724</v>
      </c>
      <c r="C1305" s="487"/>
      <c r="D1305" s="488" t="s">
        <v>975</v>
      </c>
      <c r="E1305" s="487"/>
      <c r="F1305" s="487"/>
      <c r="G1305" s="487"/>
      <c r="H1305" s="487"/>
      <c r="I1305" s="487"/>
      <c r="J1305" s="487"/>
      <c r="K1305" s="487"/>
      <c r="L1305" s="487"/>
      <c r="M1305" s="488" t="s">
        <v>1741</v>
      </c>
      <c r="O1305" s="468" t="s">
        <v>1741</v>
      </c>
    </row>
    <row r="1306" spans="1:26" ht="33.200000000000003" customHeight="1">
      <c r="A1306" s="452" t="s">
        <v>2484</v>
      </c>
      <c r="B1306" s="452" t="s">
        <v>2485</v>
      </c>
      <c r="C1306" s="489">
        <v>8.1000000000000003E-2</v>
      </c>
      <c r="D1306" s="480" t="s">
        <v>8</v>
      </c>
      <c r="E1306" s="490">
        <f t="shared" ref="E1306:F1308" si="200">I1306+G1306+K1306</f>
        <v>62811</v>
      </c>
      <c r="F1306" s="493">
        <f t="shared" si="200"/>
        <v>5087.6000000000004</v>
      </c>
      <c r="G1306" s="494">
        <f>단가산출근거목록표!F157</f>
        <v>62811</v>
      </c>
      <c r="H1306" s="498">
        <f>IF(C1306=0,0,ROUNDDOWN(G1306*C1306,1))</f>
        <v>5087.6000000000004</v>
      </c>
      <c r="I1306" s="494">
        <f>단가산출근거목록표!G157</f>
        <v>0</v>
      </c>
      <c r="J1306" s="498">
        <f>IF(C1306=0,0,ROUNDDOWN(I1306*C1306,1))</f>
        <v>0</v>
      </c>
      <c r="K1306" s="494">
        <f>단가산출근거목록표!H157</f>
        <v>0</v>
      </c>
      <c r="L1306" s="498">
        <f>IF(C1306=0,0,ROUNDDOWN(K1306*C1306,1))</f>
        <v>0</v>
      </c>
      <c r="M1306" s="463" t="s">
        <v>2486</v>
      </c>
      <c r="N1306" s="451" t="s">
        <v>2504</v>
      </c>
      <c r="O1306" s="468" t="s">
        <v>2488</v>
      </c>
      <c r="P1306" s="468" t="s">
        <v>2354</v>
      </c>
      <c r="Z1306" s="433" t="str">
        <f ca="1">HYPERLINK("#"&amp;단가산출근거목록표!J2&amp;"!A"&amp;ROW(단가산출근거목록표!A157),"D01241 →")</f>
        <v>D01241 →</v>
      </c>
    </row>
    <row r="1307" spans="1:26" ht="33.200000000000003" customHeight="1">
      <c r="A1307" s="452" t="s">
        <v>1793</v>
      </c>
      <c r="B1307" s="452" t="s">
        <v>1789</v>
      </c>
      <c r="C1307" s="489">
        <v>2.7E-2</v>
      </c>
      <c r="D1307" s="480" t="s">
        <v>8</v>
      </c>
      <c r="E1307" s="490">
        <f t="shared" si="200"/>
        <v>233588</v>
      </c>
      <c r="F1307" s="493">
        <f t="shared" si="200"/>
        <v>6306.8</v>
      </c>
      <c r="G1307" s="494">
        <f>단가산출근거목록표!F152</f>
        <v>228399</v>
      </c>
      <c r="H1307" s="498">
        <f>IF(C1307=0,0,ROUNDDOWN(G1307*C1307,1))</f>
        <v>6166.7</v>
      </c>
      <c r="I1307" s="494">
        <f>단가산출근거목록표!G152</f>
        <v>0</v>
      </c>
      <c r="J1307" s="498">
        <f>IF(C1307=0,0,ROUNDDOWN(I1307*C1307,1))</f>
        <v>0</v>
      </c>
      <c r="K1307" s="494">
        <f>단가산출근거목록표!H152</f>
        <v>5189</v>
      </c>
      <c r="L1307" s="498">
        <f>IF(C1307=0,0,ROUNDDOWN(K1307*C1307,1))</f>
        <v>140.1</v>
      </c>
      <c r="M1307" s="463" t="s">
        <v>2594</v>
      </c>
      <c r="N1307" s="451" t="s">
        <v>2901</v>
      </c>
      <c r="O1307" s="468" t="s">
        <v>1796</v>
      </c>
      <c r="P1307" s="468" t="s">
        <v>2354</v>
      </c>
      <c r="Z1307" s="433" t="str">
        <f ca="1">HYPERLINK("#"&amp;단가산출근거목록표!J2&amp;"!A"&amp;ROW(단가산출근거목록표!A152),"D01242 →")</f>
        <v>D01242 →</v>
      </c>
    </row>
    <row r="1308" spans="1:26" ht="33.200000000000003" customHeight="1">
      <c r="A1308" s="452" t="s">
        <v>1466</v>
      </c>
      <c r="B1308" s="452" t="s">
        <v>1467</v>
      </c>
      <c r="C1308" s="489">
        <v>4.4999999999999998E-2</v>
      </c>
      <c r="D1308" s="480" t="s">
        <v>8</v>
      </c>
      <c r="E1308" s="490">
        <f t="shared" si="200"/>
        <v>274515</v>
      </c>
      <c r="F1308" s="493">
        <f t="shared" si="200"/>
        <v>12353.1</v>
      </c>
      <c r="G1308" s="494">
        <f>일위대가목록표!F73</f>
        <v>274515</v>
      </c>
      <c r="H1308" s="498">
        <f>IF(C1308=0,0,ROUNDDOWN(G1308*C1308,1))</f>
        <v>12353.1</v>
      </c>
      <c r="I1308" s="494">
        <f>일위대가목록표!G73</f>
        <v>0</v>
      </c>
      <c r="J1308" s="498">
        <f>IF(C1308=0,0,ROUNDDOWN(I1308*C1308,1))</f>
        <v>0</v>
      </c>
      <c r="K1308" s="494">
        <f>일위대가목록표!H73</f>
        <v>0</v>
      </c>
      <c r="L1308" s="498">
        <f>IF(C1308=0,0,ROUNDDOWN(K1308*C1308,1))</f>
        <v>0</v>
      </c>
      <c r="M1308" s="463" t="s">
        <v>2596</v>
      </c>
      <c r="N1308" s="451" t="s">
        <v>2597</v>
      </c>
      <c r="O1308" s="468" t="s">
        <v>1470</v>
      </c>
      <c r="P1308" s="468" t="s">
        <v>2354</v>
      </c>
      <c r="Q1308" s="468" t="s">
        <v>2355</v>
      </c>
      <c r="Z1308" s="433" t="str">
        <f ca="1">HYPERLINK("#"&amp;일위대가목록표!J2&amp;"!A"&amp;ROW(일위대가목록표!A73),"B02396 →")</f>
        <v>B02396 →</v>
      </c>
    </row>
    <row r="1309" spans="1:26" ht="33.200000000000003" customHeight="1">
      <c r="A1309" s="463" t="s">
        <v>842</v>
      </c>
      <c r="B1309" s="497"/>
      <c r="C1309" s="497"/>
      <c r="D1309" s="497"/>
      <c r="E1309" s="497"/>
      <c r="F1309" s="446">
        <f>J1309+H1309+L1309</f>
        <v>23747</v>
      </c>
      <c r="G1309" s="497"/>
      <c r="H1309" s="446">
        <f>ROUNDDOWN(SUMIF(P1306:P1308,O1309,H1306:H1308),0)</f>
        <v>23607</v>
      </c>
      <c r="I1309" s="497"/>
      <c r="J1309" s="446">
        <f>ROUNDDOWN(SUMIF(P1306:P1308,O1309,J1306:J1308),0)</f>
        <v>0</v>
      </c>
      <c r="K1309" s="497"/>
      <c r="L1309" s="446">
        <f>ROUNDDOWN(SUMIF(P1306:P1308,O1309,L1306:L1308),0)</f>
        <v>140</v>
      </c>
      <c r="M1309" s="497"/>
      <c r="O1309" s="468" t="s">
        <v>2354</v>
      </c>
    </row>
    <row r="1310" spans="1:26" ht="33.200000000000003" customHeight="1">
      <c r="A1310" s="484" t="s">
        <v>3084</v>
      </c>
      <c r="B1310" s="484"/>
      <c r="C1310" s="485"/>
      <c r="D1310" s="485"/>
      <c r="E1310" s="485"/>
      <c r="F1310" s="485"/>
      <c r="G1310" s="485"/>
      <c r="H1310" s="485"/>
      <c r="I1310" s="485"/>
      <c r="J1310" s="485"/>
      <c r="K1310" s="485"/>
      <c r="L1310" s="485"/>
      <c r="M1310" s="485"/>
      <c r="N1310" s="486" t="str">
        <f>HYPERLINK("#N"&amp;ROW(N1316),"_x0005_`BDCOD|B02881_x0007_`POSS|"&amp;ROW(N1312)&amp;"_x0007_`POSE|"&amp;ROW(N1316)&amp;"_x0007_`")</f>
        <v>_x0005_`BDCOD|B02881_x0007_`POSS|1312_x0007_`POSE|1316_x0007_`</v>
      </c>
    </row>
    <row r="1311" spans="1:26" ht="33.200000000000003" customHeight="1">
      <c r="A1311" s="469" t="s">
        <v>5258</v>
      </c>
      <c r="B1311" s="469" t="s">
        <v>1728</v>
      </c>
      <c r="C1311" s="487"/>
      <c r="D1311" s="488" t="s">
        <v>975</v>
      </c>
      <c r="E1311" s="487"/>
      <c r="F1311" s="487"/>
      <c r="G1311" s="487"/>
      <c r="H1311" s="487"/>
      <c r="I1311" s="487"/>
      <c r="J1311" s="487"/>
      <c r="K1311" s="487"/>
      <c r="L1311" s="487"/>
      <c r="M1311" s="488" t="s">
        <v>5262</v>
      </c>
      <c r="O1311" s="468" t="s">
        <v>5262</v>
      </c>
    </row>
    <row r="1312" spans="1:26" ht="33.200000000000003" customHeight="1">
      <c r="A1312" s="452" t="s">
        <v>2484</v>
      </c>
      <c r="B1312" s="452" t="s">
        <v>2485</v>
      </c>
      <c r="C1312" s="489">
        <v>0.14399999999999999</v>
      </c>
      <c r="D1312" s="480" t="s">
        <v>8</v>
      </c>
      <c r="E1312" s="490">
        <f t="shared" ref="E1312:F1316" si="201">I1312+G1312+K1312</f>
        <v>62811</v>
      </c>
      <c r="F1312" s="493">
        <f t="shared" si="201"/>
        <v>9044.7000000000007</v>
      </c>
      <c r="G1312" s="494">
        <f>단가산출근거목록표!F157</f>
        <v>62811</v>
      </c>
      <c r="H1312" s="498">
        <f>IF(C1312=0,0,ROUNDDOWN(G1312*C1312,1))</f>
        <v>9044.7000000000007</v>
      </c>
      <c r="I1312" s="494">
        <f>단가산출근거목록표!G157</f>
        <v>0</v>
      </c>
      <c r="J1312" s="498">
        <f>IF(C1312=0,0,ROUNDDOWN(I1312*C1312,1))</f>
        <v>0</v>
      </c>
      <c r="K1312" s="494">
        <f>단가산출근거목록표!H157</f>
        <v>0</v>
      </c>
      <c r="L1312" s="498">
        <f>IF(C1312=0,0,ROUNDDOWN(K1312*C1312,1))</f>
        <v>0</v>
      </c>
      <c r="M1312" s="463" t="s">
        <v>2486</v>
      </c>
      <c r="N1312" s="451" t="s">
        <v>2487</v>
      </c>
      <c r="O1312" s="468" t="s">
        <v>2488</v>
      </c>
      <c r="P1312" s="468" t="s">
        <v>2354</v>
      </c>
      <c r="Q1312" s="468" t="s">
        <v>2355</v>
      </c>
      <c r="Z1312" s="433" t="str">
        <f ca="1">HYPERLINK("#"&amp;단가산출근거목록표!J2&amp;"!A"&amp;ROW(단가산출근거목록표!A157),"D01241 →")</f>
        <v>D01241 →</v>
      </c>
    </row>
    <row r="1313" spans="1:26" ht="33.200000000000003" customHeight="1">
      <c r="A1313" s="452" t="s">
        <v>2298</v>
      </c>
      <c r="B1313" s="452" t="s">
        <v>2299</v>
      </c>
      <c r="C1313" s="489">
        <v>0.09</v>
      </c>
      <c r="D1313" s="480" t="s">
        <v>8</v>
      </c>
      <c r="E1313" s="490">
        <f t="shared" si="201"/>
        <v>24089</v>
      </c>
      <c r="F1313" s="493">
        <f t="shared" si="201"/>
        <v>2168</v>
      </c>
      <c r="G1313" s="494">
        <f>일위대가목록표!F37</f>
        <v>24089</v>
      </c>
      <c r="H1313" s="498">
        <f>IF(C1313=0,0,ROUNDDOWN(G1313*C1313,1))</f>
        <v>2168</v>
      </c>
      <c r="I1313" s="494">
        <f>일위대가목록표!G37</f>
        <v>0</v>
      </c>
      <c r="J1313" s="498">
        <f>IF(C1313=0,0,ROUNDDOWN(I1313*C1313,1))</f>
        <v>0</v>
      </c>
      <c r="K1313" s="494">
        <f>일위대가목록표!H37</f>
        <v>0</v>
      </c>
      <c r="L1313" s="498">
        <f>IF(C1313=0,0,ROUNDDOWN(K1313*C1313,1))</f>
        <v>0</v>
      </c>
      <c r="M1313" s="463" t="s">
        <v>2492</v>
      </c>
      <c r="N1313" s="451" t="s">
        <v>2493</v>
      </c>
      <c r="O1313" s="468" t="s">
        <v>2494</v>
      </c>
      <c r="P1313" s="468" t="s">
        <v>2354</v>
      </c>
      <c r="Q1313" s="468" t="s">
        <v>2355</v>
      </c>
      <c r="Z1313" s="433" t="str">
        <f ca="1">HYPERLINK("#"&amp;일위대가목록표!J2&amp;"!A"&amp;ROW(일위대가목록표!A37),"B01447 →")</f>
        <v>B01447 →</v>
      </c>
    </row>
    <row r="1314" spans="1:26" ht="33.200000000000003" customHeight="1">
      <c r="A1314" s="452" t="s">
        <v>1793</v>
      </c>
      <c r="B1314" s="452" t="s">
        <v>1789</v>
      </c>
      <c r="C1314" s="489">
        <v>5.3999999999999999E-2</v>
      </c>
      <c r="D1314" s="480" t="s">
        <v>8</v>
      </c>
      <c r="E1314" s="490">
        <f t="shared" si="201"/>
        <v>233588</v>
      </c>
      <c r="F1314" s="493">
        <f t="shared" si="201"/>
        <v>12613.7</v>
      </c>
      <c r="G1314" s="494">
        <f>단가산출근거목록표!F152</f>
        <v>228399</v>
      </c>
      <c r="H1314" s="498">
        <f>IF(C1314=0,0,ROUNDDOWN(G1314*C1314,1))</f>
        <v>12333.5</v>
      </c>
      <c r="I1314" s="494">
        <f>단가산출근거목록표!G152</f>
        <v>0</v>
      </c>
      <c r="J1314" s="498">
        <f>IF(C1314=0,0,ROUNDDOWN(I1314*C1314,1))</f>
        <v>0</v>
      </c>
      <c r="K1314" s="494">
        <f>단가산출근거목록표!H152</f>
        <v>5189</v>
      </c>
      <c r="L1314" s="498">
        <f>IF(C1314=0,0,ROUNDDOWN(K1314*C1314,1))</f>
        <v>280.2</v>
      </c>
      <c r="M1314" s="463" t="s">
        <v>2594</v>
      </c>
      <c r="N1314" s="451" t="s">
        <v>2595</v>
      </c>
      <c r="O1314" s="468" t="s">
        <v>1796</v>
      </c>
      <c r="P1314" s="468" t="s">
        <v>2354</v>
      </c>
      <c r="Q1314" s="468" t="s">
        <v>2355</v>
      </c>
      <c r="Z1314" s="433" t="str">
        <f ca="1">HYPERLINK("#"&amp;단가산출근거목록표!J2&amp;"!A"&amp;ROW(단가산출근거목록표!A152),"D01242 →")</f>
        <v>D01242 →</v>
      </c>
    </row>
    <row r="1315" spans="1:26" ht="33.200000000000003" customHeight="1">
      <c r="A1315" s="452" t="s">
        <v>1466</v>
      </c>
      <c r="B1315" s="452" t="s">
        <v>1467</v>
      </c>
      <c r="C1315" s="489">
        <v>0.21</v>
      </c>
      <c r="D1315" s="480" t="s">
        <v>8</v>
      </c>
      <c r="E1315" s="490">
        <f t="shared" si="201"/>
        <v>274515</v>
      </c>
      <c r="F1315" s="493">
        <f t="shared" si="201"/>
        <v>57648.1</v>
      </c>
      <c r="G1315" s="494">
        <f>일위대가목록표!F73</f>
        <v>274515</v>
      </c>
      <c r="H1315" s="498">
        <f>IF(C1315=0,0,ROUNDDOWN(G1315*C1315,1))</f>
        <v>57648.1</v>
      </c>
      <c r="I1315" s="494">
        <f>일위대가목록표!G73</f>
        <v>0</v>
      </c>
      <c r="J1315" s="498">
        <f>IF(C1315=0,0,ROUNDDOWN(I1315*C1315,1))</f>
        <v>0</v>
      </c>
      <c r="K1315" s="494">
        <f>일위대가목록표!H73</f>
        <v>0</v>
      </c>
      <c r="L1315" s="498">
        <f>IF(C1315=0,0,ROUNDDOWN(K1315*C1315,1))</f>
        <v>0</v>
      </c>
      <c r="M1315" s="463" t="s">
        <v>2596</v>
      </c>
      <c r="N1315" s="451" t="s">
        <v>2597</v>
      </c>
      <c r="O1315" s="468" t="s">
        <v>1470</v>
      </c>
      <c r="P1315" s="468" t="s">
        <v>2354</v>
      </c>
      <c r="Q1315" s="468" t="s">
        <v>2355</v>
      </c>
      <c r="Z1315" s="433" t="str">
        <f ca="1">HYPERLINK("#"&amp;일위대가목록표!J2&amp;"!A"&amp;ROW(일위대가목록표!A73),"B02396 →")</f>
        <v>B02396 →</v>
      </c>
    </row>
    <row r="1316" spans="1:26" ht="33.200000000000003" customHeight="1">
      <c r="A1316" s="452" t="s">
        <v>2507</v>
      </c>
      <c r="B1316" s="452" t="s">
        <v>2441</v>
      </c>
      <c r="C1316" s="489">
        <v>15</v>
      </c>
      <c r="D1316" s="480" t="s">
        <v>2371</v>
      </c>
      <c r="E1316" s="490">
        <f t="shared" si="201"/>
        <v>81194.3</v>
      </c>
      <c r="F1316" s="491">
        <f t="shared" si="201"/>
        <v>12179.1</v>
      </c>
      <c r="G1316" s="496">
        <f>H1312+H1313+H1314+H1315</f>
        <v>81194.3</v>
      </c>
      <c r="H1316" s="491">
        <f>IF(C1316=0,0,ROUNDDOWN(G1316*C1316/100,1))</f>
        <v>12179.1</v>
      </c>
      <c r="I1316" s="465">
        <v>0</v>
      </c>
      <c r="J1316" s="493">
        <f>IF(C1316=0,0,ROUNDDOWN(I1316*C1316/100,1))</f>
        <v>0</v>
      </c>
      <c r="K1316" s="467">
        <v>0</v>
      </c>
      <c r="L1316" s="493">
        <f>IF(C1316=0,0,ROUNDDOWN(K1316*C1316/100,1))</f>
        <v>0</v>
      </c>
      <c r="M1316" s="463"/>
      <c r="N1316" s="451" t="s">
        <v>2508</v>
      </c>
      <c r="O1316" s="468" t="s">
        <v>2373</v>
      </c>
      <c r="P1316" s="468" t="s">
        <v>2354</v>
      </c>
    </row>
    <row r="1317" spans="1:26" ht="33.200000000000003" customHeight="1">
      <c r="A1317" s="463" t="s">
        <v>842</v>
      </c>
      <c r="B1317" s="497"/>
      <c r="C1317" s="497"/>
      <c r="D1317" s="497"/>
      <c r="E1317" s="497"/>
      <c r="F1317" s="446">
        <f>J1317+H1317+L1317</f>
        <v>93653</v>
      </c>
      <c r="G1317" s="497"/>
      <c r="H1317" s="446">
        <f>ROUNDDOWN(SUMIF(P1312:P1316,O1317,H1312:H1316),0)</f>
        <v>93373</v>
      </c>
      <c r="I1317" s="497"/>
      <c r="J1317" s="446">
        <f>ROUNDDOWN(SUMIF(P1312:P1316,O1317,J1312:J1316),0)</f>
        <v>0</v>
      </c>
      <c r="K1317" s="497"/>
      <c r="L1317" s="446">
        <f>ROUNDDOWN(SUMIF(P1312:P1316,O1317,L1312:L1316),0)</f>
        <v>280</v>
      </c>
      <c r="M1317" s="497"/>
      <c r="O1317" s="468" t="s">
        <v>2354</v>
      </c>
    </row>
    <row r="1318" spans="1:26" ht="33.200000000000003" customHeight="1">
      <c r="A1318" s="484" t="s">
        <v>3085</v>
      </c>
      <c r="B1318" s="484"/>
      <c r="C1318" s="485"/>
      <c r="D1318" s="485"/>
      <c r="E1318" s="485"/>
      <c r="F1318" s="485"/>
      <c r="G1318" s="485"/>
      <c r="H1318" s="485"/>
      <c r="I1318" s="485"/>
      <c r="J1318" s="485"/>
      <c r="K1318" s="485"/>
      <c r="L1318" s="485"/>
      <c r="M1318" s="485"/>
      <c r="N1318" s="486" t="str">
        <f>HYPERLINK("#N"&amp;ROW(N1324),"_x0005_`BDCOD|B02882_x0007_`POSS|"&amp;ROW(N1320)&amp;"_x0007_`POSE|"&amp;ROW(N1324)&amp;"_x0007_`")</f>
        <v>_x0005_`BDCOD|B02882_x0007_`POSS|1320_x0007_`POSE|1324_x0007_`</v>
      </c>
    </row>
    <row r="1319" spans="1:26" ht="33.200000000000003" customHeight="1">
      <c r="A1319" s="469" t="s">
        <v>5258</v>
      </c>
      <c r="B1319" s="469" t="s">
        <v>1732</v>
      </c>
      <c r="C1319" s="487"/>
      <c r="D1319" s="488" t="s">
        <v>975</v>
      </c>
      <c r="E1319" s="487"/>
      <c r="F1319" s="487"/>
      <c r="G1319" s="487"/>
      <c r="H1319" s="487"/>
      <c r="I1319" s="487"/>
      <c r="J1319" s="487"/>
      <c r="K1319" s="487"/>
      <c r="L1319" s="487"/>
      <c r="M1319" s="488" t="s">
        <v>5265</v>
      </c>
      <c r="O1319" s="468" t="s">
        <v>5265</v>
      </c>
    </row>
    <row r="1320" spans="1:26" ht="33.200000000000003" customHeight="1">
      <c r="A1320" s="452" t="s">
        <v>2484</v>
      </c>
      <c r="B1320" s="452" t="s">
        <v>2485</v>
      </c>
      <c r="C1320" s="489">
        <v>0.14399999999999999</v>
      </c>
      <c r="D1320" s="480" t="s">
        <v>8</v>
      </c>
      <c r="E1320" s="490">
        <f t="shared" ref="E1320:F1324" si="202">I1320+G1320+K1320</f>
        <v>62811</v>
      </c>
      <c r="F1320" s="493">
        <f t="shared" si="202"/>
        <v>9044.7000000000007</v>
      </c>
      <c r="G1320" s="494">
        <f>단가산출근거목록표!F157</f>
        <v>62811</v>
      </c>
      <c r="H1320" s="498">
        <f>IF(C1320=0,0,ROUNDDOWN(G1320*C1320,1))</f>
        <v>9044.7000000000007</v>
      </c>
      <c r="I1320" s="494">
        <f>단가산출근거목록표!G157</f>
        <v>0</v>
      </c>
      <c r="J1320" s="498">
        <f>IF(C1320=0,0,ROUNDDOWN(I1320*C1320,1))</f>
        <v>0</v>
      </c>
      <c r="K1320" s="494">
        <f>단가산출근거목록표!H157</f>
        <v>0</v>
      </c>
      <c r="L1320" s="498">
        <f>IF(C1320=0,0,ROUNDDOWN(K1320*C1320,1))</f>
        <v>0</v>
      </c>
      <c r="M1320" s="463" t="s">
        <v>2486</v>
      </c>
      <c r="N1320" s="451" t="s">
        <v>2487</v>
      </c>
      <c r="O1320" s="468" t="s">
        <v>2488</v>
      </c>
      <c r="P1320" s="468" t="s">
        <v>2354</v>
      </c>
      <c r="Q1320" s="468" t="s">
        <v>2355</v>
      </c>
      <c r="Z1320" s="433" t="str">
        <f ca="1">HYPERLINK("#"&amp;단가산출근거목록표!J2&amp;"!A"&amp;ROW(단가산출근거목록표!A157),"D01241 →")</f>
        <v>D01241 →</v>
      </c>
    </row>
    <row r="1321" spans="1:26" ht="33.200000000000003" customHeight="1">
      <c r="A1321" s="452" t="s">
        <v>2298</v>
      </c>
      <c r="B1321" s="452" t="s">
        <v>2299</v>
      </c>
      <c r="C1321" s="489">
        <v>0.09</v>
      </c>
      <c r="D1321" s="480" t="s">
        <v>8</v>
      </c>
      <c r="E1321" s="490">
        <f t="shared" si="202"/>
        <v>24089</v>
      </c>
      <c r="F1321" s="493">
        <f t="shared" si="202"/>
        <v>2168</v>
      </c>
      <c r="G1321" s="494">
        <f>일위대가목록표!F37</f>
        <v>24089</v>
      </c>
      <c r="H1321" s="498">
        <f>IF(C1321=0,0,ROUNDDOWN(G1321*C1321,1))</f>
        <v>2168</v>
      </c>
      <c r="I1321" s="494">
        <f>일위대가목록표!G37</f>
        <v>0</v>
      </c>
      <c r="J1321" s="498">
        <f>IF(C1321=0,0,ROUNDDOWN(I1321*C1321,1))</f>
        <v>0</v>
      </c>
      <c r="K1321" s="494">
        <f>일위대가목록표!H37</f>
        <v>0</v>
      </c>
      <c r="L1321" s="498">
        <f>IF(C1321=0,0,ROUNDDOWN(K1321*C1321,1))</f>
        <v>0</v>
      </c>
      <c r="M1321" s="463" t="s">
        <v>2492</v>
      </c>
      <c r="N1321" s="451" t="s">
        <v>2493</v>
      </c>
      <c r="O1321" s="468" t="s">
        <v>2494</v>
      </c>
      <c r="P1321" s="468" t="s">
        <v>2354</v>
      </c>
      <c r="Q1321" s="468" t="s">
        <v>2355</v>
      </c>
      <c r="Z1321" s="433" t="str">
        <f ca="1">HYPERLINK("#"&amp;일위대가목록표!J2&amp;"!A"&amp;ROW(일위대가목록표!A37),"B01447 →")</f>
        <v>B01447 →</v>
      </c>
    </row>
    <row r="1322" spans="1:26" ht="33.200000000000003" customHeight="1">
      <c r="A1322" s="452" t="s">
        <v>1793</v>
      </c>
      <c r="B1322" s="452" t="s">
        <v>1789</v>
      </c>
      <c r="C1322" s="489">
        <v>5.3999999999999999E-2</v>
      </c>
      <c r="D1322" s="480" t="s">
        <v>8</v>
      </c>
      <c r="E1322" s="490">
        <f t="shared" si="202"/>
        <v>233588</v>
      </c>
      <c r="F1322" s="493">
        <f t="shared" si="202"/>
        <v>12613.7</v>
      </c>
      <c r="G1322" s="494">
        <f>단가산출근거목록표!F152</f>
        <v>228399</v>
      </c>
      <c r="H1322" s="498">
        <f>IF(C1322=0,0,ROUNDDOWN(G1322*C1322,1))</f>
        <v>12333.5</v>
      </c>
      <c r="I1322" s="494">
        <f>단가산출근거목록표!G152</f>
        <v>0</v>
      </c>
      <c r="J1322" s="498">
        <f>IF(C1322=0,0,ROUNDDOWN(I1322*C1322,1))</f>
        <v>0</v>
      </c>
      <c r="K1322" s="494">
        <f>단가산출근거목록표!H152</f>
        <v>5189</v>
      </c>
      <c r="L1322" s="498">
        <f>IF(C1322=0,0,ROUNDDOWN(K1322*C1322,1))</f>
        <v>280.2</v>
      </c>
      <c r="M1322" s="463" t="s">
        <v>2594</v>
      </c>
      <c r="N1322" s="451" t="s">
        <v>2595</v>
      </c>
      <c r="O1322" s="468" t="s">
        <v>1796</v>
      </c>
      <c r="P1322" s="468" t="s">
        <v>2354</v>
      </c>
      <c r="Q1322" s="468" t="s">
        <v>2355</v>
      </c>
      <c r="Z1322" s="433" t="str">
        <f ca="1">HYPERLINK("#"&amp;단가산출근거목록표!J2&amp;"!A"&amp;ROW(단가산출근거목록표!A152),"D01242 →")</f>
        <v>D01242 →</v>
      </c>
    </row>
    <row r="1323" spans="1:26" ht="33.200000000000003" customHeight="1">
      <c r="A1323" s="452" t="s">
        <v>1466</v>
      </c>
      <c r="B1323" s="452" t="s">
        <v>1467</v>
      </c>
      <c r="C1323" s="489">
        <v>0.26500000000000001</v>
      </c>
      <c r="D1323" s="480" t="s">
        <v>8</v>
      </c>
      <c r="E1323" s="490">
        <f t="shared" si="202"/>
        <v>274515</v>
      </c>
      <c r="F1323" s="493">
        <f t="shared" si="202"/>
        <v>72746.399999999994</v>
      </c>
      <c r="G1323" s="494">
        <f>일위대가목록표!F73</f>
        <v>274515</v>
      </c>
      <c r="H1323" s="498">
        <f>IF(C1323=0,0,ROUNDDOWN(G1323*C1323,1))</f>
        <v>72746.399999999994</v>
      </c>
      <c r="I1323" s="494">
        <f>일위대가목록표!G73</f>
        <v>0</v>
      </c>
      <c r="J1323" s="498">
        <f>IF(C1323=0,0,ROUNDDOWN(I1323*C1323,1))</f>
        <v>0</v>
      </c>
      <c r="K1323" s="494">
        <f>일위대가목록표!H73</f>
        <v>0</v>
      </c>
      <c r="L1323" s="498">
        <f>IF(C1323=0,0,ROUNDDOWN(K1323*C1323,1))</f>
        <v>0</v>
      </c>
      <c r="M1323" s="463" t="s">
        <v>2596</v>
      </c>
      <c r="N1323" s="451" t="s">
        <v>2597</v>
      </c>
      <c r="O1323" s="468" t="s">
        <v>1470</v>
      </c>
      <c r="P1323" s="468" t="s">
        <v>2354</v>
      </c>
      <c r="Q1323" s="468" t="s">
        <v>2355</v>
      </c>
      <c r="Z1323" s="433" t="str">
        <f ca="1">HYPERLINK("#"&amp;일위대가목록표!J2&amp;"!A"&amp;ROW(일위대가목록표!A73),"B02396 →")</f>
        <v>B02396 →</v>
      </c>
    </row>
    <row r="1324" spans="1:26" ht="33.200000000000003" customHeight="1">
      <c r="A1324" s="452" t="s">
        <v>2507</v>
      </c>
      <c r="B1324" s="452" t="s">
        <v>2441</v>
      </c>
      <c r="C1324" s="489">
        <v>15</v>
      </c>
      <c r="D1324" s="480" t="s">
        <v>2371</v>
      </c>
      <c r="E1324" s="490">
        <f t="shared" si="202"/>
        <v>96292.599999999991</v>
      </c>
      <c r="F1324" s="491">
        <f t="shared" si="202"/>
        <v>14443.8</v>
      </c>
      <c r="G1324" s="496">
        <f>H1320+H1321+H1322+H1323</f>
        <v>96292.599999999991</v>
      </c>
      <c r="H1324" s="491">
        <f>IF(C1324=0,0,ROUNDDOWN(G1324*C1324/100,1))</f>
        <v>14443.8</v>
      </c>
      <c r="I1324" s="465">
        <v>0</v>
      </c>
      <c r="J1324" s="493">
        <f>IF(C1324=0,0,ROUNDDOWN(I1324*C1324/100,1))</f>
        <v>0</v>
      </c>
      <c r="K1324" s="467">
        <v>0</v>
      </c>
      <c r="L1324" s="493">
        <f>IF(C1324=0,0,ROUNDDOWN(K1324*C1324/100,1))</f>
        <v>0</v>
      </c>
      <c r="M1324" s="463"/>
      <c r="N1324" s="451" t="s">
        <v>2508</v>
      </c>
      <c r="O1324" s="468" t="s">
        <v>2373</v>
      </c>
      <c r="P1324" s="468" t="s">
        <v>2354</v>
      </c>
    </row>
    <row r="1325" spans="1:26" ht="33.200000000000003" customHeight="1">
      <c r="A1325" s="463" t="s">
        <v>842</v>
      </c>
      <c r="B1325" s="497"/>
      <c r="C1325" s="497"/>
      <c r="D1325" s="497"/>
      <c r="E1325" s="497"/>
      <c r="F1325" s="446">
        <f>J1325+H1325+L1325</f>
        <v>111016</v>
      </c>
      <c r="G1325" s="497"/>
      <c r="H1325" s="446">
        <f>ROUNDDOWN(SUMIF(P1320:P1324,O1325,H1320:H1324),0)</f>
        <v>110736</v>
      </c>
      <c r="I1325" s="497"/>
      <c r="J1325" s="446">
        <f>ROUNDDOWN(SUMIF(P1320:P1324,O1325,J1320:J1324),0)</f>
        <v>0</v>
      </c>
      <c r="K1325" s="497"/>
      <c r="L1325" s="446">
        <f>ROUNDDOWN(SUMIF(P1320:P1324,O1325,L1320:L1324),0)</f>
        <v>280</v>
      </c>
      <c r="M1325" s="497"/>
      <c r="O1325" s="468" t="s">
        <v>2354</v>
      </c>
    </row>
    <row r="1326" spans="1:26" ht="33.200000000000003" customHeight="1">
      <c r="A1326" s="484" t="s">
        <v>3086</v>
      </c>
      <c r="B1326" s="484"/>
      <c r="C1326" s="485"/>
      <c r="D1326" s="485"/>
      <c r="E1326" s="485"/>
      <c r="F1326" s="485"/>
      <c r="G1326" s="485"/>
      <c r="H1326" s="485"/>
      <c r="I1326" s="485"/>
      <c r="J1326" s="485"/>
      <c r="K1326" s="485"/>
      <c r="L1326" s="485"/>
      <c r="M1326" s="485"/>
      <c r="N1326" s="486" t="str">
        <f>HYPERLINK("#N"&amp;ROW(N1332),"_x0005_`BDCOD|B02883_x0007_`POSS|"&amp;ROW(N1328)&amp;"_x0007_`POSE|"&amp;ROW(N1332)&amp;"_x0007_`")</f>
        <v>_x0005_`BDCOD|B02883_x0007_`POSS|1328_x0007_`POSE|1332_x0007_`</v>
      </c>
    </row>
    <row r="1327" spans="1:26" ht="33.200000000000003" customHeight="1">
      <c r="A1327" s="469" t="s">
        <v>5258</v>
      </c>
      <c r="B1327" s="469" t="s">
        <v>1736</v>
      </c>
      <c r="C1327" s="487"/>
      <c r="D1327" s="488" t="s">
        <v>975</v>
      </c>
      <c r="E1327" s="487"/>
      <c r="F1327" s="487"/>
      <c r="G1327" s="487"/>
      <c r="H1327" s="487"/>
      <c r="I1327" s="487"/>
      <c r="J1327" s="487"/>
      <c r="K1327" s="487"/>
      <c r="L1327" s="487"/>
      <c r="M1327" s="488" t="s">
        <v>5268</v>
      </c>
      <c r="O1327" s="468" t="s">
        <v>5268</v>
      </c>
    </row>
    <row r="1328" spans="1:26" ht="33.200000000000003" customHeight="1">
      <c r="A1328" s="452" t="s">
        <v>2484</v>
      </c>
      <c r="B1328" s="452" t="s">
        <v>2485</v>
      </c>
      <c r="C1328" s="489">
        <v>0.25</v>
      </c>
      <c r="D1328" s="480" t="s">
        <v>8</v>
      </c>
      <c r="E1328" s="490">
        <f t="shared" ref="E1328:F1332" si="203">I1328+G1328+K1328</f>
        <v>62811</v>
      </c>
      <c r="F1328" s="493">
        <f t="shared" si="203"/>
        <v>15702.7</v>
      </c>
      <c r="G1328" s="494">
        <f>단가산출근거목록표!F157</f>
        <v>62811</v>
      </c>
      <c r="H1328" s="498">
        <f>IF(C1328=0,0,ROUNDDOWN(G1328*C1328,1))</f>
        <v>15702.7</v>
      </c>
      <c r="I1328" s="494">
        <f>단가산출근거목록표!G157</f>
        <v>0</v>
      </c>
      <c r="J1328" s="498">
        <f>IF(C1328=0,0,ROUNDDOWN(I1328*C1328,1))</f>
        <v>0</v>
      </c>
      <c r="K1328" s="494">
        <f>단가산출근거목록표!H157</f>
        <v>0</v>
      </c>
      <c r="L1328" s="498">
        <f>IF(C1328=0,0,ROUNDDOWN(K1328*C1328,1))</f>
        <v>0</v>
      </c>
      <c r="M1328" s="463" t="s">
        <v>2486</v>
      </c>
      <c r="N1328" s="451" t="s">
        <v>2487</v>
      </c>
      <c r="O1328" s="468" t="s">
        <v>2488</v>
      </c>
      <c r="P1328" s="468" t="s">
        <v>2354</v>
      </c>
      <c r="Q1328" s="468" t="s">
        <v>2355</v>
      </c>
      <c r="Z1328" s="433" t="str">
        <f ca="1">HYPERLINK("#"&amp;단가산출근거목록표!J2&amp;"!A"&amp;ROW(단가산출근거목록표!A157),"D01241 →")</f>
        <v>D01241 →</v>
      </c>
    </row>
    <row r="1329" spans="1:26" ht="33.200000000000003" customHeight="1">
      <c r="A1329" s="452" t="s">
        <v>2298</v>
      </c>
      <c r="B1329" s="452" t="s">
        <v>2299</v>
      </c>
      <c r="C1329" s="489">
        <v>0.20200000000000001</v>
      </c>
      <c r="D1329" s="480" t="s">
        <v>8</v>
      </c>
      <c r="E1329" s="490">
        <f t="shared" si="203"/>
        <v>24089</v>
      </c>
      <c r="F1329" s="493">
        <f t="shared" si="203"/>
        <v>4865.8999999999996</v>
      </c>
      <c r="G1329" s="494">
        <f>일위대가목록표!F37</f>
        <v>24089</v>
      </c>
      <c r="H1329" s="498">
        <f>IF(C1329=0,0,ROUNDDOWN(G1329*C1329,1))</f>
        <v>4865.8999999999996</v>
      </c>
      <c r="I1329" s="494">
        <f>일위대가목록표!G37</f>
        <v>0</v>
      </c>
      <c r="J1329" s="498">
        <f>IF(C1329=0,0,ROUNDDOWN(I1329*C1329,1))</f>
        <v>0</v>
      </c>
      <c r="K1329" s="494">
        <f>일위대가목록표!H37</f>
        <v>0</v>
      </c>
      <c r="L1329" s="498">
        <f>IF(C1329=0,0,ROUNDDOWN(K1329*C1329,1))</f>
        <v>0</v>
      </c>
      <c r="M1329" s="463" t="s">
        <v>2492</v>
      </c>
      <c r="N1329" s="451" t="s">
        <v>2493</v>
      </c>
      <c r="O1329" s="468" t="s">
        <v>2494</v>
      </c>
      <c r="P1329" s="468" t="s">
        <v>2354</v>
      </c>
      <c r="Q1329" s="468" t="s">
        <v>2355</v>
      </c>
      <c r="Z1329" s="433" t="str">
        <f ca="1">HYPERLINK("#"&amp;일위대가목록표!J2&amp;"!A"&amp;ROW(일위대가목록표!A37),"B01447 →")</f>
        <v>B01447 →</v>
      </c>
    </row>
    <row r="1330" spans="1:26" ht="33.200000000000003" customHeight="1">
      <c r="A1330" s="452" t="s">
        <v>1793</v>
      </c>
      <c r="B1330" s="452" t="s">
        <v>1789</v>
      </c>
      <c r="C1330" s="489">
        <v>4.8000000000000001E-2</v>
      </c>
      <c r="D1330" s="480" t="s">
        <v>8</v>
      </c>
      <c r="E1330" s="490">
        <f t="shared" si="203"/>
        <v>233588</v>
      </c>
      <c r="F1330" s="493">
        <f t="shared" si="203"/>
        <v>11212.1</v>
      </c>
      <c r="G1330" s="494">
        <f>단가산출근거목록표!F152</f>
        <v>228399</v>
      </c>
      <c r="H1330" s="498">
        <f>IF(C1330=0,0,ROUNDDOWN(G1330*C1330,1))</f>
        <v>10963.1</v>
      </c>
      <c r="I1330" s="494">
        <f>단가산출근거목록표!G152</f>
        <v>0</v>
      </c>
      <c r="J1330" s="498">
        <f>IF(C1330=0,0,ROUNDDOWN(I1330*C1330,1))</f>
        <v>0</v>
      </c>
      <c r="K1330" s="494">
        <f>단가산출근거목록표!H152</f>
        <v>5189</v>
      </c>
      <c r="L1330" s="498">
        <f>IF(C1330=0,0,ROUNDDOWN(K1330*C1330,1))</f>
        <v>249</v>
      </c>
      <c r="M1330" s="463" t="s">
        <v>2594</v>
      </c>
      <c r="N1330" s="451" t="s">
        <v>2595</v>
      </c>
      <c r="O1330" s="468" t="s">
        <v>1796</v>
      </c>
      <c r="P1330" s="468" t="s">
        <v>2354</v>
      </c>
      <c r="Q1330" s="468" t="s">
        <v>2355</v>
      </c>
      <c r="Z1330" s="433" t="str">
        <f ca="1">HYPERLINK("#"&amp;단가산출근거목록표!J2&amp;"!A"&amp;ROW(단가산출근거목록표!A152),"D01242 →")</f>
        <v>D01242 →</v>
      </c>
    </row>
    <row r="1331" spans="1:26" ht="33.200000000000003" customHeight="1">
      <c r="A1331" s="452" t="s">
        <v>1466</v>
      </c>
      <c r="B1331" s="452" t="s">
        <v>1467</v>
      </c>
      <c r="C1331" s="489">
        <v>0.78700000000000003</v>
      </c>
      <c r="D1331" s="480" t="s">
        <v>8</v>
      </c>
      <c r="E1331" s="490">
        <f t="shared" si="203"/>
        <v>274515</v>
      </c>
      <c r="F1331" s="493">
        <f t="shared" si="203"/>
        <v>216043.3</v>
      </c>
      <c r="G1331" s="494">
        <f>일위대가목록표!F73</f>
        <v>274515</v>
      </c>
      <c r="H1331" s="498">
        <f>IF(C1331=0,0,ROUNDDOWN(G1331*C1331,1))</f>
        <v>216043.3</v>
      </c>
      <c r="I1331" s="494">
        <f>일위대가목록표!G73</f>
        <v>0</v>
      </c>
      <c r="J1331" s="498">
        <f>IF(C1331=0,0,ROUNDDOWN(I1331*C1331,1))</f>
        <v>0</v>
      </c>
      <c r="K1331" s="494">
        <f>일위대가목록표!H73</f>
        <v>0</v>
      </c>
      <c r="L1331" s="498">
        <f>IF(C1331=0,0,ROUNDDOWN(K1331*C1331,1))</f>
        <v>0</v>
      </c>
      <c r="M1331" s="463" t="s">
        <v>2596</v>
      </c>
      <c r="N1331" s="451" t="s">
        <v>2597</v>
      </c>
      <c r="O1331" s="468" t="s">
        <v>1470</v>
      </c>
      <c r="P1331" s="468" t="s">
        <v>2354</v>
      </c>
      <c r="Q1331" s="468" t="s">
        <v>2355</v>
      </c>
      <c r="Z1331" s="433" t="str">
        <f ca="1">HYPERLINK("#"&amp;일위대가목록표!J2&amp;"!A"&amp;ROW(일위대가목록표!A73),"B02396 →")</f>
        <v>B02396 →</v>
      </c>
    </row>
    <row r="1332" spans="1:26" ht="33.200000000000003" customHeight="1">
      <c r="A1332" s="452" t="s">
        <v>2507</v>
      </c>
      <c r="B1332" s="452" t="s">
        <v>2441</v>
      </c>
      <c r="C1332" s="489">
        <v>15</v>
      </c>
      <c r="D1332" s="480" t="s">
        <v>2371</v>
      </c>
      <c r="E1332" s="490">
        <f t="shared" si="203"/>
        <v>247575</v>
      </c>
      <c r="F1332" s="491">
        <f t="shared" si="203"/>
        <v>37136.199999999997</v>
      </c>
      <c r="G1332" s="496">
        <f>H1328+H1329+H1330+H1331</f>
        <v>247575</v>
      </c>
      <c r="H1332" s="491">
        <f>IF(C1332=0,0,ROUNDDOWN(G1332*C1332/100,1))</f>
        <v>37136.199999999997</v>
      </c>
      <c r="I1332" s="465">
        <v>0</v>
      </c>
      <c r="J1332" s="493">
        <f>IF(C1332=0,0,ROUNDDOWN(I1332*C1332/100,1))</f>
        <v>0</v>
      </c>
      <c r="K1332" s="467">
        <v>0</v>
      </c>
      <c r="L1332" s="493">
        <f>IF(C1332=0,0,ROUNDDOWN(K1332*C1332/100,1))</f>
        <v>0</v>
      </c>
      <c r="M1332" s="463"/>
      <c r="N1332" s="451" t="s">
        <v>2508</v>
      </c>
      <c r="O1332" s="468" t="s">
        <v>2373</v>
      </c>
      <c r="P1332" s="468" t="s">
        <v>2354</v>
      </c>
    </row>
    <row r="1333" spans="1:26" ht="33.200000000000003" customHeight="1">
      <c r="A1333" s="463" t="s">
        <v>842</v>
      </c>
      <c r="B1333" s="497"/>
      <c r="C1333" s="497"/>
      <c r="D1333" s="497"/>
      <c r="E1333" s="497"/>
      <c r="F1333" s="446">
        <f>J1333+H1333+L1333</f>
        <v>284960</v>
      </c>
      <c r="G1333" s="497"/>
      <c r="H1333" s="446">
        <f>ROUNDDOWN(SUMIF(P1328:P1332,O1333,H1328:H1332),0)</f>
        <v>284711</v>
      </c>
      <c r="I1333" s="497"/>
      <c r="J1333" s="446">
        <f>ROUNDDOWN(SUMIF(P1328:P1332,O1333,J1328:J1332),0)</f>
        <v>0</v>
      </c>
      <c r="K1333" s="497"/>
      <c r="L1333" s="446">
        <f>ROUNDDOWN(SUMIF(P1328:P1332,O1333,L1328:L1332),0)</f>
        <v>249</v>
      </c>
      <c r="M1333" s="497"/>
      <c r="O1333" s="468" t="s">
        <v>2354</v>
      </c>
    </row>
    <row r="1334" spans="1:26" ht="33.200000000000003" customHeight="1">
      <c r="A1334" s="484" t="s">
        <v>3087</v>
      </c>
      <c r="B1334" s="484"/>
      <c r="C1334" s="485"/>
      <c r="D1334" s="485"/>
      <c r="E1334" s="485"/>
      <c r="F1334" s="485"/>
      <c r="G1334" s="485"/>
      <c r="H1334" s="485"/>
      <c r="I1334" s="485"/>
      <c r="J1334" s="485"/>
      <c r="K1334" s="485"/>
      <c r="L1334" s="485"/>
      <c r="M1334" s="485"/>
      <c r="N1334" s="486" t="str">
        <f>HYPERLINK("#N"&amp;ROW(N1339),"_x0005_`BDCOD|B02880_x0007_`POSS|"&amp;ROW(N1336)&amp;"_x0007_`POSE|"&amp;ROW(N1339)&amp;"_x0007_`")</f>
        <v>_x0005_`BDCOD|B02880_x0007_`POSS|1336_x0007_`POSE|1339_x0007_`</v>
      </c>
    </row>
    <row r="1335" spans="1:26" ht="33.200000000000003" customHeight="1">
      <c r="A1335" s="469" t="s">
        <v>5258</v>
      </c>
      <c r="B1335" s="469" t="s">
        <v>1724</v>
      </c>
      <c r="C1335" s="487"/>
      <c r="D1335" s="488" t="s">
        <v>975</v>
      </c>
      <c r="E1335" s="487"/>
      <c r="F1335" s="487"/>
      <c r="G1335" s="487"/>
      <c r="H1335" s="487"/>
      <c r="I1335" s="487"/>
      <c r="J1335" s="487"/>
      <c r="K1335" s="487"/>
      <c r="L1335" s="487"/>
      <c r="M1335" s="488" t="s">
        <v>5259</v>
      </c>
      <c r="O1335" s="468" t="s">
        <v>5259</v>
      </c>
    </row>
    <row r="1336" spans="1:26" ht="33.200000000000003" customHeight="1">
      <c r="A1336" s="452" t="s">
        <v>2484</v>
      </c>
      <c r="B1336" s="452" t="s">
        <v>2485</v>
      </c>
      <c r="C1336" s="489">
        <v>8.1000000000000003E-2</v>
      </c>
      <c r="D1336" s="480" t="s">
        <v>8</v>
      </c>
      <c r="E1336" s="490">
        <f t="shared" ref="E1336:F1339" si="204">I1336+G1336+K1336</f>
        <v>62811</v>
      </c>
      <c r="F1336" s="493">
        <f t="shared" si="204"/>
        <v>5087.6000000000004</v>
      </c>
      <c r="G1336" s="494">
        <f>단가산출근거목록표!F157</f>
        <v>62811</v>
      </c>
      <c r="H1336" s="498">
        <f>IF(C1336=0,0,ROUNDDOWN(G1336*C1336,1))</f>
        <v>5087.6000000000004</v>
      </c>
      <c r="I1336" s="494">
        <f>단가산출근거목록표!G157</f>
        <v>0</v>
      </c>
      <c r="J1336" s="498">
        <f>IF(C1336=0,0,ROUNDDOWN(I1336*C1336,1))</f>
        <v>0</v>
      </c>
      <c r="K1336" s="494">
        <f>단가산출근거목록표!H157</f>
        <v>0</v>
      </c>
      <c r="L1336" s="498">
        <f>IF(C1336=0,0,ROUNDDOWN(K1336*C1336,1))</f>
        <v>0</v>
      </c>
      <c r="M1336" s="463" t="s">
        <v>2486</v>
      </c>
      <c r="N1336" s="451" t="s">
        <v>2487</v>
      </c>
      <c r="O1336" s="468" t="s">
        <v>2488</v>
      </c>
      <c r="P1336" s="468" t="s">
        <v>2354</v>
      </c>
      <c r="Q1336" s="468" t="s">
        <v>2355</v>
      </c>
      <c r="Z1336" s="433" t="str">
        <f ca="1">HYPERLINK("#"&amp;단가산출근거목록표!J2&amp;"!A"&amp;ROW(단가산출근거목록표!A157),"D01241 →")</f>
        <v>D01241 →</v>
      </c>
    </row>
    <row r="1337" spans="1:26" ht="33.200000000000003" customHeight="1">
      <c r="A1337" s="452" t="s">
        <v>1793</v>
      </c>
      <c r="B1337" s="452" t="s">
        <v>1789</v>
      </c>
      <c r="C1337" s="489">
        <v>2.7E-2</v>
      </c>
      <c r="D1337" s="480" t="s">
        <v>8</v>
      </c>
      <c r="E1337" s="490">
        <f t="shared" si="204"/>
        <v>233588</v>
      </c>
      <c r="F1337" s="493">
        <f t="shared" si="204"/>
        <v>6306.8</v>
      </c>
      <c r="G1337" s="494">
        <f>단가산출근거목록표!F152</f>
        <v>228399</v>
      </c>
      <c r="H1337" s="498">
        <f>IF(C1337=0,0,ROUNDDOWN(G1337*C1337,1))</f>
        <v>6166.7</v>
      </c>
      <c r="I1337" s="494">
        <f>단가산출근거목록표!G152</f>
        <v>0</v>
      </c>
      <c r="J1337" s="498">
        <f>IF(C1337=0,0,ROUNDDOWN(I1337*C1337,1))</f>
        <v>0</v>
      </c>
      <c r="K1337" s="494">
        <f>단가산출근거목록표!H152</f>
        <v>5189</v>
      </c>
      <c r="L1337" s="498">
        <f>IF(C1337=0,0,ROUNDDOWN(K1337*C1337,1))</f>
        <v>140.1</v>
      </c>
      <c r="M1337" s="463" t="s">
        <v>2594</v>
      </c>
      <c r="N1337" s="451" t="s">
        <v>2595</v>
      </c>
      <c r="O1337" s="468" t="s">
        <v>1796</v>
      </c>
      <c r="P1337" s="468" t="s">
        <v>2354</v>
      </c>
      <c r="Q1337" s="468" t="s">
        <v>2355</v>
      </c>
      <c r="Z1337" s="433" t="str">
        <f ca="1">HYPERLINK("#"&amp;단가산출근거목록표!J2&amp;"!A"&amp;ROW(단가산출근거목록표!A152),"D01242 →")</f>
        <v>D01242 →</v>
      </c>
    </row>
    <row r="1338" spans="1:26" ht="33.200000000000003" customHeight="1">
      <c r="A1338" s="452" t="s">
        <v>1466</v>
      </c>
      <c r="B1338" s="452" t="s">
        <v>1467</v>
      </c>
      <c r="C1338" s="489">
        <v>4.4999999999999998E-2</v>
      </c>
      <c r="D1338" s="480" t="s">
        <v>8</v>
      </c>
      <c r="E1338" s="490">
        <f t="shared" si="204"/>
        <v>274515</v>
      </c>
      <c r="F1338" s="493">
        <f t="shared" si="204"/>
        <v>12353.1</v>
      </c>
      <c r="G1338" s="494">
        <f>일위대가목록표!F73</f>
        <v>274515</v>
      </c>
      <c r="H1338" s="498">
        <f>IF(C1338=0,0,ROUNDDOWN(G1338*C1338,1))</f>
        <v>12353.1</v>
      </c>
      <c r="I1338" s="494">
        <f>일위대가목록표!G73</f>
        <v>0</v>
      </c>
      <c r="J1338" s="498">
        <f>IF(C1338=0,0,ROUNDDOWN(I1338*C1338,1))</f>
        <v>0</v>
      </c>
      <c r="K1338" s="494">
        <f>일위대가목록표!H73</f>
        <v>0</v>
      </c>
      <c r="L1338" s="498">
        <f>IF(C1338=0,0,ROUNDDOWN(K1338*C1338,1))</f>
        <v>0</v>
      </c>
      <c r="M1338" s="463" t="s">
        <v>2596</v>
      </c>
      <c r="N1338" s="451" t="s">
        <v>2597</v>
      </c>
      <c r="O1338" s="468" t="s">
        <v>1470</v>
      </c>
      <c r="P1338" s="468" t="s">
        <v>2354</v>
      </c>
      <c r="Q1338" s="468" t="s">
        <v>2355</v>
      </c>
      <c r="Z1338" s="433" t="str">
        <f ca="1">HYPERLINK("#"&amp;일위대가목록표!J2&amp;"!A"&amp;ROW(일위대가목록표!A73),"B02396 →")</f>
        <v>B02396 →</v>
      </c>
    </row>
    <row r="1339" spans="1:26" ht="33.200000000000003" customHeight="1">
      <c r="A1339" s="452" t="s">
        <v>2507</v>
      </c>
      <c r="B1339" s="452" t="s">
        <v>2441</v>
      </c>
      <c r="C1339" s="489">
        <v>15</v>
      </c>
      <c r="D1339" s="480" t="s">
        <v>2371</v>
      </c>
      <c r="E1339" s="490">
        <f t="shared" si="204"/>
        <v>23607.4</v>
      </c>
      <c r="F1339" s="491">
        <f t="shared" si="204"/>
        <v>3541.1</v>
      </c>
      <c r="G1339" s="496">
        <f>H1336+H1337+H1338</f>
        <v>23607.4</v>
      </c>
      <c r="H1339" s="491">
        <f>IF(C1339=0,0,ROUNDDOWN(G1339*C1339/100,1))</f>
        <v>3541.1</v>
      </c>
      <c r="I1339" s="465">
        <v>0</v>
      </c>
      <c r="J1339" s="493">
        <f>IF(C1339=0,0,ROUNDDOWN(I1339*C1339/100,1))</f>
        <v>0</v>
      </c>
      <c r="K1339" s="467">
        <v>0</v>
      </c>
      <c r="L1339" s="493">
        <f>IF(C1339=0,0,ROUNDDOWN(K1339*C1339/100,1))</f>
        <v>0</v>
      </c>
      <c r="M1339" s="463"/>
      <c r="N1339" s="451" t="s">
        <v>2508</v>
      </c>
      <c r="O1339" s="468" t="s">
        <v>2373</v>
      </c>
      <c r="P1339" s="468" t="s">
        <v>2354</v>
      </c>
    </row>
    <row r="1340" spans="1:26" ht="33.200000000000003" customHeight="1">
      <c r="A1340" s="463" t="s">
        <v>842</v>
      </c>
      <c r="B1340" s="497"/>
      <c r="C1340" s="497"/>
      <c r="D1340" s="497"/>
      <c r="E1340" s="497"/>
      <c r="F1340" s="446">
        <f>J1340+H1340+L1340</f>
        <v>27288</v>
      </c>
      <c r="G1340" s="497"/>
      <c r="H1340" s="446">
        <f>ROUNDDOWN(SUMIF(P1336:P1339,O1340,H1336:H1339),0)</f>
        <v>27148</v>
      </c>
      <c r="I1340" s="497"/>
      <c r="J1340" s="446">
        <f>ROUNDDOWN(SUMIF(P1336:P1339,O1340,J1336:J1339),0)</f>
        <v>0</v>
      </c>
      <c r="K1340" s="497"/>
      <c r="L1340" s="446">
        <f>ROUNDDOWN(SUMIF(P1336:P1339,O1340,L1336:L1339),0)</f>
        <v>140</v>
      </c>
      <c r="M1340" s="497"/>
      <c r="O1340" s="468" t="s">
        <v>2354</v>
      </c>
    </row>
    <row r="1341" spans="1:26" ht="33.200000000000003" customHeight="1">
      <c r="A1341" s="484" t="s">
        <v>3088</v>
      </c>
      <c r="B1341" s="484"/>
      <c r="C1341" s="485"/>
      <c r="D1341" s="485"/>
      <c r="E1341" s="485"/>
      <c r="F1341" s="485"/>
      <c r="G1341" s="485"/>
      <c r="H1341" s="485"/>
      <c r="I1341" s="485"/>
      <c r="J1341" s="485"/>
      <c r="K1341" s="485"/>
      <c r="L1341" s="485"/>
      <c r="M1341" s="485"/>
      <c r="N1341" s="486" t="str">
        <f>HYPERLINK("#N"&amp;ROW(N1347),"_x0005_`BDCOD|B02639_x0007_`POSS|"&amp;ROW(N1343)&amp;"_x0007_`POSE|"&amp;ROW(N1347)&amp;"_x0007_`")</f>
        <v>_x0005_`BDCOD|B02639_x0007_`POSS|1343_x0007_`POSE|1347_x0007_`</v>
      </c>
    </row>
    <row r="1342" spans="1:26" ht="33.200000000000003" customHeight="1">
      <c r="A1342" s="469" t="s">
        <v>5271</v>
      </c>
      <c r="B1342" s="469" t="s">
        <v>1728</v>
      </c>
      <c r="C1342" s="487"/>
      <c r="D1342" s="488" t="s">
        <v>975</v>
      </c>
      <c r="E1342" s="487"/>
      <c r="F1342" s="487"/>
      <c r="G1342" s="487"/>
      <c r="H1342" s="487"/>
      <c r="I1342" s="487"/>
      <c r="J1342" s="487"/>
      <c r="K1342" s="487"/>
      <c r="L1342" s="487"/>
      <c r="M1342" s="488" t="s">
        <v>1729</v>
      </c>
      <c r="O1342" s="468" t="s">
        <v>1729</v>
      </c>
    </row>
    <row r="1343" spans="1:26" ht="33.200000000000003" customHeight="1">
      <c r="A1343" s="452" t="s">
        <v>2484</v>
      </c>
      <c r="B1343" s="452" t="s">
        <v>2485</v>
      </c>
      <c r="C1343" s="489">
        <v>0.14399999999999999</v>
      </c>
      <c r="D1343" s="480" t="s">
        <v>8</v>
      </c>
      <c r="E1343" s="490">
        <f t="shared" ref="E1343:F1347" si="205">I1343+G1343+K1343</f>
        <v>62811</v>
      </c>
      <c r="F1343" s="493">
        <f t="shared" si="205"/>
        <v>9044.7000000000007</v>
      </c>
      <c r="G1343" s="494">
        <f>단가산출근거목록표!F157</f>
        <v>62811</v>
      </c>
      <c r="H1343" s="498">
        <f>IF(C1343=0,0,ROUNDDOWN(G1343*C1343,1))</f>
        <v>9044.7000000000007</v>
      </c>
      <c r="I1343" s="494">
        <f>단가산출근거목록표!G157</f>
        <v>0</v>
      </c>
      <c r="J1343" s="498">
        <f>IF(C1343=0,0,ROUNDDOWN(I1343*C1343,1))</f>
        <v>0</v>
      </c>
      <c r="K1343" s="494">
        <f>단가산출근거목록표!H157</f>
        <v>0</v>
      </c>
      <c r="L1343" s="498">
        <f>IF(C1343=0,0,ROUNDDOWN(K1343*C1343,1))</f>
        <v>0</v>
      </c>
      <c r="M1343" s="463" t="s">
        <v>2486</v>
      </c>
      <c r="N1343" s="451" t="s">
        <v>2487</v>
      </c>
      <c r="O1343" s="468" t="s">
        <v>2488</v>
      </c>
      <c r="P1343" s="468" t="s">
        <v>2354</v>
      </c>
      <c r="Q1343" s="468" t="s">
        <v>2355</v>
      </c>
      <c r="Z1343" s="433" t="str">
        <f ca="1">HYPERLINK("#"&amp;단가산출근거목록표!J2&amp;"!A"&amp;ROW(단가산출근거목록표!A157),"D01241 →")</f>
        <v>D01241 →</v>
      </c>
    </row>
    <row r="1344" spans="1:26" ht="33.200000000000003" customHeight="1">
      <c r="A1344" s="452" t="s">
        <v>2298</v>
      </c>
      <c r="B1344" s="452" t="s">
        <v>2299</v>
      </c>
      <c r="C1344" s="489">
        <v>0.09</v>
      </c>
      <c r="D1344" s="480" t="s">
        <v>8</v>
      </c>
      <c r="E1344" s="490">
        <f t="shared" si="205"/>
        <v>24089</v>
      </c>
      <c r="F1344" s="493">
        <f t="shared" si="205"/>
        <v>2168</v>
      </c>
      <c r="G1344" s="494">
        <f>일위대가목록표!F37</f>
        <v>24089</v>
      </c>
      <c r="H1344" s="498">
        <f>IF(C1344=0,0,ROUNDDOWN(G1344*C1344,1))</f>
        <v>2168</v>
      </c>
      <c r="I1344" s="494">
        <f>일위대가목록표!G37</f>
        <v>0</v>
      </c>
      <c r="J1344" s="498">
        <f>IF(C1344=0,0,ROUNDDOWN(I1344*C1344,1))</f>
        <v>0</v>
      </c>
      <c r="K1344" s="494">
        <f>일위대가목록표!H37</f>
        <v>0</v>
      </c>
      <c r="L1344" s="498">
        <f>IF(C1344=0,0,ROUNDDOWN(K1344*C1344,1))</f>
        <v>0</v>
      </c>
      <c r="M1344" s="463" t="s">
        <v>2492</v>
      </c>
      <c r="N1344" s="451" t="s">
        <v>2493</v>
      </c>
      <c r="O1344" s="468" t="s">
        <v>2494</v>
      </c>
      <c r="P1344" s="468" t="s">
        <v>2354</v>
      </c>
      <c r="Q1344" s="468" t="s">
        <v>2355</v>
      </c>
      <c r="Z1344" s="433" t="str">
        <f ca="1">HYPERLINK("#"&amp;일위대가목록표!J2&amp;"!A"&amp;ROW(일위대가목록표!A37),"B01447 →")</f>
        <v>B01447 →</v>
      </c>
    </row>
    <row r="1345" spans="1:26" ht="33.200000000000003" customHeight="1">
      <c r="A1345" s="452" t="s">
        <v>1793</v>
      </c>
      <c r="B1345" s="452" t="s">
        <v>1789</v>
      </c>
      <c r="C1345" s="489">
        <v>5.3999999999999999E-2</v>
      </c>
      <c r="D1345" s="480" t="s">
        <v>8</v>
      </c>
      <c r="E1345" s="490">
        <f t="shared" si="205"/>
        <v>233588</v>
      </c>
      <c r="F1345" s="493">
        <f t="shared" si="205"/>
        <v>12613.7</v>
      </c>
      <c r="G1345" s="494">
        <f>단가산출근거목록표!F152</f>
        <v>228399</v>
      </c>
      <c r="H1345" s="498">
        <f>IF(C1345=0,0,ROUNDDOWN(G1345*C1345,1))</f>
        <v>12333.5</v>
      </c>
      <c r="I1345" s="494">
        <f>단가산출근거목록표!G152</f>
        <v>0</v>
      </c>
      <c r="J1345" s="498">
        <f>IF(C1345=0,0,ROUNDDOWN(I1345*C1345,1))</f>
        <v>0</v>
      </c>
      <c r="K1345" s="494">
        <f>단가산출근거목록표!H152</f>
        <v>5189</v>
      </c>
      <c r="L1345" s="498">
        <f>IF(C1345=0,0,ROUNDDOWN(K1345*C1345,1))</f>
        <v>280.2</v>
      </c>
      <c r="M1345" s="463" t="s">
        <v>2594</v>
      </c>
      <c r="N1345" s="451" t="s">
        <v>2595</v>
      </c>
      <c r="O1345" s="468" t="s">
        <v>1796</v>
      </c>
      <c r="P1345" s="468" t="s">
        <v>2354</v>
      </c>
      <c r="Q1345" s="468" t="s">
        <v>2355</v>
      </c>
      <c r="Z1345" s="433" t="str">
        <f ca="1">HYPERLINK("#"&amp;단가산출근거목록표!J2&amp;"!A"&amp;ROW(단가산출근거목록표!A152),"D01242 →")</f>
        <v>D01242 →</v>
      </c>
    </row>
    <row r="1346" spans="1:26" ht="33.200000000000003" customHeight="1">
      <c r="A1346" s="452" t="s">
        <v>1466</v>
      </c>
      <c r="B1346" s="452" t="s">
        <v>1467</v>
      </c>
      <c r="C1346" s="489">
        <v>0.21</v>
      </c>
      <c r="D1346" s="480" t="s">
        <v>8</v>
      </c>
      <c r="E1346" s="490">
        <f t="shared" si="205"/>
        <v>274515</v>
      </c>
      <c r="F1346" s="493">
        <f t="shared" si="205"/>
        <v>57648.1</v>
      </c>
      <c r="G1346" s="494">
        <f>일위대가목록표!F73</f>
        <v>274515</v>
      </c>
      <c r="H1346" s="498">
        <f>IF(C1346=0,0,ROUNDDOWN(G1346*C1346,1))</f>
        <v>57648.1</v>
      </c>
      <c r="I1346" s="494">
        <f>일위대가목록표!G73</f>
        <v>0</v>
      </c>
      <c r="J1346" s="498">
        <f>IF(C1346=0,0,ROUNDDOWN(I1346*C1346,1))</f>
        <v>0</v>
      </c>
      <c r="K1346" s="494">
        <f>일위대가목록표!H73</f>
        <v>0</v>
      </c>
      <c r="L1346" s="498">
        <f>IF(C1346=0,0,ROUNDDOWN(K1346*C1346,1))</f>
        <v>0</v>
      </c>
      <c r="M1346" s="463" t="s">
        <v>2596</v>
      </c>
      <c r="N1346" s="451" t="s">
        <v>2597</v>
      </c>
      <c r="O1346" s="468" t="s">
        <v>1470</v>
      </c>
      <c r="P1346" s="468" t="s">
        <v>2354</v>
      </c>
      <c r="Q1346" s="468" t="s">
        <v>2355</v>
      </c>
      <c r="Z1346" s="433" t="str">
        <f ca="1">HYPERLINK("#"&amp;일위대가목록표!J2&amp;"!A"&amp;ROW(일위대가목록표!A73),"B02396 →")</f>
        <v>B02396 →</v>
      </c>
    </row>
    <row r="1347" spans="1:26" ht="33.200000000000003" customHeight="1">
      <c r="A1347" s="452" t="s">
        <v>2507</v>
      </c>
      <c r="B1347" s="452" t="s">
        <v>2441</v>
      </c>
      <c r="C1347" s="489">
        <v>25</v>
      </c>
      <c r="D1347" s="480" t="s">
        <v>2371</v>
      </c>
      <c r="E1347" s="490">
        <f t="shared" si="205"/>
        <v>81194.3</v>
      </c>
      <c r="F1347" s="491">
        <f t="shared" si="205"/>
        <v>20298.5</v>
      </c>
      <c r="G1347" s="496">
        <f>H1343+H1344+H1345+H1346</f>
        <v>81194.3</v>
      </c>
      <c r="H1347" s="491">
        <f>IF(C1347=0,0,ROUNDDOWN(G1347*C1347/100,1))</f>
        <v>20298.5</v>
      </c>
      <c r="I1347" s="465">
        <v>0</v>
      </c>
      <c r="J1347" s="493">
        <f>IF(C1347=0,0,ROUNDDOWN(I1347*C1347/100,1))</f>
        <v>0</v>
      </c>
      <c r="K1347" s="467">
        <v>0</v>
      </c>
      <c r="L1347" s="493">
        <f>IF(C1347=0,0,ROUNDDOWN(K1347*C1347/100,1))</f>
        <v>0</v>
      </c>
      <c r="M1347" s="463"/>
      <c r="N1347" s="451" t="s">
        <v>2508</v>
      </c>
      <c r="O1347" s="468" t="s">
        <v>2373</v>
      </c>
      <c r="P1347" s="468" t="s">
        <v>2354</v>
      </c>
    </row>
    <row r="1348" spans="1:26" ht="33.200000000000003" customHeight="1">
      <c r="A1348" s="463" t="s">
        <v>842</v>
      </c>
      <c r="B1348" s="497"/>
      <c r="C1348" s="497"/>
      <c r="D1348" s="497"/>
      <c r="E1348" s="497"/>
      <c r="F1348" s="446">
        <f>J1348+H1348+L1348</f>
        <v>101772</v>
      </c>
      <c r="G1348" s="497"/>
      <c r="H1348" s="446">
        <f>ROUNDDOWN(SUMIF(P1343:P1347,O1348,H1343:H1347),0)</f>
        <v>101492</v>
      </c>
      <c r="I1348" s="497"/>
      <c r="J1348" s="446">
        <f>ROUNDDOWN(SUMIF(P1343:P1347,O1348,J1343:J1347),0)</f>
        <v>0</v>
      </c>
      <c r="K1348" s="497"/>
      <c r="L1348" s="446">
        <f>ROUNDDOWN(SUMIF(P1343:P1347,O1348,L1343:L1347),0)</f>
        <v>280</v>
      </c>
      <c r="M1348" s="497"/>
      <c r="O1348" s="468" t="s">
        <v>2354</v>
      </c>
    </row>
    <row r="1349" spans="1:26" ht="33.200000000000003" customHeight="1">
      <c r="A1349" s="484" t="s">
        <v>3089</v>
      </c>
      <c r="B1349" s="484"/>
      <c r="C1349" s="485"/>
      <c r="D1349" s="485"/>
      <c r="E1349" s="485"/>
      <c r="F1349" s="485"/>
      <c r="G1349" s="485"/>
      <c r="H1349" s="485"/>
      <c r="I1349" s="485"/>
      <c r="J1349" s="485"/>
      <c r="K1349" s="485"/>
      <c r="L1349" s="485"/>
      <c r="M1349" s="485"/>
      <c r="N1349" s="486" t="str">
        <f>HYPERLINK("#N"&amp;ROW(N1355),"_x0005_`BDCOD|B02641_x0007_`POSS|"&amp;ROW(N1351)&amp;"_x0007_`POSE|"&amp;ROW(N1355)&amp;"_x0007_`")</f>
        <v>_x0005_`BDCOD|B02641_x0007_`POSS|1351_x0007_`POSE|1355_x0007_`</v>
      </c>
    </row>
    <row r="1350" spans="1:26" ht="33.200000000000003" customHeight="1">
      <c r="A1350" s="469" t="s">
        <v>5271</v>
      </c>
      <c r="B1350" s="469" t="s">
        <v>1732</v>
      </c>
      <c r="C1350" s="487"/>
      <c r="D1350" s="488" t="s">
        <v>975</v>
      </c>
      <c r="E1350" s="487"/>
      <c r="F1350" s="487"/>
      <c r="G1350" s="487"/>
      <c r="H1350" s="487"/>
      <c r="I1350" s="487"/>
      <c r="J1350" s="487"/>
      <c r="K1350" s="487"/>
      <c r="L1350" s="487"/>
      <c r="M1350" s="488" t="s">
        <v>1733</v>
      </c>
      <c r="O1350" s="468" t="s">
        <v>1733</v>
      </c>
    </row>
    <row r="1351" spans="1:26" ht="33.200000000000003" customHeight="1">
      <c r="A1351" s="452" t="s">
        <v>2484</v>
      </c>
      <c r="B1351" s="452" t="s">
        <v>2485</v>
      </c>
      <c r="C1351" s="489">
        <v>0.14399999999999999</v>
      </c>
      <c r="D1351" s="480" t="s">
        <v>8</v>
      </c>
      <c r="E1351" s="490">
        <f t="shared" ref="E1351:F1355" si="206">I1351+G1351+K1351</f>
        <v>62811</v>
      </c>
      <c r="F1351" s="493">
        <f t="shared" si="206"/>
        <v>9044.7000000000007</v>
      </c>
      <c r="G1351" s="494">
        <f>단가산출근거목록표!F157</f>
        <v>62811</v>
      </c>
      <c r="H1351" s="498">
        <f>IF(C1351=0,0,ROUNDDOWN(G1351*C1351,1))</f>
        <v>9044.7000000000007</v>
      </c>
      <c r="I1351" s="494">
        <f>단가산출근거목록표!G157</f>
        <v>0</v>
      </c>
      <c r="J1351" s="498">
        <f>IF(C1351=0,0,ROUNDDOWN(I1351*C1351,1))</f>
        <v>0</v>
      </c>
      <c r="K1351" s="494">
        <f>단가산출근거목록표!H157</f>
        <v>0</v>
      </c>
      <c r="L1351" s="498">
        <f>IF(C1351=0,0,ROUNDDOWN(K1351*C1351,1))</f>
        <v>0</v>
      </c>
      <c r="M1351" s="463" t="s">
        <v>2486</v>
      </c>
      <c r="N1351" s="451" t="s">
        <v>2487</v>
      </c>
      <c r="O1351" s="468" t="s">
        <v>2488</v>
      </c>
      <c r="P1351" s="468" t="s">
        <v>2354</v>
      </c>
      <c r="Q1351" s="468" t="s">
        <v>2355</v>
      </c>
      <c r="Z1351" s="433" t="str">
        <f ca="1">HYPERLINK("#"&amp;단가산출근거목록표!J2&amp;"!A"&amp;ROW(단가산출근거목록표!A157),"D01241 →")</f>
        <v>D01241 →</v>
      </c>
    </row>
    <row r="1352" spans="1:26" ht="33.200000000000003" customHeight="1">
      <c r="A1352" s="452" t="s">
        <v>2298</v>
      </c>
      <c r="B1352" s="452" t="s">
        <v>2299</v>
      </c>
      <c r="C1352" s="489">
        <v>0.09</v>
      </c>
      <c r="D1352" s="480" t="s">
        <v>8</v>
      </c>
      <c r="E1352" s="490">
        <f t="shared" si="206"/>
        <v>24089</v>
      </c>
      <c r="F1352" s="493">
        <f t="shared" si="206"/>
        <v>2168</v>
      </c>
      <c r="G1352" s="494">
        <f>일위대가목록표!F37</f>
        <v>24089</v>
      </c>
      <c r="H1352" s="498">
        <f>IF(C1352=0,0,ROUNDDOWN(G1352*C1352,1))</f>
        <v>2168</v>
      </c>
      <c r="I1352" s="494">
        <f>일위대가목록표!G37</f>
        <v>0</v>
      </c>
      <c r="J1352" s="498">
        <f>IF(C1352=0,0,ROUNDDOWN(I1352*C1352,1))</f>
        <v>0</v>
      </c>
      <c r="K1352" s="494">
        <f>일위대가목록표!H37</f>
        <v>0</v>
      </c>
      <c r="L1352" s="498">
        <f>IF(C1352=0,0,ROUNDDOWN(K1352*C1352,1))</f>
        <v>0</v>
      </c>
      <c r="M1352" s="463" t="s">
        <v>2492</v>
      </c>
      <c r="N1352" s="451" t="s">
        <v>2493</v>
      </c>
      <c r="O1352" s="468" t="s">
        <v>2494</v>
      </c>
      <c r="P1352" s="468" t="s">
        <v>2354</v>
      </c>
      <c r="Q1352" s="468" t="s">
        <v>2355</v>
      </c>
      <c r="Z1352" s="433" t="str">
        <f ca="1">HYPERLINK("#"&amp;일위대가목록표!J2&amp;"!A"&amp;ROW(일위대가목록표!A37),"B01447 →")</f>
        <v>B01447 →</v>
      </c>
    </row>
    <row r="1353" spans="1:26" ht="33.200000000000003" customHeight="1">
      <c r="A1353" s="452" t="s">
        <v>1793</v>
      </c>
      <c r="B1353" s="452" t="s">
        <v>1789</v>
      </c>
      <c r="C1353" s="489">
        <v>5.3999999999999999E-2</v>
      </c>
      <c r="D1353" s="480" t="s">
        <v>8</v>
      </c>
      <c r="E1353" s="490">
        <f t="shared" si="206"/>
        <v>233588</v>
      </c>
      <c r="F1353" s="493">
        <f t="shared" si="206"/>
        <v>12613.7</v>
      </c>
      <c r="G1353" s="494">
        <f>단가산출근거목록표!F152</f>
        <v>228399</v>
      </c>
      <c r="H1353" s="498">
        <f>IF(C1353=0,0,ROUNDDOWN(G1353*C1353,1))</f>
        <v>12333.5</v>
      </c>
      <c r="I1353" s="494">
        <f>단가산출근거목록표!G152</f>
        <v>0</v>
      </c>
      <c r="J1353" s="498">
        <f>IF(C1353=0,0,ROUNDDOWN(I1353*C1353,1))</f>
        <v>0</v>
      </c>
      <c r="K1353" s="494">
        <f>단가산출근거목록표!H152</f>
        <v>5189</v>
      </c>
      <c r="L1353" s="498">
        <f>IF(C1353=0,0,ROUNDDOWN(K1353*C1353,1))</f>
        <v>280.2</v>
      </c>
      <c r="M1353" s="463" t="s">
        <v>2594</v>
      </c>
      <c r="N1353" s="451" t="s">
        <v>2595</v>
      </c>
      <c r="O1353" s="468" t="s">
        <v>1796</v>
      </c>
      <c r="P1353" s="468" t="s">
        <v>2354</v>
      </c>
      <c r="Q1353" s="468" t="s">
        <v>2355</v>
      </c>
      <c r="Z1353" s="433" t="str">
        <f ca="1">HYPERLINK("#"&amp;단가산출근거목록표!J2&amp;"!A"&amp;ROW(단가산출근거목록표!A152),"D01242 →")</f>
        <v>D01242 →</v>
      </c>
    </row>
    <row r="1354" spans="1:26" ht="33.200000000000003" customHeight="1">
      <c r="A1354" s="452" t="s">
        <v>1466</v>
      </c>
      <c r="B1354" s="452" t="s">
        <v>1467</v>
      </c>
      <c r="C1354" s="489">
        <v>0.26500000000000001</v>
      </c>
      <c r="D1354" s="480" t="s">
        <v>8</v>
      </c>
      <c r="E1354" s="490">
        <f t="shared" si="206"/>
        <v>274515</v>
      </c>
      <c r="F1354" s="493">
        <f t="shared" si="206"/>
        <v>72746.399999999994</v>
      </c>
      <c r="G1354" s="494">
        <f>일위대가목록표!F73</f>
        <v>274515</v>
      </c>
      <c r="H1354" s="498">
        <f>IF(C1354=0,0,ROUNDDOWN(G1354*C1354,1))</f>
        <v>72746.399999999994</v>
      </c>
      <c r="I1354" s="494">
        <f>일위대가목록표!G73</f>
        <v>0</v>
      </c>
      <c r="J1354" s="498">
        <f>IF(C1354=0,0,ROUNDDOWN(I1354*C1354,1))</f>
        <v>0</v>
      </c>
      <c r="K1354" s="494">
        <f>일위대가목록표!H73</f>
        <v>0</v>
      </c>
      <c r="L1354" s="498">
        <f>IF(C1354=0,0,ROUNDDOWN(K1354*C1354,1))</f>
        <v>0</v>
      </c>
      <c r="M1354" s="463" t="s">
        <v>2596</v>
      </c>
      <c r="N1354" s="451" t="s">
        <v>2597</v>
      </c>
      <c r="O1354" s="468" t="s">
        <v>1470</v>
      </c>
      <c r="P1354" s="468" t="s">
        <v>2354</v>
      </c>
      <c r="Q1354" s="468" t="s">
        <v>2355</v>
      </c>
      <c r="Z1354" s="433" t="str">
        <f ca="1">HYPERLINK("#"&amp;일위대가목록표!J2&amp;"!A"&amp;ROW(일위대가목록표!A73),"B02396 →")</f>
        <v>B02396 →</v>
      </c>
    </row>
    <row r="1355" spans="1:26" ht="33.200000000000003" customHeight="1">
      <c r="A1355" s="452" t="s">
        <v>2507</v>
      </c>
      <c r="B1355" s="452" t="s">
        <v>2441</v>
      </c>
      <c r="C1355" s="489">
        <v>25</v>
      </c>
      <c r="D1355" s="480" t="s">
        <v>2371</v>
      </c>
      <c r="E1355" s="490">
        <f t="shared" si="206"/>
        <v>96292.599999999991</v>
      </c>
      <c r="F1355" s="491">
        <f t="shared" si="206"/>
        <v>24073.1</v>
      </c>
      <c r="G1355" s="496">
        <f>H1351+H1352+H1353+H1354</f>
        <v>96292.599999999991</v>
      </c>
      <c r="H1355" s="491">
        <f>IF(C1355=0,0,ROUNDDOWN(G1355*C1355/100,1))</f>
        <v>24073.1</v>
      </c>
      <c r="I1355" s="465">
        <v>0</v>
      </c>
      <c r="J1355" s="493">
        <f>IF(C1355=0,0,ROUNDDOWN(I1355*C1355/100,1))</f>
        <v>0</v>
      </c>
      <c r="K1355" s="467">
        <v>0</v>
      </c>
      <c r="L1355" s="493">
        <f>IF(C1355=0,0,ROUNDDOWN(K1355*C1355/100,1))</f>
        <v>0</v>
      </c>
      <c r="M1355" s="463"/>
      <c r="N1355" s="451" t="s">
        <v>2508</v>
      </c>
      <c r="O1355" s="468" t="s">
        <v>2373</v>
      </c>
      <c r="P1355" s="468" t="s">
        <v>2354</v>
      </c>
    </row>
    <row r="1356" spans="1:26" ht="33.200000000000003" customHeight="1">
      <c r="A1356" s="463" t="s">
        <v>842</v>
      </c>
      <c r="B1356" s="497"/>
      <c r="C1356" s="497"/>
      <c r="D1356" s="497"/>
      <c r="E1356" s="497"/>
      <c r="F1356" s="446">
        <f>J1356+H1356+L1356</f>
        <v>120645</v>
      </c>
      <c r="G1356" s="497"/>
      <c r="H1356" s="446">
        <f>ROUNDDOWN(SUMIF(P1351:P1355,O1356,H1351:H1355),0)</f>
        <v>120365</v>
      </c>
      <c r="I1356" s="497"/>
      <c r="J1356" s="446">
        <f>ROUNDDOWN(SUMIF(P1351:P1355,O1356,J1351:J1355),0)</f>
        <v>0</v>
      </c>
      <c r="K1356" s="497"/>
      <c r="L1356" s="446">
        <f>ROUNDDOWN(SUMIF(P1351:P1355,O1356,L1351:L1355),0)</f>
        <v>280</v>
      </c>
      <c r="M1356" s="497"/>
      <c r="O1356" s="468" t="s">
        <v>2354</v>
      </c>
    </row>
    <row r="1357" spans="1:26" ht="33.200000000000003" customHeight="1">
      <c r="A1357" s="484" t="s">
        <v>3090</v>
      </c>
      <c r="B1357" s="484"/>
      <c r="C1357" s="485"/>
      <c r="D1357" s="485"/>
      <c r="E1357" s="485"/>
      <c r="F1357" s="485"/>
      <c r="G1357" s="485"/>
      <c r="H1357" s="485"/>
      <c r="I1357" s="485"/>
      <c r="J1357" s="485"/>
      <c r="K1357" s="485"/>
      <c r="L1357" s="485"/>
      <c r="M1357" s="485"/>
      <c r="N1357" s="486" t="str">
        <f>HYPERLINK("#N"&amp;ROW(N1363),"_x0005_`BDCOD|B02642_x0007_`POSS|"&amp;ROW(N1359)&amp;"_x0007_`POSE|"&amp;ROW(N1363)&amp;"_x0007_`")</f>
        <v>_x0005_`BDCOD|B02642_x0007_`POSS|1359_x0007_`POSE|1363_x0007_`</v>
      </c>
    </row>
    <row r="1358" spans="1:26" ht="33.200000000000003" customHeight="1">
      <c r="A1358" s="469" t="s">
        <v>5271</v>
      </c>
      <c r="B1358" s="469" t="s">
        <v>1736</v>
      </c>
      <c r="C1358" s="487"/>
      <c r="D1358" s="488" t="s">
        <v>975</v>
      </c>
      <c r="E1358" s="487"/>
      <c r="F1358" s="487"/>
      <c r="G1358" s="487"/>
      <c r="H1358" s="487"/>
      <c r="I1358" s="487"/>
      <c r="J1358" s="487"/>
      <c r="K1358" s="487"/>
      <c r="L1358" s="487"/>
      <c r="M1358" s="488" t="s">
        <v>1737</v>
      </c>
      <c r="O1358" s="468" t="s">
        <v>1737</v>
      </c>
    </row>
    <row r="1359" spans="1:26" ht="33.200000000000003" customHeight="1">
      <c r="A1359" s="452" t="s">
        <v>2484</v>
      </c>
      <c r="B1359" s="452" t="s">
        <v>2485</v>
      </c>
      <c r="C1359" s="489">
        <v>0.25</v>
      </c>
      <c r="D1359" s="480" t="s">
        <v>8</v>
      </c>
      <c r="E1359" s="490">
        <f t="shared" ref="E1359:F1363" si="207">I1359+G1359+K1359</f>
        <v>62811</v>
      </c>
      <c r="F1359" s="493">
        <f t="shared" si="207"/>
        <v>15702.7</v>
      </c>
      <c r="G1359" s="494">
        <f>단가산출근거목록표!F157</f>
        <v>62811</v>
      </c>
      <c r="H1359" s="498">
        <f>IF(C1359=0,0,ROUNDDOWN(G1359*C1359,1))</f>
        <v>15702.7</v>
      </c>
      <c r="I1359" s="494">
        <f>단가산출근거목록표!G157</f>
        <v>0</v>
      </c>
      <c r="J1359" s="498">
        <f>IF(C1359=0,0,ROUNDDOWN(I1359*C1359,1))</f>
        <v>0</v>
      </c>
      <c r="K1359" s="494">
        <f>단가산출근거목록표!H157</f>
        <v>0</v>
      </c>
      <c r="L1359" s="498">
        <f>IF(C1359=0,0,ROUNDDOWN(K1359*C1359,1))</f>
        <v>0</v>
      </c>
      <c r="M1359" s="463" t="s">
        <v>2486</v>
      </c>
      <c r="N1359" s="451" t="s">
        <v>2487</v>
      </c>
      <c r="O1359" s="468" t="s">
        <v>2488</v>
      </c>
      <c r="P1359" s="468" t="s">
        <v>2354</v>
      </c>
      <c r="Q1359" s="468" t="s">
        <v>2355</v>
      </c>
      <c r="Z1359" s="433" t="str">
        <f ca="1">HYPERLINK("#"&amp;단가산출근거목록표!J2&amp;"!A"&amp;ROW(단가산출근거목록표!A157),"D01241 →")</f>
        <v>D01241 →</v>
      </c>
    </row>
    <row r="1360" spans="1:26" ht="33.200000000000003" customHeight="1">
      <c r="A1360" s="452" t="s">
        <v>2298</v>
      </c>
      <c r="B1360" s="452" t="s">
        <v>2299</v>
      </c>
      <c r="C1360" s="489">
        <v>0.20200000000000001</v>
      </c>
      <c r="D1360" s="480" t="s">
        <v>8</v>
      </c>
      <c r="E1360" s="490">
        <f t="shared" si="207"/>
        <v>24089</v>
      </c>
      <c r="F1360" s="493">
        <f t="shared" si="207"/>
        <v>4865.8999999999996</v>
      </c>
      <c r="G1360" s="494">
        <f>일위대가목록표!F37</f>
        <v>24089</v>
      </c>
      <c r="H1360" s="498">
        <f>IF(C1360=0,0,ROUNDDOWN(G1360*C1360,1))</f>
        <v>4865.8999999999996</v>
      </c>
      <c r="I1360" s="494">
        <f>일위대가목록표!G37</f>
        <v>0</v>
      </c>
      <c r="J1360" s="498">
        <f>IF(C1360=0,0,ROUNDDOWN(I1360*C1360,1))</f>
        <v>0</v>
      </c>
      <c r="K1360" s="494">
        <f>일위대가목록표!H37</f>
        <v>0</v>
      </c>
      <c r="L1360" s="498">
        <f>IF(C1360=0,0,ROUNDDOWN(K1360*C1360,1))</f>
        <v>0</v>
      </c>
      <c r="M1360" s="463" t="s">
        <v>2492</v>
      </c>
      <c r="N1360" s="451" t="s">
        <v>2493</v>
      </c>
      <c r="O1360" s="468" t="s">
        <v>2494</v>
      </c>
      <c r="P1360" s="468" t="s">
        <v>2354</v>
      </c>
      <c r="Q1360" s="468" t="s">
        <v>2355</v>
      </c>
      <c r="Z1360" s="433" t="str">
        <f ca="1">HYPERLINK("#"&amp;일위대가목록표!J2&amp;"!A"&amp;ROW(일위대가목록표!A37),"B01447 →")</f>
        <v>B01447 →</v>
      </c>
    </row>
    <row r="1361" spans="1:26" ht="33.200000000000003" customHeight="1">
      <c r="A1361" s="452" t="s">
        <v>1793</v>
      </c>
      <c r="B1361" s="452" t="s">
        <v>1789</v>
      </c>
      <c r="C1361" s="489">
        <v>4.8000000000000001E-2</v>
      </c>
      <c r="D1361" s="480" t="s">
        <v>8</v>
      </c>
      <c r="E1361" s="490">
        <f t="shared" si="207"/>
        <v>233588</v>
      </c>
      <c r="F1361" s="493">
        <f t="shared" si="207"/>
        <v>11212.1</v>
      </c>
      <c r="G1361" s="494">
        <f>단가산출근거목록표!F152</f>
        <v>228399</v>
      </c>
      <c r="H1361" s="498">
        <f>IF(C1361=0,0,ROUNDDOWN(G1361*C1361,1))</f>
        <v>10963.1</v>
      </c>
      <c r="I1361" s="494">
        <f>단가산출근거목록표!G152</f>
        <v>0</v>
      </c>
      <c r="J1361" s="498">
        <f>IF(C1361=0,0,ROUNDDOWN(I1361*C1361,1))</f>
        <v>0</v>
      </c>
      <c r="K1361" s="494">
        <f>단가산출근거목록표!H152</f>
        <v>5189</v>
      </c>
      <c r="L1361" s="498">
        <f>IF(C1361=0,0,ROUNDDOWN(K1361*C1361,1))</f>
        <v>249</v>
      </c>
      <c r="M1361" s="463" t="s">
        <v>2594</v>
      </c>
      <c r="N1361" s="451" t="s">
        <v>2595</v>
      </c>
      <c r="O1361" s="468" t="s">
        <v>1796</v>
      </c>
      <c r="P1361" s="468" t="s">
        <v>2354</v>
      </c>
      <c r="Q1361" s="468" t="s">
        <v>2355</v>
      </c>
      <c r="Z1361" s="433" t="str">
        <f ca="1">HYPERLINK("#"&amp;단가산출근거목록표!J2&amp;"!A"&amp;ROW(단가산출근거목록표!A152),"D01242 →")</f>
        <v>D01242 →</v>
      </c>
    </row>
    <row r="1362" spans="1:26" ht="33.200000000000003" customHeight="1">
      <c r="A1362" s="452" t="s">
        <v>1466</v>
      </c>
      <c r="B1362" s="452" t="s">
        <v>1467</v>
      </c>
      <c r="C1362" s="489">
        <v>0.78700000000000003</v>
      </c>
      <c r="D1362" s="480" t="s">
        <v>8</v>
      </c>
      <c r="E1362" s="490">
        <f t="shared" si="207"/>
        <v>274515</v>
      </c>
      <c r="F1362" s="493">
        <f t="shared" si="207"/>
        <v>216043.3</v>
      </c>
      <c r="G1362" s="494">
        <f>일위대가목록표!F73</f>
        <v>274515</v>
      </c>
      <c r="H1362" s="498">
        <f>IF(C1362=0,0,ROUNDDOWN(G1362*C1362,1))</f>
        <v>216043.3</v>
      </c>
      <c r="I1362" s="494">
        <f>일위대가목록표!G73</f>
        <v>0</v>
      </c>
      <c r="J1362" s="498">
        <f>IF(C1362=0,0,ROUNDDOWN(I1362*C1362,1))</f>
        <v>0</v>
      </c>
      <c r="K1362" s="494">
        <f>일위대가목록표!H73</f>
        <v>0</v>
      </c>
      <c r="L1362" s="498">
        <f>IF(C1362=0,0,ROUNDDOWN(K1362*C1362,1))</f>
        <v>0</v>
      </c>
      <c r="M1362" s="463" t="s">
        <v>2596</v>
      </c>
      <c r="N1362" s="451" t="s">
        <v>2597</v>
      </c>
      <c r="O1362" s="468" t="s">
        <v>1470</v>
      </c>
      <c r="P1362" s="468" t="s">
        <v>2354</v>
      </c>
      <c r="Q1362" s="468" t="s">
        <v>2355</v>
      </c>
      <c r="Z1362" s="433" t="str">
        <f ca="1">HYPERLINK("#"&amp;일위대가목록표!J2&amp;"!A"&amp;ROW(일위대가목록표!A73),"B02396 →")</f>
        <v>B02396 →</v>
      </c>
    </row>
    <row r="1363" spans="1:26" ht="33.200000000000003" customHeight="1">
      <c r="A1363" s="452" t="s">
        <v>2507</v>
      </c>
      <c r="B1363" s="452" t="s">
        <v>2441</v>
      </c>
      <c r="C1363" s="489">
        <v>25</v>
      </c>
      <c r="D1363" s="480" t="s">
        <v>2371</v>
      </c>
      <c r="E1363" s="490">
        <f t="shared" si="207"/>
        <v>247575</v>
      </c>
      <c r="F1363" s="491">
        <f t="shared" si="207"/>
        <v>61893.7</v>
      </c>
      <c r="G1363" s="496">
        <f>H1359+H1360+H1361+H1362</f>
        <v>247575</v>
      </c>
      <c r="H1363" s="491">
        <f>IF(C1363=0,0,ROUNDDOWN(G1363*C1363/100,1))</f>
        <v>61893.7</v>
      </c>
      <c r="I1363" s="465">
        <v>0</v>
      </c>
      <c r="J1363" s="493">
        <f>IF(C1363=0,0,ROUNDDOWN(I1363*C1363/100,1))</f>
        <v>0</v>
      </c>
      <c r="K1363" s="467">
        <v>0</v>
      </c>
      <c r="L1363" s="493">
        <f>IF(C1363=0,0,ROUNDDOWN(K1363*C1363/100,1))</f>
        <v>0</v>
      </c>
      <c r="M1363" s="463"/>
      <c r="N1363" s="451" t="s">
        <v>2508</v>
      </c>
      <c r="O1363" s="468" t="s">
        <v>2373</v>
      </c>
      <c r="P1363" s="468" t="s">
        <v>2354</v>
      </c>
    </row>
    <row r="1364" spans="1:26" ht="33.200000000000003" customHeight="1">
      <c r="A1364" s="463" t="s">
        <v>842</v>
      </c>
      <c r="B1364" s="497"/>
      <c r="C1364" s="497"/>
      <c r="D1364" s="497"/>
      <c r="E1364" s="497"/>
      <c r="F1364" s="446">
        <f>J1364+H1364+L1364</f>
        <v>309717</v>
      </c>
      <c r="G1364" s="497"/>
      <c r="H1364" s="446">
        <f>ROUNDDOWN(SUMIF(P1359:P1363,O1364,H1359:H1363),0)</f>
        <v>309468</v>
      </c>
      <c r="I1364" s="497"/>
      <c r="J1364" s="446">
        <f>ROUNDDOWN(SUMIF(P1359:P1363,O1364,J1359:J1363),0)</f>
        <v>0</v>
      </c>
      <c r="K1364" s="497"/>
      <c r="L1364" s="446">
        <f>ROUNDDOWN(SUMIF(P1359:P1363,O1364,L1359:L1363),0)</f>
        <v>249</v>
      </c>
      <c r="M1364" s="497"/>
      <c r="O1364" s="468" t="s">
        <v>2354</v>
      </c>
    </row>
    <row r="1365" spans="1:26" ht="33.200000000000003" customHeight="1">
      <c r="A1365" s="484" t="s">
        <v>3091</v>
      </c>
      <c r="B1365" s="484"/>
      <c r="C1365" s="485"/>
      <c r="D1365" s="485"/>
      <c r="E1365" s="485"/>
      <c r="F1365" s="485"/>
      <c r="G1365" s="485"/>
      <c r="H1365" s="485"/>
      <c r="I1365" s="485"/>
      <c r="J1365" s="485"/>
      <c r="K1365" s="485"/>
      <c r="L1365" s="485"/>
      <c r="M1365" s="485"/>
      <c r="N1365" s="486" t="str">
        <f>HYPERLINK("#N"&amp;ROW(N1370),"_x0005_`BDCOD|B02640_x0007_`POSS|"&amp;ROW(N1367)&amp;"_x0007_`POSE|"&amp;ROW(N1370)&amp;"_x0007_`")</f>
        <v>_x0005_`BDCOD|B02640_x0007_`POSS|1367_x0007_`POSE|1370_x0007_`</v>
      </c>
    </row>
    <row r="1366" spans="1:26" ht="33.200000000000003" customHeight="1">
      <c r="A1366" s="469" t="s">
        <v>5271</v>
      </c>
      <c r="B1366" s="469" t="s">
        <v>1724</v>
      </c>
      <c r="C1366" s="487"/>
      <c r="D1366" s="488" t="s">
        <v>975</v>
      </c>
      <c r="E1366" s="487"/>
      <c r="F1366" s="487"/>
      <c r="G1366" s="487"/>
      <c r="H1366" s="487"/>
      <c r="I1366" s="487"/>
      <c r="J1366" s="487"/>
      <c r="K1366" s="487"/>
      <c r="L1366" s="487"/>
      <c r="M1366" s="488" t="s">
        <v>1725</v>
      </c>
      <c r="O1366" s="468" t="s">
        <v>1725</v>
      </c>
    </row>
    <row r="1367" spans="1:26" ht="33.200000000000003" customHeight="1">
      <c r="A1367" s="452" t="s">
        <v>2484</v>
      </c>
      <c r="B1367" s="452" t="s">
        <v>2485</v>
      </c>
      <c r="C1367" s="489">
        <v>8.1000000000000003E-2</v>
      </c>
      <c r="D1367" s="480" t="s">
        <v>8</v>
      </c>
      <c r="E1367" s="490">
        <f t="shared" ref="E1367:F1370" si="208">I1367+G1367+K1367</f>
        <v>62811</v>
      </c>
      <c r="F1367" s="493">
        <f t="shared" si="208"/>
        <v>5087.6000000000004</v>
      </c>
      <c r="G1367" s="494">
        <f>단가산출근거목록표!F157</f>
        <v>62811</v>
      </c>
      <c r="H1367" s="498">
        <f>IF(C1367=0,0,ROUNDDOWN(G1367*C1367,1))</f>
        <v>5087.6000000000004</v>
      </c>
      <c r="I1367" s="494">
        <f>단가산출근거목록표!G157</f>
        <v>0</v>
      </c>
      <c r="J1367" s="498">
        <f>IF(C1367=0,0,ROUNDDOWN(I1367*C1367,1))</f>
        <v>0</v>
      </c>
      <c r="K1367" s="494">
        <f>단가산출근거목록표!H157</f>
        <v>0</v>
      </c>
      <c r="L1367" s="498">
        <f>IF(C1367=0,0,ROUNDDOWN(K1367*C1367,1))</f>
        <v>0</v>
      </c>
      <c r="M1367" s="463" t="s">
        <v>2486</v>
      </c>
      <c r="N1367" s="451" t="s">
        <v>2487</v>
      </c>
      <c r="O1367" s="468" t="s">
        <v>2488</v>
      </c>
      <c r="P1367" s="468" t="s">
        <v>2354</v>
      </c>
      <c r="Q1367" s="468" t="s">
        <v>2355</v>
      </c>
      <c r="Z1367" s="433" t="str">
        <f ca="1">HYPERLINK("#"&amp;단가산출근거목록표!J2&amp;"!A"&amp;ROW(단가산출근거목록표!A157),"D01241 →")</f>
        <v>D01241 →</v>
      </c>
    </row>
    <row r="1368" spans="1:26" ht="33.200000000000003" customHeight="1">
      <c r="A1368" s="452" t="s">
        <v>1793</v>
      </c>
      <c r="B1368" s="452" t="s">
        <v>1789</v>
      </c>
      <c r="C1368" s="489">
        <v>2.7E-2</v>
      </c>
      <c r="D1368" s="480" t="s">
        <v>8</v>
      </c>
      <c r="E1368" s="490">
        <f t="shared" si="208"/>
        <v>233588</v>
      </c>
      <c r="F1368" s="493">
        <f t="shared" si="208"/>
        <v>6306.8</v>
      </c>
      <c r="G1368" s="494">
        <f>단가산출근거목록표!F152</f>
        <v>228399</v>
      </c>
      <c r="H1368" s="498">
        <f>IF(C1368=0,0,ROUNDDOWN(G1368*C1368,1))</f>
        <v>6166.7</v>
      </c>
      <c r="I1368" s="494">
        <f>단가산출근거목록표!G152</f>
        <v>0</v>
      </c>
      <c r="J1368" s="498">
        <f>IF(C1368=0,0,ROUNDDOWN(I1368*C1368,1))</f>
        <v>0</v>
      </c>
      <c r="K1368" s="494">
        <f>단가산출근거목록표!H152</f>
        <v>5189</v>
      </c>
      <c r="L1368" s="498">
        <f>IF(C1368=0,0,ROUNDDOWN(K1368*C1368,1))</f>
        <v>140.1</v>
      </c>
      <c r="M1368" s="463" t="s">
        <v>2594</v>
      </c>
      <c r="N1368" s="451" t="s">
        <v>2595</v>
      </c>
      <c r="O1368" s="468" t="s">
        <v>1796</v>
      </c>
      <c r="P1368" s="468" t="s">
        <v>2354</v>
      </c>
      <c r="Q1368" s="468" t="s">
        <v>2355</v>
      </c>
      <c r="Z1368" s="433" t="str">
        <f ca="1">HYPERLINK("#"&amp;단가산출근거목록표!J2&amp;"!A"&amp;ROW(단가산출근거목록표!A152),"D01242 →")</f>
        <v>D01242 →</v>
      </c>
    </row>
    <row r="1369" spans="1:26" ht="33.200000000000003" customHeight="1">
      <c r="A1369" s="452" t="s">
        <v>1466</v>
      </c>
      <c r="B1369" s="452" t="s">
        <v>1467</v>
      </c>
      <c r="C1369" s="489">
        <v>4.4999999999999998E-2</v>
      </c>
      <c r="D1369" s="480" t="s">
        <v>8</v>
      </c>
      <c r="E1369" s="490">
        <f t="shared" si="208"/>
        <v>274515</v>
      </c>
      <c r="F1369" s="493">
        <f t="shared" si="208"/>
        <v>12353.1</v>
      </c>
      <c r="G1369" s="494">
        <f>일위대가목록표!F73</f>
        <v>274515</v>
      </c>
      <c r="H1369" s="498">
        <f>IF(C1369=0,0,ROUNDDOWN(G1369*C1369,1))</f>
        <v>12353.1</v>
      </c>
      <c r="I1369" s="494">
        <f>일위대가목록표!G73</f>
        <v>0</v>
      </c>
      <c r="J1369" s="498">
        <f>IF(C1369=0,0,ROUNDDOWN(I1369*C1369,1))</f>
        <v>0</v>
      </c>
      <c r="K1369" s="494">
        <f>일위대가목록표!H73</f>
        <v>0</v>
      </c>
      <c r="L1369" s="498">
        <f>IF(C1369=0,0,ROUNDDOWN(K1369*C1369,1))</f>
        <v>0</v>
      </c>
      <c r="M1369" s="463" t="s">
        <v>2596</v>
      </c>
      <c r="N1369" s="451" t="s">
        <v>2597</v>
      </c>
      <c r="O1369" s="468" t="s">
        <v>1470</v>
      </c>
      <c r="P1369" s="468" t="s">
        <v>2354</v>
      </c>
      <c r="Q1369" s="468" t="s">
        <v>2355</v>
      </c>
      <c r="Z1369" s="433" t="str">
        <f ca="1">HYPERLINK("#"&amp;일위대가목록표!J2&amp;"!A"&amp;ROW(일위대가목록표!A73),"B02396 →")</f>
        <v>B02396 →</v>
      </c>
    </row>
    <row r="1370" spans="1:26" ht="33.200000000000003" customHeight="1">
      <c r="A1370" s="452" t="s">
        <v>2507</v>
      </c>
      <c r="B1370" s="452" t="s">
        <v>2441</v>
      </c>
      <c r="C1370" s="489">
        <v>25</v>
      </c>
      <c r="D1370" s="480" t="s">
        <v>2371</v>
      </c>
      <c r="E1370" s="490">
        <f t="shared" si="208"/>
        <v>23607.4</v>
      </c>
      <c r="F1370" s="491">
        <f t="shared" si="208"/>
        <v>5901.8</v>
      </c>
      <c r="G1370" s="496">
        <f>H1367+H1368+H1369</f>
        <v>23607.4</v>
      </c>
      <c r="H1370" s="491">
        <f>IF(C1370=0,0,ROUNDDOWN(G1370*C1370/100,1))</f>
        <v>5901.8</v>
      </c>
      <c r="I1370" s="465">
        <v>0</v>
      </c>
      <c r="J1370" s="493">
        <f>IF(C1370=0,0,ROUNDDOWN(I1370*C1370/100,1))</f>
        <v>0</v>
      </c>
      <c r="K1370" s="467">
        <v>0</v>
      </c>
      <c r="L1370" s="493">
        <f>IF(C1370=0,0,ROUNDDOWN(K1370*C1370/100,1))</f>
        <v>0</v>
      </c>
      <c r="M1370" s="463"/>
      <c r="N1370" s="451" t="s">
        <v>2508</v>
      </c>
      <c r="O1370" s="468" t="s">
        <v>2373</v>
      </c>
      <c r="P1370" s="468" t="s">
        <v>2354</v>
      </c>
    </row>
    <row r="1371" spans="1:26" ht="33.200000000000003" customHeight="1">
      <c r="A1371" s="463" t="s">
        <v>842</v>
      </c>
      <c r="B1371" s="497"/>
      <c r="C1371" s="497"/>
      <c r="D1371" s="497"/>
      <c r="E1371" s="497"/>
      <c r="F1371" s="446">
        <f>J1371+H1371+L1371</f>
        <v>29649</v>
      </c>
      <c r="G1371" s="497"/>
      <c r="H1371" s="446">
        <f>ROUNDDOWN(SUMIF(P1367:P1370,O1371,H1367:H1370),0)</f>
        <v>29509</v>
      </c>
      <c r="I1371" s="497"/>
      <c r="J1371" s="446">
        <f>ROUNDDOWN(SUMIF(P1367:P1370,O1371,J1367:J1370),0)</f>
        <v>0</v>
      </c>
      <c r="K1371" s="497"/>
      <c r="L1371" s="446">
        <f>ROUNDDOWN(SUMIF(P1367:P1370,O1371,L1367:L1370),0)</f>
        <v>140</v>
      </c>
      <c r="M1371" s="497"/>
      <c r="O1371" s="468" t="s">
        <v>2354</v>
      </c>
    </row>
    <row r="1372" spans="1:26" ht="33.200000000000003" customHeight="1">
      <c r="A1372" s="484" t="s">
        <v>3092</v>
      </c>
      <c r="B1372" s="484"/>
      <c r="C1372" s="485"/>
      <c r="D1372" s="485"/>
      <c r="E1372" s="485"/>
      <c r="F1372" s="485"/>
      <c r="G1372" s="485"/>
      <c r="H1372" s="485"/>
      <c r="I1372" s="485"/>
      <c r="J1372" s="485"/>
      <c r="K1372" s="485"/>
      <c r="L1372" s="485"/>
      <c r="M1372" s="485"/>
      <c r="N1372" s="486" t="str">
        <f>HYPERLINK("#N"&amp;ROW(N1390),"_x0005_`BDCOD|B02474_x0007_`POSS|"&amp;ROW(N1374)&amp;"_x0007_`POSE|"&amp;ROW(N1390)&amp;"_x0007_`")</f>
        <v>_x0005_`BDCOD|B02474_x0007_`POSS|1374_x0007_`POSE|1390_x0007_`</v>
      </c>
    </row>
    <row r="1373" spans="1:26" ht="33.200000000000003" customHeight="1">
      <c r="A1373" s="469" t="s">
        <v>970</v>
      </c>
      <c r="B1373" s="469" t="s">
        <v>965</v>
      </c>
      <c r="C1373" s="487"/>
      <c r="D1373" s="488" t="s">
        <v>966</v>
      </c>
      <c r="E1373" s="487"/>
      <c r="F1373" s="487"/>
      <c r="G1373" s="487"/>
      <c r="H1373" s="487"/>
      <c r="I1373" s="487"/>
      <c r="J1373" s="487"/>
      <c r="K1373" s="487"/>
      <c r="L1373" s="487"/>
      <c r="M1373" s="488" t="s">
        <v>971</v>
      </c>
      <c r="O1373" s="468" t="s">
        <v>971</v>
      </c>
    </row>
    <row r="1374" spans="1:26" ht="33.200000000000003" customHeight="1">
      <c r="A1374" s="452" t="s">
        <v>2484</v>
      </c>
      <c r="B1374" s="452" t="s">
        <v>2485</v>
      </c>
      <c r="C1374" s="489">
        <v>0.112</v>
      </c>
      <c r="D1374" s="480" t="s">
        <v>8</v>
      </c>
      <c r="E1374" s="490">
        <f t="shared" ref="E1374:F1390" si="209">I1374+G1374+K1374</f>
        <v>62811</v>
      </c>
      <c r="F1374" s="493">
        <f t="shared" si="209"/>
        <v>7034.8</v>
      </c>
      <c r="G1374" s="494">
        <f>단가산출근거목록표!F157</f>
        <v>62811</v>
      </c>
      <c r="H1374" s="498">
        <f t="shared" ref="H1374:H1390" si="210">IF(C1374=0,0,ROUNDDOWN(G1374*C1374,1))</f>
        <v>7034.8</v>
      </c>
      <c r="I1374" s="494">
        <f>단가산출근거목록표!G157</f>
        <v>0</v>
      </c>
      <c r="J1374" s="498">
        <f t="shared" ref="J1374:J1390" si="211">IF(C1374=0,0,ROUNDDOWN(I1374*C1374,1))</f>
        <v>0</v>
      </c>
      <c r="K1374" s="494">
        <f>단가산출근거목록표!H157</f>
        <v>0</v>
      </c>
      <c r="L1374" s="498">
        <f t="shared" ref="L1374:L1390" si="212">IF(C1374=0,0,ROUNDDOWN(K1374*C1374,1))</f>
        <v>0</v>
      </c>
      <c r="M1374" s="463" t="s">
        <v>2486</v>
      </c>
      <c r="N1374" s="451" t="s">
        <v>2504</v>
      </c>
      <c r="O1374" s="468" t="s">
        <v>2488</v>
      </c>
      <c r="P1374" s="468" t="s">
        <v>2354</v>
      </c>
      <c r="Z1374" s="433" t="str">
        <f ca="1">HYPERLINK("#"&amp;단가산출근거목록표!J2&amp;"!A"&amp;ROW(단가산출근거목록표!A157),"D01241 →")</f>
        <v>D01241 →</v>
      </c>
    </row>
    <row r="1375" spans="1:26" ht="33.200000000000003" customHeight="1">
      <c r="A1375" s="452" t="s">
        <v>2321</v>
      </c>
      <c r="B1375" s="452" t="s">
        <v>2322</v>
      </c>
      <c r="C1375" s="489">
        <v>2.9000000000000001E-2</v>
      </c>
      <c r="D1375" s="480" t="s">
        <v>8</v>
      </c>
      <c r="E1375" s="490">
        <f t="shared" si="209"/>
        <v>34413</v>
      </c>
      <c r="F1375" s="493">
        <f t="shared" si="209"/>
        <v>997.9</v>
      </c>
      <c r="G1375" s="494">
        <f>일위대가목록표!F275</f>
        <v>34413</v>
      </c>
      <c r="H1375" s="498">
        <f t="shared" si="210"/>
        <v>997.9</v>
      </c>
      <c r="I1375" s="494">
        <f>일위대가목록표!G275</f>
        <v>0</v>
      </c>
      <c r="J1375" s="498">
        <f t="shared" si="211"/>
        <v>0</v>
      </c>
      <c r="K1375" s="494">
        <f>일위대가목록표!H275</f>
        <v>0</v>
      </c>
      <c r="L1375" s="498">
        <f t="shared" si="212"/>
        <v>0</v>
      </c>
      <c r="M1375" s="463" t="s">
        <v>2489</v>
      </c>
      <c r="N1375" s="451" t="s">
        <v>2538</v>
      </c>
      <c r="O1375" s="468" t="s">
        <v>2491</v>
      </c>
      <c r="P1375" s="468" t="s">
        <v>2354</v>
      </c>
      <c r="Z1375" s="433" t="str">
        <f ca="1">HYPERLINK("#"&amp;일위대가목록표!J2&amp;"!A"&amp;ROW(일위대가목록표!A275),"B01414 →")</f>
        <v>B01414 →</v>
      </c>
    </row>
    <row r="1376" spans="1:26" ht="33.200000000000003" customHeight="1">
      <c r="A1376" s="452" t="s">
        <v>2298</v>
      </c>
      <c r="B1376" s="452" t="s">
        <v>2299</v>
      </c>
      <c r="C1376" s="489">
        <v>8.3000000000000004E-2</v>
      </c>
      <c r="D1376" s="480" t="s">
        <v>8</v>
      </c>
      <c r="E1376" s="490">
        <f t="shared" si="209"/>
        <v>24089</v>
      </c>
      <c r="F1376" s="493">
        <f t="shared" si="209"/>
        <v>1999.3</v>
      </c>
      <c r="G1376" s="494">
        <f>일위대가목록표!F37</f>
        <v>24089</v>
      </c>
      <c r="H1376" s="498">
        <f t="shared" si="210"/>
        <v>1999.3</v>
      </c>
      <c r="I1376" s="494">
        <f>일위대가목록표!G37</f>
        <v>0</v>
      </c>
      <c r="J1376" s="498">
        <f t="shared" si="211"/>
        <v>0</v>
      </c>
      <c r="K1376" s="494">
        <f>일위대가목록표!H37</f>
        <v>0</v>
      </c>
      <c r="L1376" s="498">
        <f t="shared" si="212"/>
        <v>0</v>
      </c>
      <c r="M1376" s="463" t="s">
        <v>2492</v>
      </c>
      <c r="N1376" s="451" t="s">
        <v>2537</v>
      </c>
      <c r="O1376" s="468" t="s">
        <v>2494</v>
      </c>
      <c r="P1376" s="468" t="s">
        <v>2354</v>
      </c>
      <c r="Z1376" s="433" t="str">
        <f ca="1">HYPERLINK("#"&amp;일위대가목록표!J2&amp;"!A"&amp;ROW(일위대가목록표!A37),"B01447 →")</f>
        <v>B01447 →</v>
      </c>
    </row>
    <row r="1377" spans="1:26" ht="33.200000000000003" customHeight="1">
      <c r="A1377" s="452" t="s">
        <v>2342</v>
      </c>
      <c r="B1377" s="452" t="s">
        <v>2343</v>
      </c>
      <c r="C1377" s="489">
        <v>2.5000000000000001E-2</v>
      </c>
      <c r="D1377" s="480" t="s">
        <v>8</v>
      </c>
      <c r="E1377" s="490">
        <f t="shared" si="209"/>
        <v>477254</v>
      </c>
      <c r="F1377" s="493">
        <f t="shared" si="209"/>
        <v>11931.3</v>
      </c>
      <c r="G1377" s="494">
        <f>일위대가목록표!F330</f>
        <v>373604</v>
      </c>
      <c r="H1377" s="498">
        <f t="shared" si="210"/>
        <v>9340.1</v>
      </c>
      <c r="I1377" s="494">
        <f>일위대가목록표!G330</f>
        <v>103650</v>
      </c>
      <c r="J1377" s="498">
        <f t="shared" si="211"/>
        <v>2591.1999999999998</v>
      </c>
      <c r="K1377" s="494">
        <f>일위대가목록표!H330</f>
        <v>0</v>
      </c>
      <c r="L1377" s="498">
        <f t="shared" si="212"/>
        <v>0</v>
      </c>
      <c r="M1377" s="463" t="s">
        <v>2500</v>
      </c>
      <c r="N1377" s="451" t="s">
        <v>2910</v>
      </c>
      <c r="O1377" s="468" t="s">
        <v>2502</v>
      </c>
      <c r="P1377" s="468" t="s">
        <v>2354</v>
      </c>
      <c r="Z1377" s="433" t="str">
        <f ca="1">HYPERLINK("#"&amp;일위대가목록표!J2&amp;"!A"&amp;ROW(일위대가목록표!A330),"B01936 →")</f>
        <v>B01936 →</v>
      </c>
    </row>
    <row r="1378" spans="1:26" ht="33.200000000000003" customHeight="1">
      <c r="A1378" s="452" t="s">
        <v>2495</v>
      </c>
      <c r="B1378" s="452" t="s">
        <v>2496</v>
      </c>
      <c r="C1378" s="489">
        <v>0.36</v>
      </c>
      <c r="D1378" s="480" t="s">
        <v>595</v>
      </c>
      <c r="E1378" s="490">
        <f t="shared" si="209"/>
        <v>46533</v>
      </c>
      <c r="F1378" s="493">
        <f t="shared" si="209"/>
        <v>16751.7</v>
      </c>
      <c r="G1378" s="494">
        <f>단가산출근거목록표!F169</f>
        <v>34461</v>
      </c>
      <c r="H1378" s="498">
        <f t="shared" si="210"/>
        <v>12405.9</v>
      </c>
      <c r="I1378" s="494">
        <f>단가산출근거목록표!G169</f>
        <v>11728</v>
      </c>
      <c r="J1378" s="498">
        <f t="shared" si="211"/>
        <v>4222</v>
      </c>
      <c r="K1378" s="494">
        <f>단가산출근거목록표!H169</f>
        <v>344</v>
      </c>
      <c r="L1378" s="498">
        <f t="shared" si="212"/>
        <v>123.8</v>
      </c>
      <c r="M1378" s="463" t="s">
        <v>2497</v>
      </c>
      <c r="N1378" s="451" t="s">
        <v>2565</v>
      </c>
      <c r="O1378" s="468" t="s">
        <v>2499</v>
      </c>
      <c r="P1378" s="468" t="s">
        <v>2354</v>
      </c>
      <c r="Z1378" s="433" t="str">
        <f ca="1">HYPERLINK("#"&amp;단가산출근거목록표!J2&amp;"!A"&amp;ROW(단가산출근거목록표!A169),"D01231 →")</f>
        <v>D01231 →</v>
      </c>
    </row>
    <row r="1379" spans="1:26" ht="33.200000000000003" customHeight="1">
      <c r="A1379" s="452" t="s">
        <v>2911</v>
      </c>
      <c r="B1379" s="452" t="s">
        <v>2912</v>
      </c>
      <c r="C1379" s="489">
        <v>0.53</v>
      </c>
      <c r="D1379" s="480" t="s">
        <v>911</v>
      </c>
      <c r="E1379" s="490">
        <f t="shared" si="209"/>
        <v>14910</v>
      </c>
      <c r="F1379" s="491">
        <f t="shared" si="209"/>
        <v>7902.3</v>
      </c>
      <c r="G1379" s="492">
        <v>0</v>
      </c>
      <c r="H1379" s="493">
        <f t="shared" si="210"/>
        <v>0</v>
      </c>
      <c r="I1379" s="494">
        <f>재료비목록표!E21</f>
        <v>14910</v>
      </c>
      <c r="J1379" s="495">
        <f t="shared" si="211"/>
        <v>7902.3</v>
      </c>
      <c r="K1379" s="492">
        <v>0</v>
      </c>
      <c r="L1379" s="493">
        <f t="shared" si="212"/>
        <v>0</v>
      </c>
      <c r="M1379" s="463" t="s">
        <v>2913</v>
      </c>
      <c r="N1379" s="451" t="s">
        <v>2914</v>
      </c>
      <c r="O1379" s="468" t="s">
        <v>2915</v>
      </c>
      <c r="P1379" s="468" t="s">
        <v>2354</v>
      </c>
      <c r="Z1379" s="433" t="str">
        <f ca="1">HYPERLINK("#"&amp;재료비목록표!G2&amp;"!A"&amp;ROW(재료비목록표!A21),"M08805 →")</f>
        <v>M08805 →</v>
      </c>
    </row>
    <row r="1380" spans="1:26" ht="33.200000000000003" customHeight="1">
      <c r="A1380" s="452" t="s">
        <v>2333</v>
      </c>
      <c r="B1380" s="452" t="s">
        <v>2334</v>
      </c>
      <c r="C1380" s="489">
        <v>0.188</v>
      </c>
      <c r="D1380" s="480" t="s">
        <v>595</v>
      </c>
      <c r="E1380" s="490">
        <f t="shared" si="209"/>
        <v>1802</v>
      </c>
      <c r="F1380" s="493">
        <f t="shared" si="209"/>
        <v>338.7</v>
      </c>
      <c r="G1380" s="494">
        <f>일위대가목록표!F288</f>
        <v>1750</v>
      </c>
      <c r="H1380" s="498">
        <f t="shared" si="210"/>
        <v>329</v>
      </c>
      <c r="I1380" s="494">
        <f>일위대가목록표!G288</f>
        <v>0</v>
      </c>
      <c r="J1380" s="498">
        <f t="shared" si="211"/>
        <v>0</v>
      </c>
      <c r="K1380" s="494">
        <f>일위대가목록표!H288</f>
        <v>52</v>
      </c>
      <c r="L1380" s="498">
        <f t="shared" si="212"/>
        <v>9.6999999999999993</v>
      </c>
      <c r="M1380" s="463" t="s">
        <v>2916</v>
      </c>
      <c r="N1380" s="451" t="s">
        <v>2917</v>
      </c>
      <c r="O1380" s="468" t="s">
        <v>2918</v>
      </c>
      <c r="P1380" s="468" t="s">
        <v>2354</v>
      </c>
      <c r="Z1380" s="433" t="str">
        <f ca="1">HYPERLINK("#"&amp;일위대가목록표!J2&amp;"!A"&amp;ROW(일위대가목록표!A288),"B02108 →")</f>
        <v>B02108 →</v>
      </c>
    </row>
    <row r="1381" spans="1:26" ht="33.200000000000003" customHeight="1">
      <c r="A1381" s="452" t="s">
        <v>1516</v>
      </c>
      <c r="B1381" s="452" t="s">
        <v>1521</v>
      </c>
      <c r="C1381" s="489">
        <v>0.188</v>
      </c>
      <c r="D1381" s="480" t="s">
        <v>595</v>
      </c>
      <c r="E1381" s="490">
        <f t="shared" si="209"/>
        <v>13131</v>
      </c>
      <c r="F1381" s="493">
        <f t="shared" si="209"/>
        <v>2468.5</v>
      </c>
      <c r="G1381" s="494">
        <f>일위대가목록표!F258</f>
        <v>11897</v>
      </c>
      <c r="H1381" s="498">
        <f t="shared" si="210"/>
        <v>2236.6</v>
      </c>
      <c r="I1381" s="494">
        <f>일위대가목록표!G258</f>
        <v>997</v>
      </c>
      <c r="J1381" s="498">
        <f t="shared" si="211"/>
        <v>187.4</v>
      </c>
      <c r="K1381" s="494">
        <f>일위대가목록표!H258</f>
        <v>237</v>
      </c>
      <c r="L1381" s="498">
        <f t="shared" si="212"/>
        <v>44.5</v>
      </c>
      <c r="M1381" s="463" t="s">
        <v>2919</v>
      </c>
      <c r="N1381" s="451" t="s">
        <v>2920</v>
      </c>
      <c r="O1381" s="468" t="s">
        <v>2921</v>
      </c>
      <c r="P1381" s="468" t="s">
        <v>2354</v>
      </c>
      <c r="Z1381" s="433" t="str">
        <f ca="1">HYPERLINK("#"&amp;일위대가목록표!J2&amp;"!A"&amp;ROW(일위대가목록표!A258),"B02733 →")</f>
        <v>B02733 →</v>
      </c>
    </row>
    <row r="1382" spans="1:26" ht="33.200000000000003" customHeight="1">
      <c r="A1382" s="452" t="s">
        <v>2922</v>
      </c>
      <c r="B1382" s="452" t="s">
        <v>2923</v>
      </c>
      <c r="C1382" s="489">
        <v>5.33</v>
      </c>
      <c r="D1382" s="480" t="s">
        <v>605</v>
      </c>
      <c r="E1382" s="490">
        <f t="shared" si="209"/>
        <v>7400</v>
      </c>
      <c r="F1382" s="491">
        <f t="shared" si="209"/>
        <v>39442</v>
      </c>
      <c r="G1382" s="492">
        <v>0</v>
      </c>
      <c r="H1382" s="493">
        <f t="shared" si="210"/>
        <v>0</v>
      </c>
      <c r="I1382" s="494">
        <f>재료비목록표!E76</f>
        <v>7400</v>
      </c>
      <c r="J1382" s="495">
        <f t="shared" si="211"/>
        <v>39442</v>
      </c>
      <c r="K1382" s="492">
        <v>0</v>
      </c>
      <c r="L1382" s="493">
        <f t="shared" si="212"/>
        <v>0</v>
      </c>
      <c r="M1382" s="463" t="s">
        <v>2924</v>
      </c>
      <c r="N1382" s="451" t="s">
        <v>2925</v>
      </c>
      <c r="O1382" s="468" t="s">
        <v>2926</v>
      </c>
      <c r="P1382" s="468" t="s">
        <v>2354</v>
      </c>
      <c r="Z1382" s="433" t="str">
        <f ca="1">HYPERLINK("#"&amp;재료비목록표!G2&amp;"!A"&amp;ROW(재료비목록표!A76),"M00960 →")</f>
        <v>M00960 →</v>
      </c>
    </row>
    <row r="1383" spans="1:26" ht="33.200000000000003" customHeight="1">
      <c r="A1383" s="452" t="s">
        <v>1461</v>
      </c>
      <c r="B1383" s="452" t="s">
        <v>1462</v>
      </c>
      <c r="C1383" s="489">
        <v>1.7000000000000001E-2</v>
      </c>
      <c r="D1383" s="480" t="s">
        <v>8</v>
      </c>
      <c r="E1383" s="490">
        <f t="shared" si="209"/>
        <v>915052</v>
      </c>
      <c r="F1383" s="493">
        <f t="shared" si="209"/>
        <v>15555.8</v>
      </c>
      <c r="G1383" s="494">
        <f>일위대가목록표!F72</f>
        <v>915052</v>
      </c>
      <c r="H1383" s="498">
        <f t="shared" si="210"/>
        <v>15555.8</v>
      </c>
      <c r="I1383" s="494">
        <f>일위대가목록표!G72</f>
        <v>0</v>
      </c>
      <c r="J1383" s="498">
        <f t="shared" si="211"/>
        <v>0</v>
      </c>
      <c r="K1383" s="494">
        <f>일위대가목록표!H72</f>
        <v>0</v>
      </c>
      <c r="L1383" s="498">
        <f t="shared" si="212"/>
        <v>0</v>
      </c>
      <c r="M1383" s="463" t="s">
        <v>2471</v>
      </c>
      <c r="N1383" s="451" t="s">
        <v>2672</v>
      </c>
      <c r="O1383" s="468" t="s">
        <v>1465</v>
      </c>
      <c r="P1383" s="468" t="s">
        <v>2354</v>
      </c>
      <c r="Z1383" s="433" t="str">
        <f ca="1">HYPERLINK("#"&amp;일위대가목록표!J2&amp;"!A"&amp;ROW(일위대가목록표!A72),"B01822 →")</f>
        <v>B01822 →</v>
      </c>
    </row>
    <row r="1384" spans="1:26" ht="33.200000000000003" customHeight="1">
      <c r="A1384" s="452" t="s">
        <v>2927</v>
      </c>
      <c r="B1384" s="452" t="s">
        <v>2928</v>
      </c>
      <c r="C1384" s="489">
        <v>2.1</v>
      </c>
      <c r="D1384" s="480" t="s">
        <v>2377</v>
      </c>
      <c r="E1384" s="490">
        <f t="shared" si="209"/>
        <v>1293</v>
      </c>
      <c r="F1384" s="491">
        <f t="shared" si="209"/>
        <v>2715.3</v>
      </c>
      <c r="G1384" s="492">
        <v>0</v>
      </c>
      <c r="H1384" s="493">
        <f t="shared" si="210"/>
        <v>0</v>
      </c>
      <c r="I1384" s="494">
        <f>재료비목록표!E54</f>
        <v>1293</v>
      </c>
      <c r="J1384" s="495">
        <f t="shared" si="211"/>
        <v>2715.3</v>
      </c>
      <c r="K1384" s="492">
        <v>0</v>
      </c>
      <c r="L1384" s="493">
        <f t="shared" si="212"/>
        <v>0</v>
      </c>
      <c r="M1384" s="463" t="s">
        <v>2929</v>
      </c>
      <c r="N1384" s="451" t="s">
        <v>2930</v>
      </c>
      <c r="O1384" s="468" t="s">
        <v>2931</v>
      </c>
      <c r="P1384" s="468" t="s">
        <v>2354</v>
      </c>
      <c r="Z1384" s="433" t="str">
        <f ca="1">HYPERLINK("#"&amp;재료비목록표!G2&amp;"!A"&amp;ROW(재료비목록표!A54),"M08813 →")</f>
        <v>M08813 →</v>
      </c>
    </row>
    <row r="1385" spans="1:26" ht="33.200000000000003" customHeight="1">
      <c r="A1385" s="452" t="s">
        <v>2932</v>
      </c>
      <c r="B1385" s="452" t="s">
        <v>2933</v>
      </c>
      <c r="C1385" s="489">
        <v>2.1</v>
      </c>
      <c r="D1385" s="480" t="s">
        <v>2377</v>
      </c>
      <c r="E1385" s="490">
        <f t="shared" si="209"/>
        <v>157.30000000000001</v>
      </c>
      <c r="F1385" s="491">
        <f t="shared" si="209"/>
        <v>330.3</v>
      </c>
      <c r="G1385" s="492">
        <v>0</v>
      </c>
      <c r="H1385" s="493">
        <f t="shared" si="210"/>
        <v>0</v>
      </c>
      <c r="I1385" s="494">
        <f>재료비목록표!E26</f>
        <v>157.30000000000001</v>
      </c>
      <c r="J1385" s="495">
        <f t="shared" si="211"/>
        <v>330.3</v>
      </c>
      <c r="K1385" s="492">
        <v>0</v>
      </c>
      <c r="L1385" s="493">
        <f t="shared" si="212"/>
        <v>0</v>
      </c>
      <c r="M1385" s="463" t="s">
        <v>2934</v>
      </c>
      <c r="N1385" s="451" t="s">
        <v>2935</v>
      </c>
      <c r="O1385" s="468" t="s">
        <v>2936</v>
      </c>
      <c r="P1385" s="468" t="s">
        <v>2354</v>
      </c>
      <c r="Z1385" s="433" t="str">
        <f ca="1">HYPERLINK("#"&amp;재료비목록표!G2&amp;"!A"&amp;ROW(재료비목록표!A26),"M00958 →")</f>
        <v>M00958 →</v>
      </c>
    </row>
    <row r="1386" spans="1:26" ht="33.200000000000003" customHeight="1">
      <c r="A1386" s="452" t="s">
        <v>2937</v>
      </c>
      <c r="B1386" s="452" t="s">
        <v>2933</v>
      </c>
      <c r="C1386" s="489">
        <v>4.2</v>
      </c>
      <c r="D1386" s="480" t="s">
        <v>2377</v>
      </c>
      <c r="E1386" s="490">
        <f t="shared" si="209"/>
        <v>53.7</v>
      </c>
      <c r="F1386" s="491">
        <f t="shared" si="209"/>
        <v>225.5</v>
      </c>
      <c r="G1386" s="492">
        <v>0</v>
      </c>
      <c r="H1386" s="493">
        <f t="shared" si="210"/>
        <v>0</v>
      </c>
      <c r="I1386" s="494">
        <f>재료비목록표!E74</f>
        <v>53.7</v>
      </c>
      <c r="J1386" s="495">
        <f t="shared" si="211"/>
        <v>225.5</v>
      </c>
      <c r="K1386" s="492">
        <v>0</v>
      </c>
      <c r="L1386" s="493">
        <f t="shared" si="212"/>
        <v>0</v>
      </c>
      <c r="M1386" s="463" t="s">
        <v>2938</v>
      </c>
      <c r="N1386" s="451" t="s">
        <v>2939</v>
      </c>
      <c r="O1386" s="468" t="s">
        <v>2940</v>
      </c>
      <c r="P1386" s="468" t="s">
        <v>2354</v>
      </c>
      <c r="Z1386" s="433" t="str">
        <f ca="1">HYPERLINK("#"&amp;재료비목록표!G2&amp;"!A"&amp;ROW(재료비목록표!A74),"M00648 →")</f>
        <v>M00648 →</v>
      </c>
    </row>
    <row r="1387" spans="1:26" ht="33.200000000000003" customHeight="1">
      <c r="A1387" s="452" t="s">
        <v>2310</v>
      </c>
      <c r="B1387" s="452" t="s">
        <v>2311</v>
      </c>
      <c r="C1387" s="489">
        <v>2</v>
      </c>
      <c r="D1387" s="480" t="s">
        <v>975</v>
      </c>
      <c r="E1387" s="490">
        <f t="shared" si="209"/>
        <v>784</v>
      </c>
      <c r="F1387" s="493">
        <f t="shared" si="209"/>
        <v>1568</v>
      </c>
      <c r="G1387" s="494">
        <f>일위대가목록표!F145</f>
        <v>677</v>
      </c>
      <c r="H1387" s="498">
        <f t="shared" si="210"/>
        <v>1354</v>
      </c>
      <c r="I1387" s="494">
        <f>일위대가목록표!G145</f>
        <v>107</v>
      </c>
      <c r="J1387" s="498">
        <f t="shared" si="211"/>
        <v>214</v>
      </c>
      <c r="K1387" s="494">
        <f>일위대가목록표!H145</f>
        <v>0</v>
      </c>
      <c r="L1387" s="498">
        <f t="shared" si="212"/>
        <v>0</v>
      </c>
      <c r="M1387" s="463" t="s">
        <v>2941</v>
      </c>
      <c r="N1387" s="451" t="s">
        <v>2942</v>
      </c>
      <c r="O1387" s="468" t="s">
        <v>2943</v>
      </c>
      <c r="P1387" s="468" t="s">
        <v>2354</v>
      </c>
      <c r="Z1387" s="433" t="str">
        <f ca="1">HYPERLINK("#"&amp;일위대가목록표!J2&amp;"!A"&amp;ROW(일위대가목록표!A145),"B01416 →")</f>
        <v>B01416 →</v>
      </c>
    </row>
    <row r="1388" spans="1:26" ht="33.200000000000003" customHeight="1">
      <c r="A1388" s="452" t="s">
        <v>2574</v>
      </c>
      <c r="B1388" s="452" t="s">
        <v>2575</v>
      </c>
      <c r="C1388" s="489">
        <v>4.0000000000000002E-4</v>
      </c>
      <c r="D1388" s="480" t="s">
        <v>2576</v>
      </c>
      <c r="E1388" s="490">
        <f t="shared" si="209"/>
        <v>765000</v>
      </c>
      <c r="F1388" s="491">
        <f t="shared" si="209"/>
        <v>306</v>
      </c>
      <c r="G1388" s="492">
        <v>0</v>
      </c>
      <c r="H1388" s="493">
        <f t="shared" si="210"/>
        <v>0</v>
      </c>
      <c r="I1388" s="494">
        <f>재료비목록표!E81</f>
        <v>765000</v>
      </c>
      <c r="J1388" s="495">
        <f t="shared" si="211"/>
        <v>306</v>
      </c>
      <c r="K1388" s="492">
        <v>0</v>
      </c>
      <c r="L1388" s="493">
        <f t="shared" si="212"/>
        <v>0</v>
      </c>
      <c r="M1388" s="463" t="s">
        <v>2577</v>
      </c>
      <c r="N1388" s="451" t="s">
        <v>2578</v>
      </c>
      <c r="O1388" s="468" t="s">
        <v>2579</v>
      </c>
      <c r="P1388" s="468" t="s">
        <v>2354</v>
      </c>
      <c r="Z1388" s="433" t="str">
        <f ca="1">HYPERLINK("#"&amp;재료비목록표!G2&amp;"!A"&amp;ROW(재료비목록표!A81),"M00150 →")</f>
        <v>M00150 →</v>
      </c>
    </row>
    <row r="1389" spans="1:26" ht="33.200000000000003" customHeight="1">
      <c r="A1389" s="452" t="s">
        <v>2944</v>
      </c>
      <c r="B1389" s="452" t="s">
        <v>2581</v>
      </c>
      <c r="C1389" s="489">
        <v>3.9800000000000002E-4</v>
      </c>
      <c r="D1389" s="480" t="s">
        <v>2132</v>
      </c>
      <c r="E1389" s="490">
        <f t="shared" si="209"/>
        <v>585976</v>
      </c>
      <c r="F1389" s="493">
        <f t="shared" si="209"/>
        <v>233.1</v>
      </c>
      <c r="G1389" s="494">
        <f>단가산출근거목록표!F142</f>
        <v>574487</v>
      </c>
      <c r="H1389" s="498">
        <f t="shared" si="210"/>
        <v>228.6</v>
      </c>
      <c r="I1389" s="494">
        <f>단가산출근거목록표!G142</f>
        <v>0</v>
      </c>
      <c r="J1389" s="498">
        <f t="shared" si="211"/>
        <v>0</v>
      </c>
      <c r="K1389" s="494">
        <f>단가산출근거목록표!H142</f>
        <v>11489</v>
      </c>
      <c r="L1389" s="498">
        <f t="shared" si="212"/>
        <v>4.5</v>
      </c>
      <c r="M1389" s="463" t="s">
        <v>2945</v>
      </c>
      <c r="N1389" s="451" t="s">
        <v>2946</v>
      </c>
      <c r="O1389" s="468" t="s">
        <v>2947</v>
      </c>
      <c r="P1389" s="468" t="s">
        <v>2354</v>
      </c>
      <c r="Z1389" s="433" t="str">
        <f ca="1">HYPERLINK("#"&amp;단가산출근거목록표!J2&amp;"!A"&amp;ROW(단가산출근거목록표!A142),"D01230 →")</f>
        <v>D01230 →</v>
      </c>
    </row>
    <row r="1390" spans="1:26" ht="33.200000000000003" customHeight="1">
      <c r="A1390" s="452" t="s">
        <v>2948</v>
      </c>
      <c r="B1390" s="452" t="s">
        <v>2949</v>
      </c>
      <c r="C1390" s="489">
        <v>3.15</v>
      </c>
      <c r="D1390" s="480" t="s">
        <v>911</v>
      </c>
      <c r="E1390" s="490">
        <f t="shared" si="209"/>
        <v>735</v>
      </c>
      <c r="F1390" s="491">
        <f t="shared" si="209"/>
        <v>2315.1999999999998</v>
      </c>
      <c r="G1390" s="492">
        <v>0</v>
      </c>
      <c r="H1390" s="493">
        <f t="shared" si="210"/>
        <v>0</v>
      </c>
      <c r="I1390" s="494">
        <f>재료비목록표!E4</f>
        <v>735</v>
      </c>
      <c r="J1390" s="495">
        <f t="shared" si="211"/>
        <v>2315.1999999999998</v>
      </c>
      <c r="K1390" s="492">
        <v>0</v>
      </c>
      <c r="L1390" s="493">
        <f t="shared" si="212"/>
        <v>0</v>
      </c>
      <c r="M1390" s="463" t="s">
        <v>2950</v>
      </c>
      <c r="N1390" s="451" t="s">
        <v>2951</v>
      </c>
      <c r="O1390" s="468" t="s">
        <v>2952</v>
      </c>
      <c r="P1390" s="468" t="s">
        <v>2354</v>
      </c>
      <c r="Z1390" s="433" t="str">
        <f ca="1">HYPERLINK("#"&amp;재료비목록표!G2&amp;"!A"&amp;ROW(재료비목록표!A4),"M00666 →")</f>
        <v>M00666 →</v>
      </c>
    </row>
    <row r="1391" spans="1:26" ht="33.200000000000003" customHeight="1">
      <c r="A1391" s="463" t="s">
        <v>842</v>
      </c>
      <c r="B1391" s="497"/>
      <c r="C1391" s="497"/>
      <c r="D1391" s="497"/>
      <c r="E1391" s="497"/>
      <c r="F1391" s="446">
        <f>J1391+H1391+L1391</f>
        <v>112115</v>
      </c>
      <c r="G1391" s="497"/>
      <c r="H1391" s="446">
        <f>ROUNDDOWN(SUMIF(P1374:P1390,O1391,H1374:H1390),0)</f>
        <v>51482</v>
      </c>
      <c r="I1391" s="497"/>
      <c r="J1391" s="446">
        <f>ROUNDDOWN(SUMIF(P1374:P1390,O1391,J1374:J1390),0)</f>
        <v>60451</v>
      </c>
      <c r="K1391" s="497"/>
      <c r="L1391" s="446">
        <f>ROUNDDOWN(SUMIF(P1374:P1390,O1391,L1374:L1390),0)</f>
        <v>182</v>
      </c>
      <c r="M1391" s="497"/>
      <c r="O1391" s="468" t="s">
        <v>2354</v>
      </c>
    </row>
    <row r="1392" spans="1:26" ht="33.200000000000003" customHeight="1">
      <c r="A1392" s="484" t="s">
        <v>3093</v>
      </c>
      <c r="B1392" s="484"/>
      <c r="C1392" s="485"/>
      <c r="D1392" s="485"/>
      <c r="E1392" s="485"/>
      <c r="F1392" s="485"/>
      <c r="G1392" s="485"/>
      <c r="H1392" s="485"/>
      <c r="I1392" s="485"/>
      <c r="J1392" s="485"/>
      <c r="K1392" s="485"/>
      <c r="L1392" s="485"/>
      <c r="M1392" s="485"/>
      <c r="N1392" s="486" t="str">
        <f>HYPERLINK("#N"&amp;ROW(N1395),"_x0005_`BDCOD|B02722_x0007_`POSS|"&amp;ROW(N1394)&amp;"_x0007_`POSE|"&amp;ROW(N1395)&amp;"_x0007_`")</f>
        <v>_x0005_`BDCOD|B02722_x0007_`POSS|1394_x0007_`POSE|1395_x0007_`</v>
      </c>
    </row>
    <row r="1393" spans="1:26" ht="33.200000000000003" customHeight="1">
      <c r="A1393" s="469" t="s">
        <v>1555</v>
      </c>
      <c r="B1393" s="469" t="s">
        <v>1556</v>
      </c>
      <c r="C1393" s="487"/>
      <c r="D1393" s="488" t="s">
        <v>966</v>
      </c>
      <c r="E1393" s="487"/>
      <c r="F1393" s="487"/>
      <c r="G1393" s="487"/>
      <c r="H1393" s="487"/>
      <c r="I1393" s="487"/>
      <c r="J1393" s="487"/>
      <c r="K1393" s="487"/>
      <c r="L1393" s="487"/>
      <c r="M1393" s="488" t="s">
        <v>1557</v>
      </c>
      <c r="O1393" s="468" t="s">
        <v>1557</v>
      </c>
    </row>
    <row r="1394" spans="1:26" ht="33.200000000000003" customHeight="1">
      <c r="A1394" s="452" t="s">
        <v>1541</v>
      </c>
      <c r="B1394" s="452" t="s">
        <v>1546</v>
      </c>
      <c r="C1394" s="489">
        <v>0.61</v>
      </c>
      <c r="D1394" s="480" t="s">
        <v>595</v>
      </c>
      <c r="E1394" s="490">
        <f>I1394+G1394+K1394</f>
        <v>2662</v>
      </c>
      <c r="F1394" s="493">
        <f>J1394+H1394+L1394</f>
        <v>1623.7</v>
      </c>
      <c r="G1394" s="494">
        <f>단가산출근거목록표!F132</f>
        <v>2585</v>
      </c>
      <c r="H1394" s="498">
        <f>IF(C1394=0,0,ROUNDDOWN(G1394*C1394,1))</f>
        <v>1576.8</v>
      </c>
      <c r="I1394" s="494">
        <f>단가산출근거목록표!G132</f>
        <v>0</v>
      </c>
      <c r="J1394" s="498">
        <f>IF(C1394=0,0,ROUNDDOWN(I1394*C1394,1))</f>
        <v>0</v>
      </c>
      <c r="K1394" s="494">
        <f>단가산출근거목록표!H132</f>
        <v>77</v>
      </c>
      <c r="L1394" s="498">
        <f>IF(C1394=0,0,ROUNDDOWN(K1394*C1394,1))</f>
        <v>46.9</v>
      </c>
      <c r="M1394" s="463" t="s">
        <v>2481</v>
      </c>
      <c r="N1394" s="451" t="s">
        <v>2482</v>
      </c>
      <c r="O1394" s="468" t="s">
        <v>1549</v>
      </c>
      <c r="P1394" s="468" t="s">
        <v>2354</v>
      </c>
      <c r="Q1394" s="468" t="s">
        <v>2355</v>
      </c>
      <c r="Z1394" s="433" t="str">
        <f ca="1">HYPERLINK("#"&amp;단가산출근거목록표!J2&amp;"!A"&amp;ROW(단가산출근거목록표!A132),"D01276 →")</f>
        <v>D01276 →</v>
      </c>
    </row>
    <row r="1395" spans="1:26" ht="33.200000000000003" customHeight="1">
      <c r="A1395" s="452" t="s">
        <v>1532</v>
      </c>
      <c r="B1395" s="452" t="s">
        <v>1537</v>
      </c>
      <c r="C1395" s="489">
        <v>0.61</v>
      </c>
      <c r="D1395" s="480" t="s">
        <v>595</v>
      </c>
      <c r="E1395" s="490">
        <f>I1395+G1395+K1395</f>
        <v>12642</v>
      </c>
      <c r="F1395" s="493">
        <f>J1395+H1395+L1395</f>
        <v>7711.4999999999991</v>
      </c>
      <c r="G1395" s="494">
        <f>일위대가목록표!F224</f>
        <v>11027</v>
      </c>
      <c r="H1395" s="498">
        <f>IF(C1395=0,0,ROUNDDOWN(G1395*C1395,1))</f>
        <v>6726.4</v>
      </c>
      <c r="I1395" s="494">
        <f>일위대가목록표!G224</f>
        <v>1395</v>
      </c>
      <c r="J1395" s="498">
        <f>IF(C1395=0,0,ROUNDDOWN(I1395*C1395,1))</f>
        <v>850.9</v>
      </c>
      <c r="K1395" s="494">
        <f>일위대가목록표!H224</f>
        <v>220</v>
      </c>
      <c r="L1395" s="498">
        <f>IF(C1395=0,0,ROUNDDOWN(K1395*C1395,1))</f>
        <v>134.19999999999999</v>
      </c>
      <c r="M1395" s="463" t="s">
        <v>2473</v>
      </c>
      <c r="N1395" s="451" t="s">
        <v>2474</v>
      </c>
      <c r="O1395" s="468" t="s">
        <v>1540</v>
      </c>
      <c r="P1395" s="468" t="s">
        <v>2354</v>
      </c>
      <c r="Q1395" s="468" t="s">
        <v>2355</v>
      </c>
      <c r="Z1395" s="433" t="str">
        <f ca="1">HYPERLINK("#"&amp;일위대가목록표!J2&amp;"!A"&amp;ROW(일위대가목록표!A224),"B01814 →")</f>
        <v>B01814 →</v>
      </c>
    </row>
    <row r="1396" spans="1:26" ht="33.200000000000003" customHeight="1">
      <c r="A1396" s="463" t="s">
        <v>842</v>
      </c>
      <c r="B1396" s="497"/>
      <c r="C1396" s="497"/>
      <c r="D1396" s="497"/>
      <c r="E1396" s="497"/>
      <c r="F1396" s="446">
        <f>J1396+H1396+L1396</f>
        <v>9334</v>
      </c>
      <c r="G1396" s="497"/>
      <c r="H1396" s="446">
        <f>ROUNDDOWN(SUMIF(P1394:P1395,O1396,H1394:H1395),0)</f>
        <v>8303</v>
      </c>
      <c r="I1396" s="497"/>
      <c r="J1396" s="446">
        <f>ROUNDDOWN(SUMIF(P1394:P1395,O1396,J1394:J1395),0)</f>
        <v>850</v>
      </c>
      <c r="K1396" s="497"/>
      <c r="L1396" s="446">
        <f>ROUNDDOWN(SUMIF(P1394:P1395,O1396,L1394:L1395),0)</f>
        <v>181</v>
      </c>
      <c r="M1396" s="497"/>
      <c r="O1396" s="468" t="s">
        <v>2354</v>
      </c>
    </row>
    <row r="1397" spans="1:26" ht="33.200000000000003" customHeight="1">
      <c r="A1397" s="484" t="s">
        <v>3098</v>
      </c>
      <c r="B1397" s="484"/>
      <c r="C1397" s="485"/>
      <c r="D1397" s="485"/>
      <c r="E1397" s="485"/>
      <c r="F1397" s="485"/>
      <c r="G1397" s="485"/>
      <c r="H1397" s="485"/>
      <c r="I1397" s="485"/>
      <c r="J1397" s="485"/>
      <c r="K1397" s="485"/>
      <c r="L1397" s="485"/>
      <c r="M1397" s="485"/>
      <c r="N1397" s="486" t="str">
        <f>HYPERLINK("#N"&amp;ROW(N1402),"_x0005_`BDCOD|B02721_x0007_`POSS|"&amp;ROW(N1399)&amp;"_x0007_`POSE|"&amp;ROW(N1402)&amp;"_x0007_`")</f>
        <v>_x0005_`BDCOD|B02721_x0007_`POSS|1399_x0007_`POSE|1402_x0007_`</v>
      </c>
    </row>
    <row r="1398" spans="1:26" ht="33.200000000000003" customHeight="1">
      <c r="A1398" s="469" t="s">
        <v>1571</v>
      </c>
      <c r="B1398" s="469" t="s">
        <v>1567</v>
      </c>
      <c r="C1398" s="487"/>
      <c r="D1398" s="488" t="s">
        <v>975</v>
      </c>
      <c r="E1398" s="487"/>
      <c r="F1398" s="487"/>
      <c r="G1398" s="487"/>
      <c r="H1398" s="487"/>
      <c r="I1398" s="487"/>
      <c r="J1398" s="487"/>
      <c r="K1398" s="487"/>
      <c r="L1398" s="487"/>
      <c r="M1398" s="488" t="s">
        <v>1572</v>
      </c>
      <c r="O1398" s="468" t="s">
        <v>1572</v>
      </c>
    </row>
    <row r="1399" spans="1:26" ht="33.200000000000003" customHeight="1">
      <c r="A1399" s="452" t="s">
        <v>2484</v>
      </c>
      <c r="B1399" s="452" t="s">
        <v>2561</v>
      </c>
      <c r="C1399" s="489">
        <v>0.08</v>
      </c>
      <c r="D1399" s="480" t="s">
        <v>8</v>
      </c>
      <c r="E1399" s="490">
        <f t="shared" ref="E1399:F1402" si="213">I1399+G1399+K1399</f>
        <v>102782</v>
      </c>
      <c r="F1399" s="493">
        <f t="shared" si="213"/>
        <v>8222.5</v>
      </c>
      <c r="G1399" s="494">
        <f>단가산출근거목록표!F156</f>
        <v>102782</v>
      </c>
      <c r="H1399" s="498">
        <f>IF(C1399=0,0,ROUNDDOWN(G1399*C1399,1))</f>
        <v>8222.5</v>
      </c>
      <c r="I1399" s="494">
        <f>단가산출근거목록표!G156</f>
        <v>0</v>
      </c>
      <c r="J1399" s="498">
        <f>IF(C1399=0,0,ROUNDDOWN(I1399*C1399,1))</f>
        <v>0</v>
      </c>
      <c r="K1399" s="494">
        <f>단가산출근거목록표!H156</f>
        <v>0</v>
      </c>
      <c r="L1399" s="498">
        <f>IF(C1399=0,0,ROUNDDOWN(K1399*C1399,1))</f>
        <v>0</v>
      </c>
      <c r="M1399" s="463" t="s">
        <v>2562</v>
      </c>
      <c r="N1399" s="451" t="s">
        <v>2563</v>
      </c>
      <c r="O1399" s="468" t="s">
        <v>2564</v>
      </c>
      <c r="P1399" s="468" t="s">
        <v>2354</v>
      </c>
      <c r="Z1399" s="433" t="str">
        <f ca="1">HYPERLINK("#"&amp;단가산출근거목록표!J2&amp;"!A"&amp;ROW(단가산출근거목록표!A156),"D01266 →")</f>
        <v>D01266 →</v>
      </c>
    </row>
    <row r="1400" spans="1:26" ht="33.200000000000003" customHeight="1">
      <c r="A1400" s="452" t="s">
        <v>2298</v>
      </c>
      <c r="B1400" s="452" t="s">
        <v>2299</v>
      </c>
      <c r="C1400" s="489">
        <v>5.2999999999999999E-2</v>
      </c>
      <c r="D1400" s="480" t="s">
        <v>8</v>
      </c>
      <c r="E1400" s="490">
        <f t="shared" si="213"/>
        <v>24089</v>
      </c>
      <c r="F1400" s="493">
        <f t="shared" si="213"/>
        <v>1276.7</v>
      </c>
      <c r="G1400" s="494">
        <f>일위대가목록표!F37</f>
        <v>24089</v>
      </c>
      <c r="H1400" s="498">
        <f>IF(C1400=0,0,ROUNDDOWN(G1400*C1400,1))</f>
        <v>1276.7</v>
      </c>
      <c r="I1400" s="494">
        <f>일위대가목록표!G37</f>
        <v>0</v>
      </c>
      <c r="J1400" s="498">
        <f>IF(C1400=0,0,ROUNDDOWN(I1400*C1400,1))</f>
        <v>0</v>
      </c>
      <c r="K1400" s="494">
        <f>일위대가목록표!H37</f>
        <v>0</v>
      </c>
      <c r="L1400" s="498">
        <f>IF(C1400=0,0,ROUNDDOWN(K1400*C1400,1))</f>
        <v>0</v>
      </c>
      <c r="M1400" s="463" t="s">
        <v>2492</v>
      </c>
      <c r="N1400" s="451" t="s">
        <v>2537</v>
      </c>
      <c r="O1400" s="468" t="s">
        <v>2494</v>
      </c>
      <c r="P1400" s="468" t="s">
        <v>2354</v>
      </c>
      <c r="Z1400" s="433" t="str">
        <f ca="1">HYPERLINK("#"&amp;일위대가목록표!J2&amp;"!A"&amp;ROW(일위대가목록표!A37),"B01447 →")</f>
        <v>B01447 →</v>
      </c>
    </row>
    <row r="1401" spans="1:26" ht="33.200000000000003" customHeight="1">
      <c r="A1401" s="452" t="s">
        <v>2321</v>
      </c>
      <c r="B1401" s="452" t="s">
        <v>2322</v>
      </c>
      <c r="C1401" s="489">
        <v>2.7E-2</v>
      </c>
      <c r="D1401" s="480" t="s">
        <v>8</v>
      </c>
      <c r="E1401" s="490">
        <f t="shared" si="213"/>
        <v>34413</v>
      </c>
      <c r="F1401" s="493">
        <f t="shared" si="213"/>
        <v>929.1</v>
      </c>
      <c r="G1401" s="494">
        <f>일위대가목록표!F275</f>
        <v>34413</v>
      </c>
      <c r="H1401" s="498">
        <f>IF(C1401=0,0,ROUNDDOWN(G1401*C1401,1))</f>
        <v>929.1</v>
      </c>
      <c r="I1401" s="494">
        <f>일위대가목록표!G275</f>
        <v>0</v>
      </c>
      <c r="J1401" s="498">
        <f>IF(C1401=0,0,ROUNDDOWN(I1401*C1401,1))</f>
        <v>0</v>
      </c>
      <c r="K1401" s="494">
        <f>일위대가목록표!H275</f>
        <v>0</v>
      </c>
      <c r="L1401" s="498">
        <f>IF(C1401=0,0,ROUNDDOWN(K1401*C1401,1))</f>
        <v>0</v>
      </c>
      <c r="M1401" s="463" t="s">
        <v>2489</v>
      </c>
      <c r="N1401" s="451" t="s">
        <v>2538</v>
      </c>
      <c r="O1401" s="468" t="s">
        <v>2491</v>
      </c>
      <c r="P1401" s="468" t="s">
        <v>2354</v>
      </c>
      <c r="Z1401" s="433" t="str">
        <f ca="1">HYPERLINK("#"&amp;일위대가목록표!J2&amp;"!A"&amp;ROW(일위대가목록표!A275),"B01414 →")</f>
        <v>B01414 →</v>
      </c>
    </row>
    <row r="1402" spans="1:26" ht="33.200000000000003" customHeight="1">
      <c r="A1402" s="452" t="s">
        <v>2955</v>
      </c>
      <c r="B1402" s="452" t="s">
        <v>2322</v>
      </c>
      <c r="C1402" s="489">
        <v>1</v>
      </c>
      <c r="D1402" s="480" t="s">
        <v>975</v>
      </c>
      <c r="E1402" s="490">
        <f t="shared" si="213"/>
        <v>14281</v>
      </c>
      <c r="F1402" s="493">
        <f t="shared" si="213"/>
        <v>14281</v>
      </c>
      <c r="G1402" s="494">
        <f>단가산출근거목록표!F69</f>
        <v>14281</v>
      </c>
      <c r="H1402" s="498">
        <f>IF(C1402=0,0,ROUNDDOWN(G1402*C1402,1))</f>
        <v>14281</v>
      </c>
      <c r="I1402" s="494">
        <f>단가산출근거목록표!G69</f>
        <v>0</v>
      </c>
      <c r="J1402" s="498">
        <f>IF(C1402=0,0,ROUNDDOWN(I1402*C1402,1))</f>
        <v>0</v>
      </c>
      <c r="K1402" s="494">
        <f>단가산출근거목록표!H69</f>
        <v>0</v>
      </c>
      <c r="L1402" s="498">
        <f>IF(C1402=0,0,ROUNDDOWN(K1402*C1402,1))</f>
        <v>0</v>
      </c>
      <c r="M1402" s="463" t="s">
        <v>2956</v>
      </c>
      <c r="N1402" s="451" t="s">
        <v>2957</v>
      </c>
      <c r="O1402" s="468" t="s">
        <v>2958</v>
      </c>
      <c r="P1402" s="468" t="s">
        <v>2354</v>
      </c>
      <c r="Z1402" s="433" t="str">
        <f ca="1">HYPERLINK("#"&amp;단가산출근거목록표!J2&amp;"!A"&amp;ROW(단가산출근거목록표!A69),"D01225 →")</f>
        <v>D01225 →</v>
      </c>
    </row>
    <row r="1403" spans="1:26" ht="33.200000000000003" customHeight="1">
      <c r="A1403" s="463" t="s">
        <v>842</v>
      </c>
      <c r="B1403" s="497"/>
      <c r="C1403" s="497"/>
      <c r="D1403" s="497"/>
      <c r="E1403" s="497"/>
      <c r="F1403" s="446">
        <f>J1403+H1403+L1403</f>
        <v>24709</v>
      </c>
      <c r="G1403" s="497"/>
      <c r="H1403" s="446">
        <f>ROUNDDOWN(SUMIF(P1399:P1402,O1403,H1399:H1402),0)</f>
        <v>24709</v>
      </c>
      <c r="I1403" s="497"/>
      <c r="J1403" s="446">
        <f>ROUNDDOWN(SUMIF(P1399:P1402,O1403,J1399:J1402),0)</f>
        <v>0</v>
      </c>
      <c r="K1403" s="497"/>
      <c r="L1403" s="446">
        <f>ROUNDDOWN(SUMIF(P1399:P1402,O1403,L1399:L1402),0)</f>
        <v>0</v>
      </c>
      <c r="M1403" s="497"/>
      <c r="O1403" s="468" t="s">
        <v>2354</v>
      </c>
    </row>
    <row r="1404" spans="1:26" ht="33.200000000000003" customHeight="1">
      <c r="A1404" s="484" t="s">
        <v>3099</v>
      </c>
      <c r="B1404" s="484"/>
      <c r="C1404" s="485"/>
      <c r="D1404" s="485"/>
      <c r="E1404" s="485"/>
      <c r="F1404" s="485"/>
      <c r="G1404" s="485"/>
      <c r="H1404" s="485"/>
      <c r="I1404" s="485"/>
      <c r="J1404" s="485"/>
      <c r="K1404" s="485"/>
      <c r="L1404" s="485"/>
      <c r="M1404" s="485"/>
      <c r="N1404" s="486" t="str">
        <f>HYPERLINK("#N"&amp;ROW(N1410),"_x0005_`BDCOD|B02867_x0007_`POSS|"&amp;ROW(N1406)&amp;"_x0007_`POSE|"&amp;ROW(N1410)&amp;"_x0007_`")</f>
        <v>_x0005_`BDCOD|B02867_x0007_`POSS|1406_x0007_`POSE|1410_x0007_`</v>
      </c>
    </row>
    <row r="1405" spans="1:26" ht="33.200000000000003" customHeight="1">
      <c r="A1405" s="469" t="s">
        <v>5204</v>
      </c>
      <c r="B1405" s="469" t="s">
        <v>1567</v>
      </c>
      <c r="C1405" s="487"/>
      <c r="D1405" s="488" t="s">
        <v>975</v>
      </c>
      <c r="E1405" s="487"/>
      <c r="F1405" s="487"/>
      <c r="G1405" s="487"/>
      <c r="H1405" s="487"/>
      <c r="I1405" s="487"/>
      <c r="J1405" s="487"/>
      <c r="K1405" s="487"/>
      <c r="L1405" s="487"/>
      <c r="M1405" s="488" t="s">
        <v>5205</v>
      </c>
      <c r="O1405" s="468" t="s">
        <v>5205</v>
      </c>
    </row>
    <row r="1406" spans="1:26" ht="33.200000000000003" customHeight="1">
      <c r="A1406" s="452" t="s">
        <v>2484</v>
      </c>
      <c r="B1406" s="452" t="s">
        <v>2561</v>
      </c>
      <c r="C1406" s="489">
        <v>0.08</v>
      </c>
      <c r="D1406" s="480" t="s">
        <v>8</v>
      </c>
      <c r="E1406" s="490">
        <f t="shared" ref="E1406:F1410" si="214">I1406+G1406+K1406</f>
        <v>102782</v>
      </c>
      <c r="F1406" s="493">
        <f t="shared" si="214"/>
        <v>8222.5</v>
      </c>
      <c r="G1406" s="494">
        <f>단가산출근거목록표!F156</f>
        <v>102782</v>
      </c>
      <c r="H1406" s="498">
        <f>IF(C1406=0,0,ROUNDDOWN(G1406*C1406,1))</f>
        <v>8222.5</v>
      </c>
      <c r="I1406" s="494">
        <f>단가산출근거목록표!G156</f>
        <v>0</v>
      </c>
      <c r="J1406" s="498">
        <f>IF(C1406=0,0,ROUNDDOWN(I1406*C1406,1))</f>
        <v>0</v>
      </c>
      <c r="K1406" s="494">
        <f>단가산출근거목록표!H156</f>
        <v>0</v>
      </c>
      <c r="L1406" s="498">
        <f>IF(C1406=0,0,ROUNDDOWN(K1406*C1406,1))</f>
        <v>0</v>
      </c>
      <c r="M1406" s="463" t="s">
        <v>2562</v>
      </c>
      <c r="N1406" s="451" t="s">
        <v>2586</v>
      </c>
      <c r="O1406" s="468" t="s">
        <v>2564</v>
      </c>
      <c r="P1406" s="468" t="s">
        <v>2354</v>
      </c>
      <c r="Q1406" s="468" t="s">
        <v>2355</v>
      </c>
      <c r="Z1406" s="433" t="str">
        <f ca="1">HYPERLINK("#"&amp;단가산출근거목록표!J2&amp;"!A"&amp;ROW(단가산출근거목록표!A156),"D01266 →")</f>
        <v>D01266 →</v>
      </c>
    </row>
    <row r="1407" spans="1:26" ht="33.200000000000003" customHeight="1">
      <c r="A1407" s="452" t="s">
        <v>2298</v>
      </c>
      <c r="B1407" s="452" t="s">
        <v>2299</v>
      </c>
      <c r="C1407" s="489">
        <v>5.2999999999999999E-2</v>
      </c>
      <c r="D1407" s="480" t="s">
        <v>8</v>
      </c>
      <c r="E1407" s="490">
        <f t="shared" si="214"/>
        <v>24089</v>
      </c>
      <c r="F1407" s="493">
        <f t="shared" si="214"/>
        <v>1276.7</v>
      </c>
      <c r="G1407" s="494">
        <f>일위대가목록표!F37</f>
        <v>24089</v>
      </c>
      <c r="H1407" s="498">
        <f>IF(C1407=0,0,ROUNDDOWN(G1407*C1407,1))</f>
        <v>1276.7</v>
      </c>
      <c r="I1407" s="494">
        <f>일위대가목록표!G37</f>
        <v>0</v>
      </c>
      <c r="J1407" s="498">
        <f>IF(C1407=0,0,ROUNDDOWN(I1407*C1407,1))</f>
        <v>0</v>
      </c>
      <c r="K1407" s="494">
        <f>일위대가목록표!H37</f>
        <v>0</v>
      </c>
      <c r="L1407" s="498">
        <f>IF(C1407=0,0,ROUNDDOWN(K1407*C1407,1))</f>
        <v>0</v>
      </c>
      <c r="M1407" s="463" t="s">
        <v>2492</v>
      </c>
      <c r="N1407" s="451" t="s">
        <v>2493</v>
      </c>
      <c r="O1407" s="468" t="s">
        <v>2494</v>
      </c>
      <c r="P1407" s="468" t="s">
        <v>2354</v>
      </c>
      <c r="Q1407" s="468" t="s">
        <v>2355</v>
      </c>
      <c r="Z1407" s="433" t="str">
        <f ca="1">HYPERLINK("#"&amp;일위대가목록표!J2&amp;"!A"&amp;ROW(일위대가목록표!A37),"B01447 →")</f>
        <v>B01447 →</v>
      </c>
    </row>
    <row r="1408" spans="1:26" ht="33.200000000000003" customHeight="1">
      <c r="A1408" s="452" t="s">
        <v>2321</v>
      </c>
      <c r="B1408" s="452" t="s">
        <v>2322</v>
      </c>
      <c r="C1408" s="489">
        <v>2.7E-2</v>
      </c>
      <c r="D1408" s="480" t="s">
        <v>8</v>
      </c>
      <c r="E1408" s="490">
        <f t="shared" si="214"/>
        <v>34413</v>
      </c>
      <c r="F1408" s="493">
        <f t="shared" si="214"/>
        <v>929.1</v>
      </c>
      <c r="G1408" s="494">
        <f>일위대가목록표!F275</f>
        <v>34413</v>
      </c>
      <c r="H1408" s="498">
        <f>IF(C1408=0,0,ROUNDDOWN(G1408*C1408,1))</f>
        <v>929.1</v>
      </c>
      <c r="I1408" s="494">
        <f>일위대가목록표!G275</f>
        <v>0</v>
      </c>
      <c r="J1408" s="498">
        <f>IF(C1408=0,0,ROUNDDOWN(I1408*C1408,1))</f>
        <v>0</v>
      </c>
      <c r="K1408" s="494">
        <f>일위대가목록표!H275</f>
        <v>0</v>
      </c>
      <c r="L1408" s="498">
        <f>IF(C1408=0,0,ROUNDDOWN(K1408*C1408,1))</f>
        <v>0</v>
      </c>
      <c r="M1408" s="463" t="s">
        <v>2489</v>
      </c>
      <c r="N1408" s="451" t="s">
        <v>2490</v>
      </c>
      <c r="O1408" s="468" t="s">
        <v>2491</v>
      </c>
      <c r="P1408" s="468" t="s">
        <v>2354</v>
      </c>
      <c r="Q1408" s="468" t="s">
        <v>2355</v>
      </c>
      <c r="Z1408" s="433" t="str">
        <f ca="1">HYPERLINK("#"&amp;일위대가목록표!J2&amp;"!A"&amp;ROW(일위대가목록표!A275),"B01414 →")</f>
        <v>B01414 →</v>
      </c>
    </row>
    <row r="1409" spans="1:26" ht="33.200000000000003" customHeight="1">
      <c r="A1409" s="452" t="s">
        <v>2955</v>
      </c>
      <c r="B1409" s="452" t="s">
        <v>2322</v>
      </c>
      <c r="C1409" s="489">
        <v>1</v>
      </c>
      <c r="D1409" s="480" t="s">
        <v>975</v>
      </c>
      <c r="E1409" s="490">
        <f t="shared" si="214"/>
        <v>14281</v>
      </c>
      <c r="F1409" s="493">
        <f t="shared" si="214"/>
        <v>14281</v>
      </c>
      <c r="G1409" s="494">
        <f>단가산출근거목록표!F69</f>
        <v>14281</v>
      </c>
      <c r="H1409" s="498">
        <f>IF(C1409=0,0,ROUNDDOWN(G1409*C1409,1))</f>
        <v>14281</v>
      </c>
      <c r="I1409" s="494">
        <f>단가산출근거목록표!G69</f>
        <v>0</v>
      </c>
      <c r="J1409" s="498">
        <f>IF(C1409=0,0,ROUNDDOWN(I1409*C1409,1))</f>
        <v>0</v>
      </c>
      <c r="K1409" s="494">
        <f>단가산출근거목록표!H69</f>
        <v>0</v>
      </c>
      <c r="L1409" s="498">
        <f>IF(C1409=0,0,ROUNDDOWN(K1409*C1409,1))</f>
        <v>0</v>
      </c>
      <c r="M1409" s="463" t="s">
        <v>2956</v>
      </c>
      <c r="N1409" s="451" t="s">
        <v>2960</v>
      </c>
      <c r="O1409" s="468" t="s">
        <v>2958</v>
      </c>
      <c r="P1409" s="468" t="s">
        <v>2354</v>
      </c>
      <c r="Q1409" s="468" t="s">
        <v>2355</v>
      </c>
      <c r="Z1409" s="433" t="str">
        <f ca="1">HYPERLINK("#"&amp;단가산출근거목록표!J2&amp;"!A"&amp;ROW(단가산출근거목록표!A69),"D01225 →")</f>
        <v>D01225 →</v>
      </c>
    </row>
    <row r="1410" spans="1:26" ht="33.200000000000003" customHeight="1">
      <c r="A1410" s="452" t="s">
        <v>2507</v>
      </c>
      <c r="B1410" s="452" t="s">
        <v>2441</v>
      </c>
      <c r="C1410" s="489">
        <v>15</v>
      </c>
      <c r="D1410" s="480" t="s">
        <v>2371</v>
      </c>
      <c r="E1410" s="490">
        <f t="shared" si="214"/>
        <v>24709.300000000003</v>
      </c>
      <c r="F1410" s="491">
        <f t="shared" si="214"/>
        <v>3706.3</v>
      </c>
      <c r="G1410" s="496">
        <f>H1406+H1407+H1408+H1409</f>
        <v>24709.300000000003</v>
      </c>
      <c r="H1410" s="491">
        <f>IF(C1410=0,0,ROUNDDOWN(G1410*C1410/100,1))</f>
        <v>3706.3</v>
      </c>
      <c r="I1410" s="465">
        <v>0</v>
      </c>
      <c r="J1410" s="493">
        <f>IF(C1410=0,0,ROUNDDOWN(I1410*C1410/100,1))</f>
        <v>0</v>
      </c>
      <c r="K1410" s="467">
        <v>0</v>
      </c>
      <c r="L1410" s="493">
        <f>IF(C1410=0,0,ROUNDDOWN(K1410*C1410/100,1))</f>
        <v>0</v>
      </c>
      <c r="M1410" s="463"/>
      <c r="N1410" s="451" t="s">
        <v>2508</v>
      </c>
      <c r="O1410" s="468" t="s">
        <v>2373</v>
      </c>
      <c r="P1410" s="468" t="s">
        <v>2354</v>
      </c>
    </row>
    <row r="1411" spans="1:26" ht="33.200000000000003" customHeight="1">
      <c r="A1411" s="463" t="s">
        <v>842</v>
      </c>
      <c r="B1411" s="497"/>
      <c r="C1411" s="497"/>
      <c r="D1411" s="497"/>
      <c r="E1411" s="497"/>
      <c r="F1411" s="446">
        <f>J1411+H1411+L1411</f>
        <v>28415</v>
      </c>
      <c r="G1411" s="497"/>
      <c r="H1411" s="446">
        <f>ROUNDDOWN(SUMIF(P1406:P1410,O1411,H1406:H1410),0)</f>
        <v>28415</v>
      </c>
      <c r="I1411" s="497"/>
      <c r="J1411" s="446">
        <f>ROUNDDOWN(SUMIF(P1406:P1410,O1411,J1406:J1410),0)</f>
        <v>0</v>
      </c>
      <c r="K1411" s="497"/>
      <c r="L1411" s="446">
        <f>ROUNDDOWN(SUMIF(P1406:P1410,O1411,L1406:L1410),0)</f>
        <v>0</v>
      </c>
      <c r="M1411" s="497"/>
      <c r="O1411" s="468" t="s">
        <v>2354</v>
      </c>
    </row>
    <row r="1412" spans="1:26" ht="33.200000000000003" customHeight="1">
      <c r="A1412" s="484" t="s">
        <v>3100</v>
      </c>
      <c r="B1412" s="484"/>
      <c r="C1412" s="485"/>
      <c r="D1412" s="485"/>
      <c r="E1412" s="485"/>
      <c r="F1412" s="485"/>
      <c r="G1412" s="485"/>
      <c r="H1412" s="485"/>
      <c r="I1412" s="485"/>
      <c r="J1412" s="485"/>
      <c r="K1412" s="485"/>
      <c r="L1412" s="485"/>
      <c r="M1412" s="485"/>
      <c r="N1412" s="486" t="str">
        <f>HYPERLINK("#N"&amp;ROW(N1418),"_x0005_`BDCOD|B02725_x0007_`POSS|"&amp;ROW(N1414)&amp;"_x0007_`POSE|"&amp;ROW(N1418)&amp;"_x0007_`")</f>
        <v>_x0005_`BDCOD|B02725_x0007_`POSS|1414_x0007_`POSE|1418_x0007_`</v>
      </c>
    </row>
    <row r="1413" spans="1:26" ht="33.200000000000003" customHeight="1">
      <c r="A1413" s="469" t="s">
        <v>5208</v>
      </c>
      <c r="B1413" s="469" t="s">
        <v>1567</v>
      </c>
      <c r="C1413" s="487"/>
      <c r="D1413" s="488" t="s">
        <v>975</v>
      </c>
      <c r="E1413" s="487"/>
      <c r="F1413" s="487"/>
      <c r="G1413" s="487"/>
      <c r="H1413" s="487"/>
      <c r="I1413" s="487"/>
      <c r="J1413" s="487"/>
      <c r="K1413" s="487"/>
      <c r="L1413" s="487"/>
      <c r="M1413" s="488" t="s">
        <v>1568</v>
      </c>
      <c r="O1413" s="468" t="s">
        <v>1568</v>
      </c>
    </row>
    <row r="1414" spans="1:26" ht="33.200000000000003" customHeight="1">
      <c r="A1414" s="452" t="s">
        <v>2484</v>
      </c>
      <c r="B1414" s="452" t="s">
        <v>2561</v>
      </c>
      <c r="C1414" s="489">
        <v>0.08</v>
      </c>
      <c r="D1414" s="480" t="s">
        <v>8</v>
      </c>
      <c r="E1414" s="490">
        <f t="shared" ref="E1414:F1418" si="215">I1414+G1414+K1414</f>
        <v>102782</v>
      </c>
      <c r="F1414" s="493">
        <f t="shared" si="215"/>
        <v>8222.5</v>
      </c>
      <c r="G1414" s="494">
        <f>단가산출근거목록표!F156</f>
        <v>102782</v>
      </c>
      <c r="H1414" s="498">
        <f>IF(C1414=0,0,ROUNDDOWN(G1414*C1414,1))</f>
        <v>8222.5</v>
      </c>
      <c r="I1414" s="494">
        <f>단가산출근거목록표!G156</f>
        <v>0</v>
      </c>
      <c r="J1414" s="498">
        <f>IF(C1414=0,0,ROUNDDOWN(I1414*C1414,1))</f>
        <v>0</v>
      </c>
      <c r="K1414" s="494">
        <f>단가산출근거목록표!H156</f>
        <v>0</v>
      </c>
      <c r="L1414" s="498">
        <f>IF(C1414=0,0,ROUNDDOWN(K1414*C1414,1))</f>
        <v>0</v>
      </c>
      <c r="M1414" s="463" t="s">
        <v>2562</v>
      </c>
      <c r="N1414" s="451" t="s">
        <v>2586</v>
      </c>
      <c r="O1414" s="468" t="s">
        <v>2564</v>
      </c>
      <c r="P1414" s="468" t="s">
        <v>2354</v>
      </c>
      <c r="Q1414" s="468" t="s">
        <v>2355</v>
      </c>
      <c r="Z1414" s="433" t="str">
        <f ca="1">HYPERLINK("#"&amp;단가산출근거목록표!J2&amp;"!A"&amp;ROW(단가산출근거목록표!A156),"D01266 →")</f>
        <v>D01266 →</v>
      </c>
    </row>
    <row r="1415" spans="1:26" ht="33.200000000000003" customHeight="1">
      <c r="A1415" s="452" t="s">
        <v>2298</v>
      </c>
      <c r="B1415" s="452" t="s">
        <v>2299</v>
      </c>
      <c r="C1415" s="489">
        <v>5.2999999999999999E-2</v>
      </c>
      <c r="D1415" s="480" t="s">
        <v>8</v>
      </c>
      <c r="E1415" s="490">
        <f t="shared" si="215"/>
        <v>24089</v>
      </c>
      <c r="F1415" s="493">
        <f t="shared" si="215"/>
        <v>1276.7</v>
      </c>
      <c r="G1415" s="494">
        <f>일위대가목록표!F37</f>
        <v>24089</v>
      </c>
      <c r="H1415" s="498">
        <f>IF(C1415=0,0,ROUNDDOWN(G1415*C1415,1))</f>
        <v>1276.7</v>
      </c>
      <c r="I1415" s="494">
        <f>일위대가목록표!G37</f>
        <v>0</v>
      </c>
      <c r="J1415" s="498">
        <f>IF(C1415=0,0,ROUNDDOWN(I1415*C1415,1))</f>
        <v>0</v>
      </c>
      <c r="K1415" s="494">
        <f>일위대가목록표!H37</f>
        <v>0</v>
      </c>
      <c r="L1415" s="498">
        <f>IF(C1415=0,0,ROUNDDOWN(K1415*C1415,1))</f>
        <v>0</v>
      </c>
      <c r="M1415" s="463" t="s">
        <v>2492</v>
      </c>
      <c r="N1415" s="451" t="s">
        <v>2493</v>
      </c>
      <c r="O1415" s="468" t="s">
        <v>2494</v>
      </c>
      <c r="P1415" s="468" t="s">
        <v>2354</v>
      </c>
      <c r="Q1415" s="468" t="s">
        <v>2355</v>
      </c>
      <c r="Z1415" s="433" t="str">
        <f ca="1">HYPERLINK("#"&amp;일위대가목록표!J2&amp;"!A"&amp;ROW(일위대가목록표!A37),"B01447 →")</f>
        <v>B01447 →</v>
      </c>
    </row>
    <row r="1416" spans="1:26" ht="33.200000000000003" customHeight="1">
      <c r="A1416" s="452" t="s">
        <v>2321</v>
      </c>
      <c r="B1416" s="452" t="s">
        <v>2322</v>
      </c>
      <c r="C1416" s="489">
        <v>2.7E-2</v>
      </c>
      <c r="D1416" s="480" t="s">
        <v>8</v>
      </c>
      <c r="E1416" s="490">
        <f t="shared" si="215"/>
        <v>34413</v>
      </c>
      <c r="F1416" s="493">
        <f t="shared" si="215"/>
        <v>929.1</v>
      </c>
      <c r="G1416" s="494">
        <f>일위대가목록표!F275</f>
        <v>34413</v>
      </c>
      <c r="H1416" s="498">
        <f>IF(C1416=0,0,ROUNDDOWN(G1416*C1416,1))</f>
        <v>929.1</v>
      </c>
      <c r="I1416" s="494">
        <f>일위대가목록표!G275</f>
        <v>0</v>
      </c>
      <c r="J1416" s="498">
        <f>IF(C1416=0,0,ROUNDDOWN(I1416*C1416,1))</f>
        <v>0</v>
      </c>
      <c r="K1416" s="494">
        <f>일위대가목록표!H275</f>
        <v>0</v>
      </c>
      <c r="L1416" s="498">
        <f>IF(C1416=0,0,ROUNDDOWN(K1416*C1416,1))</f>
        <v>0</v>
      </c>
      <c r="M1416" s="463" t="s">
        <v>2489</v>
      </c>
      <c r="N1416" s="451" t="s">
        <v>2490</v>
      </c>
      <c r="O1416" s="468" t="s">
        <v>2491</v>
      </c>
      <c r="P1416" s="468" t="s">
        <v>2354</v>
      </c>
      <c r="Q1416" s="468" t="s">
        <v>2355</v>
      </c>
      <c r="Z1416" s="433" t="str">
        <f ca="1">HYPERLINK("#"&amp;일위대가목록표!J2&amp;"!A"&amp;ROW(일위대가목록표!A275),"B01414 →")</f>
        <v>B01414 →</v>
      </c>
    </row>
    <row r="1417" spans="1:26" ht="33.200000000000003" customHeight="1">
      <c r="A1417" s="452" t="s">
        <v>2955</v>
      </c>
      <c r="B1417" s="452" t="s">
        <v>2322</v>
      </c>
      <c r="C1417" s="489">
        <v>1</v>
      </c>
      <c r="D1417" s="480" t="s">
        <v>975</v>
      </c>
      <c r="E1417" s="490">
        <f t="shared" si="215"/>
        <v>14281</v>
      </c>
      <c r="F1417" s="493">
        <f t="shared" si="215"/>
        <v>14281</v>
      </c>
      <c r="G1417" s="494">
        <f>단가산출근거목록표!F69</f>
        <v>14281</v>
      </c>
      <c r="H1417" s="498">
        <f>IF(C1417=0,0,ROUNDDOWN(G1417*C1417,1))</f>
        <v>14281</v>
      </c>
      <c r="I1417" s="494">
        <f>단가산출근거목록표!G69</f>
        <v>0</v>
      </c>
      <c r="J1417" s="498">
        <f>IF(C1417=0,0,ROUNDDOWN(I1417*C1417,1))</f>
        <v>0</v>
      </c>
      <c r="K1417" s="494">
        <f>단가산출근거목록표!H69</f>
        <v>0</v>
      </c>
      <c r="L1417" s="498">
        <f>IF(C1417=0,0,ROUNDDOWN(K1417*C1417,1))</f>
        <v>0</v>
      </c>
      <c r="M1417" s="463" t="s">
        <v>2956</v>
      </c>
      <c r="N1417" s="451" t="s">
        <v>2960</v>
      </c>
      <c r="O1417" s="468" t="s">
        <v>2958</v>
      </c>
      <c r="P1417" s="468" t="s">
        <v>2354</v>
      </c>
      <c r="Q1417" s="468" t="s">
        <v>2355</v>
      </c>
      <c r="Z1417" s="433" t="str">
        <f ca="1">HYPERLINK("#"&amp;단가산출근거목록표!J2&amp;"!A"&amp;ROW(단가산출근거목록표!A69),"D01225 →")</f>
        <v>D01225 →</v>
      </c>
    </row>
    <row r="1418" spans="1:26" ht="33.200000000000003" customHeight="1">
      <c r="A1418" s="452" t="s">
        <v>2507</v>
      </c>
      <c r="B1418" s="452" t="s">
        <v>2441</v>
      </c>
      <c r="C1418" s="489">
        <v>25</v>
      </c>
      <c r="D1418" s="480" t="s">
        <v>2371</v>
      </c>
      <c r="E1418" s="490">
        <f t="shared" si="215"/>
        <v>24709.300000000003</v>
      </c>
      <c r="F1418" s="491">
        <f t="shared" si="215"/>
        <v>6177.3</v>
      </c>
      <c r="G1418" s="496">
        <f>H1414+H1415+H1416+H1417</f>
        <v>24709.300000000003</v>
      </c>
      <c r="H1418" s="491">
        <f>IF(C1418=0,0,ROUNDDOWN(G1418*C1418/100,1))</f>
        <v>6177.3</v>
      </c>
      <c r="I1418" s="465">
        <v>0</v>
      </c>
      <c r="J1418" s="493">
        <f>IF(C1418=0,0,ROUNDDOWN(I1418*C1418/100,1))</f>
        <v>0</v>
      </c>
      <c r="K1418" s="467">
        <v>0</v>
      </c>
      <c r="L1418" s="493">
        <f>IF(C1418=0,0,ROUNDDOWN(K1418*C1418/100,1))</f>
        <v>0</v>
      </c>
      <c r="M1418" s="463"/>
      <c r="N1418" s="451" t="s">
        <v>2508</v>
      </c>
      <c r="O1418" s="468" t="s">
        <v>2373</v>
      </c>
      <c r="P1418" s="468" t="s">
        <v>2354</v>
      </c>
    </row>
    <row r="1419" spans="1:26" ht="33.200000000000003" customHeight="1">
      <c r="A1419" s="463" t="s">
        <v>842</v>
      </c>
      <c r="B1419" s="497"/>
      <c r="C1419" s="497"/>
      <c r="D1419" s="497"/>
      <c r="E1419" s="497"/>
      <c r="F1419" s="446">
        <f>J1419+H1419+L1419</f>
        <v>30886</v>
      </c>
      <c r="G1419" s="497"/>
      <c r="H1419" s="446">
        <f>ROUNDDOWN(SUMIF(P1414:P1418,O1419,H1414:H1418),0)</f>
        <v>30886</v>
      </c>
      <c r="I1419" s="497"/>
      <c r="J1419" s="446">
        <f>ROUNDDOWN(SUMIF(P1414:P1418,O1419,J1414:J1418),0)</f>
        <v>0</v>
      </c>
      <c r="K1419" s="497"/>
      <c r="L1419" s="446">
        <f>ROUNDDOWN(SUMIF(P1414:P1418,O1419,L1414:L1418),0)</f>
        <v>0</v>
      </c>
      <c r="M1419" s="497"/>
      <c r="O1419" s="468" t="s">
        <v>2354</v>
      </c>
    </row>
    <row r="1420" spans="1:26" ht="33.200000000000003" customHeight="1">
      <c r="A1420" s="484" t="s">
        <v>3101</v>
      </c>
      <c r="B1420" s="484"/>
      <c r="C1420" s="485"/>
      <c r="D1420" s="485"/>
      <c r="E1420" s="485"/>
      <c r="F1420" s="485"/>
      <c r="G1420" s="485"/>
      <c r="H1420" s="485"/>
      <c r="I1420" s="485"/>
      <c r="J1420" s="485"/>
      <c r="K1420" s="485"/>
      <c r="L1420" s="485"/>
      <c r="M1420" s="485"/>
      <c r="N1420" s="486" t="str">
        <f>HYPERLINK("#N"&amp;ROW(N1424),"_x0005_`BDCOD|B02513_x0007_`POSS|"&amp;ROW(N1422)&amp;"_x0007_`POSE|"&amp;ROW(N1424)&amp;"_x0007_`")</f>
        <v>_x0005_`BDCOD|B02513_x0007_`POSS|1422_x0007_`POSE|1424_x0007_`</v>
      </c>
    </row>
    <row r="1421" spans="1:26" ht="33.200000000000003" customHeight="1">
      <c r="A1421" s="469" t="s">
        <v>1578</v>
      </c>
      <c r="B1421" s="469" t="s">
        <v>5210</v>
      </c>
      <c r="C1421" s="487"/>
      <c r="D1421" s="488" t="s">
        <v>911</v>
      </c>
      <c r="E1421" s="487"/>
      <c r="F1421" s="487"/>
      <c r="G1421" s="487"/>
      <c r="H1421" s="487"/>
      <c r="I1421" s="487"/>
      <c r="J1421" s="487"/>
      <c r="K1421" s="487"/>
      <c r="L1421" s="487"/>
      <c r="M1421" s="488" t="s">
        <v>1579</v>
      </c>
      <c r="O1421" s="468" t="s">
        <v>1579</v>
      </c>
    </row>
    <row r="1422" spans="1:26" ht="33.200000000000003" customHeight="1">
      <c r="A1422" s="452" t="s">
        <v>2948</v>
      </c>
      <c r="B1422" s="452" t="s">
        <v>2949</v>
      </c>
      <c r="C1422" s="489">
        <v>1.1000000000000001</v>
      </c>
      <c r="D1422" s="480" t="s">
        <v>911</v>
      </c>
      <c r="E1422" s="490">
        <f t="shared" ref="E1422:F1424" si="216">I1422+G1422+K1422</f>
        <v>735</v>
      </c>
      <c r="F1422" s="491">
        <f t="shared" si="216"/>
        <v>808.5</v>
      </c>
      <c r="G1422" s="492">
        <v>0</v>
      </c>
      <c r="H1422" s="493">
        <f>IF(C1422=0,0,ROUNDDOWN(G1422*C1422,1))</f>
        <v>0</v>
      </c>
      <c r="I1422" s="494">
        <f>재료비목록표!E4</f>
        <v>735</v>
      </c>
      <c r="J1422" s="495">
        <f>IF(C1422=0,0,ROUNDDOWN(I1422*C1422,1))</f>
        <v>808.5</v>
      </c>
      <c r="K1422" s="492">
        <v>0</v>
      </c>
      <c r="L1422" s="493">
        <f>IF(C1422=0,0,ROUNDDOWN(K1422*C1422,1))</f>
        <v>0</v>
      </c>
      <c r="M1422" s="463" t="s">
        <v>2950</v>
      </c>
      <c r="N1422" s="451" t="s">
        <v>2962</v>
      </c>
      <c r="O1422" s="468" t="s">
        <v>2952</v>
      </c>
      <c r="P1422" s="468" t="s">
        <v>2354</v>
      </c>
      <c r="Q1422" s="468" t="s">
        <v>2355</v>
      </c>
      <c r="Z1422" s="433" t="str">
        <f ca="1">HYPERLINK("#"&amp;재료비목록표!G2&amp;"!A"&amp;ROW(재료비목록표!A4),"M00666 →")</f>
        <v>M00666 →</v>
      </c>
    </row>
    <row r="1423" spans="1:26" ht="33.200000000000003" customHeight="1">
      <c r="A1423" s="452" t="s">
        <v>1578</v>
      </c>
      <c r="B1423" s="452" t="s">
        <v>2322</v>
      </c>
      <c r="C1423" s="489">
        <v>1</v>
      </c>
      <c r="D1423" s="480" t="s">
        <v>911</v>
      </c>
      <c r="E1423" s="490">
        <f t="shared" si="216"/>
        <v>7054</v>
      </c>
      <c r="F1423" s="493">
        <f t="shared" si="216"/>
        <v>7054</v>
      </c>
      <c r="G1423" s="494">
        <f>단가산출근거목록표!F68</f>
        <v>7054</v>
      </c>
      <c r="H1423" s="498">
        <f>IF(C1423=0,0,ROUNDDOWN(G1423*C1423,1))</f>
        <v>7054</v>
      </c>
      <c r="I1423" s="494">
        <f>단가산출근거목록표!G68</f>
        <v>0</v>
      </c>
      <c r="J1423" s="498">
        <f>IF(C1423=0,0,ROUNDDOWN(I1423*C1423,1))</f>
        <v>0</v>
      </c>
      <c r="K1423" s="494">
        <f>단가산출근거목록표!H68</f>
        <v>0</v>
      </c>
      <c r="L1423" s="498">
        <f>IF(C1423=0,0,ROUNDDOWN(K1423*C1423,1))</f>
        <v>0</v>
      </c>
      <c r="M1423" s="463" t="s">
        <v>2963</v>
      </c>
      <c r="N1423" s="451" t="s">
        <v>2964</v>
      </c>
      <c r="O1423" s="468" t="s">
        <v>2965</v>
      </c>
      <c r="P1423" s="468" t="s">
        <v>2354</v>
      </c>
      <c r="Z1423" s="433" t="str">
        <f ca="1">HYPERLINK("#"&amp;단가산출근거목록표!J2&amp;"!A"&amp;ROW(단가산출근거목록표!A68),"D01226 →")</f>
        <v>D01226 →</v>
      </c>
    </row>
    <row r="1424" spans="1:26" ht="33.200000000000003" customHeight="1">
      <c r="A1424" s="452" t="s">
        <v>2966</v>
      </c>
      <c r="B1424" s="452" t="s">
        <v>2967</v>
      </c>
      <c r="C1424" s="489">
        <v>0.2</v>
      </c>
      <c r="D1424" s="480" t="s">
        <v>2377</v>
      </c>
      <c r="E1424" s="490">
        <f t="shared" si="216"/>
        <v>1309</v>
      </c>
      <c r="F1424" s="491">
        <f t="shared" si="216"/>
        <v>261.8</v>
      </c>
      <c r="G1424" s="492">
        <v>0</v>
      </c>
      <c r="H1424" s="493">
        <f>IF(C1424=0,0,ROUNDDOWN(G1424*C1424,1))</f>
        <v>0</v>
      </c>
      <c r="I1424" s="494">
        <f>재료비목록표!E6</f>
        <v>1309</v>
      </c>
      <c r="J1424" s="495">
        <f>IF(C1424=0,0,ROUNDDOWN(I1424*C1424,1))</f>
        <v>261.8</v>
      </c>
      <c r="K1424" s="492">
        <v>0</v>
      </c>
      <c r="L1424" s="493">
        <f>IF(C1424=0,0,ROUNDDOWN(K1424*C1424,1))</f>
        <v>0</v>
      </c>
      <c r="M1424" s="463" t="s">
        <v>2968</v>
      </c>
      <c r="N1424" s="451" t="s">
        <v>2969</v>
      </c>
      <c r="O1424" s="468" t="s">
        <v>2970</v>
      </c>
      <c r="P1424" s="468" t="s">
        <v>2354</v>
      </c>
      <c r="Q1424" s="468" t="s">
        <v>2355</v>
      </c>
      <c r="Z1424" s="433" t="str">
        <f ca="1">HYPERLINK("#"&amp;재료비목록표!G2&amp;"!A"&amp;ROW(재료비목록표!A6),"M00795 →")</f>
        <v>M00795 →</v>
      </c>
    </row>
    <row r="1425" spans="1:26" ht="33.200000000000003" customHeight="1">
      <c r="A1425" s="463" t="s">
        <v>842</v>
      </c>
      <c r="B1425" s="497"/>
      <c r="C1425" s="497"/>
      <c r="D1425" s="497"/>
      <c r="E1425" s="497"/>
      <c r="F1425" s="446">
        <f>J1425+H1425+L1425</f>
        <v>8124</v>
      </c>
      <c r="G1425" s="497"/>
      <c r="H1425" s="446">
        <f>ROUNDDOWN(SUMIF(P1422:P1424,O1425,H1422:H1424),0)</f>
        <v>7054</v>
      </c>
      <c r="I1425" s="497"/>
      <c r="J1425" s="446">
        <f>ROUNDDOWN(SUMIF(P1422:P1424,O1425,J1422:J1424),0)</f>
        <v>1070</v>
      </c>
      <c r="K1425" s="497"/>
      <c r="L1425" s="446">
        <f>ROUNDDOWN(SUMIF(P1422:P1424,O1425,L1422:L1424),0)</f>
        <v>0</v>
      </c>
      <c r="M1425" s="497"/>
      <c r="O1425" s="468" t="s">
        <v>2354</v>
      </c>
    </row>
    <row r="1426" spans="1:26" ht="33.200000000000003" customHeight="1">
      <c r="A1426" s="484" t="s">
        <v>3107</v>
      </c>
      <c r="B1426" s="484"/>
      <c r="C1426" s="485"/>
      <c r="D1426" s="485"/>
      <c r="E1426" s="485"/>
      <c r="F1426" s="485"/>
      <c r="G1426" s="485"/>
      <c r="H1426" s="485"/>
      <c r="I1426" s="485"/>
      <c r="J1426" s="485"/>
      <c r="K1426" s="485"/>
      <c r="L1426" s="485"/>
      <c r="M1426" s="485"/>
      <c r="N1426" s="486" t="str">
        <f>HYPERLINK("#N"&amp;ROW(N1431),"_x0005_`BDCOD|B02868_x0007_`POSS|"&amp;ROW(N1428)&amp;"_x0007_`POSE|"&amp;ROW(N1431)&amp;"_x0007_`")</f>
        <v>_x0005_`BDCOD|B02868_x0007_`POSS|1428_x0007_`POSE|1431_x0007_`</v>
      </c>
    </row>
    <row r="1427" spans="1:26" ht="33.200000000000003" customHeight="1">
      <c r="A1427" s="469" t="s">
        <v>5209</v>
      </c>
      <c r="B1427" s="469" t="s">
        <v>5210</v>
      </c>
      <c r="C1427" s="487"/>
      <c r="D1427" s="488" t="s">
        <v>911</v>
      </c>
      <c r="E1427" s="487"/>
      <c r="F1427" s="487"/>
      <c r="G1427" s="487"/>
      <c r="H1427" s="487"/>
      <c r="I1427" s="487"/>
      <c r="J1427" s="487"/>
      <c r="K1427" s="487"/>
      <c r="L1427" s="487"/>
      <c r="M1427" s="488" t="s">
        <v>5211</v>
      </c>
      <c r="O1427" s="468" t="s">
        <v>5211</v>
      </c>
    </row>
    <row r="1428" spans="1:26" ht="33.200000000000003" customHeight="1">
      <c r="A1428" s="452" t="s">
        <v>2948</v>
      </c>
      <c r="B1428" s="452" t="s">
        <v>2949</v>
      </c>
      <c r="C1428" s="489">
        <v>1.05</v>
      </c>
      <c r="D1428" s="480" t="s">
        <v>911</v>
      </c>
      <c r="E1428" s="490">
        <f t="shared" ref="E1428:F1431" si="217">I1428+G1428+K1428</f>
        <v>735</v>
      </c>
      <c r="F1428" s="491">
        <f t="shared" si="217"/>
        <v>771.7</v>
      </c>
      <c r="G1428" s="492">
        <v>0</v>
      </c>
      <c r="H1428" s="493">
        <f>IF(C1428=0,0,ROUNDDOWN(G1428*C1428,1))</f>
        <v>0</v>
      </c>
      <c r="I1428" s="494">
        <f>재료비목록표!E4</f>
        <v>735</v>
      </c>
      <c r="J1428" s="495">
        <f>IF(C1428=0,0,ROUNDDOWN(I1428*C1428,1))</f>
        <v>771.7</v>
      </c>
      <c r="K1428" s="492">
        <v>0</v>
      </c>
      <c r="L1428" s="493">
        <f>IF(C1428=0,0,ROUNDDOWN(K1428*C1428,1))</f>
        <v>0</v>
      </c>
      <c r="M1428" s="463" t="s">
        <v>2950</v>
      </c>
      <c r="N1428" s="451" t="s">
        <v>2962</v>
      </c>
      <c r="O1428" s="468" t="s">
        <v>2952</v>
      </c>
      <c r="P1428" s="468" t="s">
        <v>2354</v>
      </c>
      <c r="Q1428" s="468" t="s">
        <v>2355</v>
      </c>
      <c r="Z1428" s="433" t="str">
        <f ca="1">HYPERLINK("#"&amp;재료비목록표!G2&amp;"!A"&amp;ROW(재료비목록표!A4),"M00666 →")</f>
        <v>M00666 →</v>
      </c>
    </row>
    <row r="1429" spans="1:26" ht="33.200000000000003" customHeight="1">
      <c r="A1429" s="452" t="s">
        <v>1578</v>
      </c>
      <c r="B1429" s="452" t="s">
        <v>2322</v>
      </c>
      <c r="C1429" s="489">
        <v>1</v>
      </c>
      <c r="D1429" s="480" t="s">
        <v>911</v>
      </c>
      <c r="E1429" s="490">
        <f t="shared" si="217"/>
        <v>7054</v>
      </c>
      <c r="F1429" s="493">
        <f t="shared" si="217"/>
        <v>7054</v>
      </c>
      <c r="G1429" s="494">
        <f>단가산출근거목록표!F68</f>
        <v>7054</v>
      </c>
      <c r="H1429" s="498">
        <f>IF(C1429=0,0,ROUNDDOWN(G1429*C1429,1))</f>
        <v>7054</v>
      </c>
      <c r="I1429" s="494">
        <f>단가산출근거목록표!G68</f>
        <v>0</v>
      </c>
      <c r="J1429" s="498">
        <f>IF(C1429=0,0,ROUNDDOWN(I1429*C1429,1))</f>
        <v>0</v>
      </c>
      <c r="K1429" s="494">
        <f>단가산출근거목록표!H68</f>
        <v>0</v>
      </c>
      <c r="L1429" s="498">
        <f>IF(C1429=0,0,ROUNDDOWN(K1429*C1429,1))</f>
        <v>0</v>
      </c>
      <c r="M1429" s="463" t="s">
        <v>2963</v>
      </c>
      <c r="N1429" s="451" t="s">
        <v>2972</v>
      </c>
      <c r="O1429" s="468" t="s">
        <v>2965</v>
      </c>
      <c r="P1429" s="468" t="s">
        <v>2354</v>
      </c>
      <c r="Q1429" s="468" t="s">
        <v>2355</v>
      </c>
      <c r="Z1429" s="433" t="str">
        <f ca="1">HYPERLINK("#"&amp;단가산출근거목록표!J2&amp;"!A"&amp;ROW(단가산출근거목록표!A68),"D01226 →")</f>
        <v>D01226 →</v>
      </c>
    </row>
    <row r="1430" spans="1:26" ht="33.200000000000003" customHeight="1">
      <c r="A1430" s="452" t="s">
        <v>2966</v>
      </c>
      <c r="B1430" s="452" t="s">
        <v>2967</v>
      </c>
      <c r="C1430" s="489">
        <v>0.2</v>
      </c>
      <c r="D1430" s="480" t="s">
        <v>2377</v>
      </c>
      <c r="E1430" s="490">
        <f t="shared" si="217"/>
        <v>1309</v>
      </c>
      <c r="F1430" s="491">
        <f t="shared" si="217"/>
        <v>261.8</v>
      </c>
      <c r="G1430" s="492">
        <v>0</v>
      </c>
      <c r="H1430" s="493">
        <f>IF(C1430=0,0,ROUNDDOWN(G1430*C1430,1))</f>
        <v>0</v>
      </c>
      <c r="I1430" s="494">
        <f>재료비목록표!E6</f>
        <v>1309</v>
      </c>
      <c r="J1430" s="495">
        <f>IF(C1430=0,0,ROUNDDOWN(I1430*C1430,1))</f>
        <v>261.8</v>
      </c>
      <c r="K1430" s="492">
        <v>0</v>
      </c>
      <c r="L1430" s="493">
        <f>IF(C1430=0,0,ROUNDDOWN(K1430*C1430,1))</f>
        <v>0</v>
      </c>
      <c r="M1430" s="463" t="s">
        <v>2968</v>
      </c>
      <c r="N1430" s="451" t="s">
        <v>2973</v>
      </c>
      <c r="O1430" s="468" t="s">
        <v>2970</v>
      </c>
      <c r="P1430" s="468" t="s">
        <v>2354</v>
      </c>
      <c r="Z1430" s="433" t="str">
        <f ca="1">HYPERLINK("#"&amp;재료비목록표!G2&amp;"!A"&amp;ROW(재료비목록표!A6),"M00795 →")</f>
        <v>M00795 →</v>
      </c>
    </row>
    <row r="1431" spans="1:26" ht="33.200000000000003" customHeight="1">
      <c r="A1431" s="452" t="s">
        <v>2507</v>
      </c>
      <c r="B1431" s="452" t="s">
        <v>2441</v>
      </c>
      <c r="C1431" s="489">
        <v>15</v>
      </c>
      <c r="D1431" s="480" t="s">
        <v>2371</v>
      </c>
      <c r="E1431" s="490">
        <f t="shared" si="217"/>
        <v>7054</v>
      </c>
      <c r="F1431" s="491">
        <f t="shared" si="217"/>
        <v>1058.0999999999999</v>
      </c>
      <c r="G1431" s="496">
        <f>H1428+H1429</f>
        <v>7054</v>
      </c>
      <c r="H1431" s="491">
        <f>IF(C1431=0,0,ROUNDDOWN(G1431*C1431/100,1))</f>
        <v>1058.0999999999999</v>
      </c>
      <c r="I1431" s="465">
        <v>0</v>
      </c>
      <c r="J1431" s="493">
        <f>IF(C1431=0,0,ROUNDDOWN(I1431*C1431/100,1))</f>
        <v>0</v>
      </c>
      <c r="K1431" s="467">
        <v>0</v>
      </c>
      <c r="L1431" s="493">
        <f>IF(C1431=0,0,ROUNDDOWN(K1431*C1431/100,1))</f>
        <v>0</v>
      </c>
      <c r="M1431" s="463"/>
      <c r="N1431" s="451" t="s">
        <v>2508</v>
      </c>
      <c r="O1431" s="468" t="s">
        <v>2373</v>
      </c>
      <c r="P1431" s="468" t="s">
        <v>2354</v>
      </c>
    </row>
    <row r="1432" spans="1:26" ht="33.200000000000003" customHeight="1">
      <c r="A1432" s="463" t="s">
        <v>842</v>
      </c>
      <c r="B1432" s="497"/>
      <c r="C1432" s="497"/>
      <c r="D1432" s="497"/>
      <c r="E1432" s="497"/>
      <c r="F1432" s="446">
        <f>J1432+H1432+L1432</f>
        <v>9145</v>
      </c>
      <c r="G1432" s="497"/>
      <c r="H1432" s="446">
        <f>ROUNDDOWN(SUMIF(P1428:P1431,O1432,H1428:H1431),0)</f>
        <v>8112</v>
      </c>
      <c r="I1432" s="497"/>
      <c r="J1432" s="446">
        <f>ROUNDDOWN(SUMIF(P1428:P1431,O1432,J1428:J1431),0)</f>
        <v>1033</v>
      </c>
      <c r="K1432" s="497"/>
      <c r="L1432" s="446">
        <f>ROUNDDOWN(SUMIF(P1428:P1431,O1432,L1428:L1431),0)</f>
        <v>0</v>
      </c>
      <c r="M1432" s="497"/>
      <c r="O1432" s="468" t="s">
        <v>2354</v>
      </c>
    </row>
    <row r="1433" spans="1:26" ht="33.200000000000003" customHeight="1">
      <c r="A1433" s="484" t="s">
        <v>3108</v>
      </c>
      <c r="B1433" s="484"/>
      <c r="C1433" s="485"/>
      <c r="D1433" s="485"/>
      <c r="E1433" s="485"/>
      <c r="F1433" s="485"/>
      <c r="G1433" s="485"/>
      <c r="H1433" s="485"/>
      <c r="I1433" s="485"/>
      <c r="J1433" s="485"/>
      <c r="K1433" s="485"/>
      <c r="L1433" s="485"/>
      <c r="M1433" s="485"/>
      <c r="N1433" s="486" t="str">
        <f>HYPERLINK("#N"&amp;ROW(N1438),"_x0005_`BDCOD|B02720_x0007_`POSS|"&amp;ROW(N1435)&amp;"_x0007_`POSE|"&amp;ROW(N1438)&amp;"_x0007_`")</f>
        <v>_x0005_`BDCOD|B02720_x0007_`POSS|1435_x0007_`POSE|1438_x0007_`</v>
      </c>
    </row>
    <row r="1434" spans="1:26" ht="33.200000000000003" customHeight="1">
      <c r="A1434" s="469" t="s">
        <v>5214</v>
      </c>
      <c r="B1434" s="469" t="s">
        <v>5210</v>
      </c>
      <c r="C1434" s="487"/>
      <c r="D1434" s="488" t="s">
        <v>911</v>
      </c>
      <c r="E1434" s="487"/>
      <c r="F1434" s="487"/>
      <c r="G1434" s="487"/>
      <c r="H1434" s="487"/>
      <c r="I1434" s="487"/>
      <c r="J1434" s="487"/>
      <c r="K1434" s="487"/>
      <c r="L1434" s="487"/>
      <c r="M1434" s="488" t="s">
        <v>1575</v>
      </c>
      <c r="O1434" s="468" t="s">
        <v>1575</v>
      </c>
    </row>
    <row r="1435" spans="1:26" ht="33.200000000000003" customHeight="1">
      <c r="A1435" s="452" t="s">
        <v>2948</v>
      </c>
      <c r="B1435" s="452" t="s">
        <v>2949</v>
      </c>
      <c r="C1435" s="489">
        <v>1.05</v>
      </c>
      <c r="D1435" s="480" t="s">
        <v>911</v>
      </c>
      <c r="E1435" s="490">
        <f t="shared" ref="E1435:F1438" si="218">I1435+G1435+K1435</f>
        <v>735</v>
      </c>
      <c r="F1435" s="491">
        <f t="shared" si="218"/>
        <v>771.7</v>
      </c>
      <c r="G1435" s="492">
        <v>0</v>
      </c>
      <c r="H1435" s="493">
        <f>IF(C1435=0,0,ROUNDDOWN(G1435*C1435,1))</f>
        <v>0</v>
      </c>
      <c r="I1435" s="494">
        <f>재료비목록표!E4</f>
        <v>735</v>
      </c>
      <c r="J1435" s="495">
        <f>IF(C1435=0,0,ROUNDDOWN(I1435*C1435,1))</f>
        <v>771.7</v>
      </c>
      <c r="K1435" s="492">
        <v>0</v>
      </c>
      <c r="L1435" s="493">
        <f>IF(C1435=0,0,ROUNDDOWN(K1435*C1435,1))</f>
        <v>0</v>
      </c>
      <c r="M1435" s="463" t="s">
        <v>2950</v>
      </c>
      <c r="N1435" s="451" t="s">
        <v>2962</v>
      </c>
      <c r="O1435" s="468" t="s">
        <v>2952</v>
      </c>
      <c r="P1435" s="468" t="s">
        <v>2354</v>
      </c>
      <c r="Q1435" s="468" t="s">
        <v>2355</v>
      </c>
      <c r="Z1435" s="433" t="str">
        <f ca="1">HYPERLINK("#"&amp;재료비목록표!G2&amp;"!A"&amp;ROW(재료비목록표!A4),"M00666 →")</f>
        <v>M00666 →</v>
      </c>
    </row>
    <row r="1436" spans="1:26" ht="33.200000000000003" customHeight="1">
      <c r="A1436" s="452" t="s">
        <v>1578</v>
      </c>
      <c r="B1436" s="452" t="s">
        <v>2322</v>
      </c>
      <c r="C1436" s="489">
        <v>1</v>
      </c>
      <c r="D1436" s="480" t="s">
        <v>911</v>
      </c>
      <c r="E1436" s="490">
        <f t="shared" si="218"/>
        <v>7054</v>
      </c>
      <c r="F1436" s="493">
        <f t="shared" si="218"/>
        <v>7054</v>
      </c>
      <c r="G1436" s="494">
        <f>단가산출근거목록표!F68</f>
        <v>7054</v>
      </c>
      <c r="H1436" s="498">
        <f>IF(C1436=0,0,ROUNDDOWN(G1436*C1436,1))</f>
        <v>7054</v>
      </c>
      <c r="I1436" s="494">
        <f>단가산출근거목록표!G68</f>
        <v>0</v>
      </c>
      <c r="J1436" s="498">
        <f>IF(C1436=0,0,ROUNDDOWN(I1436*C1436,1))</f>
        <v>0</v>
      </c>
      <c r="K1436" s="494">
        <f>단가산출근거목록표!H68</f>
        <v>0</v>
      </c>
      <c r="L1436" s="498">
        <f>IF(C1436=0,0,ROUNDDOWN(K1436*C1436,1))</f>
        <v>0</v>
      </c>
      <c r="M1436" s="463" t="s">
        <v>2963</v>
      </c>
      <c r="N1436" s="451" t="s">
        <v>2972</v>
      </c>
      <c r="O1436" s="468" t="s">
        <v>2965</v>
      </c>
      <c r="P1436" s="468" t="s">
        <v>2354</v>
      </c>
      <c r="Q1436" s="468" t="s">
        <v>2355</v>
      </c>
      <c r="Z1436" s="433" t="str">
        <f ca="1">HYPERLINK("#"&amp;단가산출근거목록표!J2&amp;"!A"&amp;ROW(단가산출근거목록표!A68),"D01226 →")</f>
        <v>D01226 →</v>
      </c>
    </row>
    <row r="1437" spans="1:26" ht="33.200000000000003" customHeight="1">
      <c r="A1437" s="452" t="s">
        <v>2966</v>
      </c>
      <c r="B1437" s="452" t="s">
        <v>2967</v>
      </c>
      <c r="C1437" s="489">
        <v>0.2</v>
      </c>
      <c r="D1437" s="480" t="s">
        <v>2377</v>
      </c>
      <c r="E1437" s="490">
        <f t="shared" si="218"/>
        <v>1309</v>
      </c>
      <c r="F1437" s="491">
        <f t="shared" si="218"/>
        <v>261.8</v>
      </c>
      <c r="G1437" s="492">
        <v>0</v>
      </c>
      <c r="H1437" s="493">
        <f>IF(C1437=0,0,ROUNDDOWN(G1437*C1437,1))</f>
        <v>0</v>
      </c>
      <c r="I1437" s="494">
        <f>재료비목록표!E6</f>
        <v>1309</v>
      </c>
      <c r="J1437" s="495">
        <f>IF(C1437=0,0,ROUNDDOWN(I1437*C1437,1))</f>
        <v>261.8</v>
      </c>
      <c r="K1437" s="492">
        <v>0</v>
      </c>
      <c r="L1437" s="493">
        <f>IF(C1437=0,0,ROUNDDOWN(K1437*C1437,1))</f>
        <v>0</v>
      </c>
      <c r="M1437" s="463" t="s">
        <v>2968</v>
      </c>
      <c r="N1437" s="451" t="s">
        <v>2973</v>
      </c>
      <c r="O1437" s="468" t="s">
        <v>2970</v>
      </c>
      <c r="P1437" s="468" t="s">
        <v>2354</v>
      </c>
      <c r="Z1437" s="433" t="str">
        <f ca="1">HYPERLINK("#"&amp;재료비목록표!G2&amp;"!A"&amp;ROW(재료비목록표!A6),"M00795 →")</f>
        <v>M00795 →</v>
      </c>
    </row>
    <row r="1438" spans="1:26" ht="33.200000000000003" customHeight="1">
      <c r="A1438" s="452" t="s">
        <v>2507</v>
      </c>
      <c r="B1438" s="452" t="s">
        <v>2441</v>
      </c>
      <c r="C1438" s="489">
        <v>25</v>
      </c>
      <c r="D1438" s="480" t="s">
        <v>2371</v>
      </c>
      <c r="E1438" s="490">
        <f t="shared" si="218"/>
        <v>7054</v>
      </c>
      <c r="F1438" s="491">
        <f t="shared" si="218"/>
        <v>1763.5</v>
      </c>
      <c r="G1438" s="496">
        <f>H1435+H1436</f>
        <v>7054</v>
      </c>
      <c r="H1438" s="491">
        <f>IF(C1438=0,0,ROUNDDOWN(G1438*C1438/100,1))</f>
        <v>1763.5</v>
      </c>
      <c r="I1438" s="465">
        <v>0</v>
      </c>
      <c r="J1438" s="493">
        <f>IF(C1438=0,0,ROUNDDOWN(I1438*C1438/100,1))</f>
        <v>0</v>
      </c>
      <c r="K1438" s="467">
        <v>0</v>
      </c>
      <c r="L1438" s="493">
        <f>IF(C1438=0,0,ROUNDDOWN(K1438*C1438/100,1))</f>
        <v>0</v>
      </c>
      <c r="M1438" s="463"/>
      <c r="N1438" s="451" t="s">
        <v>2508</v>
      </c>
      <c r="O1438" s="468" t="s">
        <v>2373</v>
      </c>
      <c r="P1438" s="468" t="s">
        <v>2354</v>
      </c>
    </row>
    <row r="1439" spans="1:26" ht="33.200000000000003" customHeight="1">
      <c r="A1439" s="463" t="s">
        <v>842</v>
      </c>
      <c r="B1439" s="497"/>
      <c r="C1439" s="497"/>
      <c r="D1439" s="497"/>
      <c r="E1439" s="497"/>
      <c r="F1439" s="446">
        <f>J1439+H1439+L1439</f>
        <v>9850</v>
      </c>
      <c r="G1439" s="497"/>
      <c r="H1439" s="446">
        <f>ROUNDDOWN(SUMIF(P1435:P1438,O1439,H1435:H1438),0)</f>
        <v>8817</v>
      </c>
      <c r="I1439" s="497"/>
      <c r="J1439" s="446">
        <f>ROUNDDOWN(SUMIF(P1435:P1438,O1439,J1435:J1438),0)</f>
        <v>1033</v>
      </c>
      <c r="K1439" s="497"/>
      <c r="L1439" s="446">
        <f>ROUNDDOWN(SUMIF(P1435:P1438,O1439,L1435:L1438),0)</f>
        <v>0</v>
      </c>
      <c r="M1439" s="497"/>
      <c r="O1439" s="468" t="s">
        <v>2354</v>
      </c>
    </row>
    <row r="1440" spans="1:26" ht="33.200000000000003" customHeight="1">
      <c r="A1440" s="484" t="s">
        <v>3109</v>
      </c>
      <c r="B1440" s="484"/>
      <c r="C1440" s="485"/>
      <c r="D1440" s="485"/>
      <c r="E1440" s="485"/>
      <c r="F1440" s="485"/>
      <c r="G1440" s="485"/>
      <c r="H1440" s="485"/>
      <c r="I1440" s="485"/>
      <c r="J1440" s="485"/>
      <c r="K1440" s="485"/>
      <c r="L1440" s="485"/>
      <c r="M1440" s="485"/>
      <c r="N1440" s="486" t="str">
        <f>HYPERLINK("#N"&amp;ROW(N1450),"_x0005_`BDCOD|B02473_x0007_`POSS|"&amp;ROW(N1442)&amp;"_x0007_`POSE|"&amp;ROW(N1450)&amp;"_x0007_`")</f>
        <v>_x0005_`BDCOD|B02473_x0007_`POSS|1442_x0007_`POSE|1450_x0007_`</v>
      </c>
    </row>
    <row r="1441" spans="1:26" ht="33.200000000000003" customHeight="1">
      <c r="A1441" s="469" t="s">
        <v>979</v>
      </c>
      <c r="B1441" s="469" t="s">
        <v>974</v>
      </c>
      <c r="C1441" s="487"/>
      <c r="D1441" s="488" t="s">
        <v>975</v>
      </c>
      <c r="E1441" s="487"/>
      <c r="F1441" s="487"/>
      <c r="G1441" s="487"/>
      <c r="H1441" s="487"/>
      <c r="I1441" s="487"/>
      <c r="J1441" s="487"/>
      <c r="K1441" s="487"/>
      <c r="L1441" s="487"/>
      <c r="M1441" s="488" t="s">
        <v>980</v>
      </c>
      <c r="O1441" s="468" t="s">
        <v>980</v>
      </c>
    </row>
    <row r="1442" spans="1:26" ht="33.200000000000003" customHeight="1">
      <c r="A1442" s="452" t="s">
        <v>2484</v>
      </c>
      <c r="B1442" s="452" t="s">
        <v>2485</v>
      </c>
      <c r="C1442" s="489">
        <v>0.151</v>
      </c>
      <c r="D1442" s="480" t="s">
        <v>8</v>
      </c>
      <c r="E1442" s="490">
        <f t="shared" ref="E1442:F1450" si="219">I1442+G1442+K1442</f>
        <v>62811</v>
      </c>
      <c r="F1442" s="493">
        <f t="shared" si="219"/>
        <v>9484.4</v>
      </c>
      <c r="G1442" s="494">
        <f>단가산출근거목록표!F157</f>
        <v>62811</v>
      </c>
      <c r="H1442" s="498">
        <f t="shared" ref="H1442:H1450" si="220">IF(C1442=0,0,ROUNDDOWN(G1442*C1442,1))</f>
        <v>9484.4</v>
      </c>
      <c r="I1442" s="494">
        <f>단가산출근거목록표!G157</f>
        <v>0</v>
      </c>
      <c r="J1442" s="498">
        <f t="shared" ref="J1442:J1450" si="221">IF(C1442=0,0,ROUNDDOWN(I1442*C1442,1))</f>
        <v>0</v>
      </c>
      <c r="K1442" s="494">
        <f>단가산출근거목록표!H157</f>
        <v>0</v>
      </c>
      <c r="L1442" s="498">
        <f t="shared" ref="L1442:L1450" si="222">IF(C1442=0,0,ROUNDDOWN(K1442*C1442,1))</f>
        <v>0</v>
      </c>
      <c r="M1442" s="463" t="s">
        <v>2486</v>
      </c>
      <c r="N1442" s="451" t="s">
        <v>2487</v>
      </c>
      <c r="O1442" s="468" t="s">
        <v>2488</v>
      </c>
      <c r="P1442" s="468" t="s">
        <v>2354</v>
      </c>
      <c r="Q1442" s="468" t="s">
        <v>2355</v>
      </c>
      <c r="Z1442" s="433" t="str">
        <f ca="1">HYPERLINK("#"&amp;단가산출근거목록표!J2&amp;"!A"&amp;ROW(단가산출근거목록표!A157),"D01241 →")</f>
        <v>D01241 →</v>
      </c>
    </row>
    <row r="1443" spans="1:26" ht="33.200000000000003" customHeight="1">
      <c r="A1443" s="452" t="s">
        <v>2321</v>
      </c>
      <c r="B1443" s="452" t="s">
        <v>2322</v>
      </c>
      <c r="C1443" s="489">
        <v>4.2999999999999997E-2</v>
      </c>
      <c r="D1443" s="480" t="s">
        <v>8</v>
      </c>
      <c r="E1443" s="490">
        <f t="shared" si="219"/>
        <v>34413</v>
      </c>
      <c r="F1443" s="493">
        <f t="shared" si="219"/>
        <v>1479.7</v>
      </c>
      <c r="G1443" s="494">
        <f>일위대가목록표!F275</f>
        <v>34413</v>
      </c>
      <c r="H1443" s="498">
        <f t="shared" si="220"/>
        <v>1479.7</v>
      </c>
      <c r="I1443" s="494">
        <f>일위대가목록표!G275</f>
        <v>0</v>
      </c>
      <c r="J1443" s="498">
        <f t="shared" si="221"/>
        <v>0</v>
      </c>
      <c r="K1443" s="494">
        <f>일위대가목록표!H275</f>
        <v>0</v>
      </c>
      <c r="L1443" s="498">
        <f t="shared" si="222"/>
        <v>0</v>
      </c>
      <c r="M1443" s="463" t="s">
        <v>2489</v>
      </c>
      <c r="N1443" s="451" t="s">
        <v>2490</v>
      </c>
      <c r="O1443" s="468" t="s">
        <v>2491</v>
      </c>
      <c r="P1443" s="468" t="s">
        <v>2354</v>
      </c>
      <c r="Q1443" s="468" t="s">
        <v>2355</v>
      </c>
      <c r="Z1443" s="433" t="str">
        <f ca="1">HYPERLINK("#"&amp;일위대가목록표!J2&amp;"!A"&amp;ROW(일위대가목록표!A275),"B01414 →")</f>
        <v>B01414 →</v>
      </c>
    </row>
    <row r="1444" spans="1:26" ht="33.200000000000003" customHeight="1">
      <c r="A1444" s="452" t="s">
        <v>2298</v>
      </c>
      <c r="B1444" s="452" t="s">
        <v>2299</v>
      </c>
      <c r="C1444" s="489">
        <v>0.108</v>
      </c>
      <c r="D1444" s="480" t="s">
        <v>8</v>
      </c>
      <c r="E1444" s="490">
        <f t="shared" si="219"/>
        <v>24089</v>
      </c>
      <c r="F1444" s="493">
        <f t="shared" si="219"/>
        <v>2601.6</v>
      </c>
      <c r="G1444" s="494">
        <f>일위대가목록표!F37</f>
        <v>24089</v>
      </c>
      <c r="H1444" s="498">
        <f t="shared" si="220"/>
        <v>2601.6</v>
      </c>
      <c r="I1444" s="494">
        <f>일위대가목록표!G37</f>
        <v>0</v>
      </c>
      <c r="J1444" s="498">
        <f t="shared" si="221"/>
        <v>0</v>
      </c>
      <c r="K1444" s="494">
        <f>일위대가목록표!H37</f>
        <v>0</v>
      </c>
      <c r="L1444" s="498">
        <f t="shared" si="222"/>
        <v>0</v>
      </c>
      <c r="M1444" s="463" t="s">
        <v>2492</v>
      </c>
      <c r="N1444" s="451" t="s">
        <v>2493</v>
      </c>
      <c r="O1444" s="468" t="s">
        <v>2494</v>
      </c>
      <c r="P1444" s="468" t="s">
        <v>2354</v>
      </c>
      <c r="Q1444" s="468" t="s">
        <v>2355</v>
      </c>
      <c r="Z1444" s="433" t="str">
        <f ca="1">HYPERLINK("#"&amp;일위대가목록표!J2&amp;"!A"&amp;ROW(일위대가목록표!A37),"B01447 →")</f>
        <v>B01447 →</v>
      </c>
    </row>
    <row r="1445" spans="1:26" ht="33.200000000000003" customHeight="1">
      <c r="A1445" s="452" t="s">
        <v>2342</v>
      </c>
      <c r="B1445" s="452" t="s">
        <v>2343</v>
      </c>
      <c r="C1445" s="489">
        <v>4.2999999999999997E-2</v>
      </c>
      <c r="D1445" s="480" t="s">
        <v>8</v>
      </c>
      <c r="E1445" s="490">
        <f t="shared" si="219"/>
        <v>477254</v>
      </c>
      <c r="F1445" s="493">
        <f t="shared" si="219"/>
        <v>20521.8</v>
      </c>
      <c r="G1445" s="494">
        <f>일위대가목록표!F330</f>
        <v>373604</v>
      </c>
      <c r="H1445" s="498">
        <f t="shared" si="220"/>
        <v>16064.9</v>
      </c>
      <c r="I1445" s="494">
        <f>일위대가목록표!G330</f>
        <v>103650</v>
      </c>
      <c r="J1445" s="498">
        <f t="shared" si="221"/>
        <v>4456.8999999999996</v>
      </c>
      <c r="K1445" s="494">
        <f>일위대가목록표!H330</f>
        <v>0</v>
      </c>
      <c r="L1445" s="498">
        <f t="shared" si="222"/>
        <v>0</v>
      </c>
      <c r="M1445" s="463" t="s">
        <v>2500</v>
      </c>
      <c r="N1445" s="451" t="s">
        <v>2501</v>
      </c>
      <c r="O1445" s="468" t="s">
        <v>2502</v>
      </c>
      <c r="P1445" s="468" t="s">
        <v>2354</v>
      </c>
      <c r="Q1445" s="468" t="s">
        <v>2355</v>
      </c>
      <c r="Z1445" s="433" t="str">
        <f ca="1">HYPERLINK("#"&amp;일위대가목록표!J2&amp;"!A"&amp;ROW(일위대가목록표!A330),"B01936 →")</f>
        <v>B01936 →</v>
      </c>
    </row>
    <row r="1446" spans="1:26" ht="33.200000000000003" customHeight="1">
      <c r="A1446" s="452" t="s">
        <v>2495</v>
      </c>
      <c r="B1446" s="452" t="s">
        <v>2496</v>
      </c>
      <c r="C1446" s="489">
        <v>0.49</v>
      </c>
      <c r="D1446" s="480" t="s">
        <v>595</v>
      </c>
      <c r="E1446" s="490">
        <f t="shared" si="219"/>
        <v>46533</v>
      </c>
      <c r="F1446" s="493">
        <f t="shared" si="219"/>
        <v>22801</v>
      </c>
      <c r="G1446" s="494">
        <f>단가산출근거목록표!F169</f>
        <v>34461</v>
      </c>
      <c r="H1446" s="498">
        <f t="shared" si="220"/>
        <v>16885.8</v>
      </c>
      <c r="I1446" s="494">
        <f>단가산출근거목록표!G169</f>
        <v>11728</v>
      </c>
      <c r="J1446" s="498">
        <f t="shared" si="221"/>
        <v>5746.7</v>
      </c>
      <c r="K1446" s="494">
        <f>단가산출근거목록표!H169</f>
        <v>344</v>
      </c>
      <c r="L1446" s="498">
        <f t="shared" si="222"/>
        <v>168.5</v>
      </c>
      <c r="M1446" s="463" t="s">
        <v>2497</v>
      </c>
      <c r="N1446" s="451" t="s">
        <v>2498</v>
      </c>
      <c r="O1446" s="468" t="s">
        <v>2499</v>
      </c>
      <c r="P1446" s="468" t="s">
        <v>2354</v>
      </c>
      <c r="Q1446" s="468" t="s">
        <v>2355</v>
      </c>
      <c r="Z1446" s="433" t="str">
        <f ca="1">HYPERLINK("#"&amp;단가산출근거목록표!J2&amp;"!A"&amp;ROW(단가산출근거목록표!A169),"D01231 →")</f>
        <v>D01231 →</v>
      </c>
    </row>
    <row r="1447" spans="1:26" ht="33.200000000000003" customHeight="1">
      <c r="A1447" s="452" t="s">
        <v>2574</v>
      </c>
      <c r="B1447" s="452" t="s">
        <v>2575</v>
      </c>
      <c r="C1447" s="489">
        <v>9.2100000000000005E-4</v>
      </c>
      <c r="D1447" s="480" t="s">
        <v>2576</v>
      </c>
      <c r="E1447" s="490">
        <f t="shared" si="219"/>
        <v>765000</v>
      </c>
      <c r="F1447" s="491">
        <f t="shared" si="219"/>
        <v>704.5</v>
      </c>
      <c r="G1447" s="492">
        <v>0</v>
      </c>
      <c r="H1447" s="493">
        <f t="shared" si="220"/>
        <v>0</v>
      </c>
      <c r="I1447" s="494">
        <f>재료비목록표!E81</f>
        <v>765000</v>
      </c>
      <c r="J1447" s="495">
        <f t="shared" si="221"/>
        <v>704.5</v>
      </c>
      <c r="K1447" s="492">
        <v>0</v>
      </c>
      <c r="L1447" s="493">
        <f t="shared" si="222"/>
        <v>0</v>
      </c>
      <c r="M1447" s="463" t="s">
        <v>2577</v>
      </c>
      <c r="N1447" s="451" t="s">
        <v>2578</v>
      </c>
      <c r="O1447" s="468" t="s">
        <v>2579</v>
      </c>
      <c r="P1447" s="468" t="s">
        <v>2354</v>
      </c>
      <c r="Z1447" s="433" t="str">
        <f ca="1">HYPERLINK("#"&amp;재료비목록표!G2&amp;"!A"&amp;ROW(재료비목록표!A81),"M00150 →")</f>
        <v>M00150 →</v>
      </c>
    </row>
    <row r="1448" spans="1:26" ht="33.200000000000003" customHeight="1">
      <c r="A1448" s="452" t="s">
        <v>2580</v>
      </c>
      <c r="B1448" s="452" t="s">
        <v>2581</v>
      </c>
      <c r="C1448" s="489">
        <v>8.9499999999999996E-4</v>
      </c>
      <c r="D1448" s="480" t="s">
        <v>2132</v>
      </c>
      <c r="E1448" s="490">
        <f t="shared" si="219"/>
        <v>1386016</v>
      </c>
      <c r="F1448" s="493">
        <f t="shared" si="219"/>
        <v>1240.3999999999999</v>
      </c>
      <c r="G1448" s="494">
        <f>단가산출근거목록표!F141</f>
        <v>1375031</v>
      </c>
      <c r="H1448" s="498">
        <f t="shared" si="220"/>
        <v>1230.5999999999999</v>
      </c>
      <c r="I1448" s="494">
        <f>단가산출근거목록표!G141</f>
        <v>10985</v>
      </c>
      <c r="J1448" s="498">
        <f t="shared" si="221"/>
        <v>9.8000000000000007</v>
      </c>
      <c r="K1448" s="494">
        <f>단가산출근거목록표!H141</f>
        <v>0</v>
      </c>
      <c r="L1448" s="498">
        <f t="shared" si="222"/>
        <v>0</v>
      </c>
      <c r="M1448" s="463" t="s">
        <v>2582</v>
      </c>
      <c r="N1448" s="451" t="s">
        <v>2583</v>
      </c>
      <c r="O1448" s="468" t="s">
        <v>2584</v>
      </c>
      <c r="P1448" s="468" t="s">
        <v>2354</v>
      </c>
      <c r="Z1448" s="433" t="str">
        <f ca="1">HYPERLINK("#"&amp;단가산출근거목록표!J2&amp;"!A"&amp;ROW(단가산출근거목록표!A141),"D00950 →")</f>
        <v>D00950 →</v>
      </c>
    </row>
    <row r="1449" spans="1:26" ht="33.200000000000003" customHeight="1">
      <c r="A1449" s="452" t="s">
        <v>2966</v>
      </c>
      <c r="B1449" s="452" t="s">
        <v>2967</v>
      </c>
      <c r="C1449" s="489">
        <v>2</v>
      </c>
      <c r="D1449" s="480" t="s">
        <v>2377</v>
      </c>
      <c r="E1449" s="490">
        <f t="shared" si="219"/>
        <v>1309</v>
      </c>
      <c r="F1449" s="491">
        <f t="shared" si="219"/>
        <v>2618</v>
      </c>
      <c r="G1449" s="492">
        <v>0</v>
      </c>
      <c r="H1449" s="493">
        <f t="shared" si="220"/>
        <v>0</v>
      </c>
      <c r="I1449" s="494">
        <f>재료비목록표!E6</f>
        <v>1309</v>
      </c>
      <c r="J1449" s="495">
        <f t="shared" si="221"/>
        <v>2618</v>
      </c>
      <c r="K1449" s="492">
        <v>0</v>
      </c>
      <c r="L1449" s="493">
        <f t="shared" si="222"/>
        <v>0</v>
      </c>
      <c r="M1449" s="463" t="s">
        <v>2968</v>
      </c>
      <c r="N1449" s="451" t="s">
        <v>2973</v>
      </c>
      <c r="O1449" s="468" t="s">
        <v>2970</v>
      </c>
      <c r="P1449" s="468" t="s">
        <v>2354</v>
      </c>
      <c r="Z1449" s="433" t="str">
        <f ca="1">HYPERLINK("#"&amp;재료비목록표!G2&amp;"!A"&amp;ROW(재료비목록표!A6),"M00795 →")</f>
        <v>M00795 →</v>
      </c>
    </row>
    <row r="1450" spans="1:26" ht="33.200000000000003" customHeight="1">
      <c r="A1450" s="452" t="s">
        <v>2975</v>
      </c>
      <c r="B1450" s="452" t="s">
        <v>2976</v>
      </c>
      <c r="C1450" s="489">
        <v>2</v>
      </c>
      <c r="D1450" s="480" t="s">
        <v>2377</v>
      </c>
      <c r="E1450" s="490">
        <f t="shared" si="219"/>
        <v>62400</v>
      </c>
      <c r="F1450" s="491">
        <f t="shared" si="219"/>
        <v>124800</v>
      </c>
      <c r="G1450" s="492">
        <v>0</v>
      </c>
      <c r="H1450" s="493">
        <f t="shared" si="220"/>
        <v>0</v>
      </c>
      <c r="I1450" s="494">
        <f>재료비목록표!E97</f>
        <v>62400</v>
      </c>
      <c r="J1450" s="495">
        <f t="shared" si="221"/>
        <v>124800</v>
      </c>
      <c r="K1450" s="492">
        <v>0</v>
      </c>
      <c r="L1450" s="493">
        <f t="shared" si="222"/>
        <v>0</v>
      </c>
      <c r="M1450" s="463" t="s">
        <v>2977</v>
      </c>
      <c r="N1450" s="451" t="s">
        <v>2978</v>
      </c>
      <c r="O1450" s="468" t="s">
        <v>2979</v>
      </c>
      <c r="P1450" s="468" t="s">
        <v>2354</v>
      </c>
      <c r="Z1450" s="433" t="str">
        <f ca="1">HYPERLINK("#"&amp;재료비목록표!G2&amp;"!A"&amp;ROW(재료비목록표!A97),"M01306 →")</f>
        <v>M01306 →</v>
      </c>
    </row>
    <row r="1451" spans="1:26" ht="33.200000000000003" customHeight="1">
      <c r="A1451" s="463" t="s">
        <v>842</v>
      </c>
      <c r="B1451" s="497"/>
      <c r="C1451" s="497"/>
      <c r="D1451" s="497"/>
      <c r="E1451" s="497"/>
      <c r="F1451" s="446">
        <f>J1451+H1451+L1451</f>
        <v>186250</v>
      </c>
      <c r="G1451" s="497"/>
      <c r="H1451" s="446">
        <f>ROUNDDOWN(SUMIF(P1442:P1450,O1451,H1442:H1450),0)</f>
        <v>47747</v>
      </c>
      <c r="I1451" s="497"/>
      <c r="J1451" s="446">
        <f>ROUNDDOWN(SUMIF(P1442:P1450,O1451,J1442:J1450),0)</f>
        <v>138335</v>
      </c>
      <c r="K1451" s="497"/>
      <c r="L1451" s="446">
        <f>ROUNDDOWN(SUMIF(P1442:P1450,O1451,L1442:L1450),0)</f>
        <v>168</v>
      </c>
      <c r="M1451" s="497"/>
      <c r="O1451" s="468" t="s">
        <v>2354</v>
      </c>
    </row>
    <row r="1452" spans="1:26" ht="33.200000000000003" customHeight="1">
      <c r="A1452" s="484" t="s">
        <v>3110</v>
      </c>
      <c r="B1452" s="484"/>
      <c r="C1452" s="485"/>
      <c r="D1452" s="485"/>
      <c r="E1452" s="485"/>
      <c r="F1452" s="485"/>
      <c r="G1452" s="485"/>
      <c r="H1452" s="485"/>
      <c r="I1452" s="485"/>
      <c r="J1452" s="485"/>
      <c r="K1452" s="485"/>
      <c r="L1452" s="485"/>
      <c r="M1452" s="485"/>
      <c r="N1452" s="486" t="str">
        <f>HYPERLINK("#N"&amp;ROW(N1463),"_x0005_`BDCOD|B02832_x0007_`POSS|"&amp;ROW(N1454)&amp;"_x0007_`POSE|"&amp;ROW(N1463)&amp;"_x0007_`")</f>
        <v>_x0005_`BDCOD|B02832_x0007_`POSS|1454_x0007_`POSE|1463_x0007_`</v>
      </c>
    </row>
    <row r="1453" spans="1:26" ht="33.200000000000003" customHeight="1">
      <c r="A1453" s="469" t="s">
        <v>5072</v>
      </c>
      <c r="B1453" s="469" t="s">
        <v>974</v>
      </c>
      <c r="C1453" s="487"/>
      <c r="D1453" s="488" t="s">
        <v>975</v>
      </c>
      <c r="E1453" s="487"/>
      <c r="F1453" s="487"/>
      <c r="G1453" s="487"/>
      <c r="H1453" s="487"/>
      <c r="I1453" s="487"/>
      <c r="J1453" s="487"/>
      <c r="K1453" s="487"/>
      <c r="L1453" s="487"/>
      <c r="M1453" s="488" t="s">
        <v>5073</v>
      </c>
      <c r="O1453" s="468" t="s">
        <v>5073</v>
      </c>
    </row>
    <row r="1454" spans="1:26" ht="33.200000000000003" customHeight="1">
      <c r="A1454" s="452" t="s">
        <v>2484</v>
      </c>
      <c r="B1454" s="452" t="s">
        <v>2485</v>
      </c>
      <c r="C1454" s="489">
        <v>0.151</v>
      </c>
      <c r="D1454" s="480" t="s">
        <v>8</v>
      </c>
      <c r="E1454" s="490">
        <f t="shared" ref="E1454:F1463" si="223">I1454+G1454+K1454</f>
        <v>62811</v>
      </c>
      <c r="F1454" s="493">
        <f t="shared" si="223"/>
        <v>9484.4</v>
      </c>
      <c r="G1454" s="494">
        <f>단가산출근거목록표!F157</f>
        <v>62811</v>
      </c>
      <c r="H1454" s="498">
        <f t="shared" ref="H1454:H1462" si="224">IF(C1454=0,0,ROUNDDOWN(G1454*C1454,1))</f>
        <v>9484.4</v>
      </c>
      <c r="I1454" s="494">
        <f>단가산출근거목록표!G157</f>
        <v>0</v>
      </c>
      <c r="J1454" s="498">
        <f t="shared" ref="J1454:J1462" si="225">IF(C1454=0,0,ROUNDDOWN(I1454*C1454,1))</f>
        <v>0</v>
      </c>
      <c r="K1454" s="494">
        <f>단가산출근거목록표!H157</f>
        <v>0</v>
      </c>
      <c r="L1454" s="498">
        <f t="shared" ref="L1454:L1462" si="226">IF(C1454=0,0,ROUNDDOWN(K1454*C1454,1))</f>
        <v>0</v>
      </c>
      <c r="M1454" s="463" t="s">
        <v>2486</v>
      </c>
      <c r="N1454" s="451" t="s">
        <v>2504</v>
      </c>
      <c r="O1454" s="468" t="s">
        <v>2488</v>
      </c>
      <c r="P1454" s="468" t="s">
        <v>2354</v>
      </c>
      <c r="Z1454" s="433" t="str">
        <f ca="1">HYPERLINK("#"&amp;단가산출근거목록표!J2&amp;"!A"&amp;ROW(단가산출근거목록표!A157),"D01241 →")</f>
        <v>D01241 →</v>
      </c>
    </row>
    <row r="1455" spans="1:26" ht="33.200000000000003" customHeight="1">
      <c r="A1455" s="452" t="s">
        <v>2321</v>
      </c>
      <c r="B1455" s="452" t="s">
        <v>2322</v>
      </c>
      <c r="C1455" s="489">
        <v>4.2999999999999997E-2</v>
      </c>
      <c r="D1455" s="480" t="s">
        <v>8</v>
      </c>
      <c r="E1455" s="490">
        <f t="shared" si="223"/>
        <v>34413</v>
      </c>
      <c r="F1455" s="493">
        <f t="shared" si="223"/>
        <v>1479.7</v>
      </c>
      <c r="G1455" s="494">
        <f>일위대가목록표!F275</f>
        <v>34413</v>
      </c>
      <c r="H1455" s="498">
        <f t="shared" si="224"/>
        <v>1479.7</v>
      </c>
      <c r="I1455" s="494">
        <f>일위대가목록표!G275</f>
        <v>0</v>
      </c>
      <c r="J1455" s="498">
        <f t="shared" si="225"/>
        <v>0</v>
      </c>
      <c r="K1455" s="494">
        <f>일위대가목록표!H275</f>
        <v>0</v>
      </c>
      <c r="L1455" s="498">
        <f t="shared" si="226"/>
        <v>0</v>
      </c>
      <c r="M1455" s="463" t="s">
        <v>2489</v>
      </c>
      <c r="N1455" s="451" t="s">
        <v>2490</v>
      </c>
      <c r="O1455" s="468" t="s">
        <v>2491</v>
      </c>
      <c r="P1455" s="468" t="s">
        <v>2354</v>
      </c>
      <c r="Q1455" s="468" t="s">
        <v>2355</v>
      </c>
      <c r="Z1455" s="433" t="str">
        <f ca="1">HYPERLINK("#"&amp;일위대가목록표!J2&amp;"!A"&amp;ROW(일위대가목록표!A275),"B01414 →")</f>
        <v>B01414 →</v>
      </c>
    </row>
    <row r="1456" spans="1:26" ht="33.200000000000003" customHeight="1">
      <c r="A1456" s="452" t="s">
        <v>2298</v>
      </c>
      <c r="B1456" s="452" t="s">
        <v>2299</v>
      </c>
      <c r="C1456" s="489">
        <v>0.108</v>
      </c>
      <c r="D1456" s="480" t="s">
        <v>8</v>
      </c>
      <c r="E1456" s="490">
        <f t="shared" si="223"/>
        <v>24089</v>
      </c>
      <c r="F1456" s="493">
        <f t="shared" si="223"/>
        <v>2601.6</v>
      </c>
      <c r="G1456" s="494">
        <f>일위대가목록표!F37</f>
        <v>24089</v>
      </c>
      <c r="H1456" s="498">
        <f t="shared" si="224"/>
        <v>2601.6</v>
      </c>
      <c r="I1456" s="494">
        <f>일위대가목록표!G37</f>
        <v>0</v>
      </c>
      <c r="J1456" s="498">
        <f t="shared" si="225"/>
        <v>0</v>
      </c>
      <c r="K1456" s="494">
        <f>일위대가목록표!H37</f>
        <v>0</v>
      </c>
      <c r="L1456" s="498">
        <f t="shared" si="226"/>
        <v>0</v>
      </c>
      <c r="M1456" s="463" t="s">
        <v>2492</v>
      </c>
      <c r="N1456" s="451" t="s">
        <v>2493</v>
      </c>
      <c r="O1456" s="468" t="s">
        <v>2494</v>
      </c>
      <c r="P1456" s="468" t="s">
        <v>2354</v>
      </c>
      <c r="Q1456" s="468" t="s">
        <v>2355</v>
      </c>
      <c r="Z1456" s="433" t="str">
        <f ca="1">HYPERLINK("#"&amp;일위대가목록표!J2&amp;"!A"&amp;ROW(일위대가목록표!A37),"B01447 →")</f>
        <v>B01447 →</v>
      </c>
    </row>
    <row r="1457" spans="1:26" ht="33.200000000000003" customHeight="1">
      <c r="A1457" s="452" t="s">
        <v>2342</v>
      </c>
      <c r="B1457" s="452" t="s">
        <v>2343</v>
      </c>
      <c r="C1457" s="489">
        <v>4.2999999999999997E-2</v>
      </c>
      <c r="D1457" s="480" t="s">
        <v>8</v>
      </c>
      <c r="E1457" s="490">
        <f t="shared" si="223"/>
        <v>477254</v>
      </c>
      <c r="F1457" s="493">
        <f t="shared" si="223"/>
        <v>20521.8</v>
      </c>
      <c r="G1457" s="494">
        <f>일위대가목록표!F330</f>
        <v>373604</v>
      </c>
      <c r="H1457" s="498">
        <f t="shared" si="224"/>
        <v>16064.9</v>
      </c>
      <c r="I1457" s="494">
        <f>일위대가목록표!G330</f>
        <v>103650</v>
      </c>
      <c r="J1457" s="498">
        <f t="shared" si="225"/>
        <v>4456.8999999999996</v>
      </c>
      <c r="K1457" s="494">
        <f>일위대가목록표!H330</f>
        <v>0</v>
      </c>
      <c r="L1457" s="498">
        <f t="shared" si="226"/>
        <v>0</v>
      </c>
      <c r="M1457" s="463" t="s">
        <v>2500</v>
      </c>
      <c r="N1457" s="451" t="s">
        <v>2501</v>
      </c>
      <c r="O1457" s="468" t="s">
        <v>2502</v>
      </c>
      <c r="P1457" s="468" t="s">
        <v>2354</v>
      </c>
      <c r="Q1457" s="468" t="s">
        <v>2355</v>
      </c>
      <c r="Z1457" s="433" t="str">
        <f ca="1">HYPERLINK("#"&amp;일위대가목록표!J2&amp;"!A"&amp;ROW(일위대가목록표!A330),"B01936 →")</f>
        <v>B01936 →</v>
      </c>
    </row>
    <row r="1458" spans="1:26" ht="33.200000000000003" customHeight="1">
      <c r="A1458" s="452" t="s">
        <v>2495</v>
      </c>
      <c r="B1458" s="452" t="s">
        <v>2496</v>
      </c>
      <c r="C1458" s="489">
        <v>0.49</v>
      </c>
      <c r="D1458" s="480" t="s">
        <v>595</v>
      </c>
      <c r="E1458" s="490">
        <f t="shared" si="223"/>
        <v>46533</v>
      </c>
      <c r="F1458" s="493">
        <f t="shared" si="223"/>
        <v>22801</v>
      </c>
      <c r="G1458" s="494">
        <f>단가산출근거목록표!F169</f>
        <v>34461</v>
      </c>
      <c r="H1458" s="498">
        <f t="shared" si="224"/>
        <v>16885.8</v>
      </c>
      <c r="I1458" s="494">
        <f>단가산출근거목록표!G169</f>
        <v>11728</v>
      </c>
      <c r="J1458" s="498">
        <f t="shared" si="225"/>
        <v>5746.7</v>
      </c>
      <c r="K1458" s="494">
        <f>단가산출근거목록표!H169</f>
        <v>344</v>
      </c>
      <c r="L1458" s="498">
        <f t="shared" si="226"/>
        <v>168.5</v>
      </c>
      <c r="M1458" s="463" t="s">
        <v>2497</v>
      </c>
      <c r="N1458" s="451" t="s">
        <v>2498</v>
      </c>
      <c r="O1458" s="468" t="s">
        <v>2499</v>
      </c>
      <c r="P1458" s="468" t="s">
        <v>2354</v>
      </c>
      <c r="Q1458" s="468" t="s">
        <v>2355</v>
      </c>
      <c r="Z1458" s="433" t="str">
        <f ca="1">HYPERLINK("#"&amp;단가산출근거목록표!J2&amp;"!A"&amp;ROW(단가산출근거목록표!A169),"D01231 →")</f>
        <v>D01231 →</v>
      </c>
    </row>
    <row r="1459" spans="1:26" ht="33.200000000000003" customHeight="1">
      <c r="A1459" s="452" t="s">
        <v>2574</v>
      </c>
      <c r="B1459" s="452" t="s">
        <v>2575</v>
      </c>
      <c r="C1459" s="489">
        <v>9.2100000000000005E-4</v>
      </c>
      <c r="D1459" s="480" t="s">
        <v>2576</v>
      </c>
      <c r="E1459" s="490">
        <f t="shared" si="223"/>
        <v>765000</v>
      </c>
      <c r="F1459" s="491">
        <f t="shared" si="223"/>
        <v>704.5</v>
      </c>
      <c r="G1459" s="492">
        <v>0</v>
      </c>
      <c r="H1459" s="493">
        <f t="shared" si="224"/>
        <v>0</v>
      </c>
      <c r="I1459" s="494">
        <f>재료비목록표!E81</f>
        <v>765000</v>
      </c>
      <c r="J1459" s="495">
        <f t="shared" si="225"/>
        <v>704.5</v>
      </c>
      <c r="K1459" s="492">
        <v>0</v>
      </c>
      <c r="L1459" s="493">
        <f t="shared" si="226"/>
        <v>0</v>
      </c>
      <c r="M1459" s="463" t="s">
        <v>2577</v>
      </c>
      <c r="N1459" s="451" t="s">
        <v>2578</v>
      </c>
      <c r="O1459" s="468" t="s">
        <v>2579</v>
      </c>
      <c r="P1459" s="468" t="s">
        <v>2354</v>
      </c>
      <c r="Z1459" s="433" t="str">
        <f ca="1">HYPERLINK("#"&amp;재료비목록표!G2&amp;"!A"&amp;ROW(재료비목록표!A81),"M00150 →")</f>
        <v>M00150 →</v>
      </c>
    </row>
    <row r="1460" spans="1:26" ht="33.200000000000003" customHeight="1">
      <c r="A1460" s="452" t="s">
        <v>2580</v>
      </c>
      <c r="B1460" s="452" t="s">
        <v>2581</v>
      </c>
      <c r="C1460" s="489">
        <v>8.9499999999999996E-4</v>
      </c>
      <c r="D1460" s="480" t="s">
        <v>2132</v>
      </c>
      <c r="E1460" s="490">
        <f t="shared" si="223"/>
        <v>1386016</v>
      </c>
      <c r="F1460" s="493">
        <f t="shared" si="223"/>
        <v>1240.3999999999999</v>
      </c>
      <c r="G1460" s="494">
        <f>단가산출근거목록표!F141</f>
        <v>1375031</v>
      </c>
      <c r="H1460" s="498">
        <f t="shared" si="224"/>
        <v>1230.5999999999999</v>
      </c>
      <c r="I1460" s="494">
        <f>단가산출근거목록표!G141</f>
        <v>10985</v>
      </c>
      <c r="J1460" s="498">
        <f t="shared" si="225"/>
        <v>9.8000000000000007</v>
      </c>
      <c r="K1460" s="494">
        <f>단가산출근거목록표!H141</f>
        <v>0</v>
      </c>
      <c r="L1460" s="498">
        <f t="shared" si="226"/>
        <v>0</v>
      </c>
      <c r="M1460" s="463" t="s">
        <v>2582</v>
      </c>
      <c r="N1460" s="451" t="s">
        <v>2588</v>
      </c>
      <c r="O1460" s="468" t="s">
        <v>2584</v>
      </c>
      <c r="P1460" s="468" t="s">
        <v>2354</v>
      </c>
      <c r="Q1460" s="468" t="s">
        <v>2355</v>
      </c>
      <c r="Z1460" s="433" t="str">
        <f ca="1">HYPERLINK("#"&amp;단가산출근거목록표!J2&amp;"!A"&amp;ROW(단가산출근거목록표!A141),"D00950 →")</f>
        <v>D00950 →</v>
      </c>
    </row>
    <row r="1461" spans="1:26" ht="33.200000000000003" customHeight="1">
      <c r="A1461" s="452" t="s">
        <v>2966</v>
      </c>
      <c r="B1461" s="452" t="s">
        <v>2967</v>
      </c>
      <c r="C1461" s="489">
        <v>2</v>
      </c>
      <c r="D1461" s="480" t="s">
        <v>2377</v>
      </c>
      <c r="E1461" s="490">
        <f t="shared" si="223"/>
        <v>1309</v>
      </c>
      <c r="F1461" s="491">
        <f t="shared" si="223"/>
        <v>2618</v>
      </c>
      <c r="G1461" s="492">
        <v>0</v>
      </c>
      <c r="H1461" s="493">
        <f t="shared" si="224"/>
        <v>0</v>
      </c>
      <c r="I1461" s="494">
        <f>재료비목록표!E6</f>
        <v>1309</v>
      </c>
      <c r="J1461" s="495">
        <f t="shared" si="225"/>
        <v>2618</v>
      </c>
      <c r="K1461" s="492">
        <v>0</v>
      </c>
      <c r="L1461" s="493">
        <f t="shared" si="226"/>
        <v>0</v>
      </c>
      <c r="M1461" s="463" t="s">
        <v>2968</v>
      </c>
      <c r="N1461" s="451" t="s">
        <v>2973</v>
      </c>
      <c r="O1461" s="468" t="s">
        <v>2970</v>
      </c>
      <c r="P1461" s="468" t="s">
        <v>2354</v>
      </c>
      <c r="Z1461" s="433" t="str">
        <f ca="1">HYPERLINK("#"&amp;재료비목록표!G2&amp;"!A"&amp;ROW(재료비목록표!A6),"M00795 →")</f>
        <v>M00795 →</v>
      </c>
    </row>
    <row r="1462" spans="1:26" ht="33.200000000000003" customHeight="1">
      <c r="A1462" s="452" t="s">
        <v>2975</v>
      </c>
      <c r="B1462" s="452" t="s">
        <v>2976</v>
      </c>
      <c r="C1462" s="489">
        <v>2</v>
      </c>
      <c r="D1462" s="480" t="s">
        <v>2377</v>
      </c>
      <c r="E1462" s="490">
        <f t="shared" si="223"/>
        <v>62400</v>
      </c>
      <c r="F1462" s="491">
        <f t="shared" si="223"/>
        <v>124800</v>
      </c>
      <c r="G1462" s="492">
        <v>0</v>
      </c>
      <c r="H1462" s="493">
        <f t="shared" si="224"/>
        <v>0</v>
      </c>
      <c r="I1462" s="494">
        <f>재료비목록표!E97</f>
        <v>62400</v>
      </c>
      <c r="J1462" s="495">
        <f t="shared" si="225"/>
        <v>124800</v>
      </c>
      <c r="K1462" s="492">
        <v>0</v>
      </c>
      <c r="L1462" s="493">
        <f t="shared" si="226"/>
        <v>0</v>
      </c>
      <c r="M1462" s="463" t="s">
        <v>2977</v>
      </c>
      <c r="N1462" s="451" t="s">
        <v>2978</v>
      </c>
      <c r="O1462" s="468" t="s">
        <v>2979</v>
      </c>
      <c r="P1462" s="468" t="s">
        <v>2354</v>
      </c>
      <c r="Z1462" s="433" t="str">
        <f ca="1">HYPERLINK("#"&amp;재료비목록표!G2&amp;"!A"&amp;ROW(재료비목록표!A97),"M01306 →")</f>
        <v>M01306 →</v>
      </c>
    </row>
    <row r="1463" spans="1:26" ht="33.200000000000003" customHeight="1">
      <c r="A1463" s="452" t="s">
        <v>2507</v>
      </c>
      <c r="B1463" s="452" t="s">
        <v>2441</v>
      </c>
      <c r="C1463" s="489">
        <v>15</v>
      </c>
      <c r="D1463" s="480" t="s">
        <v>2371</v>
      </c>
      <c r="E1463" s="490">
        <f t="shared" si="223"/>
        <v>38262.6</v>
      </c>
      <c r="F1463" s="491">
        <f t="shared" si="223"/>
        <v>5739.3</v>
      </c>
      <c r="G1463" s="496">
        <f>H1455+H1456+H1457+H1458+H1460</f>
        <v>38262.6</v>
      </c>
      <c r="H1463" s="491">
        <f>IF(C1463=0,0,ROUNDDOWN(G1463*C1463/100,1))</f>
        <v>5739.3</v>
      </c>
      <c r="I1463" s="465">
        <v>0</v>
      </c>
      <c r="J1463" s="493">
        <f>IF(C1463=0,0,ROUNDDOWN(I1463*C1463/100,1))</f>
        <v>0</v>
      </c>
      <c r="K1463" s="467">
        <v>0</v>
      </c>
      <c r="L1463" s="493">
        <f>IF(C1463=0,0,ROUNDDOWN(K1463*C1463/100,1))</f>
        <v>0</v>
      </c>
      <c r="M1463" s="463"/>
      <c r="N1463" s="451" t="s">
        <v>2508</v>
      </c>
      <c r="O1463" s="468" t="s">
        <v>2373</v>
      </c>
      <c r="P1463" s="468" t="s">
        <v>2354</v>
      </c>
    </row>
    <row r="1464" spans="1:26" ht="33.200000000000003" customHeight="1">
      <c r="A1464" s="463" t="s">
        <v>842</v>
      </c>
      <c r="B1464" s="497"/>
      <c r="C1464" s="497"/>
      <c r="D1464" s="497"/>
      <c r="E1464" s="497"/>
      <c r="F1464" s="446">
        <f>J1464+H1464+L1464</f>
        <v>191989</v>
      </c>
      <c r="G1464" s="497"/>
      <c r="H1464" s="446">
        <f>ROUNDDOWN(SUMIF(P1454:P1463,O1464,H1454:H1463),0)</f>
        <v>53486</v>
      </c>
      <c r="I1464" s="497"/>
      <c r="J1464" s="446">
        <f>ROUNDDOWN(SUMIF(P1454:P1463,O1464,J1454:J1463),0)</f>
        <v>138335</v>
      </c>
      <c r="K1464" s="497"/>
      <c r="L1464" s="446">
        <f>ROUNDDOWN(SUMIF(P1454:P1463,O1464,L1454:L1463),0)</f>
        <v>168</v>
      </c>
      <c r="M1464" s="497"/>
      <c r="O1464" s="468" t="s">
        <v>2354</v>
      </c>
    </row>
    <row r="1465" spans="1:26" ht="33.200000000000003" customHeight="1">
      <c r="A1465" s="484" t="s">
        <v>3111</v>
      </c>
      <c r="B1465" s="484"/>
      <c r="C1465" s="485"/>
      <c r="D1465" s="485"/>
      <c r="E1465" s="485"/>
      <c r="F1465" s="485"/>
      <c r="G1465" s="485"/>
      <c r="H1465" s="485"/>
      <c r="I1465" s="485"/>
      <c r="J1465" s="485"/>
      <c r="K1465" s="485"/>
      <c r="L1465" s="485"/>
      <c r="M1465" s="485"/>
      <c r="N1465" s="486" t="str">
        <f>HYPERLINK("#N"&amp;ROW(N1476),"_x0005_`BDCOD|B02086_x0007_`POSS|"&amp;ROW(N1467)&amp;"_x0007_`POSE|"&amp;ROW(N1476)&amp;"_x0007_`")</f>
        <v>_x0005_`BDCOD|B02086_x0007_`POSS|1467_x0007_`POSE|1476_x0007_`</v>
      </c>
    </row>
    <row r="1466" spans="1:26" ht="33.200000000000003" customHeight="1">
      <c r="A1466" s="469" t="s">
        <v>5076</v>
      </c>
      <c r="B1466" s="469" t="s">
        <v>974</v>
      </c>
      <c r="C1466" s="487"/>
      <c r="D1466" s="488" t="s">
        <v>975</v>
      </c>
      <c r="E1466" s="487"/>
      <c r="F1466" s="487"/>
      <c r="G1466" s="487"/>
      <c r="H1466" s="487"/>
      <c r="I1466" s="487"/>
      <c r="J1466" s="487"/>
      <c r="K1466" s="487"/>
      <c r="L1466" s="487"/>
      <c r="M1466" s="488" t="s">
        <v>976</v>
      </c>
      <c r="O1466" s="468" t="s">
        <v>976</v>
      </c>
    </row>
    <row r="1467" spans="1:26" ht="33.200000000000003" customHeight="1">
      <c r="A1467" s="452" t="s">
        <v>2484</v>
      </c>
      <c r="B1467" s="452" t="s">
        <v>2485</v>
      </c>
      <c r="C1467" s="489">
        <v>0.151</v>
      </c>
      <c r="D1467" s="480" t="s">
        <v>8</v>
      </c>
      <c r="E1467" s="490">
        <f t="shared" ref="E1467:F1476" si="227">I1467+G1467+K1467</f>
        <v>62811</v>
      </c>
      <c r="F1467" s="493">
        <f t="shared" si="227"/>
        <v>9484.4</v>
      </c>
      <c r="G1467" s="494">
        <f>단가산출근거목록표!F157</f>
        <v>62811</v>
      </c>
      <c r="H1467" s="498">
        <f t="shared" ref="H1467:H1475" si="228">IF(C1467=0,0,ROUNDDOWN(G1467*C1467,1))</f>
        <v>9484.4</v>
      </c>
      <c r="I1467" s="494">
        <f>단가산출근거목록표!G157</f>
        <v>0</v>
      </c>
      <c r="J1467" s="498">
        <f t="shared" ref="J1467:J1475" si="229">IF(C1467=0,0,ROUNDDOWN(I1467*C1467,1))</f>
        <v>0</v>
      </c>
      <c r="K1467" s="494">
        <f>단가산출근거목록표!H157</f>
        <v>0</v>
      </c>
      <c r="L1467" s="498">
        <f t="shared" ref="L1467:L1475" si="230">IF(C1467=0,0,ROUNDDOWN(K1467*C1467,1))</f>
        <v>0</v>
      </c>
      <c r="M1467" s="463" t="s">
        <v>2486</v>
      </c>
      <c r="N1467" s="451" t="s">
        <v>2504</v>
      </c>
      <c r="O1467" s="468" t="s">
        <v>2488</v>
      </c>
      <c r="P1467" s="468" t="s">
        <v>2354</v>
      </c>
      <c r="Z1467" s="433" t="str">
        <f ca="1">HYPERLINK("#"&amp;단가산출근거목록표!J2&amp;"!A"&amp;ROW(단가산출근거목록표!A157),"D01241 →")</f>
        <v>D01241 →</v>
      </c>
    </row>
    <row r="1468" spans="1:26" ht="33.200000000000003" customHeight="1">
      <c r="A1468" s="452" t="s">
        <v>2321</v>
      </c>
      <c r="B1468" s="452" t="s">
        <v>2322</v>
      </c>
      <c r="C1468" s="489">
        <v>4.2999999999999997E-2</v>
      </c>
      <c r="D1468" s="480" t="s">
        <v>8</v>
      </c>
      <c r="E1468" s="490">
        <f t="shared" si="227"/>
        <v>34413</v>
      </c>
      <c r="F1468" s="493">
        <f t="shared" si="227"/>
        <v>1479.7</v>
      </c>
      <c r="G1468" s="494">
        <f>일위대가목록표!F275</f>
        <v>34413</v>
      </c>
      <c r="H1468" s="498">
        <f t="shared" si="228"/>
        <v>1479.7</v>
      </c>
      <c r="I1468" s="494">
        <f>일위대가목록표!G275</f>
        <v>0</v>
      </c>
      <c r="J1468" s="498">
        <f t="shared" si="229"/>
        <v>0</v>
      </c>
      <c r="K1468" s="494">
        <f>일위대가목록표!H275</f>
        <v>0</v>
      </c>
      <c r="L1468" s="498">
        <f t="shared" si="230"/>
        <v>0</v>
      </c>
      <c r="M1468" s="463" t="s">
        <v>2489</v>
      </c>
      <c r="N1468" s="451" t="s">
        <v>2490</v>
      </c>
      <c r="O1468" s="468" t="s">
        <v>2491</v>
      </c>
      <c r="P1468" s="468" t="s">
        <v>2354</v>
      </c>
      <c r="Q1468" s="468" t="s">
        <v>2355</v>
      </c>
      <c r="Z1468" s="433" t="str">
        <f ca="1">HYPERLINK("#"&amp;일위대가목록표!J2&amp;"!A"&amp;ROW(일위대가목록표!A275),"B01414 →")</f>
        <v>B01414 →</v>
      </c>
    </row>
    <row r="1469" spans="1:26" ht="33.200000000000003" customHeight="1">
      <c r="A1469" s="452" t="s">
        <v>2298</v>
      </c>
      <c r="B1469" s="452" t="s">
        <v>2299</v>
      </c>
      <c r="C1469" s="489">
        <v>0.108</v>
      </c>
      <c r="D1469" s="480" t="s">
        <v>8</v>
      </c>
      <c r="E1469" s="490">
        <f t="shared" si="227"/>
        <v>24089</v>
      </c>
      <c r="F1469" s="493">
        <f t="shared" si="227"/>
        <v>2601.6</v>
      </c>
      <c r="G1469" s="494">
        <f>일위대가목록표!F37</f>
        <v>24089</v>
      </c>
      <c r="H1469" s="498">
        <f t="shared" si="228"/>
        <v>2601.6</v>
      </c>
      <c r="I1469" s="494">
        <f>일위대가목록표!G37</f>
        <v>0</v>
      </c>
      <c r="J1469" s="498">
        <f t="shared" si="229"/>
        <v>0</v>
      </c>
      <c r="K1469" s="494">
        <f>일위대가목록표!H37</f>
        <v>0</v>
      </c>
      <c r="L1469" s="498">
        <f t="shared" si="230"/>
        <v>0</v>
      </c>
      <c r="M1469" s="463" t="s">
        <v>2492</v>
      </c>
      <c r="N1469" s="451" t="s">
        <v>2493</v>
      </c>
      <c r="O1469" s="468" t="s">
        <v>2494</v>
      </c>
      <c r="P1469" s="468" t="s">
        <v>2354</v>
      </c>
      <c r="Q1469" s="468" t="s">
        <v>2355</v>
      </c>
      <c r="Z1469" s="433" t="str">
        <f ca="1">HYPERLINK("#"&amp;일위대가목록표!J2&amp;"!A"&amp;ROW(일위대가목록표!A37),"B01447 →")</f>
        <v>B01447 →</v>
      </c>
    </row>
    <row r="1470" spans="1:26" ht="33.200000000000003" customHeight="1">
      <c r="A1470" s="452" t="s">
        <v>2342</v>
      </c>
      <c r="B1470" s="452" t="s">
        <v>2343</v>
      </c>
      <c r="C1470" s="489">
        <v>4.2999999999999997E-2</v>
      </c>
      <c r="D1470" s="480" t="s">
        <v>8</v>
      </c>
      <c r="E1470" s="490">
        <f t="shared" si="227"/>
        <v>477254</v>
      </c>
      <c r="F1470" s="493">
        <f t="shared" si="227"/>
        <v>20521.8</v>
      </c>
      <c r="G1470" s="494">
        <f>일위대가목록표!F330</f>
        <v>373604</v>
      </c>
      <c r="H1470" s="498">
        <f t="shared" si="228"/>
        <v>16064.9</v>
      </c>
      <c r="I1470" s="494">
        <f>일위대가목록표!G330</f>
        <v>103650</v>
      </c>
      <c r="J1470" s="498">
        <f t="shared" si="229"/>
        <v>4456.8999999999996</v>
      </c>
      <c r="K1470" s="494">
        <f>일위대가목록표!H330</f>
        <v>0</v>
      </c>
      <c r="L1470" s="498">
        <f t="shared" si="230"/>
        <v>0</v>
      </c>
      <c r="M1470" s="463" t="s">
        <v>2500</v>
      </c>
      <c r="N1470" s="451" t="s">
        <v>2501</v>
      </c>
      <c r="O1470" s="468" t="s">
        <v>2502</v>
      </c>
      <c r="P1470" s="468" t="s">
        <v>2354</v>
      </c>
      <c r="Q1470" s="468" t="s">
        <v>2355</v>
      </c>
      <c r="Z1470" s="433" t="str">
        <f ca="1">HYPERLINK("#"&amp;일위대가목록표!J2&amp;"!A"&amp;ROW(일위대가목록표!A330),"B01936 →")</f>
        <v>B01936 →</v>
      </c>
    </row>
    <row r="1471" spans="1:26" ht="33.200000000000003" customHeight="1">
      <c r="A1471" s="452" t="s">
        <v>2495</v>
      </c>
      <c r="B1471" s="452" t="s">
        <v>2496</v>
      </c>
      <c r="C1471" s="489">
        <v>0.49</v>
      </c>
      <c r="D1471" s="480" t="s">
        <v>595</v>
      </c>
      <c r="E1471" s="490">
        <f t="shared" si="227"/>
        <v>46533</v>
      </c>
      <c r="F1471" s="493">
        <f t="shared" si="227"/>
        <v>22801</v>
      </c>
      <c r="G1471" s="494">
        <f>단가산출근거목록표!F169</f>
        <v>34461</v>
      </c>
      <c r="H1471" s="498">
        <f t="shared" si="228"/>
        <v>16885.8</v>
      </c>
      <c r="I1471" s="494">
        <f>단가산출근거목록표!G169</f>
        <v>11728</v>
      </c>
      <c r="J1471" s="498">
        <f t="shared" si="229"/>
        <v>5746.7</v>
      </c>
      <c r="K1471" s="494">
        <f>단가산출근거목록표!H169</f>
        <v>344</v>
      </c>
      <c r="L1471" s="498">
        <f t="shared" si="230"/>
        <v>168.5</v>
      </c>
      <c r="M1471" s="463" t="s">
        <v>2497</v>
      </c>
      <c r="N1471" s="451" t="s">
        <v>2498</v>
      </c>
      <c r="O1471" s="468" t="s">
        <v>2499</v>
      </c>
      <c r="P1471" s="468" t="s">
        <v>2354</v>
      </c>
      <c r="Q1471" s="468" t="s">
        <v>2355</v>
      </c>
      <c r="Z1471" s="433" t="str">
        <f ca="1">HYPERLINK("#"&amp;단가산출근거목록표!J2&amp;"!A"&amp;ROW(단가산출근거목록표!A169),"D01231 →")</f>
        <v>D01231 →</v>
      </c>
    </row>
    <row r="1472" spans="1:26" ht="33.200000000000003" customHeight="1">
      <c r="A1472" s="452" t="s">
        <v>2574</v>
      </c>
      <c r="B1472" s="452" t="s">
        <v>2575</v>
      </c>
      <c r="C1472" s="489">
        <v>9.2100000000000005E-4</v>
      </c>
      <c r="D1472" s="480" t="s">
        <v>2576</v>
      </c>
      <c r="E1472" s="490">
        <f t="shared" si="227"/>
        <v>765000</v>
      </c>
      <c r="F1472" s="491">
        <f t="shared" si="227"/>
        <v>704.5</v>
      </c>
      <c r="G1472" s="492">
        <v>0</v>
      </c>
      <c r="H1472" s="493">
        <f t="shared" si="228"/>
        <v>0</v>
      </c>
      <c r="I1472" s="494">
        <f>재료비목록표!E81</f>
        <v>765000</v>
      </c>
      <c r="J1472" s="495">
        <f t="shared" si="229"/>
        <v>704.5</v>
      </c>
      <c r="K1472" s="492">
        <v>0</v>
      </c>
      <c r="L1472" s="493">
        <f t="shared" si="230"/>
        <v>0</v>
      </c>
      <c r="M1472" s="463" t="s">
        <v>2577</v>
      </c>
      <c r="N1472" s="451" t="s">
        <v>2578</v>
      </c>
      <c r="O1472" s="468" t="s">
        <v>2579</v>
      </c>
      <c r="P1472" s="468" t="s">
        <v>2354</v>
      </c>
      <c r="Z1472" s="433" t="str">
        <f ca="1">HYPERLINK("#"&amp;재료비목록표!G2&amp;"!A"&amp;ROW(재료비목록표!A81),"M00150 →")</f>
        <v>M00150 →</v>
      </c>
    </row>
    <row r="1473" spans="1:26" ht="33.200000000000003" customHeight="1">
      <c r="A1473" s="452" t="s">
        <v>2580</v>
      </c>
      <c r="B1473" s="452" t="s">
        <v>2581</v>
      </c>
      <c r="C1473" s="489">
        <v>8.9499999999999996E-4</v>
      </c>
      <c r="D1473" s="480" t="s">
        <v>2132</v>
      </c>
      <c r="E1473" s="490">
        <f t="shared" si="227"/>
        <v>1386016</v>
      </c>
      <c r="F1473" s="493">
        <f t="shared" si="227"/>
        <v>1240.3999999999999</v>
      </c>
      <c r="G1473" s="494">
        <f>단가산출근거목록표!F141</f>
        <v>1375031</v>
      </c>
      <c r="H1473" s="498">
        <f t="shared" si="228"/>
        <v>1230.5999999999999</v>
      </c>
      <c r="I1473" s="494">
        <f>단가산출근거목록표!G141</f>
        <v>10985</v>
      </c>
      <c r="J1473" s="498">
        <f t="shared" si="229"/>
        <v>9.8000000000000007</v>
      </c>
      <c r="K1473" s="494">
        <f>단가산출근거목록표!H141</f>
        <v>0</v>
      </c>
      <c r="L1473" s="498">
        <f t="shared" si="230"/>
        <v>0</v>
      </c>
      <c r="M1473" s="463" t="s">
        <v>2582</v>
      </c>
      <c r="N1473" s="451" t="s">
        <v>2588</v>
      </c>
      <c r="O1473" s="468" t="s">
        <v>2584</v>
      </c>
      <c r="P1473" s="468" t="s">
        <v>2354</v>
      </c>
      <c r="Q1473" s="468" t="s">
        <v>2355</v>
      </c>
      <c r="Z1473" s="433" t="str">
        <f ca="1">HYPERLINK("#"&amp;단가산출근거목록표!J2&amp;"!A"&amp;ROW(단가산출근거목록표!A141),"D00950 →")</f>
        <v>D00950 →</v>
      </c>
    </row>
    <row r="1474" spans="1:26" ht="33.200000000000003" customHeight="1">
      <c r="A1474" s="452" t="s">
        <v>2966</v>
      </c>
      <c r="B1474" s="452" t="s">
        <v>2967</v>
      </c>
      <c r="C1474" s="489">
        <v>2</v>
      </c>
      <c r="D1474" s="480" t="s">
        <v>2377</v>
      </c>
      <c r="E1474" s="490">
        <f t="shared" si="227"/>
        <v>1309</v>
      </c>
      <c r="F1474" s="491">
        <f t="shared" si="227"/>
        <v>2618</v>
      </c>
      <c r="G1474" s="492">
        <v>0</v>
      </c>
      <c r="H1474" s="493">
        <f t="shared" si="228"/>
        <v>0</v>
      </c>
      <c r="I1474" s="494">
        <f>재료비목록표!E6</f>
        <v>1309</v>
      </c>
      <c r="J1474" s="495">
        <f t="shared" si="229"/>
        <v>2618</v>
      </c>
      <c r="K1474" s="492">
        <v>0</v>
      </c>
      <c r="L1474" s="493">
        <f t="shared" si="230"/>
        <v>0</v>
      </c>
      <c r="M1474" s="463" t="s">
        <v>2968</v>
      </c>
      <c r="N1474" s="451" t="s">
        <v>2973</v>
      </c>
      <c r="O1474" s="468" t="s">
        <v>2970</v>
      </c>
      <c r="P1474" s="468" t="s">
        <v>2354</v>
      </c>
      <c r="Z1474" s="433" t="str">
        <f ca="1">HYPERLINK("#"&amp;재료비목록표!G2&amp;"!A"&amp;ROW(재료비목록표!A6),"M00795 →")</f>
        <v>M00795 →</v>
      </c>
    </row>
    <row r="1475" spans="1:26" ht="33.200000000000003" customHeight="1">
      <c r="A1475" s="452" t="s">
        <v>2975</v>
      </c>
      <c r="B1475" s="452" t="s">
        <v>2976</v>
      </c>
      <c r="C1475" s="489">
        <v>2</v>
      </c>
      <c r="D1475" s="480" t="s">
        <v>2377</v>
      </c>
      <c r="E1475" s="490">
        <f t="shared" si="227"/>
        <v>62400</v>
      </c>
      <c r="F1475" s="491">
        <f t="shared" si="227"/>
        <v>124800</v>
      </c>
      <c r="G1475" s="492">
        <v>0</v>
      </c>
      <c r="H1475" s="493">
        <f t="shared" si="228"/>
        <v>0</v>
      </c>
      <c r="I1475" s="494">
        <f>재료비목록표!E97</f>
        <v>62400</v>
      </c>
      <c r="J1475" s="495">
        <f t="shared" si="229"/>
        <v>124800</v>
      </c>
      <c r="K1475" s="492">
        <v>0</v>
      </c>
      <c r="L1475" s="493">
        <f t="shared" si="230"/>
        <v>0</v>
      </c>
      <c r="M1475" s="463" t="s">
        <v>2977</v>
      </c>
      <c r="N1475" s="451" t="s">
        <v>2978</v>
      </c>
      <c r="O1475" s="468" t="s">
        <v>2979</v>
      </c>
      <c r="P1475" s="468" t="s">
        <v>2354</v>
      </c>
      <c r="Z1475" s="433" t="str">
        <f ca="1">HYPERLINK("#"&amp;재료비목록표!G2&amp;"!A"&amp;ROW(재료비목록표!A97),"M01306 →")</f>
        <v>M01306 →</v>
      </c>
    </row>
    <row r="1476" spans="1:26" ht="33.200000000000003" customHeight="1">
      <c r="A1476" s="452" t="s">
        <v>2507</v>
      </c>
      <c r="B1476" s="452" t="s">
        <v>2441</v>
      </c>
      <c r="C1476" s="489">
        <v>25</v>
      </c>
      <c r="D1476" s="480" t="s">
        <v>2371</v>
      </c>
      <c r="E1476" s="490">
        <f t="shared" si="227"/>
        <v>38262.6</v>
      </c>
      <c r="F1476" s="491">
        <f t="shared" si="227"/>
        <v>9565.6</v>
      </c>
      <c r="G1476" s="496">
        <f>H1468+H1469+H1470+H1471+H1473</f>
        <v>38262.6</v>
      </c>
      <c r="H1476" s="491">
        <f>IF(C1476=0,0,ROUNDDOWN(G1476*C1476/100,1))</f>
        <v>9565.6</v>
      </c>
      <c r="I1476" s="465">
        <v>0</v>
      </c>
      <c r="J1476" s="493">
        <f>IF(C1476=0,0,ROUNDDOWN(I1476*C1476/100,1))</f>
        <v>0</v>
      </c>
      <c r="K1476" s="467">
        <v>0</v>
      </c>
      <c r="L1476" s="493">
        <f>IF(C1476=0,0,ROUNDDOWN(K1476*C1476/100,1))</f>
        <v>0</v>
      </c>
      <c r="M1476" s="463"/>
      <c r="N1476" s="451" t="s">
        <v>2508</v>
      </c>
      <c r="O1476" s="468" t="s">
        <v>2373</v>
      </c>
      <c r="P1476" s="468" t="s">
        <v>2354</v>
      </c>
    </row>
    <row r="1477" spans="1:26" ht="33.200000000000003" customHeight="1">
      <c r="A1477" s="463" t="s">
        <v>842</v>
      </c>
      <c r="B1477" s="497"/>
      <c r="C1477" s="497"/>
      <c r="D1477" s="497"/>
      <c r="E1477" s="497"/>
      <c r="F1477" s="446">
        <f>J1477+H1477+L1477</f>
        <v>195815</v>
      </c>
      <c r="G1477" s="497"/>
      <c r="H1477" s="446">
        <f>ROUNDDOWN(SUMIF(P1467:P1476,O1477,H1467:H1476),0)</f>
        <v>57312</v>
      </c>
      <c r="I1477" s="497"/>
      <c r="J1477" s="446">
        <f>ROUNDDOWN(SUMIF(P1467:P1476,O1477,J1467:J1476),0)</f>
        <v>138335</v>
      </c>
      <c r="K1477" s="497"/>
      <c r="L1477" s="446">
        <f>ROUNDDOWN(SUMIF(P1467:P1476,O1477,L1467:L1476),0)</f>
        <v>168</v>
      </c>
      <c r="M1477" s="497"/>
      <c r="O1477" s="468" t="s">
        <v>2354</v>
      </c>
    </row>
    <row r="1478" spans="1:26" ht="33.200000000000003" customHeight="1">
      <c r="A1478" s="484" t="s">
        <v>3112</v>
      </c>
      <c r="B1478" s="484"/>
      <c r="C1478" s="485"/>
      <c r="D1478" s="485"/>
      <c r="E1478" s="485"/>
      <c r="F1478" s="485"/>
      <c r="G1478" s="485"/>
      <c r="H1478" s="485"/>
      <c r="I1478" s="485"/>
      <c r="J1478" s="485"/>
      <c r="K1478" s="485"/>
      <c r="L1478" s="485"/>
      <c r="M1478" s="485"/>
      <c r="N1478" s="486" t="str">
        <f>HYPERLINK("#N"&amp;ROW(N1483),"_x0005_`BDCOD|B02247_x0007_`POSS|"&amp;ROW(N1480)&amp;"_x0007_`POSE|"&amp;ROW(N1483)&amp;"_x0007_`")</f>
        <v>_x0005_`BDCOD|B02247_x0007_`POSS|1480_x0007_`POSE|1483_x0007_`</v>
      </c>
    </row>
    <row r="1479" spans="1:26" ht="33.200000000000003" customHeight="1">
      <c r="A1479" s="469" t="s">
        <v>1563</v>
      </c>
      <c r="B1479" s="469" t="s">
        <v>965</v>
      </c>
      <c r="C1479" s="487"/>
      <c r="D1479" s="488" t="s">
        <v>975</v>
      </c>
      <c r="E1479" s="487"/>
      <c r="F1479" s="487"/>
      <c r="G1479" s="487"/>
      <c r="H1479" s="487"/>
      <c r="I1479" s="487"/>
      <c r="J1479" s="487"/>
      <c r="K1479" s="487"/>
      <c r="L1479" s="487"/>
      <c r="M1479" s="488" t="s">
        <v>1564</v>
      </c>
      <c r="O1479" s="468" t="s">
        <v>1564</v>
      </c>
    </row>
    <row r="1480" spans="1:26" ht="33.200000000000003" customHeight="1">
      <c r="A1480" s="452" t="s">
        <v>2484</v>
      </c>
      <c r="B1480" s="452" t="s">
        <v>2485</v>
      </c>
      <c r="C1480" s="489">
        <v>0.8</v>
      </c>
      <c r="D1480" s="480" t="s">
        <v>8</v>
      </c>
      <c r="E1480" s="490">
        <f t="shared" ref="E1480:F1483" si="231">I1480+G1480+K1480</f>
        <v>62811</v>
      </c>
      <c r="F1480" s="493">
        <f t="shared" si="231"/>
        <v>50248.800000000003</v>
      </c>
      <c r="G1480" s="494">
        <f>단가산출근거목록표!F157</f>
        <v>62811</v>
      </c>
      <c r="H1480" s="498">
        <f>IF(C1480=0,0,ROUNDDOWN(G1480*C1480,1))</f>
        <v>50248.800000000003</v>
      </c>
      <c r="I1480" s="494">
        <f>단가산출근거목록표!G157</f>
        <v>0</v>
      </c>
      <c r="J1480" s="498">
        <f>IF(C1480=0,0,ROUNDDOWN(I1480*C1480,1))</f>
        <v>0</v>
      </c>
      <c r="K1480" s="494">
        <f>단가산출근거목록표!H157</f>
        <v>0</v>
      </c>
      <c r="L1480" s="498">
        <f>IF(C1480=0,0,ROUNDDOWN(K1480*C1480,1))</f>
        <v>0</v>
      </c>
      <c r="M1480" s="463" t="s">
        <v>2486</v>
      </c>
      <c r="N1480" s="451" t="s">
        <v>2504</v>
      </c>
      <c r="O1480" s="468" t="s">
        <v>2488</v>
      </c>
      <c r="P1480" s="468" t="s">
        <v>2354</v>
      </c>
      <c r="Z1480" s="433" t="str">
        <f ca="1">HYPERLINK("#"&amp;단가산출근거목록표!J2&amp;"!A"&amp;ROW(단가산출근거목록표!A157),"D01241 →")</f>
        <v>D01241 →</v>
      </c>
    </row>
    <row r="1481" spans="1:26" ht="33.200000000000003" customHeight="1">
      <c r="A1481" s="452" t="s">
        <v>2321</v>
      </c>
      <c r="B1481" s="452" t="s">
        <v>2322</v>
      </c>
      <c r="C1481" s="489">
        <v>5.2999999999999999E-2</v>
      </c>
      <c r="D1481" s="480" t="s">
        <v>8</v>
      </c>
      <c r="E1481" s="490">
        <f t="shared" si="231"/>
        <v>34413</v>
      </c>
      <c r="F1481" s="493">
        <f t="shared" si="231"/>
        <v>1823.8</v>
      </c>
      <c r="G1481" s="494">
        <f>일위대가목록표!F275</f>
        <v>34413</v>
      </c>
      <c r="H1481" s="498">
        <f>IF(C1481=0,0,ROUNDDOWN(G1481*C1481,1))</f>
        <v>1823.8</v>
      </c>
      <c r="I1481" s="494">
        <f>일위대가목록표!G275</f>
        <v>0</v>
      </c>
      <c r="J1481" s="498">
        <f>IF(C1481=0,0,ROUNDDOWN(I1481*C1481,1))</f>
        <v>0</v>
      </c>
      <c r="K1481" s="494">
        <f>일위대가목록표!H275</f>
        <v>0</v>
      </c>
      <c r="L1481" s="498">
        <f>IF(C1481=0,0,ROUNDDOWN(K1481*C1481,1))</f>
        <v>0</v>
      </c>
      <c r="M1481" s="463" t="s">
        <v>2489</v>
      </c>
      <c r="N1481" s="451" t="s">
        <v>2538</v>
      </c>
      <c r="O1481" s="468" t="s">
        <v>2491</v>
      </c>
      <c r="P1481" s="468" t="s">
        <v>2354</v>
      </c>
      <c r="Z1481" s="433" t="str">
        <f ca="1">HYPERLINK("#"&amp;일위대가목록표!J2&amp;"!A"&amp;ROW(일위대가목록표!A275),"B01414 →")</f>
        <v>B01414 →</v>
      </c>
    </row>
    <row r="1482" spans="1:26" ht="33.200000000000003" customHeight="1">
      <c r="A1482" s="452" t="s">
        <v>2298</v>
      </c>
      <c r="B1482" s="452" t="s">
        <v>2299</v>
      </c>
      <c r="C1482" s="489">
        <v>2.7E-2</v>
      </c>
      <c r="D1482" s="480" t="s">
        <v>8</v>
      </c>
      <c r="E1482" s="490">
        <f t="shared" si="231"/>
        <v>24089</v>
      </c>
      <c r="F1482" s="493">
        <f t="shared" si="231"/>
        <v>650.4</v>
      </c>
      <c r="G1482" s="494">
        <f>일위대가목록표!F37</f>
        <v>24089</v>
      </c>
      <c r="H1482" s="498">
        <f>IF(C1482=0,0,ROUNDDOWN(G1482*C1482,1))</f>
        <v>650.4</v>
      </c>
      <c r="I1482" s="494">
        <f>일위대가목록표!G37</f>
        <v>0</v>
      </c>
      <c r="J1482" s="498">
        <f>IF(C1482=0,0,ROUNDDOWN(I1482*C1482,1))</f>
        <v>0</v>
      </c>
      <c r="K1482" s="494">
        <f>일위대가목록표!H37</f>
        <v>0</v>
      </c>
      <c r="L1482" s="498">
        <f>IF(C1482=0,0,ROUNDDOWN(K1482*C1482,1))</f>
        <v>0</v>
      </c>
      <c r="M1482" s="463" t="s">
        <v>2492</v>
      </c>
      <c r="N1482" s="451" t="s">
        <v>2537</v>
      </c>
      <c r="O1482" s="468" t="s">
        <v>2494</v>
      </c>
      <c r="P1482" s="468" t="s">
        <v>2354</v>
      </c>
      <c r="Z1482" s="433" t="str">
        <f ca="1">HYPERLINK("#"&amp;일위대가목록표!J2&amp;"!A"&amp;ROW(일위대가목록표!A37),"B01447 →")</f>
        <v>B01447 →</v>
      </c>
    </row>
    <row r="1483" spans="1:26" ht="33.200000000000003" customHeight="1">
      <c r="A1483" s="452" t="s">
        <v>2955</v>
      </c>
      <c r="B1483" s="452" t="s">
        <v>2322</v>
      </c>
      <c r="C1483" s="489">
        <v>1</v>
      </c>
      <c r="D1483" s="480" t="s">
        <v>975</v>
      </c>
      <c r="E1483" s="490">
        <f t="shared" si="231"/>
        <v>14281</v>
      </c>
      <c r="F1483" s="493">
        <f t="shared" si="231"/>
        <v>14281</v>
      </c>
      <c r="G1483" s="494">
        <f>단가산출근거목록표!F69</f>
        <v>14281</v>
      </c>
      <c r="H1483" s="498">
        <f>IF(C1483=0,0,ROUNDDOWN(G1483*C1483,1))</f>
        <v>14281</v>
      </c>
      <c r="I1483" s="494">
        <f>단가산출근거목록표!G69</f>
        <v>0</v>
      </c>
      <c r="J1483" s="498">
        <f>IF(C1483=0,0,ROUNDDOWN(I1483*C1483,1))</f>
        <v>0</v>
      </c>
      <c r="K1483" s="494">
        <f>단가산출근거목록표!H69</f>
        <v>0</v>
      </c>
      <c r="L1483" s="498">
        <f>IF(C1483=0,0,ROUNDDOWN(K1483*C1483,1))</f>
        <v>0</v>
      </c>
      <c r="M1483" s="463" t="s">
        <v>2956</v>
      </c>
      <c r="N1483" s="451" t="s">
        <v>2957</v>
      </c>
      <c r="O1483" s="468" t="s">
        <v>2958</v>
      </c>
      <c r="P1483" s="468" t="s">
        <v>2354</v>
      </c>
      <c r="Z1483" s="433" t="str">
        <f ca="1">HYPERLINK("#"&amp;단가산출근거목록표!J2&amp;"!A"&amp;ROW(단가산출근거목록표!A69),"D01225 →")</f>
        <v>D01225 →</v>
      </c>
    </row>
    <row r="1484" spans="1:26" ht="33.200000000000003" customHeight="1">
      <c r="A1484" s="463" t="s">
        <v>842</v>
      </c>
      <c r="B1484" s="497"/>
      <c r="C1484" s="497"/>
      <c r="D1484" s="497"/>
      <c r="E1484" s="497"/>
      <c r="F1484" s="446">
        <f>J1484+H1484+L1484</f>
        <v>67004</v>
      </c>
      <c r="G1484" s="497"/>
      <c r="H1484" s="446">
        <f>ROUNDDOWN(SUMIF(P1480:P1483,O1484,H1480:H1483),0)</f>
        <v>67004</v>
      </c>
      <c r="I1484" s="497"/>
      <c r="J1484" s="446">
        <f>ROUNDDOWN(SUMIF(P1480:P1483,O1484,J1480:J1483),0)</f>
        <v>0</v>
      </c>
      <c r="K1484" s="497"/>
      <c r="L1484" s="446">
        <f>ROUNDDOWN(SUMIF(P1480:P1483,O1484,L1480:L1483),0)</f>
        <v>0</v>
      </c>
      <c r="M1484" s="497"/>
      <c r="O1484" s="468" t="s">
        <v>2354</v>
      </c>
    </row>
    <row r="1485" spans="1:26" ht="33.200000000000003" customHeight="1">
      <c r="A1485" s="484" t="s">
        <v>3113</v>
      </c>
      <c r="B1485" s="484"/>
      <c r="C1485" s="485"/>
      <c r="D1485" s="485"/>
      <c r="E1485" s="485"/>
      <c r="F1485" s="485"/>
      <c r="G1485" s="485"/>
      <c r="H1485" s="485"/>
      <c r="I1485" s="485"/>
      <c r="J1485" s="485"/>
      <c r="K1485" s="485"/>
      <c r="L1485" s="485"/>
      <c r="M1485" s="485"/>
      <c r="N1485" s="486" t="str">
        <f>HYPERLINK("#N"&amp;ROW(N1491),"_x0005_`BDCOD|B02866_x0007_`POSS|"&amp;ROW(N1487)&amp;"_x0007_`POSE|"&amp;ROW(N1491)&amp;"_x0007_`")</f>
        <v>_x0005_`BDCOD|B02866_x0007_`POSS|1487_x0007_`POSE|1491_x0007_`</v>
      </c>
    </row>
    <row r="1486" spans="1:26" ht="33.200000000000003" customHeight="1">
      <c r="A1486" s="469" t="s">
        <v>5199</v>
      </c>
      <c r="B1486" s="469" t="s">
        <v>965</v>
      </c>
      <c r="C1486" s="487"/>
      <c r="D1486" s="488" t="s">
        <v>975</v>
      </c>
      <c r="E1486" s="487"/>
      <c r="F1486" s="487"/>
      <c r="G1486" s="487"/>
      <c r="H1486" s="487"/>
      <c r="I1486" s="487"/>
      <c r="J1486" s="487"/>
      <c r="K1486" s="487"/>
      <c r="L1486" s="487"/>
      <c r="M1486" s="488" t="s">
        <v>5200</v>
      </c>
      <c r="O1486" s="468" t="s">
        <v>5200</v>
      </c>
    </row>
    <row r="1487" spans="1:26" ht="33.200000000000003" customHeight="1">
      <c r="A1487" s="452" t="s">
        <v>2484</v>
      </c>
      <c r="B1487" s="452" t="s">
        <v>2485</v>
      </c>
      <c r="C1487" s="489">
        <v>0.08</v>
      </c>
      <c r="D1487" s="480" t="s">
        <v>8</v>
      </c>
      <c r="E1487" s="490">
        <f t="shared" ref="E1487:F1491" si="232">I1487+G1487+K1487</f>
        <v>62811</v>
      </c>
      <c r="F1487" s="493">
        <f t="shared" si="232"/>
        <v>5024.8</v>
      </c>
      <c r="G1487" s="494">
        <f>단가산출근거목록표!F157</f>
        <v>62811</v>
      </c>
      <c r="H1487" s="498">
        <f>IF(C1487=0,0,ROUNDDOWN(G1487*C1487,1))</f>
        <v>5024.8</v>
      </c>
      <c r="I1487" s="494">
        <f>단가산출근거목록표!G157</f>
        <v>0</v>
      </c>
      <c r="J1487" s="498">
        <f>IF(C1487=0,0,ROUNDDOWN(I1487*C1487,1))</f>
        <v>0</v>
      </c>
      <c r="K1487" s="494">
        <f>단가산출근거목록표!H157</f>
        <v>0</v>
      </c>
      <c r="L1487" s="498">
        <f>IF(C1487=0,0,ROUNDDOWN(K1487*C1487,1))</f>
        <v>0</v>
      </c>
      <c r="M1487" s="463" t="s">
        <v>2486</v>
      </c>
      <c r="N1487" s="451" t="s">
        <v>2487</v>
      </c>
      <c r="O1487" s="468" t="s">
        <v>2488</v>
      </c>
      <c r="P1487" s="468" t="s">
        <v>2354</v>
      </c>
      <c r="Q1487" s="468" t="s">
        <v>2355</v>
      </c>
      <c r="Z1487" s="433" t="str">
        <f ca="1">HYPERLINK("#"&amp;단가산출근거목록표!J2&amp;"!A"&amp;ROW(단가산출근거목록표!A157),"D01241 →")</f>
        <v>D01241 →</v>
      </c>
    </row>
    <row r="1488" spans="1:26" ht="33.200000000000003" customHeight="1">
      <c r="A1488" s="452" t="s">
        <v>2321</v>
      </c>
      <c r="B1488" s="452" t="s">
        <v>2322</v>
      </c>
      <c r="C1488" s="489">
        <v>5.2999999999999999E-2</v>
      </c>
      <c r="D1488" s="480" t="s">
        <v>8</v>
      </c>
      <c r="E1488" s="490">
        <f t="shared" si="232"/>
        <v>34413</v>
      </c>
      <c r="F1488" s="493">
        <f t="shared" si="232"/>
        <v>1823.8</v>
      </c>
      <c r="G1488" s="494">
        <f>일위대가목록표!F275</f>
        <v>34413</v>
      </c>
      <c r="H1488" s="498">
        <f>IF(C1488=0,0,ROUNDDOWN(G1488*C1488,1))</f>
        <v>1823.8</v>
      </c>
      <c r="I1488" s="494">
        <f>일위대가목록표!G275</f>
        <v>0</v>
      </c>
      <c r="J1488" s="498">
        <f>IF(C1488=0,0,ROUNDDOWN(I1488*C1488,1))</f>
        <v>0</v>
      </c>
      <c r="K1488" s="494">
        <f>일위대가목록표!H275</f>
        <v>0</v>
      </c>
      <c r="L1488" s="498">
        <f>IF(C1488=0,0,ROUNDDOWN(K1488*C1488,1))</f>
        <v>0</v>
      </c>
      <c r="M1488" s="463" t="s">
        <v>2489</v>
      </c>
      <c r="N1488" s="451" t="s">
        <v>2490</v>
      </c>
      <c r="O1488" s="468" t="s">
        <v>2491</v>
      </c>
      <c r="P1488" s="468" t="s">
        <v>2354</v>
      </c>
      <c r="Q1488" s="468" t="s">
        <v>2355</v>
      </c>
      <c r="Z1488" s="433" t="str">
        <f ca="1">HYPERLINK("#"&amp;일위대가목록표!J2&amp;"!A"&amp;ROW(일위대가목록표!A275),"B01414 →")</f>
        <v>B01414 →</v>
      </c>
    </row>
    <row r="1489" spans="1:26" ht="33.200000000000003" customHeight="1">
      <c r="A1489" s="452" t="s">
        <v>2298</v>
      </c>
      <c r="B1489" s="452" t="s">
        <v>2299</v>
      </c>
      <c r="C1489" s="489">
        <v>2.7E-2</v>
      </c>
      <c r="D1489" s="480" t="s">
        <v>8</v>
      </c>
      <c r="E1489" s="490">
        <f t="shared" si="232"/>
        <v>24089</v>
      </c>
      <c r="F1489" s="493">
        <f t="shared" si="232"/>
        <v>650.4</v>
      </c>
      <c r="G1489" s="494">
        <f>일위대가목록표!F37</f>
        <v>24089</v>
      </c>
      <c r="H1489" s="498">
        <f>IF(C1489=0,0,ROUNDDOWN(G1489*C1489,1))</f>
        <v>650.4</v>
      </c>
      <c r="I1489" s="494">
        <f>일위대가목록표!G37</f>
        <v>0</v>
      </c>
      <c r="J1489" s="498">
        <f>IF(C1489=0,0,ROUNDDOWN(I1489*C1489,1))</f>
        <v>0</v>
      </c>
      <c r="K1489" s="494">
        <f>일위대가목록표!H37</f>
        <v>0</v>
      </c>
      <c r="L1489" s="498">
        <f>IF(C1489=0,0,ROUNDDOWN(K1489*C1489,1))</f>
        <v>0</v>
      </c>
      <c r="M1489" s="463" t="s">
        <v>2492</v>
      </c>
      <c r="N1489" s="451" t="s">
        <v>2493</v>
      </c>
      <c r="O1489" s="468" t="s">
        <v>2494</v>
      </c>
      <c r="P1489" s="468" t="s">
        <v>2354</v>
      </c>
      <c r="Q1489" s="468" t="s">
        <v>2355</v>
      </c>
      <c r="Z1489" s="433" t="str">
        <f ca="1">HYPERLINK("#"&amp;일위대가목록표!J2&amp;"!A"&amp;ROW(일위대가목록표!A37),"B01447 →")</f>
        <v>B01447 →</v>
      </c>
    </row>
    <row r="1490" spans="1:26" ht="33.200000000000003" customHeight="1">
      <c r="A1490" s="452" t="s">
        <v>2955</v>
      </c>
      <c r="B1490" s="452" t="s">
        <v>2322</v>
      </c>
      <c r="C1490" s="489">
        <v>1</v>
      </c>
      <c r="D1490" s="480" t="s">
        <v>975</v>
      </c>
      <c r="E1490" s="490">
        <f t="shared" si="232"/>
        <v>14281</v>
      </c>
      <c r="F1490" s="493">
        <f t="shared" si="232"/>
        <v>14281</v>
      </c>
      <c r="G1490" s="494">
        <f>단가산출근거목록표!F69</f>
        <v>14281</v>
      </c>
      <c r="H1490" s="498">
        <f>IF(C1490=0,0,ROUNDDOWN(G1490*C1490,1))</f>
        <v>14281</v>
      </c>
      <c r="I1490" s="494">
        <f>단가산출근거목록표!G69</f>
        <v>0</v>
      </c>
      <c r="J1490" s="498">
        <f>IF(C1490=0,0,ROUNDDOWN(I1490*C1490,1))</f>
        <v>0</v>
      </c>
      <c r="K1490" s="494">
        <f>단가산출근거목록표!H69</f>
        <v>0</v>
      </c>
      <c r="L1490" s="498">
        <f>IF(C1490=0,0,ROUNDDOWN(K1490*C1490,1))</f>
        <v>0</v>
      </c>
      <c r="M1490" s="463" t="s">
        <v>2956</v>
      </c>
      <c r="N1490" s="451" t="s">
        <v>2960</v>
      </c>
      <c r="O1490" s="468" t="s">
        <v>2958</v>
      </c>
      <c r="P1490" s="468" t="s">
        <v>2354</v>
      </c>
      <c r="Q1490" s="468" t="s">
        <v>2355</v>
      </c>
      <c r="Z1490" s="433" t="str">
        <f ca="1">HYPERLINK("#"&amp;단가산출근거목록표!J2&amp;"!A"&amp;ROW(단가산출근거목록표!A69),"D01225 →")</f>
        <v>D01225 →</v>
      </c>
    </row>
    <row r="1491" spans="1:26" ht="33.200000000000003" customHeight="1">
      <c r="A1491" s="452" t="s">
        <v>2507</v>
      </c>
      <c r="B1491" s="452" t="s">
        <v>2441</v>
      </c>
      <c r="C1491" s="489">
        <v>15</v>
      </c>
      <c r="D1491" s="480" t="s">
        <v>2371</v>
      </c>
      <c r="E1491" s="490">
        <f t="shared" si="232"/>
        <v>21780</v>
      </c>
      <c r="F1491" s="491">
        <f t="shared" si="232"/>
        <v>3267</v>
      </c>
      <c r="G1491" s="496">
        <f>H1487+H1488+H1489+H1490</f>
        <v>21780</v>
      </c>
      <c r="H1491" s="491">
        <f>IF(C1491=0,0,ROUNDDOWN(G1491*C1491/100,1))</f>
        <v>3267</v>
      </c>
      <c r="I1491" s="465">
        <v>0</v>
      </c>
      <c r="J1491" s="493">
        <f>IF(C1491=0,0,ROUNDDOWN(I1491*C1491/100,1))</f>
        <v>0</v>
      </c>
      <c r="K1491" s="467">
        <v>0</v>
      </c>
      <c r="L1491" s="493">
        <f>IF(C1491=0,0,ROUNDDOWN(K1491*C1491/100,1))</f>
        <v>0</v>
      </c>
      <c r="M1491" s="463"/>
      <c r="N1491" s="451" t="s">
        <v>2508</v>
      </c>
      <c r="O1491" s="468" t="s">
        <v>2373</v>
      </c>
      <c r="P1491" s="468" t="s">
        <v>2354</v>
      </c>
    </row>
    <row r="1492" spans="1:26" ht="33.200000000000003" customHeight="1">
      <c r="A1492" s="463" t="s">
        <v>842</v>
      </c>
      <c r="B1492" s="497"/>
      <c r="C1492" s="497"/>
      <c r="D1492" s="497"/>
      <c r="E1492" s="497"/>
      <c r="F1492" s="446">
        <f>J1492+H1492+L1492</f>
        <v>25047</v>
      </c>
      <c r="G1492" s="497"/>
      <c r="H1492" s="446">
        <f>ROUNDDOWN(SUMIF(P1487:P1491,O1492,H1487:H1491),0)</f>
        <v>25047</v>
      </c>
      <c r="I1492" s="497"/>
      <c r="J1492" s="446">
        <f>ROUNDDOWN(SUMIF(P1487:P1491,O1492,J1487:J1491),0)</f>
        <v>0</v>
      </c>
      <c r="K1492" s="497"/>
      <c r="L1492" s="446">
        <f>ROUNDDOWN(SUMIF(P1487:P1491,O1492,L1487:L1491),0)</f>
        <v>0</v>
      </c>
      <c r="M1492" s="497"/>
      <c r="O1492" s="468" t="s">
        <v>2354</v>
      </c>
    </row>
    <row r="1493" spans="1:26" ht="33.200000000000003" customHeight="1">
      <c r="A1493" s="484" t="s">
        <v>3114</v>
      </c>
      <c r="B1493" s="484"/>
      <c r="C1493" s="485"/>
      <c r="D1493" s="485"/>
      <c r="E1493" s="485"/>
      <c r="F1493" s="485"/>
      <c r="G1493" s="485"/>
      <c r="H1493" s="485"/>
      <c r="I1493" s="485"/>
      <c r="J1493" s="485"/>
      <c r="K1493" s="485"/>
      <c r="L1493" s="485"/>
      <c r="M1493" s="485"/>
      <c r="N1493" s="486" t="str">
        <f>HYPERLINK("#N"&amp;ROW(N1499),"_x0005_`BDCOD|B02629_x0007_`POSS|"&amp;ROW(N1495)&amp;"_x0007_`POSE|"&amp;ROW(N1499)&amp;"_x0007_`")</f>
        <v>_x0005_`BDCOD|B02629_x0007_`POSS|1495_x0007_`POSE|1499_x0007_`</v>
      </c>
    </row>
    <row r="1494" spans="1:26" ht="33.200000000000003" customHeight="1">
      <c r="A1494" s="469" t="s">
        <v>5203</v>
      </c>
      <c r="B1494" s="469" t="s">
        <v>965</v>
      </c>
      <c r="C1494" s="487"/>
      <c r="D1494" s="488" t="s">
        <v>975</v>
      </c>
      <c r="E1494" s="487"/>
      <c r="F1494" s="487"/>
      <c r="G1494" s="487"/>
      <c r="H1494" s="487"/>
      <c r="I1494" s="487"/>
      <c r="J1494" s="487"/>
      <c r="K1494" s="487"/>
      <c r="L1494" s="487"/>
      <c r="M1494" s="488" t="s">
        <v>1560</v>
      </c>
      <c r="O1494" s="468" t="s">
        <v>1560</v>
      </c>
    </row>
    <row r="1495" spans="1:26" ht="33.200000000000003" customHeight="1">
      <c r="A1495" s="452" t="s">
        <v>2484</v>
      </c>
      <c r="B1495" s="452" t="s">
        <v>2485</v>
      </c>
      <c r="C1495" s="489">
        <v>0.08</v>
      </c>
      <c r="D1495" s="480" t="s">
        <v>8</v>
      </c>
      <c r="E1495" s="490">
        <f t="shared" ref="E1495:F1499" si="233">I1495+G1495+K1495</f>
        <v>62811</v>
      </c>
      <c r="F1495" s="493">
        <f t="shared" si="233"/>
        <v>5024.8</v>
      </c>
      <c r="G1495" s="494">
        <f>단가산출근거목록표!F157</f>
        <v>62811</v>
      </c>
      <c r="H1495" s="498">
        <f>IF(C1495=0,0,ROUNDDOWN(G1495*C1495,1))</f>
        <v>5024.8</v>
      </c>
      <c r="I1495" s="494">
        <f>단가산출근거목록표!G157</f>
        <v>0</v>
      </c>
      <c r="J1495" s="498">
        <f>IF(C1495=0,0,ROUNDDOWN(I1495*C1495,1))</f>
        <v>0</v>
      </c>
      <c r="K1495" s="494">
        <f>단가산출근거목록표!H157</f>
        <v>0</v>
      </c>
      <c r="L1495" s="498">
        <f>IF(C1495=0,0,ROUNDDOWN(K1495*C1495,1))</f>
        <v>0</v>
      </c>
      <c r="M1495" s="463" t="s">
        <v>2486</v>
      </c>
      <c r="N1495" s="451" t="s">
        <v>2487</v>
      </c>
      <c r="O1495" s="468" t="s">
        <v>2488</v>
      </c>
      <c r="P1495" s="468" t="s">
        <v>2354</v>
      </c>
      <c r="Q1495" s="468" t="s">
        <v>2355</v>
      </c>
      <c r="Z1495" s="433" t="str">
        <f ca="1">HYPERLINK("#"&amp;단가산출근거목록표!J2&amp;"!A"&amp;ROW(단가산출근거목록표!A157),"D01241 →")</f>
        <v>D01241 →</v>
      </c>
    </row>
    <row r="1496" spans="1:26" ht="33.200000000000003" customHeight="1">
      <c r="A1496" s="452" t="s">
        <v>2321</v>
      </c>
      <c r="B1496" s="452" t="s">
        <v>2322</v>
      </c>
      <c r="C1496" s="489">
        <v>5.2999999999999999E-2</v>
      </c>
      <c r="D1496" s="480" t="s">
        <v>8</v>
      </c>
      <c r="E1496" s="490">
        <f t="shared" si="233"/>
        <v>34413</v>
      </c>
      <c r="F1496" s="493">
        <f t="shared" si="233"/>
        <v>1823.8</v>
      </c>
      <c r="G1496" s="494">
        <f>일위대가목록표!F275</f>
        <v>34413</v>
      </c>
      <c r="H1496" s="498">
        <f>IF(C1496=0,0,ROUNDDOWN(G1496*C1496,1))</f>
        <v>1823.8</v>
      </c>
      <c r="I1496" s="494">
        <f>일위대가목록표!G275</f>
        <v>0</v>
      </c>
      <c r="J1496" s="498">
        <f>IF(C1496=0,0,ROUNDDOWN(I1496*C1496,1))</f>
        <v>0</v>
      </c>
      <c r="K1496" s="494">
        <f>일위대가목록표!H275</f>
        <v>0</v>
      </c>
      <c r="L1496" s="498">
        <f>IF(C1496=0,0,ROUNDDOWN(K1496*C1496,1))</f>
        <v>0</v>
      </c>
      <c r="M1496" s="463" t="s">
        <v>2489</v>
      </c>
      <c r="N1496" s="451" t="s">
        <v>2490</v>
      </c>
      <c r="O1496" s="468" t="s">
        <v>2491</v>
      </c>
      <c r="P1496" s="468" t="s">
        <v>2354</v>
      </c>
      <c r="Q1496" s="468" t="s">
        <v>2355</v>
      </c>
      <c r="Z1496" s="433" t="str">
        <f ca="1">HYPERLINK("#"&amp;일위대가목록표!J2&amp;"!A"&amp;ROW(일위대가목록표!A275),"B01414 →")</f>
        <v>B01414 →</v>
      </c>
    </row>
    <row r="1497" spans="1:26" ht="33.200000000000003" customHeight="1">
      <c r="A1497" s="452" t="s">
        <v>2298</v>
      </c>
      <c r="B1497" s="452" t="s">
        <v>2299</v>
      </c>
      <c r="C1497" s="489">
        <v>2.7E-2</v>
      </c>
      <c r="D1497" s="480" t="s">
        <v>8</v>
      </c>
      <c r="E1497" s="490">
        <f t="shared" si="233"/>
        <v>24089</v>
      </c>
      <c r="F1497" s="493">
        <f t="shared" si="233"/>
        <v>650.4</v>
      </c>
      <c r="G1497" s="494">
        <f>일위대가목록표!F37</f>
        <v>24089</v>
      </c>
      <c r="H1497" s="498">
        <f>IF(C1497=0,0,ROUNDDOWN(G1497*C1497,1))</f>
        <v>650.4</v>
      </c>
      <c r="I1497" s="494">
        <f>일위대가목록표!G37</f>
        <v>0</v>
      </c>
      <c r="J1497" s="498">
        <f>IF(C1497=0,0,ROUNDDOWN(I1497*C1497,1))</f>
        <v>0</v>
      </c>
      <c r="K1497" s="494">
        <f>일위대가목록표!H37</f>
        <v>0</v>
      </c>
      <c r="L1497" s="498">
        <f>IF(C1497=0,0,ROUNDDOWN(K1497*C1497,1))</f>
        <v>0</v>
      </c>
      <c r="M1497" s="463" t="s">
        <v>2492</v>
      </c>
      <c r="N1497" s="451" t="s">
        <v>2493</v>
      </c>
      <c r="O1497" s="468" t="s">
        <v>2494</v>
      </c>
      <c r="P1497" s="468" t="s">
        <v>2354</v>
      </c>
      <c r="Q1497" s="468" t="s">
        <v>2355</v>
      </c>
      <c r="Z1497" s="433" t="str">
        <f ca="1">HYPERLINK("#"&amp;일위대가목록표!J2&amp;"!A"&amp;ROW(일위대가목록표!A37),"B01447 →")</f>
        <v>B01447 →</v>
      </c>
    </row>
    <row r="1498" spans="1:26" ht="33.200000000000003" customHeight="1">
      <c r="A1498" s="452" t="s">
        <v>2955</v>
      </c>
      <c r="B1498" s="452" t="s">
        <v>2322</v>
      </c>
      <c r="C1498" s="489">
        <v>1</v>
      </c>
      <c r="D1498" s="480" t="s">
        <v>975</v>
      </c>
      <c r="E1498" s="490">
        <f t="shared" si="233"/>
        <v>14281</v>
      </c>
      <c r="F1498" s="493">
        <f t="shared" si="233"/>
        <v>14281</v>
      </c>
      <c r="G1498" s="494">
        <f>단가산출근거목록표!F69</f>
        <v>14281</v>
      </c>
      <c r="H1498" s="498">
        <f>IF(C1498=0,0,ROUNDDOWN(G1498*C1498,1))</f>
        <v>14281</v>
      </c>
      <c r="I1498" s="494">
        <f>단가산출근거목록표!G69</f>
        <v>0</v>
      </c>
      <c r="J1498" s="498">
        <f>IF(C1498=0,0,ROUNDDOWN(I1498*C1498,1))</f>
        <v>0</v>
      </c>
      <c r="K1498" s="494">
        <f>단가산출근거목록표!H69</f>
        <v>0</v>
      </c>
      <c r="L1498" s="498">
        <f>IF(C1498=0,0,ROUNDDOWN(K1498*C1498,1))</f>
        <v>0</v>
      </c>
      <c r="M1498" s="463" t="s">
        <v>2956</v>
      </c>
      <c r="N1498" s="451" t="s">
        <v>2960</v>
      </c>
      <c r="O1498" s="468" t="s">
        <v>2958</v>
      </c>
      <c r="P1498" s="468" t="s">
        <v>2354</v>
      </c>
      <c r="Q1498" s="468" t="s">
        <v>2355</v>
      </c>
      <c r="Z1498" s="433" t="str">
        <f ca="1">HYPERLINK("#"&amp;단가산출근거목록표!J2&amp;"!A"&amp;ROW(단가산출근거목록표!A69),"D01225 →")</f>
        <v>D01225 →</v>
      </c>
    </row>
    <row r="1499" spans="1:26" ht="33.200000000000003" customHeight="1">
      <c r="A1499" s="452" t="s">
        <v>2507</v>
      </c>
      <c r="B1499" s="452" t="s">
        <v>2441</v>
      </c>
      <c r="C1499" s="489">
        <v>25</v>
      </c>
      <c r="D1499" s="480" t="s">
        <v>2371</v>
      </c>
      <c r="E1499" s="490">
        <f t="shared" si="233"/>
        <v>21780</v>
      </c>
      <c r="F1499" s="491">
        <f t="shared" si="233"/>
        <v>5445</v>
      </c>
      <c r="G1499" s="496">
        <f>H1495+H1496+H1497+H1498</f>
        <v>21780</v>
      </c>
      <c r="H1499" s="491">
        <f>IF(C1499=0,0,ROUNDDOWN(G1499*C1499/100,1))</f>
        <v>5445</v>
      </c>
      <c r="I1499" s="465">
        <v>0</v>
      </c>
      <c r="J1499" s="493">
        <f>IF(C1499=0,0,ROUNDDOWN(I1499*C1499/100,1))</f>
        <v>0</v>
      </c>
      <c r="K1499" s="467">
        <v>0</v>
      </c>
      <c r="L1499" s="493">
        <f>IF(C1499=0,0,ROUNDDOWN(K1499*C1499/100,1))</f>
        <v>0</v>
      </c>
      <c r="M1499" s="463"/>
      <c r="N1499" s="451" t="s">
        <v>2508</v>
      </c>
      <c r="O1499" s="468" t="s">
        <v>2373</v>
      </c>
      <c r="P1499" s="468" t="s">
        <v>2354</v>
      </c>
    </row>
    <row r="1500" spans="1:26" ht="33.200000000000003" customHeight="1">
      <c r="A1500" s="463" t="s">
        <v>842</v>
      </c>
      <c r="B1500" s="497"/>
      <c r="C1500" s="497"/>
      <c r="D1500" s="497"/>
      <c r="E1500" s="497"/>
      <c r="F1500" s="446">
        <f>J1500+H1500+L1500</f>
        <v>27225</v>
      </c>
      <c r="G1500" s="497"/>
      <c r="H1500" s="446">
        <f>ROUNDDOWN(SUMIF(P1495:P1499,O1500,H1495:H1499),0)</f>
        <v>27225</v>
      </c>
      <c r="I1500" s="497"/>
      <c r="J1500" s="446">
        <f>ROUNDDOWN(SUMIF(P1495:P1499,O1500,J1495:J1499),0)</f>
        <v>0</v>
      </c>
      <c r="K1500" s="497"/>
      <c r="L1500" s="446">
        <f>ROUNDDOWN(SUMIF(P1495:P1499,O1500,L1495:L1499),0)</f>
        <v>0</v>
      </c>
      <c r="M1500" s="497"/>
      <c r="O1500" s="468" t="s">
        <v>2354</v>
      </c>
    </row>
    <row r="1501" spans="1:26" ht="33.200000000000003" customHeight="1">
      <c r="A1501" s="484" t="s">
        <v>3115</v>
      </c>
      <c r="B1501" s="484"/>
      <c r="C1501" s="485"/>
      <c r="D1501" s="485"/>
      <c r="E1501" s="485"/>
      <c r="F1501" s="485"/>
      <c r="G1501" s="485"/>
      <c r="H1501" s="485"/>
      <c r="I1501" s="485"/>
      <c r="J1501" s="485"/>
      <c r="K1501" s="485"/>
      <c r="L1501" s="485"/>
      <c r="M1501" s="485"/>
      <c r="N1501" s="486" t="str">
        <f>HYPERLINK("#N"&amp;ROW(N1506),"_x0005_`BDCOD|B02637_x0007_`POSS|"&amp;ROW(N1503)&amp;"_x0007_`POSE|"&amp;ROW(N1506)&amp;"_x0007_`")</f>
        <v>_x0005_`BDCOD|B02637_x0007_`POSS|1503_x0007_`POSE|1506_x0007_`</v>
      </c>
    </row>
    <row r="1502" spans="1:26" ht="33.200000000000003" customHeight="1">
      <c r="A1502" s="469" t="s">
        <v>1772</v>
      </c>
      <c r="B1502" s="469" t="s">
        <v>965</v>
      </c>
      <c r="C1502" s="487"/>
      <c r="D1502" s="488" t="s">
        <v>966</v>
      </c>
      <c r="E1502" s="487"/>
      <c r="F1502" s="487"/>
      <c r="G1502" s="487"/>
      <c r="H1502" s="487"/>
      <c r="I1502" s="487"/>
      <c r="J1502" s="487"/>
      <c r="K1502" s="487"/>
      <c r="L1502" s="487"/>
      <c r="M1502" s="488" t="s">
        <v>1773</v>
      </c>
      <c r="O1502" s="468" t="s">
        <v>1773</v>
      </c>
    </row>
    <row r="1503" spans="1:26" ht="33.200000000000003" customHeight="1">
      <c r="A1503" s="452" t="s">
        <v>2484</v>
      </c>
      <c r="B1503" s="452" t="s">
        <v>2485</v>
      </c>
      <c r="C1503" s="489">
        <v>6.0999999999999999E-2</v>
      </c>
      <c r="D1503" s="480" t="s">
        <v>8</v>
      </c>
      <c r="E1503" s="490">
        <f t="shared" ref="E1503:F1506" si="234">I1503+G1503+K1503</f>
        <v>62811</v>
      </c>
      <c r="F1503" s="493">
        <f t="shared" si="234"/>
        <v>3831.4</v>
      </c>
      <c r="G1503" s="494">
        <f>단가산출근거목록표!F157</f>
        <v>62811</v>
      </c>
      <c r="H1503" s="498">
        <f>IF(C1503=0,0,ROUNDDOWN(G1503*C1503,1))</f>
        <v>3831.4</v>
      </c>
      <c r="I1503" s="494">
        <f>단가산출근거목록표!G157</f>
        <v>0</v>
      </c>
      <c r="J1503" s="498">
        <f>IF(C1503=0,0,ROUNDDOWN(I1503*C1503,1))</f>
        <v>0</v>
      </c>
      <c r="K1503" s="494">
        <f>단가산출근거목록표!H157</f>
        <v>0</v>
      </c>
      <c r="L1503" s="498">
        <f>IF(C1503=0,0,ROUNDDOWN(K1503*C1503,1))</f>
        <v>0</v>
      </c>
      <c r="M1503" s="463" t="s">
        <v>2486</v>
      </c>
      <c r="N1503" s="451" t="s">
        <v>2487</v>
      </c>
      <c r="O1503" s="468" t="s">
        <v>2488</v>
      </c>
      <c r="P1503" s="468" t="s">
        <v>2354</v>
      </c>
      <c r="Q1503" s="468" t="s">
        <v>2355</v>
      </c>
      <c r="Z1503" s="433" t="str">
        <f ca="1">HYPERLINK("#"&amp;단가산출근거목록표!J2&amp;"!A"&amp;ROW(단가산출근거목록표!A157),"D01241 →")</f>
        <v>D01241 →</v>
      </c>
    </row>
    <row r="1504" spans="1:26" ht="33.200000000000003" customHeight="1">
      <c r="A1504" s="452" t="s">
        <v>1793</v>
      </c>
      <c r="B1504" s="452" t="s">
        <v>1789</v>
      </c>
      <c r="C1504" s="489">
        <v>2.7E-2</v>
      </c>
      <c r="D1504" s="480" t="s">
        <v>8</v>
      </c>
      <c r="E1504" s="490">
        <f t="shared" si="234"/>
        <v>233588</v>
      </c>
      <c r="F1504" s="493">
        <f t="shared" si="234"/>
        <v>6306.8</v>
      </c>
      <c r="G1504" s="494">
        <f>단가산출근거목록표!F152</f>
        <v>228399</v>
      </c>
      <c r="H1504" s="498">
        <f>IF(C1504=0,0,ROUNDDOWN(G1504*C1504,1))</f>
        <v>6166.7</v>
      </c>
      <c r="I1504" s="494">
        <f>단가산출근거목록표!G152</f>
        <v>0</v>
      </c>
      <c r="J1504" s="498">
        <f>IF(C1504=0,0,ROUNDDOWN(I1504*C1504,1))</f>
        <v>0</v>
      </c>
      <c r="K1504" s="494">
        <f>단가산출근거목록표!H152</f>
        <v>5189</v>
      </c>
      <c r="L1504" s="498">
        <f>IF(C1504=0,0,ROUNDDOWN(K1504*C1504,1))</f>
        <v>140.1</v>
      </c>
      <c r="M1504" s="463" t="s">
        <v>2594</v>
      </c>
      <c r="N1504" s="451" t="s">
        <v>2595</v>
      </c>
      <c r="O1504" s="468" t="s">
        <v>1796</v>
      </c>
      <c r="P1504" s="468" t="s">
        <v>2354</v>
      </c>
      <c r="Q1504" s="468" t="s">
        <v>2355</v>
      </c>
      <c r="Z1504" s="433" t="str">
        <f ca="1">HYPERLINK("#"&amp;단가산출근거목록표!J2&amp;"!A"&amp;ROW(단가산출근거목록표!A152),"D01242 →")</f>
        <v>D01242 →</v>
      </c>
    </row>
    <row r="1505" spans="1:26" ht="33.200000000000003" customHeight="1">
      <c r="A1505" s="452" t="s">
        <v>1466</v>
      </c>
      <c r="B1505" s="452" t="s">
        <v>1467</v>
      </c>
      <c r="C1505" s="489">
        <v>1.4E-2</v>
      </c>
      <c r="D1505" s="480" t="s">
        <v>8</v>
      </c>
      <c r="E1505" s="490">
        <f t="shared" si="234"/>
        <v>274515</v>
      </c>
      <c r="F1505" s="493">
        <f t="shared" si="234"/>
        <v>3843.2</v>
      </c>
      <c r="G1505" s="494">
        <f>일위대가목록표!F73</f>
        <v>274515</v>
      </c>
      <c r="H1505" s="498">
        <f>IF(C1505=0,0,ROUNDDOWN(G1505*C1505,1))</f>
        <v>3843.2</v>
      </c>
      <c r="I1505" s="494">
        <f>일위대가목록표!G73</f>
        <v>0</v>
      </c>
      <c r="J1505" s="498">
        <f>IF(C1505=0,0,ROUNDDOWN(I1505*C1505,1))</f>
        <v>0</v>
      </c>
      <c r="K1505" s="494">
        <f>일위대가목록표!H73</f>
        <v>0</v>
      </c>
      <c r="L1505" s="498">
        <f>IF(C1505=0,0,ROUNDDOWN(K1505*C1505,1))</f>
        <v>0</v>
      </c>
      <c r="M1505" s="463" t="s">
        <v>2596</v>
      </c>
      <c r="N1505" s="451" t="s">
        <v>2597</v>
      </c>
      <c r="O1505" s="468" t="s">
        <v>1470</v>
      </c>
      <c r="P1505" s="468" t="s">
        <v>2354</v>
      </c>
      <c r="Q1505" s="468" t="s">
        <v>2355</v>
      </c>
      <c r="Z1505" s="433" t="str">
        <f ca="1">HYPERLINK("#"&amp;일위대가목록표!J2&amp;"!A"&amp;ROW(일위대가목록표!A73),"B02396 →")</f>
        <v>B02396 →</v>
      </c>
    </row>
    <row r="1506" spans="1:26" ht="33.200000000000003" customHeight="1">
      <c r="A1506" s="452" t="s">
        <v>2298</v>
      </c>
      <c r="B1506" s="452" t="s">
        <v>2299</v>
      </c>
      <c r="C1506" s="489">
        <v>3.4000000000000002E-2</v>
      </c>
      <c r="D1506" s="480" t="s">
        <v>8</v>
      </c>
      <c r="E1506" s="490">
        <f t="shared" si="234"/>
        <v>24089</v>
      </c>
      <c r="F1506" s="493">
        <f t="shared" si="234"/>
        <v>819</v>
      </c>
      <c r="G1506" s="494">
        <f>일위대가목록표!F37</f>
        <v>24089</v>
      </c>
      <c r="H1506" s="498">
        <f>IF(C1506=0,0,ROUNDDOWN(G1506*C1506,1))</f>
        <v>819</v>
      </c>
      <c r="I1506" s="494">
        <f>일위대가목록표!G37</f>
        <v>0</v>
      </c>
      <c r="J1506" s="498">
        <f>IF(C1506=0,0,ROUNDDOWN(I1506*C1506,1))</f>
        <v>0</v>
      </c>
      <c r="K1506" s="494">
        <f>일위대가목록표!H37</f>
        <v>0</v>
      </c>
      <c r="L1506" s="498">
        <f>IF(C1506=0,0,ROUNDDOWN(K1506*C1506,1))</f>
        <v>0</v>
      </c>
      <c r="M1506" s="463" t="s">
        <v>2492</v>
      </c>
      <c r="N1506" s="451" t="s">
        <v>2493</v>
      </c>
      <c r="O1506" s="468" t="s">
        <v>2494</v>
      </c>
      <c r="P1506" s="468" t="s">
        <v>2354</v>
      </c>
      <c r="Q1506" s="468" t="s">
        <v>2355</v>
      </c>
      <c r="Z1506" s="433" t="str">
        <f ca="1">HYPERLINK("#"&amp;일위대가목록표!J2&amp;"!A"&amp;ROW(일위대가목록표!A37),"B01447 →")</f>
        <v>B01447 →</v>
      </c>
    </row>
    <row r="1507" spans="1:26" ht="33.200000000000003" customHeight="1">
      <c r="A1507" s="463" t="s">
        <v>842</v>
      </c>
      <c r="B1507" s="497"/>
      <c r="C1507" s="497"/>
      <c r="D1507" s="497"/>
      <c r="E1507" s="497"/>
      <c r="F1507" s="446">
        <f>J1507+H1507+L1507</f>
        <v>14800</v>
      </c>
      <c r="G1507" s="497"/>
      <c r="H1507" s="446">
        <f>ROUNDDOWN(SUMIF(P1503:P1506,O1507,H1503:H1506),0)</f>
        <v>14660</v>
      </c>
      <c r="I1507" s="497"/>
      <c r="J1507" s="446">
        <f>ROUNDDOWN(SUMIF(P1503:P1506,O1507,J1503:J1506),0)</f>
        <v>0</v>
      </c>
      <c r="K1507" s="497"/>
      <c r="L1507" s="446">
        <f>ROUNDDOWN(SUMIF(P1503:P1506,O1507,L1503:L1506),0)</f>
        <v>140</v>
      </c>
      <c r="M1507" s="497"/>
      <c r="O1507" s="468" t="s">
        <v>2354</v>
      </c>
    </row>
    <row r="1508" spans="1:26" ht="33.200000000000003" customHeight="1">
      <c r="A1508" s="484" t="s">
        <v>3116</v>
      </c>
      <c r="B1508" s="484"/>
      <c r="C1508" s="485"/>
      <c r="D1508" s="485"/>
      <c r="E1508" s="485"/>
      <c r="F1508" s="485"/>
      <c r="G1508" s="485"/>
      <c r="H1508" s="485"/>
      <c r="I1508" s="485"/>
      <c r="J1508" s="485"/>
      <c r="K1508" s="485"/>
      <c r="L1508" s="485"/>
      <c r="M1508" s="485"/>
      <c r="N1508" s="486" t="str">
        <f>HYPERLINK("#N"&amp;ROW(N1514),"_x0005_`BDCOD|B02886_x0007_`POSS|"&amp;ROW(N1510)&amp;"_x0007_`POSE|"&amp;ROW(N1514)&amp;"_x0007_`")</f>
        <v>_x0005_`BDCOD|B02886_x0007_`POSS|1510_x0007_`POSE|1514_x0007_`</v>
      </c>
    </row>
    <row r="1509" spans="1:26" ht="33.200000000000003" customHeight="1">
      <c r="A1509" s="469" t="s">
        <v>5282</v>
      </c>
      <c r="B1509" s="469" t="s">
        <v>965</v>
      </c>
      <c r="C1509" s="487"/>
      <c r="D1509" s="488" t="s">
        <v>966</v>
      </c>
      <c r="E1509" s="487"/>
      <c r="F1509" s="487"/>
      <c r="G1509" s="487"/>
      <c r="H1509" s="487"/>
      <c r="I1509" s="487"/>
      <c r="J1509" s="487"/>
      <c r="K1509" s="487"/>
      <c r="L1509" s="487"/>
      <c r="M1509" s="488" t="s">
        <v>5283</v>
      </c>
      <c r="O1509" s="468" t="s">
        <v>5283</v>
      </c>
    </row>
    <row r="1510" spans="1:26" ht="33.200000000000003" customHeight="1">
      <c r="A1510" s="452" t="s">
        <v>2484</v>
      </c>
      <c r="B1510" s="452" t="s">
        <v>2485</v>
      </c>
      <c r="C1510" s="489">
        <v>6.0999999999999999E-2</v>
      </c>
      <c r="D1510" s="480" t="s">
        <v>8</v>
      </c>
      <c r="E1510" s="490">
        <f t="shared" ref="E1510:F1514" si="235">I1510+G1510+K1510</f>
        <v>62811</v>
      </c>
      <c r="F1510" s="493">
        <f t="shared" si="235"/>
        <v>3831.4</v>
      </c>
      <c r="G1510" s="494">
        <f>단가산출근거목록표!F157</f>
        <v>62811</v>
      </c>
      <c r="H1510" s="498">
        <f>IF(C1510=0,0,ROUNDDOWN(G1510*C1510,1))</f>
        <v>3831.4</v>
      </c>
      <c r="I1510" s="494">
        <f>단가산출근거목록표!G157</f>
        <v>0</v>
      </c>
      <c r="J1510" s="498">
        <f>IF(C1510=0,0,ROUNDDOWN(I1510*C1510,1))</f>
        <v>0</v>
      </c>
      <c r="K1510" s="494">
        <f>단가산출근거목록표!H157</f>
        <v>0</v>
      </c>
      <c r="L1510" s="498">
        <f>IF(C1510=0,0,ROUNDDOWN(K1510*C1510,1))</f>
        <v>0</v>
      </c>
      <c r="M1510" s="463" t="s">
        <v>2486</v>
      </c>
      <c r="N1510" s="451" t="s">
        <v>2487</v>
      </c>
      <c r="O1510" s="468" t="s">
        <v>2488</v>
      </c>
      <c r="P1510" s="468" t="s">
        <v>2354</v>
      </c>
      <c r="Q1510" s="468" t="s">
        <v>2355</v>
      </c>
      <c r="Z1510" s="433" t="str">
        <f ca="1">HYPERLINK("#"&amp;단가산출근거목록표!J2&amp;"!A"&amp;ROW(단가산출근거목록표!A157),"D01241 →")</f>
        <v>D01241 →</v>
      </c>
    </row>
    <row r="1511" spans="1:26" ht="33.200000000000003" customHeight="1">
      <c r="A1511" s="452" t="s">
        <v>1793</v>
      </c>
      <c r="B1511" s="452" t="s">
        <v>1789</v>
      </c>
      <c r="C1511" s="489">
        <v>2.7E-2</v>
      </c>
      <c r="D1511" s="480" t="s">
        <v>8</v>
      </c>
      <c r="E1511" s="490">
        <f t="shared" si="235"/>
        <v>233588</v>
      </c>
      <c r="F1511" s="493">
        <f t="shared" si="235"/>
        <v>6306.8</v>
      </c>
      <c r="G1511" s="494">
        <f>단가산출근거목록표!F152</f>
        <v>228399</v>
      </c>
      <c r="H1511" s="498">
        <f>IF(C1511=0,0,ROUNDDOWN(G1511*C1511,1))</f>
        <v>6166.7</v>
      </c>
      <c r="I1511" s="494">
        <f>단가산출근거목록표!G152</f>
        <v>0</v>
      </c>
      <c r="J1511" s="498">
        <f>IF(C1511=0,0,ROUNDDOWN(I1511*C1511,1))</f>
        <v>0</v>
      </c>
      <c r="K1511" s="494">
        <f>단가산출근거목록표!H152</f>
        <v>5189</v>
      </c>
      <c r="L1511" s="498">
        <f>IF(C1511=0,0,ROUNDDOWN(K1511*C1511,1))</f>
        <v>140.1</v>
      </c>
      <c r="M1511" s="463" t="s">
        <v>2594</v>
      </c>
      <c r="N1511" s="451" t="s">
        <v>2595</v>
      </c>
      <c r="O1511" s="468" t="s">
        <v>1796</v>
      </c>
      <c r="P1511" s="468" t="s">
        <v>2354</v>
      </c>
      <c r="Q1511" s="468" t="s">
        <v>2355</v>
      </c>
      <c r="Z1511" s="433" t="str">
        <f ca="1">HYPERLINK("#"&amp;단가산출근거목록표!J2&amp;"!A"&amp;ROW(단가산출근거목록표!A152),"D01242 →")</f>
        <v>D01242 →</v>
      </c>
    </row>
    <row r="1512" spans="1:26" ht="33.200000000000003" customHeight="1">
      <c r="A1512" s="452" t="s">
        <v>1466</v>
      </c>
      <c r="B1512" s="452" t="s">
        <v>1467</v>
      </c>
      <c r="C1512" s="489">
        <v>1.4E-2</v>
      </c>
      <c r="D1512" s="480" t="s">
        <v>8</v>
      </c>
      <c r="E1512" s="490">
        <f t="shared" si="235"/>
        <v>274515</v>
      </c>
      <c r="F1512" s="493">
        <f t="shared" si="235"/>
        <v>3843.2</v>
      </c>
      <c r="G1512" s="494">
        <f>일위대가목록표!F73</f>
        <v>274515</v>
      </c>
      <c r="H1512" s="498">
        <f>IF(C1512=0,0,ROUNDDOWN(G1512*C1512,1))</f>
        <v>3843.2</v>
      </c>
      <c r="I1512" s="494">
        <f>일위대가목록표!G73</f>
        <v>0</v>
      </c>
      <c r="J1512" s="498">
        <f>IF(C1512=0,0,ROUNDDOWN(I1512*C1512,1))</f>
        <v>0</v>
      </c>
      <c r="K1512" s="494">
        <f>일위대가목록표!H73</f>
        <v>0</v>
      </c>
      <c r="L1512" s="498">
        <f>IF(C1512=0,0,ROUNDDOWN(K1512*C1512,1))</f>
        <v>0</v>
      </c>
      <c r="M1512" s="463" t="s">
        <v>2596</v>
      </c>
      <c r="N1512" s="451" t="s">
        <v>2597</v>
      </c>
      <c r="O1512" s="468" t="s">
        <v>1470</v>
      </c>
      <c r="P1512" s="468" t="s">
        <v>2354</v>
      </c>
      <c r="Q1512" s="468" t="s">
        <v>2355</v>
      </c>
      <c r="Z1512" s="433" t="str">
        <f ca="1">HYPERLINK("#"&amp;일위대가목록표!J2&amp;"!A"&amp;ROW(일위대가목록표!A73),"B02396 →")</f>
        <v>B02396 →</v>
      </c>
    </row>
    <row r="1513" spans="1:26" ht="33.200000000000003" customHeight="1">
      <c r="A1513" s="452" t="s">
        <v>2298</v>
      </c>
      <c r="B1513" s="452" t="s">
        <v>2299</v>
      </c>
      <c r="C1513" s="489">
        <v>3.4000000000000002E-2</v>
      </c>
      <c r="D1513" s="480" t="s">
        <v>8</v>
      </c>
      <c r="E1513" s="490">
        <f t="shared" si="235"/>
        <v>24089</v>
      </c>
      <c r="F1513" s="493">
        <f t="shared" si="235"/>
        <v>819</v>
      </c>
      <c r="G1513" s="494">
        <f>일위대가목록표!F37</f>
        <v>24089</v>
      </c>
      <c r="H1513" s="498">
        <f>IF(C1513=0,0,ROUNDDOWN(G1513*C1513,1))</f>
        <v>819</v>
      </c>
      <c r="I1513" s="494">
        <f>일위대가목록표!G37</f>
        <v>0</v>
      </c>
      <c r="J1513" s="498">
        <f>IF(C1513=0,0,ROUNDDOWN(I1513*C1513,1))</f>
        <v>0</v>
      </c>
      <c r="K1513" s="494">
        <f>일위대가목록표!H37</f>
        <v>0</v>
      </c>
      <c r="L1513" s="498">
        <f>IF(C1513=0,0,ROUNDDOWN(K1513*C1513,1))</f>
        <v>0</v>
      </c>
      <c r="M1513" s="463" t="s">
        <v>2492</v>
      </c>
      <c r="N1513" s="451" t="s">
        <v>2493</v>
      </c>
      <c r="O1513" s="468" t="s">
        <v>2494</v>
      </c>
      <c r="P1513" s="468" t="s">
        <v>2354</v>
      </c>
      <c r="Q1513" s="468" t="s">
        <v>2355</v>
      </c>
      <c r="Z1513" s="433" t="str">
        <f ca="1">HYPERLINK("#"&amp;일위대가목록표!J2&amp;"!A"&amp;ROW(일위대가목록표!A37),"B01447 →")</f>
        <v>B01447 →</v>
      </c>
    </row>
    <row r="1514" spans="1:26" ht="33.200000000000003" customHeight="1">
      <c r="A1514" s="452" t="s">
        <v>2507</v>
      </c>
      <c r="B1514" s="452" t="s">
        <v>2441</v>
      </c>
      <c r="C1514" s="489">
        <v>15</v>
      </c>
      <c r="D1514" s="480" t="s">
        <v>2371</v>
      </c>
      <c r="E1514" s="490">
        <f t="shared" si="235"/>
        <v>14660.3</v>
      </c>
      <c r="F1514" s="491">
        <f t="shared" si="235"/>
        <v>2199</v>
      </c>
      <c r="G1514" s="496">
        <f>H1510+H1511+H1512+H1513</f>
        <v>14660.3</v>
      </c>
      <c r="H1514" s="491">
        <f>IF(C1514=0,0,ROUNDDOWN(G1514*C1514/100,1))</f>
        <v>2199</v>
      </c>
      <c r="I1514" s="465">
        <v>0</v>
      </c>
      <c r="J1514" s="493">
        <f>IF(C1514=0,0,ROUNDDOWN(I1514*C1514/100,1))</f>
        <v>0</v>
      </c>
      <c r="K1514" s="467">
        <v>0</v>
      </c>
      <c r="L1514" s="493">
        <f>IF(C1514=0,0,ROUNDDOWN(K1514*C1514/100,1))</f>
        <v>0</v>
      </c>
      <c r="M1514" s="463"/>
      <c r="N1514" s="451" t="s">
        <v>2508</v>
      </c>
      <c r="O1514" s="468" t="s">
        <v>2373</v>
      </c>
      <c r="P1514" s="468" t="s">
        <v>2354</v>
      </c>
    </row>
    <row r="1515" spans="1:26" ht="33.200000000000003" customHeight="1">
      <c r="A1515" s="463" t="s">
        <v>842</v>
      </c>
      <c r="B1515" s="497"/>
      <c r="C1515" s="497"/>
      <c r="D1515" s="497"/>
      <c r="E1515" s="497"/>
      <c r="F1515" s="446">
        <f>J1515+H1515+L1515</f>
        <v>16999</v>
      </c>
      <c r="G1515" s="497"/>
      <c r="H1515" s="446">
        <f>ROUNDDOWN(SUMIF(P1510:P1514,O1515,H1510:H1514),0)</f>
        <v>16859</v>
      </c>
      <c r="I1515" s="497"/>
      <c r="J1515" s="446">
        <f>ROUNDDOWN(SUMIF(P1510:P1514,O1515,J1510:J1514),0)</f>
        <v>0</v>
      </c>
      <c r="K1515" s="497"/>
      <c r="L1515" s="446">
        <f>ROUNDDOWN(SUMIF(P1510:P1514,O1515,L1510:L1514),0)</f>
        <v>140</v>
      </c>
      <c r="M1515" s="497"/>
      <c r="O1515" s="468" t="s">
        <v>2354</v>
      </c>
    </row>
    <row r="1516" spans="1:26" ht="33.200000000000003" customHeight="1">
      <c r="A1516" s="484" t="s">
        <v>3121</v>
      </c>
      <c r="B1516" s="484"/>
      <c r="C1516" s="485"/>
      <c r="D1516" s="485"/>
      <c r="E1516" s="485"/>
      <c r="F1516" s="485"/>
      <c r="G1516" s="485"/>
      <c r="H1516" s="485"/>
      <c r="I1516" s="485"/>
      <c r="J1516" s="485"/>
      <c r="K1516" s="485"/>
      <c r="L1516" s="485"/>
      <c r="M1516" s="485"/>
      <c r="N1516" s="486" t="str">
        <f>HYPERLINK("#N"&amp;ROW(N1522),"_x0005_`BDCOD|B02384_x0007_`POSS|"&amp;ROW(N1518)&amp;"_x0007_`POSE|"&amp;ROW(N1522)&amp;"_x0007_`")</f>
        <v>_x0005_`BDCOD|B02384_x0007_`POSS|1518_x0007_`POSE|1522_x0007_`</v>
      </c>
    </row>
    <row r="1517" spans="1:26" ht="33.200000000000003" customHeight="1">
      <c r="A1517" s="469" t="s">
        <v>5286</v>
      </c>
      <c r="B1517" s="469" t="s">
        <v>965</v>
      </c>
      <c r="C1517" s="487"/>
      <c r="D1517" s="488" t="s">
        <v>966</v>
      </c>
      <c r="E1517" s="487"/>
      <c r="F1517" s="487"/>
      <c r="G1517" s="487"/>
      <c r="H1517" s="487"/>
      <c r="I1517" s="487"/>
      <c r="J1517" s="487"/>
      <c r="K1517" s="487"/>
      <c r="L1517" s="487"/>
      <c r="M1517" s="488" t="s">
        <v>1769</v>
      </c>
      <c r="O1517" s="468" t="s">
        <v>1769</v>
      </c>
    </row>
    <row r="1518" spans="1:26" ht="33.200000000000003" customHeight="1">
      <c r="A1518" s="452" t="s">
        <v>2484</v>
      </c>
      <c r="B1518" s="452" t="s">
        <v>2485</v>
      </c>
      <c r="C1518" s="489">
        <v>6.0999999999999999E-2</v>
      </c>
      <c r="D1518" s="480" t="s">
        <v>8</v>
      </c>
      <c r="E1518" s="490">
        <f t="shared" ref="E1518:F1522" si="236">I1518+G1518+K1518</f>
        <v>62811</v>
      </c>
      <c r="F1518" s="493">
        <f t="shared" si="236"/>
        <v>3831.4</v>
      </c>
      <c r="G1518" s="494">
        <f>단가산출근거목록표!F157</f>
        <v>62811</v>
      </c>
      <c r="H1518" s="498">
        <f>IF(C1518=0,0,ROUNDDOWN(G1518*C1518,1))</f>
        <v>3831.4</v>
      </c>
      <c r="I1518" s="494">
        <f>단가산출근거목록표!G157</f>
        <v>0</v>
      </c>
      <c r="J1518" s="498">
        <f>IF(C1518=0,0,ROUNDDOWN(I1518*C1518,1))</f>
        <v>0</v>
      </c>
      <c r="K1518" s="494">
        <f>단가산출근거목록표!H157</f>
        <v>0</v>
      </c>
      <c r="L1518" s="498">
        <f>IF(C1518=0,0,ROUNDDOWN(K1518*C1518,1))</f>
        <v>0</v>
      </c>
      <c r="M1518" s="463" t="s">
        <v>2486</v>
      </c>
      <c r="N1518" s="451" t="s">
        <v>2487</v>
      </c>
      <c r="O1518" s="468" t="s">
        <v>2488</v>
      </c>
      <c r="P1518" s="468" t="s">
        <v>2354</v>
      </c>
      <c r="Q1518" s="468" t="s">
        <v>2355</v>
      </c>
      <c r="Z1518" s="433" t="str">
        <f ca="1">HYPERLINK("#"&amp;단가산출근거목록표!J2&amp;"!A"&amp;ROW(단가산출근거목록표!A157),"D01241 →")</f>
        <v>D01241 →</v>
      </c>
    </row>
    <row r="1519" spans="1:26" ht="33.200000000000003" customHeight="1">
      <c r="A1519" s="452" t="s">
        <v>1793</v>
      </c>
      <c r="B1519" s="452" t="s">
        <v>1789</v>
      </c>
      <c r="C1519" s="489">
        <v>2.7E-2</v>
      </c>
      <c r="D1519" s="480" t="s">
        <v>8</v>
      </c>
      <c r="E1519" s="490">
        <f t="shared" si="236"/>
        <v>233588</v>
      </c>
      <c r="F1519" s="493">
        <f t="shared" si="236"/>
        <v>6306.8</v>
      </c>
      <c r="G1519" s="494">
        <f>단가산출근거목록표!F152</f>
        <v>228399</v>
      </c>
      <c r="H1519" s="498">
        <f>IF(C1519=0,0,ROUNDDOWN(G1519*C1519,1))</f>
        <v>6166.7</v>
      </c>
      <c r="I1519" s="494">
        <f>단가산출근거목록표!G152</f>
        <v>0</v>
      </c>
      <c r="J1519" s="498">
        <f>IF(C1519=0,0,ROUNDDOWN(I1519*C1519,1))</f>
        <v>0</v>
      </c>
      <c r="K1519" s="494">
        <f>단가산출근거목록표!H152</f>
        <v>5189</v>
      </c>
      <c r="L1519" s="498">
        <f>IF(C1519=0,0,ROUNDDOWN(K1519*C1519,1))</f>
        <v>140.1</v>
      </c>
      <c r="M1519" s="463" t="s">
        <v>2594</v>
      </c>
      <c r="N1519" s="451" t="s">
        <v>2595</v>
      </c>
      <c r="O1519" s="468" t="s">
        <v>1796</v>
      </c>
      <c r="P1519" s="468" t="s">
        <v>2354</v>
      </c>
      <c r="Q1519" s="468" t="s">
        <v>2355</v>
      </c>
      <c r="Z1519" s="433" t="str">
        <f ca="1">HYPERLINK("#"&amp;단가산출근거목록표!J2&amp;"!A"&amp;ROW(단가산출근거목록표!A152),"D01242 →")</f>
        <v>D01242 →</v>
      </c>
    </row>
    <row r="1520" spans="1:26" ht="33.200000000000003" customHeight="1">
      <c r="A1520" s="452" t="s">
        <v>1466</v>
      </c>
      <c r="B1520" s="452" t="s">
        <v>1467</v>
      </c>
      <c r="C1520" s="489">
        <v>1.4E-2</v>
      </c>
      <c r="D1520" s="480" t="s">
        <v>8</v>
      </c>
      <c r="E1520" s="490">
        <f t="shared" si="236"/>
        <v>274515</v>
      </c>
      <c r="F1520" s="493">
        <f t="shared" si="236"/>
        <v>3843.2</v>
      </c>
      <c r="G1520" s="494">
        <f>일위대가목록표!F73</f>
        <v>274515</v>
      </c>
      <c r="H1520" s="498">
        <f>IF(C1520=0,0,ROUNDDOWN(G1520*C1520,1))</f>
        <v>3843.2</v>
      </c>
      <c r="I1520" s="494">
        <f>일위대가목록표!G73</f>
        <v>0</v>
      </c>
      <c r="J1520" s="498">
        <f>IF(C1520=0,0,ROUNDDOWN(I1520*C1520,1))</f>
        <v>0</v>
      </c>
      <c r="K1520" s="494">
        <f>일위대가목록표!H73</f>
        <v>0</v>
      </c>
      <c r="L1520" s="498">
        <f>IF(C1520=0,0,ROUNDDOWN(K1520*C1520,1))</f>
        <v>0</v>
      </c>
      <c r="M1520" s="463" t="s">
        <v>2596</v>
      </c>
      <c r="N1520" s="451" t="s">
        <v>2597</v>
      </c>
      <c r="O1520" s="468" t="s">
        <v>1470</v>
      </c>
      <c r="P1520" s="468" t="s">
        <v>2354</v>
      </c>
      <c r="Q1520" s="468" t="s">
        <v>2355</v>
      </c>
      <c r="Z1520" s="433" t="str">
        <f ca="1">HYPERLINK("#"&amp;일위대가목록표!J2&amp;"!A"&amp;ROW(일위대가목록표!A73),"B02396 →")</f>
        <v>B02396 →</v>
      </c>
    </row>
    <row r="1521" spans="1:26" ht="33.200000000000003" customHeight="1">
      <c r="A1521" s="452" t="s">
        <v>2298</v>
      </c>
      <c r="B1521" s="452" t="s">
        <v>2299</v>
      </c>
      <c r="C1521" s="489">
        <v>3.4000000000000002E-2</v>
      </c>
      <c r="D1521" s="480" t="s">
        <v>8</v>
      </c>
      <c r="E1521" s="490">
        <f t="shared" si="236"/>
        <v>24089</v>
      </c>
      <c r="F1521" s="493">
        <f t="shared" si="236"/>
        <v>819</v>
      </c>
      <c r="G1521" s="494">
        <f>일위대가목록표!F37</f>
        <v>24089</v>
      </c>
      <c r="H1521" s="498">
        <f>IF(C1521=0,0,ROUNDDOWN(G1521*C1521,1))</f>
        <v>819</v>
      </c>
      <c r="I1521" s="494">
        <f>일위대가목록표!G37</f>
        <v>0</v>
      </c>
      <c r="J1521" s="498">
        <f>IF(C1521=0,0,ROUNDDOWN(I1521*C1521,1))</f>
        <v>0</v>
      </c>
      <c r="K1521" s="494">
        <f>일위대가목록표!H37</f>
        <v>0</v>
      </c>
      <c r="L1521" s="498">
        <f>IF(C1521=0,0,ROUNDDOWN(K1521*C1521,1))</f>
        <v>0</v>
      </c>
      <c r="M1521" s="463" t="s">
        <v>2492</v>
      </c>
      <c r="N1521" s="451" t="s">
        <v>2493</v>
      </c>
      <c r="O1521" s="468" t="s">
        <v>2494</v>
      </c>
      <c r="P1521" s="468" t="s">
        <v>2354</v>
      </c>
      <c r="Q1521" s="468" t="s">
        <v>2355</v>
      </c>
      <c r="Z1521" s="433" t="str">
        <f ca="1">HYPERLINK("#"&amp;일위대가목록표!J2&amp;"!A"&amp;ROW(일위대가목록표!A37),"B01447 →")</f>
        <v>B01447 →</v>
      </c>
    </row>
    <row r="1522" spans="1:26" ht="33.200000000000003" customHeight="1">
      <c r="A1522" s="452" t="s">
        <v>2507</v>
      </c>
      <c r="B1522" s="452" t="s">
        <v>2441</v>
      </c>
      <c r="C1522" s="489">
        <v>25</v>
      </c>
      <c r="D1522" s="480" t="s">
        <v>2371</v>
      </c>
      <c r="E1522" s="490">
        <f t="shared" si="236"/>
        <v>14660.3</v>
      </c>
      <c r="F1522" s="491">
        <f t="shared" si="236"/>
        <v>3665</v>
      </c>
      <c r="G1522" s="496">
        <f>H1518+H1519+H1520+H1521</f>
        <v>14660.3</v>
      </c>
      <c r="H1522" s="491">
        <f>IF(C1522=0,0,ROUNDDOWN(G1522*C1522/100,1))</f>
        <v>3665</v>
      </c>
      <c r="I1522" s="465">
        <v>0</v>
      </c>
      <c r="J1522" s="493">
        <f>IF(C1522=0,0,ROUNDDOWN(I1522*C1522/100,1))</f>
        <v>0</v>
      </c>
      <c r="K1522" s="467">
        <v>0</v>
      </c>
      <c r="L1522" s="493">
        <f>IF(C1522=0,0,ROUNDDOWN(K1522*C1522/100,1))</f>
        <v>0</v>
      </c>
      <c r="M1522" s="463"/>
      <c r="N1522" s="451" t="s">
        <v>2508</v>
      </c>
      <c r="O1522" s="468" t="s">
        <v>2373</v>
      </c>
      <c r="P1522" s="468" t="s">
        <v>2354</v>
      </c>
    </row>
    <row r="1523" spans="1:26" ht="33.200000000000003" customHeight="1">
      <c r="A1523" s="463" t="s">
        <v>842</v>
      </c>
      <c r="B1523" s="497"/>
      <c r="C1523" s="497"/>
      <c r="D1523" s="497"/>
      <c r="E1523" s="497"/>
      <c r="F1523" s="446">
        <f>J1523+H1523+L1523</f>
        <v>18465</v>
      </c>
      <c r="G1523" s="497"/>
      <c r="H1523" s="446">
        <f>ROUNDDOWN(SUMIF(P1518:P1522,O1523,H1518:H1522),0)</f>
        <v>18325</v>
      </c>
      <c r="I1523" s="497"/>
      <c r="J1523" s="446">
        <f>ROUNDDOWN(SUMIF(P1518:P1522,O1523,J1518:J1522),0)</f>
        <v>0</v>
      </c>
      <c r="K1523" s="497"/>
      <c r="L1523" s="446">
        <f>ROUNDDOWN(SUMIF(P1518:P1522,O1523,L1518:L1522),0)</f>
        <v>140</v>
      </c>
      <c r="M1523" s="497"/>
      <c r="O1523" s="468" t="s">
        <v>2354</v>
      </c>
    </row>
    <row r="1524" spans="1:26" ht="33.200000000000003" customHeight="1">
      <c r="A1524" s="484" t="s">
        <v>3126</v>
      </c>
      <c r="B1524" s="484"/>
      <c r="C1524" s="485"/>
      <c r="D1524" s="485"/>
      <c r="E1524" s="485"/>
      <c r="F1524" s="485"/>
      <c r="G1524" s="485"/>
      <c r="H1524" s="485"/>
      <c r="I1524" s="485"/>
      <c r="J1524" s="485"/>
      <c r="K1524" s="485"/>
      <c r="L1524" s="485"/>
      <c r="M1524" s="485"/>
      <c r="N1524" s="486" t="str">
        <f>HYPERLINK("#N"&amp;ROW(N1543),"_x0005_`BDCOD|B02831_x0007_`POSS|"&amp;ROW(N1526)&amp;"_x0007_`POSE|"&amp;ROW(N1543)&amp;"_x0007_`")</f>
        <v>_x0005_`BDCOD|B02831_x0007_`POSS|1526_x0007_`POSE|1543_x0007_`</v>
      </c>
    </row>
    <row r="1525" spans="1:26" ht="33.200000000000003" customHeight="1">
      <c r="A1525" s="469" t="s">
        <v>5067</v>
      </c>
      <c r="B1525" s="469" t="s">
        <v>965</v>
      </c>
      <c r="C1525" s="487"/>
      <c r="D1525" s="488" t="s">
        <v>966</v>
      </c>
      <c r="E1525" s="487"/>
      <c r="F1525" s="487"/>
      <c r="G1525" s="487"/>
      <c r="H1525" s="487"/>
      <c r="I1525" s="487"/>
      <c r="J1525" s="487"/>
      <c r="K1525" s="487"/>
      <c r="L1525" s="487"/>
      <c r="M1525" s="488" t="s">
        <v>5068</v>
      </c>
      <c r="O1525" s="468" t="s">
        <v>5068</v>
      </c>
    </row>
    <row r="1526" spans="1:26" ht="33.200000000000003" customHeight="1">
      <c r="A1526" s="452" t="s">
        <v>2484</v>
      </c>
      <c r="B1526" s="452" t="s">
        <v>2485</v>
      </c>
      <c r="C1526" s="489">
        <v>0.112</v>
      </c>
      <c r="D1526" s="480" t="s">
        <v>8</v>
      </c>
      <c r="E1526" s="490">
        <f t="shared" ref="E1526:F1543" si="237">I1526+G1526+K1526</f>
        <v>62811</v>
      </c>
      <c r="F1526" s="493">
        <f t="shared" si="237"/>
        <v>7034.8</v>
      </c>
      <c r="G1526" s="494">
        <f>단가산출근거목록표!F157</f>
        <v>62811</v>
      </c>
      <c r="H1526" s="498">
        <f t="shared" ref="H1526:H1542" si="238">IF(C1526=0,0,ROUNDDOWN(G1526*C1526,1))</f>
        <v>7034.8</v>
      </c>
      <c r="I1526" s="494">
        <f>단가산출근거목록표!G157</f>
        <v>0</v>
      </c>
      <c r="J1526" s="498">
        <f t="shared" ref="J1526:J1542" si="239">IF(C1526=0,0,ROUNDDOWN(I1526*C1526,1))</f>
        <v>0</v>
      </c>
      <c r="K1526" s="494">
        <f>단가산출근거목록표!H157</f>
        <v>0</v>
      </c>
      <c r="L1526" s="498">
        <f t="shared" ref="L1526:L1542" si="240">IF(C1526=0,0,ROUNDDOWN(K1526*C1526,1))</f>
        <v>0</v>
      </c>
      <c r="M1526" s="463" t="s">
        <v>2486</v>
      </c>
      <c r="N1526" s="451" t="s">
        <v>2487</v>
      </c>
      <c r="O1526" s="468" t="s">
        <v>2488</v>
      </c>
      <c r="P1526" s="468" t="s">
        <v>2354</v>
      </c>
      <c r="Q1526" s="468" t="s">
        <v>2355</v>
      </c>
      <c r="Z1526" s="433" t="str">
        <f ca="1">HYPERLINK("#"&amp;단가산출근거목록표!J2&amp;"!A"&amp;ROW(단가산출근거목록표!A157),"D01241 →")</f>
        <v>D01241 →</v>
      </c>
    </row>
    <row r="1527" spans="1:26" ht="33.200000000000003" customHeight="1">
      <c r="A1527" s="452" t="s">
        <v>2321</v>
      </c>
      <c r="B1527" s="452" t="s">
        <v>2322</v>
      </c>
      <c r="C1527" s="489">
        <v>2.9000000000000001E-2</v>
      </c>
      <c r="D1527" s="480" t="s">
        <v>8</v>
      </c>
      <c r="E1527" s="490">
        <f t="shared" si="237"/>
        <v>34413</v>
      </c>
      <c r="F1527" s="493">
        <f t="shared" si="237"/>
        <v>997.9</v>
      </c>
      <c r="G1527" s="494">
        <f>일위대가목록표!F275</f>
        <v>34413</v>
      </c>
      <c r="H1527" s="498">
        <f t="shared" si="238"/>
        <v>997.9</v>
      </c>
      <c r="I1527" s="494">
        <f>일위대가목록표!G275</f>
        <v>0</v>
      </c>
      <c r="J1527" s="498">
        <f t="shared" si="239"/>
        <v>0</v>
      </c>
      <c r="K1527" s="494">
        <f>일위대가목록표!H275</f>
        <v>0</v>
      </c>
      <c r="L1527" s="498">
        <f t="shared" si="240"/>
        <v>0</v>
      </c>
      <c r="M1527" s="463" t="s">
        <v>2489</v>
      </c>
      <c r="N1527" s="451" t="s">
        <v>2490</v>
      </c>
      <c r="O1527" s="468" t="s">
        <v>2491</v>
      </c>
      <c r="P1527" s="468" t="s">
        <v>2354</v>
      </c>
      <c r="Q1527" s="468" t="s">
        <v>2355</v>
      </c>
      <c r="Z1527" s="433" t="str">
        <f ca="1">HYPERLINK("#"&amp;일위대가목록표!J2&amp;"!A"&amp;ROW(일위대가목록표!A275),"B01414 →")</f>
        <v>B01414 →</v>
      </c>
    </row>
    <row r="1528" spans="1:26" ht="33.200000000000003" customHeight="1">
      <c r="A1528" s="452" t="s">
        <v>2298</v>
      </c>
      <c r="B1528" s="452" t="s">
        <v>2299</v>
      </c>
      <c r="C1528" s="489">
        <v>8.3000000000000004E-2</v>
      </c>
      <c r="D1528" s="480" t="s">
        <v>8</v>
      </c>
      <c r="E1528" s="490">
        <f t="shared" si="237"/>
        <v>24089</v>
      </c>
      <c r="F1528" s="493">
        <f t="shared" si="237"/>
        <v>1999.3</v>
      </c>
      <c r="G1528" s="494">
        <f>일위대가목록표!F37</f>
        <v>24089</v>
      </c>
      <c r="H1528" s="498">
        <f t="shared" si="238"/>
        <v>1999.3</v>
      </c>
      <c r="I1528" s="494">
        <f>일위대가목록표!G37</f>
        <v>0</v>
      </c>
      <c r="J1528" s="498">
        <f t="shared" si="239"/>
        <v>0</v>
      </c>
      <c r="K1528" s="494">
        <f>일위대가목록표!H37</f>
        <v>0</v>
      </c>
      <c r="L1528" s="498">
        <f t="shared" si="240"/>
        <v>0</v>
      </c>
      <c r="M1528" s="463" t="s">
        <v>2492</v>
      </c>
      <c r="N1528" s="451" t="s">
        <v>2493</v>
      </c>
      <c r="O1528" s="468" t="s">
        <v>2494</v>
      </c>
      <c r="P1528" s="468" t="s">
        <v>2354</v>
      </c>
      <c r="Q1528" s="468" t="s">
        <v>2355</v>
      </c>
      <c r="Z1528" s="433" t="str">
        <f ca="1">HYPERLINK("#"&amp;일위대가목록표!J2&amp;"!A"&amp;ROW(일위대가목록표!A37),"B01447 →")</f>
        <v>B01447 →</v>
      </c>
    </row>
    <row r="1529" spans="1:26" ht="33.200000000000003" customHeight="1">
      <c r="A1529" s="452" t="s">
        <v>2342</v>
      </c>
      <c r="B1529" s="452" t="s">
        <v>2343</v>
      </c>
      <c r="C1529" s="489">
        <v>2.5000000000000001E-2</v>
      </c>
      <c r="D1529" s="480" t="s">
        <v>8</v>
      </c>
      <c r="E1529" s="490">
        <f t="shared" si="237"/>
        <v>477254</v>
      </c>
      <c r="F1529" s="493">
        <f t="shared" si="237"/>
        <v>11931.3</v>
      </c>
      <c r="G1529" s="494">
        <f>일위대가목록표!F330</f>
        <v>373604</v>
      </c>
      <c r="H1529" s="498">
        <f t="shared" si="238"/>
        <v>9340.1</v>
      </c>
      <c r="I1529" s="494">
        <f>일위대가목록표!G330</f>
        <v>103650</v>
      </c>
      <c r="J1529" s="498">
        <f t="shared" si="239"/>
        <v>2591.1999999999998</v>
      </c>
      <c r="K1529" s="494">
        <f>일위대가목록표!H330</f>
        <v>0</v>
      </c>
      <c r="L1529" s="498">
        <f t="shared" si="240"/>
        <v>0</v>
      </c>
      <c r="M1529" s="463" t="s">
        <v>2500</v>
      </c>
      <c r="N1529" s="451" t="s">
        <v>2501</v>
      </c>
      <c r="O1529" s="468" t="s">
        <v>2502</v>
      </c>
      <c r="P1529" s="468" t="s">
        <v>2354</v>
      </c>
      <c r="Q1529" s="468" t="s">
        <v>2355</v>
      </c>
      <c r="Z1529" s="433" t="str">
        <f ca="1">HYPERLINK("#"&amp;일위대가목록표!J2&amp;"!A"&amp;ROW(일위대가목록표!A330),"B01936 →")</f>
        <v>B01936 →</v>
      </c>
    </row>
    <row r="1530" spans="1:26" ht="33.200000000000003" customHeight="1">
      <c r="A1530" s="452" t="s">
        <v>2495</v>
      </c>
      <c r="B1530" s="452" t="s">
        <v>2496</v>
      </c>
      <c r="C1530" s="489">
        <v>0.36</v>
      </c>
      <c r="D1530" s="480" t="s">
        <v>595</v>
      </c>
      <c r="E1530" s="490">
        <f t="shared" si="237"/>
        <v>46533</v>
      </c>
      <c r="F1530" s="493">
        <f t="shared" si="237"/>
        <v>16751.7</v>
      </c>
      <c r="G1530" s="494">
        <f>단가산출근거목록표!F169</f>
        <v>34461</v>
      </c>
      <c r="H1530" s="498">
        <f t="shared" si="238"/>
        <v>12405.9</v>
      </c>
      <c r="I1530" s="494">
        <f>단가산출근거목록표!G169</f>
        <v>11728</v>
      </c>
      <c r="J1530" s="498">
        <f t="shared" si="239"/>
        <v>4222</v>
      </c>
      <c r="K1530" s="494">
        <f>단가산출근거목록표!H169</f>
        <v>344</v>
      </c>
      <c r="L1530" s="498">
        <f t="shared" si="240"/>
        <v>123.8</v>
      </c>
      <c r="M1530" s="463" t="s">
        <v>2497</v>
      </c>
      <c r="N1530" s="451" t="s">
        <v>2498</v>
      </c>
      <c r="O1530" s="468" t="s">
        <v>2499</v>
      </c>
      <c r="P1530" s="468" t="s">
        <v>2354</v>
      </c>
      <c r="Q1530" s="468" t="s">
        <v>2355</v>
      </c>
      <c r="Z1530" s="433" t="str">
        <f ca="1">HYPERLINK("#"&amp;단가산출근거목록표!J2&amp;"!A"&amp;ROW(단가산출근거목록표!A169),"D01231 →")</f>
        <v>D01231 →</v>
      </c>
    </row>
    <row r="1531" spans="1:26" ht="33.200000000000003" customHeight="1">
      <c r="A1531" s="452" t="s">
        <v>2911</v>
      </c>
      <c r="B1531" s="452" t="s">
        <v>2912</v>
      </c>
      <c r="C1531" s="489">
        <v>0.53</v>
      </c>
      <c r="D1531" s="480" t="s">
        <v>911</v>
      </c>
      <c r="E1531" s="490">
        <f t="shared" si="237"/>
        <v>14910</v>
      </c>
      <c r="F1531" s="491">
        <f t="shared" si="237"/>
        <v>7902.3</v>
      </c>
      <c r="G1531" s="492">
        <v>0</v>
      </c>
      <c r="H1531" s="493">
        <f t="shared" si="238"/>
        <v>0</v>
      </c>
      <c r="I1531" s="494">
        <f>재료비목록표!E21</f>
        <v>14910</v>
      </c>
      <c r="J1531" s="495">
        <f t="shared" si="239"/>
        <v>7902.3</v>
      </c>
      <c r="K1531" s="492">
        <v>0</v>
      </c>
      <c r="L1531" s="493">
        <f t="shared" si="240"/>
        <v>0</v>
      </c>
      <c r="M1531" s="463" t="s">
        <v>2913</v>
      </c>
      <c r="N1531" s="451" t="s">
        <v>2914</v>
      </c>
      <c r="O1531" s="468" t="s">
        <v>2915</v>
      </c>
      <c r="P1531" s="468" t="s">
        <v>2354</v>
      </c>
      <c r="Z1531" s="433" t="str">
        <f ca="1">HYPERLINK("#"&amp;재료비목록표!G2&amp;"!A"&amp;ROW(재료비목록표!A21),"M08805 →")</f>
        <v>M08805 →</v>
      </c>
    </row>
    <row r="1532" spans="1:26" ht="33.200000000000003" customHeight="1">
      <c r="A1532" s="452" t="s">
        <v>2333</v>
      </c>
      <c r="B1532" s="452" t="s">
        <v>2334</v>
      </c>
      <c r="C1532" s="489">
        <v>0.188</v>
      </c>
      <c r="D1532" s="480" t="s">
        <v>595</v>
      </c>
      <c r="E1532" s="490">
        <f t="shared" si="237"/>
        <v>1802</v>
      </c>
      <c r="F1532" s="493">
        <f t="shared" si="237"/>
        <v>338.7</v>
      </c>
      <c r="G1532" s="494">
        <f>일위대가목록표!F288</f>
        <v>1750</v>
      </c>
      <c r="H1532" s="498">
        <f t="shared" si="238"/>
        <v>329</v>
      </c>
      <c r="I1532" s="494">
        <f>일위대가목록표!G288</f>
        <v>0</v>
      </c>
      <c r="J1532" s="498">
        <f t="shared" si="239"/>
        <v>0</v>
      </c>
      <c r="K1532" s="494">
        <f>일위대가목록표!H288</f>
        <v>52</v>
      </c>
      <c r="L1532" s="498">
        <f t="shared" si="240"/>
        <v>9.6999999999999993</v>
      </c>
      <c r="M1532" s="463" t="s">
        <v>2916</v>
      </c>
      <c r="N1532" s="451" t="s">
        <v>2986</v>
      </c>
      <c r="O1532" s="468" t="s">
        <v>2918</v>
      </c>
      <c r="P1532" s="468" t="s">
        <v>2354</v>
      </c>
      <c r="Q1532" s="468" t="s">
        <v>2355</v>
      </c>
      <c r="Z1532" s="433" t="str">
        <f ca="1">HYPERLINK("#"&amp;일위대가목록표!J2&amp;"!A"&amp;ROW(일위대가목록표!A288),"B02108 →")</f>
        <v>B02108 →</v>
      </c>
    </row>
    <row r="1533" spans="1:26" ht="33.200000000000003" customHeight="1">
      <c r="A1533" s="452" t="s">
        <v>1516</v>
      </c>
      <c r="B1533" s="452" t="s">
        <v>1521</v>
      </c>
      <c r="C1533" s="489">
        <v>0.188</v>
      </c>
      <c r="D1533" s="480" t="s">
        <v>595</v>
      </c>
      <c r="E1533" s="490">
        <f t="shared" si="237"/>
        <v>13131</v>
      </c>
      <c r="F1533" s="493">
        <f t="shared" si="237"/>
        <v>2468.5</v>
      </c>
      <c r="G1533" s="494">
        <f>일위대가목록표!F258</f>
        <v>11897</v>
      </c>
      <c r="H1533" s="498">
        <f t="shared" si="238"/>
        <v>2236.6</v>
      </c>
      <c r="I1533" s="494">
        <f>일위대가목록표!G258</f>
        <v>997</v>
      </c>
      <c r="J1533" s="498">
        <f t="shared" si="239"/>
        <v>187.4</v>
      </c>
      <c r="K1533" s="494">
        <f>일위대가목록표!H258</f>
        <v>237</v>
      </c>
      <c r="L1533" s="498">
        <f t="shared" si="240"/>
        <v>44.5</v>
      </c>
      <c r="M1533" s="463" t="s">
        <v>2919</v>
      </c>
      <c r="N1533" s="451" t="s">
        <v>2987</v>
      </c>
      <c r="O1533" s="468" t="s">
        <v>2921</v>
      </c>
      <c r="P1533" s="468" t="s">
        <v>2354</v>
      </c>
      <c r="Q1533" s="468" t="s">
        <v>2355</v>
      </c>
      <c r="Z1533" s="433" t="str">
        <f ca="1">HYPERLINK("#"&amp;일위대가목록표!J2&amp;"!A"&amp;ROW(일위대가목록표!A258),"B02733 →")</f>
        <v>B02733 →</v>
      </c>
    </row>
    <row r="1534" spans="1:26" ht="33.200000000000003" customHeight="1">
      <c r="A1534" s="452" t="s">
        <v>2922</v>
      </c>
      <c r="B1534" s="452" t="s">
        <v>2923</v>
      </c>
      <c r="C1534" s="489">
        <v>5.33</v>
      </c>
      <c r="D1534" s="480" t="s">
        <v>605</v>
      </c>
      <c r="E1534" s="490">
        <f t="shared" si="237"/>
        <v>7400</v>
      </c>
      <c r="F1534" s="491">
        <f t="shared" si="237"/>
        <v>39442</v>
      </c>
      <c r="G1534" s="492">
        <v>0</v>
      </c>
      <c r="H1534" s="493">
        <f t="shared" si="238"/>
        <v>0</v>
      </c>
      <c r="I1534" s="494">
        <f>재료비목록표!E76</f>
        <v>7400</v>
      </c>
      <c r="J1534" s="495">
        <f t="shared" si="239"/>
        <v>39442</v>
      </c>
      <c r="K1534" s="492">
        <v>0</v>
      </c>
      <c r="L1534" s="493">
        <f t="shared" si="240"/>
        <v>0</v>
      </c>
      <c r="M1534" s="463" t="s">
        <v>2924</v>
      </c>
      <c r="N1534" s="451" t="s">
        <v>2925</v>
      </c>
      <c r="O1534" s="468" t="s">
        <v>2926</v>
      </c>
      <c r="P1534" s="468" t="s">
        <v>2354</v>
      </c>
      <c r="Z1534" s="433" t="str">
        <f ca="1">HYPERLINK("#"&amp;재료비목록표!G2&amp;"!A"&amp;ROW(재료비목록표!A76),"M00960 →")</f>
        <v>M00960 →</v>
      </c>
    </row>
    <row r="1535" spans="1:26" ht="33.200000000000003" customHeight="1">
      <c r="A1535" s="452" t="s">
        <v>1461</v>
      </c>
      <c r="B1535" s="452" t="s">
        <v>1462</v>
      </c>
      <c r="C1535" s="489">
        <v>1.7000000000000001E-2</v>
      </c>
      <c r="D1535" s="480" t="s">
        <v>8</v>
      </c>
      <c r="E1535" s="490">
        <f t="shared" si="237"/>
        <v>915052</v>
      </c>
      <c r="F1535" s="493">
        <f t="shared" si="237"/>
        <v>15555.8</v>
      </c>
      <c r="G1535" s="494">
        <f>일위대가목록표!F72</f>
        <v>915052</v>
      </c>
      <c r="H1535" s="498">
        <f t="shared" si="238"/>
        <v>15555.8</v>
      </c>
      <c r="I1535" s="494">
        <f>일위대가목록표!G72</f>
        <v>0</v>
      </c>
      <c r="J1535" s="498">
        <f t="shared" si="239"/>
        <v>0</v>
      </c>
      <c r="K1535" s="494">
        <f>일위대가목록표!H72</f>
        <v>0</v>
      </c>
      <c r="L1535" s="498">
        <f t="shared" si="240"/>
        <v>0</v>
      </c>
      <c r="M1535" s="463" t="s">
        <v>2471</v>
      </c>
      <c r="N1535" s="451" t="s">
        <v>2472</v>
      </c>
      <c r="O1535" s="468" t="s">
        <v>1465</v>
      </c>
      <c r="P1535" s="468" t="s">
        <v>2354</v>
      </c>
      <c r="Q1535" s="468" t="s">
        <v>2355</v>
      </c>
      <c r="Z1535" s="433" t="str">
        <f ca="1">HYPERLINK("#"&amp;일위대가목록표!J2&amp;"!A"&amp;ROW(일위대가목록표!A72),"B01822 →")</f>
        <v>B01822 →</v>
      </c>
    </row>
    <row r="1536" spans="1:26" ht="33.200000000000003" customHeight="1">
      <c r="A1536" s="452" t="s">
        <v>2927</v>
      </c>
      <c r="B1536" s="452" t="s">
        <v>2988</v>
      </c>
      <c r="C1536" s="489">
        <v>2.1</v>
      </c>
      <c r="D1536" s="480" t="s">
        <v>2377</v>
      </c>
      <c r="E1536" s="490">
        <f t="shared" si="237"/>
        <v>1129</v>
      </c>
      <c r="F1536" s="491">
        <f t="shared" si="237"/>
        <v>2370.9</v>
      </c>
      <c r="G1536" s="492">
        <v>0</v>
      </c>
      <c r="H1536" s="493">
        <f t="shared" si="238"/>
        <v>0</v>
      </c>
      <c r="I1536" s="494">
        <f>재료비목록표!E53</f>
        <v>1129</v>
      </c>
      <c r="J1536" s="495">
        <f t="shared" si="239"/>
        <v>2370.9</v>
      </c>
      <c r="K1536" s="492">
        <v>0</v>
      </c>
      <c r="L1536" s="493">
        <f t="shared" si="240"/>
        <v>0</v>
      </c>
      <c r="M1536" s="463" t="s">
        <v>2989</v>
      </c>
      <c r="N1536" s="451" t="s">
        <v>2990</v>
      </c>
      <c r="O1536" s="468" t="s">
        <v>2991</v>
      </c>
      <c r="P1536" s="468" t="s">
        <v>2354</v>
      </c>
      <c r="Z1536" s="433" t="str">
        <f ca="1">HYPERLINK("#"&amp;재료비목록표!G2&amp;"!A"&amp;ROW(재료비목록표!A53),"M00667 →")</f>
        <v>M00667 →</v>
      </c>
    </row>
    <row r="1537" spans="1:26" ht="33.200000000000003" customHeight="1">
      <c r="A1537" s="452" t="s">
        <v>2932</v>
      </c>
      <c r="B1537" s="452" t="s">
        <v>2933</v>
      </c>
      <c r="C1537" s="489">
        <v>2.1</v>
      </c>
      <c r="D1537" s="480" t="s">
        <v>2377</v>
      </c>
      <c r="E1537" s="490">
        <f t="shared" si="237"/>
        <v>157.30000000000001</v>
      </c>
      <c r="F1537" s="491">
        <f t="shared" si="237"/>
        <v>330.3</v>
      </c>
      <c r="G1537" s="492">
        <v>0</v>
      </c>
      <c r="H1537" s="493">
        <f t="shared" si="238"/>
        <v>0</v>
      </c>
      <c r="I1537" s="494">
        <f>재료비목록표!E26</f>
        <v>157.30000000000001</v>
      </c>
      <c r="J1537" s="495">
        <f t="shared" si="239"/>
        <v>330.3</v>
      </c>
      <c r="K1537" s="492">
        <v>0</v>
      </c>
      <c r="L1537" s="493">
        <f t="shared" si="240"/>
        <v>0</v>
      </c>
      <c r="M1537" s="463" t="s">
        <v>2934</v>
      </c>
      <c r="N1537" s="451" t="s">
        <v>2935</v>
      </c>
      <c r="O1537" s="468" t="s">
        <v>2936</v>
      </c>
      <c r="P1537" s="468" t="s">
        <v>2354</v>
      </c>
      <c r="Z1537" s="433" t="str">
        <f ca="1">HYPERLINK("#"&amp;재료비목록표!G2&amp;"!A"&amp;ROW(재료비목록표!A26),"M00958 →")</f>
        <v>M00958 →</v>
      </c>
    </row>
    <row r="1538" spans="1:26" ht="33.200000000000003" customHeight="1">
      <c r="A1538" s="452" t="s">
        <v>2937</v>
      </c>
      <c r="B1538" s="452" t="s">
        <v>2933</v>
      </c>
      <c r="C1538" s="489">
        <v>4.2</v>
      </c>
      <c r="D1538" s="480" t="s">
        <v>2377</v>
      </c>
      <c r="E1538" s="490">
        <f t="shared" si="237"/>
        <v>53.7</v>
      </c>
      <c r="F1538" s="491">
        <f t="shared" si="237"/>
        <v>225.5</v>
      </c>
      <c r="G1538" s="492">
        <v>0</v>
      </c>
      <c r="H1538" s="493">
        <f t="shared" si="238"/>
        <v>0</v>
      </c>
      <c r="I1538" s="494">
        <f>재료비목록표!E74</f>
        <v>53.7</v>
      </c>
      <c r="J1538" s="495">
        <f t="shared" si="239"/>
        <v>225.5</v>
      </c>
      <c r="K1538" s="492">
        <v>0</v>
      </c>
      <c r="L1538" s="493">
        <f t="shared" si="240"/>
        <v>0</v>
      </c>
      <c r="M1538" s="463" t="s">
        <v>2938</v>
      </c>
      <c r="N1538" s="451" t="s">
        <v>2939</v>
      </c>
      <c r="O1538" s="468" t="s">
        <v>2940</v>
      </c>
      <c r="P1538" s="468" t="s">
        <v>2354</v>
      </c>
      <c r="Z1538" s="433" t="str">
        <f ca="1">HYPERLINK("#"&amp;재료비목록표!G2&amp;"!A"&amp;ROW(재료비목록표!A74),"M00648 →")</f>
        <v>M00648 →</v>
      </c>
    </row>
    <row r="1539" spans="1:26" ht="33.200000000000003" customHeight="1">
      <c r="A1539" s="452" t="s">
        <v>2310</v>
      </c>
      <c r="B1539" s="452" t="s">
        <v>2311</v>
      </c>
      <c r="C1539" s="489">
        <v>2</v>
      </c>
      <c r="D1539" s="480" t="s">
        <v>975</v>
      </c>
      <c r="E1539" s="490">
        <f t="shared" si="237"/>
        <v>784</v>
      </c>
      <c r="F1539" s="493">
        <f t="shared" si="237"/>
        <v>1568</v>
      </c>
      <c r="G1539" s="494">
        <f>일위대가목록표!F145</f>
        <v>677</v>
      </c>
      <c r="H1539" s="498">
        <f t="shared" si="238"/>
        <v>1354</v>
      </c>
      <c r="I1539" s="494">
        <f>일위대가목록표!G145</f>
        <v>107</v>
      </c>
      <c r="J1539" s="498">
        <f t="shared" si="239"/>
        <v>214</v>
      </c>
      <c r="K1539" s="494">
        <f>일위대가목록표!H145</f>
        <v>0</v>
      </c>
      <c r="L1539" s="498">
        <f t="shared" si="240"/>
        <v>0</v>
      </c>
      <c r="M1539" s="463" t="s">
        <v>2941</v>
      </c>
      <c r="N1539" s="451" t="s">
        <v>2992</v>
      </c>
      <c r="O1539" s="468" t="s">
        <v>2943</v>
      </c>
      <c r="P1539" s="468" t="s">
        <v>2354</v>
      </c>
      <c r="Q1539" s="468" t="s">
        <v>2355</v>
      </c>
      <c r="Z1539" s="433" t="str">
        <f ca="1">HYPERLINK("#"&amp;일위대가목록표!J2&amp;"!A"&amp;ROW(일위대가목록표!A145),"B01416 →")</f>
        <v>B01416 →</v>
      </c>
    </row>
    <row r="1540" spans="1:26" ht="33.200000000000003" customHeight="1">
      <c r="A1540" s="452" t="s">
        <v>2574</v>
      </c>
      <c r="B1540" s="452" t="s">
        <v>2575</v>
      </c>
      <c r="C1540" s="489">
        <v>4.0000000000000002E-4</v>
      </c>
      <c r="D1540" s="480" t="s">
        <v>2576</v>
      </c>
      <c r="E1540" s="490">
        <f t="shared" si="237"/>
        <v>765000</v>
      </c>
      <c r="F1540" s="491">
        <f t="shared" si="237"/>
        <v>306</v>
      </c>
      <c r="G1540" s="492">
        <v>0</v>
      </c>
      <c r="H1540" s="493">
        <f t="shared" si="238"/>
        <v>0</v>
      </c>
      <c r="I1540" s="494">
        <f>재료비목록표!E81</f>
        <v>765000</v>
      </c>
      <c r="J1540" s="495">
        <f t="shared" si="239"/>
        <v>306</v>
      </c>
      <c r="K1540" s="492">
        <v>0</v>
      </c>
      <c r="L1540" s="493">
        <f t="shared" si="240"/>
        <v>0</v>
      </c>
      <c r="M1540" s="463" t="s">
        <v>2577</v>
      </c>
      <c r="N1540" s="451" t="s">
        <v>2578</v>
      </c>
      <c r="O1540" s="468" t="s">
        <v>2579</v>
      </c>
      <c r="P1540" s="468" t="s">
        <v>2354</v>
      </c>
      <c r="Z1540" s="433" t="str">
        <f ca="1">HYPERLINK("#"&amp;재료비목록표!G2&amp;"!A"&amp;ROW(재료비목록표!A81),"M00150 →")</f>
        <v>M00150 →</v>
      </c>
    </row>
    <row r="1541" spans="1:26" ht="33.200000000000003" customHeight="1">
      <c r="A1541" s="452" t="s">
        <v>2944</v>
      </c>
      <c r="B1541" s="452" t="s">
        <v>2581</v>
      </c>
      <c r="C1541" s="489">
        <v>3.9800000000000002E-4</v>
      </c>
      <c r="D1541" s="480" t="s">
        <v>2132</v>
      </c>
      <c r="E1541" s="490">
        <f t="shared" si="237"/>
        <v>585976</v>
      </c>
      <c r="F1541" s="493">
        <f t="shared" si="237"/>
        <v>233.1</v>
      </c>
      <c r="G1541" s="494">
        <f>단가산출근거목록표!F142</f>
        <v>574487</v>
      </c>
      <c r="H1541" s="498">
        <f t="shared" si="238"/>
        <v>228.6</v>
      </c>
      <c r="I1541" s="494">
        <f>단가산출근거목록표!G142</f>
        <v>0</v>
      </c>
      <c r="J1541" s="498">
        <f t="shared" si="239"/>
        <v>0</v>
      </c>
      <c r="K1541" s="494">
        <f>단가산출근거목록표!H142</f>
        <v>11489</v>
      </c>
      <c r="L1541" s="498">
        <f t="shared" si="240"/>
        <v>4.5</v>
      </c>
      <c r="M1541" s="463" t="s">
        <v>2945</v>
      </c>
      <c r="N1541" s="451" t="s">
        <v>2993</v>
      </c>
      <c r="O1541" s="468" t="s">
        <v>2947</v>
      </c>
      <c r="P1541" s="468" t="s">
        <v>2354</v>
      </c>
      <c r="Q1541" s="468" t="s">
        <v>2355</v>
      </c>
      <c r="Z1541" s="433" t="str">
        <f ca="1">HYPERLINK("#"&amp;단가산출근거목록표!J2&amp;"!A"&amp;ROW(단가산출근거목록표!A142),"D01230 →")</f>
        <v>D01230 →</v>
      </c>
    </row>
    <row r="1542" spans="1:26" ht="33.200000000000003" customHeight="1">
      <c r="A1542" s="452" t="s">
        <v>2948</v>
      </c>
      <c r="B1542" s="452" t="s">
        <v>2949</v>
      </c>
      <c r="C1542" s="489">
        <v>3.15</v>
      </c>
      <c r="D1542" s="480" t="s">
        <v>911</v>
      </c>
      <c r="E1542" s="490">
        <f t="shared" si="237"/>
        <v>735</v>
      </c>
      <c r="F1542" s="491">
        <f t="shared" si="237"/>
        <v>2315.1999999999998</v>
      </c>
      <c r="G1542" s="492">
        <v>0</v>
      </c>
      <c r="H1542" s="493">
        <f t="shared" si="238"/>
        <v>0</v>
      </c>
      <c r="I1542" s="494">
        <f>재료비목록표!E4</f>
        <v>735</v>
      </c>
      <c r="J1542" s="495">
        <f t="shared" si="239"/>
        <v>2315.1999999999998</v>
      </c>
      <c r="K1542" s="492">
        <v>0</v>
      </c>
      <c r="L1542" s="493">
        <f t="shared" si="240"/>
        <v>0</v>
      </c>
      <c r="M1542" s="463" t="s">
        <v>2950</v>
      </c>
      <c r="N1542" s="451" t="s">
        <v>2951</v>
      </c>
      <c r="O1542" s="468" t="s">
        <v>2952</v>
      </c>
      <c r="P1542" s="468" t="s">
        <v>2354</v>
      </c>
      <c r="Z1542" s="433" t="str">
        <f ca="1">HYPERLINK("#"&amp;재료비목록표!G2&amp;"!A"&amp;ROW(재료비목록표!A4),"M00666 →")</f>
        <v>M00666 →</v>
      </c>
    </row>
    <row r="1543" spans="1:26" ht="33.200000000000003" customHeight="1">
      <c r="A1543" s="452" t="s">
        <v>2507</v>
      </c>
      <c r="B1543" s="452" t="s">
        <v>2441</v>
      </c>
      <c r="C1543" s="489">
        <v>15</v>
      </c>
      <c r="D1543" s="480" t="s">
        <v>2371</v>
      </c>
      <c r="E1543" s="490">
        <f t="shared" si="237"/>
        <v>51481.999999999993</v>
      </c>
      <c r="F1543" s="491">
        <f t="shared" si="237"/>
        <v>7722.3</v>
      </c>
      <c r="G1543" s="496">
        <f>H1526+H1527+H1528+H1529+H1530+H1532+H1533+H1535+H1539+H1541</f>
        <v>51481.999999999993</v>
      </c>
      <c r="H1543" s="491">
        <f>IF(C1543=0,0,ROUNDDOWN(G1543*C1543/100,1))</f>
        <v>7722.3</v>
      </c>
      <c r="I1543" s="465">
        <v>0</v>
      </c>
      <c r="J1543" s="493">
        <f>IF(C1543=0,0,ROUNDDOWN(I1543*C1543/100,1))</f>
        <v>0</v>
      </c>
      <c r="K1543" s="467">
        <v>0</v>
      </c>
      <c r="L1543" s="493">
        <f>IF(C1543=0,0,ROUNDDOWN(K1543*C1543/100,1))</f>
        <v>0</v>
      </c>
      <c r="M1543" s="463"/>
      <c r="N1543" s="451" t="s">
        <v>2508</v>
      </c>
      <c r="O1543" s="468" t="s">
        <v>2373</v>
      </c>
      <c r="P1543" s="468" t="s">
        <v>2354</v>
      </c>
    </row>
    <row r="1544" spans="1:26" ht="33.200000000000003" customHeight="1">
      <c r="A1544" s="463" t="s">
        <v>842</v>
      </c>
      <c r="B1544" s="497"/>
      <c r="C1544" s="497"/>
      <c r="D1544" s="497"/>
      <c r="E1544" s="497"/>
      <c r="F1544" s="446">
        <f>J1544+H1544+L1544</f>
        <v>119492</v>
      </c>
      <c r="G1544" s="497"/>
      <c r="H1544" s="446">
        <f>ROUNDDOWN(SUMIF(P1526:P1543,O1544,H1526:H1543),0)</f>
        <v>59204</v>
      </c>
      <c r="I1544" s="497"/>
      <c r="J1544" s="446">
        <f>ROUNDDOWN(SUMIF(P1526:P1543,O1544,J1526:J1543),0)</f>
        <v>60106</v>
      </c>
      <c r="K1544" s="497"/>
      <c r="L1544" s="446">
        <f>ROUNDDOWN(SUMIF(P1526:P1543,O1544,L1526:L1543),0)</f>
        <v>182</v>
      </c>
      <c r="M1544" s="497"/>
      <c r="O1544" s="468" t="s">
        <v>2354</v>
      </c>
    </row>
    <row r="1545" spans="1:26" ht="33.200000000000003" customHeight="1">
      <c r="A1545" s="484" t="s">
        <v>3137</v>
      </c>
      <c r="B1545" s="484"/>
      <c r="C1545" s="485"/>
      <c r="D1545" s="485"/>
      <c r="E1545" s="485"/>
      <c r="F1545" s="485"/>
      <c r="G1545" s="485"/>
      <c r="H1545" s="485"/>
      <c r="I1545" s="485"/>
      <c r="J1545" s="485"/>
      <c r="K1545" s="485"/>
      <c r="L1545" s="485"/>
      <c r="M1545" s="485"/>
      <c r="N1545" s="486" t="str">
        <f>HYPERLINK("#N"&amp;ROW(N1564),"_x0005_`BDCOD|B02087_x0007_`POSS|"&amp;ROW(N1547)&amp;"_x0007_`POSE|"&amp;ROW(N1564)&amp;"_x0007_`")</f>
        <v>_x0005_`BDCOD|B02087_x0007_`POSS|1547_x0007_`POSE|1564_x0007_`</v>
      </c>
    </row>
    <row r="1546" spans="1:26" ht="33.200000000000003" customHeight="1">
      <c r="A1546" s="469" t="s">
        <v>5071</v>
      </c>
      <c r="B1546" s="469" t="s">
        <v>965</v>
      </c>
      <c r="C1546" s="487"/>
      <c r="D1546" s="488" t="s">
        <v>966</v>
      </c>
      <c r="E1546" s="487"/>
      <c r="F1546" s="487"/>
      <c r="G1546" s="487"/>
      <c r="H1546" s="487"/>
      <c r="I1546" s="487"/>
      <c r="J1546" s="487"/>
      <c r="K1546" s="487"/>
      <c r="L1546" s="487"/>
      <c r="M1546" s="488" t="s">
        <v>967</v>
      </c>
      <c r="O1546" s="468" t="s">
        <v>967</v>
      </c>
    </row>
    <row r="1547" spans="1:26" ht="33.200000000000003" customHeight="1">
      <c r="A1547" s="452" t="s">
        <v>2484</v>
      </c>
      <c r="B1547" s="452" t="s">
        <v>2485</v>
      </c>
      <c r="C1547" s="489">
        <v>0.112</v>
      </c>
      <c r="D1547" s="480" t="s">
        <v>8</v>
      </c>
      <c r="E1547" s="490">
        <f t="shared" ref="E1547:F1564" si="241">I1547+G1547+K1547</f>
        <v>62811</v>
      </c>
      <c r="F1547" s="493">
        <f t="shared" si="241"/>
        <v>7034.8</v>
      </c>
      <c r="G1547" s="494">
        <f>단가산출근거목록표!F157</f>
        <v>62811</v>
      </c>
      <c r="H1547" s="498">
        <f t="shared" ref="H1547:H1563" si="242">IF(C1547=0,0,ROUNDDOWN(G1547*C1547,1))</f>
        <v>7034.8</v>
      </c>
      <c r="I1547" s="494">
        <f>단가산출근거목록표!G157</f>
        <v>0</v>
      </c>
      <c r="J1547" s="498">
        <f t="shared" ref="J1547:J1563" si="243">IF(C1547=0,0,ROUNDDOWN(I1547*C1547,1))</f>
        <v>0</v>
      </c>
      <c r="K1547" s="494">
        <f>단가산출근거목록표!H157</f>
        <v>0</v>
      </c>
      <c r="L1547" s="498">
        <f t="shared" ref="L1547:L1563" si="244">IF(C1547=0,0,ROUNDDOWN(K1547*C1547,1))</f>
        <v>0</v>
      </c>
      <c r="M1547" s="463" t="s">
        <v>2486</v>
      </c>
      <c r="N1547" s="451" t="s">
        <v>2487</v>
      </c>
      <c r="O1547" s="468" t="s">
        <v>2488</v>
      </c>
      <c r="P1547" s="468" t="s">
        <v>2354</v>
      </c>
      <c r="Q1547" s="468" t="s">
        <v>2355</v>
      </c>
      <c r="Z1547" s="433" t="str">
        <f ca="1">HYPERLINK("#"&amp;단가산출근거목록표!J2&amp;"!A"&amp;ROW(단가산출근거목록표!A157),"D01241 →")</f>
        <v>D01241 →</v>
      </c>
    </row>
    <row r="1548" spans="1:26" ht="33.200000000000003" customHeight="1">
      <c r="A1548" s="452" t="s">
        <v>2321</v>
      </c>
      <c r="B1548" s="452" t="s">
        <v>2322</v>
      </c>
      <c r="C1548" s="489">
        <v>2.9000000000000001E-2</v>
      </c>
      <c r="D1548" s="480" t="s">
        <v>8</v>
      </c>
      <c r="E1548" s="490">
        <f t="shared" si="241"/>
        <v>34413</v>
      </c>
      <c r="F1548" s="493">
        <f t="shared" si="241"/>
        <v>997.9</v>
      </c>
      <c r="G1548" s="494">
        <f>일위대가목록표!F275</f>
        <v>34413</v>
      </c>
      <c r="H1548" s="498">
        <f t="shared" si="242"/>
        <v>997.9</v>
      </c>
      <c r="I1548" s="494">
        <f>일위대가목록표!G275</f>
        <v>0</v>
      </c>
      <c r="J1548" s="498">
        <f t="shared" si="243"/>
        <v>0</v>
      </c>
      <c r="K1548" s="494">
        <f>일위대가목록표!H275</f>
        <v>0</v>
      </c>
      <c r="L1548" s="498">
        <f t="shared" si="244"/>
        <v>0</v>
      </c>
      <c r="M1548" s="463" t="s">
        <v>2489</v>
      </c>
      <c r="N1548" s="451" t="s">
        <v>2490</v>
      </c>
      <c r="O1548" s="468" t="s">
        <v>2491</v>
      </c>
      <c r="P1548" s="468" t="s">
        <v>2354</v>
      </c>
      <c r="Q1548" s="468" t="s">
        <v>2355</v>
      </c>
      <c r="Z1548" s="433" t="str">
        <f ca="1">HYPERLINK("#"&amp;일위대가목록표!J2&amp;"!A"&amp;ROW(일위대가목록표!A275),"B01414 →")</f>
        <v>B01414 →</v>
      </c>
    </row>
    <row r="1549" spans="1:26" ht="33.200000000000003" customHeight="1">
      <c r="A1549" s="452" t="s">
        <v>2298</v>
      </c>
      <c r="B1549" s="452" t="s">
        <v>2299</v>
      </c>
      <c r="C1549" s="489">
        <v>8.3000000000000004E-2</v>
      </c>
      <c r="D1549" s="480" t="s">
        <v>8</v>
      </c>
      <c r="E1549" s="490">
        <f t="shared" si="241"/>
        <v>24089</v>
      </c>
      <c r="F1549" s="493">
        <f t="shared" si="241"/>
        <v>1999.3</v>
      </c>
      <c r="G1549" s="494">
        <f>일위대가목록표!F37</f>
        <v>24089</v>
      </c>
      <c r="H1549" s="498">
        <f t="shared" si="242"/>
        <v>1999.3</v>
      </c>
      <c r="I1549" s="494">
        <f>일위대가목록표!G37</f>
        <v>0</v>
      </c>
      <c r="J1549" s="498">
        <f t="shared" si="243"/>
        <v>0</v>
      </c>
      <c r="K1549" s="494">
        <f>일위대가목록표!H37</f>
        <v>0</v>
      </c>
      <c r="L1549" s="498">
        <f t="shared" si="244"/>
        <v>0</v>
      </c>
      <c r="M1549" s="463" t="s">
        <v>2492</v>
      </c>
      <c r="N1549" s="451" t="s">
        <v>2493</v>
      </c>
      <c r="O1549" s="468" t="s">
        <v>2494</v>
      </c>
      <c r="P1549" s="468" t="s">
        <v>2354</v>
      </c>
      <c r="Q1549" s="468" t="s">
        <v>2355</v>
      </c>
      <c r="Z1549" s="433" t="str">
        <f ca="1">HYPERLINK("#"&amp;일위대가목록표!J2&amp;"!A"&amp;ROW(일위대가목록표!A37),"B01447 →")</f>
        <v>B01447 →</v>
      </c>
    </row>
    <row r="1550" spans="1:26" ht="33.200000000000003" customHeight="1">
      <c r="A1550" s="452" t="s">
        <v>2342</v>
      </c>
      <c r="B1550" s="452" t="s">
        <v>2343</v>
      </c>
      <c r="C1550" s="489">
        <v>2.5000000000000001E-2</v>
      </c>
      <c r="D1550" s="480" t="s">
        <v>8</v>
      </c>
      <c r="E1550" s="490">
        <f t="shared" si="241"/>
        <v>477254</v>
      </c>
      <c r="F1550" s="493">
        <f t="shared" si="241"/>
        <v>11931.3</v>
      </c>
      <c r="G1550" s="494">
        <f>일위대가목록표!F330</f>
        <v>373604</v>
      </c>
      <c r="H1550" s="498">
        <f t="shared" si="242"/>
        <v>9340.1</v>
      </c>
      <c r="I1550" s="494">
        <f>일위대가목록표!G330</f>
        <v>103650</v>
      </c>
      <c r="J1550" s="498">
        <f t="shared" si="243"/>
        <v>2591.1999999999998</v>
      </c>
      <c r="K1550" s="494">
        <f>일위대가목록표!H330</f>
        <v>0</v>
      </c>
      <c r="L1550" s="498">
        <f t="shared" si="244"/>
        <v>0</v>
      </c>
      <c r="M1550" s="463" t="s">
        <v>2500</v>
      </c>
      <c r="N1550" s="451" t="s">
        <v>2501</v>
      </c>
      <c r="O1550" s="468" t="s">
        <v>2502</v>
      </c>
      <c r="P1550" s="468" t="s">
        <v>2354</v>
      </c>
      <c r="Q1550" s="468" t="s">
        <v>2355</v>
      </c>
      <c r="Z1550" s="433" t="str">
        <f ca="1">HYPERLINK("#"&amp;일위대가목록표!J2&amp;"!A"&amp;ROW(일위대가목록표!A330),"B01936 →")</f>
        <v>B01936 →</v>
      </c>
    </row>
    <row r="1551" spans="1:26" ht="33.200000000000003" customHeight="1">
      <c r="A1551" s="452" t="s">
        <v>2495</v>
      </c>
      <c r="B1551" s="452" t="s">
        <v>2496</v>
      </c>
      <c r="C1551" s="489">
        <v>0.36</v>
      </c>
      <c r="D1551" s="480" t="s">
        <v>595</v>
      </c>
      <c r="E1551" s="490">
        <f t="shared" si="241"/>
        <v>46533</v>
      </c>
      <c r="F1551" s="493">
        <f t="shared" si="241"/>
        <v>16751.7</v>
      </c>
      <c r="G1551" s="494">
        <f>단가산출근거목록표!F169</f>
        <v>34461</v>
      </c>
      <c r="H1551" s="498">
        <f t="shared" si="242"/>
        <v>12405.9</v>
      </c>
      <c r="I1551" s="494">
        <f>단가산출근거목록표!G169</f>
        <v>11728</v>
      </c>
      <c r="J1551" s="498">
        <f t="shared" si="243"/>
        <v>4222</v>
      </c>
      <c r="K1551" s="494">
        <f>단가산출근거목록표!H169</f>
        <v>344</v>
      </c>
      <c r="L1551" s="498">
        <f t="shared" si="244"/>
        <v>123.8</v>
      </c>
      <c r="M1551" s="463" t="s">
        <v>2497</v>
      </c>
      <c r="N1551" s="451" t="s">
        <v>2498</v>
      </c>
      <c r="O1551" s="468" t="s">
        <v>2499</v>
      </c>
      <c r="P1551" s="468" t="s">
        <v>2354</v>
      </c>
      <c r="Q1551" s="468" t="s">
        <v>2355</v>
      </c>
      <c r="Z1551" s="433" t="str">
        <f ca="1">HYPERLINK("#"&amp;단가산출근거목록표!J2&amp;"!A"&amp;ROW(단가산출근거목록표!A169),"D01231 →")</f>
        <v>D01231 →</v>
      </c>
    </row>
    <row r="1552" spans="1:26" ht="33.200000000000003" customHeight="1">
      <c r="A1552" s="452" t="s">
        <v>2911</v>
      </c>
      <c r="B1552" s="452" t="s">
        <v>2912</v>
      </c>
      <c r="C1552" s="489">
        <v>0.53</v>
      </c>
      <c r="D1552" s="480" t="s">
        <v>911</v>
      </c>
      <c r="E1552" s="490">
        <f t="shared" si="241"/>
        <v>14910</v>
      </c>
      <c r="F1552" s="491">
        <f t="shared" si="241"/>
        <v>7902.3</v>
      </c>
      <c r="G1552" s="492">
        <v>0</v>
      </c>
      <c r="H1552" s="493">
        <f t="shared" si="242"/>
        <v>0</v>
      </c>
      <c r="I1552" s="494">
        <f>재료비목록표!E21</f>
        <v>14910</v>
      </c>
      <c r="J1552" s="495">
        <f t="shared" si="243"/>
        <v>7902.3</v>
      </c>
      <c r="K1552" s="492">
        <v>0</v>
      </c>
      <c r="L1552" s="493">
        <f t="shared" si="244"/>
        <v>0</v>
      </c>
      <c r="M1552" s="463" t="s">
        <v>2913</v>
      </c>
      <c r="N1552" s="451" t="s">
        <v>2914</v>
      </c>
      <c r="O1552" s="468" t="s">
        <v>2915</v>
      </c>
      <c r="P1552" s="468" t="s">
        <v>2354</v>
      </c>
      <c r="Z1552" s="433" t="str">
        <f ca="1">HYPERLINK("#"&amp;재료비목록표!G2&amp;"!A"&amp;ROW(재료비목록표!A21),"M08805 →")</f>
        <v>M08805 →</v>
      </c>
    </row>
    <row r="1553" spans="1:26" ht="33.200000000000003" customHeight="1">
      <c r="A1553" s="452" t="s">
        <v>2333</v>
      </c>
      <c r="B1553" s="452" t="s">
        <v>2334</v>
      </c>
      <c r="C1553" s="489">
        <v>0.188</v>
      </c>
      <c r="D1553" s="480" t="s">
        <v>595</v>
      </c>
      <c r="E1553" s="490">
        <f t="shared" si="241"/>
        <v>1802</v>
      </c>
      <c r="F1553" s="493">
        <f t="shared" si="241"/>
        <v>338.7</v>
      </c>
      <c r="G1553" s="494">
        <f>일위대가목록표!F288</f>
        <v>1750</v>
      </c>
      <c r="H1553" s="498">
        <f t="shared" si="242"/>
        <v>329</v>
      </c>
      <c r="I1553" s="494">
        <f>일위대가목록표!G288</f>
        <v>0</v>
      </c>
      <c r="J1553" s="498">
        <f t="shared" si="243"/>
        <v>0</v>
      </c>
      <c r="K1553" s="494">
        <f>일위대가목록표!H288</f>
        <v>52</v>
      </c>
      <c r="L1553" s="498">
        <f t="shared" si="244"/>
        <v>9.6999999999999993</v>
      </c>
      <c r="M1553" s="463" t="s">
        <v>2916</v>
      </c>
      <c r="N1553" s="451" t="s">
        <v>2986</v>
      </c>
      <c r="O1553" s="468" t="s">
        <v>2918</v>
      </c>
      <c r="P1553" s="468" t="s">
        <v>2354</v>
      </c>
      <c r="Q1553" s="468" t="s">
        <v>2355</v>
      </c>
      <c r="Z1553" s="433" t="str">
        <f ca="1">HYPERLINK("#"&amp;일위대가목록표!J2&amp;"!A"&amp;ROW(일위대가목록표!A288),"B02108 →")</f>
        <v>B02108 →</v>
      </c>
    </row>
    <row r="1554" spans="1:26" ht="33.200000000000003" customHeight="1">
      <c r="A1554" s="452" t="s">
        <v>1516</v>
      </c>
      <c r="B1554" s="452" t="s">
        <v>1521</v>
      </c>
      <c r="C1554" s="489">
        <v>0.188</v>
      </c>
      <c r="D1554" s="480" t="s">
        <v>595</v>
      </c>
      <c r="E1554" s="490">
        <f t="shared" si="241"/>
        <v>13131</v>
      </c>
      <c r="F1554" s="493">
        <f t="shared" si="241"/>
        <v>2468.5</v>
      </c>
      <c r="G1554" s="494">
        <f>일위대가목록표!F258</f>
        <v>11897</v>
      </c>
      <c r="H1554" s="498">
        <f t="shared" si="242"/>
        <v>2236.6</v>
      </c>
      <c r="I1554" s="494">
        <f>일위대가목록표!G258</f>
        <v>997</v>
      </c>
      <c r="J1554" s="498">
        <f t="shared" si="243"/>
        <v>187.4</v>
      </c>
      <c r="K1554" s="494">
        <f>일위대가목록표!H258</f>
        <v>237</v>
      </c>
      <c r="L1554" s="498">
        <f t="shared" si="244"/>
        <v>44.5</v>
      </c>
      <c r="M1554" s="463" t="s">
        <v>2919</v>
      </c>
      <c r="N1554" s="451" t="s">
        <v>2987</v>
      </c>
      <c r="O1554" s="468" t="s">
        <v>2921</v>
      </c>
      <c r="P1554" s="468" t="s">
        <v>2354</v>
      </c>
      <c r="Q1554" s="468" t="s">
        <v>2355</v>
      </c>
      <c r="Z1554" s="433" t="str">
        <f ca="1">HYPERLINK("#"&amp;일위대가목록표!J2&amp;"!A"&amp;ROW(일위대가목록표!A258),"B02733 →")</f>
        <v>B02733 →</v>
      </c>
    </row>
    <row r="1555" spans="1:26" ht="33.200000000000003" customHeight="1">
      <c r="A1555" s="452" t="s">
        <v>2922</v>
      </c>
      <c r="B1555" s="452" t="s">
        <v>2923</v>
      </c>
      <c r="C1555" s="489">
        <v>5.33</v>
      </c>
      <c r="D1555" s="480" t="s">
        <v>605</v>
      </c>
      <c r="E1555" s="490">
        <f t="shared" si="241"/>
        <v>7400</v>
      </c>
      <c r="F1555" s="491">
        <f t="shared" si="241"/>
        <v>39442</v>
      </c>
      <c r="G1555" s="492">
        <v>0</v>
      </c>
      <c r="H1555" s="493">
        <f t="shared" si="242"/>
        <v>0</v>
      </c>
      <c r="I1555" s="494">
        <f>재료비목록표!E76</f>
        <v>7400</v>
      </c>
      <c r="J1555" s="495">
        <f t="shared" si="243"/>
        <v>39442</v>
      </c>
      <c r="K1555" s="492">
        <v>0</v>
      </c>
      <c r="L1555" s="493">
        <f t="shared" si="244"/>
        <v>0</v>
      </c>
      <c r="M1555" s="463" t="s">
        <v>2924</v>
      </c>
      <c r="N1555" s="451" t="s">
        <v>2925</v>
      </c>
      <c r="O1555" s="468" t="s">
        <v>2926</v>
      </c>
      <c r="P1555" s="468" t="s">
        <v>2354</v>
      </c>
      <c r="Z1555" s="433" t="str">
        <f ca="1">HYPERLINK("#"&amp;재료비목록표!G2&amp;"!A"&amp;ROW(재료비목록표!A76),"M00960 →")</f>
        <v>M00960 →</v>
      </c>
    </row>
    <row r="1556" spans="1:26" ht="33.200000000000003" customHeight="1">
      <c r="A1556" s="452" t="s">
        <v>1461</v>
      </c>
      <c r="B1556" s="452" t="s">
        <v>1462</v>
      </c>
      <c r="C1556" s="489">
        <v>1.7000000000000001E-2</v>
      </c>
      <c r="D1556" s="480" t="s">
        <v>8</v>
      </c>
      <c r="E1556" s="490">
        <f t="shared" si="241"/>
        <v>915052</v>
      </c>
      <c r="F1556" s="493">
        <f t="shared" si="241"/>
        <v>15555.8</v>
      </c>
      <c r="G1556" s="494">
        <f>일위대가목록표!F72</f>
        <v>915052</v>
      </c>
      <c r="H1556" s="498">
        <f t="shared" si="242"/>
        <v>15555.8</v>
      </c>
      <c r="I1556" s="494">
        <f>일위대가목록표!G72</f>
        <v>0</v>
      </c>
      <c r="J1556" s="498">
        <f t="shared" si="243"/>
        <v>0</v>
      </c>
      <c r="K1556" s="494">
        <f>일위대가목록표!H72</f>
        <v>0</v>
      </c>
      <c r="L1556" s="498">
        <f t="shared" si="244"/>
        <v>0</v>
      </c>
      <c r="M1556" s="463" t="s">
        <v>2471</v>
      </c>
      <c r="N1556" s="451" t="s">
        <v>2472</v>
      </c>
      <c r="O1556" s="468" t="s">
        <v>1465</v>
      </c>
      <c r="P1556" s="468" t="s">
        <v>2354</v>
      </c>
      <c r="Q1556" s="468" t="s">
        <v>2355</v>
      </c>
      <c r="Z1556" s="433" t="str">
        <f ca="1">HYPERLINK("#"&amp;일위대가목록표!J2&amp;"!A"&amp;ROW(일위대가목록표!A72),"B01822 →")</f>
        <v>B01822 →</v>
      </c>
    </row>
    <row r="1557" spans="1:26" ht="33.200000000000003" customHeight="1">
      <c r="A1557" s="452" t="s">
        <v>2927</v>
      </c>
      <c r="B1557" s="452" t="s">
        <v>2988</v>
      </c>
      <c r="C1557" s="489">
        <v>2.1</v>
      </c>
      <c r="D1557" s="480" t="s">
        <v>2377</v>
      </c>
      <c r="E1557" s="490">
        <f t="shared" si="241"/>
        <v>1129</v>
      </c>
      <c r="F1557" s="491">
        <f t="shared" si="241"/>
        <v>2370.9</v>
      </c>
      <c r="G1557" s="492">
        <v>0</v>
      </c>
      <c r="H1557" s="493">
        <f t="shared" si="242"/>
        <v>0</v>
      </c>
      <c r="I1557" s="494">
        <f>재료비목록표!E53</f>
        <v>1129</v>
      </c>
      <c r="J1557" s="495">
        <f t="shared" si="243"/>
        <v>2370.9</v>
      </c>
      <c r="K1557" s="492">
        <v>0</v>
      </c>
      <c r="L1557" s="493">
        <f t="shared" si="244"/>
        <v>0</v>
      </c>
      <c r="M1557" s="463" t="s">
        <v>2989</v>
      </c>
      <c r="N1557" s="451" t="s">
        <v>2990</v>
      </c>
      <c r="O1557" s="468" t="s">
        <v>2991</v>
      </c>
      <c r="P1557" s="468" t="s">
        <v>2354</v>
      </c>
      <c r="Z1557" s="433" t="str">
        <f ca="1">HYPERLINK("#"&amp;재료비목록표!G2&amp;"!A"&amp;ROW(재료비목록표!A53),"M00667 →")</f>
        <v>M00667 →</v>
      </c>
    </row>
    <row r="1558" spans="1:26" ht="33.200000000000003" customHeight="1">
      <c r="A1558" s="452" t="s">
        <v>2932</v>
      </c>
      <c r="B1558" s="452" t="s">
        <v>2933</v>
      </c>
      <c r="C1558" s="489">
        <v>2.1</v>
      </c>
      <c r="D1558" s="480" t="s">
        <v>2377</v>
      </c>
      <c r="E1558" s="490">
        <f t="shared" si="241"/>
        <v>157.30000000000001</v>
      </c>
      <c r="F1558" s="491">
        <f t="shared" si="241"/>
        <v>330.3</v>
      </c>
      <c r="G1558" s="492">
        <v>0</v>
      </c>
      <c r="H1558" s="493">
        <f t="shared" si="242"/>
        <v>0</v>
      </c>
      <c r="I1558" s="494">
        <f>재료비목록표!E26</f>
        <v>157.30000000000001</v>
      </c>
      <c r="J1558" s="495">
        <f t="shared" si="243"/>
        <v>330.3</v>
      </c>
      <c r="K1558" s="492">
        <v>0</v>
      </c>
      <c r="L1558" s="493">
        <f t="shared" si="244"/>
        <v>0</v>
      </c>
      <c r="M1558" s="463" t="s">
        <v>2934</v>
      </c>
      <c r="N1558" s="451" t="s">
        <v>2935</v>
      </c>
      <c r="O1558" s="468" t="s">
        <v>2936</v>
      </c>
      <c r="P1558" s="468" t="s">
        <v>2354</v>
      </c>
      <c r="Z1558" s="433" t="str">
        <f ca="1">HYPERLINK("#"&amp;재료비목록표!G2&amp;"!A"&amp;ROW(재료비목록표!A26),"M00958 →")</f>
        <v>M00958 →</v>
      </c>
    </row>
    <row r="1559" spans="1:26" ht="33.200000000000003" customHeight="1">
      <c r="A1559" s="452" t="s">
        <v>2937</v>
      </c>
      <c r="B1559" s="452" t="s">
        <v>2933</v>
      </c>
      <c r="C1559" s="489">
        <v>4.2</v>
      </c>
      <c r="D1559" s="480" t="s">
        <v>2377</v>
      </c>
      <c r="E1559" s="490">
        <f t="shared" si="241"/>
        <v>53.7</v>
      </c>
      <c r="F1559" s="491">
        <f t="shared" si="241"/>
        <v>225.5</v>
      </c>
      <c r="G1559" s="492">
        <v>0</v>
      </c>
      <c r="H1559" s="493">
        <f t="shared" si="242"/>
        <v>0</v>
      </c>
      <c r="I1559" s="494">
        <f>재료비목록표!E74</f>
        <v>53.7</v>
      </c>
      <c r="J1559" s="495">
        <f t="shared" si="243"/>
        <v>225.5</v>
      </c>
      <c r="K1559" s="492">
        <v>0</v>
      </c>
      <c r="L1559" s="493">
        <f t="shared" si="244"/>
        <v>0</v>
      </c>
      <c r="M1559" s="463" t="s">
        <v>2938</v>
      </c>
      <c r="N1559" s="451" t="s">
        <v>2939</v>
      </c>
      <c r="O1559" s="468" t="s">
        <v>2940</v>
      </c>
      <c r="P1559" s="468" t="s">
        <v>2354</v>
      </c>
      <c r="Z1559" s="433" t="str">
        <f ca="1">HYPERLINK("#"&amp;재료비목록표!G2&amp;"!A"&amp;ROW(재료비목록표!A74),"M00648 →")</f>
        <v>M00648 →</v>
      </c>
    </row>
    <row r="1560" spans="1:26" ht="33.200000000000003" customHeight="1">
      <c r="A1560" s="452" t="s">
        <v>2310</v>
      </c>
      <c r="B1560" s="452" t="s">
        <v>2311</v>
      </c>
      <c r="C1560" s="489">
        <v>2</v>
      </c>
      <c r="D1560" s="480" t="s">
        <v>975</v>
      </c>
      <c r="E1560" s="490">
        <f t="shared" si="241"/>
        <v>784</v>
      </c>
      <c r="F1560" s="493">
        <f t="shared" si="241"/>
        <v>1568</v>
      </c>
      <c r="G1560" s="494">
        <f>일위대가목록표!F145</f>
        <v>677</v>
      </c>
      <c r="H1560" s="498">
        <f t="shared" si="242"/>
        <v>1354</v>
      </c>
      <c r="I1560" s="494">
        <f>일위대가목록표!G145</f>
        <v>107</v>
      </c>
      <c r="J1560" s="498">
        <f t="shared" si="243"/>
        <v>214</v>
      </c>
      <c r="K1560" s="494">
        <f>일위대가목록표!H145</f>
        <v>0</v>
      </c>
      <c r="L1560" s="498">
        <f t="shared" si="244"/>
        <v>0</v>
      </c>
      <c r="M1560" s="463" t="s">
        <v>2941</v>
      </c>
      <c r="N1560" s="451" t="s">
        <v>2992</v>
      </c>
      <c r="O1560" s="468" t="s">
        <v>2943</v>
      </c>
      <c r="P1560" s="468" t="s">
        <v>2354</v>
      </c>
      <c r="Q1560" s="468" t="s">
        <v>2355</v>
      </c>
      <c r="Z1560" s="433" t="str">
        <f ca="1">HYPERLINK("#"&amp;일위대가목록표!J2&amp;"!A"&amp;ROW(일위대가목록표!A145),"B01416 →")</f>
        <v>B01416 →</v>
      </c>
    </row>
    <row r="1561" spans="1:26" ht="33.200000000000003" customHeight="1">
      <c r="A1561" s="452" t="s">
        <v>2574</v>
      </c>
      <c r="B1561" s="452" t="s">
        <v>2575</v>
      </c>
      <c r="C1561" s="489">
        <v>4.0000000000000002E-4</v>
      </c>
      <c r="D1561" s="480" t="s">
        <v>2576</v>
      </c>
      <c r="E1561" s="490">
        <f t="shared" si="241"/>
        <v>765000</v>
      </c>
      <c r="F1561" s="491">
        <f t="shared" si="241"/>
        <v>306</v>
      </c>
      <c r="G1561" s="492">
        <v>0</v>
      </c>
      <c r="H1561" s="493">
        <f t="shared" si="242"/>
        <v>0</v>
      </c>
      <c r="I1561" s="494">
        <f>재료비목록표!E81</f>
        <v>765000</v>
      </c>
      <c r="J1561" s="495">
        <f t="shared" si="243"/>
        <v>306</v>
      </c>
      <c r="K1561" s="492">
        <v>0</v>
      </c>
      <c r="L1561" s="493">
        <f t="shared" si="244"/>
        <v>0</v>
      </c>
      <c r="M1561" s="463" t="s">
        <v>2577</v>
      </c>
      <c r="N1561" s="451" t="s">
        <v>2578</v>
      </c>
      <c r="O1561" s="468" t="s">
        <v>2579</v>
      </c>
      <c r="P1561" s="468" t="s">
        <v>2354</v>
      </c>
      <c r="Z1561" s="433" t="str">
        <f ca="1">HYPERLINK("#"&amp;재료비목록표!G2&amp;"!A"&amp;ROW(재료비목록표!A81),"M00150 →")</f>
        <v>M00150 →</v>
      </c>
    </row>
    <row r="1562" spans="1:26" ht="33.200000000000003" customHeight="1">
      <c r="A1562" s="452" t="s">
        <v>2944</v>
      </c>
      <c r="B1562" s="452" t="s">
        <v>2581</v>
      </c>
      <c r="C1562" s="489">
        <v>3.9800000000000002E-4</v>
      </c>
      <c r="D1562" s="480" t="s">
        <v>2132</v>
      </c>
      <c r="E1562" s="490">
        <f t="shared" si="241"/>
        <v>585976</v>
      </c>
      <c r="F1562" s="493">
        <f t="shared" si="241"/>
        <v>233.1</v>
      </c>
      <c r="G1562" s="494">
        <f>단가산출근거목록표!F142</f>
        <v>574487</v>
      </c>
      <c r="H1562" s="498">
        <f t="shared" si="242"/>
        <v>228.6</v>
      </c>
      <c r="I1562" s="494">
        <f>단가산출근거목록표!G142</f>
        <v>0</v>
      </c>
      <c r="J1562" s="498">
        <f t="shared" si="243"/>
        <v>0</v>
      </c>
      <c r="K1562" s="494">
        <f>단가산출근거목록표!H142</f>
        <v>11489</v>
      </c>
      <c r="L1562" s="498">
        <f t="shared" si="244"/>
        <v>4.5</v>
      </c>
      <c r="M1562" s="463" t="s">
        <v>2945</v>
      </c>
      <c r="N1562" s="451" t="s">
        <v>2993</v>
      </c>
      <c r="O1562" s="468" t="s">
        <v>2947</v>
      </c>
      <c r="P1562" s="468" t="s">
        <v>2354</v>
      </c>
      <c r="Q1562" s="468" t="s">
        <v>2355</v>
      </c>
      <c r="Z1562" s="433" t="str">
        <f ca="1">HYPERLINK("#"&amp;단가산출근거목록표!J2&amp;"!A"&amp;ROW(단가산출근거목록표!A142),"D01230 →")</f>
        <v>D01230 →</v>
      </c>
    </row>
    <row r="1563" spans="1:26" ht="33.200000000000003" customHeight="1">
      <c r="A1563" s="452" t="s">
        <v>2948</v>
      </c>
      <c r="B1563" s="452" t="s">
        <v>2949</v>
      </c>
      <c r="C1563" s="489">
        <v>3.15</v>
      </c>
      <c r="D1563" s="480" t="s">
        <v>911</v>
      </c>
      <c r="E1563" s="490">
        <f t="shared" si="241"/>
        <v>735</v>
      </c>
      <c r="F1563" s="491">
        <f t="shared" si="241"/>
        <v>2315.1999999999998</v>
      </c>
      <c r="G1563" s="492">
        <v>0</v>
      </c>
      <c r="H1563" s="493">
        <f t="shared" si="242"/>
        <v>0</v>
      </c>
      <c r="I1563" s="494">
        <f>재료비목록표!E4</f>
        <v>735</v>
      </c>
      <c r="J1563" s="495">
        <f t="shared" si="243"/>
        <v>2315.1999999999998</v>
      </c>
      <c r="K1563" s="492">
        <v>0</v>
      </c>
      <c r="L1563" s="493">
        <f t="shared" si="244"/>
        <v>0</v>
      </c>
      <c r="M1563" s="463" t="s">
        <v>2950</v>
      </c>
      <c r="N1563" s="451" t="s">
        <v>2951</v>
      </c>
      <c r="O1563" s="468" t="s">
        <v>2952</v>
      </c>
      <c r="P1563" s="468" t="s">
        <v>2354</v>
      </c>
      <c r="Z1563" s="433" t="str">
        <f ca="1">HYPERLINK("#"&amp;재료비목록표!G2&amp;"!A"&amp;ROW(재료비목록표!A4),"M00666 →")</f>
        <v>M00666 →</v>
      </c>
    </row>
    <row r="1564" spans="1:26" ht="33.200000000000003" customHeight="1">
      <c r="A1564" s="452" t="s">
        <v>2507</v>
      </c>
      <c r="B1564" s="452" t="s">
        <v>2441</v>
      </c>
      <c r="C1564" s="489">
        <v>25</v>
      </c>
      <c r="D1564" s="480" t="s">
        <v>2371</v>
      </c>
      <c r="E1564" s="490">
        <f t="shared" si="241"/>
        <v>51481.999999999993</v>
      </c>
      <c r="F1564" s="491">
        <f t="shared" si="241"/>
        <v>12870.5</v>
      </c>
      <c r="G1564" s="496">
        <f>H1547+H1548+H1549+H1550+H1551+H1553+H1554+H1556+H1560+H1562</f>
        <v>51481.999999999993</v>
      </c>
      <c r="H1564" s="491">
        <f>IF(C1564=0,0,ROUNDDOWN(G1564*C1564/100,1))</f>
        <v>12870.5</v>
      </c>
      <c r="I1564" s="465">
        <v>0</v>
      </c>
      <c r="J1564" s="493">
        <f>IF(C1564=0,0,ROUNDDOWN(I1564*C1564/100,1))</f>
        <v>0</v>
      </c>
      <c r="K1564" s="467">
        <v>0</v>
      </c>
      <c r="L1564" s="493">
        <f>IF(C1564=0,0,ROUNDDOWN(K1564*C1564/100,1))</f>
        <v>0</v>
      </c>
      <c r="M1564" s="463"/>
      <c r="N1564" s="451" t="s">
        <v>2508</v>
      </c>
      <c r="O1564" s="468" t="s">
        <v>2373</v>
      </c>
      <c r="P1564" s="468" t="s">
        <v>2354</v>
      </c>
    </row>
    <row r="1565" spans="1:26" ht="33.200000000000003" customHeight="1">
      <c r="A1565" s="463" t="s">
        <v>842</v>
      </c>
      <c r="B1565" s="497"/>
      <c r="C1565" s="497"/>
      <c r="D1565" s="497"/>
      <c r="E1565" s="497"/>
      <c r="F1565" s="446">
        <f>J1565+H1565+L1565</f>
        <v>124640</v>
      </c>
      <c r="G1565" s="497"/>
      <c r="H1565" s="446">
        <f>ROUNDDOWN(SUMIF(P1547:P1564,O1565,H1547:H1564),0)</f>
        <v>64352</v>
      </c>
      <c r="I1565" s="497"/>
      <c r="J1565" s="446">
        <f>ROUNDDOWN(SUMIF(P1547:P1564,O1565,J1547:J1564),0)</f>
        <v>60106</v>
      </c>
      <c r="K1565" s="497"/>
      <c r="L1565" s="446">
        <f>ROUNDDOWN(SUMIF(P1547:P1564,O1565,L1547:L1564),0)</f>
        <v>182</v>
      </c>
      <c r="M1565" s="497"/>
      <c r="O1565" s="468" t="s">
        <v>2354</v>
      </c>
    </row>
    <row r="1566" spans="1:26" ht="33.200000000000003" customHeight="1">
      <c r="A1566" s="484" t="s">
        <v>3142</v>
      </c>
      <c r="B1566" s="484"/>
      <c r="C1566" s="485"/>
      <c r="D1566" s="485"/>
      <c r="E1566" s="485"/>
      <c r="F1566" s="485"/>
      <c r="G1566" s="485"/>
      <c r="H1566" s="485"/>
      <c r="I1566" s="485"/>
      <c r="J1566" s="485"/>
      <c r="K1566" s="485"/>
      <c r="L1566" s="485"/>
      <c r="M1566" s="485"/>
      <c r="N1566" s="486" t="str">
        <f>HYPERLINK("#N"&amp;ROW(N1568),"_x0005_`BDCOD|B02536_x0007_`POSS|"&amp;ROW(N1568)&amp;"_x0007_`POSE|"&amp;ROW(N1568)&amp;"_x0007_`")</f>
        <v>_x0005_`BDCOD|B02536_x0007_`POSS|1568_x0007_`POSE|1568_x0007_`</v>
      </c>
    </row>
    <row r="1567" spans="1:26" ht="33.200000000000003" customHeight="1">
      <c r="A1567" s="469" t="s">
        <v>1351</v>
      </c>
      <c r="B1567" s="469" t="s">
        <v>2316</v>
      </c>
      <c r="C1567" s="487"/>
      <c r="D1567" s="488" t="s">
        <v>975</v>
      </c>
      <c r="E1567" s="487"/>
      <c r="F1567" s="487"/>
      <c r="G1567" s="487"/>
      <c r="H1567" s="487"/>
      <c r="I1567" s="487"/>
      <c r="J1567" s="487"/>
      <c r="K1567" s="487"/>
      <c r="L1567" s="487"/>
      <c r="M1567" s="488" t="s">
        <v>1352</v>
      </c>
      <c r="O1567" s="468" t="s">
        <v>1352</v>
      </c>
    </row>
    <row r="1568" spans="1:26" ht="33.200000000000003" customHeight="1">
      <c r="A1568" s="452" t="s">
        <v>1351</v>
      </c>
      <c r="B1568" s="452" t="s">
        <v>2316</v>
      </c>
      <c r="C1568" s="489">
        <v>1</v>
      </c>
      <c r="D1568" s="480" t="s">
        <v>1589</v>
      </c>
      <c r="E1568" s="490">
        <f>I1568+G1568+K1568</f>
        <v>4470000</v>
      </c>
      <c r="F1568" s="491">
        <f>J1568+H1568+L1568</f>
        <v>4470000</v>
      </c>
      <c r="G1568" s="492">
        <v>0</v>
      </c>
      <c r="H1568" s="493">
        <f>IF(C1568=0,0,ROUNDDOWN(G1568*C1568,1))</f>
        <v>0</v>
      </c>
      <c r="I1568" s="494">
        <f>재료비목록표!E62</f>
        <v>4470000</v>
      </c>
      <c r="J1568" s="495">
        <f>IF(C1568=0,0,ROUNDDOWN(I1568*C1568,1))</f>
        <v>4470000</v>
      </c>
      <c r="K1568" s="492">
        <v>0</v>
      </c>
      <c r="L1568" s="493">
        <f>IF(C1568=0,0,ROUNDDOWN(K1568*C1568,1))</f>
        <v>0</v>
      </c>
      <c r="M1568" s="463" t="s">
        <v>2995</v>
      </c>
      <c r="N1568" s="451" t="s">
        <v>2996</v>
      </c>
      <c r="O1568" s="468" t="s">
        <v>2997</v>
      </c>
      <c r="P1568" s="468" t="s">
        <v>2354</v>
      </c>
      <c r="Z1568" s="433" t="str">
        <f ca="1">HYPERLINK("#"&amp;재료비목록표!G2&amp;"!A"&amp;ROW(재료비목록표!A62),"M01542 →")</f>
        <v>M01542 →</v>
      </c>
    </row>
    <row r="1569" spans="1:26" ht="33.200000000000003" customHeight="1">
      <c r="A1569" s="463" t="s">
        <v>842</v>
      </c>
      <c r="B1569" s="497"/>
      <c r="C1569" s="497"/>
      <c r="D1569" s="497"/>
      <c r="E1569" s="497"/>
      <c r="F1569" s="446">
        <f>J1569+H1569+L1569</f>
        <v>4470000</v>
      </c>
      <c r="G1569" s="497"/>
      <c r="H1569" s="446">
        <f>ROUNDDOWN(SUMIF(P1568:P1568,O1569,H1568:H1568),0)</f>
        <v>0</v>
      </c>
      <c r="I1569" s="497"/>
      <c r="J1569" s="446">
        <f>ROUNDDOWN(SUMIF(P1568:P1568,O1569,J1568:J1568),0)</f>
        <v>4470000</v>
      </c>
      <c r="K1569" s="497"/>
      <c r="L1569" s="446">
        <f>ROUNDDOWN(SUMIF(P1568:P1568,O1569,L1568:L1568),0)</f>
        <v>0</v>
      </c>
      <c r="M1569" s="497"/>
      <c r="O1569" s="468" t="s">
        <v>2354</v>
      </c>
    </row>
    <row r="1570" spans="1:26" ht="33.200000000000003" customHeight="1">
      <c r="A1570" s="484" t="s">
        <v>3143</v>
      </c>
      <c r="B1570" s="484"/>
      <c r="C1570" s="485"/>
      <c r="D1570" s="485"/>
      <c r="E1570" s="485"/>
      <c r="F1570" s="485"/>
      <c r="G1570" s="485"/>
      <c r="H1570" s="485"/>
      <c r="I1570" s="485"/>
      <c r="J1570" s="485"/>
      <c r="K1570" s="485"/>
      <c r="L1570" s="485"/>
      <c r="M1570" s="485"/>
      <c r="N1570" s="486" t="str">
        <f>HYPERLINK("#N"&amp;ROW(N1572),"_x0005_`BDCOD|B02538_x0007_`POSS|"&amp;ROW(N1572)&amp;"_x0007_`POSE|"&amp;ROW(N1572)&amp;"_x0007_`")</f>
        <v>_x0005_`BDCOD|B02538_x0007_`POSS|1572_x0007_`POSE|1572_x0007_`</v>
      </c>
    </row>
    <row r="1571" spans="1:26" ht="33.200000000000003" customHeight="1">
      <c r="A1571" s="469" t="s">
        <v>1359</v>
      </c>
      <c r="B1571" s="469" t="s">
        <v>1360</v>
      </c>
      <c r="C1571" s="487"/>
      <c r="D1571" s="488" t="s">
        <v>975</v>
      </c>
      <c r="E1571" s="487"/>
      <c r="F1571" s="487"/>
      <c r="G1571" s="487"/>
      <c r="H1571" s="487"/>
      <c r="I1571" s="487"/>
      <c r="J1571" s="487"/>
      <c r="K1571" s="487"/>
      <c r="L1571" s="487"/>
      <c r="M1571" s="488" t="s">
        <v>1361</v>
      </c>
      <c r="O1571" s="468" t="s">
        <v>1361</v>
      </c>
    </row>
    <row r="1572" spans="1:26" ht="33.200000000000003" customHeight="1">
      <c r="A1572" s="452" t="s">
        <v>1359</v>
      </c>
      <c r="B1572" s="452" t="s">
        <v>2999</v>
      </c>
      <c r="C1572" s="489">
        <v>1</v>
      </c>
      <c r="D1572" s="480" t="s">
        <v>1589</v>
      </c>
      <c r="E1572" s="490">
        <f>I1572+G1572+K1572</f>
        <v>4335000</v>
      </c>
      <c r="F1572" s="491">
        <f>J1572+H1572+L1572</f>
        <v>4335000</v>
      </c>
      <c r="G1572" s="492">
        <v>0</v>
      </c>
      <c r="H1572" s="493">
        <f>IF(C1572=0,0,ROUNDDOWN(G1572*C1572,1))</f>
        <v>0</v>
      </c>
      <c r="I1572" s="494">
        <f>재료비목록표!E63</f>
        <v>4335000</v>
      </c>
      <c r="J1572" s="495">
        <f>IF(C1572=0,0,ROUNDDOWN(I1572*C1572,1))</f>
        <v>4335000</v>
      </c>
      <c r="K1572" s="492">
        <v>0</v>
      </c>
      <c r="L1572" s="493">
        <f>IF(C1572=0,0,ROUNDDOWN(K1572*C1572,1))</f>
        <v>0</v>
      </c>
      <c r="M1572" s="463" t="s">
        <v>3000</v>
      </c>
      <c r="N1572" s="451" t="s">
        <v>3001</v>
      </c>
      <c r="O1572" s="468" t="s">
        <v>3002</v>
      </c>
      <c r="P1572" s="468" t="s">
        <v>2354</v>
      </c>
      <c r="Z1572" s="433" t="str">
        <f ca="1">HYPERLINK("#"&amp;재료비목록표!G2&amp;"!A"&amp;ROW(재료비목록표!A63),"M01544 →")</f>
        <v>M01544 →</v>
      </c>
    </row>
    <row r="1573" spans="1:26" ht="33.200000000000003" customHeight="1">
      <c r="A1573" s="463" t="s">
        <v>842</v>
      </c>
      <c r="B1573" s="497"/>
      <c r="C1573" s="497"/>
      <c r="D1573" s="497"/>
      <c r="E1573" s="497"/>
      <c r="F1573" s="446">
        <f>J1573+H1573+L1573</f>
        <v>4335000</v>
      </c>
      <c r="G1573" s="497"/>
      <c r="H1573" s="446">
        <f>ROUNDDOWN(SUMIF(P1572:P1572,O1573,H1572:H1572),0)</f>
        <v>0</v>
      </c>
      <c r="I1573" s="497"/>
      <c r="J1573" s="446">
        <f>ROUNDDOWN(SUMIF(P1572:P1572,O1573,J1572:J1572),0)</f>
        <v>4335000</v>
      </c>
      <c r="K1573" s="497"/>
      <c r="L1573" s="446">
        <f>ROUNDDOWN(SUMIF(P1572:P1572,O1573,L1572:L1572),0)</f>
        <v>0</v>
      </c>
      <c r="M1573" s="497"/>
      <c r="O1573" s="468" t="s">
        <v>2354</v>
      </c>
    </row>
    <row r="1574" spans="1:26" ht="33.200000000000003" customHeight="1">
      <c r="A1574" s="484" t="s">
        <v>3153</v>
      </c>
      <c r="B1574" s="484"/>
      <c r="C1574" s="485"/>
      <c r="D1574" s="485"/>
      <c r="E1574" s="485"/>
      <c r="F1574" s="485"/>
      <c r="G1574" s="485"/>
      <c r="H1574" s="485"/>
      <c r="I1574" s="485"/>
      <c r="J1574" s="485"/>
      <c r="K1574" s="485"/>
      <c r="L1574" s="485"/>
      <c r="M1574" s="485"/>
      <c r="N1574" s="486" t="str">
        <f>HYPERLINK("#N"&amp;ROW(N1576),"_x0005_`BDCOD|B02529_x0007_`POSS|"&amp;ROW(N1576)&amp;"_x0007_`POSE|"&amp;ROW(N1576)&amp;"_x0007_`")</f>
        <v>_x0005_`BDCOD|B02529_x0007_`POSS|1576_x0007_`POSE|1576_x0007_`</v>
      </c>
    </row>
    <row r="1575" spans="1:26" ht="33.200000000000003" customHeight="1">
      <c r="A1575" s="469" t="s">
        <v>1354</v>
      </c>
      <c r="B1575" s="469" t="s">
        <v>1355</v>
      </c>
      <c r="C1575" s="487"/>
      <c r="D1575" s="488" t="s">
        <v>975</v>
      </c>
      <c r="E1575" s="487"/>
      <c r="F1575" s="487"/>
      <c r="G1575" s="487"/>
      <c r="H1575" s="487"/>
      <c r="I1575" s="487"/>
      <c r="J1575" s="487"/>
      <c r="K1575" s="487"/>
      <c r="L1575" s="487"/>
      <c r="M1575" s="488" t="s">
        <v>1356</v>
      </c>
      <c r="O1575" s="468" t="s">
        <v>1356</v>
      </c>
    </row>
    <row r="1576" spans="1:26" ht="33.200000000000003" customHeight="1">
      <c r="A1576" s="452" t="s">
        <v>1354</v>
      </c>
      <c r="B1576" s="452" t="s">
        <v>3004</v>
      </c>
      <c r="C1576" s="489">
        <v>1</v>
      </c>
      <c r="D1576" s="480" t="s">
        <v>1589</v>
      </c>
      <c r="E1576" s="490">
        <f>I1576+G1576+K1576</f>
        <v>4335000</v>
      </c>
      <c r="F1576" s="491">
        <f>J1576+H1576+L1576</f>
        <v>4335000</v>
      </c>
      <c r="G1576" s="492">
        <v>0</v>
      </c>
      <c r="H1576" s="493">
        <f>IF(C1576=0,0,ROUNDDOWN(G1576*C1576,1))</f>
        <v>0</v>
      </c>
      <c r="I1576" s="494">
        <f>재료비목록표!E64</f>
        <v>4335000</v>
      </c>
      <c r="J1576" s="495">
        <f>IF(C1576=0,0,ROUNDDOWN(I1576*C1576,1))</f>
        <v>4335000</v>
      </c>
      <c r="K1576" s="492">
        <v>0</v>
      </c>
      <c r="L1576" s="493">
        <f>IF(C1576=0,0,ROUNDDOWN(K1576*C1576,1))</f>
        <v>0</v>
      </c>
      <c r="M1576" s="463" t="s">
        <v>3005</v>
      </c>
      <c r="N1576" s="451" t="s">
        <v>3006</v>
      </c>
      <c r="O1576" s="468" t="s">
        <v>3007</v>
      </c>
      <c r="P1576" s="468" t="s">
        <v>2354</v>
      </c>
      <c r="Z1576" s="433" t="str">
        <f ca="1">HYPERLINK("#"&amp;재료비목록표!G2&amp;"!A"&amp;ROW(재료비목록표!A64),"M01536 →")</f>
        <v>M01536 →</v>
      </c>
    </row>
    <row r="1577" spans="1:26" ht="33.200000000000003" customHeight="1">
      <c r="A1577" s="463" t="s">
        <v>842</v>
      </c>
      <c r="B1577" s="497"/>
      <c r="C1577" s="497"/>
      <c r="D1577" s="497"/>
      <c r="E1577" s="497"/>
      <c r="F1577" s="446">
        <f>J1577+H1577+L1577</f>
        <v>4335000</v>
      </c>
      <c r="G1577" s="497"/>
      <c r="H1577" s="446">
        <f>ROUNDDOWN(SUMIF(P1576:P1576,O1577,H1576:H1576),0)</f>
        <v>0</v>
      </c>
      <c r="I1577" s="497"/>
      <c r="J1577" s="446">
        <f>ROUNDDOWN(SUMIF(P1576:P1576,O1577,J1576:J1576),0)</f>
        <v>4335000</v>
      </c>
      <c r="K1577" s="497"/>
      <c r="L1577" s="446">
        <f>ROUNDDOWN(SUMIF(P1576:P1576,O1577,L1576:L1576),0)</f>
        <v>0</v>
      </c>
      <c r="M1577" s="497"/>
      <c r="O1577" s="468" t="s">
        <v>2354</v>
      </c>
    </row>
    <row r="1578" spans="1:26" ht="33.200000000000003" customHeight="1">
      <c r="A1578" s="484" t="s">
        <v>3155</v>
      </c>
      <c r="B1578" s="484"/>
      <c r="C1578" s="485"/>
      <c r="D1578" s="485"/>
      <c r="E1578" s="485"/>
      <c r="F1578" s="485"/>
      <c r="G1578" s="485"/>
      <c r="H1578" s="485"/>
      <c r="I1578" s="485"/>
      <c r="J1578" s="485"/>
      <c r="K1578" s="485"/>
      <c r="L1578" s="485"/>
      <c r="M1578" s="485"/>
      <c r="N1578" s="486" t="str">
        <f>HYPERLINK("#N"&amp;ROW(N1580),"_x0005_`BDCOD|B02523_x0007_`POSS|"&amp;ROW(N1580)&amp;"_x0007_`POSE|"&amp;ROW(N1580)&amp;"_x0007_`")</f>
        <v>_x0005_`BDCOD|B02523_x0007_`POSS|1580_x0007_`POSE|1580_x0007_`</v>
      </c>
    </row>
    <row r="1579" spans="1:26" ht="33.200000000000003" customHeight="1">
      <c r="A1579" s="469" t="s">
        <v>1364</v>
      </c>
      <c r="B1579" s="469" t="s">
        <v>1365</v>
      </c>
      <c r="C1579" s="487"/>
      <c r="D1579" s="488" t="s">
        <v>975</v>
      </c>
      <c r="E1579" s="487"/>
      <c r="F1579" s="487"/>
      <c r="G1579" s="487"/>
      <c r="H1579" s="487"/>
      <c r="I1579" s="487"/>
      <c r="J1579" s="487"/>
      <c r="K1579" s="487"/>
      <c r="L1579" s="487"/>
      <c r="M1579" s="488" t="s">
        <v>1366</v>
      </c>
      <c r="O1579" s="468" t="s">
        <v>1366</v>
      </c>
    </row>
    <row r="1580" spans="1:26" ht="33.200000000000003" customHeight="1">
      <c r="A1580" s="452" t="s">
        <v>1364</v>
      </c>
      <c r="B1580" s="452" t="s">
        <v>3009</v>
      </c>
      <c r="C1580" s="489">
        <v>1</v>
      </c>
      <c r="D1580" s="480" t="s">
        <v>1589</v>
      </c>
      <c r="E1580" s="490">
        <f>I1580+G1580+K1580</f>
        <v>5540000</v>
      </c>
      <c r="F1580" s="491">
        <f>J1580+H1580+L1580</f>
        <v>5540000</v>
      </c>
      <c r="G1580" s="492">
        <v>0</v>
      </c>
      <c r="H1580" s="493">
        <f>IF(C1580=0,0,ROUNDDOWN(G1580*C1580,1))</f>
        <v>0</v>
      </c>
      <c r="I1580" s="494">
        <f>재료비목록표!E65</f>
        <v>5540000</v>
      </c>
      <c r="J1580" s="495">
        <f>IF(C1580=0,0,ROUNDDOWN(I1580*C1580,1))</f>
        <v>5540000</v>
      </c>
      <c r="K1580" s="492">
        <v>0</v>
      </c>
      <c r="L1580" s="493">
        <f>IF(C1580=0,0,ROUNDDOWN(K1580*C1580,1))</f>
        <v>0</v>
      </c>
      <c r="M1580" s="463" t="s">
        <v>3010</v>
      </c>
      <c r="N1580" s="451" t="s">
        <v>3011</v>
      </c>
      <c r="O1580" s="468" t="s">
        <v>3012</v>
      </c>
      <c r="P1580" s="468" t="s">
        <v>2354</v>
      </c>
      <c r="Z1580" s="433" t="str">
        <f ca="1">HYPERLINK("#"&amp;재료비목록표!G2&amp;"!A"&amp;ROW(재료비목록표!A65),"M01530 →")</f>
        <v>M01530 →</v>
      </c>
    </row>
    <row r="1581" spans="1:26" ht="33.200000000000003" customHeight="1">
      <c r="A1581" s="463" t="s">
        <v>842</v>
      </c>
      <c r="B1581" s="497"/>
      <c r="C1581" s="497"/>
      <c r="D1581" s="497"/>
      <c r="E1581" s="497"/>
      <c r="F1581" s="446">
        <f>J1581+H1581+L1581</f>
        <v>5540000</v>
      </c>
      <c r="G1581" s="497"/>
      <c r="H1581" s="446">
        <f>ROUNDDOWN(SUMIF(P1580:P1580,O1581,H1580:H1580),0)</f>
        <v>0</v>
      </c>
      <c r="I1581" s="497"/>
      <c r="J1581" s="446">
        <f>ROUNDDOWN(SUMIF(P1580:P1580,O1581,J1580:J1580),0)</f>
        <v>5540000</v>
      </c>
      <c r="K1581" s="497"/>
      <c r="L1581" s="446">
        <f>ROUNDDOWN(SUMIF(P1580:P1580,O1581,L1580:L1580),0)</f>
        <v>0</v>
      </c>
      <c r="M1581" s="497"/>
      <c r="O1581" s="468" t="s">
        <v>2354</v>
      </c>
    </row>
    <row r="1582" spans="1:26" ht="33.200000000000003" customHeight="1">
      <c r="A1582" s="484" t="s">
        <v>3160</v>
      </c>
      <c r="B1582" s="484"/>
      <c r="C1582" s="485"/>
      <c r="D1582" s="485"/>
      <c r="E1582" s="485"/>
      <c r="F1582" s="485"/>
      <c r="G1582" s="485"/>
      <c r="H1582" s="485"/>
      <c r="I1582" s="485"/>
      <c r="J1582" s="485"/>
      <c r="K1582" s="485"/>
      <c r="L1582" s="485"/>
      <c r="M1582" s="485"/>
      <c r="N1582" s="486" t="str">
        <f>HYPERLINK("#N"&amp;ROW(N1584),"_x0005_`BDCOD|B02524_x0007_`POSS|"&amp;ROW(N1584)&amp;"_x0007_`POSE|"&amp;ROW(N1584)&amp;"_x0007_`")</f>
        <v>_x0005_`BDCOD|B02524_x0007_`POSS|1584_x0007_`POSE|1584_x0007_`</v>
      </c>
    </row>
    <row r="1583" spans="1:26" ht="33.200000000000003" customHeight="1">
      <c r="A1583" s="469" t="s">
        <v>1369</v>
      </c>
      <c r="B1583" s="469" t="s">
        <v>1370</v>
      </c>
      <c r="C1583" s="487"/>
      <c r="D1583" s="488" t="s">
        <v>975</v>
      </c>
      <c r="E1583" s="487"/>
      <c r="F1583" s="487"/>
      <c r="G1583" s="487"/>
      <c r="H1583" s="487"/>
      <c r="I1583" s="487"/>
      <c r="J1583" s="487"/>
      <c r="K1583" s="487"/>
      <c r="L1583" s="487"/>
      <c r="M1583" s="488" t="s">
        <v>1371</v>
      </c>
      <c r="O1583" s="468" t="s">
        <v>1371</v>
      </c>
    </row>
    <row r="1584" spans="1:26" ht="33.200000000000003" customHeight="1">
      <c r="A1584" s="452" t="s">
        <v>1369</v>
      </c>
      <c r="B1584" s="452" t="s">
        <v>3014</v>
      </c>
      <c r="C1584" s="489">
        <v>1</v>
      </c>
      <c r="D1584" s="480" t="s">
        <v>1589</v>
      </c>
      <c r="E1584" s="490">
        <f>I1584+G1584+K1584</f>
        <v>5850000</v>
      </c>
      <c r="F1584" s="491">
        <f>J1584+H1584+L1584</f>
        <v>5850000</v>
      </c>
      <c r="G1584" s="492">
        <v>0</v>
      </c>
      <c r="H1584" s="493">
        <f>IF(C1584=0,0,ROUNDDOWN(G1584*C1584,1))</f>
        <v>0</v>
      </c>
      <c r="I1584" s="494">
        <f>재료비목록표!E66</f>
        <v>5850000</v>
      </c>
      <c r="J1584" s="495">
        <f>IF(C1584=0,0,ROUNDDOWN(I1584*C1584,1))</f>
        <v>5850000</v>
      </c>
      <c r="K1584" s="492">
        <v>0</v>
      </c>
      <c r="L1584" s="493">
        <f>IF(C1584=0,0,ROUNDDOWN(K1584*C1584,1))</f>
        <v>0</v>
      </c>
      <c r="M1584" s="463" t="s">
        <v>3015</v>
      </c>
      <c r="N1584" s="451" t="s">
        <v>3016</v>
      </c>
      <c r="O1584" s="468" t="s">
        <v>3017</v>
      </c>
      <c r="P1584" s="468" t="s">
        <v>2354</v>
      </c>
      <c r="Z1584" s="433" t="str">
        <f ca="1">HYPERLINK("#"&amp;재료비목록표!G2&amp;"!A"&amp;ROW(재료비목록표!A66),"M01531 →")</f>
        <v>M01531 →</v>
      </c>
    </row>
    <row r="1585" spans="1:26" ht="33.200000000000003" customHeight="1">
      <c r="A1585" s="463" t="s">
        <v>842</v>
      </c>
      <c r="B1585" s="497"/>
      <c r="C1585" s="497"/>
      <c r="D1585" s="497"/>
      <c r="E1585" s="497"/>
      <c r="F1585" s="446">
        <f>J1585+H1585+L1585</f>
        <v>5850000</v>
      </c>
      <c r="G1585" s="497"/>
      <c r="H1585" s="446">
        <f>ROUNDDOWN(SUMIF(P1584:P1584,O1585,H1584:H1584),0)</f>
        <v>0</v>
      </c>
      <c r="I1585" s="497"/>
      <c r="J1585" s="446">
        <f>ROUNDDOWN(SUMIF(P1584:P1584,O1585,J1584:J1584),0)</f>
        <v>5850000</v>
      </c>
      <c r="K1585" s="497"/>
      <c r="L1585" s="446">
        <f>ROUNDDOWN(SUMIF(P1584:P1584,O1585,L1584:L1584),0)</f>
        <v>0</v>
      </c>
      <c r="M1585" s="497"/>
      <c r="O1585" s="468" t="s">
        <v>2354</v>
      </c>
    </row>
    <row r="1586" spans="1:26" ht="33.200000000000003" customHeight="1">
      <c r="A1586" s="484" t="s">
        <v>3165</v>
      </c>
      <c r="B1586" s="484"/>
      <c r="C1586" s="485"/>
      <c r="D1586" s="485"/>
      <c r="E1586" s="485"/>
      <c r="F1586" s="485"/>
      <c r="G1586" s="485"/>
      <c r="H1586" s="485"/>
      <c r="I1586" s="485"/>
      <c r="J1586" s="485"/>
      <c r="K1586" s="485"/>
      <c r="L1586" s="485"/>
      <c r="M1586" s="485"/>
      <c r="N1586" s="486" t="str">
        <f>HYPERLINK("#N"&amp;ROW(N1589),"_x0005_`BDCOD|B02800_x0007_`POSS|"&amp;ROW(N1588)&amp;"_x0007_`POSE|"&amp;ROW(N1589)&amp;"_x0007_`")</f>
        <v>_x0005_`BDCOD|B02800_x0007_`POSS|1588_x0007_`POSE|1589_x0007_`</v>
      </c>
    </row>
    <row r="1587" spans="1:26" ht="33.200000000000003" customHeight="1">
      <c r="A1587" s="469" t="s">
        <v>1869</v>
      </c>
      <c r="B1587" s="469" t="s">
        <v>1870</v>
      </c>
      <c r="C1587" s="487"/>
      <c r="D1587" s="488" t="s">
        <v>1799</v>
      </c>
      <c r="E1587" s="487"/>
      <c r="F1587" s="487"/>
      <c r="G1587" s="487"/>
      <c r="H1587" s="487"/>
      <c r="I1587" s="487"/>
      <c r="J1587" s="487"/>
      <c r="K1587" s="487"/>
      <c r="L1587" s="487"/>
      <c r="M1587" s="488" t="s">
        <v>1871</v>
      </c>
      <c r="O1587" s="468" t="s">
        <v>1871</v>
      </c>
    </row>
    <row r="1588" spans="1:26" ht="33.200000000000003" customHeight="1">
      <c r="A1588" s="452" t="s">
        <v>3019</v>
      </c>
      <c r="B1588" s="452" t="s">
        <v>3020</v>
      </c>
      <c r="C1588" s="489">
        <v>1</v>
      </c>
      <c r="D1588" s="480" t="s">
        <v>1799</v>
      </c>
      <c r="E1588" s="490">
        <f>I1588+G1588+K1588</f>
        <v>1900</v>
      </c>
      <c r="F1588" s="491">
        <f>J1588+H1588+L1588</f>
        <v>1900</v>
      </c>
      <c r="G1588" s="492">
        <v>0</v>
      </c>
      <c r="H1588" s="493">
        <f>IF(C1588=0,0,ROUNDDOWN(G1588*C1588,1))</f>
        <v>0</v>
      </c>
      <c r="I1588" s="494">
        <f>재료비목록표!E68</f>
        <v>1900</v>
      </c>
      <c r="J1588" s="495">
        <f>IF(C1588=0,0,ROUNDDOWN(I1588*C1588,1))</f>
        <v>1900</v>
      </c>
      <c r="K1588" s="492">
        <v>0</v>
      </c>
      <c r="L1588" s="493">
        <f>IF(C1588=0,0,ROUNDDOWN(K1588*C1588,1))</f>
        <v>0</v>
      </c>
      <c r="M1588" s="463" t="s">
        <v>3021</v>
      </c>
      <c r="N1588" s="451" t="s">
        <v>3022</v>
      </c>
      <c r="O1588" s="468" t="s">
        <v>3023</v>
      </c>
      <c r="P1588" s="468" t="s">
        <v>2354</v>
      </c>
      <c r="Z1588" s="433" t="str">
        <f ca="1">HYPERLINK("#"&amp;재료비목록표!G2&amp;"!A"&amp;ROW(재료비목록표!A68),"M01589 →")</f>
        <v>M01589 →</v>
      </c>
    </row>
    <row r="1589" spans="1:26" ht="33.200000000000003" customHeight="1">
      <c r="A1589" s="452" t="s">
        <v>1886</v>
      </c>
      <c r="B1589" s="452" t="s">
        <v>1874</v>
      </c>
      <c r="C1589" s="489">
        <v>1</v>
      </c>
      <c r="D1589" s="480" t="s">
        <v>1799</v>
      </c>
      <c r="E1589" s="490">
        <f>I1589+G1589+K1589</f>
        <v>3175</v>
      </c>
      <c r="F1589" s="493">
        <f>J1589+H1589+L1589</f>
        <v>3175</v>
      </c>
      <c r="G1589" s="494">
        <f>단가산출근거목록표!F5</f>
        <v>2925</v>
      </c>
      <c r="H1589" s="498">
        <f>IF(C1589=0,0,ROUNDDOWN(G1589*C1589,1))</f>
        <v>2925</v>
      </c>
      <c r="I1589" s="494">
        <f>단가산출근거목록표!G5</f>
        <v>250</v>
      </c>
      <c r="J1589" s="498">
        <f>IF(C1589=0,0,ROUNDDOWN(I1589*C1589,1))</f>
        <v>250</v>
      </c>
      <c r="K1589" s="494">
        <f>단가산출근거목록표!H5</f>
        <v>0</v>
      </c>
      <c r="L1589" s="498">
        <f>IF(C1589=0,0,ROUNDDOWN(K1589*C1589,1))</f>
        <v>0</v>
      </c>
      <c r="M1589" s="463" t="s">
        <v>3024</v>
      </c>
      <c r="N1589" s="451" t="s">
        <v>3025</v>
      </c>
      <c r="O1589" s="468" t="s">
        <v>1892</v>
      </c>
      <c r="P1589" s="468" t="s">
        <v>2354</v>
      </c>
      <c r="Z1589" s="433" t="str">
        <f ca="1">HYPERLINK("#"&amp;단가산출근거목록표!J2&amp;"!A"&amp;ROW(단가산출근거목록표!A5),"D01261 →")</f>
        <v>D01261 →</v>
      </c>
    </row>
    <row r="1590" spans="1:26" ht="33.200000000000003" customHeight="1">
      <c r="A1590" s="463" t="s">
        <v>842</v>
      </c>
      <c r="B1590" s="497"/>
      <c r="C1590" s="497"/>
      <c r="D1590" s="497"/>
      <c r="E1590" s="497"/>
      <c r="F1590" s="446">
        <f>J1590+H1590+L1590</f>
        <v>5075</v>
      </c>
      <c r="G1590" s="497"/>
      <c r="H1590" s="446">
        <f>ROUNDDOWN(SUMIF(P1588:P1589,O1590,H1588:H1589),0)</f>
        <v>2925</v>
      </c>
      <c r="I1590" s="497"/>
      <c r="J1590" s="446">
        <f>ROUNDDOWN(SUMIF(P1588:P1589,O1590,J1588:J1589),0)</f>
        <v>2150</v>
      </c>
      <c r="K1590" s="497"/>
      <c r="L1590" s="446">
        <f>ROUNDDOWN(SUMIF(P1588:P1589,O1590,L1588:L1589),0)</f>
        <v>0</v>
      </c>
      <c r="M1590" s="497"/>
      <c r="O1590" s="468" t="s">
        <v>2354</v>
      </c>
    </row>
    <row r="1591" spans="1:26" ht="33.200000000000003" customHeight="1">
      <c r="A1591" s="484" t="s">
        <v>3166</v>
      </c>
      <c r="B1591" s="484"/>
      <c r="C1591" s="485"/>
      <c r="D1591" s="485"/>
      <c r="E1591" s="485"/>
      <c r="F1591" s="485"/>
      <c r="G1591" s="485"/>
      <c r="H1591" s="485"/>
      <c r="I1591" s="485"/>
      <c r="J1591" s="485"/>
      <c r="K1591" s="485"/>
      <c r="L1591" s="485"/>
      <c r="M1591" s="485"/>
      <c r="N1591" s="486" t="str">
        <f>HYPERLINK("#N"&amp;ROW(N1594),"_x0005_`BDCOD|B02890_x0007_`POSS|"&amp;ROW(N1593)&amp;"_x0007_`POSE|"&amp;ROW(N1594)&amp;"_x0007_`")</f>
        <v>_x0005_`BDCOD|B02890_x0007_`POSS|1593_x0007_`POSE|1594_x0007_`</v>
      </c>
    </row>
    <row r="1592" spans="1:26" ht="33.200000000000003" customHeight="1">
      <c r="A1592" s="469" t="s">
        <v>5345</v>
      </c>
      <c r="B1592" s="469" t="s">
        <v>1870</v>
      </c>
      <c r="C1592" s="487"/>
      <c r="D1592" s="488" t="s">
        <v>1799</v>
      </c>
      <c r="E1592" s="487"/>
      <c r="F1592" s="487"/>
      <c r="G1592" s="487"/>
      <c r="H1592" s="487"/>
      <c r="I1592" s="487"/>
      <c r="J1592" s="487"/>
      <c r="K1592" s="487"/>
      <c r="L1592" s="487"/>
      <c r="M1592" s="488" t="s">
        <v>5346</v>
      </c>
      <c r="O1592" s="468" t="s">
        <v>5346</v>
      </c>
    </row>
    <row r="1593" spans="1:26" ht="33.200000000000003" customHeight="1">
      <c r="A1593" s="452" t="s">
        <v>3019</v>
      </c>
      <c r="B1593" s="452" t="s">
        <v>3020</v>
      </c>
      <c r="C1593" s="489">
        <v>1</v>
      </c>
      <c r="D1593" s="480" t="s">
        <v>1799</v>
      </c>
      <c r="E1593" s="490">
        <f>I1593+G1593+K1593</f>
        <v>1900</v>
      </c>
      <c r="F1593" s="491">
        <f>J1593+H1593+L1593</f>
        <v>1900</v>
      </c>
      <c r="G1593" s="492">
        <v>0</v>
      </c>
      <c r="H1593" s="493">
        <f>IF(C1593=0,0,ROUNDDOWN(G1593*C1593,1))</f>
        <v>0</v>
      </c>
      <c r="I1593" s="494">
        <f>재료비목록표!E68</f>
        <v>1900</v>
      </c>
      <c r="J1593" s="495">
        <f>IF(C1593=0,0,ROUNDDOWN(I1593*C1593,1))</f>
        <v>1900</v>
      </c>
      <c r="K1593" s="492">
        <v>0</v>
      </c>
      <c r="L1593" s="493">
        <f>IF(C1593=0,0,ROUNDDOWN(K1593*C1593,1))</f>
        <v>0</v>
      </c>
      <c r="M1593" s="463" t="s">
        <v>3021</v>
      </c>
      <c r="N1593" s="451" t="s">
        <v>3022</v>
      </c>
      <c r="O1593" s="468" t="s">
        <v>3023</v>
      </c>
      <c r="P1593" s="468" t="s">
        <v>2354</v>
      </c>
      <c r="Z1593" s="433" t="str">
        <f ca="1">HYPERLINK("#"&amp;재료비목록표!G2&amp;"!A"&amp;ROW(재료비목록표!A68),"M01589 →")</f>
        <v>M01589 →</v>
      </c>
    </row>
    <row r="1594" spans="1:26" ht="33.200000000000003" customHeight="1">
      <c r="A1594" s="452" t="s">
        <v>5379</v>
      </c>
      <c r="B1594" s="452" t="s">
        <v>1874</v>
      </c>
      <c r="C1594" s="489">
        <v>1</v>
      </c>
      <c r="D1594" s="480" t="s">
        <v>1799</v>
      </c>
      <c r="E1594" s="490">
        <f>I1594+G1594+K1594</f>
        <v>3614</v>
      </c>
      <c r="F1594" s="493">
        <f>J1594+H1594+L1594</f>
        <v>3614</v>
      </c>
      <c r="G1594" s="494">
        <f>단가산출근거목록표!F9</f>
        <v>3364</v>
      </c>
      <c r="H1594" s="498">
        <f>IF(C1594=0,0,ROUNDDOWN(G1594*C1594,1))</f>
        <v>3364</v>
      </c>
      <c r="I1594" s="494">
        <f>단가산출근거목록표!G9</f>
        <v>250</v>
      </c>
      <c r="J1594" s="498">
        <f>IF(C1594=0,0,ROUNDDOWN(I1594*C1594,1))</f>
        <v>250</v>
      </c>
      <c r="K1594" s="494">
        <f>단가산출근거목록표!H9</f>
        <v>0</v>
      </c>
      <c r="L1594" s="498">
        <f>IF(C1594=0,0,ROUNDDOWN(K1594*C1594,1))</f>
        <v>0</v>
      </c>
      <c r="M1594" s="463" t="s">
        <v>5502</v>
      </c>
      <c r="N1594" s="451" t="s">
        <v>5503</v>
      </c>
      <c r="O1594" s="468" t="s">
        <v>5385</v>
      </c>
      <c r="P1594" s="468" t="s">
        <v>2354</v>
      </c>
      <c r="Z1594" s="433" t="str">
        <f ca="1">HYPERLINK("#"&amp;단가산출근거목록표!J2&amp;"!A"&amp;ROW(단가산출근거목록표!A9),"D01356 →")</f>
        <v>D01356 →</v>
      </c>
    </row>
    <row r="1595" spans="1:26" ht="33.200000000000003" customHeight="1">
      <c r="A1595" s="463" t="s">
        <v>842</v>
      </c>
      <c r="B1595" s="497"/>
      <c r="C1595" s="497"/>
      <c r="D1595" s="497"/>
      <c r="E1595" s="497"/>
      <c r="F1595" s="446">
        <f>J1595+H1595+L1595</f>
        <v>5514</v>
      </c>
      <c r="G1595" s="497"/>
      <c r="H1595" s="446">
        <f>ROUNDDOWN(SUMIF(P1593:P1594,O1595,H1593:H1594),0)</f>
        <v>3364</v>
      </c>
      <c r="I1595" s="497"/>
      <c r="J1595" s="446">
        <f>ROUNDDOWN(SUMIF(P1593:P1594,O1595,J1593:J1594),0)</f>
        <v>2150</v>
      </c>
      <c r="K1595" s="497"/>
      <c r="L1595" s="446">
        <f>ROUNDDOWN(SUMIF(P1593:P1594,O1595,L1593:L1594),0)</f>
        <v>0</v>
      </c>
      <c r="M1595" s="497"/>
      <c r="O1595" s="468" t="s">
        <v>2354</v>
      </c>
    </row>
    <row r="1596" spans="1:26" ht="33.200000000000003" customHeight="1">
      <c r="A1596" s="484" t="s">
        <v>3190</v>
      </c>
      <c r="B1596" s="484"/>
      <c r="C1596" s="485"/>
      <c r="D1596" s="485"/>
      <c r="E1596" s="485"/>
      <c r="F1596" s="485"/>
      <c r="G1596" s="485"/>
      <c r="H1596" s="485"/>
      <c r="I1596" s="485"/>
      <c r="J1596" s="485"/>
      <c r="K1596" s="485"/>
      <c r="L1596" s="485"/>
      <c r="M1596" s="485"/>
      <c r="N1596" s="486" t="str">
        <f>HYPERLINK("#N"&amp;ROW(N1599),"_x0005_`BDCOD|B02891_x0007_`POSS|"&amp;ROW(N1598)&amp;"_x0007_`POSE|"&amp;ROW(N1599)&amp;"_x0007_`")</f>
        <v>_x0005_`BDCOD|B02891_x0007_`POSS|1598_x0007_`POSE|1599_x0007_`</v>
      </c>
    </row>
    <row r="1597" spans="1:26" ht="33.200000000000003" customHeight="1">
      <c r="A1597" s="469" t="s">
        <v>5349</v>
      </c>
      <c r="B1597" s="469" t="s">
        <v>1870</v>
      </c>
      <c r="C1597" s="487"/>
      <c r="D1597" s="488" t="s">
        <v>1799</v>
      </c>
      <c r="E1597" s="487"/>
      <c r="F1597" s="487"/>
      <c r="G1597" s="487"/>
      <c r="H1597" s="487"/>
      <c r="I1597" s="487"/>
      <c r="J1597" s="487"/>
      <c r="K1597" s="487"/>
      <c r="L1597" s="487"/>
      <c r="M1597" s="488" t="s">
        <v>5350</v>
      </c>
      <c r="O1597" s="468" t="s">
        <v>5350</v>
      </c>
    </row>
    <row r="1598" spans="1:26" ht="33.200000000000003" customHeight="1">
      <c r="A1598" s="452" t="s">
        <v>3019</v>
      </c>
      <c r="B1598" s="452" t="s">
        <v>3020</v>
      </c>
      <c r="C1598" s="489">
        <v>1</v>
      </c>
      <c r="D1598" s="480" t="s">
        <v>1799</v>
      </c>
      <c r="E1598" s="490">
        <f>I1598+G1598+K1598</f>
        <v>1900</v>
      </c>
      <c r="F1598" s="491">
        <f>J1598+H1598+L1598</f>
        <v>1900</v>
      </c>
      <c r="G1598" s="492">
        <v>0</v>
      </c>
      <c r="H1598" s="493">
        <f>IF(C1598=0,0,ROUNDDOWN(G1598*C1598,1))</f>
        <v>0</v>
      </c>
      <c r="I1598" s="494">
        <f>재료비목록표!E68</f>
        <v>1900</v>
      </c>
      <c r="J1598" s="495">
        <f>IF(C1598=0,0,ROUNDDOWN(I1598*C1598,1))</f>
        <v>1900</v>
      </c>
      <c r="K1598" s="492">
        <v>0</v>
      </c>
      <c r="L1598" s="493">
        <f>IF(C1598=0,0,ROUNDDOWN(K1598*C1598,1))</f>
        <v>0</v>
      </c>
      <c r="M1598" s="463" t="s">
        <v>3021</v>
      </c>
      <c r="N1598" s="451" t="s">
        <v>3022</v>
      </c>
      <c r="O1598" s="468" t="s">
        <v>3023</v>
      </c>
      <c r="P1598" s="468" t="s">
        <v>2354</v>
      </c>
      <c r="Z1598" s="433" t="str">
        <f ca="1">HYPERLINK("#"&amp;재료비목록표!G2&amp;"!A"&amp;ROW(재료비목록표!A68),"M01589 →")</f>
        <v>M01589 →</v>
      </c>
    </row>
    <row r="1599" spans="1:26" ht="33.200000000000003" customHeight="1">
      <c r="A1599" s="452" t="s">
        <v>5392</v>
      </c>
      <c r="B1599" s="452" t="s">
        <v>1874</v>
      </c>
      <c r="C1599" s="489">
        <v>1</v>
      </c>
      <c r="D1599" s="480" t="s">
        <v>1799</v>
      </c>
      <c r="E1599" s="490">
        <f>I1599+G1599+K1599</f>
        <v>3906</v>
      </c>
      <c r="F1599" s="493">
        <f>J1599+H1599+L1599</f>
        <v>3906</v>
      </c>
      <c r="G1599" s="494">
        <f>단가산출근거목록표!F13</f>
        <v>3656</v>
      </c>
      <c r="H1599" s="498">
        <f>IF(C1599=0,0,ROUNDDOWN(G1599*C1599,1))</f>
        <v>3656</v>
      </c>
      <c r="I1599" s="494">
        <f>단가산출근거목록표!G13</f>
        <v>250</v>
      </c>
      <c r="J1599" s="498">
        <f>IF(C1599=0,0,ROUNDDOWN(I1599*C1599,1))</f>
        <v>250</v>
      </c>
      <c r="K1599" s="494">
        <f>단가산출근거목록표!H13</f>
        <v>0</v>
      </c>
      <c r="L1599" s="498">
        <f>IF(C1599=0,0,ROUNDDOWN(K1599*C1599,1))</f>
        <v>0</v>
      </c>
      <c r="M1599" s="463" t="s">
        <v>5504</v>
      </c>
      <c r="N1599" s="451" t="s">
        <v>5505</v>
      </c>
      <c r="O1599" s="468" t="s">
        <v>5398</v>
      </c>
      <c r="P1599" s="468" t="s">
        <v>2354</v>
      </c>
      <c r="Z1599" s="433" t="str">
        <f ca="1">HYPERLINK("#"&amp;단가산출근거목록표!J2&amp;"!A"&amp;ROW(단가산출근거목록표!A13),"D01326 →")</f>
        <v>D01326 →</v>
      </c>
    </row>
    <row r="1600" spans="1:26" ht="33.200000000000003" customHeight="1">
      <c r="A1600" s="463" t="s">
        <v>842</v>
      </c>
      <c r="B1600" s="497"/>
      <c r="C1600" s="497"/>
      <c r="D1600" s="497"/>
      <c r="E1600" s="497"/>
      <c r="F1600" s="446">
        <f>J1600+H1600+L1600</f>
        <v>5806</v>
      </c>
      <c r="G1600" s="497"/>
      <c r="H1600" s="446">
        <f>ROUNDDOWN(SUMIF(P1598:P1599,O1600,H1598:H1599),0)</f>
        <v>3656</v>
      </c>
      <c r="I1600" s="497"/>
      <c r="J1600" s="446">
        <f>ROUNDDOWN(SUMIF(P1598:P1599,O1600,J1598:J1599),0)</f>
        <v>2150</v>
      </c>
      <c r="K1600" s="497"/>
      <c r="L1600" s="446">
        <f>ROUNDDOWN(SUMIF(P1598:P1599,O1600,L1598:L1599),0)</f>
        <v>0</v>
      </c>
      <c r="M1600" s="497"/>
      <c r="O1600" s="468" t="s">
        <v>2354</v>
      </c>
    </row>
    <row r="1601" spans="1:26" ht="33.200000000000003" customHeight="1">
      <c r="A1601" s="484" t="s">
        <v>3196</v>
      </c>
      <c r="B1601" s="484"/>
      <c r="C1601" s="485"/>
      <c r="D1601" s="485"/>
      <c r="E1601" s="485"/>
      <c r="F1601" s="485"/>
      <c r="G1601" s="485"/>
      <c r="H1601" s="485"/>
      <c r="I1601" s="485"/>
      <c r="J1601" s="485"/>
      <c r="K1601" s="485"/>
      <c r="L1601" s="485"/>
      <c r="M1601" s="485"/>
      <c r="N1601" s="486" t="str">
        <f>HYPERLINK("#N"&amp;ROW(N1603),"_x0005_`BDCOD|B02520_x0007_`POSS|"&amp;ROW(N1603)&amp;"_x0007_`POSE|"&amp;ROW(N1603)&amp;"_x0007_`")</f>
        <v>_x0005_`BDCOD|B02520_x0007_`POSS|1603_x0007_`POSE|1603_x0007_`</v>
      </c>
    </row>
    <row r="1602" spans="1:26" ht="33.200000000000003" customHeight="1">
      <c r="A1602" s="469" t="s">
        <v>1379</v>
      </c>
      <c r="B1602" s="469" t="s">
        <v>1380</v>
      </c>
      <c r="C1602" s="487"/>
      <c r="D1602" s="488" t="s">
        <v>975</v>
      </c>
      <c r="E1602" s="487"/>
      <c r="F1602" s="487"/>
      <c r="G1602" s="487"/>
      <c r="H1602" s="487"/>
      <c r="I1602" s="487"/>
      <c r="J1602" s="487"/>
      <c r="K1602" s="487"/>
      <c r="L1602" s="487"/>
      <c r="M1602" s="488" t="s">
        <v>1381</v>
      </c>
      <c r="O1602" s="468" t="s">
        <v>1381</v>
      </c>
    </row>
    <row r="1603" spans="1:26" ht="33.200000000000003" customHeight="1">
      <c r="A1603" s="452" t="s">
        <v>1379</v>
      </c>
      <c r="B1603" s="452" t="s">
        <v>3027</v>
      </c>
      <c r="C1603" s="489">
        <v>1</v>
      </c>
      <c r="D1603" s="480" t="s">
        <v>1589</v>
      </c>
      <c r="E1603" s="490">
        <f>I1603+G1603+K1603</f>
        <v>4880000</v>
      </c>
      <c r="F1603" s="491">
        <f>J1603+H1603+L1603</f>
        <v>4880000</v>
      </c>
      <c r="G1603" s="492">
        <v>0</v>
      </c>
      <c r="H1603" s="493">
        <f>IF(C1603=0,0,ROUNDDOWN(G1603*C1603,1))</f>
        <v>0</v>
      </c>
      <c r="I1603" s="494">
        <f>재료비목록표!E69</f>
        <v>4880000</v>
      </c>
      <c r="J1603" s="495">
        <f>IF(C1603=0,0,ROUNDDOWN(I1603*C1603,1))</f>
        <v>4880000</v>
      </c>
      <c r="K1603" s="492">
        <v>0</v>
      </c>
      <c r="L1603" s="493">
        <f>IF(C1603=0,0,ROUNDDOWN(K1603*C1603,1))</f>
        <v>0</v>
      </c>
      <c r="M1603" s="463" t="s">
        <v>3028</v>
      </c>
      <c r="N1603" s="451" t="s">
        <v>3029</v>
      </c>
      <c r="O1603" s="468" t="s">
        <v>3030</v>
      </c>
      <c r="P1603" s="468" t="s">
        <v>2354</v>
      </c>
      <c r="Z1603" s="433" t="str">
        <f ca="1">HYPERLINK("#"&amp;재료비목록표!G2&amp;"!A"&amp;ROW(재료비목록표!A69),"M01527 →")</f>
        <v>M01527 →</v>
      </c>
    </row>
    <row r="1604" spans="1:26" ht="33.200000000000003" customHeight="1">
      <c r="A1604" s="463" t="s">
        <v>842</v>
      </c>
      <c r="B1604" s="497"/>
      <c r="C1604" s="497"/>
      <c r="D1604" s="497"/>
      <c r="E1604" s="497"/>
      <c r="F1604" s="446">
        <f>J1604+H1604+L1604</f>
        <v>4880000</v>
      </c>
      <c r="G1604" s="497"/>
      <c r="H1604" s="446">
        <f>ROUNDDOWN(SUMIF(P1603:P1603,O1604,H1603:H1603),0)</f>
        <v>0</v>
      </c>
      <c r="I1604" s="497"/>
      <c r="J1604" s="446">
        <f>ROUNDDOWN(SUMIF(P1603:P1603,O1604,J1603:J1603),0)</f>
        <v>4880000</v>
      </c>
      <c r="K1604" s="497"/>
      <c r="L1604" s="446">
        <f>ROUNDDOWN(SUMIF(P1603:P1603,O1604,L1603:L1603),0)</f>
        <v>0</v>
      </c>
      <c r="M1604" s="497"/>
      <c r="O1604" s="468" t="s">
        <v>2354</v>
      </c>
    </row>
    <row r="1605" spans="1:26" ht="33.200000000000003" customHeight="1">
      <c r="A1605" s="484" t="s">
        <v>3202</v>
      </c>
      <c r="B1605" s="484"/>
      <c r="C1605" s="485"/>
      <c r="D1605" s="485"/>
      <c r="E1605" s="485"/>
      <c r="F1605" s="485"/>
      <c r="G1605" s="485"/>
      <c r="H1605" s="485"/>
      <c r="I1605" s="485"/>
      <c r="J1605" s="485"/>
      <c r="K1605" s="485"/>
      <c r="L1605" s="485"/>
      <c r="M1605" s="485"/>
      <c r="N1605" s="486" t="str">
        <f>HYPERLINK("#N"&amp;ROW(N1607),"_x0005_`BDCOD|B02527_x0007_`POSS|"&amp;ROW(N1607)&amp;"_x0007_`POSE|"&amp;ROW(N1607)&amp;"_x0007_`")</f>
        <v>_x0005_`BDCOD|B02527_x0007_`POSS|1607_x0007_`POSE|1607_x0007_`</v>
      </c>
    </row>
    <row r="1606" spans="1:26" ht="33.200000000000003" customHeight="1">
      <c r="A1606" s="469" t="s">
        <v>1384</v>
      </c>
      <c r="B1606" s="469" t="s">
        <v>1385</v>
      </c>
      <c r="C1606" s="487"/>
      <c r="D1606" s="488" t="s">
        <v>975</v>
      </c>
      <c r="E1606" s="487"/>
      <c r="F1606" s="487"/>
      <c r="G1606" s="487"/>
      <c r="H1606" s="487"/>
      <c r="I1606" s="487"/>
      <c r="J1606" s="487"/>
      <c r="K1606" s="487"/>
      <c r="L1606" s="487"/>
      <c r="M1606" s="488" t="s">
        <v>1386</v>
      </c>
      <c r="O1606" s="468" t="s">
        <v>1386</v>
      </c>
    </row>
    <row r="1607" spans="1:26" ht="33.200000000000003" customHeight="1">
      <c r="A1607" s="452" t="s">
        <v>1384</v>
      </c>
      <c r="B1607" s="452" t="s">
        <v>3032</v>
      </c>
      <c r="C1607" s="489">
        <v>1</v>
      </c>
      <c r="D1607" s="480" t="s">
        <v>1589</v>
      </c>
      <c r="E1607" s="490">
        <f>I1607+G1607+K1607</f>
        <v>4810000</v>
      </c>
      <c r="F1607" s="491">
        <f>J1607+H1607+L1607</f>
        <v>4810000</v>
      </c>
      <c r="G1607" s="492">
        <v>0</v>
      </c>
      <c r="H1607" s="493">
        <f>IF(C1607=0,0,ROUNDDOWN(G1607*C1607,1))</f>
        <v>0</v>
      </c>
      <c r="I1607" s="494">
        <f>재료비목록표!E70</f>
        <v>4810000</v>
      </c>
      <c r="J1607" s="495">
        <f>IF(C1607=0,0,ROUNDDOWN(I1607*C1607,1))</f>
        <v>4810000</v>
      </c>
      <c r="K1607" s="492">
        <v>0</v>
      </c>
      <c r="L1607" s="493">
        <f>IF(C1607=0,0,ROUNDDOWN(K1607*C1607,1))</f>
        <v>0</v>
      </c>
      <c r="M1607" s="463" t="s">
        <v>3033</v>
      </c>
      <c r="N1607" s="451" t="s">
        <v>3034</v>
      </c>
      <c r="O1607" s="468" t="s">
        <v>3035</v>
      </c>
      <c r="P1607" s="468" t="s">
        <v>2354</v>
      </c>
      <c r="Z1607" s="433" t="str">
        <f ca="1">HYPERLINK("#"&amp;재료비목록표!G2&amp;"!A"&amp;ROW(재료비목록표!A70),"M01534 →")</f>
        <v>M01534 →</v>
      </c>
    </row>
    <row r="1608" spans="1:26" ht="33.200000000000003" customHeight="1">
      <c r="A1608" s="463" t="s">
        <v>842</v>
      </c>
      <c r="B1608" s="497"/>
      <c r="C1608" s="497"/>
      <c r="D1608" s="497"/>
      <c r="E1608" s="497"/>
      <c r="F1608" s="446">
        <f>J1608+H1608+L1608</f>
        <v>4810000</v>
      </c>
      <c r="G1608" s="497"/>
      <c r="H1608" s="446">
        <f>ROUNDDOWN(SUMIF(P1607:P1607,O1608,H1607:H1607),0)</f>
        <v>0</v>
      </c>
      <c r="I1608" s="497"/>
      <c r="J1608" s="446">
        <f>ROUNDDOWN(SUMIF(P1607:P1607,O1608,J1607:J1607),0)</f>
        <v>4810000</v>
      </c>
      <c r="K1608" s="497"/>
      <c r="L1608" s="446">
        <f>ROUNDDOWN(SUMIF(P1607:P1607,O1608,L1607:L1607),0)</f>
        <v>0</v>
      </c>
      <c r="M1608" s="497"/>
      <c r="O1608" s="468" t="s">
        <v>2354</v>
      </c>
    </row>
    <row r="1609" spans="1:26" ht="33.200000000000003" customHeight="1">
      <c r="A1609" s="484" t="s">
        <v>3207</v>
      </c>
      <c r="B1609" s="484"/>
      <c r="C1609" s="485"/>
      <c r="D1609" s="485"/>
      <c r="E1609" s="485"/>
      <c r="F1609" s="485"/>
      <c r="G1609" s="485"/>
      <c r="H1609" s="485"/>
      <c r="I1609" s="485"/>
      <c r="J1609" s="485"/>
      <c r="K1609" s="485"/>
      <c r="L1609" s="485"/>
      <c r="M1609" s="485"/>
      <c r="N1609" s="486" t="str">
        <f>HYPERLINK("#N"&amp;ROW(N1616),"_x0005_`BDCOD|B02657_x0007_`POSS|"&amp;ROW(N1611)&amp;"_x0007_`POSE|"&amp;ROW(N1616)&amp;"_x0007_`")</f>
        <v>_x0005_`BDCOD|B02657_x0007_`POSS|1611_x0007_`POSE|1616_x0007_`</v>
      </c>
    </row>
    <row r="1610" spans="1:26" ht="33.200000000000003" customHeight="1">
      <c r="A1610" s="469" t="s">
        <v>1532</v>
      </c>
      <c r="B1610" s="469" t="s">
        <v>1533</v>
      </c>
      <c r="C1610" s="487"/>
      <c r="D1610" s="488" t="s">
        <v>595</v>
      </c>
      <c r="E1610" s="487"/>
      <c r="F1610" s="487"/>
      <c r="G1610" s="487"/>
      <c r="H1610" s="487"/>
      <c r="I1610" s="487"/>
      <c r="J1610" s="487"/>
      <c r="K1610" s="487"/>
      <c r="L1610" s="487"/>
      <c r="M1610" s="488" t="s">
        <v>1534</v>
      </c>
      <c r="O1610" s="468" t="s">
        <v>1534</v>
      </c>
    </row>
    <row r="1611" spans="1:26" ht="33.200000000000003" customHeight="1">
      <c r="A1611" s="452" t="s">
        <v>2424</v>
      </c>
      <c r="B1611" s="452"/>
      <c r="C1611" s="489">
        <v>1.9E-2</v>
      </c>
      <c r="D1611" s="480" t="s">
        <v>585</v>
      </c>
      <c r="E1611" s="490">
        <f t="shared" ref="E1611:F1616" si="245">I1611+G1611+K1611</f>
        <v>263017</v>
      </c>
      <c r="F1611" s="493">
        <f t="shared" si="245"/>
        <v>4997.3</v>
      </c>
      <c r="G1611" s="494">
        <f>노무비목록표!E7</f>
        <v>263017</v>
      </c>
      <c r="H1611" s="495">
        <f>IF(C1611=0,0,ROUNDDOWN(G1611*C1611,1))</f>
        <v>4997.3</v>
      </c>
      <c r="I1611" s="492">
        <v>0</v>
      </c>
      <c r="J1611" s="491">
        <f>IF(C1611=0,0,ROUNDDOWN(I1611*C1611,1))</f>
        <v>0</v>
      </c>
      <c r="K1611" s="492">
        <v>0</v>
      </c>
      <c r="L1611" s="493">
        <f>IF(C1611=0,0,ROUNDDOWN(K1611*C1611,1))</f>
        <v>0</v>
      </c>
      <c r="M1611" s="463" t="s">
        <v>2425</v>
      </c>
      <c r="N1611" s="451" t="s">
        <v>2426</v>
      </c>
      <c r="O1611" s="468" t="s">
        <v>2427</v>
      </c>
      <c r="P1611" s="468" t="s">
        <v>2354</v>
      </c>
      <c r="Q1611" s="468" t="s">
        <v>2355</v>
      </c>
      <c r="Z1611" s="433" t="str">
        <f ca="1">HYPERLINK("#"&amp;노무비목록표!G2&amp;"!A"&amp;ROW(노무비목록표!A7),"L00010 →")</f>
        <v>L00010 →</v>
      </c>
    </row>
    <row r="1612" spans="1:26" ht="33.200000000000003" customHeight="1">
      <c r="A1612" s="452" t="s">
        <v>2360</v>
      </c>
      <c r="B1612" s="452"/>
      <c r="C1612" s="489">
        <v>3.0000000000000001E-3</v>
      </c>
      <c r="D1612" s="480" t="s">
        <v>585</v>
      </c>
      <c r="E1612" s="490">
        <f t="shared" si="245"/>
        <v>172068</v>
      </c>
      <c r="F1612" s="493">
        <f t="shared" si="245"/>
        <v>516.20000000000005</v>
      </c>
      <c r="G1612" s="494">
        <f>노무비목록표!E10</f>
        <v>172068</v>
      </c>
      <c r="H1612" s="495">
        <f>IF(C1612=0,0,ROUNDDOWN(G1612*C1612,1))</f>
        <v>516.20000000000005</v>
      </c>
      <c r="I1612" s="492">
        <v>0</v>
      </c>
      <c r="J1612" s="491">
        <f>IF(C1612=0,0,ROUNDDOWN(I1612*C1612,1))</f>
        <v>0</v>
      </c>
      <c r="K1612" s="492">
        <v>0</v>
      </c>
      <c r="L1612" s="493">
        <f>IF(C1612=0,0,ROUNDDOWN(K1612*C1612,1))</f>
        <v>0</v>
      </c>
      <c r="M1612" s="463" t="s">
        <v>2361</v>
      </c>
      <c r="N1612" s="451" t="s">
        <v>2428</v>
      </c>
      <c r="O1612" s="468" t="s">
        <v>2363</v>
      </c>
      <c r="P1612" s="468" t="s">
        <v>2354</v>
      </c>
      <c r="Q1612" s="468" t="s">
        <v>2355</v>
      </c>
      <c r="Z1612" s="433" t="str">
        <f ca="1">HYPERLINK("#"&amp;노무비목록표!G2&amp;"!A"&amp;ROW(노무비목록표!A10),"L00017 →")</f>
        <v>L00017 →</v>
      </c>
    </row>
    <row r="1613" spans="1:26" ht="33.200000000000003" customHeight="1">
      <c r="A1613" s="452" t="s">
        <v>3037</v>
      </c>
      <c r="B1613" s="452" t="s">
        <v>1503</v>
      </c>
      <c r="C1613" s="489">
        <v>9.0999999999999998E-2</v>
      </c>
      <c r="D1613" s="480" t="s">
        <v>3038</v>
      </c>
      <c r="E1613" s="490">
        <f t="shared" si="245"/>
        <v>8943</v>
      </c>
      <c r="F1613" s="491">
        <f t="shared" si="245"/>
        <v>813.8</v>
      </c>
      <c r="G1613" s="492">
        <v>0</v>
      </c>
      <c r="H1613" s="493">
        <f>IF(C1613=0,0,ROUNDDOWN(G1613*C1613,1))</f>
        <v>0</v>
      </c>
      <c r="I1613" s="494">
        <f>재료비목록표!E71</f>
        <v>8943</v>
      </c>
      <c r="J1613" s="495">
        <f>IF(C1613=0,0,ROUNDDOWN(I1613*C1613,1))</f>
        <v>813.8</v>
      </c>
      <c r="K1613" s="492">
        <v>0</v>
      </c>
      <c r="L1613" s="493">
        <f>IF(C1613=0,0,ROUNDDOWN(K1613*C1613,1))</f>
        <v>0</v>
      </c>
      <c r="M1613" s="463" t="s">
        <v>3039</v>
      </c>
      <c r="N1613" s="451" t="s">
        <v>3040</v>
      </c>
      <c r="O1613" s="468" t="s">
        <v>3041</v>
      </c>
      <c r="P1613" s="468" t="s">
        <v>2354</v>
      </c>
      <c r="Z1613" s="433" t="str">
        <f ca="1">HYPERLINK("#"&amp;재료비목록표!G2&amp;"!A"&amp;ROW(재료비목록표!A71),"M01004 →")</f>
        <v>M01004 →</v>
      </c>
    </row>
    <row r="1614" spans="1:26" ht="33.200000000000003" customHeight="1">
      <c r="A1614" s="452" t="s">
        <v>2435</v>
      </c>
      <c r="B1614" s="452" t="s">
        <v>2436</v>
      </c>
      <c r="C1614" s="489">
        <v>8.0000000000000002E-3</v>
      </c>
      <c r="D1614" s="480" t="s">
        <v>2431</v>
      </c>
      <c r="E1614" s="490">
        <f t="shared" si="245"/>
        <v>2500</v>
      </c>
      <c r="F1614" s="491">
        <f t="shared" si="245"/>
        <v>20</v>
      </c>
      <c r="G1614" s="492">
        <v>0</v>
      </c>
      <c r="H1614" s="493">
        <f>IF(C1614=0,0,ROUNDDOWN(G1614*C1614,1))</f>
        <v>0</v>
      </c>
      <c r="I1614" s="494">
        <f>재료비목록표!E61</f>
        <v>2500</v>
      </c>
      <c r="J1614" s="495">
        <f>IF(C1614=0,0,ROUNDDOWN(I1614*C1614,1))</f>
        <v>20</v>
      </c>
      <c r="K1614" s="492">
        <v>0</v>
      </c>
      <c r="L1614" s="493">
        <f>IF(C1614=0,0,ROUNDDOWN(K1614*C1614,1))</f>
        <v>0</v>
      </c>
      <c r="M1614" s="463" t="s">
        <v>2437</v>
      </c>
      <c r="N1614" s="451" t="s">
        <v>2438</v>
      </c>
      <c r="O1614" s="468" t="s">
        <v>2439</v>
      </c>
      <c r="P1614" s="468" t="s">
        <v>2354</v>
      </c>
      <c r="Z1614" s="433" t="str">
        <f ca="1">HYPERLINK("#"&amp;재료비목록표!G2&amp;"!A"&amp;ROW(재료비목록표!A61),"M00167 →")</f>
        <v>M00167 →</v>
      </c>
    </row>
    <row r="1615" spans="1:26" ht="33.200000000000003" customHeight="1">
      <c r="A1615" s="452" t="s">
        <v>2666</v>
      </c>
      <c r="B1615" s="452"/>
      <c r="C1615" s="489">
        <v>6.0000000000000001E-3</v>
      </c>
      <c r="D1615" s="480" t="s">
        <v>2611</v>
      </c>
      <c r="E1615" s="490">
        <f t="shared" si="245"/>
        <v>1460</v>
      </c>
      <c r="F1615" s="491">
        <f t="shared" si="245"/>
        <v>8.6999999999999993</v>
      </c>
      <c r="G1615" s="492">
        <v>0</v>
      </c>
      <c r="H1615" s="493">
        <f>IF(C1615=0,0,ROUNDDOWN(G1615*C1615,1))</f>
        <v>0</v>
      </c>
      <c r="I1615" s="494">
        <f>재료비목록표!E100</f>
        <v>1460</v>
      </c>
      <c r="J1615" s="495">
        <f>IF(C1615=0,0,ROUNDDOWN(I1615*C1615,1))</f>
        <v>8.6999999999999993</v>
      </c>
      <c r="K1615" s="492">
        <v>0</v>
      </c>
      <c r="L1615" s="493">
        <f>IF(C1615=0,0,ROUNDDOWN(K1615*C1615,1))</f>
        <v>0</v>
      </c>
      <c r="M1615" s="463" t="s">
        <v>2667</v>
      </c>
      <c r="N1615" s="451" t="s">
        <v>2668</v>
      </c>
      <c r="O1615" s="468" t="s">
        <v>2669</v>
      </c>
      <c r="P1615" s="468" t="s">
        <v>2354</v>
      </c>
      <c r="Z1615" s="433" t="str">
        <f ca="1">HYPERLINK("#"&amp;재료비목록표!G2&amp;"!A"&amp;ROW(재료비목록표!A100),"M00993 →")</f>
        <v>M00993 →</v>
      </c>
    </row>
    <row r="1616" spans="1:26" ht="33.200000000000003" customHeight="1">
      <c r="A1616" s="452" t="s">
        <v>2440</v>
      </c>
      <c r="B1616" s="452" t="s">
        <v>2441</v>
      </c>
      <c r="C1616" s="489">
        <v>2</v>
      </c>
      <c r="D1616" s="480" t="s">
        <v>2371</v>
      </c>
      <c r="E1616" s="490">
        <f t="shared" si="245"/>
        <v>5513.5</v>
      </c>
      <c r="F1616" s="491">
        <f t="shared" si="245"/>
        <v>110.2</v>
      </c>
      <c r="G1616" s="465">
        <v>0</v>
      </c>
      <c r="H1616" s="491">
        <f>IF(C1616=0,0,ROUNDDOWN(G1616*C1616/100,1))</f>
        <v>0</v>
      </c>
      <c r="I1616" s="465">
        <v>0</v>
      </c>
      <c r="J1616" s="493">
        <f>IF(C1616=0,0,ROUNDDOWN(I1616*C1616/100,1))</f>
        <v>0</v>
      </c>
      <c r="K1616" s="499">
        <f>H1611+H1612</f>
        <v>5513.5</v>
      </c>
      <c r="L1616" s="493">
        <f>IF(C1616=0,0,ROUNDDOWN(K1616*C1616/100,1))</f>
        <v>110.2</v>
      </c>
      <c r="M1616" s="463"/>
      <c r="N1616" s="451" t="s">
        <v>2442</v>
      </c>
      <c r="O1616" s="468" t="s">
        <v>2373</v>
      </c>
      <c r="P1616" s="468" t="s">
        <v>2354</v>
      </c>
    </row>
    <row r="1617" spans="1:26" ht="33.200000000000003" customHeight="1">
      <c r="A1617" s="463" t="s">
        <v>842</v>
      </c>
      <c r="B1617" s="497"/>
      <c r="C1617" s="497"/>
      <c r="D1617" s="497"/>
      <c r="E1617" s="497"/>
      <c r="F1617" s="446">
        <f>J1617+H1617+L1617</f>
        <v>6465</v>
      </c>
      <c r="G1617" s="497"/>
      <c r="H1617" s="446">
        <f>ROUNDDOWN(SUMIF(P1611:P1616,O1617,H1611:H1616),0)</f>
        <v>5513</v>
      </c>
      <c r="I1617" s="497"/>
      <c r="J1617" s="446">
        <f>ROUNDDOWN(SUMIF(P1611:P1616,O1617,J1611:J1616),0)</f>
        <v>842</v>
      </c>
      <c r="K1617" s="497"/>
      <c r="L1617" s="446">
        <f>ROUNDDOWN(SUMIF(P1611:P1616,O1617,L1611:L1616),0)</f>
        <v>110</v>
      </c>
      <c r="M1617" s="497"/>
      <c r="O1617" s="468" t="s">
        <v>2354</v>
      </c>
    </row>
    <row r="1618" spans="1:26" ht="33.200000000000003" customHeight="1">
      <c r="A1618" s="484" t="s">
        <v>3212</v>
      </c>
      <c r="B1618" s="484"/>
      <c r="C1618" s="485"/>
      <c r="D1618" s="485"/>
      <c r="E1618" s="485"/>
      <c r="F1618" s="485"/>
      <c r="G1618" s="485"/>
      <c r="H1618" s="485"/>
      <c r="I1618" s="485"/>
      <c r="J1618" s="485"/>
      <c r="K1618" s="485"/>
      <c r="L1618" s="485"/>
      <c r="M1618" s="485"/>
      <c r="N1618" s="486" t="str">
        <f>HYPERLINK("#N"&amp;ROW(N1625),"_x0005_`BDCOD|B01814_x0007_`POSS|"&amp;ROW(N1620)&amp;"_x0007_`POSE|"&amp;ROW(N1625)&amp;"_x0007_`")</f>
        <v>_x0005_`BDCOD|B01814_x0007_`POSS|1620_x0007_`POSE|1625_x0007_`</v>
      </c>
    </row>
    <row r="1619" spans="1:26" ht="33.200000000000003" customHeight="1">
      <c r="A1619" s="469" t="s">
        <v>1532</v>
      </c>
      <c r="B1619" s="469" t="s">
        <v>1537</v>
      </c>
      <c r="C1619" s="487"/>
      <c r="D1619" s="488" t="s">
        <v>595</v>
      </c>
      <c r="E1619" s="487"/>
      <c r="F1619" s="487"/>
      <c r="G1619" s="487"/>
      <c r="H1619" s="487"/>
      <c r="I1619" s="487"/>
      <c r="J1619" s="487"/>
      <c r="K1619" s="487"/>
      <c r="L1619" s="487"/>
      <c r="M1619" s="488" t="s">
        <v>1538</v>
      </c>
      <c r="O1619" s="468" t="s">
        <v>1538</v>
      </c>
    </row>
    <row r="1620" spans="1:26" ht="33.200000000000003" customHeight="1">
      <c r="A1620" s="452" t="s">
        <v>2424</v>
      </c>
      <c r="B1620" s="452"/>
      <c r="C1620" s="489">
        <v>3.7999999999999999E-2</v>
      </c>
      <c r="D1620" s="480" t="s">
        <v>585</v>
      </c>
      <c r="E1620" s="490">
        <f t="shared" ref="E1620:F1625" si="246">I1620+G1620+K1620</f>
        <v>263017</v>
      </c>
      <c r="F1620" s="493">
        <f t="shared" si="246"/>
        <v>9994.6</v>
      </c>
      <c r="G1620" s="494">
        <f>노무비목록표!E7</f>
        <v>263017</v>
      </c>
      <c r="H1620" s="495">
        <f>IF(C1620=0,0,ROUNDDOWN(G1620*C1620,1))</f>
        <v>9994.6</v>
      </c>
      <c r="I1620" s="492">
        <v>0</v>
      </c>
      <c r="J1620" s="491">
        <f>IF(C1620=0,0,ROUNDDOWN(I1620*C1620,1))</f>
        <v>0</v>
      </c>
      <c r="K1620" s="492">
        <v>0</v>
      </c>
      <c r="L1620" s="493">
        <f>IF(C1620=0,0,ROUNDDOWN(K1620*C1620,1))</f>
        <v>0</v>
      </c>
      <c r="M1620" s="463" t="s">
        <v>2425</v>
      </c>
      <c r="N1620" s="451" t="s">
        <v>2426</v>
      </c>
      <c r="O1620" s="468" t="s">
        <v>2427</v>
      </c>
      <c r="P1620" s="468" t="s">
        <v>2354</v>
      </c>
      <c r="Q1620" s="468" t="s">
        <v>2355</v>
      </c>
      <c r="Z1620" s="433" t="str">
        <f ca="1">HYPERLINK("#"&amp;노무비목록표!G2&amp;"!A"&amp;ROW(노무비목록표!A7),"L00010 →")</f>
        <v>L00010 →</v>
      </c>
    </row>
    <row r="1621" spans="1:26" ht="33.200000000000003" customHeight="1">
      <c r="A1621" s="452" t="s">
        <v>2360</v>
      </c>
      <c r="B1621" s="452"/>
      <c r="C1621" s="489">
        <v>6.0000000000000001E-3</v>
      </c>
      <c r="D1621" s="480" t="s">
        <v>585</v>
      </c>
      <c r="E1621" s="490">
        <f t="shared" si="246"/>
        <v>172068</v>
      </c>
      <c r="F1621" s="493">
        <f t="shared" si="246"/>
        <v>1032.4000000000001</v>
      </c>
      <c r="G1621" s="494">
        <f>노무비목록표!E10</f>
        <v>172068</v>
      </c>
      <c r="H1621" s="495">
        <f>IF(C1621=0,0,ROUNDDOWN(G1621*C1621,1))</f>
        <v>1032.4000000000001</v>
      </c>
      <c r="I1621" s="492">
        <v>0</v>
      </c>
      <c r="J1621" s="491">
        <f>IF(C1621=0,0,ROUNDDOWN(I1621*C1621,1))</f>
        <v>0</v>
      </c>
      <c r="K1621" s="492">
        <v>0</v>
      </c>
      <c r="L1621" s="493">
        <f>IF(C1621=0,0,ROUNDDOWN(K1621*C1621,1))</f>
        <v>0</v>
      </c>
      <c r="M1621" s="463" t="s">
        <v>2361</v>
      </c>
      <c r="N1621" s="451" t="s">
        <v>2428</v>
      </c>
      <c r="O1621" s="468" t="s">
        <v>2363</v>
      </c>
      <c r="P1621" s="468" t="s">
        <v>2354</v>
      </c>
      <c r="Q1621" s="468" t="s">
        <v>2355</v>
      </c>
      <c r="Z1621" s="433" t="str">
        <f ca="1">HYPERLINK("#"&amp;노무비목록표!G2&amp;"!A"&amp;ROW(노무비목록표!A10),"L00017 →")</f>
        <v>L00017 →</v>
      </c>
    </row>
    <row r="1622" spans="1:26" ht="33.200000000000003" customHeight="1">
      <c r="A1622" s="452" t="s">
        <v>3037</v>
      </c>
      <c r="B1622" s="452" t="s">
        <v>1503</v>
      </c>
      <c r="C1622" s="489">
        <v>0.15</v>
      </c>
      <c r="D1622" s="480" t="s">
        <v>3038</v>
      </c>
      <c r="E1622" s="490">
        <f t="shared" si="246"/>
        <v>8943</v>
      </c>
      <c r="F1622" s="491">
        <f t="shared" si="246"/>
        <v>1341.4</v>
      </c>
      <c r="G1622" s="492">
        <v>0</v>
      </c>
      <c r="H1622" s="493">
        <f>IF(C1622=0,0,ROUNDDOWN(G1622*C1622,1))</f>
        <v>0</v>
      </c>
      <c r="I1622" s="494">
        <f>재료비목록표!E71</f>
        <v>8943</v>
      </c>
      <c r="J1622" s="495">
        <f>IF(C1622=0,0,ROUNDDOWN(I1622*C1622,1))</f>
        <v>1341.4</v>
      </c>
      <c r="K1622" s="492">
        <v>0</v>
      </c>
      <c r="L1622" s="493">
        <f>IF(C1622=0,0,ROUNDDOWN(K1622*C1622,1))</f>
        <v>0</v>
      </c>
      <c r="M1622" s="463" t="s">
        <v>3039</v>
      </c>
      <c r="N1622" s="451" t="s">
        <v>3040</v>
      </c>
      <c r="O1622" s="468" t="s">
        <v>3041</v>
      </c>
      <c r="P1622" s="468" t="s">
        <v>2354</v>
      </c>
      <c r="Z1622" s="433" t="str">
        <f ca="1">HYPERLINK("#"&amp;재료비목록표!G2&amp;"!A"&amp;ROW(재료비목록표!A71),"M01004 →")</f>
        <v>M01004 →</v>
      </c>
    </row>
    <row r="1623" spans="1:26" ht="33.200000000000003" customHeight="1">
      <c r="A1623" s="452" t="s">
        <v>2435</v>
      </c>
      <c r="B1623" s="452" t="s">
        <v>2436</v>
      </c>
      <c r="C1623" s="489">
        <v>1.7999999999999999E-2</v>
      </c>
      <c r="D1623" s="480" t="s">
        <v>2431</v>
      </c>
      <c r="E1623" s="490">
        <f t="shared" si="246"/>
        <v>2500</v>
      </c>
      <c r="F1623" s="491">
        <f t="shared" si="246"/>
        <v>45</v>
      </c>
      <c r="G1623" s="492">
        <v>0</v>
      </c>
      <c r="H1623" s="493">
        <f>IF(C1623=0,0,ROUNDDOWN(G1623*C1623,1))</f>
        <v>0</v>
      </c>
      <c r="I1623" s="494">
        <f>재료비목록표!E61</f>
        <v>2500</v>
      </c>
      <c r="J1623" s="495">
        <f>IF(C1623=0,0,ROUNDDOWN(I1623*C1623,1))</f>
        <v>45</v>
      </c>
      <c r="K1623" s="492">
        <v>0</v>
      </c>
      <c r="L1623" s="493">
        <f>IF(C1623=0,0,ROUNDDOWN(K1623*C1623,1))</f>
        <v>0</v>
      </c>
      <c r="M1623" s="463" t="s">
        <v>2437</v>
      </c>
      <c r="N1623" s="451" t="s">
        <v>2438</v>
      </c>
      <c r="O1623" s="468" t="s">
        <v>2439</v>
      </c>
      <c r="P1623" s="468" t="s">
        <v>2354</v>
      </c>
      <c r="Z1623" s="433" t="str">
        <f ca="1">HYPERLINK("#"&amp;재료비목록표!G2&amp;"!A"&amp;ROW(재료비목록표!A61),"M00167 →")</f>
        <v>M00167 →</v>
      </c>
    </row>
    <row r="1624" spans="1:26" ht="33.200000000000003" customHeight="1">
      <c r="A1624" s="452" t="s">
        <v>2666</v>
      </c>
      <c r="B1624" s="452"/>
      <c r="C1624" s="489">
        <v>6.0000000000000001E-3</v>
      </c>
      <c r="D1624" s="480" t="s">
        <v>2611</v>
      </c>
      <c r="E1624" s="490">
        <f t="shared" si="246"/>
        <v>1460</v>
      </c>
      <c r="F1624" s="491">
        <f t="shared" si="246"/>
        <v>8.6999999999999993</v>
      </c>
      <c r="G1624" s="492">
        <v>0</v>
      </c>
      <c r="H1624" s="493">
        <f>IF(C1624=0,0,ROUNDDOWN(G1624*C1624,1))</f>
        <v>0</v>
      </c>
      <c r="I1624" s="494">
        <f>재료비목록표!E100</f>
        <v>1460</v>
      </c>
      <c r="J1624" s="495">
        <f>IF(C1624=0,0,ROUNDDOWN(I1624*C1624,1))</f>
        <v>8.6999999999999993</v>
      </c>
      <c r="K1624" s="492">
        <v>0</v>
      </c>
      <c r="L1624" s="493">
        <f>IF(C1624=0,0,ROUNDDOWN(K1624*C1624,1))</f>
        <v>0</v>
      </c>
      <c r="M1624" s="463" t="s">
        <v>2667</v>
      </c>
      <c r="N1624" s="451" t="s">
        <v>2668</v>
      </c>
      <c r="O1624" s="468" t="s">
        <v>2669</v>
      </c>
      <c r="P1624" s="468" t="s">
        <v>2354</v>
      </c>
      <c r="Z1624" s="433" t="str">
        <f ca="1">HYPERLINK("#"&amp;재료비목록표!G2&amp;"!A"&amp;ROW(재료비목록표!A100),"M00993 →")</f>
        <v>M00993 →</v>
      </c>
    </row>
    <row r="1625" spans="1:26" ht="33.200000000000003" customHeight="1">
      <c r="A1625" s="452" t="s">
        <v>2440</v>
      </c>
      <c r="B1625" s="452" t="s">
        <v>2441</v>
      </c>
      <c r="C1625" s="489">
        <v>2</v>
      </c>
      <c r="D1625" s="480" t="s">
        <v>2371</v>
      </c>
      <c r="E1625" s="490">
        <f t="shared" si="246"/>
        <v>11027</v>
      </c>
      <c r="F1625" s="491">
        <f t="shared" si="246"/>
        <v>220.5</v>
      </c>
      <c r="G1625" s="465">
        <v>0</v>
      </c>
      <c r="H1625" s="491">
        <f>IF(C1625=0,0,ROUNDDOWN(G1625*C1625/100,1))</f>
        <v>0</v>
      </c>
      <c r="I1625" s="465">
        <v>0</v>
      </c>
      <c r="J1625" s="493">
        <f>IF(C1625=0,0,ROUNDDOWN(I1625*C1625/100,1))</f>
        <v>0</v>
      </c>
      <c r="K1625" s="499">
        <f>H1620+H1621</f>
        <v>11027</v>
      </c>
      <c r="L1625" s="493">
        <f>IF(C1625=0,0,ROUNDDOWN(K1625*C1625/100,1))</f>
        <v>220.5</v>
      </c>
      <c r="M1625" s="463"/>
      <c r="N1625" s="451" t="s">
        <v>2442</v>
      </c>
      <c r="O1625" s="468" t="s">
        <v>2373</v>
      </c>
      <c r="P1625" s="468" t="s">
        <v>2354</v>
      </c>
    </row>
    <row r="1626" spans="1:26" ht="33.200000000000003" customHeight="1">
      <c r="A1626" s="463" t="s">
        <v>842</v>
      </c>
      <c r="B1626" s="497"/>
      <c r="C1626" s="497"/>
      <c r="D1626" s="497"/>
      <c r="E1626" s="497"/>
      <c r="F1626" s="446">
        <f>J1626+H1626+L1626</f>
        <v>12642</v>
      </c>
      <c r="G1626" s="497"/>
      <c r="H1626" s="446">
        <f>ROUNDDOWN(SUMIF(P1620:P1625,O1626,H1620:H1625),0)</f>
        <v>11027</v>
      </c>
      <c r="I1626" s="497"/>
      <c r="J1626" s="446">
        <f>ROUNDDOWN(SUMIF(P1620:P1625,O1626,J1620:J1625),0)</f>
        <v>1395</v>
      </c>
      <c r="K1626" s="497"/>
      <c r="L1626" s="446">
        <f>ROUNDDOWN(SUMIF(P1620:P1625,O1626,L1620:L1625),0)</f>
        <v>220</v>
      </c>
      <c r="M1626" s="497"/>
      <c r="O1626" s="468" t="s">
        <v>2354</v>
      </c>
    </row>
    <row r="1627" spans="1:26" ht="33.200000000000003" customHeight="1">
      <c r="A1627" s="484" t="s">
        <v>3217</v>
      </c>
      <c r="B1627" s="484"/>
      <c r="C1627" s="485"/>
      <c r="D1627" s="485"/>
      <c r="E1627" s="485"/>
      <c r="F1627" s="485"/>
      <c r="G1627" s="485"/>
      <c r="H1627" s="485"/>
      <c r="I1627" s="485"/>
      <c r="J1627" s="485"/>
      <c r="K1627" s="485"/>
      <c r="L1627" s="485"/>
      <c r="M1627" s="485"/>
      <c r="N1627" s="486" t="str">
        <f>HYPERLINK("#N"&amp;ROW(N1629),"_x0005_`BDCOD|B02521_x0007_`POSS|"&amp;ROW(N1629)&amp;"_x0007_`POSE|"&amp;ROW(N1629)&amp;"_x0007_`")</f>
        <v>_x0005_`BDCOD|B02521_x0007_`POSS|1629_x0007_`POSE|1629_x0007_`</v>
      </c>
    </row>
    <row r="1628" spans="1:26" ht="33.200000000000003" customHeight="1">
      <c r="A1628" s="469" t="s">
        <v>1389</v>
      </c>
      <c r="B1628" s="469" t="s">
        <v>1390</v>
      </c>
      <c r="C1628" s="487"/>
      <c r="D1628" s="488" t="s">
        <v>975</v>
      </c>
      <c r="E1628" s="487"/>
      <c r="F1628" s="487"/>
      <c r="G1628" s="487"/>
      <c r="H1628" s="487"/>
      <c r="I1628" s="487"/>
      <c r="J1628" s="487"/>
      <c r="K1628" s="487"/>
      <c r="L1628" s="487"/>
      <c r="M1628" s="488" t="s">
        <v>1391</v>
      </c>
      <c r="O1628" s="468" t="s">
        <v>1391</v>
      </c>
    </row>
    <row r="1629" spans="1:26" ht="33.200000000000003" customHeight="1">
      <c r="A1629" s="452" t="s">
        <v>1389</v>
      </c>
      <c r="B1629" s="452" t="s">
        <v>3044</v>
      </c>
      <c r="C1629" s="489">
        <v>1</v>
      </c>
      <c r="D1629" s="480" t="s">
        <v>1589</v>
      </c>
      <c r="E1629" s="490">
        <f>I1629+G1629+K1629</f>
        <v>3290000</v>
      </c>
      <c r="F1629" s="491">
        <f>J1629+H1629+L1629</f>
        <v>3290000</v>
      </c>
      <c r="G1629" s="492">
        <v>0</v>
      </c>
      <c r="H1629" s="493">
        <f>IF(C1629=0,0,ROUNDDOWN(G1629*C1629,1))</f>
        <v>0</v>
      </c>
      <c r="I1629" s="494">
        <f>재료비목록표!E72</f>
        <v>3290000</v>
      </c>
      <c r="J1629" s="495">
        <f>IF(C1629=0,0,ROUNDDOWN(I1629*C1629,1))</f>
        <v>3290000</v>
      </c>
      <c r="K1629" s="492">
        <v>0</v>
      </c>
      <c r="L1629" s="493">
        <f>IF(C1629=0,0,ROUNDDOWN(K1629*C1629,1))</f>
        <v>0</v>
      </c>
      <c r="M1629" s="463" t="s">
        <v>3045</v>
      </c>
      <c r="N1629" s="451" t="s">
        <v>3046</v>
      </c>
      <c r="O1629" s="468" t="s">
        <v>3047</v>
      </c>
      <c r="P1629" s="468" t="s">
        <v>2354</v>
      </c>
      <c r="Z1629" s="433" t="str">
        <f ca="1">HYPERLINK("#"&amp;재료비목록표!G2&amp;"!A"&amp;ROW(재료비목록표!A72),"M01528 →")</f>
        <v>M01528 →</v>
      </c>
    </row>
    <row r="1630" spans="1:26" ht="33.200000000000003" customHeight="1">
      <c r="A1630" s="463" t="s">
        <v>842</v>
      </c>
      <c r="B1630" s="497"/>
      <c r="C1630" s="497"/>
      <c r="D1630" s="497"/>
      <c r="E1630" s="497"/>
      <c r="F1630" s="446">
        <f>J1630+H1630+L1630</f>
        <v>3290000</v>
      </c>
      <c r="G1630" s="497"/>
      <c r="H1630" s="446">
        <f>ROUNDDOWN(SUMIF(P1629:P1629,O1630,H1629:H1629),0)</f>
        <v>0</v>
      </c>
      <c r="I1630" s="497"/>
      <c r="J1630" s="446">
        <f>ROUNDDOWN(SUMIF(P1629:P1629,O1630,J1629:J1629),0)</f>
        <v>3290000</v>
      </c>
      <c r="K1630" s="497"/>
      <c r="L1630" s="446">
        <f>ROUNDDOWN(SUMIF(P1629:P1629,O1630,L1629:L1629),0)</f>
        <v>0</v>
      </c>
      <c r="M1630" s="497"/>
      <c r="O1630" s="468" t="s">
        <v>2354</v>
      </c>
    </row>
    <row r="1631" spans="1:26" ht="33.200000000000003" customHeight="1">
      <c r="A1631" s="484" t="s">
        <v>3222</v>
      </c>
      <c r="B1631" s="484"/>
      <c r="C1631" s="485"/>
      <c r="D1631" s="485"/>
      <c r="E1631" s="485"/>
      <c r="F1631" s="485"/>
      <c r="G1631" s="485"/>
      <c r="H1631" s="485"/>
      <c r="I1631" s="485"/>
      <c r="J1631" s="485"/>
      <c r="K1631" s="485"/>
      <c r="L1631" s="485"/>
      <c r="M1631" s="485"/>
      <c r="N1631" s="486" t="str">
        <f>HYPERLINK("#N"&amp;ROW(N1633),"_x0005_`BDCOD|B02518_x0007_`POSS|"&amp;ROW(N1633)&amp;"_x0007_`POSE|"&amp;ROW(N1633)&amp;"_x0007_`")</f>
        <v>_x0005_`BDCOD|B02518_x0007_`POSS|1633_x0007_`POSE|1633_x0007_`</v>
      </c>
    </row>
    <row r="1632" spans="1:26" ht="33.200000000000003" customHeight="1">
      <c r="A1632" s="469" t="s">
        <v>1374</v>
      </c>
      <c r="B1632" s="469" t="s">
        <v>1375</v>
      </c>
      <c r="C1632" s="487"/>
      <c r="D1632" s="488" t="s">
        <v>975</v>
      </c>
      <c r="E1632" s="487"/>
      <c r="F1632" s="487"/>
      <c r="G1632" s="487"/>
      <c r="H1632" s="487"/>
      <c r="I1632" s="487"/>
      <c r="J1632" s="487"/>
      <c r="K1632" s="487"/>
      <c r="L1632" s="487"/>
      <c r="M1632" s="488" t="s">
        <v>1376</v>
      </c>
      <c r="O1632" s="468" t="s">
        <v>1376</v>
      </c>
    </row>
    <row r="1633" spans="1:26" ht="33.200000000000003" customHeight="1">
      <c r="A1633" s="452" t="s">
        <v>1374</v>
      </c>
      <c r="B1633" s="452" t="s">
        <v>3049</v>
      </c>
      <c r="C1633" s="489">
        <v>1</v>
      </c>
      <c r="D1633" s="480" t="s">
        <v>1589</v>
      </c>
      <c r="E1633" s="490">
        <f>I1633+G1633+K1633</f>
        <v>6040000</v>
      </c>
      <c r="F1633" s="491">
        <f>J1633+H1633+L1633</f>
        <v>6040000</v>
      </c>
      <c r="G1633" s="492">
        <v>0</v>
      </c>
      <c r="H1633" s="493">
        <f>IF(C1633=0,0,ROUNDDOWN(G1633*C1633,1))</f>
        <v>0</v>
      </c>
      <c r="I1633" s="494">
        <f>재료비목록표!E73</f>
        <v>6040000</v>
      </c>
      <c r="J1633" s="495">
        <f>IF(C1633=0,0,ROUNDDOWN(I1633*C1633,1))</f>
        <v>6040000</v>
      </c>
      <c r="K1633" s="492">
        <v>0</v>
      </c>
      <c r="L1633" s="493">
        <f>IF(C1633=0,0,ROUNDDOWN(K1633*C1633,1))</f>
        <v>0</v>
      </c>
      <c r="M1633" s="463" t="s">
        <v>3050</v>
      </c>
      <c r="N1633" s="451" t="s">
        <v>3051</v>
      </c>
      <c r="O1633" s="468" t="s">
        <v>3052</v>
      </c>
      <c r="P1633" s="468" t="s">
        <v>2354</v>
      </c>
      <c r="Z1633" s="433" t="str">
        <f ca="1">HYPERLINK("#"&amp;재료비목록표!G2&amp;"!A"&amp;ROW(재료비목록표!A73),"M01525 →")</f>
        <v>M01525 →</v>
      </c>
    </row>
    <row r="1634" spans="1:26" ht="33.200000000000003" customHeight="1">
      <c r="A1634" s="463" t="s">
        <v>842</v>
      </c>
      <c r="B1634" s="497"/>
      <c r="C1634" s="497"/>
      <c r="D1634" s="497"/>
      <c r="E1634" s="497"/>
      <c r="F1634" s="446">
        <f>J1634+H1634+L1634</f>
        <v>6040000</v>
      </c>
      <c r="G1634" s="497"/>
      <c r="H1634" s="446">
        <f>ROUNDDOWN(SUMIF(P1633:P1633,O1634,H1633:H1633),0)</f>
        <v>0</v>
      </c>
      <c r="I1634" s="497"/>
      <c r="J1634" s="446">
        <f>ROUNDDOWN(SUMIF(P1633:P1633,O1634,J1633:J1633),0)</f>
        <v>6040000</v>
      </c>
      <c r="K1634" s="497"/>
      <c r="L1634" s="446">
        <f>ROUNDDOWN(SUMIF(P1633:P1633,O1634,L1633:L1633),0)</f>
        <v>0</v>
      </c>
      <c r="M1634" s="497"/>
      <c r="O1634" s="468" t="s">
        <v>2354</v>
      </c>
    </row>
    <row r="1635" spans="1:26" ht="33.200000000000003" customHeight="1">
      <c r="A1635" s="484" t="s">
        <v>3223</v>
      </c>
      <c r="B1635" s="484"/>
      <c r="C1635" s="485"/>
      <c r="D1635" s="485"/>
      <c r="E1635" s="485"/>
      <c r="F1635" s="485"/>
      <c r="G1635" s="485"/>
      <c r="H1635" s="485"/>
      <c r="I1635" s="485"/>
      <c r="J1635" s="485"/>
      <c r="K1635" s="485"/>
      <c r="L1635" s="485"/>
      <c r="M1635" s="485"/>
      <c r="N1635" s="486" t="str">
        <f>HYPERLINK("#N"&amp;ROW(N1641),"_x0005_`BDCOD|B02646_x0007_`POSS|"&amp;ROW(N1637)&amp;"_x0007_`POSE|"&amp;ROW(N1641)&amp;"_x0007_`")</f>
        <v>_x0005_`BDCOD|B02646_x0007_`POSS|1637_x0007_`POSE|1641_x0007_`</v>
      </c>
    </row>
    <row r="1636" spans="1:26" ht="33.200000000000003" customHeight="1">
      <c r="A1636" s="469" t="s">
        <v>1626</v>
      </c>
      <c r="B1636" s="469" t="s">
        <v>1622</v>
      </c>
      <c r="C1636" s="487"/>
      <c r="D1636" s="488" t="s">
        <v>975</v>
      </c>
      <c r="E1636" s="487"/>
      <c r="F1636" s="487"/>
      <c r="G1636" s="487"/>
      <c r="H1636" s="487"/>
      <c r="I1636" s="487"/>
      <c r="J1636" s="487"/>
      <c r="K1636" s="487"/>
      <c r="L1636" s="487"/>
      <c r="M1636" s="488" t="s">
        <v>1627</v>
      </c>
      <c r="O1636" s="468" t="s">
        <v>1627</v>
      </c>
    </row>
    <row r="1637" spans="1:26" ht="33.200000000000003" customHeight="1">
      <c r="A1637" s="452" t="s">
        <v>3054</v>
      </c>
      <c r="B1637" s="452" t="s">
        <v>3055</v>
      </c>
      <c r="C1637" s="489">
        <v>1E-3</v>
      </c>
      <c r="D1637" s="480" t="s">
        <v>2576</v>
      </c>
      <c r="E1637" s="490">
        <f t="shared" ref="E1637:F1641" si="247">I1637+G1637+K1637</f>
        <v>925000</v>
      </c>
      <c r="F1637" s="491">
        <f t="shared" si="247"/>
        <v>925</v>
      </c>
      <c r="G1637" s="492">
        <v>0</v>
      </c>
      <c r="H1637" s="493">
        <f>IF(C1637=0,0,ROUNDDOWN(G1637*C1637,1))</f>
        <v>0</v>
      </c>
      <c r="I1637" s="494">
        <f>재료비목록표!E9</f>
        <v>925000</v>
      </c>
      <c r="J1637" s="495">
        <f>IF(C1637=0,0,ROUNDDOWN(I1637*C1637,1))</f>
        <v>925</v>
      </c>
      <c r="K1637" s="492">
        <v>0</v>
      </c>
      <c r="L1637" s="493">
        <f>IF(C1637=0,0,ROUNDDOWN(K1637*C1637,1))</f>
        <v>0</v>
      </c>
      <c r="M1637" s="463" t="s">
        <v>3056</v>
      </c>
      <c r="N1637" s="451" t="s">
        <v>3057</v>
      </c>
      <c r="O1637" s="468" t="s">
        <v>3058</v>
      </c>
      <c r="P1637" s="468" t="s">
        <v>2354</v>
      </c>
      <c r="Z1637" s="433" t="str">
        <f ca="1">HYPERLINK("#"&amp;재료비목록표!G2&amp;"!A"&amp;ROW(재료비목록표!A9),"M01271 →")</f>
        <v>M01271 →</v>
      </c>
    </row>
    <row r="1638" spans="1:26" ht="33.200000000000003" customHeight="1">
      <c r="A1638" s="452" t="s">
        <v>3059</v>
      </c>
      <c r="B1638" s="452" t="s">
        <v>3060</v>
      </c>
      <c r="C1638" s="489">
        <v>1</v>
      </c>
      <c r="D1638" s="480" t="s">
        <v>911</v>
      </c>
      <c r="E1638" s="490">
        <f t="shared" si="247"/>
        <v>8010</v>
      </c>
      <c r="F1638" s="491">
        <f t="shared" si="247"/>
        <v>8010</v>
      </c>
      <c r="G1638" s="492">
        <v>0</v>
      </c>
      <c r="H1638" s="493">
        <f>IF(C1638=0,0,ROUNDDOWN(G1638*C1638,1))</f>
        <v>0</v>
      </c>
      <c r="I1638" s="494">
        <f>재료비목록표!E20</f>
        <v>8010</v>
      </c>
      <c r="J1638" s="495">
        <f>IF(C1638=0,0,ROUNDDOWN(I1638*C1638,1))</f>
        <v>8010</v>
      </c>
      <c r="K1638" s="492">
        <v>0</v>
      </c>
      <c r="L1638" s="493">
        <f>IF(C1638=0,0,ROUNDDOWN(K1638*C1638,1))</f>
        <v>0</v>
      </c>
      <c r="M1638" s="463" t="s">
        <v>3061</v>
      </c>
      <c r="N1638" s="451" t="s">
        <v>3062</v>
      </c>
      <c r="O1638" s="468" t="s">
        <v>3063</v>
      </c>
      <c r="P1638" s="468" t="s">
        <v>2354</v>
      </c>
      <c r="Z1638" s="433" t="str">
        <f ca="1">HYPERLINK("#"&amp;재료비목록표!G2&amp;"!A"&amp;ROW(재료비목록표!A20),"M01613 →")</f>
        <v>M01613 →</v>
      </c>
    </row>
    <row r="1639" spans="1:26" ht="33.200000000000003" customHeight="1">
      <c r="A1639" s="452" t="s">
        <v>2325</v>
      </c>
      <c r="B1639" s="452" t="s">
        <v>2329</v>
      </c>
      <c r="C1639" s="489">
        <v>1.4999999999999999E-2</v>
      </c>
      <c r="D1639" s="480" t="s">
        <v>2132</v>
      </c>
      <c r="E1639" s="490">
        <f t="shared" si="247"/>
        <v>7341364</v>
      </c>
      <c r="F1639" s="493">
        <f t="shared" si="247"/>
        <v>110120.4</v>
      </c>
      <c r="G1639" s="494">
        <f>일위대가목록표!F277</f>
        <v>6925816</v>
      </c>
      <c r="H1639" s="498">
        <f>IF(C1639=0,0,ROUNDDOWN(G1639*C1639,1))</f>
        <v>103887.2</v>
      </c>
      <c r="I1639" s="494">
        <f>일위대가목록표!G277</f>
        <v>0</v>
      </c>
      <c r="J1639" s="498">
        <f>IF(C1639=0,0,ROUNDDOWN(I1639*C1639,1))</f>
        <v>0</v>
      </c>
      <c r="K1639" s="494">
        <f>일위대가목록표!H277</f>
        <v>415548</v>
      </c>
      <c r="L1639" s="498">
        <f>IF(C1639=0,0,ROUNDDOWN(K1639*C1639,1))</f>
        <v>6233.2</v>
      </c>
      <c r="M1639" s="463" t="s">
        <v>3064</v>
      </c>
      <c r="N1639" s="451" t="s">
        <v>3065</v>
      </c>
      <c r="O1639" s="468" t="s">
        <v>3066</v>
      </c>
      <c r="P1639" s="468" t="s">
        <v>2354</v>
      </c>
      <c r="Z1639" s="433" t="str">
        <f ca="1">HYPERLINK("#"&amp;일위대가목록표!J2&amp;"!A"&amp;ROW(일위대가목록표!A277),"B02687 →")</f>
        <v>B02687 →</v>
      </c>
    </row>
    <row r="1640" spans="1:26" ht="33.200000000000003" customHeight="1">
      <c r="A1640" s="452" t="s">
        <v>2339</v>
      </c>
      <c r="B1640" s="452" t="s">
        <v>2340</v>
      </c>
      <c r="C1640" s="489">
        <v>0.6</v>
      </c>
      <c r="D1640" s="480" t="s">
        <v>595</v>
      </c>
      <c r="E1640" s="490">
        <f t="shared" si="247"/>
        <v>6190</v>
      </c>
      <c r="F1640" s="493">
        <f t="shared" si="247"/>
        <v>3714.0000000000005</v>
      </c>
      <c r="G1640" s="494">
        <f>일위대가목록표!F328</f>
        <v>5948</v>
      </c>
      <c r="H1640" s="498">
        <f>IF(C1640=0,0,ROUNDDOWN(G1640*C1640,1))</f>
        <v>3568.8</v>
      </c>
      <c r="I1640" s="494">
        <f>일위대가목록표!G328</f>
        <v>124</v>
      </c>
      <c r="J1640" s="498">
        <f>IF(C1640=0,0,ROUNDDOWN(I1640*C1640,1))</f>
        <v>74.400000000000006</v>
      </c>
      <c r="K1640" s="494">
        <f>일위대가목록표!H328</f>
        <v>118</v>
      </c>
      <c r="L1640" s="498">
        <f>IF(C1640=0,0,ROUNDDOWN(K1640*C1640,1))</f>
        <v>70.8</v>
      </c>
      <c r="M1640" s="463" t="s">
        <v>3067</v>
      </c>
      <c r="N1640" s="451" t="s">
        <v>3068</v>
      </c>
      <c r="O1640" s="468" t="s">
        <v>3069</v>
      </c>
      <c r="P1640" s="468" t="s">
        <v>2354</v>
      </c>
      <c r="Z1640" s="433" t="str">
        <f ca="1">HYPERLINK("#"&amp;일위대가목록표!J2&amp;"!A"&amp;ROW(일위대가목록표!A328),"B01452 →")</f>
        <v>B01452 →</v>
      </c>
    </row>
    <row r="1641" spans="1:26" ht="33.200000000000003" customHeight="1">
      <c r="A1641" s="452" t="s">
        <v>1525</v>
      </c>
      <c r="B1641" s="452" t="s">
        <v>1521</v>
      </c>
      <c r="C1641" s="489">
        <v>0.6</v>
      </c>
      <c r="D1641" s="480" t="s">
        <v>595</v>
      </c>
      <c r="E1641" s="490">
        <f t="shared" si="247"/>
        <v>10251</v>
      </c>
      <c r="F1641" s="493">
        <f t="shared" si="247"/>
        <v>6150.6</v>
      </c>
      <c r="G1641" s="494">
        <f>일위대가목록표!F17</f>
        <v>8922</v>
      </c>
      <c r="H1641" s="498">
        <f>IF(C1641=0,0,ROUNDDOWN(G1641*C1641,1))</f>
        <v>5353.2</v>
      </c>
      <c r="I1641" s="494">
        <f>일위대가목록표!G17</f>
        <v>1151</v>
      </c>
      <c r="J1641" s="498">
        <f>IF(C1641=0,0,ROUNDDOWN(I1641*C1641,1))</f>
        <v>690.6</v>
      </c>
      <c r="K1641" s="494">
        <f>일위대가목록표!H17</f>
        <v>178</v>
      </c>
      <c r="L1641" s="498">
        <f>IF(C1641=0,0,ROUNDDOWN(K1641*C1641,1))</f>
        <v>106.8</v>
      </c>
      <c r="M1641" s="463" t="s">
        <v>3070</v>
      </c>
      <c r="N1641" s="451" t="s">
        <v>3071</v>
      </c>
      <c r="O1641" s="468" t="s">
        <v>1531</v>
      </c>
      <c r="P1641" s="468" t="s">
        <v>2354</v>
      </c>
      <c r="Z1641" s="433" t="str">
        <f ca="1">HYPERLINK("#"&amp;일위대가목록표!J2&amp;"!A"&amp;ROW(일위대가목록표!A17),"B02107 →")</f>
        <v>B02107 →</v>
      </c>
    </row>
    <row r="1642" spans="1:26" ht="33.200000000000003" customHeight="1">
      <c r="A1642" s="463" t="s">
        <v>842</v>
      </c>
      <c r="B1642" s="497"/>
      <c r="C1642" s="497"/>
      <c r="D1642" s="497"/>
      <c r="E1642" s="497"/>
      <c r="F1642" s="446">
        <f>J1642+H1642+L1642</f>
        <v>128919</v>
      </c>
      <c r="G1642" s="497"/>
      <c r="H1642" s="446">
        <f>ROUNDDOWN(SUMIF(P1637:P1641,O1642,H1637:H1641),0)</f>
        <v>112809</v>
      </c>
      <c r="I1642" s="497"/>
      <c r="J1642" s="446">
        <f>ROUNDDOWN(SUMIF(P1637:P1641,O1642,J1637:J1641),0)</f>
        <v>9700</v>
      </c>
      <c r="K1642" s="497"/>
      <c r="L1642" s="446">
        <f>ROUNDDOWN(SUMIF(P1637:P1641,O1642,L1637:L1641),0)</f>
        <v>6410</v>
      </c>
      <c r="M1642" s="497"/>
      <c r="O1642" s="468" t="s">
        <v>2354</v>
      </c>
    </row>
    <row r="1643" spans="1:26" ht="33.200000000000003" customHeight="1">
      <c r="A1643" s="484" t="s">
        <v>3235</v>
      </c>
      <c r="B1643" s="484"/>
      <c r="C1643" s="485"/>
      <c r="D1643" s="485"/>
      <c r="E1643" s="485"/>
      <c r="F1643" s="485"/>
      <c r="G1643" s="485"/>
      <c r="H1643" s="485"/>
      <c r="I1643" s="485"/>
      <c r="J1643" s="485"/>
      <c r="K1643" s="485"/>
      <c r="L1643" s="485"/>
      <c r="M1643" s="485"/>
      <c r="N1643" s="486" t="str">
        <f>HYPERLINK("#N"&amp;ROW(N1650),"_x0005_`BDCOD|B02869_x0007_`POSS|"&amp;ROW(N1645)&amp;"_x0007_`POSE|"&amp;ROW(N1650)&amp;"_x0007_`")</f>
        <v>_x0005_`BDCOD|B02869_x0007_`POSS|1645_x0007_`POSE|1650_x0007_`</v>
      </c>
    </row>
    <row r="1644" spans="1:26" ht="33.200000000000003" customHeight="1">
      <c r="A1644" s="469" t="s">
        <v>5215</v>
      </c>
      <c r="B1644" s="469" t="s">
        <v>1622</v>
      </c>
      <c r="C1644" s="487"/>
      <c r="D1644" s="488" t="s">
        <v>975</v>
      </c>
      <c r="E1644" s="487"/>
      <c r="F1644" s="487"/>
      <c r="G1644" s="487"/>
      <c r="H1644" s="487"/>
      <c r="I1644" s="487"/>
      <c r="J1644" s="487"/>
      <c r="K1644" s="487"/>
      <c r="L1644" s="487"/>
      <c r="M1644" s="488" t="s">
        <v>5216</v>
      </c>
      <c r="O1644" s="468" t="s">
        <v>5216</v>
      </c>
    </row>
    <row r="1645" spans="1:26" ht="33.200000000000003" customHeight="1">
      <c r="A1645" s="452" t="s">
        <v>3054</v>
      </c>
      <c r="B1645" s="452" t="s">
        <v>3055</v>
      </c>
      <c r="C1645" s="489">
        <v>1E-3</v>
      </c>
      <c r="D1645" s="480" t="s">
        <v>2576</v>
      </c>
      <c r="E1645" s="490">
        <f t="shared" ref="E1645:F1650" si="248">I1645+G1645+K1645</f>
        <v>925000</v>
      </c>
      <c r="F1645" s="491">
        <f t="shared" si="248"/>
        <v>925</v>
      </c>
      <c r="G1645" s="492">
        <v>0</v>
      </c>
      <c r="H1645" s="493">
        <f>IF(C1645=0,0,ROUNDDOWN(G1645*C1645,1))</f>
        <v>0</v>
      </c>
      <c r="I1645" s="494">
        <f>재료비목록표!E9</f>
        <v>925000</v>
      </c>
      <c r="J1645" s="495">
        <f>IF(C1645=0,0,ROUNDDOWN(I1645*C1645,1))</f>
        <v>925</v>
      </c>
      <c r="K1645" s="492">
        <v>0</v>
      </c>
      <c r="L1645" s="493">
        <f>IF(C1645=0,0,ROUNDDOWN(K1645*C1645,1))</f>
        <v>0</v>
      </c>
      <c r="M1645" s="463" t="s">
        <v>3056</v>
      </c>
      <c r="N1645" s="451" t="s">
        <v>3057</v>
      </c>
      <c r="O1645" s="468" t="s">
        <v>3058</v>
      </c>
      <c r="P1645" s="468" t="s">
        <v>2354</v>
      </c>
      <c r="Z1645" s="433" t="str">
        <f ca="1">HYPERLINK("#"&amp;재료비목록표!G2&amp;"!A"&amp;ROW(재료비목록표!A9),"M01271 →")</f>
        <v>M01271 →</v>
      </c>
    </row>
    <row r="1646" spans="1:26" ht="33.200000000000003" customHeight="1">
      <c r="A1646" s="452" t="s">
        <v>3059</v>
      </c>
      <c r="B1646" s="452" t="s">
        <v>3060</v>
      </c>
      <c r="C1646" s="489">
        <v>1</v>
      </c>
      <c r="D1646" s="480" t="s">
        <v>911</v>
      </c>
      <c r="E1646" s="490">
        <f t="shared" si="248"/>
        <v>8010</v>
      </c>
      <c r="F1646" s="491">
        <f t="shared" si="248"/>
        <v>8010</v>
      </c>
      <c r="G1646" s="492">
        <v>0</v>
      </c>
      <c r="H1646" s="493">
        <f>IF(C1646=0,0,ROUNDDOWN(G1646*C1646,1))</f>
        <v>0</v>
      </c>
      <c r="I1646" s="494">
        <f>재료비목록표!E20</f>
        <v>8010</v>
      </c>
      <c r="J1646" s="495">
        <f>IF(C1646=0,0,ROUNDDOWN(I1646*C1646,1))</f>
        <v>8010</v>
      </c>
      <c r="K1646" s="492">
        <v>0</v>
      </c>
      <c r="L1646" s="493">
        <f>IF(C1646=0,0,ROUNDDOWN(K1646*C1646,1))</f>
        <v>0</v>
      </c>
      <c r="M1646" s="463" t="s">
        <v>3061</v>
      </c>
      <c r="N1646" s="451" t="s">
        <v>3062</v>
      </c>
      <c r="O1646" s="468" t="s">
        <v>3063</v>
      </c>
      <c r="P1646" s="468" t="s">
        <v>2354</v>
      </c>
      <c r="Z1646" s="433" t="str">
        <f ca="1">HYPERLINK("#"&amp;재료비목록표!G2&amp;"!A"&amp;ROW(재료비목록표!A20),"M01613 →")</f>
        <v>M01613 →</v>
      </c>
    </row>
    <row r="1647" spans="1:26" ht="33.200000000000003" customHeight="1">
      <c r="A1647" s="452" t="s">
        <v>2325</v>
      </c>
      <c r="B1647" s="452" t="s">
        <v>2329</v>
      </c>
      <c r="C1647" s="489">
        <v>1.4999999999999999E-2</v>
      </c>
      <c r="D1647" s="480" t="s">
        <v>2132</v>
      </c>
      <c r="E1647" s="490">
        <f t="shared" si="248"/>
        <v>7341364</v>
      </c>
      <c r="F1647" s="493">
        <f t="shared" si="248"/>
        <v>110120.4</v>
      </c>
      <c r="G1647" s="494">
        <f>일위대가목록표!F277</f>
        <v>6925816</v>
      </c>
      <c r="H1647" s="498">
        <f>IF(C1647=0,0,ROUNDDOWN(G1647*C1647,1))</f>
        <v>103887.2</v>
      </c>
      <c r="I1647" s="494">
        <f>일위대가목록표!G277</f>
        <v>0</v>
      </c>
      <c r="J1647" s="498">
        <f>IF(C1647=0,0,ROUNDDOWN(I1647*C1647,1))</f>
        <v>0</v>
      </c>
      <c r="K1647" s="494">
        <f>일위대가목록표!H277</f>
        <v>415548</v>
      </c>
      <c r="L1647" s="498">
        <f>IF(C1647=0,0,ROUNDDOWN(K1647*C1647,1))</f>
        <v>6233.2</v>
      </c>
      <c r="M1647" s="463" t="s">
        <v>3064</v>
      </c>
      <c r="N1647" s="451" t="s">
        <v>3065</v>
      </c>
      <c r="O1647" s="468" t="s">
        <v>3066</v>
      </c>
      <c r="P1647" s="468" t="s">
        <v>2354</v>
      </c>
      <c r="Z1647" s="433" t="str">
        <f ca="1">HYPERLINK("#"&amp;일위대가목록표!J2&amp;"!A"&amp;ROW(일위대가목록표!A277),"B02687 →")</f>
        <v>B02687 →</v>
      </c>
    </row>
    <row r="1648" spans="1:26" ht="33.200000000000003" customHeight="1">
      <c r="A1648" s="452" t="s">
        <v>2339</v>
      </c>
      <c r="B1648" s="452" t="s">
        <v>2340</v>
      </c>
      <c r="C1648" s="489">
        <v>0.6</v>
      </c>
      <c r="D1648" s="480" t="s">
        <v>595</v>
      </c>
      <c r="E1648" s="490">
        <f t="shared" si="248"/>
        <v>6190</v>
      </c>
      <c r="F1648" s="493">
        <f t="shared" si="248"/>
        <v>3714.0000000000005</v>
      </c>
      <c r="G1648" s="494">
        <f>일위대가목록표!F328</f>
        <v>5948</v>
      </c>
      <c r="H1648" s="498">
        <f>IF(C1648=0,0,ROUNDDOWN(G1648*C1648,1))</f>
        <v>3568.8</v>
      </c>
      <c r="I1648" s="494">
        <f>일위대가목록표!G328</f>
        <v>124</v>
      </c>
      <c r="J1648" s="498">
        <f>IF(C1648=0,0,ROUNDDOWN(I1648*C1648,1))</f>
        <v>74.400000000000006</v>
      </c>
      <c r="K1648" s="494">
        <f>일위대가목록표!H328</f>
        <v>118</v>
      </c>
      <c r="L1648" s="498">
        <f>IF(C1648=0,0,ROUNDDOWN(K1648*C1648,1))</f>
        <v>70.8</v>
      </c>
      <c r="M1648" s="463" t="s">
        <v>3067</v>
      </c>
      <c r="N1648" s="451" t="s">
        <v>3073</v>
      </c>
      <c r="O1648" s="468" t="s">
        <v>3069</v>
      </c>
      <c r="P1648" s="468" t="s">
        <v>2354</v>
      </c>
      <c r="Q1648" s="468" t="s">
        <v>2355</v>
      </c>
      <c r="Z1648" s="433" t="str">
        <f ca="1">HYPERLINK("#"&amp;일위대가목록표!J2&amp;"!A"&amp;ROW(일위대가목록표!A328),"B01452 →")</f>
        <v>B01452 →</v>
      </c>
    </row>
    <row r="1649" spans="1:26" ht="33.200000000000003" customHeight="1">
      <c r="A1649" s="452" t="s">
        <v>1525</v>
      </c>
      <c r="B1649" s="452" t="s">
        <v>1521</v>
      </c>
      <c r="C1649" s="489">
        <v>0.6</v>
      </c>
      <c r="D1649" s="480" t="s">
        <v>595</v>
      </c>
      <c r="E1649" s="490">
        <f t="shared" si="248"/>
        <v>10251</v>
      </c>
      <c r="F1649" s="493">
        <f t="shared" si="248"/>
        <v>6150.6</v>
      </c>
      <c r="G1649" s="494">
        <f>일위대가목록표!F17</f>
        <v>8922</v>
      </c>
      <c r="H1649" s="498">
        <f>IF(C1649=0,0,ROUNDDOWN(G1649*C1649,1))</f>
        <v>5353.2</v>
      </c>
      <c r="I1649" s="494">
        <f>일위대가목록표!G17</f>
        <v>1151</v>
      </c>
      <c r="J1649" s="498">
        <f>IF(C1649=0,0,ROUNDDOWN(I1649*C1649,1))</f>
        <v>690.6</v>
      </c>
      <c r="K1649" s="494">
        <f>일위대가목록표!H17</f>
        <v>178</v>
      </c>
      <c r="L1649" s="498">
        <f>IF(C1649=0,0,ROUNDDOWN(K1649*C1649,1))</f>
        <v>106.8</v>
      </c>
      <c r="M1649" s="463" t="s">
        <v>3070</v>
      </c>
      <c r="N1649" s="451" t="s">
        <v>3074</v>
      </c>
      <c r="O1649" s="468" t="s">
        <v>1531</v>
      </c>
      <c r="P1649" s="468" t="s">
        <v>2354</v>
      </c>
      <c r="Q1649" s="468" t="s">
        <v>2355</v>
      </c>
      <c r="Z1649" s="433" t="str">
        <f ca="1">HYPERLINK("#"&amp;일위대가목록표!J2&amp;"!A"&amp;ROW(일위대가목록표!A17),"B02107 →")</f>
        <v>B02107 →</v>
      </c>
    </row>
    <row r="1650" spans="1:26" ht="33.200000000000003" customHeight="1">
      <c r="A1650" s="452" t="s">
        <v>2507</v>
      </c>
      <c r="B1650" s="452" t="s">
        <v>2441</v>
      </c>
      <c r="C1650" s="489">
        <v>15</v>
      </c>
      <c r="D1650" s="480" t="s">
        <v>2371</v>
      </c>
      <c r="E1650" s="490">
        <f t="shared" si="248"/>
        <v>8922</v>
      </c>
      <c r="F1650" s="491">
        <f t="shared" si="248"/>
        <v>1338.3</v>
      </c>
      <c r="G1650" s="496">
        <f>H1648+H1649</f>
        <v>8922</v>
      </c>
      <c r="H1650" s="491">
        <f>IF(C1650=0,0,ROUNDDOWN(G1650*C1650/100,1))</f>
        <v>1338.3</v>
      </c>
      <c r="I1650" s="465">
        <v>0</v>
      </c>
      <c r="J1650" s="493">
        <f>IF(C1650=0,0,ROUNDDOWN(I1650*C1650/100,1))</f>
        <v>0</v>
      </c>
      <c r="K1650" s="467">
        <v>0</v>
      </c>
      <c r="L1650" s="493">
        <f>IF(C1650=0,0,ROUNDDOWN(K1650*C1650/100,1))</f>
        <v>0</v>
      </c>
      <c r="M1650" s="463"/>
      <c r="N1650" s="451" t="s">
        <v>2508</v>
      </c>
      <c r="O1650" s="468" t="s">
        <v>2373</v>
      </c>
      <c r="P1650" s="468" t="s">
        <v>2354</v>
      </c>
    </row>
    <row r="1651" spans="1:26" ht="33.200000000000003" customHeight="1">
      <c r="A1651" s="463" t="s">
        <v>842</v>
      </c>
      <c r="B1651" s="497"/>
      <c r="C1651" s="497"/>
      <c r="D1651" s="497"/>
      <c r="E1651" s="497"/>
      <c r="F1651" s="446">
        <f>J1651+H1651+L1651</f>
        <v>130257</v>
      </c>
      <c r="G1651" s="497"/>
      <c r="H1651" s="446">
        <f>ROUNDDOWN(SUMIF(P1645:P1650,O1651,H1645:H1650),0)</f>
        <v>114147</v>
      </c>
      <c r="I1651" s="497"/>
      <c r="J1651" s="446">
        <f>ROUNDDOWN(SUMIF(P1645:P1650,O1651,J1645:J1650),0)</f>
        <v>9700</v>
      </c>
      <c r="K1651" s="497"/>
      <c r="L1651" s="446">
        <f>ROUNDDOWN(SUMIF(P1645:P1650,O1651,L1645:L1650),0)</f>
        <v>6410</v>
      </c>
      <c r="M1651" s="497"/>
      <c r="O1651" s="468" t="s">
        <v>2354</v>
      </c>
    </row>
    <row r="1652" spans="1:26" ht="33.200000000000003" customHeight="1">
      <c r="A1652" s="484" t="s">
        <v>3247</v>
      </c>
      <c r="B1652" s="484"/>
      <c r="C1652" s="485"/>
      <c r="D1652" s="485"/>
      <c r="E1652" s="485"/>
      <c r="F1652" s="485"/>
      <c r="G1652" s="485"/>
      <c r="H1652" s="485"/>
      <c r="I1652" s="485"/>
      <c r="J1652" s="485"/>
      <c r="K1652" s="485"/>
      <c r="L1652" s="485"/>
      <c r="M1652" s="485"/>
      <c r="N1652" s="486" t="str">
        <f>HYPERLINK("#N"&amp;ROW(N1659),"_x0005_`BDCOD|B02647_x0007_`POSS|"&amp;ROW(N1654)&amp;"_x0007_`POSE|"&amp;ROW(N1659)&amp;"_x0007_`")</f>
        <v>_x0005_`BDCOD|B02647_x0007_`POSS|1654_x0007_`POSE|1659_x0007_`</v>
      </c>
    </row>
    <row r="1653" spans="1:26" ht="33.200000000000003" customHeight="1">
      <c r="A1653" s="469" t="s">
        <v>5219</v>
      </c>
      <c r="B1653" s="469" t="s">
        <v>1622</v>
      </c>
      <c r="C1653" s="487"/>
      <c r="D1653" s="488" t="s">
        <v>975</v>
      </c>
      <c r="E1653" s="487"/>
      <c r="F1653" s="487"/>
      <c r="G1653" s="487"/>
      <c r="H1653" s="487"/>
      <c r="I1653" s="487"/>
      <c r="J1653" s="487"/>
      <c r="K1653" s="487"/>
      <c r="L1653" s="487"/>
      <c r="M1653" s="488" t="s">
        <v>1623</v>
      </c>
      <c r="O1653" s="468" t="s">
        <v>1623</v>
      </c>
    </row>
    <row r="1654" spans="1:26" ht="33.200000000000003" customHeight="1">
      <c r="A1654" s="452" t="s">
        <v>3054</v>
      </c>
      <c r="B1654" s="452" t="s">
        <v>3055</v>
      </c>
      <c r="C1654" s="489">
        <v>1E-3</v>
      </c>
      <c r="D1654" s="480" t="s">
        <v>2576</v>
      </c>
      <c r="E1654" s="490">
        <f t="shared" ref="E1654:F1659" si="249">I1654+G1654+K1654</f>
        <v>925000</v>
      </c>
      <c r="F1654" s="491">
        <f t="shared" si="249"/>
        <v>925</v>
      </c>
      <c r="G1654" s="492">
        <v>0</v>
      </c>
      <c r="H1654" s="493">
        <f>IF(C1654=0,0,ROUNDDOWN(G1654*C1654,1))</f>
        <v>0</v>
      </c>
      <c r="I1654" s="494">
        <f>재료비목록표!E9</f>
        <v>925000</v>
      </c>
      <c r="J1654" s="495">
        <f>IF(C1654=0,0,ROUNDDOWN(I1654*C1654,1))</f>
        <v>925</v>
      </c>
      <c r="K1654" s="492">
        <v>0</v>
      </c>
      <c r="L1654" s="493">
        <f>IF(C1654=0,0,ROUNDDOWN(K1654*C1654,1))</f>
        <v>0</v>
      </c>
      <c r="M1654" s="463" t="s">
        <v>3056</v>
      </c>
      <c r="N1654" s="451" t="s">
        <v>3057</v>
      </c>
      <c r="O1654" s="468" t="s">
        <v>3058</v>
      </c>
      <c r="P1654" s="468" t="s">
        <v>2354</v>
      </c>
      <c r="Z1654" s="433" t="str">
        <f ca="1">HYPERLINK("#"&amp;재료비목록표!G2&amp;"!A"&amp;ROW(재료비목록표!A9),"M01271 →")</f>
        <v>M01271 →</v>
      </c>
    </row>
    <row r="1655" spans="1:26" ht="33.200000000000003" customHeight="1">
      <c r="A1655" s="452" t="s">
        <v>3059</v>
      </c>
      <c r="B1655" s="452" t="s">
        <v>3060</v>
      </c>
      <c r="C1655" s="489">
        <v>1</v>
      </c>
      <c r="D1655" s="480" t="s">
        <v>911</v>
      </c>
      <c r="E1655" s="490">
        <f t="shared" si="249"/>
        <v>8010</v>
      </c>
      <c r="F1655" s="491">
        <f t="shared" si="249"/>
        <v>8010</v>
      </c>
      <c r="G1655" s="492">
        <v>0</v>
      </c>
      <c r="H1655" s="493">
        <f>IF(C1655=0,0,ROUNDDOWN(G1655*C1655,1))</f>
        <v>0</v>
      </c>
      <c r="I1655" s="494">
        <f>재료비목록표!E20</f>
        <v>8010</v>
      </c>
      <c r="J1655" s="495">
        <f>IF(C1655=0,0,ROUNDDOWN(I1655*C1655,1))</f>
        <v>8010</v>
      </c>
      <c r="K1655" s="492">
        <v>0</v>
      </c>
      <c r="L1655" s="493">
        <f>IF(C1655=0,0,ROUNDDOWN(K1655*C1655,1))</f>
        <v>0</v>
      </c>
      <c r="M1655" s="463" t="s">
        <v>3061</v>
      </c>
      <c r="N1655" s="451" t="s">
        <v>3062</v>
      </c>
      <c r="O1655" s="468" t="s">
        <v>3063</v>
      </c>
      <c r="P1655" s="468" t="s">
        <v>2354</v>
      </c>
      <c r="Z1655" s="433" t="str">
        <f ca="1">HYPERLINK("#"&amp;재료비목록표!G2&amp;"!A"&amp;ROW(재료비목록표!A20),"M01613 →")</f>
        <v>M01613 →</v>
      </c>
    </row>
    <row r="1656" spans="1:26" ht="33.200000000000003" customHeight="1">
      <c r="A1656" s="452" t="s">
        <v>2325</v>
      </c>
      <c r="B1656" s="452" t="s">
        <v>2329</v>
      </c>
      <c r="C1656" s="489">
        <v>1.4999999999999999E-2</v>
      </c>
      <c r="D1656" s="480" t="s">
        <v>2132</v>
      </c>
      <c r="E1656" s="490">
        <f t="shared" si="249"/>
        <v>7341364</v>
      </c>
      <c r="F1656" s="493">
        <f t="shared" si="249"/>
        <v>110120.4</v>
      </c>
      <c r="G1656" s="494">
        <f>일위대가목록표!F277</f>
        <v>6925816</v>
      </c>
      <c r="H1656" s="498">
        <f>IF(C1656=0,0,ROUNDDOWN(G1656*C1656,1))</f>
        <v>103887.2</v>
      </c>
      <c r="I1656" s="494">
        <f>일위대가목록표!G277</f>
        <v>0</v>
      </c>
      <c r="J1656" s="498">
        <f>IF(C1656=0,0,ROUNDDOWN(I1656*C1656,1))</f>
        <v>0</v>
      </c>
      <c r="K1656" s="494">
        <f>일위대가목록표!H277</f>
        <v>415548</v>
      </c>
      <c r="L1656" s="498">
        <f>IF(C1656=0,0,ROUNDDOWN(K1656*C1656,1))</f>
        <v>6233.2</v>
      </c>
      <c r="M1656" s="463" t="s">
        <v>3064</v>
      </c>
      <c r="N1656" s="451" t="s">
        <v>3065</v>
      </c>
      <c r="O1656" s="468" t="s">
        <v>3066</v>
      </c>
      <c r="P1656" s="468" t="s">
        <v>2354</v>
      </c>
      <c r="Z1656" s="433" t="str">
        <f ca="1">HYPERLINK("#"&amp;일위대가목록표!J2&amp;"!A"&amp;ROW(일위대가목록표!A277),"B02687 →")</f>
        <v>B02687 →</v>
      </c>
    </row>
    <row r="1657" spans="1:26" ht="33.200000000000003" customHeight="1">
      <c r="A1657" s="452" t="s">
        <v>2339</v>
      </c>
      <c r="B1657" s="452" t="s">
        <v>2340</v>
      </c>
      <c r="C1657" s="489">
        <v>0.6</v>
      </c>
      <c r="D1657" s="480" t="s">
        <v>595</v>
      </c>
      <c r="E1657" s="490">
        <f t="shared" si="249"/>
        <v>6190</v>
      </c>
      <c r="F1657" s="493">
        <f t="shared" si="249"/>
        <v>3714.0000000000005</v>
      </c>
      <c r="G1657" s="494">
        <f>일위대가목록표!F328</f>
        <v>5948</v>
      </c>
      <c r="H1657" s="498">
        <f>IF(C1657=0,0,ROUNDDOWN(G1657*C1657,1))</f>
        <v>3568.8</v>
      </c>
      <c r="I1657" s="494">
        <f>일위대가목록표!G328</f>
        <v>124</v>
      </c>
      <c r="J1657" s="498">
        <f>IF(C1657=0,0,ROUNDDOWN(I1657*C1657,1))</f>
        <v>74.400000000000006</v>
      </c>
      <c r="K1657" s="494">
        <f>일위대가목록표!H328</f>
        <v>118</v>
      </c>
      <c r="L1657" s="498">
        <f>IF(C1657=0,0,ROUNDDOWN(K1657*C1657,1))</f>
        <v>70.8</v>
      </c>
      <c r="M1657" s="463" t="s">
        <v>3067</v>
      </c>
      <c r="N1657" s="451" t="s">
        <v>3073</v>
      </c>
      <c r="O1657" s="468" t="s">
        <v>3069</v>
      </c>
      <c r="P1657" s="468" t="s">
        <v>2354</v>
      </c>
      <c r="Q1657" s="468" t="s">
        <v>2355</v>
      </c>
      <c r="Z1657" s="433" t="str">
        <f ca="1">HYPERLINK("#"&amp;일위대가목록표!J2&amp;"!A"&amp;ROW(일위대가목록표!A328),"B01452 →")</f>
        <v>B01452 →</v>
      </c>
    </row>
    <row r="1658" spans="1:26" ht="33.200000000000003" customHeight="1">
      <c r="A1658" s="452" t="s">
        <v>1525</v>
      </c>
      <c r="B1658" s="452" t="s">
        <v>1521</v>
      </c>
      <c r="C1658" s="489">
        <v>0.6</v>
      </c>
      <c r="D1658" s="480" t="s">
        <v>595</v>
      </c>
      <c r="E1658" s="490">
        <f t="shared" si="249"/>
        <v>10251</v>
      </c>
      <c r="F1658" s="493">
        <f t="shared" si="249"/>
        <v>6150.6</v>
      </c>
      <c r="G1658" s="494">
        <f>일위대가목록표!F17</f>
        <v>8922</v>
      </c>
      <c r="H1658" s="498">
        <f>IF(C1658=0,0,ROUNDDOWN(G1658*C1658,1))</f>
        <v>5353.2</v>
      </c>
      <c r="I1658" s="494">
        <f>일위대가목록표!G17</f>
        <v>1151</v>
      </c>
      <c r="J1658" s="498">
        <f>IF(C1658=0,0,ROUNDDOWN(I1658*C1658,1))</f>
        <v>690.6</v>
      </c>
      <c r="K1658" s="494">
        <f>일위대가목록표!H17</f>
        <v>178</v>
      </c>
      <c r="L1658" s="498">
        <f>IF(C1658=0,0,ROUNDDOWN(K1658*C1658,1))</f>
        <v>106.8</v>
      </c>
      <c r="M1658" s="463" t="s">
        <v>3070</v>
      </c>
      <c r="N1658" s="451" t="s">
        <v>3074</v>
      </c>
      <c r="O1658" s="468" t="s">
        <v>1531</v>
      </c>
      <c r="P1658" s="468" t="s">
        <v>2354</v>
      </c>
      <c r="Q1658" s="468" t="s">
        <v>2355</v>
      </c>
      <c r="Z1658" s="433" t="str">
        <f ca="1">HYPERLINK("#"&amp;일위대가목록표!J2&amp;"!A"&amp;ROW(일위대가목록표!A17),"B02107 →")</f>
        <v>B02107 →</v>
      </c>
    </row>
    <row r="1659" spans="1:26" ht="33.200000000000003" customHeight="1">
      <c r="A1659" s="452" t="s">
        <v>2507</v>
      </c>
      <c r="B1659" s="452" t="s">
        <v>2441</v>
      </c>
      <c r="C1659" s="489">
        <v>25</v>
      </c>
      <c r="D1659" s="480" t="s">
        <v>2371</v>
      </c>
      <c r="E1659" s="490">
        <f t="shared" si="249"/>
        <v>8922</v>
      </c>
      <c r="F1659" s="491">
        <f t="shared" si="249"/>
        <v>2230.5</v>
      </c>
      <c r="G1659" s="496">
        <f>H1657+H1658</f>
        <v>8922</v>
      </c>
      <c r="H1659" s="491">
        <f>IF(C1659=0,0,ROUNDDOWN(G1659*C1659/100,1))</f>
        <v>2230.5</v>
      </c>
      <c r="I1659" s="465">
        <v>0</v>
      </c>
      <c r="J1659" s="493">
        <f>IF(C1659=0,0,ROUNDDOWN(I1659*C1659/100,1))</f>
        <v>0</v>
      </c>
      <c r="K1659" s="467">
        <v>0</v>
      </c>
      <c r="L1659" s="493">
        <f>IF(C1659=0,0,ROUNDDOWN(K1659*C1659/100,1))</f>
        <v>0</v>
      </c>
      <c r="M1659" s="463"/>
      <c r="N1659" s="451" t="s">
        <v>2508</v>
      </c>
      <c r="O1659" s="468" t="s">
        <v>2373</v>
      </c>
      <c r="P1659" s="468" t="s">
        <v>2354</v>
      </c>
    </row>
    <row r="1660" spans="1:26" ht="33.200000000000003" customHeight="1">
      <c r="A1660" s="463" t="s">
        <v>842</v>
      </c>
      <c r="B1660" s="497"/>
      <c r="C1660" s="497"/>
      <c r="D1660" s="497"/>
      <c r="E1660" s="497"/>
      <c r="F1660" s="446">
        <f>J1660+H1660+L1660</f>
        <v>131149</v>
      </c>
      <c r="G1660" s="497"/>
      <c r="H1660" s="446">
        <f>ROUNDDOWN(SUMIF(P1654:P1659,O1660,H1654:H1659),0)</f>
        <v>115039</v>
      </c>
      <c r="I1660" s="497"/>
      <c r="J1660" s="446">
        <f>ROUNDDOWN(SUMIF(P1654:P1659,O1660,J1654:J1659),0)</f>
        <v>9700</v>
      </c>
      <c r="K1660" s="497"/>
      <c r="L1660" s="446">
        <f>ROUNDDOWN(SUMIF(P1654:P1659,O1660,L1654:L1659),0)</f>
        <v>6410</v>
      </c>
      <c r="M1660" s="497"/>
      <c r="O1660" s="468" t="s">
        <v>2354</v>
      </c>
    </row>
    <row r="1661" spans="1:26" ht="33.200000000000003" customHeight="1">
      <c r="A1661" s="484" t="s">
        <v>3254</v>
      </c>
      <c r="B1661" s="484"/>
      <c r="C1661" s="485"/>
      <c r="D1661" s="485"/>
      <c r="E1661" s="485"/>
      <c r="F1661" s="485"/>
      <c r="G1661" s="485"/>
      <c r="H1661" s="485"/>
      <c r="I1661" s="485"/>
      <c r="J1661" s="485"/>
      <c r="K1661" s="485"/>
      <c r="L1661" s="485"/>
      <c r="M1661" s="485"/>
      <c r="N1661" s="486" t="str">
        <f>HYPERLINK("#N"&amp;ROW(N1671),"_x0005_`BDCOD|B02801_x0007_`POSS|"&amp;ROW(N1663)&amp;"_x0007_`POSE|"&amp;ROW(N1671)&amp;"_x0007_`")</f>
        <v>_x0005_`BDCOD|B02801_x0007_`POSS|1663_x0007_`POSE|1671_x0007_`</v>
      </c>
    </row>
    <row r="1662" spans="1:26" ht="33.200000000000003" customHeight="1">
      <c r="A1662" s="469" t="s">
        <v>1047</v>
      </c>
      <c r="B1662" s="469" t="s">
        <v>1039</v>
      </c>
      <c r="C1662" s="487"/>
      <c r="D1662" s="488" t="s">
        <v>984</v>
      </c>
      <c r="E1662" s="487"/>
      <c r="F1662" s="487"/>
      <c r="G1662" s="487"/>
      <c r="H1662" s="487"/>
      <c r="I1662" s="487"/>
      <c r="J1662" s="487"/>
      <c r="K1662" s="487"/>
      <c r="L1662" s="487"/>
      <c r="M1662" s="488" t="s">
        <v>1048</v>
      </c>
      <c r="O1662" s="468" t="s">
        <v>1048</v>
      </c>
    </row>
    <row r="1663" spans="1:26" ht="33.200000000000003" customHeight="1">
      <c r="A1663" s="452" t="s">
        <v>2484</v>
      </c>
      <c r="B1663" s="452" t="s">
        <v>2485</v>
      </c>
      <c r="C1663" s="489">
        <v>0.12</v>
      </c>
      <c r="D1663" s="480" t="s">
        <v>8</v>
      </c>
      <c r="E1663" s="490">
        <f t="shared" ref="E1663:F1671" si="250">I1663+G1663+K1663</f>
        <v>62811</v>
      </c>
      <c r="F1663" s="493">
        <f t="shared" si="250"/>
        <v>7537.3</v>
      </c>
      <c r="G1663" s="494">
        <f>단가산출근거목록표!F157</f>
        <v>62811</v>
      </c>
      <c r="H1663" s="498">
        <f t="shared" ref="H1663:H1671" si="251">IF(C1663=0,0,ROUNDDOWN(G1663*C1663,1))</f>
        <v>7537.3</v>
      </c>
      <c r="I1663" s="494">
        <f>단가산출근거목록표!G157</f>
        <v>0</v>
      </c>
      <c r="J1663" s="498">
        <f t="shared" ref="J1663:J1671" si="252">IF(C1663=0,0,ROUNDDOWN(I1663*C1663,1))</f>
        <v>0</v>
      </c>
      <c r="K1663" s="494">
        <f>단가산출근거목록표!H157</f>
        <v>0</v>
      </c>
      <c r="L1663" s="498">
        <f t="shared" ref="L1663:L1671" si="253">IF(C1663=0,0,ROUNDDOWN(K1663*C1663,1))</f>
        <v>0</v>
      </c>
      <c r="M1663" s="463" t="s">
        <v>2486</v>
      </c>
      <c r="N1663" s="451" t="s">
        <v>2504</v>
      </c>
      <c r="O1663" s="468" t="s">
        <v>2488</v>
      </c>
      <c r="P1663" s="468" t="s">
        <v>2354</v>
      </c>
      <c r="Z1663" s="433" t="str">
        <f ca="1">HYPERLINK("#"&amp;단가산출근거목록표!J2&amp;"!A"&amp;ROW(단가산출근거목록표!A157),"D01241 →")</f>
        <v>D01241 →</v>
      </c>
    </row>
    <row r="1664" spans="1:26" ht="33.200000000000003" customHeight="1">
      <c r="A1664" s="452" t="s">
        <v>2321</v>
      </c>
      <c r="B1664" s="452" t="s">
        <v>2322</v>
      </c>
      <c r="C1664" s="489">
        <v>2.5000000000000001E-2</v>
      </c>
      <c r="D1664" s="480" t="s">
        <v>8</v>
      </c>
      <c r="E1664" s="490">
        <f t="shared" si="250"/>
        <v>34413</v>
      </c>
      <c r="F1664" s="493">
        <f t="shared" si="250"/>
        <v>860.3</v>
      </c>
      <c r="G1664" s="494">
        <f>일위대가목록표!F275</f>
        <v>34413</v>
      </c>
      <c r="H1664" s="498">
        <f t="shared" si="251"/>
        <v>860.3</v>
      </c>
      <c r="I1664" s="494">
        <f>일위대가목록표!G275</f>
        <v>0</v>
      </c>
      <c r="J1664" s="498">
        <f t="shared" si="252"/>
        <v>0</v>
      </c>
      <c r="K1664" s="494">
        <f>일위대가목록표!H275</f>
        <v>0</v>
      </c>
      <c r="L1664" s="498">
        <f t="shared" si="253"/>
        <v>0</v>
      </c>
      <c r="M1664" s="463" t="s">
        <v>2489</v>
      </c>
      <c r="N1664" s="451" t="s">
        <v>2538</v>
      </c>
      <c r="O1664" s="468" t="s">
        <v>2491</v>
      </c>
      <c r="P1664" s="468" t="s">
        <v>2354</v>
      </c>
      <c r="Z1664" s="433" t="str">
        <f ca="1">HYPERLINK("#"&amp;일위대가목록표!J2&amp;"!A"&amp;ROW(일위대가목록표!A275),"B01414 →")</f>
        <v>B01414 →</v>
      </c>
    </row>
    <row r="1665" spans="1:26" ht="33.200000000000003" customHeight="1">
      <c r="A1665" s="452" t="s">
        <v>2298</v>
      </c>
      <c r="B1665" s="452" t="s">
        <v>2299</v>
      </c>
      <c r="C1665" s="489">
        <v>9.5000000000000001E-2</v>
      </c>
      <c r="D1665" s="480" t="s">
        <v>8</v>
      </c>
      <c r="E1665" s="490">
        <f t="shared" si="250"/>
        <v>24089</v>
      </c>
      <c r="F1665" s="493">
        <f t="shared" si="250"/>
        <v>2288.4</v>
      </c>
      <c r="G1665" s="494">
        <f>일위대가목록표!F37</f>
        <v>24089</v>
      </c>
      <c r="H1665" s="498">
        <f t="shared" si="251"/>
        <v>2288.4</v>
      </c>
      <c r="I1665" s="494">
        <f>일위대가목록표!G37</f>
        <v>0</v>
      </c>
      <c r="J1665" s="498">
        <f t="shared" si="252"/>
        <v>0</v>
      </c>
      <c r="K1665" s="494">
        <f>일위대가목록표!H37</f>
        <v>0</v>
      </c>
      <c r="L1665" s="498">
        <f t="shared" si="253"/>
        <v>0</v>
      </c>
      <c r="M1665" s="463" t="s">
        <v>2492</v>
      </c>
      <c r="N1665" s="451" t="s">
        <v>2537</v>
      </c>
      <c r="O1665" s="468" t="s">
        <v>2494</v>
      </c>
      <c r="P1665" s="468" t="s">
        <v>2354</v>
      </c>
      <c r="Z1665" s="433" t="str">
        <f ca="1">HYPERLINK("#"&amp;일위대가목록표!J2&amp;"!A"&amp;ROW(일위대가목록표!A37),"B01447 →")</f>
        <v>B01447 →</v>
      </c>
    </row>
    <row r="1666" spans="1:26" ht="33.200000000000003" customHeight="1">
      <c r="A1666" s="452" t="s">
        <v>2922</v>
      </c>
      <c r="B1666" s="452" t="s">
        <v>2923</v>
      </c>
      <c r="C1666" s="489">
        <v>7.7969999999999997</v>
      </c>
      <c r="D1666" s="480" t="s">
        <v>605</v>
      </c>
      <c r="E1666" s="490">
        <f t="shared" si="250"/>
        <v>7400</v>
      </c>
      <c r="F1666" s="491">
        <f t="shared" si="250"/>
        <v>57697.8</v>
      </c>
      <c r="G1666" s="492">
        <v>0</v>
      </c>
      <c r="H1666" s="493">
        <f t="shared" si="251"/>
        <v>0</v>
      </c>
      <c r="I1666" s="494">
        <f>재료비목록표!E76</f>
        <v>7400</v>
      </c>
      <c r="J1666" s="495">
        <f t="shared" si="252"/>
        <v>57697.8</v>
      </c>
      <c r="K1666" s="492">
        <v>0</v>
      </c>
      <c r="L1666" s="493">
        <f t="shared" si="253"/>
        <v>0</v>
      </c>
      <c r="M1666" s="463" t="s">
        <v>2924</v>
      </c>
      <c r="N1666" s="451" t="s">
        <v>2925</v>
      </c>
      <c r="O1666" s="468" t="s">
        <v>2926</v>
      </c>
      <c r="P1666" s="468" t="s">
        <v>2354</v>
      </c>
      <c r="Z1666" s="433" t="str">
        <f ca="1">HYPERLINK("#"&amp;재료비목록표!G2&amp;"!A"&amp;ROW(재료비목록표!A76),"M00960 →")</f>
        <v>M00960 →</v>
      </c>
    </row>
    <row r="1667" spans="1:26" ht="33.200000000000003" customHeight="1">
      <c r="A1667" s="452" t="s">
        <v>1461</v>
      </c>
      <c r="B1667" s="452" t="s">
        <v>1462</v>
      </c>
      <c r="C1667" s="489">
        <v>2.5000000000000001E-2</v>
      </c>
      <c r="D1667" s="480" t="s">
        <v>8</v>
      </c>
      <c r="E1667" s="490">
        <f t="shared" si="250"/>
        <v>915052</v>
      </c>
      <c r="F1667" s="493">
        <f t="shared" si="250"/>
        <v>22876.3</v>
      </c>
      <c r="G1667" s="494">
        <f>일위대가목록표!F72</f>
        <v>915052</v>
      </c>
      <c r="H1667" s="498">
        <f t="shared" si="251"/>
        <v>22876.3</v>
      </c>
      <c r="I1667" s="494">
        <f>일위대가목록표!G72</f>
        <v>0</v>
      </c>
      <c r="J1667" s="498">
        <f t="shared" si="252"/>
        <v>0</v>
      </c>
      <c r="K1667" s="494">
        <f>일위대가목록표!H72</f>
        <v>0</v>
      </c>
      <c r="L1667" s="498">
        <f t="shared" si="253"/>
        <v>0</v>
      </c>
      <c r="M1667" s="463" t="s">
        <v>2471</v>
      </c>
      <c r="N1667" s="451" t="s">
        <v>2672</v>
      </c>
      <c r="O1667" s="468" t="s">
        <v>1465</v>
      </c>
      <c r="P1667" s="468" t="s">
        <v>2354</v>
      </c>
      <c r="Z1667" s="433" t="str">
        <f ca="1">HYPERLINK("#"&amp;일위대가목록표!J2&amp;"!A"&amp;ROW(일위대가목록표!A72),"B01822 →")</f>
        <v>B01822 →</v>
      </c>
    </row>
    <row r="1668" spans="1:26" ht="33.200000000000003" customHeight="1">
      <c r="A1668" s="452" t="s">
        <v>2927</v>
      </c>
      <c r="B1668" s="452" t="s">
        <v>3076</v>
      </c>
      <c r="C1668" s="489">
        <v>6.3</v>
      </c>
      <c r="D1668" s="480" t="s">
        <v>2377</v>
      </c>
      <c r="E1668" s="490">
        <f t="shared" si="250"/>
        <v>2049</v>
      </c>
      <c r="F1668" s="491">
        <f t="shared" si="250"/>
        <v>12908.7</v>
      </c>
      <c r="G1668" s="492">
        <v>0</v>
      </c>
      <c r="H1668" s="493">
        <f t="shared" si="251"/>
        <v>0</v>
      </c>
      <c r="I1668" s="494">
        <f>재료비목록표!E56</f>
        <v>2049</v>
      </c>
      <c r="J1668" s="495">
        <f t="shared" si="252"/>
        <v>12908.7</v>
      </c>
      <c r="K1668" s="492">
        <v>0</v>
      </c>
      <c r="L1668" s="493">
        <f t="shared" si="253"/>
        <v>0</v>
      </c>
      <c r="M1668" s="463" t="s">
        <v>3077</v>
      </c>
      <c r="N1668" s="451" t="s">
        <v>3078</v>
      </c>
      <c r="O1668" s="468" t="s">
        <v>3079</v>
      </c>
      <c r="P1668" s="468" t="s">
        <v>2354</v>
      </c>
      <c r="Z1668" s="433" t="str">
        <f ca="1">HYPERLINK("#"&amp;재료비목록표!G2&amp;"!A"&amp;ROW(재료비목록표!A56),"M00955 →")</f>
        <v>M00955 →</v>
      </c>
    </row>
    <row r="1669" spans="1:26" ht="33.200000000000003" customHeight="1">
      <c r="A1669" s="452" t="s">
        <v>2932</v>
      </c>
      <c r="B1669" s="452" t="s">
        <v>2933</v>
      </c>
      <c r="C1669" s="489">
        <v>6.3</v>
      </c>
      <c r="D1669" s="480" t="s">
        <v>2377</v>
      </c>
      <c r="E1669" s="490">
        <f t="shared" si="250"/>
        <v>157.30000000000001</v>
      </c>
      <c r="F1669" s="491">
        <f t="shared" si="250"/>
        <v>990.9</v>
      </c>
      <c r="G1669" s="492">
        <v>0</v>
      </c>
      <c r="H1669" s="493">
        <f t="shared" si="251"/>
        <v>0</v>
      </c>
      <c r="I1669" s="494">
        <f>재료비목록표!E26</f>
        <v>157.30000000000001</v>
      </c>
      <c r="J1669" s="495">
        <f t="shared" si="252"/>
        <v>990.9</v>
      </c>
      <c r="K1669" s="492">
        <v>0</v>
      </c>
      <c r="L1669" s="493">
        <f t="shared" si="253"/>
        <v>0</v>
      </c>
      <c r="M1669" s="463" t="s">
        <v>2934</v>
      </c>
      <c r="N1669" s="451" t="s">
        <v>2935</v>
      </c>
      <c r="O1669" s="468" t="s">
        <v>2936</v>
      </c>
      <c r="P1669" s="468" t="s">
        <v>2354</v>
      </c>
      <c r="Z1669" s="433" t="str">
        <f ca="1">HYPERLINK("#"&amp;재료비목록표!G2&amp;"!A"&amp;ROW(재료비목록표!A26),"M00958 →")</f>
        <v>M00958 →</v>
      </c>
    </row>
    <row r="1670" spans="1:26" ht="33.200000000000003" customHeight="1">
      <c r="A1670" s="452" t="s">
        <v>2937</v>
      </c>
      <c r="B1670" s="452" t="s">
        <v>2933</v>
      </c>
      <c r="C1670" s="489">
        <v>6.3</v>
      </c>
      <c r="D1670" s="480" t="s">
        <v>2377</v>
      </c>
      <c r="E1670" s="490">
        <f t="shared" si="250"/>
        <v>53.7</v>
      </c>
      <c r="F1670" s="491">
        <f t="shared" si="250"/>
        <v>338.3</v>
      </c>
      <c r="G1670" s="492">
        <v>0</v>
      </c>
      <c r="H1670" s="493">
        <f t="shared" si="251"/>
        <v>0</v>
      </c>
      <c r="I1670" s="494">
        <f>재료비목록표!E74</f>
        <v>53.7</v>
      </c>
      <c r="J1670" s="495">
        <f t="shared" si="252"/>
        <v>338.3</v>
      </c>
      <c r="K1670" s="492">
        <v>0</v>
      </c>
      <c r="L1670" s="493">
        <f t="shared" si="253"/>
        <v>0</v>
      </c>
      <c r="M1670" s="463" t="s">
        <v>2938</v>
      </c>
      <c r="N1670" s="451" t="s">
        <v>2939</v>
      </c>
      <c r="O1670" s="468" t="s">
        <v>2940</v>
      </c>
      <c r="P1670" s="468" t="s">
        <v>2354</v>
      </c>
      <c r="Z1670" s="433" t="str">
        <f ca="1">HYPERLINK("#"&amp;재료비목록표!G2&amp;"!A"&amp;ROW(재료비목록표!A74),"M00648 →")</f>
        <v>M00648 →</v>
      </c>
    </row>
    <row r="1671" spans="1:26" ht="33.200000000000003" customHeight="1">
      <c r="A1671" s="452" t="s">
        <v>2310</v>
      </c>
      <c r="B1671" s="452" t="s">
        <v>2311</v>
      </c>
      <c r="C1671" s="489">
        <v>6</v>
      </c>
      <c r="D1671" s="480" t="s">
        <v>975</v>
      </c>
      <c r="E1671" s="490">
        <f t="shared" si="250"/>
        <v>784</v>
      </c>
      <c r="F1671" s="493">
        <f t="shared" si="250"/>
        <v>4704</v>
      </c>
      <c r="G1671" s="494">
        <f>일위대가목록표!F145</f>
        <v>677</v>
      </c>
      <c r="H1671" s="498">
        <f t="shared" si="251"/>
        <v>4062</v>
      </c>
      <c r="I1671" s="494">
        <f>일위대가목록표!G145</f>
        <v>107</v>
      </c>
      <c r="J1671" s="498">
        <f t="shared" si="252"/>
        <v>642</v>
      </c>
      <c r="K1671" s="494">
        <f>일위대가목록표!H145</f>
        <v>0</v>
      </c>
      <c r="L1671" s="498">
        <f t="shared" si="253"/>
        <v>0</v>
      </c>
      <c r="M1671" s="463" t="s">
        <v>2941</v>
      </c>
      <c r="N1671" s="451" t="s">
        <v>2942</v>
      </c>
      <c r="O1671" s="468" t="s">
        <v>2943</v>
      </c>
      <c r="P1671" s="468" t="s">
        <v>2354</v>
      </c>
      <c r="Z1671" s="433" t="str">
        <f ca="1">HYPERLINK("#"&amp;일위대가목록표!J2&amp;"!A"&amp;ROW(일위대가목록표!A145),"B01416 →")</f>
        <v>B01416 →</v>
      </c>
    </row>
    <row r="1672" spans="1:26" ht="33.200000000000003" customHeight="1">
      <c r="A1672" s="463" t="s">
        <v>842</v>
      </c>
      <c r="B1672" s="497"/>
      <c r="C1672" s="497"/>
      <c r="D1672" s="497"/>
      <c r="E1672" s="497"/>
      <c r="F1672" s="446">
        <f>J1672+H1672+L1672</f>
        <v>110201</v>
      </c>
      <c r="G1672" s="497"/>
      <c r="H1672" s="446">
        <f>ROUNDDOWN(SUMIF(P1663:P1671,O1672,H1663:H1671),0)</f>
        <v>37624</v>
      </c>
      <c r="I1672" s="497"/>
      <c r="J1672" s="446">
        <f>ROUNDDOWN(SUMIF(P1663:P1671,O1672,J1663:J1671),0)</f>
        <v>72577</v>
      </c>
      <c r="K1672" s="497"/>
      <c r="L1672" s="446">
        <f>ROUNDDOWN(SUMIF(P1663:P1671,O1672,L1663:L1671),0)</f>
        <v>0</v>
      </c>
      <c r="M1672" s="497"/>
      <c r="O1672" s="468" t="s">
        <v>2354</v>
      </c>
    </row>
    <row r="1673" spans="1:26" ht="33.200000000000003" customHeight="1">
      <c r="A1673" s="484" t="s">
        <v>3263</v>
      </c>
      <c r="B1673" s="484"/>
      <c r="C1673" s="485"/>
      <c r="D1673" s="485"/>
      <c r="E1673" s="485"/>
      <c r="F1673" s="485"/>
      <c r="G1673" s="485"/>
      <c r="H1673" s="485"/>
      <c r="I1673" s="485"/>
      <c r="J1673" s="485"/>
      <c r="K1673" s="485"/>
      <c r="L1673" s="485"/>
      <c r="M1673" s="485"/>
      <c r="N1673" s="486" t="str">
        <f>HYPERLINK("#N"&amp;ROW(N1683),"_x0005_`BDCOD|B02802_x0007_`POSS|"&amp;ROW(N1675)&amp;"_x0007_`POSE|"&amp;ROW(N1683)&amp;"_x0007_`")</f>
        <v>_x0005_`BDCOD|B02802_x0007_`POSS|1675_x0007_`POSE|1683_x0007_`</v>
      </c>
    </row>
    <row r="1674" spans="1:26" ht="33.200000000000003" customHeight="1">
      <c r="A1674" s="469" t="s">
        <v>1047</v>
      </c>
      <c r="B1674" s="469" t="s">
        <v>1043</v>
      </c>
      <c r="C1674" s="487"/>
      <c r="D1674" s="488" t="s">
        <v>984</v>
      </c>
      <c r="E1674" s="487"/>
      <c r="F1674" s="487"/>
      <c r="G1674" s="487"/>
      <c r="H1674" s="487"/>
      <c r="I1674" s="487"/>
      <c r="J1674" s="487"/>
      <c r="K1674" s="487"/>
      <c r="L1674" s="487"/>
      <c r="M1674" s="488" t="s">
        <v>1051</v>
      </c>
      <c r="O1674" s="468" t="s">
        <v>1051</v>
      </c>
    </row>
    <row r="1675" spans="1:26" ht="33.200000000000003" customHeight="1">
      <c r="A1675" s="452" t="s">
        <v>2484</v>
      </c>
      <c r="B1675" s="452" t="s">
        <v>2485</v>
      </c>
      <c r="C1675" s="489">
        <v>0.14399999999999999</v>
      </c>
      <c r="D1675" s="480" t="s">
        <v>8</v>
      </c>
      <c r="E1675" s="490">
        <f t="shared" ref="E1675:F1683" si="254">I1675+G1675+K1675</f>
        <v>62811</v>
      </c>
      <c r="F1675" s="493">
        <f t="shared" si="254"/>
        <v>9044.7000000000007</v>
      </c>
      <c r="G1675" s="494">
        <f>단가산출근거목록표!F157</f>
        <v>62811</v>
      </c>
      <c r="H1675" s="498">
        <f t="shared" ref="H1675:H1683" si="255">IF(C1675=0,0,ROUNDDOWN(G1675*C1675,1))</f>
        <v>9044.7000000000007</v>
      </c>
      <c r="I1675" s="494">
        <f>단가산출근거목록표!G157</f>
        <v>0</v>
      </c>
      <c r="J1675" s="498">
        <f t="shared" ref="J1675:J1683" si="256">IF(C1675=0,0,ROUNDDOWN(I1675*C1675,1))</f>
        <v>0</v>
      </c>
      <c r="K1675" s="494">
        <f>단가산출근거목록표!H157</f>
        <v>0</v>
      </c>
      <c r="L1675" s="498">
        <f t="shared" ref="L1675:L1683" si="257">IF(C1675=0,0,ROUNDDOWN(K1675*C1675,1))</f>
        <v>0</v>
      </c>
      <c r="M1675" s="463" t="s">
        <v>2486</v>
      </c>
      <c r="N1675" s="451" t="s">
        <v>2504</v>
      </c>
      <c r="O1675" s="468" t="s">
        <v>2488</v>
      </c>
      <c r="P1675" s="468" t="s">
        <v>2354</v>
      </c>
      <c r="Z1675" s="433" t="str">
        <f ca="1">HYPERLINK("#"&amp;단가산출근거목록표!J2&amp;"!A"&amp;ROW(단가산출근거목록표!A157),"D01241 →")</f>
        <v>D01241 →</v>
      </c>
    </row>
    <row r="1676" spans="1:26" ht="33.200000000000003" customHeight="1">
      <c r="A1676" s="452" t="s">
        <v>2321</v>
      </c>
      <c r="B1676" s="452" t="s">
        <v>2322</v>
      </c>
      <c r="C1676" s="489">
        <v>2.8000000000000001E-2</v>
      </c>
      <c r="D1676" s="480" t="s">
        <v>8</v>
      </c>
      <c r="E1676" s="490">
        <f t="shared" si="254"/>
        <v>34413</v>
      </c>
      <c r="F1676" s="493">
        <f t="shared" si="254"/>
        <v>963.5</v>
      </c>
      <c r="G1676" s="494">
        <f>일위대가목록표!F275</f>
        <v>34413</v>
      </c>
      <c r="H1676" s="498">
        <f t="shared" si="255"/>
        <v>963.5</v>
      </c>
      <c r="I1676" s="494">
        <f>일위대가목록표!G275</f>
        <v>0</v>
      </c>
      <c r="J1676" s="498">
        <f t="shared" si="256"/>
        <v>0</v>
      </c>
      <c r="K1676" s="494">
        <f>일위대가목록표!H275</f>
        <v>0</v>
      </c>
      <c r="L1676" s="498">
        <f t="shared" si="257"/>
        <v>0</v>
      </c>
      <c r="M1676" s="463" t="s">
        <v>2489</v>
      </c>
      <c r="N1676" s="451" t="s">
        <v>2538</v>
      </c>
      <c r="O1676" s="468" t="s">
        <v>2491</v>
      </c>
      <c r="P1676" s="468" t="s">
        <v>2354</v>
      </c>
      <c r="Z1676" s="433" t="str">
        <f ca="1">HYPERLINK("#"&amp;일위대가목록표!J2&amp;"!A"&amp;ROW(일위대가목록표!A275),"B01414 →")</f>
        <v>B01414 →</v>
      </c>
    </row>
    <row r="1677" spans="1:26" ht="33.200000000000003" customHeight="1">
      <c r="A1677" s="452" t="s">
        <v>2298</v>
      </c>
      <c r="B1677" s="452" t="s">
        <v>2299</v>
      </c>
      <c r="C1677" s="489">
        <v>0.11600000000000001</v>
      </c>
      <c r="D1677" s="480" t="s">
        <v>8</v>
      </c>
      <c r="E1677" s="490">
        <f t="shared" si="254"/>
        <v>24089</v>
      </c>
      <c r="F1677" s="493">
        <f t="shared" si="254"/>
        <v>2794.3</v>
      </c>
      <c r="G1677" s="494">
        <f>일위대가목록표!F37</f>
        <v>24089</v>
      </c>
      <c r="H1677" s="498">
        <f t="shared" si="255"/>
        <v>2794.3</v>
      </c>
      <c r="I1677" s="494">
        <f>일위대가목록표!G37</f>
        <v>0</v>
      </c>
      <c r="J1677" s="498">
        <f t="shared" si="256"/>
        <v>0</v>
      </c>
      <c r="K1677" s="494">
        <f>일위대가목록표!H37</f>
        <v>0</v>
      </c>
      <c r="L1677" s="498">
        <f t="shared" si="257"/>
        <v>0</v>
      </c>
      <c r="M1677" s="463" t="s">
        <v>2492</v>
      </c>
      <c r="N1677" s="451" t="s">
        <v>2537</v>
      </c>
      <c r="O1677" s="468" t="s">
        <v>2494</v>
      </c>
      <c r="P1677" s="468" t="s">
        <v>2354</v>
      </c>
      <c r="Z1677" s="433" t="str">
        <f ca="1">HYPERLINK("#"&amp;일위대가목록표!J2&amp;"!A"&amp;ROW(일위대가목록표!A37),"B01447 →")</f>
        <v>B01447 →</v>
      </c>
    </row>
    <row r="1678" spans="1:26" ht="33.200000000000003" customHeight="1">
      <c r="A1678" s="452" t="s">
        <v>2922</v>
      </c>
      <c r="B1678" s="452" t="s">
        <v>2923</v>
      </c>
      <c r="C1678" s="489">
        <v>8.7850000000000001</v>
      </c>
      <c r="D1678" s="480" t="s">
        <v>605</v>
      </c>
      <c r="E1678" s="490">
        <f t="shared" si="254"/>
        <v>7400</v>
      </c>
      <c r="F1678" s="491">
        <f t="shared" si="254"/>
        <v>65009</v>
      </c>
      <c r="G1678" s="492">
        <v>0</v>
      </c>
      <c r="H1678" s="493">
        <f t="shared" si="255"/>
        <v>0</v>
      </c>
      <c r="I1678" s="494">
        <f>재료비목록표!E76</f>
        <v>7400</v>
      </c>
      <c r="J1678" s="495">
        <f t="shared" si="256"/>
        <v>65009</v>
      </c>
      <c r="K1678" s="492">
        <v>0</v>
      </c>
      <c r="L1678" s="493">
        <f t="shared" si="257"/>
        <v>0</v>
      </c>
      <c r="M1678" s="463" t="s">
        <v>2924</v>
      </c>
      <c r="N1678" s="451" t="s">
        <v>2925</v>
      </c>
      <c r="O1678" s="468" t="s">
        <v>2926</v>
      </c>
      <c r="P1678" s="468" t="s">
        <v>2354</v>
      </c>
      <c r="Z1678" s="433" t="str">
        <f ca="1">HYPERLINK("#"&amp;재료비목록표!G2&amp;"!A"&amp;ROW(재료비목록표!A76),"M00960 →")</f>
        <v>M00960 →</v>
      </c>
    </row>
    <row r="1679" spans="1:26" ht="33.200000000000003" customHeight="1">
      <c r="A1679" s="452" t="s">
        <v>1461</v>
      </c>
      <c r="B1679" s="452" t="s">
        <v>1462</v>
      </c>
      <c r="C1679" s="489">
        <v>2.8000000000000001E-2</v>
      </c>
      <c r="D1679" s="480" t="s">
        <v>8</v>
      </c>
      <c r="E1679" s="490">
        <f t="shared" si="254"/>
        <v>915052</v>
      </c>
      <c r="F1679" s="493">
        <f t="shared" si="254"/>
        <v>25621.4</v>
      </c>
      <c r="G1679" s="494">
        <f>일위대가목록표!F72</f>
        <v>915052</v>
      </c>
      <c r="H1679" s="498">
        <f t="shared" si="255"/>
        <v>25621.4</v>
      </c>
      <c r="I1679" s="494">
        <f>일위대가목록표!G72</f>
        <v>0</v>
      </c>
      <c r="J1679" s="498">
        <f t="shared" si="256"/>
        <v>0</v>
      </c>
      <c r="K1679" s="494">
        <f>일위대가목록표!H72</f>
        <v>0</v>
      </c>
      <c r="L1679" s="498">
        <f t="shared" si="257"/>
        <v>0</v>
      </c>
      <c r="M1679" s="463" t="s">
        <v>2471</v>
      </c>
      <c r="N1679" s="451" t="s">
        <v>2672</v>
      </c>
      <c r="O1679" s="468" t="s">
        <v>1465</v>
      </c>
      <c r="P1679" s="468" t="s">
        <v>2354</v>
      </c>
      <c r="Z1679" s="433" t="str">
        <f ca="1">HYPERLINK("#"&amp;일위대가목록표!J2&amp;"!A"&amp;ROW(일위대가목록표!A72),"B01822 →")</f>
        <v>B01822 →</v>
      </c>
    </row>
    <row r="1680" spans="1:26" ht="33.200000000000003" customHeight="1">
      <c r="A1680" s="452" t="s">
        <v>2927</v>
      </c>
      <c r="B1680" s="452" t="s">
        <v>3076</v>
      </c>
      <c r="C1680" s="489">
        <v>6.3</v>
      </c>
      <c r="D1680" s="480" t="s">
        <v>2377</v>
      </c>
      <c r="E1680" s="490">
        <f t="shared" si="254"/>
        <v>2049</v>
      </c>
      <c r="F1680" s="491">
        <f t="shared" si="254"/>
        <v>12908.7</v>
      </c>
      <c r="G1680" s="492">
        <v>0</v>
      </c>
      <c r="H1680" s="493">
        <f t="shared" si="255"/>
        <v>0</v>
      </c>
      <c r="I1680" s="494">
        <f>재료비목록표!E56</f>
        <v>2049</v>
      </c>
      <c r="J1680" s="495">
        <f t="shared" si="256"/>
        <v>12908.7</v>
      </c>
      <c r="K1680" s="492">
        <v>0</v>
      </c>
      <c r="L1680" s="493">
        <f t="shared" si="257"/>
        <v>0</v>
      </c>
      <c r="M1680" s="463" t="s">
        <v>3077</v>
      </c>
      <c r="N1680" s="451" t="s">
        <v>3078</v>
      </c>
      <c r="O1680" s="468" t="s">
        <v>3079</v>
      </c>
      <c r="P1680" s="468" t="s">
        <v>2354</v>
      </c>
      <c r="Z1680" s="433" t="str">
        <f ca="1">HYPERLINK("#"&amp;재료비목록표!G2&amp;"!A"&amp;ROW(재료비목록표!A56),"M00955 →")</f>
        <v>M00955 →</v>
      </c>
    </row>
    <row r="1681" spans="1:26" ht="33.200000000000003" customHeight="1">
      <c r="A1681" s="452" t="s">
        <v>2932</v>
      </c>
      <c r="B1681" s="452" t="s">
        <v>2933</v>
      </c>
      <c r="C1681" s="489">
        <v>6.3</v>
      </c>
      <c r="D1681" s="480" t="s">
        <v>2377</v>
      </c>
      <c r="E1681" s="490">
        <f t="shared" si="254"/>
        <v>157.30000000000001</v>
      </c>
      <c r="F1681" s="491">
        <f t="shared" si="254"/>
        <v>990.9</v>
      </c>
      <c r="G1681" s="492">
        <v>0</v>
      </c>
      <c r="H1681" s="493">
        <f t="shared" si="255"/>
        <v>0</v>
      </c>
      <c r="I1681" s="494">
        <f>재료비목록표!E26</f>
        <v>157.30000000000001</v>
      </c>
      <c r="J1681" s="495">
        <f t="shared" si="256"/>
        <v>990.9</v>
      </c>
      <c r="K1681" s="492">
        <v>0</v>
      </c>
      <c r="L1681" s="493">
        <f t="shared" si="257"/>
        <v>0</v>
      </c>
      <c r="M1681" s="463" t="s">
        <v>2934</v>
      </c>
      <c r="N1681" s="451" t="s">
        <v>2935</v>
      </c>
      <c r="O1681" s="468" t="s">
        <v>2936</v>
      </c>
      <c r="P1681" s="468" t="s">
        <v>2354</v>
      </c>
      <c r="Z1681" s="433" t="str">
        <f ca="1">HYPERLINK("#"&amp;재료비목록표!G2&amp;"!A"&amp;ROW(재료비목록표!A26),"M00958 →")</f>
        <v>M00958 →</v>
      </c>
    </row>
    <row r="1682" spans="1:26" ht="33.200000000000003" customHeight="1">
      <c r="A1682" s="452" t="s">
        <v>2937</v>
      </c>
      <c r="B1682" s="452" t="s">
        <v>2933</v>
      </c>
      <c r="C1682" s="489">
        <v>6.3</v>
      </c>
      <c r="D1682" s="480" t="s">
        <v>2377</v>
      </c>
      <c r="E1682" s="490">
        <f t="shared" si="254"/>
        <v>53.7</v>
      </c>
      <c r="F1682" s="491">
        <f t="shared" si="254"/>
        <v>338.3</v>
      </c>
      <c r="G1682" s="492">
        <v>0</v>
      </c>
      <c r="H1682" s="493">
        <f t="shared" si="255"/>
        <v>0</v>
      </c>
      <c r="I1682" s="494">
        <f>재료비목록표!E74</f>
        <v>53.7</v>
      </c>
      <c r="J1682" s="495">
        <f t="shared" si="256"/>
        <v>338.3</v>
      </c>
      <c r="K1682" s="492">
        <v>0</v>
      </c>
      <c r="L1682" s="493">
        <f t="shared" si="257"/>
        <v>0</v>
      </c>
      <c r="M1682" s="463" t="s">
        <v>2938</v>
      </c>
      <c r="N1682" s="451" t="s">
        <v>2939</v>
      </c>
      <c r="O1682" s="468" t="s">
        <v>2940</v>
      </c>
      <c r="P1682" s="468" t="s">
        <v>2354</v>
      </c>
      <c r="Z1682" s="433" t="str">
        <f ca="1">HYPERLINK("#"&amp;재료비목록표!G2&amp;"!A"&amp;ROW(재료비목록표!A74),"M00648 →")</f>
        <v>M00648 →</v>
      </c>
    </row>
    <row r="1683" spans="1:26" ht="33.200000000000003" customHeight="1">
      <c r="A1683" s="452" t="s">
        <v>2310</v>
      </c>
      <c r="B1683" s="452" t="s">
        <v>2311</v>
      </c>
      <c r="C1683" s="489">
        <v>6</v>
      </c>
      <c r="D1683" s="480" t="s">
        <v>975</v>
      </c>
      <c r="E1683" s="490">
        <f t="shared" si="254"/>
        <v>784</v>
      </c>
      <c r="F1683" s="493">
        <f t="shared" si="254"/>
        <v>4704</v>
      </c>
      <c r="G1683" s="494">
        <f>일위대가목록표!F145</f>
        <v>677</v>
      </c>
      <c r="H1683" s="498">
        <f t="shared" si="255"/>
        <v>4062</v>
      </c>
      <c r="I1683" s="494">
        <f>일위대가목록표!G145</f>
        <v>107</v>
      </c>
      <c r="J1683" s="498">
        <f t="shared" si="256"/>
        <v>642</v>
      </c>
      <c r="K1683" s="494">
        <f>일위대가목록표!H145</f>
        <v>0</v>
      </c>
      <c r="L1683" s="498">
        <f t="shared" si="257"/>
        <v>0</v>
      </c>
      <c r="M1683" s="463" t="s">
        <v>2941</v>
      </c>
      <c r="N1683" s="451" t="s">
        <v>2942</v>
      </c>
      <c r="O1683" s="468" t="s">
        <v>2943</v>
      </c>
      <c r="P1683" s="468" t="s">
        <v>2354</v>
      </c>
      <c r="Z1683" s="433" t="str">
        <f ca="1">HYPERLINK("#"&amp;일위대가목록표!J2&amp;"!A"&amp;ROW(일위대가목록표!A145),"B01416 →")</f>
        <v>B01416 →</v>
      </c>
    </row>
    <row r="1684" spans="1:26" ht="33.200000000000003" customHeight="1">
      <c r="A1684" s="463" t="s">
        <v>842</v>
      </c>
      <c r="B1684" s="497"/>
      <c r="C1684" s="497"/>
      <c r="D1684" s="497"/>
      <c r="E1684" s="497"/>
      <c r="F1684" s="446">
        <f>J1684+H1684+L1684</f>
        <v>122373</v>
      </c>
      <c r="G1684" s="497"/>
      <c r="H1684" s="446">
        <f>ROUNDDOWN(SUMIF(P1675:P1683,O1684,H1675:H1683),0)</f>
        <v>42485</v>
      </c>
      <c r="I1684" s="497"/>
      <c r="J1684" s="446">
        <f>ROUNDDOWN(SUMIF(P1675:P1683,O1684,J1675:J1683),0)</f>
        <v>79888</v>
      </c>
      <c r="K1684" s="497"/>
      <c r="L1684" s="446">
        <f>ROUNDDOWN(SUMIF(P1675:P1683,O1684,L1675:L1683),0)</f>
        <v>0</v>
      </c>
      <c r="M1684" s="497"/>
      <c r="O1684" s="468" t="s">
        <v>2354</v>
      </c>
    </row>
    <row r="1685" spans="1:26" ht="33.200000000000003" customHeight="1">
      <c r="A1685" s="484" t="s">
        <v>3280</v>
      </c>
      <c r="B1685" s="484"/>
      <c r="C1685" s="485"/>
      <c r="D1685" s="485"/>
      <c r="E1685" s="485"/>
      <c r="F1685" s="485"/>
      <c r="G1685" s="485"/>
      <c r="H1685" s="485"/>
      <c r="I1685" s="485"/>
      <c r="J1685" s="485"/>
      <c r="K1685" s="485"/>
      <c r="L1685" s="485"/>
      <c r="M1685" s="485"/>
      <c r="N1685" s="486" t="str">
        <f>HYPERLINK("#N"&amp;ROW(N1694),"_x0005_`BDCOD|B02803_x0007_`POSS|"&amp;ROW(N1687)&amp;"_x0007_`POSE|"&amp;ROW(N1694)&amp;"_x0007_`")</f>
        <v>_x0005_`BDCOD|B02803_x0007_`POSS|1687_x0007_`POSE|1694_x0007_`</v>
      </c>
    </row>
    <row r="1686" spans="1:26" ht="33.200000000000003" customHeight="1">
      <c r="A1686" s="469" t="s">
        <v>1060</v>
      </c>
      <c r="B1686" s="469" t="s">
        <v>1039</v>
      </c>
      <c r="C1686" s="487"/>
      <c r="D1686" s="488" t="s">
        <v>984</v>
      </c>
      <c r="E1686" s="487"/>
      <c r="F1686" s="487"/>
      <c r="G1686" s="487"/>
      <c r="H1686" s="487"/>
      <c r="I1686" s="487"/>
      <c r="J1686" s="487"/>
      <c r="K1686" s="487"/>
      <c r="L1686" s="487"/>
      <c r="M1686" s="488" t="s">
        <v>1061</v>
      </c>
      <c r="O1686" s="468" t="s">
        <v>1061</v>
      </c>
    </row>
    <row r="1687" spans="1:26" ht="33.200000000000003" customHeight="1">
      <c r="A1687" s="452" t="s">
        <v>2484</v>
      </c>
      <c r="B1687" s="452" t="s">
        <v>2485</v>
      </c>
      <c r="C1687" s="489">
        <v>0.12</v>
      </c>
      <c r="D1687" s="480" t="s">
        <v>8</v>
      </c>
      <c r="E1687" s="490">
        <f t="shared" ref="E1687:F1694" si="258">I1687+G1687+K1687</f>
        <v>62811</v>
      </c>
      <c r="F1687" s="493">
        <f t="shared" si="258"/>
        <v>7537.3</v>
      </c>
      <c r="G1687" s="494">
        <f>단가산출근거목록표!F157</f>
        <v>62811</v>
      </c>
      <c r="H1687" s="498">
        <f t="shared" ref="H1687:H1694" si="259">IF(C1687=0,0,ROUNDDOWN(G1687*C1687,1))</f>
        <v>7537.3</v>
      </c>
      <c r="I1687" s="494">
        <f>단가산출근거목록표!G157</f>
        <v>0</v>
      </c>
      <c r="J1687" s="498">
        <f t="shared" ref="J1687:J1694" si="260">IF(C1687=0,0,ROUNDDOWN(I1687*C1687,1))</f>
        <v>0</v>
      </c>
      <c r="K1687" s="494">
        <f>단가산출근거목록표!H157</f>
        <v>0</v>
      </c>
      <c r="L1687" s="498">
        <f t="shared" ref="L1687:L1694" si="261">IF(C1687=0,0,ROUNDDOWN(K1687*C1687,1))</f>
        <v>0</v>
      </c>
      <c r="M1687" s="463" t="s">
        <v>2486</v>
      </c>
      <c r="N1687" s="451" t="s">
        <v>2504</v>
      </c>
      <c r="O1687" s="468" t="s">
        <v>2488</v>
      </c>
      <c r="P1687" s="468" t="s">
        <v>2354</v>
      </c>
      <c r="Z1687" s="433" t="str">
        <f ca="1">HYPERLINK("#"&amp;단가산출근거목록표!J2&amp;"!A"&amp;ROW(단가산출근거목록표!A157),"D01241 →")</f>
        <v>D01241 →</v>
      </c>
    </row>
    <row r="1688" spans="1:26" ht="33.200000000000003" customHeight="1">
      <c r="A1688" s="452" t="s">
        <v>2321</v>
      </c>
      <c r="B1688" s="452" t="s">
        <v>2322</v>
      </c>
      <c r="C1688" s="489">
        <v>2.5000000000000001E-2</v>
      </c>
      <c r="D1688" s="480" t="s">
        <v>8</v>
      </c>
      <c r="E1688" s="490">
        <f t="shared" si="258"/>
        <v>34413</v>
      </c>
      <c r="F1688" s="493">
        <f t="shared" si="258"/>
        <v>860.3</v>
      </c>
      <c r="G1688" s="494">
        <f>일위대가목록표!F275</f>
        <v>34413</v>
      </c>
      <c r="H1688" s="498">
        <f t="shared" si="259"/>
        <v>860.3</v>
      </c>
      <c r="I1688" s="494">
        <f>일위대가목록표!G275</f>
        <v>0</v>
      </c>
      <c r="J1688" s="498">
        <f t="shared" si="260"/>
        <v>0</v>
      </c>
      <c r="K1688" s="494">
        <f>일위대가목록표!H275</f>
        <v>0</v>
      </c>
      <c r="L1688" s="498">
        <f t="shared" si="261"/>
        <v>0</v>
      </c>
      <c r="M1688" s="463" t="s">
        <v>2489</v>
      </c>
      <c r="N1688" s="451" t="s">
        <v>2538</v>
      </c>
      <c r="O1688" s="468" t="s">
        <v>2491</v>
      </c>
      <c r="P1688" s="468" t="s">
        <v>2354</v>
      </c>
      <c r="Z1688" s="433" t="str">
        <f ca="1">HYPERLINK("#"&amp;일위대가목록표!J2&amp;"!A"&amp;ROW(일위대가목록표!A275),"B01414 →")</f>
        <v>B01414 →</v>
      </c>
    </row>
    <row r="1689" spans="1:26" ht="33.200000000000003" customHeight="1">
      <c r="A1689" s="452" t="s">
        <v>2298</v>
      </c>
      <c r="B1689" s="452" t="s">
        <v>2299</v>
      </c>
      <c r="C1689" s="489">
        <v>9.5000000000000001E-2</v>
      </c>
      <c r="D1689" s="480" t="s">
        <v>8</v>
      </c>
      <c r="E1689" s="490">
        <f t="shared" si="258"/>
        <v>24089</v>
      </c>
      <c r="F1689" s="493">
        <f t="shared" si="258"/>
        <v>2288.4</v>
      </c>
      <c r="G1689" s="494">
        <f>일위대가목록표!F37</f>
        <v>24089</v>
      </c>
      <c r="H1689" s="498">
        <f t="shared" si="259"/>
        <v>2288.4</v>
      </c>
      <c r="I1689" s="494">
        <f>일위대가목록표!G37</f>
        <v>0</v>
      </c>
      <c r="J1689" s="498">
        <f t="shared" si="260"/>
        <v>0</v>
      </c>
      <c r="K1689" s="494">
        <f>일위대가목록표!H37</f>
        <v>0</v>
      </c>
      <c r="L1689" s="498">
        <f t="shared" si="261"/>
        <v>0</v>
      </c>
      <c r="M1689" s="463" t="s">
        <v>2492</v>
      </c>
      <c r="N1689" s="451" t="s">
        <v>2537</v>
      </c>
      <c r="O1689" s="468" t="s">
        <v>2494</v>
      </c>
      <c r="P1689" s="468" t="s">
        <v>2354</v>
      </c>
      <c r="Z1689" s="433" t="str">
        <f ca="1">HYPERLINK("#"&amp;일위대가목록표!J2&amp;"!A"&amp;ROW(일위대가목록표!A37),"B01447 →")</f>
        <v>B01447 →</v>
      </c>
    </row>
    <row r="1690" spans="1:26" ht="33.200000000000003" customHeight="1">
      <c r="A1690" s="452" t="s">
        <v>1461</v>
      </c>
      <c r="B1690" s="452" t="s">
        <v>1462</v>
      </c>
      <c r="C1690" s="489">
        <v>2.5000000000000001E-2</v>
      </c>
      <c r="D1690" s="480" t="s">
        <v>8</v>
      </c>
      <c r="E1690" s="490">
        <f t="shared" si="258"/>
        <v>915052</v>
      </c>
      <c r="F1690" s="493">
        <f t="shared" si="258"/>
        <v>22876.3</v>
      </c>
      <c r="G1690" s="494">
        <f>일위대가목록표!F72</f>
        <v>915052</v>
      </c>
      <c r="H1690" s="498">
        <f t="shared" si="259"/>
        <v>22876.3</v>
      </c>
      <c r="I1690" s="494">
        <f>일위대가목록표!G72</f>
        <v>0</v>
      </c>
      <c r="J1690" s="498">
        <f t="shared" si="260"/>
        <v>0</v>
      </c>
      <c r="K1690" s="494">
        <f>일위대가목록표!H72</f>
        <v>0</v>
      </c>
      <c r="L1690" s="498">
        <f t="shared" si="261"/>
        <v>0</v>
      </c>
      <c r="M1690" s="463" t="s">
        <v>2471</v>
      </c>
      <c r="N1690" s="451" t="s">
        <v>2672</v>
      </c>
      <c r="O1690" s="468" t="s">
        <v>1465</v>
      </c>
      <c r="P1690" s="468" t="s">
        <v>2354</v>
      </c>
      <c r="Z1690" s="433" t="str">
        <f ca="1">HYPERLINK("#"&amp;일위대가목록표!J2&amp;"!A"&amp;ROW(일위대가목록표!A72),"B01822 →")</f>
        <v>B01822 →</v>
      </c>
    </row>
    <row r="1691" spans="1:26" ht="33.200000000000003" customHeight="1">
      <c r="A1691" s="452" t="s">
        <v>2927</v>
      </c>
      <c r="B1691" s="452" t="s">
        <v>3076</v>
      </c>
      <c r="C1691" s="489">
        <v>6.3</v>
      </c>
      <c r="D1691" s="480" t="s">
        <v>2377</v>
      </c>
      <c r="E1691" s="490">
        <f t="shared" si="258"/>
        <v>2049</v>
      </c>
      <c r="F1691" s="491">
        <f t="shared" si="258"/>
        <v>12908.7</v>
      </c>
      <c r="G1691" s="492">
        <v>0</v>
      </c>
      <c r="H1691" s="493">
        <f t="shared" si="259"/>
        <v>0</v>
      </c>
      <c r="I1691" s="494">
        <f>재료비목록표!E56</f>
        <v>2049</v>
      </c>
      <c r="J1691" s="495">
        <f t="shared" si="260"/>
        <v>12908.7</v>
      </c>
      <c r="K1691" s="492">
        <v>0</v>
      </c>
      <c r="L1691" s="493">
        <f t="shared" si="261"/>
        <v>0</v>
      </c>
      <c r="M1691" s="463" t="s">
        <v>3077</v>
      </c>
      <c r="N1691" s="451" t="s">
        <v>3078</v>
      </c>
      <c r="O1691" s="468" t="s">
        <v>3079</v>
      </c>
      <c r="P1691" s="468" t="s">
        <v>2354</v>
      </c>
      <c r="Z1691" s="433" t="str">
        <f ca="1">HYPERLINK("#"&amp;재료비목록표!G2&amp;"!A"&amp;ROW(재료비목록표!A56),"M00955 →")</f>
        <v>M00955 →</v>
      </c>
    </row>
    <row r="1692" spans="1:26" ht="33.200000000000003" customHeight="1">
      <c r="A1692" s="452" t="s">
        <v>2932</v>
      </c>
      <c r="B1692" s="452" t="s">
        <v>2933</v>
      </c>
      <c r="C1692" s="489">
        <v>6.3</v>
      </c>
      <c r="D1692" s="480" t="s">
        <v>2377</v>
      </c>
      <c r="E1692" s="490">
        <f t="shared" si="258"/>
        <v>157.30000000000001</v>
      </c>
      <c r="F1692" s="491">
        <f t="shared" si="258"/>
        <v>990.9</v>
      </c>
      <c r="G1692" s="492">
        <v>0</v>
      </c>
      <c r="H1692" s="493">
        <f t="shared" si="259"/>
        <v>0</v>
      </c>
      <c r="I1692" s="494">
        <f>재료비목록표!E26</f>
        <v>157.30000000000001</v>
      </c>
      <c r="J1692" s="495">
        <f t="shared" si="260"/>
        <v>990.9</v>
      </c>
      <c r="K1692" s="492">
        <v>0</v>
      </c>
      <c r="L1692" s="493">
        <f t="shared" si="261"/>
        <v>0</v>
      </c>
      <c r="M1692" s="463" t="s">
        <v>2934</v>
      </c>
      <c r="N1692" s="451" t="s">
        <v>2935</v>
      </c>
      <c r="O1692" s="468" t="s">
        <v>2936</v>
      </c>
      <c r="P1692" s="468" t="s">
        <v>2354</v>
      </c>
      <c r="Z1692" s="433" t="str">
        <f ca="1">HYPERLINK("#"&amp;재료비목록표!G2&amp;"!A"&amp;ROW(재료비목록표!A26),"M00958 →")</f>
        <v>M00958 →</v>
      </c>
    </row>
    <row r="1693" spans="1:26" ht="33.200000000000003" customHeight="1">
      <c r="A1693" s="452" t="s">
        <v>2937</v>
      </c>
      <c r="B1693" s="452" t="s">
        <v>2933</v>
      </c>
      <c r="C1693" s="489">
        <v>6.3</v>
      </c>
      <c r="D1693" s="480" t="s">
        <v>2377</v>
      </c>
      <c r="E1693" s="490">
        <f t="shared" si="258"/>
        <v>53.7</v>
      </c>
      <c r="F1693" s="491">
        <f t="shared" si="258"/>
        <v>338.3</v>
      </c>
      <c r="G1693" s="492">
        <v>0</v>
      </c>
      <c r="H1693" s="493">
        <f t="shared" si="259"/>
        <v>0</v>
      </c>
      <c r="I1693" s="494">
        <f>재료비목록표!E74</f>
        <v>53.7</v>
      </c>
      <c r="J1693" s="495">
        <f t="shared" si="260"/>
        <v>338.3</v>
      </c>
      <c r="K1693" s="492">
        <v>0</v>
      </c>
      <c r="L1693" s="493">
        <f t="shared" si="261"/>
        <v>0</v>
      </c>
      <c r="M1693" s="463" t="s">
        <v>2938</v>
      </c>
      <c r="N1693" s="451" t="s">
        <v>2939</v>
      </c>
      <c r="O1693" s="468" t="s">
        <v>2940</v>
      </c>
      <c r="P1693" s="468" t="s">
        <v>2354</v>
      </c>
      <c r="Z1693" s="433" t="str">
        <f ca="1">HYPERLINK("#"&amp;재료비목록표!G2&amp;"!A"&amp;ROW(재료비목록표!A74),"M00648 →")</f>
        <v>M00648 →</v>
      </c>
    </row>
    <row r="1694" spans="1:26" ht="33.200000000000003" customHeight="1">
      <c r="A1694" s="452" t="s">
        <v>2310</v>
      </c>
      <c r="B1694" s="452" t="s">
        <v>2311</v>
      </c>
      <c r="C1694" s="489">
        <v>6</v>
      </c>
      <c r="D1694" s="480" t="s">
        <v>975</v>
      </c>
      <c r="E1694" s="490">
        <f t="shared" si="258"/>
        <v>784</v>
      </c>
      <c r="F1694" s="493">
        <f t="shared" si="258"/>
        <v>4704</v>
      </c>
      <c r="G1694" s="494">
        <f>일위대가목록표!F145</f>
        <v>677</v>
      </c>
      <c r="H1694" s="498">
        <f t="shared" si="259"/>
        <v>4062</v>
      </c>
      <c r="I1694" s="494">
        <f>일위대가목록표!G145</f>
        <v>107</v>
      </c>
      <c r="J1694" s="498">
        <f t="shared" si="260"/>
        <v>642</v>
      </c>
      <c r="K1694" s="494">
        <f>일위대가목록표!H145</f>
        <v>0</v>
      </c>
      <c r="L1694" s="498">
        <f t="shared" si="261"/>
        <v>0</v>
      </c>
      <c r="M1694" s="463" t="s">
        <v>2941</v>
      </c>
      <c r="N1694" s="451" t="s">
        <v>2942</v>
      </c>
      <c r="O1694" s="468" t="s">
        <v>2943</v>
      </c>
      <c r="P1694" s="468" t="s">
        <v>2354</v>
      </c>
      <c r="Z1694" s="433" t="str">
        <f ca="1">HYPERLINK("#"&amp;일위대가목록표!J2&amp;"!A"&amp;ROW(일위대가목록표!A145),"B01416 →")</f>
        <v>B01416 →</v>
      </c>
    </row>
    <row r="1695" spans="1:26" ht="33.200000000000003" customHeight="1">
      <c r="A1695" s="463" t="s">
        <v>842</v>
      </c>
      <c r="B1695" s="497"/>
      <c r="C1695" s="497"/>
      <c r="D1695" s="497"/>
      <c r="E1695" s="497"/>
      <c r="F1695" s="446">
        <f>J1695+H1695+L1695</f>
        <v>52503</v>
      </c>
      <c r="G1695" s="497"/>
      <c r="H1695" s="446">
        <f>ROUNDDOWN(SUMIF(P1687:P1694,O1695,H1687:H1694),0)</f>
        <v>37624</v>
      </c>
      <c r="I1695" s="497"/>
      <c r="J1695" s="446">
        <f>ROUNDDOWN(SUMIF(P1687:P1694,O1695,J1687:J1694),0)</f>
        <v>14879</v>
      </c>
      <c r="K1695" s="497"/>
      <c r="L1695" s="446">
        <f>ROUNDDOWN(SUMIF(P1687:P1694,O1695,L1687:L1694),0)</f>
        <v>0</v>
      </c>
      <c r="M1695" s="497"/>
      <c r="O1695" s="468" t="s">
        <v>2354</v>
      </c>
    </row>
    <row r="1696" spans="1:26" ht="33.200000000000003" customHeight="1">
      <c r="A1696" s="484" t="s">
        <v>3281</v>
      </c>
      <c r="B1696" s="484"/>
      <c r="C1696" s="485"/>
      <c r="D1696" s="485"/>
      <c r="E1696" s="485"/>
      <c r="F1696" s="485"/>
      <c r="G1696" s="485"/>
      <c r="H1696" s="485"/>
      <c r="I1696" s="485"/>
      <c r="J1696" s="485"/>
      <c r="K1696" s="485"/>
      <c r="L1696" s="485"/>
      <c r="M1696" s="485"/>
      <c r="N1696" s="486" t="str">
        <f>HYPERLINK("#N"&amp;ROW(N1705),"_x0005_`BDCOD|B02804_x0007_`POSS|"&amp;ROW(N1698)&amp;"_x0007_`POSE|"&amp;ROW(N1705)&amp;"_x0007_`")</f>
        <v>_x0005_`BDCOD|B02804_x0007_`POSS|1698_x0007_`POSE|1705_x0007_`</v>
      </c>
    </row>
    <row r="1697" spans="1:26" ht="33.200000000000003" customHeight="1">
      <c r="A1697" s="469" t="s">
        <v>1060</v>
      </c>
      <c r="B1697" s="469" t="s">
        <v>1043</v>
      </c>
      <c r="C1697" s="487"/>
      <c r="D1697" s="488" t="s">
        <v>984</v>
      </c>
      <c r="E1697" s="487"/>
      <c r="F1697" s="487"/>
      <c r="G1697" s="487"/>
      <c r="H1697" s="487"/>
      <c r="I1697" s="487"/>
      <c r="J1697" s="487"/>
      <c r="K1697" s="487"/>
      <c r="L1697" s="487"/>
      <c r="M1697" s="488" t="s">
        <v>1064</v>
      </c>
      <c r="O1697" s="468" t="s">
        <v>1064</v>
      </c>
    </row>
    <row r="1698" spans="1:26" ht="33.200000000000003" customHeight="1">
      <c r="A1698" s="452" t="s">
        <v>2484</v>
      </c>
      <c r="B1698" s="452" t="s">
        <v>2485</v>
      </c>
      <c r="C1698" s="489">
        <v>0.14399999999999999</v>
      </c>
      <c r="D1698" s="480" t="s">
        <v>8</v>
      </c>
      <c r="E1698" s="490">
        <f t="shared" ref="E1698:F1705" si="262">I1698+G1698+K1698</f>
        <v>62811</v>
      </c>
      <c r="F1698" s="493">
        <f t="shared" si="262"/>
        <v>9044.7000000000007</v>
      </c>
      <c r="G1698" s="494">
        <f>단가산출근거목록표!F157</f>
        <v>62811</v>
      </c>
      <c r="H1698" s="498">
        <f t="shared" ref="H1698:H1705" si="263">IF(C1698=0,0,ROUNDDOWN(G1698*C1698,1))</f>
        <v>9044.7000000000007</v>
      </c>
      <c r="I1698" s="494">
        <f>단가산출근거목록표!G157</f>
        <v>0</v>
      </c>
      <c r="J1698" s="498">
        <f t="shared" ref="J1698:J1705" si="264">IF(C1698=0,0,ROUNDDOWN(I1698*C1698,1))</f>
        <v>0</v>
      </c>
      <c r="K1698" s="494">
        <f>단가산출근거목록표!H157</f>
        <v>0</v>
      </c>
      <c r="L1698" s="498">
        <f t="shared" ref="L1698:L1705" si="265">IF(C1698=0,0,ROUNDDOWN(K1698*C1698,1))</f>
        <v>0</v>
      </c>
      <c r="M1698" s="463" t="s">
        <v>2486</v>
      </c>
      <c r="N1698" s="451" t="s">
        <v>2504</v>
      </c>
      <c r="O1698" s="468" t="s">
        <v>2488</v>
      </c>
      <c r="P1698" s="468" t="s">
        <v>2354</v>
      </c>
      <c r="Z1698" s="433" t="str">
        <f ca="1">HYPERLINK("#"&amp;단가산출근거목록표!J2&amp;"!A"&amp;ROW(단가산출근거목록표!A157),"D01241 →")</f>
        <v>D01241 →</v>
      </c>
    </row>
    <row r="1699" spans="1:26" ht="33.200000000000003" customHeight="1">
      <c r="A1699" s="452" t="s">
        <v>2321</v>
      </c>
      <c r="B1699" s="452" t="s">
        <v>2322</v>
      </c>
      <c r="C1699" s="489">
        <v>2.8000000000000001E-2</v>
      </c>
      <c r="D1699" s="480" t="s">
        <v>8</v>
      </c>
      <c r="E1699" s="490">
        <f t="shared" si="262"/>
        <v>34413</v>
      </c>
      <c r="F1699" s="493">
        <f t="shared" si="262"/>
        <v>963.5</v>
      </c>
      <c r="G1699" s="494">
        <f>일위대가목록표!F275</f>
        <v>34413</v>
      </c>
      <c r="H1699" s="498">
        <f t="shared" si="263"/>
        <v>963.5</v>
      </c>
      <c r="I1699" s="494">
        <f>일위대가목록표!G275</f>
        <v>0</v>
      </c>
      <c r="J1699" s="498">
        <f t="shared" si="264"/>
        <v>0</v>
      </c>
      <c r="K1699" s="494">
        <f>일위대가목록표!H275</f>
        <v>0</v>
      </c>
      <c r="L1699" s="498">
        <f t="shared" si="265"/>
        <v>0</v>
      </c>
      <c r="M1699" s="463" t="s">
        <v>2489</v>
      </c>
      <c r="N1699" s="451" t="s">
        <v>2538</v>
      </c>
      <c r="O1699" s="468" t="s">
        <v>2491</v>
      </c>
      <c r="P1699" s="468" t="s">
        <v>2354</v>
      </c>
      <c r="Z1699" s="433" t="str">
        <f ca="1">HYPERLINK("#"&amp;일위대가목록표!J2&amp;"!A"&amp;ROW(일위대가목록표!A275),"B01414 →")</f>
        <v>B01414 →</v>
      </c>
    </row>
    <row r="1700" spans="1:26" ht="33.200000000000003" customHeight="1">
      <c r="A1700" s="452" t="s">
        <v>2298</v>
      </c>
      <c r="B1700" s="452" t="s">
        <v>2299</v>
      </c>
      <c r="C1700" s="489">
        <v>0.11600000000000001</v>
      </c>
      <c r="D1700" s="480" t="s">
        <v>8</v>
      </c>
      <c r="E1700" s="490">
        <f t="shared" si="262"/>
        <v>24089</v>
      </c>
      <c r="F1700" s="493">
        <f t="shared" si="262"/>
        <v>2794.3</v>
      </c>
      <c r="G1700" s="494">
        <f>일위대가목록표!F37</f>
        <v>24089</v>
      </c>
      <c r="H1700" s="498">
        <f t="shared" si="263"/>
        <v>2794.3</v>
      </c>
      <c r="I1700" s="494">
        <f>일위대가목록표!G37</f>
        <v>0</v>
      </c>
      <c r="J1700" s="498">
        <f t="shared" si="264"/>
        <v>0</v>
      </c>
      <c r="K1700" s="494">
        <f>일위대가목록표!H37</f>
        <v>0</v>
      </c>
      <c r="L1700" s="498">
        <f t="shared" si="265"/>
        <v>0</v>
      </c>
      <c r="M1700" s="463" t="s">
        <v>2492</v>
      </c>
      <c r="N1700" s="451" t="s">
        <v>2537</v>
      </c>
      <c r="O1700" s="468" t="s">
        <v>2494</v>
      </c>
      <c r="P1700" s="468" t="s">
        <v>2354</v>
      </c>
      <c r="Z1700" s="433" t="str">
        <f ca="1">HYPERLINK("#"&amp;일위대가목록표!J2&amp;"!A"&amp;ROW(일위대가목록표!A37),"B01447 →")</f>
        <v>B01447 →</v>
      </c>
    </row>
    <row r="1701" spans="1:26" ht="33.200000000000003" customHeight="1">
      <c r="A1701" s="452" t="s">
        <v>1461</v>
      </c>
      <c r="B1701" s="452" t="s">
        <v>1462</v>
      </c>
      <c r="C1701" s="489">
        <v>2.8000000000000001E-2</v>
      </c>
      <c r="D1701" s="480" t="s">
        <v>8</v>
      </c>
      <c r="E1701" s="490">
        <f t="shared" si="262"/>
        <v>915052</v>
      </c>
      <c r="F1701" s="493">
        <f t="shared" si="262"/>
        <v>25621.4</v>
      </c>
      <c r="G1701" s="494">
        <f>일위대가목록표!F72</f>
        <v>915052</v>
      </c>
      <c r="H1701" s="498">
        <f t="shared" si="263"/>
        <v>25621.4</v>
      </c>
      <c r="I1701" s="494">
        <f>일위대가목록표!G72</f>
        <v>0</v>
      </c>
      <c r="J1701" s="498">
        <f t="shared" si="264"/>
        <v>0</v>
      </c>
      <c r="K1701" s="494">
        <f>일위대가목록표!H72</f>
        <v>0</v>
      </c>
      <c r="L1701" s="498">
        <f t="shared" si="265"/>
        <v>0</v>
      </c>
      <c r="M1701" s="463" t="s">
        <v>2471</v>
      </c>
      <c r="N1701" s="451" t="s">
        <v>2672</v>
      </c>
      <c r="O1701" s="468" t="s">
        <v>1465</v>
      </c>
      <c r="P1701" s="468" t="s">
        <v>2354</v>
      </c>
      <c r="Z1701" s="433" t="str">
        <f ca="1">HYPERLINK("#"&amp;일위대가목록표!J2&amp;"!A"&amp;ROW(일위대가목록표!A72),"B01822 →")</f>
        <v>B01822 →</v>
      </c>
    </row>
    <row r="1702" spans="1:26" ht="33.200000000000003" customHeight="1">
      <c r="A1702" s="452" t="s">
        <v>2927</v>
      </c>
      <c r="B1702" s="452" t="s">
        <v>3076</v>
      </c>
      <c r="C1702" s="489">
        <v>6.3</v>
      </c>
      <c r="D1702" s="480" t="s">
        <v>2377</v>
      </c>
      <c r="E1702" s="490">
        <f t="shared" si="262"/>
        <v>2049</v>
      </c>
      <c r="F1702" s="491">
        <f t="shared" si="262"/>
        <v>12908.7</v>
      </c>
      <c r="G1702" s="492">
        <v>0</v>
      </c>
      <c r="H1702" s="493">
        <f t="shared" si="263"/>
        <v>0</v>
      </c>
      <c r="I1702" s="494">
        <f>재료비목록표!E56</f>
        <v>2049</v>
      </c>
      <c r="J1702" s="495">
        <f t="shared" si="264"/>
        <v>12908.7</v>
      </c>
      <c r="K1702" s="492">
        <v>0</v>
      </c>
      <c r="L1702" s="493">
        <f t="shared" si="265"/>
        <v>0</v>
      </c>
      <c r="M1702" s="463" t="s">
        <v>3077</v>
      </c>
      <c r="N1702" s="451" t="s">
        <v>3078</v>
      </c>
      <c r="O1702" s="468" t="s">
        <v>3079</v>
      </c>
      <c r="P1702" s="468" t="s">
        <v>2354</v>
      </c>
      <c r="Z1702" s="433" t="str">
        <f ca="1">HYPERLINK("#"&amp;재료비목록표!G2&amp;"!A"&amp;ROW(재료비목록표!A56),"M00955 →")</f>
        <v>M00955 →</v>
      </c>
    </row>
    <row r="1703" spans="1:26" ht="33.200000000000003" customHeight="1">
      <c r="A1703" s="452" t="s">
        <v>2932</v>
      </c>
      <c r="B1703" s="452" t="s">
        <v>2933</v>
      </c>
      <c r="C1703" s="489">
        <v>6.3</v>
      </c>
      <c r="D1703" s="480" t="s">
        <v>2377</v>
      </c>
      <c r="E1703" s="490">
        <f t="shared" si="262"/>
        <v>157.30000000000001</v>
      </c>
      <c r="F1703" s="491">
        <f t="shared" si="262"/>
        <v>990.9</v>
      </c>
      <c r="G1703" s="492">
        <v>0</v>
      </c>
      <c r="H1703" s="493">
        <f t="shared" si="263"/>
        <v>0</v>
      </c>
      <c r="I1703" s="494">
        <f>재료비목록표!E26</f>
        <v>157.30000000000001</v>
      </c>
      <c r="J1703" s="495">
        <f t="shared" si="264"/>
        <v>990.9</v>
      </c>
      <c r="K1703" s="492">
        <v>0</v>
      </c>
      <c r="L1703" s="493">
        <f t="shared" si="265"/>
        <v>0</v>
      </c>
      <c r="M1703" s="463" t="s">
        <v>2934</v>
      </c>
      <c r="N1703" s="451" t="s">
        <v>2935</v>
      </c>
      <c r="O1703" s="468" t="s">
        <v>2936</v>
      </c>
      <c r="P1703" s="468" t="s">
        <v>2354</v>
      </c>
      <c r="Z1703" s="433" t="str">
        <f ca="1">HYPERLINK("#"&amp;재료비목록표!G2&amp;"!A"&amp;ROW(재료비목록표!A26),"M00958 →")</f>
        <v>M00958 →</v>
      </c>
    </row>
    <row r="1704" spans="1:26" ht="33.200000000000003" customHeight="1">
      <c r="A1704" s="452" t="s">
        <v>2937</v>
      </c>
      <c r="B1704" s="452" t="s">
        <v>2933</v>
      </c>
      <c r="C1704" s="489">
        <v>6.3</v>
      </c>
      <c r="D1704" s="480" t="s">
        <v>2377</v>
      </c>
      <c r="E1704" s="490">
        <f t="shared" si="262"/>
        <v>53.7</v>
      </c>
      <c r="F1704" s="491">
        <f t="shared" si="262"/>
        <v>338.3</v>
      </c>
      <c r="G1704" s="492">
        <v>0</v>
      </c>
      <c r="H1704" s="493">
        <f t="shared" si="263"/>
        <v>0</v>
      </c>
      <c r="I1704" s="494">
        <f>재료비목록표!E74</f>
        <v>53.7</v>
      </c>
      <c r="J1704" s="495">
        <f t="shared" si="264"/>
        <v>338.3</v>
      </c>
      <c r="K1704" s="492">
        <v>0</v>
      </c>
      <c r="L1704" s="493">
        <f t="shared" si="265"/>
        <v>0</v>
      </c>
      <c r="M1704" s="463" t="s">
        <v>2938</v>
      </c>
      <c r="N1704" s="451" t="s">
        <v>2939</v>
      </c>
      <c r="O1704" s="468" t="s">
        <v>2940</v>
      </c>
      <c r="P1704" s="468" t="s">
        <v>2354</v>
      </c>
      <c r="Z1704" s="433" t="str">
        <f ca="1">HYPERLINK("#"&amp;재료비목록표!G2&amp;"!A"&amp;ROW(재료비목록표!A74),"M00648 →")</f>
        <v>M00648 →</v>
      </c>
    </row>
    <row r="1705" spans="1:26" ht="33.200000000000003" customHeight="1">
      <c r="A1705" s="452" t="s">
        <v>2310</v>
      </c>
      <c r="B1705" s="452" t="s">
        <v>2311</v>
      </c>
      <c r="C1705" s="489">
        <v>6</v>
      </c>
      <c r="D1705" s="480" t="s">
        <v>975</v>
      </c>
      <c r="E1705" s="490">
        <f t="shared" si="262"/>
        <v>784</v>
      </c>
      <c r="F1705" s="493">
        <f t="shared" si="262"/>
        <v>4704</v>
      </c>
      <c r="G1705" s="494">
        <f>일위대가목록표!F145</f>
        <v>677</v>
      </c>
      <c r="H1705" s="498">
        <f t="shared" si="263"/>
        <v>4062</v>
      </c>
      <c r="I1705" s="494">
        <f>일위대가목록표!G145</f>
        <v>107</v>
      </c>
      <c r="J1705" s="498">
        <f t="shared" si="264"/>
        <v>642</v>
      </c>
      <c r="K1705" s="494">
        <f>일위대가목록표!H145</f>
        <v>0</v>
      </c>
      <c r="L1705" s="498">
        <f t="shared" si="265"/>
        <v>0</v>
      </c>
      <c r="M1705" s="463" t="s">
        <v>2941</v>
      </c>
      <c r="N1705" s="451" t="s">
        <v>2942</v>
      </c>
      <c r="O1705" s="468" t="s">
        <v>2943</v>
      </c>
      <c r="P1705" s="468" t="s">
        <v>2354</v>
      </c>
      <c r="Z1705" s="433" t="str">
        <f ca="1">HYPERLINK("#"&amp;일위대가목록표!J2&amp;"!A"&amp;ROW(일위대가목록표!A145),"B01416 →")</f>
        <v>B01416 →</v>
      </c>
    </row>
    <row r="1706" spans="1:26" ht="33.200000000000003" customHeight="1">
      <c r="A1706" s="463" t="s">
        <v>842</v>
      </c>
      <c r="B1706" s="497"/>
      <c r="C1706" s="497"/>
      <c r="D1706" s="497"/>
      <c r="E1706" s="497"/>
      <c r="F1706" s="446">
        <f>J1706+H1706+L1706</f>
        <v>57364</v>
      </c>
      <c r="G1706" s="497"/>
      <c r="H1706" s="446">
        <f>ROUNDDOWN(SUMIF(P1698:P1705,O1706,H1698:H1705),0)</f>
        <v>42485</v>
      </c>
      <c r="I1706" s="497"/>
      <c r="J1706" s="446">
        <f>ROUNDDOWN(SUMIF(P1698:P1705,O1706,J1698:J1705),0)</f>
        <v>14879</v>
      </c>
      <c r="K1706" s="497"/>
      <c r="L1706" s="446">
        <f>ROUNDDOWN(SUMIF(P1698:P1705,O1706,L1698:L1705),0)</f>
        <v>0</v>
      </c>
      <c r="M1706" s="497"/>
      <c r="O1706" s="468" t="s">
        <v>2354</v>
      </c>
    </row>
    <row r="1707" spans="1:26" ht="33.200000000000003" customHeight="1">
      <c r="A1707" s="484" t="s">
        <v>3282</v>
      </c>
      <c r="B1707" s="484"/>
      <c r="C1707" s="485"/>
      <c r="D1707" s="485"/>
      <c r="E1707" s="485"/>
      <c r="F1707" s="485"/>
      <c r="G1707" s="485"/>
      <c r="H1707" s="485"/>
      <c r="I1707" s="485"/>
      <c r="J1707" s="485"/>
      <c r="K1707" s="485"/>
      <c r="L1707" s="485"/>
      <c r="M1707" s="485"/>
      <c r="N1707" s="486" t="str">
        <f>HYPERLINK("#N"&amp;ROW(N1717),"_x0005_`BDCOD|B02843_x0007_`POSS|"&amp;ROW(N1709)&amp;"_x0007_`POSE|"&amp;ROW(N1717)&amp;"_x0007_`")</f>
        <v>_x0005_`BDCOD|B02843_x0007_`POSS|1709_x0007_`POSE|1717_x0007_`</v>
      </c>
    </row>
    <row r="1708" spans="1:26" ht="33.200000000000003" customHeight="1">
      <c r="A1708" s="469" t="s">
        <v>5113</v>
      </c>
      <c r="B1708" s="469" t="s">
        <v>1039</v>
      </c>
      <c r="C1708" s="487"/>
      <c r="D1708" s="488" t="s">
        <v>984</v>
      </c>
      <c r="E1708" s="487"/>
      <c r="F1708" s="487"/>
      <c r="G1708" s="487"/>
      <c r="H1708" s="487"/>
      <c r="I1708" s="487"/>
      <c r="J1708" s="487"/>
      <c r="K1708" s="487"/>
      <c r="L1708" s="487"/>
      <c r="M1708" s="488" t="s">
        <v>5114</v>
      </c>
      <c r="O1708" s="468" t="s">
        <v>5114</v>
      </c>
    </row>
    <row r="1709" spans="1:26" ht="33.200000000000003" customHeight="1">
      <c r="A1709" s="452" t="s">
        <v>2484</v>
      </c>
      <c r="B1709" s="452" t="s">
        <v>2485</v>
      </c>
      <c r="C1709" s="489">
        <v>0.12</v>
      </c>
      <c r="D1709" s="480" t="s">
        <v>8</v>
      </c>
      <c r="E1709" s="490">
        <f t="shared" ref="E1709:F1717" si="266">I1709+G1709+K1709</f>
        <v>62811</v>
      </c>
      <c r="F1709" s="493">
        <f t="shared" si="266"/>
        <v>7537.3</v>
      </c>
      <c r="G1709" s="494">
        <f>단가산출근거목록표!F157</f>
        <v>62811</v>
      </c>
      <c r="H1709" s="498">
        <f t="shared" ref="H1709:H1716" si="267">IF(C1709=0,0,ROUNDDOWN(G1709*C1709,1))</f>
        <v>7537.3</v>
      </c>
      <c r="I1709" s="494">
        <f>단가산출근거목록표!G157</f>
        <v>0</v>
      </c>
      <c r="J1709" s="498">
        <f t="shared" ref="J1709:J1716" si="268">IF(C1709=0,0,ROUNDDOWN(I1709*C1709,1))</f>
        <v>0</v>
      </c>
      <c r="K1709" s="494">
        <f>단가산출근거목록표!H157</f>
        <v>0</v>
      </c>
      <c r="L1709" s="498">
        <f t="shared" ref="L1709:L1716" si="269">IF(C1709=0,0,ROUNDDOWN(K1709*C1709,1))</f>
        <v>0</v>
      </c>
      <c r="M1709" s="463" t="s">
        <v>2486</v>
      </c>
      <c r="N1709" s="451" t="s">
        <v>2487</v>
      </c>
      <c r="O1709" s="468" t="s">
        <v>2488</v>
      </c>
      <c r="P1709" s="468" t="s">
        <v>2354</v>
      </c>
      <c r="Q1709" s="468" t="s">
        <v>2355</v>
      </c>
      <c r="Z1709" s="433" t="str">
        <f ca="1">HYPERLINK("#"&amp;단가산출근거목록표!J2&amp;"!A"&amp;ROW(단가산출근거목록표!A157),"D01241 →")</f>
        <v>D01241 →</v>
      </c>
    </row>
    <row r="1710" spans="1:26" ht="33.200000000000003" customHeight="1">
      <c r="A1710" s="452" t="s">
        <v>2321</v>
      </c>
      <c r="B1710" s="452" t="s">
        <v>2322</v>
      </c>
      <c r="C1710" s="489">
        <v>2.5000000000000001E-2</v>
      </c>
      <c r="D1710" s="480" t="s">
        <v>8</v>
      </c>
      <c r="E1710" s="490">
        <f t="shared" si="266"/>
        <v>34413</v>
      </c>
      <c r="F1710" s="493">
        <f t="shared" si="266"/>
        <v>860.3</v>
      </c>
      <c r="G1710" s="494">
        <f>일위대가목록표!F275</f>
        <v>34413</v>
      </c>
      <c r="H1710" s="498">
        <f t="shared" si="267"/>
        <v>860.3</v>
      </c>
      <c r="I1710" s="494">
        <f>일위대가목록표!G275</f>
        <v>0</v>
      </c>
      <c r="J1710" s="498">
        <f t="shared" si="268"/>
        <v>0</v>
      </c>
      <c r="K1710" s="494">
        <f>일위대가목록표!H275</f>
        <v>0</v>
      </c>
      <c r="L1710" s="498">
        <f t="shared" si="269"/>
        <v>0</v>
      </c>
      <c r="M1710" s="463" t="s">
        <v>2489</v>
      </c>
      <c r="N1710" s="451" t="s">
        <v>2490</v>
      </c>
      <c r="O1710" s="468" t="s">
        <v>2491</v>
      </c>
      <c r="P1710" s="468" t="s">
        <v>2354</v>
      </c>
      <c r="Q1710" s="468" t="s">
        <v>2355</v>
      </c>
      <c r="Z1710" s="433" t="str">
        <f ca="1">HYPERLINK("#"&amp;일위대가목록표!J2&amp;"!A"&amp;ROW(일위대가목록표!A275),"B01414 →")</f>
        <v>B01414 →</v>
      </c>
    </row>
    <row r="1711" spans="1:26" ht="33.200000000000003" customHeight="1">
      <c r="A1711" s="452" t="s">
        <v>2298</v>
      </c>
      <c r="B1711" s="452" t="s">
        <v>2299</v>
      </c>
      <c r="C1711" s="489">
        <v>9.5000000000000001E-2</v>
      </c>
      <c r="D1711" s="480" t="s">
        <v>8</v>
      </c>
      <c r="E1711" s="490">
        <f t="shared" si="266"/>
        <v>24089</v>
      </c>
      <c r="F1711" s="493">
        <f t="shared" si="266"/>
        <v>2288.4</v>
      </c>
      <c r="G1711" s="494">
        <f>일위대가목록표!F37</f>
        <v>24089</v>
      </c>
      <c r="H1711" s="498">
        <f t="shared" si="267"/>
        <v>2288.4</v>
      </c>
      <c r="I1711" s="494">
        <f>일위대가목록표!G37</f>
        <v>0</v>
      </c>
      <c r="J1711" s="498">
        <f t="shared" si="268"/>
        <v>0</v>
      </c>
      <c r="K1711" s="494">
        <f>일위대가목록표!H37</f>
        <v>0</v>
      </c>
      <c r="L1711" s="498">
        <f t="shared" si="269"/>
        <v>0</v>
      </c>
      <c r="M1711" s="463" t="s">
        <v>2492</v>
      </c>
      <c r="N1711" s="451" t="s">
        <v>2493</v>
      </c>
      <c r="O1711" s="468" t="s">
        <v>2494</v>
      </c>
      <c r="P1711" s="468" t="s">
        <v>2354</v>
      </c>
      <c r="Q1711" s="468" t="s">
        <v>2355</v>
      </c>
      <c r="Z1711" s="433" t="str">
        <f ca="1">HYPERLINK("#"&amp;일위대가목록표!J2&amp;"!A"&amp;ROW(일위대가목록표!A37),"B01447 →")</f>
        <v>B01447 →</v>
      </c>
    </row>
    <row r="1712" spans="1:26" ht="33.200000000000003" customHeight="1">
      <c r="A1712" s="452" t="s">
        <v>1461</v>
      </c>
      <c r="B1712" s="452" t="s">
        <v>1462</v>
      </c>
      <c r="C1712" s="489">
        <v>2.5000000000000001E-2</v>
      </c>
      <c r="D1712" s="480" t="s">
        <v>8</v>
      </c>
      <c r="E1712" s="490">
        <f t="shared" si="266"/>
        <v>915052</v>
      </c>
      <c r="F1712" s="493">
        <f t="shared" si="266"/>
        <v>22876.3</v>
      </c>
      <c r="G1712" s="494">
        <f>일위대가목록표!F72</f>
        <v>915052</v>
      </c>
      <c r="H1712" s="498">
        <f t="shared" si="267"/>
        <v>22876.3</v>
      </c>
      <c r="I1712" s="494">
        <f>일위대가목록표!G72</f>
        <v>0</v>
      </c>
      <c r="J1712" s="498">
        <f t="shared" si="268"/>
        <v>0</v>
      </c>
      <c r="K1712" s="494">
        <f>일위대가목록표!H72</f>
        <v>0</v>
      </c>
      <c r="L1712" s="498">
        <f t="shared" si="269"/>
        <v>0</v>
      </c>
      <c r="M1712" s="463" t="s">
        <v>2471</v>
      </c>
      <c r="N1712" s="451" t="s">
        <v>2472</v>
      </c>
      <c r="O1712" s="468" t="s">
        <v>1465</v>
      </c>
      <c r="P1712" s="468" t="s">
        <v>2354</v>
      </c>
      <c r="Q1712" s="468" t="s">
        <v>2355</v>
      </c>
      <c r="Z1712" s="433" t="str">
        <f ca="1">HYPERLINK("#"&amp;일위대가목록표!J2&amp;"!A"&amp;ROW(일위대가목록표!A72),"B01822 →")</f>
        <v>B01822 →</v>
      </c>
    </row>
    <row r="1713" spans="1:26" ht="33.200000000000003" customHeight="1">
      <c r="A1713" s="452" t="s">
        <v>2927</v>
      </c>
      <c r="B1713" s="452" t="s">
        <v>3076</v>
      </c>
      <c r="C1713" s="489">
        <v>6.3</v>
      </c>
      <c r="D1713" s="480" t="s">
        <v>2377</v>
      </c>
      <c r="E1713" s="490">
        <f t="shared" si="266"/>
        <v>2049</v>
      </c>
      <c r="F1713" s="491">
        <f t="shared" si="266"/>
        <v>12908.7</v>
      </c>
      <c r="G1713" s="492">
        <v>0</v>
      </c>
      <c r="H1713" s="493">
        <f t="shared" si="267"/>
        <v>0</v>
      </c>
      <c r="I1713" s="494">
        <f>재료비목록표!E56</f>
        <v>2049</v>
      </c>
      <c r="J1713" s="495">
        <f t="shared" si="268"/>
        <v>12908.7</v>
      </c>
      <c r="K1713" s="492">
        <v>0</v>
      </c>
      <c r="L1713" s="493">
        <f t="shared" si="269"/>
        <v>0</v>
      </c>
      <c r="M1713" s="463" t="s">
        <v>3077</v>
      </c>
      <c r="N1713" s="451" t="s">
        <v>3078</v>
      </c>
      <c r="O1713" s="468" t="s">
        <v>3079</v>
      </c>
      <c r="P1713" s="468" t="s">
        <v>2354</v>
      </c>
      <c r="Z1713" s="433" t="str">
        <f ca="1">HYPERLINK("#"&amp;재료비목록표!G2&amp;"!A"&amp;ROW(재료비목록표!A56),"M00955 →")</f>
        <v>M00955 →</v>
      </c>
    </row>
    <row r="1714" spans="1:26" ht="33.200000000000003" customHeight="1">
      <c r="A1714" s="452" t="s">
        <v>2932</v>
      </c>
      <c r="B1714" s="452" t="s">
        <v>2933</v>
      </c>
      <c r="C1714" s="489">
        <v>6.3</v>
      </c>
      <c r="D1714" s="480" t="s">
        <v>2377</v>
      </c>
      <c r="E1714" s="490">
        <f t="shared" si="266"/>
        <v>157.30000000000001</v>
      </c>
      <c r="F1714" s="491">
        <f t="shared" si="266"/>
        <v>990.9</v>
      </c>
      <c r="G1714" s="492">
        <v>0</v>
      </c>
      <c r="H1714" s="493">
        <f t="shared" si="267"/>
        <v>0</v>
      </c>
      <c r="I1714" s="494">
        <f>재료비목록표!E26</f>
        <v>157.30000000000001</v>
      </c>
      <c r="J1714" s="495">
        <f t="shared" si="268"/>
        <v>990.9</v>
      </c>
      <c r="K1714" s="492">
        <v>0</v>
      </c>
      <c r="L1714" s="493">
        <f t="shared" si="269"/>
        <v>0</v>
      </c>
      <c r="M1714" s="463" t="s">
        <v>2934</v>
      </c>
      <c r="N1714" s="451" t="s">
        <v>2935</v>
      </c>
      <c r="O1714" s="468" t="s">
        <v>2936</v>
      </c>
      <c r="P1714" s="468" t="s">
        <v>2354</v>
      </c>
      <c r="Z1714" s="433" t="str">
        <f ca="1">HYPERLINK("#"&amp;재료비목록표!G2&amp;"!A"&amp;ROW(재료비목록표!A26),"M00958 →")</f>
        <v>M00958 →</v>
      </c>
    </row>
    <row r="1715" spans="1:26" ht="33.200000000000003" customHeight="1">
      <c r="A1715" s="452" t="s">
        <v>2937</v>
      </c>
      <c r="B1715" s="452" t="s">
        <v>2933</v>
      </c>
      <c r="C1715" s="489">
        <v>6.3</v>
      </c>
      <c r="D1715" s="480" t="s">
        <v>2377</v>
      </c>
      <c r="E1715" s="490">
        <f t="shared" si="266"/>
        <v>53.7</v>
      </c>
      <c r="F1715" s="491">
        <f t="shared" si="266"/>
        <v>338.3</v>
      </c>
      <c r="G1715" s="492">
        <v>0</v>
      </c>
      <c r="H1715" s="493">
        <f t="shared" si="267"/>
        <v>0</v>
      </c>
      <c r="I1715" s="494">
        <f>재료비목록표!E74</f>
        <v>53.7</v>
      </c>
      <c r="J1715" s="495">
        <f t="shared" si="268"/>
        <v>338.3</v>
      </c>
      <c r="K1715" s="492">
        <v>0</v>
      </c>
      <c r="L1715" s="493">
        <f t="shared" si="269"/>
        <v>0</v>
      </c>
      <c r="M1715" s="463" t="s">
        <v>2938</v>
      </c>
      <c r="N1715" s="451" t="s">
        <v>2939</v>
      </c>
      <c r="O1715" s="468" t="s">
        <v>2940</v>
      </c>
      <c r="P1715" s="468" t="s">
        <v>2354</v>
      </c>
      <c r="Z1715" s="433" t="str">
        <f ca="1">HYPERLINK("#"&amp;재료비목록표!G2&amp;"!A"&amp;ROW(재료비목록표!A74),"M00648 →")</f>
        <v>M00648 →</v>
      </c>
    </row>
    <row r="1716" spans="1:26" ht="33.200000000000003" customHeight="1">
      <c r="A1716" s="452" t="s">
        <v>2310</v>
      </c>
      <c r="B1716" s="452" t="s">
        <v>2311</v>
      </c>
      <c r="C1716" s="489">
        <v>6</v>
      </c>
      <c r="D1716" s="480" t="s">
        <v>975</v>
      </c>
      <c r="E1716" s="490">
        <f t="shared" si="266"/>
        <v>784</v>
      </c>
      <c r="F1716" s="493">
        <f t="shared" si="266"/>
        <v>4704</v>
      </c>
      <c r="G1716" s="494">
        <f>일위대가목록표!F145</f>
        <v>677</v>
      </c>
      <c r="H1716" s="498">
        <f t="shared" si="267"/>
        <v>4062</v>
      </c>
      <c r="I1716" s="494">
        <f>일위대가목록표!G145</f>
        <v>107</v>
      </c>
      <c r="J1716" s="498">
        <f t="shared" si="268"/>
        <v>642</v>
      </c>
      <c r="K1716" s="494">
        <f>일위대가목록표!H145</f>
        <v>0</v>
      </c>
      <c r="L1716" s="498">
        <f t="shared" si="269"/>
        <v>0</v>
      </c>
      <c r="M1716" s="463" t="s">
        <v>2941</v>
      </c>
      <c r="N1716" s="451" t="s">
        <v>2992</v>
      </c>
      <c r="O1716" s="468" t="s">
        <v>2943</v>
      </c>
      <c r="P1716" s="468" t="s">
        <v>2354</v>
      </c>
      <c r="Q1716" s="468" t="s">
        <v>2355</v>
      </c>
      <c r="Z1716" s="433" t="str">
        <f ca="1">HYPERLINK("#"&amp;일위대가목록표!J2&amp;"!A"&amp;ROW(일위대가목록표!A145),"B01416 →")</f>
        <v>B01416 →</v>
      </c>
    </row>
    <row r="1717" spans="1:26" ht="33.200000000000003" customHeight="1">
      <c r="A1717" s="452" t="s">
        <v>2507</v>
      </c>
      <c r="B1717" s="452" t="s">
        <v>2441</v>
      </c>
      <c r="C1717" s="489">
        <v>15</v>
      </c>
      <c r="D1717" s="480" t="s">
        <v>2371</v>
      </c>
      <c r="E1717" s="490">
        <f t="shared" si="266"/>
        <v>37624.300000000003</v>
      </c>
      <c r="F1717" s="491">
        <f t="shared" si="266"/>
        <v>5643.6</v>
      </c>
      <c r="G1717" s="496">
        <f>H1709+H1710+H1711+H1712+H1716</f>
        <v>37624.300000000003</v>
      </c>
      <c r="H1717" s="491">
        <f>IF(C1717=0,0,ROUNDDOWN(G1717*C1717/100,1))</f>
        <v>5643.6</v>
      </c>
      <c r="I1717" s="465">
        <v>0</v>
      </c>
      <c r="J1717" s="493">
        <f>IF(C1717=0,0,ROUNDDOWN(I1717*C1717/100,1))</f>
        <v>0</v>
      </c>
      <c r="K1717" s="467">
        <v>0</v>
      </c>
      <c r="L1717" s="493">
        <f>IF(C1717=0,0,ROUNDDOWN(K1717*C1717/100,1))</f>
        <v>0</v>
      </c>
      <c r="M1717" s="463"/>
      <c r="N1717" s="451" t="s">
        <v>2508</v>
      </c>
      <c r="O1717" s="468" t="s">
        <v>2373</v>
      </c>
      <c r="P1717" s="468" t="s">
        <v>2354</v>
      </c>
    </row>
    <row r="1718" spans="1:26" ht="33.200000000000003" customHeight="1">
      <c r="A1718" s="463" t="s">
        <v>842</v>
      </c>
      <c r="B1718" s="497"/>
      <c r="C1718" s="497"/>
      <c r="D1718" s="497"/>
      <c r="E1718" s="497"/>
      <c r="F1718" s="446">
        <f>J1718+H1718+L1718</f>
        <v>58146</v>
      </c>
      <c r="G1718" s="497"/>
      <c r="H1718" s="446">
        <f>ROUNDDOWN(SUMIF(P1709:P1717,O1718,H1709:H1717),0)</f>
        <v>43267</v>
      </c>
      <c r="I1718" s="497"/>
      <c r="J1718" s="446">
        <f>ROUNDDOWN(SUMIF(P1709:P1717,O1718,J1709:J1717),0)</f>
        <v>14879</v>
      </c>
      <c r="K1718" s="497"/>
      <c r="L1718" s="446">
        <f>ROUNDDOWN(SUMIF(P1709:P1717,O1718,L1709:L1717),0)</f>
        <v>0</v>
      </c>
      <c r="M1718" s="497"/>
      <c r="O1718" s="468" t="s">
        <v>2354</v>
      </c>
    </row>
    <row r="1719" spans="1:26" ht="33.200000000000003" customHeight="1">
      <c r="A1719" s="484" t="s">
        <v>3284</v>
      </c>
      <c r="B1719" s="484"/>
      <c r="C1719" s="485"/>
      <c r="D1719" s="485"/>
      <c r="E1719" s="485"/>
      <c r="F1719" s="485"/>
      <c r="G1719" s="485"/>
      <c r="H1719" s="485"/>
      <c r="I1719" s="485"/>
      <c r="J1719" s="485"/>
      <c r="K1719" s="485"/>
      <c r="L1719" s="485"/>
      <c r="M1719" s="485"/>
      <c r="N1719" s="486" t="str">
        <f>HYPERLINK("#N"&amp;ROW(N1729),"_x0005_`BDCOD|B02844_x0007_`POSS|"&amp;ROW(N1721)&amp;"_x0007_`POSE|"&amp;ROW(N1729)&amp;"_x0007_`")</f>
        <v>_x0005_`BDCOD|B02844_x0007_`POSS|1721_x0007_`POSE|1729_x0007_`</v>
      </c>
    </row>
    <row r="1720" spans="1:26" ht="33.200000000000003" customHeight="1">
      <c r="A1720" s="469" t="s">
        <v>5113</v>
      </c>
      <c r="B1720" s="469" t="s">
        <v>1043</v>
      </c>
      <c r="C1720" s="487"/>
      <c r="D1720" s="488" t="s">
        <v>984</v>
      </c>
      <c r="E1720" s="487"/>
      <c r="F1720" s="487"/>
      <c r="G1720" s="487"/>
      <c r="H1720" s="487"/>
      <c r="I1720" s="487"/>
      <c r="J1720" s="487"/>
      <c r="K1720" s="487"/>
      <c r="L1720" s="487"/>
      <c r="M1720" s="488" t="s">
        <v>5117</v>
      </c>
      <c r="O1720" s="468" t="s">
        <v>5117</v>
      </c>
    </row>
    <row r="1721" spans="1:26" ht="33.200000000000003" customHeight="1">
      <c r="A1721" s="452" t="s">
        <v>2484</v>
      </c>
      <c r="B1721" s="452" t="s">
        <v>2485</v>
      </c>
      <c r="C1721" s="489">
        <v>0.14399999999999999</v>
      </c>
      <c r="D1721" s="480" t="s">
        <v>8</v>
      </c>
      <c r="E1721" s="490">
        <f t="shared" ref="E1721:F1729" si="270">I1721+G1721+K1721</f>
        <v>62811</v>
      </c>
      <c r="F1721" s="493">
        <f t="shared" si="270"/>
        <v>9044.7000000000007</v>
      </c>
      <c r="G1721" s="494">
        <f>단가산출근거목록표!F157</f>
        <v>62811</v>
      </c>
      <c r="H1721" s="498">
        <f t="shared" ref="H1721:H1728" si="271">IF(C1721=0,0,ROUNDDOWN(G1721*C1721,1))</f>
        <v>9044.7000000000007</v>
      </c>
      <c r="I1721" s="494">
        <f>단가산출근거목록표!G157</f>
        <v>0</v>
      </c>
      <c r="J1721" s="498">
        <f t="shared" ref="J1721:J1728" si="272">IF(C1721=0,0,ROUNDDOWN(I1721*C1721,1))</f>
        <v>0</v>
      </c>
      <c r="K1721" s="494">
        <f>단가산출근거목록표!H157</f>
        <v>0</v>
      </c>
      <c r="L1721" s="498">
        <f t="shared" ref="L1721:L1728" si="273">IF(C1721=0,0,ROUNDDOWN(K1721*C1721,1))</f>
        <v>0</v>
      </c>
      <c r="M1721" s="463" t="s">
        <v>2486</v>
      </c>
      <c r="N1721" s="451" t="s">
        <v>2487</v>
      </c>
      <c r="O1721" s="468" t="s">
        <v>2488</v>
      </c>
      <c r="P1721" s="468" t="s">
        <v>2354</v>
      </c>
      <c r="Q1721" s="468" t="s">
        <v>2355</v>
      </c>
      <c r="Z1721" s="433" t="str">
        <f ca="1">HYPERLINK("#"&amp;단가산출근거목록표!J2&amp;"!A"&amp;ROW(단가산출근거목록표!A157),"D01241 →")</f>
        <v>D01241 →</v>
      </c>
    </row>
    <row r="1722" spans="1:26" ht="33.200000000000003" customHeight="1">
      <c r="A1722" s="452" t="s">
        <v>2321</v>
      </c>
      <c r="B1722" s="452" t="s">
        <v>2322</v>
      </c>
      <c r="C1722" s="489">
        <v>2.8000000000000001E-2</v>
      </c>
      <c r="D1722" s="480" t="s">
        <v>8</v>
      </c>
      <c r="E1722" s="490">
        <f t="shared" si="270"/>
        <v>34413</v>
      </c>
      <c r="F1722" s="493">
        <f t="shared" si="270"/>
        <v>963.5</v>
      </c>
      <c r="G1722" s="494">
        <f>일위대가목록표!F275</f>
        <v>34413</v>
      </c>
      <c r="H1722" s="498">
        <f t="shared" si="271"/>
        <v>963.5</v>
      </c>
      <c r="I1722" s="494">
        <f>일위대가목록표!G275</f>
        <v>0</v>
      </c>
      <c r="J1722" s="498">
        <f t="shared" si="272"/>
        <v>0</v>
      </c>
      <c r="K1722" s="494">
        <f>일위대가목록표!H275</f>
        <v>0</v>
      </c>
      <c r="L1722" s="498">
        <f t="shared" si="273"/>
        <v>0</v>
      </c>
      <c r="M1722" s="463" t="s">
        <v>2489</v>
      </c>
      <c r="N1722" s="451" t="s">
        <v>2490</v>
      </c>
      <c r="O1722" s="468" t="s">
        <v>2491</v>
      </c>
      <c r="P1722" s="468" t="s">
        <v>2354</v>
      </c>
      <c r="Q1722" s="468" t="s">
        <v>2355</v>
      </c>
      <c r="Z1722" s="433" t="str">
        <f ca="1">HYPERLINK("#"&amp;일위대가목록표!J2&amp;"!A"&amp;ROW(일위대가목록표!A275),"B01414 →")</f>
        <v>B01414 →</v>
      </c>
    </row>
    <row r="1723" spans="1:26" ht="33.200000000000003" customHeight="1">
      <c r="A1723" s="452" t="s">
        <v>2298</v>
      </c>
      <c r="B1723" s="452" t="s">
        <v>2299</v>
      </c>
      <c r="C1723" s="489">
        <v>0.11600000000000001</v>
      </c>
      <c r="D1723" s="480" t="s">
        <v>8</v>
      </c>
      <c r="E1723" s="490">
        <f t="shared" si="270"/>
        <v>24089</v>
      </c>
      <c r="F1723" s="493">
        <f t="shared" si="270"/>
        <v>2794.3</v>
      </c>
      <c r="G1723" s="494">
        <f>일위대가목록표!F37</f>
        <v>24089</v>
      </c>
      <c r="H1723" s="498">
        <f t="shared" si="271"/>
        <v>2794.3</v>
      </c>
      <c r="I1723" s="494">
        <f>일위대가목록표!G37</f>
        <v>0</v>
      </c>
      <c r="J1723" s="498">
        <f t="shared" si="272"/>
        <v>0</v>
      </c>
      <c r="K1723" s="494">
        <f>일위대가목록표!H37</f>
        <v>0</v>
      </c>
      <c r="L1723" s="498">
        <f t="shared" si="273"/>
        <v>0</v>
      </c>
      <c r="M1723" s="463" t="s">
        <v>2492</v>
      </c>
      <c r="N1723" s="451" t="s">
        <v>2493</v>
      </c>
      <c r="O1723" s="468" t="s">
        <v>2494</v>
      </c>
      <c r="P1723" s="468" t="s">
        <v>2354</v>
      </c>
      <c r="Q1723" s="468" t="s">
        <v>2355</v>
      </c>
      <c r="Z1723" s="433" t="str">
        <f ca="1">HYPERLINK("#"&amp;일위대가목록표!J2&amp;"!A"&amp;ROW(일위대가목록표!A37),"B01447 →")</f>
        <v>B01447 →</v>
      </c>
    </row>
    <row r="1724" spans="1:26" ht="33.200000000000003" customHeight="1">
      <c r="A1724" s="452" t="s">
        <v>1461</v>
      </c>
      <c r="B1724" s="452" t="s">
        <v>1462</v>
      </c>
      <c r="C1724" s="489">
        <v>2.8000000000000001E-2</v>
      </c>
      <c r="D1724" s="480" t="s">
        <v>8</v>
      </c>
      <c r="E1724" s="490">
        <f t="shared" si="270"/>
        <v>915052</v>
      </c>
      <c r="F1724" s="493">
        <f t="shared" si="270"/>
        <v>25621.4</v>
      </c>
      <c r="G1724" s="494">
        <f>일위대가목록표!F72</f>
        <v>915052</v>
      </c>
      <c r="H1724" s="498">
        <f t="shared" si="271"/>
        <v>25621.4</v>
      </c>
      <c r="I1724" s="494">
        <f>일위대가목록표!G72</f>
        <v>0</v>
      </c>
      <c r="J1724" s="498">
        <f t="shared" si="272"/>
        <v>0</v>
      </c>
      <c r="K1724" s="494">
        <f>일위대가목록표!H72</f>
        <v>0</v>
      </c>
      <c r="L1724" s="498">
        <f t="shared" si="273"/>
        <v>0</v>
      </c>
      <c r="M1724" s="463" t="s">
        <v>2471</v>
      </c>
      <c r="N1724" s="451" t="s">
        <v>2472</v>
      </c>
      <c r="O1724" s="468" t="s">
        <v>1465</v>
      </c>
      <c r="P1724" s="468" t="s">
        <v>2354</v>
      </c>
      <c r="Q1724" s="468" t="s">
        <v>2355</v>
      </c>
      <c r="Z1724" s="433" t="str">
        <f ca="1">HYPERLINK("#"&amp;일위대가목록표!J2&amp;"!A"&amp;ROW(일위대가목록표!A72),"B01822 →")</f>
        <v>B01822 →</v>
      </c>
    </row>
    <row r="1725" spans="1:26" ht="33.200000000000003" customHeight="1">
      <c r="A1725" s="452" t="s">
        <v>2927</v>
      </c>
      <c r="B1725" s="452" t="s">
        <v>3076</v>
      </c>
      <c r="C1725" s="489">
        <v>6.3</v>
      </c>
      <c r="D1725" s="480" t="s">
        <v>2377</v>
      </c>
      <c r="E1725" s="490">
        <f t="shared" si="270"/>
        <v>2049</v>
      </c>
      <c r="F1725" s="491">
        <f t="shared" si="270"/>
        <v>12908.7</v>
      </c>
      <c r="G1725" s="492">
        <v>0</v>
      </c>
      <c r="H1725" s="493">
        <f t="shared" si="271"/>
        <v>0</v>
      </c>
      <c r="I1725" s="494">
        <f>재료비목록표!E56</f>
        <v>2049</v>
      </c>
      <c r="J1725" s="495">
        <f t="shared" si="272"/>
        <v>12908.7</v>
      </c>
      <c r="K1725" s="492">
        <v>0</v>
      </c>
      <c r="L1725" s="493">
        <f t="shared" si="273"/>
        <v>0</v>
      </c>
      <c r="M1725" s="463" t="s">
        <v>3077</v>
      </c>
      <c r="N1725" s="451" t="s">
        <v>3078</v>
      </c>
      <c r="O1725" s="468" t="s">
        <v>3079</v>
      </c>
      <c r="P1725" s="468" t="s">
        <v>2354</v>
      </c>
      <c r="Z1725" s="433" t="str">
        <f ca="1">HYPERLINK("#"&amp;재료비목록표!G2&amp;"!A"&amp;ROW(재료비목록표!A56),"M00955 →")</f>
        <v>M00955 →</v>
      </c>
    </row>
    <row r="1726" spans="1:26" ht="33.200000000000003" customHeight="1">
      <c r="A1726" s="452" t="s">
        <v>2932</v>
      </c>
      <c r="B1726" s="452" t="s">
        <v>2933</v>
      </c>
      <c r="C1726" s="489">
        <v>6.3</v>
      </c>
      <c r="D1726" s="480" t="s">
        <v>2377</v>
      </c>
      <c r="E1726" s="490">
        <f t="shared" si="270"/>
        <v>157.30000000000001</v>
      </c>
      <c r="F1726" s="491">
        <f t="shared" si="270"/>
        <v>990.9</v>
      </c>
      <c r="G1726" s="492">
        <v>0</v>
      </c>
      <c r="H1726" s="493">
        <f t="shared" si="271"/>
        <v>0</v>
      </c>
      <c r="I1726" s="494">
        <f>재료비목록표!E26</f>
        <v>157.30000000000001</v>
      </c>
      <c r="J1726" s="495">
        <f t="shared" si="272"/>
        <v>990.9</v>
      </c>
      <c r="K1726" s="492">
        <v>0</v>
      </c>
      <c r="L1726" s="493">
        <f t="shared" si="273"/>
        <v>0</v>
      </c>
      <c r="M1726" s="463" t="s">
        <v>2934</v>
      </c>
      <c r="N1726" s="451" t="s">
        <v>2935</v>
      </c>
      <c r="O1726" s="468" t="s">
        <v>2936</v>
      </c>
      <c r="P1726" s="468" t="s">
        <v>2354</v>
      </c>
      <c r="Z1726" s="433" t="str">
        <f ca="1">HYPERLINK("#"&amp;재료비목록표!G2&amp;"!A"&amp;ROW(재료비목록표!A26),"M00958 →")</f>
        <v>M00958 →</v>
      </c>
    </row>
    <row r="1727" spans="1:26" ht="33.200000000000003" customHeight="1">
      <c r="A1727" s="452" t="s">
        <v>2937</v>
      </c>
      <c r="B1727" s="452" t="s">
        <v>2933</v>
      </c>
      <c r="C1727" s="489">
        <v>6.3</v>
      </c>
      <c r="D1727" s="480" t="s">
        <v>2377</v>
      </c>
      <c r="E1727" s="490">
        <f t="shared" si="270"/>
        <v>53.7</v>
      </c>
      <c r="F1727" s="491">
        <f t="shared" si="270"/>
        <v>338.3</v>
      </c>
      <c r="G1727" s="492">
        <v>0</v>
      </c>
      <c r="H1727" s="493">
        <f t="shared" si="271"/>
        <v>0</v>
      </c>
      <c r="I1727" s="494">
        <f>재료비목록표!E74</f>
        <v>53.7</v>
      </c>
      <c r="J1727" s="495">
        <f t="shared" si="272"/>
        <v>338.3</v>
      </c>
      <c r="K1727" s="492">
        <v>0</v>
      </c>
      <c r="L1727" s="493">
        <f t="shared" si="273"/>
        <v>0</v>
      </c>
      <c r="M1727" s="463" t="s">
        <v>2938</v>
      </c>
      <c r="N1727" s="451" t="s">
        <v>2939</v>
      </c>
      <c r="O1727" s="468" t="s">
        <v>2940</v>
      </c>
      <c r="P1727" s="468" t="s">
        <v>2354</v>
      </c>
      <c r="Z1727" s="433" t="str">
        <f ca="1">HYPERLINK("#"&amp;재료비목록표!G2&amp;"!A"&amp;ROW(재료비목록표!A74),"M00648 →")</f>
        <v>M00648 →</v>
      </c>
    </row>
    <row r="1728" spans="1:26" ht="33.200000000000003" customHeight="1">
      <c r="A1728" s="452" t="s">
        <v>2310</v>
      </c>
      <c r="B1728" s="452" t="s">
        <v>2311</v>
      </c>
      <c r="C1728" s="489">
        <v>6</v>
      </c>
      <c r="D1728" s="480" t="s">
        <v>975</v>
      </c>
      <c r="E1728" s="490">
        <f t="shared" si="270"/>
        <v>784</v>
      </c>
      <c r="F1728" s="493">
        <f t="shared" si="270"/>
        <v>4704</v>
      </c>
      <c r="G1728" s="494">
        <f>일위대가목록표!F145</f>
        <v>677</v>
      </c>
      <c r="H1728" s="498">
        <f t="shared" si="271"/>
        <v>4062</v>
      </c>
      <c r="I1728" s="494">
        <f>일위대가목록표!G145</f>
        <v>107</v>
      </c>
      <c r="J1728" s="498">
        <f t="shared" si="272"/>
        <v>642</v>
      </c>
      <c r="K1728" s="494">
        <f>일위대가목록표!H145</f>
        <v>0</v>
      </c>
      <c r="L1728" s="498">
        <f t="shared" si="273"/>
        <v>0</v>
      </c>
      <c r="M1728" s="463" t="s">
        <v>2941</v>
      </c>
      <c r="N1728" s="451" t="s">
        <v>2992</v>
      </c>
      <c r="O1728" s="468" t="s">
        <v>2943</v>
      </c>
      <c r="P1728" s="468" t="s">
        <v>2354</v>
      </c>
      <c r="Q1728" s="468" t="s">
        <v>2355</v>
      </c>
      <c r="Z1728" s="433" t="str">
        <f ca="1">HYPERLINK("#"&amp;일위대가목록표!J2&amp;"!A"&amp;ROW(일위대가목록표!A145),"B01416 →")</f>
        <v>B01416 →</v>
      </c>
    </row>
    <row r="1729" spans="1:26" ht="33.200000000000003" customHeight="1">
      <c r="A1729" s="452" t="s">
        <v>2507</v>
      </c>
      <c r="B1729" s="452" t="s">
        <v>2441</v>
      </c>
      <c r="C1729" s="489">
        <v>15</v>
      </c>
      <c r="D1729" s="480" t="s">
        <v>2371</v>
      </c>
      <c r="E1729" s="490">
        <f t="shared" si="270"/>
        <v>42485.9</v>
      </c>
      <c r="F1729" s="491">
        <f t="shared" si="270"/>
        <v>6372.8</v>
      </c>
      <c r="G1729" s="496">
        <f>H1721+H1722+H1723+H1724+H1728</f>
        <v>42485.9</v>
      </c>
      <c r="H1729" s="491">
        <f>IF(C1729=0,0,ROUNDDOWN(G1729*C1729/100,1))</f>
        <v>6372.8</v>
      </c>
      <c r="I1729" s="465">
        <v>0</v>
      </c>
      <c r="J1729" s="493">
        <f>IF(C1729=0,0,ROUNDDOWN(I1729*C1729/100,1))</f>
        <v>0</v>
      </c>
      <c r="K1729" s="467">
        <v>0</v>
      </c>
      <c r="L1729" s="493">
        <f>IF(C1729=0,0,ROUNDDOWN(K1729*C1729/100,1))</f>
        <v>0</v>
      </c>
      <c r="M1729" s="463"/>
      <c r="N1729" s="451" t="s">
        <v>2508</v>
      </c>
      <c r="O1729" s="468" t="s">
        <v>2373</v>
      </c>
      <c r="P1729" s="468" t="s">
        <v>2354</v>
      </c>
    </row>
    <row r="1730" spans="1:26" ht="33.200000000000003" customHeight="1">
      <c r="A1730" s="463" t="s">
        <v>842</v>
      </c>
      <c r="B1730" s="497"/>
      <c r="C1730" s="497"/>
      <c r="D1730" s="497"/>
      <c r="E1730" s="497"/>
      <c r="F1730" s="446">
        <f>J1730+H1730+L1730</f>
        <v>63737</v>
      </c>
      <c r="G1730" s="497"/>
      <c r="H1730" s="446">
        <f>ROUNDDOWN(SUMIF(P1721:P1729,O1730,H1721:H1729),0)</f>
        <v>48858</v>
      </c>
      <c r="I1730" s="497"/>
      <c r="J1730" s="446">
        <f>ROUNDDOWN(SUMIF(P1721:P1729,O1730,J1721:J1729),0)</f>
        <v>14879</v>
      </c>
      <c r="K1730" s="497"/>
      <c r="L1730" s="446">
        <f>ROUNDDOWN(SUMIF(P1721:P1729,O1730,L1721:L1729),0)</f>
        <v>0</v>
      </c>
      <c r="M1730" s="497"/>
      <c r="O1730" s="468" t="s">
        <v>2354</v>
      </c>
    </row>
    <row r="1731" spans="1:26" ht="33.200000000000003" customHeight="1">
      <c r="A1731" s="484" t="s">
        <v>3285</v>
      </c>
      <c r="B1731" s="484"/>
      <c r="C1731" s="485"/>
      <c r="D1731" s="485"/>
      <c r="E1731" s="485"/>
      <c r="F1731" s="485"/>
      <c r="G1731" s="485"/>
      <c r="H1731" s="485"/>
      <c r="I1731" s="485"/>
      <c r="J1731" s="485"/>
      <c r="K1731" s="485"/>
      <c r="L1731" s="485"/>
      <c r="M1731" s="485"/>
      <c r="N1731" s="486" t="str">
        <f>HYPERLINK("#N"&amp;ROW(N1741),"_x0005_`BDCOD|B02807_x0007_`POSS|"&amp;ROW(N1733)&amp;"_x0007_`POSE|"&amp;ROW(N1741)&amp;"_x0007_`")</f>
        <v>_x0005_`BDCOD|B02807_x0007_`POSS|1733_x0007_`POSE|1741_x0007_`</v>
      </c>
    </row>
    <row r="1732" spans="1:26" ht="33.200000000000003" customHeight="1">
      <c r="A1732" s="469" t="s">
        <v>5120</v>
      </c>
      <c r="B1732" s="469" t="s">
        <v>1039</v>
      </c>
      <c r="C1732" s="487"/>
      <c r="D1732" s="488" t="s">
        <v>984</v>
      </c>
      <c r="E1732" s="487"/>
      <c r="F1732" s="487"/>
      <c r="G1732" s="487"/>
      <c r="H1732" s="487"/>
      <c r="I1732" s="487"/>
      <c r="J1732" s="487"/>
      <c r="K1732" s="487"/>
      <c r="L1732" s="487"/>
      <c r="M1732" s="488" t="s">
        <v>1054</v>
      </c>
      <c r="O1732" s="468" t="s">
        <v>1054</v>
      </c>
    </row>
    <row r="1733" spans="1:26" ht="33.200000000000003" customHeight="1">
      <c r="A1733" s="452" t="s">
        <v>2484</v>
      </c>
      <c r="B1733" s="452" t="s">
        <v>2485</v>
      </c>
      <c r="C1733" s="489">
        <v>0.12</v>
      </c>
      <c r="D1733" s="480" t="s">
        <v>8</v>
      </c>
      <c r="E1733" s="490">
        <f t="shared" ref="E1733:F1741" si="274">I1733+G1733+K1733</f>
        <v>62811</v>
      </c>
      <c r="F1733" s="493">
        <f t="shared" si="274"/>
        <v>7537.3</v>
      </c>
      <c r="G1733" s="494">
        <f>단가산출근거목록표!F157</f>
        <v>62811</v>
      </c>
      <c r="H1733" s="498">
        <f t="shared" ref="H1733:H1740" si="275">IF(C1733=0,0,ROUNDDOWN(G1733*C1733,1))</f>
        <v>7537.3</v>
      </c>
      <c r="I1733" s="494">
        <f>단가산출근거목록표!G157</f>
        <v>0</v>
      </c>
      <c r="J1733" s="498">
        <f t="shared" ref="J1733:J1740" si="276">IF(C1733=0,0,ROUNDDOWN(I1733*C1733,1))</f>
        <v>0</v>
      </c>
      <c r="K1733" s="494">
        <f>단가산출근거목록표!H157</f>
        <v>0</v>
      </c>
      <c r="L1733" s="498">
        <f t="shared" ref="L1733:L1740" si="277">IF(C1733=0,0,ROUNDDOWN(K1733*C1733,1))</f>
        <v>0</v>
      </c>
      <c r="M1733" s="463" t="s">
        <v>2486</v>
      </c>
      <c r="N1733" s="451" t="s">
        <v>2487</v>
      </c>
      <c r="O1733" s="468" t="s">
        <v>2488</v>
      </c>
      <c r="P1733" s="468" t="s">
        <v>2354</v>
      </c>
      <c r="Q1733" s="468" t="s">
        <v>2355</v>
      </c>
      <c r="Z1733" s="433" t="str">
        <f ca="1">HYPERLINK("#"&amp;단가산출근거목록표!J2&amp;"!A"&amp;ROW(단가산출근거목록표!A157),"D01241 →")</f>
        <v>D01241 →</v>
      </c>
    </row>
    <row r="1734" spans="1:26" ht="33.200000000000003" customHeight="1">
      <c r="A1734" s="452" t="s">
        <v>2321</v>
      </c>
      <c r="B1734" s="452" t="s">
        <v>2322</v>
      </c>
      <c r="C1734" s="489">
        <v>2.5000000000000001E-2</v>
      </c>
      <c r="D1734" s="480" t="s">
        <v>8</v>
      </c>
      <c r="E1734" s="490">
        <f t="shared" si="274"/>
        <v>34413</v>
      </c>
      <c r="F1734" s="493">
        <f t="shared" si="274"/>
        <v>860.3</v>
      </c>
      <c r="G1734" s="494">
        <f>일위대가목록표!F275</f>
        <v>34413</v>
      </c>
      <c r="H1734" s="498">
        <f t="shared" si="275"/>
        <v>860.3</v>
      </c>
      <c r="I1734" s="494">
        <f>일위대가목록표!G275</f>
        <v>0</v>
      </c>
      <c r="J1734" s="498">
        <f t="shared" si="276"/>
        <v>0</v>
      </c>
      <c r="K1734" s="494">
        <f>일위대가목록표!H275</f>
        <v>0</v>
      </c>
      <c r="L1734" s="498">
        <f t="shared" si="277"/>
        <v>0</v>
      </c>
      <c r="M1734" s="463" t="s">
        <v>2489</v>
      </c>
      <c r="N1734" s="451" t="s">
        <v>2490</v>
      </c>
      <c r="O1734" s="468" t="s">
        <v>2491</v>
      </c>
      <c r="P1734" s="468" t="s">
        <v>2354</v>
      </c>
      <c r="Q1734" s="468" t="s">
        <v>2355</v>
      </c>
      <c r="Z1734" s="433" t="str">
        <f ca="1">HYPERLINK("#"&amp;일위대가목록표!J2&amp;"!A"&amp;ROW(일위대가목록표!A275),"B01414 →")</f>
        <v>B01414 →</v>
      </c>
    </row>
    <row r="1735" spans="1:26" ht="33.200000000000003" customHeight="1">
      <c r="A1735" s="452" t="s">
        <v>2298</v>
      </c>
      <c r="B1735" s="452" t="s">
        <v>2299</v>
      </c>
      <c r="C1735" s="489">
        <v>9.5000000000000001E-2</v>
      </c>
      <c r="D1735" s="480" t="s">
        <v>8</v>
      </c>
      <c r="E1735" s="490">
        <f t="shared" si="274"/>
        <v>24089</v>
      </c>
      <c r="F1735" s="493">
        <f t="shared" si="274"/>
        <v>2288.4</v>
      </c>
      <c r="G1735" s="494">
        <f>일위대가목록표!F37</f>
        <v>24089</v>
      </c>
      <c r="H1735" s="498">
        <f t="shared" si="275"/>
        <v>2288.4</v>
      </c>
      <c r="I1735" s="494">
        <f>일위대가목록표!G37</f>
        <v>0</v>
      </c>
      <c r="J1735" s="498">
        <f t="shared" si="276"/>
        <v>0</v>
      </c>
      <c r="K1735" s="494">
        <f>일위대가목록표!H37</f>
        <v>0</v>
      </c>
      <c r="L1735" s="498">
        <f t="shared" si="277"/>
        <v>0</v>
      </c>
      <c r="M1735" s="463" t="s">
        <v>2492</v>
      </c>
      <c r="N1735" s="451" t="s">
        <v>2493</v>
      </c>
      <c r="O1735" s="468" t="s">
        <v>2494</v>
      </c>
      <c r="P1735" s="468" t="s">
        <v>2354</v>
      </c>
      <c r="Q1735" s="468" t="s">
        <v>2355</v>
      </c>
      <c r="Z1735" s="433" t="str">
        <f ca="1">HYPERLINK("#"&amp;일위대가목록표!J2&amp;"!A"&amp;ROW(일위대가목록표!A37),"B01447 →")</f>
        <v>B01447 →</v>
      </c>
    </row>
    <row r="1736" spans="1:26" ht="33.200000000000003" customHeight="1">
      <c r="A1736" s="452" t="s">
        <v>1461</v>
      </c>
      <c r="B1736" s="452" t="s">
        <v>1462</v>
      </c>
      <c r="C1736" s="489">
        <v>2.5000000000000001E-2</v>
      </c>
      <c r="D1736" s="480" t="s">
        <v>8</v>
      </c>
      <c r="E1736" s="490">
        <f t="shared" si="274"/>
        <v>915052</v>
      </c>
      <c r="F1736" s="493">
        <f t="shared" si="274"/>
        <v>22876.3</v>
      </c>
      <c r="G1736" s="494">
        <f>일위대가목록표!F72</f>
        <v>915052</v>
      </c>
      <c r="H1736" s="498">
        <f t="shared" si="275"/>
        <v>22876.3</v>
      </c>
      <c r="I1736" s="494">
        <f>일위대가목록표!G72</f>
        <v>0</v>
      </c>
      <c r="J1736" s="498">
        <f t="shared" si="276"/>
        <v>0</v>
      </c>
      <c r="K1736" s="494">
        <f>일위대가목록표!H72</f>
        <v>0</v>
      </c>
      <c r="L1736" s="498">
        <f t="shared" si="277"/>
        <v>0</v>
      </c>
      <c r="M1736" s="463" t="s">
        <v>2471</v>
      </c>
      <c r="N1736" s="451" t="s">
        <v>2472</v>
      </c>
      <c r="O1736" s="468" t="s">
        <v>1465</v>
      </c>
      <c r="P1736" s="468" t="s">
        <v>2354</v>
      </c>
      <c r="Q1736" s="468" t="s">
        <v>2355</v>
      </c>
      <c r="Z1736" s="433" t="str">
        <f ca="1">HYPERLINK("#"&amp;일위대가목록표!J2&amp;"!A"&amp;ROW(일위대가목록표!A72),"B01822 →")</f>
        <v>B01822 →</v>
      </c>
    </row>
    <row r="1737" spans="1:26" ht="33.200000000000003" customHeight="1">
      <c r="A1737" s="452" t="s">
        <v>2927</v>
      </c>
      <c r="B1737" s="452" t="s">
        <v>3076</v>
      </c>
      <c r="C1737" s="489">
        <v>6.3</v>
      </c>
      <c r="D1737" s="480" t="s">
        <v>2377</v>
      </c>
      <c r="E1737" s="490">
        <f t="shared" si="274"/>
        <v>2049</v>
      </c>
      <c r="F1737" s="491">
        <f t="shared" si="274"/>
        <v>12908.7</v>
      </c>
      <c r="G1737" s="492">
        <v>0</v>
      </c>
      <c r="H1737" s="493">
        <f t="shared" si="275"/>
        <v>0</v>
      </c>
      <c r="I1737" s="494">
        <f>재료비목록표!E56</f>
        <v>2049</v>
      </c>
      <c r="J1737" s="495">
        <f t="shared" si="276"/>
        <v>12908.7</v>
      </c>
      <c r="K1737" s="492">
        <v>0</v>
      </c>
      <c r="L1737" s="493">
        <f t="shared" si="277"/>
        <v>0</v>
      </c>
      <c r="M1737" s="463" t="s">
        <v>3077</v>
      </c>
      <c r="N1737" s="451" t="s">
        <v>3078</v>
      </c>
      <c r="O1737" s="468" t="s">
        <v>3079</v>
      </c>
      <c r="P1737" s="468" t="s">
        <v>2354</v>
      </c>
      <c r="Z1737" s="433" t="str">
        <f ca="1">HYPERLINK("#"&amp;재료비목록표!G2&amp;"!A"&amp;ROW(재료비목록표!A56),"M00955 →")</f>
        <v>M00955 →</v>
      </c>
    </row>
    <row r="1738" spans="1:26" ht="33.200000000000003" customHeight="1">
      <c r="A1738" s="452" t="s">
        <v>2932</v>
      </c>
      <c r="B1738" s="452" t="s">
        <v>2933</v>
      </c>
      <c r="C1738" s="489">
        <v>6.3</v>
      </c>
      <c r="D1738" s="480" t="s">
        <v>2377</v>
      </c>
      <c r="E1738" s="490">
        <f t="shared" si="274"/>
        <v>157.30000000000001</v>
      </c>
      <c r="F1738" s="491">
        <f t="shared" si="274"/>
        <v>990.9</v>
      </c>
      <c r="G1738" s="492">
        <v>0</v>
      </c>
      <c r="H1738" s="493">
        <f t="shared" si="275"/>
        <v>0</v>
      </c>
      <c r="I1738" s="494">
        <f>재료비목록표!E26</f>
        <v>157.30000000000001</v>
      </c>
      <c r="J1738" s="495">
        <f t="shared" si="276"/>
        <v>990.9</v>
      </c>
      <c r="K1738" s="492">
        <v>0</v>
      </c>
      <c r="L1738" s="493">
        <f t="shared" si="277"/>
        <v>0</v>
      </c>
      <c r="M1738" s="463" t="s">
        <v>2934</v>
      </c>
      <c r="N1738" s="451" t="s">
        <v>2935</v>
      </c>
      <c r="O1738" s="468" t="s">
        <v>2936</v>
      </c>
      <c r="P1738" s="468" t="s">
        <v>2354</v>
      </c>
      <c r="Z1738" s="433" t="str">
        <f ca="1">HYPERLINK("#"&amp;재료비목록표!G2&amp;"!A"&amp;ROW(재료비목록표!A26),"M00958 →")</f>
        <v>M00958 →</v>
      </c>
    </row>
    <row r="1739" spans="1:26" ht="33.200000000000003" customHeight="1">
      <c r="A1739" s="452" t="s">
        <v>2937</v>
      </c>
      <c r="B1739" s="452" t="s">
        <v>2933</v>
      </c>
      <c r="C1739" s="489">
        <v>6.3</v>
      </c>
      <c r="D1739" s="480" t="s">
        <v>2377</v>
      </c>
      <c r="E1739" s="490">
        <f t="shared" si="274"/>
        <v>53.7</v>
      </c>
      <c r="F1739" s="491">
        <f t="shared" si="274"/>
        <v>338.3</v>
      </c>
      <c r="G1739" s="492">
        <v>0</v>
      </c>
      <c r="H1739" s="493">
        <f t="shared" si="275"/>
        <v>0</v>
      </c>
      <c r="I1739" s="494">
        <f>재료비목록표!E74</f>
        <v>53.7</v>
      </c>
      <c r="J1739" s="495">
        <f t="shared" si="276"/>
        <v>338.3</v>
      </c>
      <c r="K1739" s="492">
        <v>0</v>
      </c>
      <c r="L1739" s="493">
        <f t="shared" si="277"/>
        <v>0</v>
      </c>
      <c r="M1739" s="463" t="s">
        <v>2938</v>
      </c>
      <c r="N1739" s="451" t="s">
        <v>2939</v>
      </c>
      <c r="O1739" s="468" t="s">
        <v>2940</v>
      </c>
      <c r="P1739" s="468" t="s">
        <v>2354</v>
      </c>
      <c r="Z1739" s="433" t="str">
        <f ca="1">HYPERLINK("#"&amp;재료비목록표!G2&amp;"!A"&amp;ROW(재료비목록표!A74),"M00648 →")</f>
        <v>M00648 →</v>
      </c>
    </row>
    <row r="1740" spans="1:26" ht="33.200000000000003" customHeight="1">
      <c r="A1740" s="452" t="s">
        <v>2310</v>
      </c>
      <c r="B1740" s="452" t="s">
        <v>2311</v>
      </c>
      <c r="C1740" s="489">
        <v>6</v>
      </c>
      <c r="D1740" s="480" t="s">
        <v>975</v>
      </c>
      <c r="E1740" s="490">
        <f t="shared" si="274"/>
        <v>784</v>
      </c>
      <c r="F1740" s="493">
        <f t="shared" si="274"/>
        <v>4704</v>
      </c>
      <c r="G1740" s="494">
        <f>일위대가목록표!F145</f>
        <v>677</v>
      </c>
      <c r="H1740" s="498">
        <f t="shared" si="275"/>
        <v>4062</v>
      </c>
      <c r="I1740" s="494">
        <f>일위대가목록표!G145</f>
        <v>107</v>
      </c>
      <c r="J1740" s="498">
        <f t="shared" si="276"/>
        <v>642</v>
      </c>
      <c r="K1740" s="494">
        <f>일위대가목록표!H145</f>
        <v>0</v>
      </c>
      <c r="L1740" s="498">
        <f t="shared" si="277"/>
        <v>0</v>
      </c>
      <c r="M1740" s="463" t="s">
        <v>2941</v>
      </c>
      <c r="N1740" s="451" t="s">
        <v>2992</v>
      </c>
      <c r="O1740" s="468" t="s">
        <v>2943</v>
      </c>
      <c r="P1740" s="468" t="s">
        <v>2354</v>
      </c>
      <c r="Q1740" s="468" t="s">
        <v>2355</v>
      </c>
      <c r="Z1740" s="433" t="str">
        <f ca="1">HYPERLINK("#"&amp;일위대가목록표!J2&amp;"!A"&amp;ROW(일위대가목록표!A145),"B01416 →")</f>
        <v>B01416 →</v>
      </c>
    </row>
    <row r="1741" spans="1:26" ht="33.200000000000003" customHeight="1">
      <c r="A1741" s="452" t="s">
        <v>2507</v>
      </c>
      <c r="B1741" s="452" t="s">
        <v>2441</v>
      </c>
      <c r="C1741" s="489">
        <v>25</v>
      </c>
      <c r="D1741" s="480" t="s">
        <v>2371</v>
      </c>
      <c r="E1741" s="490">
        <f t="shared" si="274"/>
        <v>37624.300000000003</v>
      </c>
      <c r="F1741" s="491">
        <f t="shared" si="274"/>
        <v>9406</v>
      </c>
      <c r="G1741" s="496">
        <f>H1733+H1734+H1735+H1736+H1740</f>
        <v>37624.300000000003</v>
      </c>
      <c r="H1741" s="491">
        <f>IF(C1741=0,0,ROUNDDOWN(G1741*C1741/100,1))</f>
        <v>9406</v>
      </c>
      <c r="I1741" s="465">
        <v>0</v>
      </c>
      <c r="J1741" s="493">
        <f>IF(C1741=0,0,ROUNDDOWN(I1741*C1741/100,1))</f>
        <v>0</v>
      </c>
      <c r="K1741" s="467">
        <v>0</v>
      </c>
      <c r="L1741" s="493">
        <f>IF(C1741=0,0,ROUNDDOWN(K1741*C1741/100,1))</f>
        <v>0</v>
      </c>
      <c r="M1741" s="463"/>
      <c r="N1741" s="451" t="s">
        <v>2508</v>
      </c>
      <c r="O1741" s="468" t="s">
        <v>2373</v>
      </c>
      <c r="P1741" s="468" t="s">
        <v>2354</v>
      </c>
    </row>
    <row r="1742" spans="1:26" ht="33.200000000000003" customHeight="1">
      <c r="A1742" s="463" t="s">
        <v>842</v>
      </c>
      <c r="B1742" s="497"/>
      <c r="C1742" s="497"/>
      <c r="D1742" s="497"/>
      <c r="E1742" s="497"/>
      <c r="F1742" s="446">
        <f>J1742+H1742+L1742</f>
        <v>61909</v>
      </c>
      <c r="G1742" s="497"/>
      <c r="H1742" s="446">
        <f>ROUNDDOWN(SUMIF(P1733:P1741,O1742,H1733:H1741),0)</f>
        <v>47030</v>
      </c>
      <c r="I1742" s="497"/>
      <c r="J1742" s="446">
        <f>ROUNDDOWN(SUMIF(P1733:P1741,O1742,J1733:J1741),0)</f>
        <v>14879</v>
      </c>
      <c r="K1742" s="497"/>
      <c r="L1742" s="446">
        <f>ROUNDDOWN(SUMIF(P1733:P1741,O1742,L1733:L1741),0)</f>
        <v>0</v>
      </c>
      <c r="M1742" s="497"/>
      <c r="O1742" s="468" t="s">
        <v>2354</v>
      </c>
    </row>
    <row r="1743" spans="1:26" ht="33.200000000000003" customHeight="1">
      <c r="A1743" s="484" t="s">
        <v>3286</v>
      </c>
      <c r="B1743" s="484"/>
      <c r="C1743" s="485"/>
      <c r="D1743" s="485"/>
      <c r="E1743" s="485"/>
      <c r="F1743" s="485"/>
      <c r="G1743" s="485"/>
      <c r="H1743" s="485"/>
      <c r="I1743" s="485"/>
      <c r="J1743" s="485"/>
      <c r="K1743" s="485"/>
      <c r="L1743" s="485"/>
      <c r="M1743" s="485"/>
      <c r="N1743" s="486" t="str">
        <f>HYPERLINK("#N"&amp;ROW(N1753),"_x0005_`BDCOD|B02808_x0007_`POSS|"&amp;ROW(N1745)&amp;"_x0007_`POSE|"&amp;ROW(N1753)&amp;"_x0007_`")</f>
        <v>_x0005_`BDCOD|B02808_x0007_`POSS|1745_x0007_`POSE|1753_x0007_`</v>
      </c>
    </row>
    <row r="1744" spans="1:26" ht="33.200000000000003" customHeight="1">
      <c r="A1744" s="469" t="s">
        <v>5120</v>
      </c>
      <c r="B1744" s="469" t="s">
        <v>1043</v>
      </c>
      <c r="C1744" s="487"/>
      <c r="D1744" s="488" t="s">
        <v>984</v>
      </c>
      <c r="E1744" s="487"/>
      <c r="F1744" s="487"/>
      <c r="G1744" s="487"/>
      <c r="H1744" s="487"/>
      <c r="I1744" s="487"/>
      <c r="J1744" s="487"/>
      <c r="K1744" s="487"/>
      <c r="L1744" s="487"/>
      <c r="M1744" s="488" t="s">
        <v>1057</v>
      </c>
      <c r="O1744" s="468" t="s">
        <v>1057</v>
      </c>
    </row>
    <row r="1745" spans="1:26" ht="33.200000000000003" customHeight="1">
      <c r="A1745" s="452" t="s">
        <v>2484</v>
      </c>
      <c r="B1745" s="452" t="s">
        <v>2485</v>
      </c>
      <c r="C1745" s="489">
        <v>0.14399999999999999</v>
      </c>
      <c r="D1745" s="480" t="s">
        <v>8</v>
      </c>
      <c r="E1745" s="490">
        <f t="shared" ref="E1745:F1753" si="278">I1745+G1745+K1745</f>
        <v>62811</v>
      </c>
      <c r="F1745" s="493">
        <f t="shared" si="278"/>
        <v>9044.7000000000007</v>
      </c>
      <c r="G1745" s="494">
        <f>단가산출근거목록표!F157</f>
        <v>62811</v>
      </c>
      <c r="H1745" s="498">
        <f t="shared" ref="H1745:H1752" si="279">IF(C1745=0,0,ROUNDDOWN(G1745*C1745,1))</f>
        <v>9044.7000000000007</v>
      </c>
      <c r="I1745" s="494">
        <f>단가산출근거목록표!G157</f>
        <v>0</v>
      </c>
      <c r="J1745" s="498">
        <f t="shared" ref="J1745:J1752" si="280">IF(C1745=0,0,ROUNDDOWN(I1745*C1745,1))</f>
        <v>0</v>
      </c>
      <c r="K1745" s="494">
        <f>단가산출근거목록표!H157</f>
        <v>0</v>
      </c>
      <c r="L1745" s="498">
        <f t="shared" ref="L1745:L1752" si="281">IF(C1745=0,0,ROUNDDOWN(K1745*C1745,1))</f>
        <v>0</v>
      </c>
      <c r="M1745" s="463" t="s">
        <v>2486</v>
      </c>
      <c r="N1745" s="451" t="s">
        <v>2487</v>
      </c>
      <c r="O1745" s="468" t="s">
        <v>2488</v>
      </c>
      <c r="P1745" s="468" t="s">
        <v>2354</v>
      </c>
      <c r="Q1745" s="468" t="s">
        <v>2355</v>
      </c>
      <c r="Z1745" s="433" t="str">
        <f ca="1">HYPERLINK("#"&amp;단가산출근거목록표!J2&amp;"!A"&amp;ROW(단가산출근거목록표!A157),"D01241 →")</f>
        <v>D01241 →</v>
      </c>
    </row>
    <row r="1746" spans="1:26" ht="33.200000000000003" customHeight="1">
      <c r="A1746" s="452" t="s">
        <v>2321</v>
      </c>
      <c r="B1746" s="452" t="s">
        <v>2322</v>
      </c>
      <c r="C1746" s="489">
        <v>2.8000000000000001E-2</v>
      </c>
      <c r="D1746" s="480" t="s">
        <v>8</v>
      </c>
      <c r="E1746" s="490">
        <f t="shared" si="278"/>
        <v>34413</v>
      </c>
      <c r="F1746" s="493">
        <f t="shared" si="278"/>
        <v>963.5</v>
      </c>
      <c r="G1746" s="494">
        <f>일위대가목록표!F275</f>
        <v>34413</v>
      </c>
      <c r="H1746" s="498">
        <f t="shared" si="279"/>
        <v>963.5</v>
      </c>
      <c r="I1746" s="494">
        <f>일위대가목록표!G275</f>
        <v>0</v>
      </c>
      <c r="J1746" s="498">
        <f t="shared" si="280"/>
        <v>0</v>
      </c>
      <c r="K1746" s="494">
        <f>일위대가목록표!H275</f>
        <v>0</v>
      </c>
      <c r="L1746" s="498">
        <f t="shared" si="281"/>
        <v>0</v>
      </c>
      <c r="M1746" s="463" t="s">
        <v>2489</v>
      </c>
      <c r="N1746" s="451" t="s">
        <v>2490</v>
      </c>
      <c r="O1746" s="468" t="s">
        <v>2491</v>
      </c>
      <c r="P1746" s="468" t="s">
        <v>2354</v>
      </c>
      <c r="Q1746" s="468" t="s">
        <v>2355</v>
      </c>
      <c r="Z1746" s="433" t="str">
        <f ca="1">HYPERLINK("#"&amp;일위대가목록표!J2&amp;"!A"&amp;ROW(일위대가목록표!A275),"B01414 →")</f>
        <v>B01414 →</v>
      </c>
    </row>
    <row r="1747" spans="1:26" ht="33.200000000000003" customHeight="1">
      <c r="A1747" s="452" t="s">
        <v>2298</v>
      </c>
      <c r="B1747" s="452" t="s">
        <v>2299</v>
      </c>
      <c r="C1747" s="489">
        <v>0.11600000000000001</v>
      </c>
      <c r="D1747" s="480" t="s">
        <v>8</v>
      </c>
      <c r="E1747" s="490">
        <f t="shared" si="278"/>
        <v>24089</v>
      </c>
      <c r="F1747" s="493">
        <f t="shared" si="278"/>
        <v>2794.3</v>
      </c>
      <c r="G1747" s="494">
        <f>일위대가목록표!F37</f>
        <v>24089</v>
      </c>
      <c r="H1747" s="498">
        <f t="shared" si="279"/>
        <v>2794.3</v>
      </c>
      <c r="I1747" s="494">
        <f>일위대가목록표!G37</f>
        <v>0</v>
      </c>
      <c r="J1747" s="498">
        <f t="shared" si="280"/>
        <v>0</v>
      </c>
      <c r="K1747" s="494">
        <f>일위대가목록표!H37</f>
        <v>0</v>
      </c>
      <c r="L1747" s="498">
        <f t="shared" si="281"/>
        <v>0</v>
      </c>
      <c r="M1747" s="463" t="s">
        <v>2492</v>
      </c>
      <c r="N1747" s="451" t="s">
        <v>2493</v>
      </c>
      <c r="O1747" s="468" t="s">
        <v>2494</v>
      </c>
      <c r="P1747" s="468" t="s">
        <v>2354</v>
      </c>
      <c r="Q1747" s="468" t="s">
        <v>2355</v>
      </c>
      <c r="Z1747" s="433" t="str">
        <f ca="1">HYPERLINK("#"&amp;일위대가목록표!J2&amp;"!A"&amp;ROW(일위대가목록표!A37),"B01447 →")</f>
        <v>B01447 →</v>
      </c>
    </row>
    <row r="1748" spans="1:26" ht="33.200000000000003" customHeight="1">
      <c r="A1748" s="452" t="s">
        <v>1461</v>
      </c>
      <c r="B1748" s="452" t="s">
        <v>1462</v>
      </c>
      <c r="C1748" s="489">
        <v>2.8000000000000001E-2</v>
      </c>
      <c r="D1748" s="480" t="s">
        <v>8</v>
      </c>
      <c r="E1748" s="490">
        <f t="shared" si="278"/>
        <v>915052</v>
      </c>
      <c r="F1748" s="493">
        <f t="shared" si="278"/>
        <v>25621.4</v>
      </c>
      <c r="G1748" s="494">
        <f>일위대가목록표!F72</f>
        <v>915052</v>
      </c>
      <c r="H1748" s="498">
        <f t="shared" si="279"/>
        <v>25621.4</v>
      </c>
      <c r="I1748" s="494">
        <f>일위대가목록표!G72</f>
        <v>0</v>
      </c>
      <c r="J1748" s="498">
        <f t="shared" si="280"/>
        <v>0</v>
      </c>
      <c r="K1748" s="494">
        <f>일위대가목록표!H72</f>
        <v>0</v>
      </c>
      <c r="L1748" s="498">
        <f t="shared" si="281"/>
        <v>0</v>
      </c>
      <c r="M1748" s="463" t="s">
        <v>2471</v>
      </c>
      <c r="N1748" s="451" t="s">
        <v>2472</v>
      </c>
      <c r="O1748" s="468" t="s">
        <v>1465</v>
      </c>
      <c r="P1748" s="468" t="s">
        <v>2354</v>
      </c>
      <c r="Q1748" s="468" t="s">
        <v>2355</v>
      </c>
      <c r="Z1748" s="433" t="str">
        <f ca="1">HYPERLINK("#"&amp;일위대가목록표!J2&amp;"!A"&amp;ROW(일위대가목록표!A72),"B01822 →")</f>
        <v>B01822 →</v>
      </c>
    </row>
    <row r="1749" spans="1:26" ht="33.200000000000003" customHeight="1">
      <c r="A1749" s="452" t="s">
        <v>2927</v>
      </c>
      <c r="B1749" s="452" t="s">
        <v>3076</v>
      </c>
      <c r="C1749" s="489">
        <v>6.3</v>
      </c>
      <c r="D1749" s="480" t="s">
        <v>2377</v>
      </c>
      <c r="E1749" s="490">
        <f t="shared" si="278"/>
        <v>2049</v>
      </c>
      <c r="F1749" s="491">
        <f t="shared" si="278"/>
        <v>12908.7</v>
      </c>
      <c r="G1749" s="492">
        <v>0</v>
      </c>
      <c r="H1749" s="493">
        <f t="shared" si="279"/>
        <v>0</v>
      </c>
      <c r="I1749" s="494">
        <f>재료비목록표!E56</f>
        <v>2049</v>
      </c>
      <c r="J1749" s="495">
        <f t="shared" si="280"/>
        <v>12908.7</v>
      </c>
      <c r="K1749" s="492">
        <v>0</v>
      </c>
      <c r="L1749" s="493">
        <f t="shared" si="281"/>
        <v>0</v>
      </c>
      <c r="M1749" s="463" t="s">
        <v>3077</v>
      </c>
      <c r="N1749" s="451" t="s">
        <v>3078</v>
      </c>
      <c r="O1749" s="468" t="s">
        <v>3079</v>
      </c>
      <c r="P1749" s="468" t="s">
        <v>2354</v>
      </c>
      <c r="Z1749" s="433" t="str">
        <f ca="1">HYPERLINK("#"&amp;재료비목록표!G2&amp;"!A"&amp;ROW(재료비목록표!A56),"M00955 →")</f>
        <v>M00955 →</v>
      </c>
    </row>
    <row r="1750" spans="1:26" ht="33.200000000000003" customHeight="1">
      <c r="A1750" s="452" t="s">
        <v>2932</v>
      </c>
      <c r="B1750" s="452" t="s">
        <v>2933</v>
      </c>
      <c r="C1750" s="489">
        <v>6.3</v>
      </c>
      <c r="D1750" s="480" t="s">
        <v>2377</v>
      </c>
      <c r="E1750" s="490">
        <f t="shared" si="278"/>
        <v>157.30000000000001</v>
      </c>
      <c r="F1750" s="491">
        <f t="shared" si="278"/>
        <v>990.9</v>
      </c>
      <c r="G1750" s="492">
        <v>0</v>
      </c>
      <c r="H1750" s="493">
        <f t="shared" si="279"/>
        <v>0</v>
      </c>
      <c r="I1750" s="494">
        <f>재료비목록표!E26</f>
        <v>157.30000000000001</v>
      </c>
      <c r="J1750" s="495">
        <f t="shared" si="280"/>
        <v>990.9</v>
      </c>
      <c r="K1750" s="492">
        <v>0</v>
      </c>
      <c r="L1750" s="493">
        <f t="shared" si="281"/>
        <v>0</v>
      </c>
      <c r="M1750" s="463" t="s">
        <v>2934</v>
      </c>
      <c r="N1750" s="451" t="s">
        <v>2935</v>
      </c>
      <c r="O1750" s="468" t="s">
        <v>2936</v>
      </c>
      <c r="P1750" s="468" t="s">
        <v>2354</v>
      </c>
      <c r="Z1750" s="433" t="str">
        <f ca="1">HYPERLINK("#"&amp;재료비목록표!G2&amp;"!A"&amp;ROW(재료비목록표!A26),"M00958 →")</f>
        <v>M00958 →</v>
      </c>
    </row>
    <row r="1751" spans="1:26" ht="33.200000000000003" customHeight="1">
      <c r="A1751" s="452" t="s">
        <v>2937</v>
      </c>
      <c r="B1751" s="452" t="s">
        <v>2933</v>
      </c>
      <c r="C1751" s="489">
        <v>6.3</v>
      </c>
      <c r="D1751" s="480" t="s">
        <v>2377</v>
      </c>
      <c r="E1751" s="490">
        <f t="shared" si="278"/>
        <v>53.7</v>
      </c>
      <c r="F1751" s="491">
        <f t="shared" si="278"/>
        <v>338.3</v>
      </c>
      <c r="G1751" s="492">
        <v>0</v>
      </c>
      <c r="H1751" s="493">
        <f t="shared" si="279"/>
        <v>0</v>
      </c>
      <c r="I1751" s="494">
        <f>재료비목록표!E74</f>
        <v>53.7</v>
      </c>
      <c r="J1751" s="495">
        <f t="shared" si="280"/>
        <v>338.3</v>
      </c>
      <c r="K1751" s="492">
        <v>0</v>
      </c>
      <c r="L1751" s="493">
        <f t="shared" si="281"/>
        <v>0</v>
      </c>
      <c r="M1751" s="463" t="s">
        <v>2938</v>
      </c>
      <c r="N1751" s="451" t="s">
        <v>2939</v>
      </c>
      <c r="O1751" s="468" t="s">
        <v>2940</v>
      </c>
      <c r="P1751" s="468" t="s">
        <v>2354</v>
      </c>
      <c r="Z1751" s="433" t="str">
        <f ca="1">HYPERLINK("#"&amp;재료비목록표!G2&amp;"!A"&amp;ROW(재료비목록표!A74),"M00648 →")</f>
        <v>M00648 →</v>
      </c>
    </row>
    <row r="1752" spans="1:26" ht="33.200000000000003" customHeight="1">
      <c r="A1752" s="452" t="s">
        <v>2310</v>
      </c>
      <c r="B1752" s="452" t="s">
        <v>2311</v>
      </c>
      <c r="C1752" s="489">
        <v>6</v>
      </c>
      <c r="D1752" s="480" t="s">
        <v>975</v>
      </c>
      <c r="E1752" s="490">
        <f t="shared" si="278"/>
        <v>784</v>
      </c>
      <c r="F1752" s="493">
        <f t="shared" si="278"/>
        <v>4704</v>
      </c>
      <c r="G1752" s="494">
        <f>일위대가목록표!F145</f>
        <v>677</v>
      </c>
      <c r="H1752" s="498">
        <f t="shared" si="279"/>
        <v>4062</v>
      </c>
      <c r="I1752" s="494">
        <f>일위대가목록표!G145</f>
        <v>107</v>
      </c>
      <c r="J1752" s="498">
        <f t="shared" si="280"/>
        <v>642</v>
      </c>
      <c r="K1752" s="494">
        <f>일위대가목록표!H145</f>
        <v>0</v>
      </c>
      <c r="L1752" s="498">
        <f t="shared" si="281"/>
        <v>0</v>
      </c>
      <c r="M1752" s="463" t="s">
        <v>2941</v>
      </c>
      <c r="N1752" s="451" t="s">
        <v>2992</v>
      </c>
      <c r="O1752" s="468" t="s">
        <v>2943</v>
      </c>
      <c r="P1752" s="468" t="s">
        <v>2354</v>
      </c>
      <c r="Q1752" s="468" t="s">
        <v>2355</v>
      </c>
      <c r="Z1752" s="433" t="str">
        <f ca="1">HYPERLINK("#"&amp;일위대가목록표!J2&amp;"!A"&amp;ROW(일위대가목록표!A145),"B01416 →")</f>
        <v>B01416 →</v>
      </c>
    </row>
    <row r="1753" spans="1:26" ht="33.200000000000003" customHeight="1">
      <c r="A1753" s="452" t="s">
        <v>2507</v>
      </c>
      <c r="B1753" s="452" t="s">
        <v>2441</v>
      </c>
      <c r="C1753" s="489">
        <v>25</v>
      </c>
      <c r="D1753" s="480" t="s">
        <v>2371</v>
      </c>
      <c r="E1753" s="490">
        <f t="shared" si="278"/>
        <v>42485.9</v>
      </c>
      <c r="F1753" s="491">
        <f t="shared" si="278"/>
        <v>10621.4</v>
      </c>
      <c r="G1753" s="496">
        <f>H1745+H1746+H1747+H1748+H1752</f>
        <v>42485.9</v>
      </c>
      <c r="H1753" s="491">
        <f>IF(C1753=0,0,ROUNDDOWN(G1753*C1753/100,1))</f>
        <v>10621.4</v>
      </c>
      <c r="I1753" s="465">
        <v>0</v>
      </c>
      <c r="J1753" s="493">
        <f>IF(C1753=0,0,ROUNDDOWN(I1753*C1753/100,1))</f>
        <v>0</v>
      </c>
      <c r="K1753" s="467">
        <v>0</v>
      </c>
      <c r="L1753" s="493">
        <f>IF(C1753=0,0,ROUNDDOWN(K1753*C1753/100,1))</f>
        <v>0</v>
      </c>
      <c r="M1753" s="463"/>
      <c r="N1753" s="451" t="s">
        <v>2508</v>
      </c>
      <c r="O1753" s="468" t="s">
        <v>2373</v>
      </c>
      <c r="P1753" s="468" t="s">
        <v>2354</v>
      </c>
    </row>
    <row r="1754" spans="1:26" ht="33.200000000000003" customHeight="1">
      <c r="A1754" s="463" t="s">
        <v>842</v>
      </c>
      <c r="B1754" s="497"/>
      <c r="C1754" s="497"/>
      <c r="D1754" s="497"/>
      <c r="E1754" s="497"/>
      <c r="F1754" s="446">
        <f>J1754+H1754+L1754</f>
        <v>67986</v>
      </c>
      <c r="G1754" s="497"/>
      <c r="H1754" s="446">
        <f>ROUNDDOWN(SUMIF(P1745:P1753,O1754,H1745:H1753),0)</f>
        <v>53107</v>
      </c>
      <c r="I1754" s="497"/>
      <c r="J1754" s="446">
        <f>ROUNDDOWN(SUMIF(P1745:P1753,O1754,J1745:J1753),0)</f>
        <v>14879</v>
      </c>
      <c r="K1754" s="497"/>
      <c r="L1754" s="446">
        <f>ROUNDDOWN(SUMIF(P1745:P1753,O1754,L1745:L1753),0)</f>
        <v>0</v>
      </c>
      <c r="M1754" s="497"/>
      <c r="O1754" s="468" t="s">
        <v>2354</v>
      </c>
    </row>
    <row r="1755" spans="1:26" ht="33.200000000000003" customHeight="1">
      <c r="A1755" s="484" t="s">
        <v>3291</v>
      </c>
      <c r="B1755" s="484"/>
      <c r="C1755" s="485"/>
      <c r="D1755" s="485"/>
      <c r="E1755" s="485"/>
      <c r="F1755" s="485"/>
      <c r="G1755" s="485"/>
      <c r="H1755" s="485"/>
      <c r="I1755" s="485"/>
      <c r="J1755" s="485"/>
      <c r="K1755" s="485"/>
      <c r="L1755" s="485"/>
      <c r="M1755" s="485"/>
      <c r="N1755" s="486" t="str">
        <f>HYPERLINK("#N"&amp;ROW(N1759),"_x0005_`BDCOD|B02630_x0007_`POSS|"&amp;ROW(N1757)&amp;"_x0007_`POSE|"&amp;ROW(N1759)&amp;"_x0007_`")</f>
        <v>_x0005_`BDCOD|B02630_x0007_`POSS|1757_x0007_`POSE|1759_x0007_`</v>
      </c>
    </row>
    <row r="1756" spans="1:26" ht="33.200000000000003" customHeight="1">
      <c r="A1756" s="469" t="s">
        <v>1698</v>
      </c>
      <c r="B1756" s="469" t="s">
        <v>1686</v>
      </c>
      <c r="C1756" s="487"/>
      <c r="D1756" s="488" t="s">
        <v>984</v>
      </c>
      <c r="E1756" s="487"/>
      <c r="F1756" s="487"/>
      <c r="G1756" s="487"/>
      <c r="H1756" s="487"/>
      <c r="I1756" s="487"/>
      <c r="J1756" s="487"/>
      <c r="K1756" s="487"/>
      <c r="L1756" s="487"/>
      <c r="M1756" s="488" t="s">
        <v>1699</v>
      </c>
      <c r="O1756" s="468" t="s">
        <v>1699</v>
      </c>
    </row>
    <row r="1757" spans="1:26" ht="33.200000000000003" customHeight="1">
      <c r="A1757" s="452" t="s">
        <v>1466</v>
      </c>
      <c r="B1757" s="452" t="s">
        <v>1467</v>
      </c>
      <c r="C1757" s="489">
        <v>2.5000000000000001E-2</v>
      </c>
      <c r="D1757" s="480" t="s">
        <v>8</v>
      </c>
      <c r="E1757" s="490">
        <f t="shared" ref="E1757:F1759" si="282">I1757+G1757+K1757</f>
        <v>274515</v>
      </c>
      <c r="F1757" s="493">
        <f t="shared" si="282"/>
        <v>6862.8</v>
      </c>
      <c r="G1757" s="494">
        <f>일위대가목록표!F73</f>
        <v>274515</v>
      </c>
      <c r="H1757" s="498">
        <f>IF(C1757=0,0,ROUNDDOWN(G1757*C1757,1))</f>
        <v>6862.8</v>
      </c>
      <c r="I1757" s="494">
        <f>일위대가목록표!G73</f>
        <v>0</v>
      </c>
      <c r="J1757" s="498">
        <f>IF(C1757=0,0,ROUNDDOWN(I1757*C1757,1))</f>
        <v>0</v>
      </c>
      <c r="K1757" s="494">
        <f>일위대가목록표!H73</f>
        <v>0</v>
      </c>
      <c r="L1757" s="498">
        <f>IF(C1757=0,0,ROUNDDOWN(K1757*C1757,1))</f>
        <v>0</v>
      </c>
      <c r="M1757" s="463" t="s">
        <v>2596</v>
      </c>
      <c r="N1757" s="451" t="s">
        <v>2597</v>
      </c>
      <c r="O1757" s="468" t="s">
        <v>1470</v>
      </c>
      <c r="P1757" s="468" t="s">
        <v>2354</v>
      </c>
      <c r="Q1757" s="468" t="s">
        <v>2355</v>
      </c>
      <c r="Z1757" s="433" t="str">
        <f ca="1">HYPERLINK("#"&amp;일위대가목록표!J2&amp;"!A"&amp;ROW(일위대가목록표!A73),"B02396 →")</f>
        <v>B02396 →</v>
      </c>
    </row>
    <row r="1758" spans="1:26" ht="33.200000000000003" customHeight="1">
      <c r="A1758" s="452" t="s">
        <v>2484</v>
      </c>
      <c r="B1758" s="452" t="s">
        <v>2485</v>
      </c>
      <c r="C1758" s="489">
        <v>0.12</v>
      </c>
      <c r="D1758" s="480" t="s">
        <v>8</v>
      </c>
      <c r="E1758" s="490">
        <f t="shared" si="282"/>
        <v>62811</v>
      </c>
      <c r="F1758" s="493">
        <f t="shared" si="282"/>
        <v>7537.3</v>
      </c>
      <c r="G1758" s="494">
        <f>단가산출근거목록표!F157</f>
        <v>62811</v>
      </c>
      <c r="H1758" s="498">
        <f>IF(C1758=0,0,ROUNDDOWN(G1758*C1758,1))</f>
        <v>7537.3</v>
      </c>
      <c r="I1758" s="494">
        <f>단가산출근거목록표!G157</f>
        <v>0</v>
      </c>
      <c r="J1758" s="498">
        <f>IF(C1758=0,0,ROUNDDOWN(I1758*C1758,1))</f>
        <v>0</v>
      </c>
      <c r="K1758" s="494">
        <f>단가산출근거목록표!H157</f>
        <v>0</v>
      </c>
      <c r="L1758" s="498">
        <f>IF(C1758=0,0,ROUNDDOWN(K1758*C1758,1))</f>
        <v>0</v>
      </c>
      <c r="M1758" s="463" t="s">
        <v>2486</v>
      </c>
      <c r="N1758" s="451" t="s">
        <v>2504</v>
      </c>
      <c r="O1758" s="468" t="s">
        <v>2488</v>
      </c>
      <c r="P1758" s="468" t="s">
        <v>2354</v>
      </c>
      <c r="Z1758" s="433" t="str">
        <f ca="1">HYPERLINK("#"&amp;단가산출근거목록표!J2&amp;"!A"&amp;ROW(단가산출근거목록표!A157),"D01241 →")</f>
        <v>D01241 →</v>
      </c>
    </row>
    <row r="1759" spans="1:26" ht="33.200000000000003" customHeight="1">
      <c r="A1759" s="452" t="s">
        <v>2321</v>
      </c>
      <c r="B1759" s="452" t="s">
        <v>2322</v>
      </c>
      <c r="C1759" s="489">
        <v>0.12</v>
      </c>
      <c r="D1759" s="480" t="s">
        <v>8</v>
      </c>
      <c r="E1759" s="490">
        <f t="shared" si="282"/>
        <v>34413</v>
      </c>
      <c r="F1759" s="493">
        <f t="shared" si="282"/>
        <v>4129.5</v>
      </c>
      <c r="G1759" s="494">
        <f>일위대가목록표!F275</f>
        <v>34413</v>
      </c>
      <c r="H1759" s="498">
        <f>IF(C1759=0,0,ROUNDDOWN(G1759*C1759,1))</f>
        <v>4129.5</v>
      </c>
      <c r="I1759" s="494">
        <f>일위대가목록표!G275</f>
        <v>0</v>
      </c>
      <c r="J1759" s="498">
        <f>IF(C1759=0,0,ROUNDDOWN(I1759*C1759,1))</f>
        <v>0</v>
      </c>
      <c r="K1759" s="494">
        <f>일위대가목록표!H275</f>
        <v>0</v>
      </c>
      <c r="L1759" s="498">
        <f>IF(C1759=0,0,ROUNDDOWN(K1759*C1759,1))</f>
        <v>0</v>
      </c>
      <c r="M1759" s="463" t="s">
        <v>2489</v>
      </c>
      <c r="N1759" s="451" t="s">
        <v>2538</v>
      </c>
      <c r="O1759" s="468" t="s">
        <v>2491</v>
      </c>
      <c r="P1759" s="468" t="s">
        <v>2354</v>
      </c>
      <c r="Z1759" s="433" t="str">
        <f ca="1">HYPERLINK("#"&amp;일위대가목록표!J2&amp;"!A"&amp;ROW(일위대가목록표!A275),"B01414 →")</f>
        <v>B01414 →</v>
      </c>
    </row>
    <row r="1760" spans="1:26" ht="33.200000000000003" customHeight="1">
      <c r="A1760" s="463" t="s">
        <v>842</v>
      </c>
      <c r="B1760" s="497"/>
      <c r="C1760" s="497"/>
      <c r="D1760" s="497"/>
      <c r="E1760" s="497"/>
      <c r="F1760" s="446">
        <f>J1760+H1760+L1760</f>
        <v>18529</v>
      </c>
      <c r="G1760" s="497"/>
      <c r="H1760" s="446">
        <f>ROUNDDOWN(SUMIF(P1757:P1759,O1760,H1757:H1759),0)</f>
        <v>18529</v>
      </c>
      <c r="I1760" s="497"/>
      <c r="J1760" s="446">
        <f>ROUNDDOWN(SUMIF(P1757:P1759,O1760,J1757:J1759),0)</f>
        <v>0</v>
      </c>
      <c r="K1760" s="497"/>
      <c r="L1760" s="446">
        <f>ROUNDDOWN(SUMIF(P1757:P1759,O1760,L1757:L1759),0)</f>
        <v>0</v>
      </c>
      <c r="M1760" s="497"/>
      <c r="O1760" s="468" t="s">
        <v>2354</v>
      </c>
    </row>
    <row r="1761" spans="1:26" ht="33.200000000000003" customHeight="1">
      <c r="A1761" s="484" t="s">
        <v>3292</v>
      </c>
      <c r="B1761" s="484"/>
      <c r="C1761" s="485"/>
      <c r="D1761" s="485"/>
      <c r="E1761" s="485"/>
      <c r="F1761" s="485"/>
      <c r="G1761" s="485"/>
      <c r="H1761" s="485"/>
      <c r="I1761" s="485"/>
      <c r="J1761" s="485"/>
      <c r="K1761" s="485"/>
      <c r="L1761" s="485"/>
      <c r="M1761" s="485"/>
      <c r="N1761" s="486" t="str">
        <f>HYPERLINK("#N"&amp;ROW(N1765),"_x0005_`BDCOD|B02441_x0007_`POSS|"&amp;ROW(N1763)&amp;"_x0007_`POSE|"&amp;ROW(N1765)&amp;"_x0007_`")</f>
        <v>_x0005_`BDCOD|B02441_x0007_`POSS|1763_x0007_`POSE|1765_x0007_`</v>
      </c>
    </row>
    <row r="1762" spans="1:26" ht="33.200000000000003" customHeight="1">
      <c r="A1762" s="469" t="s">
        <v>1698</v>
      </c>
      <c r="B1762" s="469" t="s">
        <v>1690</v>
      </c>
      <c r="C1762" s="487"/>
      <c r="D1762" s="488" t="s">
        <v>984</v>
      </c>
      <c r="E1762" s="487"/>
      <c r="F1762" s="487"/>
      <c r="G1762" s="487"/>
      <c r="H1762" s="487"/>
      <c r="I1762" s="487"/>
      <c r="J1762" s="487"/>
      <c r="K1762" s="487"/>
      <c r="L1762" s="487"/>
      <c r="M1762" s="488" t="s">
        <v>1702</v>
      </c>
      <c r="O1762" s="468" t="s">
        <v>1702</v>
      </c>
    </row>
    <row r="1763" spans="1:26" ht="33.200000000000003" customHeight="1">
      <c r="A1763" s="452" t="s">
        <v>1466</v>
      </c>
      <c r="B1763" s="452" t="s">
        <v>1467</v>
      </c>
      <c r="C1763" s="489">
        <v>2.8000000000000001E-2</v>
      </c>
      <c r="D1763" s="480" t="s">
        <v>8</v>
      </c>
      <c r="E1763" s="490">
        <f t="shared" ref="E1763:F1765" si="283">I1763+G1763+K1763</f>
        <v>274515</v>
      </c>
      <c r="F1763" s="493">
        <f t="shared" si="283"/>
        <v>7686.4</v>
      </c>
      <c r="G1763" s="494">
        <f>일위대가목록표!F73</f>
        <v>274515</v>
      </c>
      <c r="H1763" s="498">
        <f>IF(C1763=0,0,ROUNDDOWN(G1763*C1763,1))</f>
        <v>7686.4</v>
      </c>
      <c r="I1763" s="494">
        <f>일위대가목록표!G73</f>
        <v>0</v>
      </c>
      <c r="J1763" s="498">
        <f>IF(C1763=0,0,ROUNDDOWN(I1763*C1763,1))</f>
        <v>0</v>
      </c>
      <c r="K1763" s="494">
        <f>일위대가목록표!H73</f>
        <v>0</v>
      </c>
      <c r="L1763" s="498">
        <f>IF(C1763=0,0,ROUNDDOWN(K1763*C1763,1))</f>
        <v>0</v>
      </c>
      <c r="M1763" s="463" t="s">
        <v>2596</v>
      </c>
      <c r="N1763" s="451" t="s">
        <v>2597</v>
      </c>
      <c r="O1763" s="468" t="s">
        <v>1470</v>
      </c>
      <c r="P1763" s="468" t="s">
        <v>2354</v>
      </c>
      <c r="Q1763" s="468" t="s">
        <v>2355</v>
      </c>
      <c r="Z1763" s="433" t="str">
        <f ca="1">HYPERLINK("#"&amp;일위대가목록표!J2&amp;"!A"&amp;ROW(일위대가목록표!A73),"B02396 →")</f>
        <v>B02396 →</v>
      </c>
    </row>
    <row r="1764" spans="1:26" ht="33.200000000000003" customHeight="1">
      <c r="A1764" s="452" t="s">
        <v>2484</v>
      </c>
      <c r="B1764" s="452" t="s">
        <v>2485</v>
      </c>
      <c r="C1764" s="489">
        <v>0.14399999999999999</v>
      </c>
      <c r="D1764" s="480" t="s">
        <v>8</v>
      </c>
      <c r="E1764" s="490">
        <f t="shared" si="283"/>
        <v>62811</v>
      </c>
      <c r="F1764" s="493">
        <f t="shared" si="283"/>
        <v>9044.7000000000007</v>
      </c>
      <c r="G1764" s="494">
        <f>단가산출근거목록표!F157</f>
        <v>62811</v>
      </c>
      <c r="H1764" s="498">
        <f>IF(C1764=0,0,ROUNDDOWN(G1764*C1764,1))</f>
        <v>9044.7000000000007</v>
      </c>
      <c r="I1764" s="494">
        <f>단가산출근거목록표!G157</f>
        <v>0</v>
      </c>
      <c r="J1764" s="498">
        <f>IF(C1764=0,0,ROUNDDOWN(I1764*C1764,1))</f>
        <v>0</v>
      </c>
      <c r="K1764" s="494">
        <f>단가산출근거목록표!H157</f>
        <v>0</v>
      </c>
      <c r="L1764" s="498">
        <f>IF(C1764=0,0,ROUNDDOWN(K1764*C1764,1))</f>
        <v>0</v>
      </c>
      <c r="M1764" s="463" t="s">
        <v>2486</v>
      </c>
      <c r="N1764" s="451" t="s">
        <v>2504</v>
      </c>
      <c r="O1764" s="468" t="s">
        <v>2488</v>
      </c>
      <c r="P1764" s="468" t="s">
        <v>2354</v>
      </c>
      <c r="Z1764" s="433" t="str">
        <f ca="1">HYPERLINK("#"&amp;단가산출근거목록표!J2&amp;"!A"&amp;ROW(단가산출근거목록표!A157),"D01241 →")</f>
        <v>D01241 →</v>
      </c>
    </row>
    <row r="1765" spans="1:26" ht="33.200000000000003" customHeight="1">
      <c r="A1765" s="452" t="s">
        <v>2321</v>
      </c>
      <c r="B1765" s="452" t="s">
        <v>2322</v>
      </c>
      <c r="C1765" s="489">
        <v>0.14399999999999999</v>
      </c>
      <c r="D1765" s="480" t="s">
        <v>8</v>
      </c>
      <c r="E1765" s="490">
        <f t="shared" si="283"/>
        <v>34413</v>
      </c>
      <c r="F1765" s="493">
        <f t="shared" si="283"/>
        <v>4955.3999999999996</v>
      </c>
      <c r="G1765" s="494">
        <f>일위대가목록표!F275</f>
        <v>34413</v>
      </c>
      <c r="H1765" s="498">
        <f>IF(C1765=0,0,ROUNDDOWN(G1765*C1765,1))</f>
        <v>4955.3999999999996</v>
      </c>
      <c r="I1765" s="494">
        <f>일위대가목록표!G275</f>
        <v>0</v>
      </c>
      <c r="J1765" s="498">
        <f>IF(C1765=0,0,ROUNDDOWN(I1765*C1765,1))</f>
        <v>0</v>
      </c>
      <c r="K1765" s="494">
        <f>일위대가목록표!H275</f>
        <v>0</v>
      </c>
      <c r="L1765" s="498">
        <f>IF(C1765=0,0,ROUNDDOWN(K1765*C1765,1))</f>
        <v>0</v>
      </c>
      <c r="M1765" s="463" t="s">
        <v>2489</v>
      </c>
      <c r="N1765" s="451" t="s">
        <v>2538</v>
      </c>
      <c r="O1765" s="468" t="s">
        <v>2491</v>
      </c>
      <c r="P1765" s="468" t="s">
        <v>2354</v>
      </c>
      <c r="Z1765" s="433" t="str">
        <f ca="1">HYPERLINK("#"&amp;일위대가목록표!J2&amp;"!A"&amp;ROW(일위대가목록표!A275),"B01414 →")</f>
        <v>B01414 →</v>
      </c>
    </row>
    <row r="1766" spans="1:26" ht="33.200000000000003" customHeight="1">
      <c r="A1766" s="463" t="s">
        <v>842</v>
      </c>
      <c r="B1766" s="497"/>
      <c r="C1766" s="497"/>
      <c r="D1766" s="497"/>
      <c r="E1766" s="497"/>
      <c r="F1766" s="446">
        <f>J1766+H1766+L1766</f>
        <v>21686</v>
      </c>
      <c r="G1766" s="497"/>
      <c r="H1766" s="446">
        <f>ROUNDDOWN(SUMIF(P1763:P1765,O1766,H1763:H1765),0)</f>
        <v>21686</v>
      </c>
      <c r="I1766" s="497"/>
      <c r="J1766" s="446">
        <f>ROUNDDOWN(SUMIF(P1763:P1765,O1766,J1763:J1765),0)</f>
        <v>0</v>
      </c>
      <c r="K1766" s="497"/>
      <c r="L1766" s="446">
        <f>ROUNDDOWN(SUMIF(P1763:P1765,O1766,L1763:L1765),0)</f>
        <v>0</v>
      </c>
      <c r="M1766" s="497"/>
      <c r="O1766" s="468" t="s">
        <v>2354</v>
      </c>
    </row>
    <row r="1767" spans="1:26" ht="33.200000000000003" customHeight="1">
      <c r="A1767" s="484" t="s">
        <v>3293</v>
      </c>
      <c r="B1767" s="484"/>
      <c r="C1767" s="485"/>
      <c r="D1767" s="485"/>
      <c r="E1767" s="485"/>
      <c r="F1767" s="485"/>
      <c r="G1767" s="485"/>
      <c r="H1767" s="485"/>
      <c r="I1767" s="485"/>
      <c r="J1767" s="485"/>
      <c r="K1767" s="485"/>
      <c r="L1767" s="485"/>
      <c r="M1767" s="485"/>
      <c r="N1767" s="486" t="str">
        <f>HYPERLINK("#N"&amp;ROW(N1771),"_x0005_`BDCOD|B02631_x0007_`POSS|"&amp;ROW(N1769)&amp;"_x0007_`POSE|"&amp;ROW(N1771)&amp;"_x0007_`")</f>
        <v>_x0005_`BDCOD|B02631_x0007_`POSS|1769_x0007_`POSE|1771_x0007_`</v>
      </c>
    </row>
    <row r="1768" spans="1:26" ht="33.200000000000003" customHeight="1">
      <c r="A1768" s="469" t="s">
        <v>1698</v>
      </c>
      <c r="B1768" s="469" t="s">
        <v>1694</v>
      </c>
      <c r="C1768" s="487"/>
      <c r="D1768" s="488" t="s">
        <v>984</v>
      </c>
      <c r="E1768" s="487"/>
      <c r="F1768" s="487"/>
      <c r="G1768" s="487"/>
      <c r="H1768" s="487"/>
      <c r="I1768" s="487"/>
      <c r="J1768" s="487"/>
      <c r="K1768" s="487"/>
      <c r="L1768" s="487"/>
      <c r="M1768" s="488" t="s">
        <v>1705</v>
      </c>
      <c r="O1768" s="468" t="s">
        <v>1705</v>
      </c>
    </row>
    <row r="1769" spans="1:26" ht="33.200000000000003" customHeight="1">
      <c r="A1769" s="452" t="s">
        <v>1466</v>
      </c>
      <c r="B1769" s="452" t="s">
        <v>1467</v>
      </c>
      <c r="C1769" s="489">
        <v>3.3000000000000002E-2</v>
      </c>
      <c r="D1769" s="480" t="s">
        <v>8</v>
      </c>
      <c r="E1769" s="490">
        <f t="shared" ref="E1769:F1771" si="284">I1769+G1769+K1769</f>
        <v>274515</v>
      </c>
      <c r="F1769" s="493">
        <f t="shared" si="284"/>
        <v>9058.9</v>
      </c>
      <c r="G1769" s="494">
        <f>일위대가목록표!F73</f>
        <v>274515</v>
      </c>
      <c r="H1769" s="498">
        <f>IF(C1769=0,0,ROUNDDOWN(G1769*C1769,1))</f>
        <v>9058.9</v>
      </c>
      <c r="I1769" s="494">
        <f>일위대가목록표!G73</f>
        <v>0</v>
      </c>
      <c r="J1769" s="498">
        <f>IF(C1769=0,0,ROUNDDOWN(I1769*C1769,1))</f>
        <v>0</v>
      </c>
      <c r="K1769" s="494">
        <f>일위대가목록표!H73</f>
        <v>0</v>
      </c>
      <c r="L1769" s="498">
        <f>IF(C1769=0,0,ROUNDDOWN(K1769*C1769,1))</f>
        <v>0</v>
      </c>
      <c r="M1769" s="463" t="s">
        <v>2596</v>
      </c>
      <c r="N1769" s="451" t="s">
        <v>2597</v>
      </c>
      <c r="O1769" s="468" t="s">
        <v>1470</v>
      </c>
      <c r="P1769" s="468" t="s">
        <v>2354</v>
      </c>
      <c r="Q1769" s="468" t="s">
        <v>2355</v>
      </c>
      <c r="Z1769" s="433" t="str">
        <f ca="1">HYPERLINK("#"&amp;일위대가목록표!J2&amp;"!A"&amp;ROW(일위대가목록표!A73),"B02396 →")</f>
        <v>B02396 →</v>
      </c>
    </row>
    <row r="1770" spans="1:26" ht="33.200000000000003" customHeight="1">
      <c r="A1770" s="452" t="s">
        <v>2484</v>
      </c>
      <c r="B1770" s="452" t="s">
        <v>2485</v>
      </c>
      <c r="C1770" s="489">
        <v>0.18</v>
      </c>
      <c r="D1770" s="480" t="s">
        <v>8</v>
      </c>
      <c r="E1770" s="490">
        <f t="shared" si="284"/>
        <v>62811</v>
      </c>
      <c r="F1770" s="493">
        <f t="shared" si="284"/>
        <v>11305.9</v>
      </c>
      <c r="G1770" s="494">
        <f>단가산출근거목록표!F157</f>
        <v>62811</v>
      </c>
      <c r="H1770" s="498">
        <f>IF(C1770=0,0,ROUNDDOWN(G1770*C1770,1))</f>
        <v>11305.9</v>
      </c>
      <c r="I1770" s="494">
        <f>단가산출근거목록표!G157</f>
        <v>0</v>
      </c>
      <c r="J1770" s="498">
        <f>IF(C1770=0,0,ROUNDDOWN(I1770*C1770,1))</f>
        <v>0</v>
      </c>
      <c r="K1770" s="494">
        <f>단가산출근거목록표!H157</f>
        <v>0</v>
      </c>
      <c r="L1770" s="498">
        <f>IF(C1770=0,0,ROUNDDOWN(K1770*C1770,1))</f>
        <v>0</v>
      </c>
      <c r="M1770" s="463" t="s">
        <v>2486</v>
      </c>
      <c r="N1770" s="451" t="s">
        <v>2504</v>
      </c>
      <c r="O1770" s="468" t="s">
        <v>2488</v>
      </c>
      <c r="P1770" s="468" t="s">
        <v>2354</v>
      </c>
      <c r="Z1770" s="433" t="str">
        <f ca="1">HYPERLINK("#"&amp;단가산출근거목록표!J2&amp;"!A"&amp;ROW(단가산출근거목록표!A157),"D01241 →")</f>
        <v>D01241 →</v>
      </c>
    </row>
    <row r="1771" spans="1:26" ht="33.200000000000003" customHeight="1">
      <c r="A1771" s="452" t="s">
        <v>2321</v>
      </c>
      <c r="B1771" s="452" t="s">
        <v>2322</v>
      </c>
      <c r="C1771" s="489">
        <v>0.18</v>
      </c>
      <c r="D1771" s="480" t="s">
        <v>8</v>
      </c>
      <c r="E1771" s="490">
        <f t="shared" si="284"/>
        <v>34413</v>
      </c>
      <c r="F1771" s="493">
        <f t="shared" si="284"/>
        <v>6194.3</v>
      </c>
      <c r="G1771" s="494">
        <f>일위대가목록표!F275</f>
        <v>34413</v>
      </c>
      <c r="H1771" s="498">
        <f>IF(C1771=0,0,ROUNDDOWN(G1771*C1771,1))</f>
        <v>6194.3</v>
      </c>
      <c r="I1771" s="494">
        <f>일위대가목록표!G275</f>
        <v>0</v>
      </c>
      <c r="J1771" s="498">
        <f>IF(C1771=0,0,ROUNDDOWN(I1771*C1771,1))</f>
        <v>0</v>
      </c>
      <c r="K1771" s="494">
        <f>일위대가목록표!H275</f>
        <v>0</v>
      </c>
      <c r="L1771" s="498">
        <f>IF(C1771=0,0,ROUNDDOWN(K1771*C1771,1))</f>
        <v>0</v>
      </c>
      <c r="M1771" s="463" t="s">
        <v>2489</v>
      </c>
      <c r="N1771" s="451" t="s">
        <v>2538</v>
      </c>
      <c r="O1771" s="468" t="s">
        <v>2491</v>
      </c>
      <c r="P1771" s="468" t="s">
        <v>2354</v>
      </c>
      <c r="Z1771" s="433" t="str">
        <f ca="1">HYPERLINK("#"&amp;일위대가목록표!J2&amp;"!A"&amp;ROW(일위대가목록표!A275),"B01414 →")</f>
        <v>B01414 →</v>
      </c>
    </row>
    <row r="1772" spans="1:26" ht="33.200000000000003" customHeight="1">
      <c r="A1772" s="463" t="s">
        <v>842</v>
      </c>
      <c r="B1772" s="497"/>
      <c r="C1772" s="497"/>
      <c r="D1772" s="497"/>
      <c r="E1772" s="497"/>
      <c r="F1772" s="446">
        <f>J1772+H1772+L1772</f>
        <v>26559</v>
      </c>
      <c r="G1772" s="497"/>
      <c r="H1772" s="446">
        <f>ROUNDDOWN(SUMIF(P1769:P1771,O1772,H1769:H1771),0)</f>
        <v>26559</v>
      </c>
      <c r="I1772" s="497"/>
      <c r="J1772" s="446">
        <f>ROUNDDOWN(SUMIF(P1769:P1771,O1772,J1769:J1771),0)</f>
        <v>0</v>
      </c>
      <c r="K1772" s="497"/>
      <c r="L1772" s="446">
        <f>ROUNDDOWN(SUMIF(P1769:P1771,O1772,L1769:L1771),0)</f>
        <v>0</v>
      </c>
      <c r="M1772" s="497"/>
      <c r="O1772" s="468" t="s">
        <v>2354</v>
      </c>
    </row>
    <row r="1773" spans="1:26" ht="33.200000000000003" customHeight="1">
      <c r="A1773" s="484" t="s">
        <v>3294</v>
      </c>
      <c r="B1773" s="484"/>
      <c r="C1773" s="485"/>
      <c r="D1773" s="485"/>
      <c r="E1773" s="485"/>
      <c r="F1773" s="485"/>
      <c r="G1773" s="485"/>
      <c r="H1773" s="485"/>
      <c r="I1773" s="485"/>
      <c r="J1773" s="485"/>
      <c r="K1773" s="485"/>
      <c r="L1773" s="485"/>
      <c r="M1773" s="485"/>
      <c r="N1773" s="486" t="str">
        <f>HYPERLINK("#N"&amp;ROW(N1778),"_x0005_`BDCOD|B02875_x0007_`POSS|"&amp;ROW(N1775)&amp;"_x0007_`POSE|"&amp;ROW(N1778)&amp;"_x0007_`")</f>
        <v>_x0005_`BDCOD|B02875_x0007_`POSS|1775_x0007_`POSE|1778_x0007_`</v>
      </c>
    </row>
    <row r="1774" spans="1:26" ht="33.200000000000003" customHeight="1">
      <c r="A1774" s="469" t="s">
        <v>5237</v>
      </c>
      <c r="B1774" s="469" t="s">
        <v>1686</v>
      </c>
      <c r="C1774" s="487"/>
      <c r="D1774" s="488" t="s">
        <v>984</v>
      </c>
      <c r="E1774" s="487"/>
      <c r="F1774" s="487"/>
      <c r="G1774" s="487"/>
      <c r="H1774" s="487"/>
      <c r="I1774" s="487"/>
      <c r="J1774" s="487"/>
      <c r="K1774" s="487"/>
      <c r="L1774" s="487"/>
      <c r="M1774" s="488" t="s">
        <v>5238</v>
      </c>
      <c r="O1774" s="468" t="s">
        <v>5238</v>
      </c>
    </row>
    <row r="1775" spans="1:26" ht="33.200000000000003" customHeight="1">
      <c r="A1775" s="452" t="s">
        <v>1466</v>
      </c>
      <c r="B1775" s="452" t="s">
        <v>1467</v>
      </c>
      <c r="C1775" s="489">
        <v>2.5000000000000001E-2</v>
      </c>
      <c r="D1775" s="480" t="s">
        <v>8</v>
      </c>
      <c r="E1775" s="490">
        <f t="shared" ref="E1775:F1778" si="285">I1775+G1775+K1775</f>
        <v>274515</v>
      </c>
      <c r="F1775" s="493">
        <f t="shared" si="285"/>
        <v>6862.8</v>
      </c>
      <c r="G1775" s="494">
        <f>일위대가목록표!F73</f>
        <v>274515</v>
      </c>
      <c r="H1775" s="498">
        <f>IF(C1775=0,0,ROUNDDOWN(G1775*C1775,1))</f>
        <v>6862.8</v>
      </c>
      <c r="I1775" s="494">
        <f>일위대가목록표!G73</f>
        <v>0</v>
      </c>
      <c r="J1775" s="498">
        <f>IF(C1775=0,0,ROUNDDOWN(I1775*C1775,1))</f>
        <v>0</v>
      </c>
      <c r="K1775" s="494">
        <f>일위대가목록표!H73</f>
        <v>0</v>
      </c>
      <c r="L1775" s="498">
        <f>IF(C1775=0,0,ROUNDDOWN(K1775*C1775,1))</f>
        <v>0</v>
      </c>
      <c r="M1775" s="463" t="s">
        <v>2596</v>
      </c>
      <c r="N1775" s="451" t="s">
        <v>2597</v>
      </c>
      <c r="O1775" s="468" t="s">
        <v>1470</v>
      </c>
      <c r="P1775" s="468" t="s">
        <v>2354</v>
      </c>
      <c r="Q1775" s="468" t="s">
        <v>2355</v>
      </c>
      <c r="Z1775" s="433" t="str">
        <f ca="1">HYPERLINK("#"&amp;일위대가목록표!J2&amp;"!A"&amp;ROW(일위대가목록표!A73),"B02396 →")</f>
        <v>B02396 →</v>
      </c>
    </row>
    <row r="1776" spans="1:26" ht="33.200000000000003" customHeight="1">
      <c r="A1776" s="452" t="s">
        <v>2484</v>
      </c>
      <c r="B1776" s="452" t="s">
        <v>2485</v>
      </c>
      <c r="C1776" s="489">
        <v>0.12</v>
      </c>
      <c r="D1776" s="480" t="s">
        <v>8</v>
      </c>
      <c r="E1776" s="490">
        <f t="shared" si="285"/>
        <v>62811</v>
      </c>
      <c r="F1776" s="493">
        <f t="shared" si="285"/>
        <v>7537.3</v>
      </c>
      <c r="G1776" s="494">
        <f>단가산출근거목록표!F157</f>
        <v>62811</v>
      </c>
      <c r="H1776" s="498">
        <f>IF(C1776=0,0,ROUNDDOWN(G1776*C1776,1))</f>
        <v>7537.3</v>
      </c>
      <c r="I1776" s="494">
        <f>단가산출근거목록표!G157</f>
        <v>0</v>
      </c>
      <c r="J1776" s="498">
        <f>IF(C1776=0,0,ROUNDDOWN(I1776*C1776,1))</f>
        <v>0</v>
      </c>
      <c r="K1776" s="494">
        <f>단가산출근거목록표!H157</f>
        <v>0</v>
      </c>
      <c r="L1776" s="498">
        <f>IF(C1776=0,0,ROUNDDOWN(K1776*C1776,1))</f>
        <v>0</v>
      </c>
      <c r="M1776" s="463" t="s">
        <v>2486</v>
      </c>
      <c r="N1776" s="451" t="s">
        <v>2487</v>
      </c>
      <c r="O1776" s="468" t="s">
        <v>2488</v>
      </c>
      <c r="P1776" s="468" t="s">
        <v>2354</v>
      </c>
      <c r="Q1776" s="468" t="s">
        <v>2355</v>
      </c>
      <c r="Z1776" s="433" t="str">
        <f ca="1">HYPERLINK("#"&amp;단가산출근거목록표!J2&amp;"!A"&amp;ROW(단가산출근거목록표!A157),"D01241 →")</f>
        <v>D01241 →</v>
      </c>
    </row>
    <row r="1777" spans="1:26" ht="33.200000000000003" customHeight="1">
      <c r="A1777" s="452" t="s">
        <v>2321</v>
      </c>
      <c r="B1777" s="452" t="s">
        <v>2322</v>
      </c>
      <c r="C1777" s="489">
        <v>0.12</v>
      </c>
      <c r="D1777" s="480" t="s">
        <v>8</v>
      </c>
      <c r="E1777" s="490">
        <f t="shared" si="285"/>
        <v>34413</v>
      </c>
      <c r="F1777" s="493">
        <f t="shared" si="285"/>
        <v>4129.5</v>
      </c>
      <c r="G1777" s="494">
        <f>일위대가목록표!F275</f>
        <v>34413</v>
      </c>
      <c r="H1777" s="498">
        <f>IF(C1777=0,0,ROUNDDOWN(G1777*C1777,1))</f>
        <v>4129.5</v>
      </c>
      <c r="I1777" s="494">
        <f>일위대가목록표!G275</f>
        <v>0</v>
      </c>
      <c r="J1777" s="498">
        <f>IF(C1777=0,0,ROUNDDOWN(I1777*C1777,1))</f>
        <v>0</v>
      </c>
      <c r="K1777" s="494">
        <f>일위대가목록표!H275</f>
        <v>0</v>
      </c>
      <c r="L1777" s="498">
        <f>IF(C1777=0,0,ROUNDDOWN(K1777*C1777,1))</f>
        <v>0</v>
      </c>
      <c r="M1777" s="463" t="s">
        <v>2489</v>
      </c>
      <c r="N1777" s="451" t="s">
        <v>2490</v>
      </c>
      <c r="O1777" s="468" t="s">
        <v>2491</v>
      </c>
      <c r="P1777" s="468" t="s">
        <v>2354</v>
      </c>
      <c r="Q1777" s="468" t="s">
        <v>2355</v>
      </c>
      <c r="Z1777" s="433" t="str">
        <f ca="1">HYPERLINK("#"&amp;일위대가목록표!J2&amp;"!A"&amp;ROW(일위대가목록표!A275),"B01414 →")</f>
        <v>B01414 →</v>
      </c>
    </row>
    <row r="1778" spans="1:26" ht="33.200000000000003" customHeight="1">
      <c r="A1778" s="452" t="s">
        <v>2507</v>
      </c>
      <c r="B1778" s="452" t="s">
        <v>2441</v>
      </c>
      <c r="C1778" s="489">
        <v>15</v>
      </c>
      <c r="D1778" s="480" t="s">
        <v>2371</v>
      </c>
      <c r="E1778" s="490">
        <f t="shared" si="285"/>
        <v>18529.599999999999</v>
      </c>
      <c r="F1778" s="491">
        <f t="shared" si="285"/>
        <v>2779.4</v>
      </c>
      <c r="G1778" s="496">
        <f>H1775+H1776+H1777</f>
        <v>18529.599999999999</v>
      </c>
      <c r="H1778" s="491">
        <f>IF(C1778=0,0,ROUNDDOWN(G1778*C1778/100,1))</f>
        <v>2779.4</v>
      </c>
      <c r="I1778" s="465">
        <v>0</v>
      </c>
      <c r="J1778" s="493">
        <f>IF(C1778=0,0,ROUNDDOWN(I1778*C1778/100,1))</f>
        <v>0</v>
      </c>
      <c r="K1778" s="467">
        <v>0</v>
      </c>
      <c r="L1778" s="493">
        <f>IF(C1778=0,0,ROUNDDOWN(K1778*C1778/100,1))</f>
        <v>0</v>
      </c>
      <c r="M1778" s="463"/>
      <c r="N1778" s="451" t="s">
        <v>2508</v>
      </c>
      <c r="O1778" s="468" t="s">
        <v>2373</v>
      </c>
      <c r="P1778" s="468" t="s">
        <v>2354</v>
      </c>
    </row>
    <row r="1779" spans="1:26" ht="33.200000000000003" customHeight="1">
      <c r="A1779" s="463" t="s">
        <v>842</v>
      </c>
      <c r="B1779" s="497"/>
      <c r="C1779" s="497"/>
      <c r="D1779" s="497"/>
      <c r="E1779" s="497"/>
      <c r="F1779" s="446">
        <f>J1779+H1779+L1779</f>
        <v>21309</v>
      </c>
      <c r="G1779" s="497"/>
      <c r="H1779" s="446">
        <f>ROUNDDOWN(SUMIF(P1775:P1778,O1779,H1775:H1778),0)</f>
        <v>21309</v>
      </c>
      <c r="I1779" s="497"/>
      <c r="J1779" s="446">
        <f>ROUNDDOWN(SUMIF(P1775:P1778,O1779,J1775:J1778),0)</f>
        <v>0</v>
      </c>
      <c r="K1779" s="497"/>
      <c r="L1779" s="446">
        <f>ROUNDDOWN(SUMIF(P1775:P1778,O1779,L1775:L1778),0)</f>
        <v>0</v>
      </c>
      <c r="M1779" s="497"/>
      <c r="O1779" s="468" t="s">
        <v>2354</v>
      </c>
    </row>
    <row r="1780" spans="1:26" ht="33.200000000000003" customHeight="1">
      <c r="A1780" s="484" t="s">
        <v>3295</v>
      </c>
      <c r="B1780" s="484"/>
      <c r="C1780" s="485"/>
      <c r="D1780" s="485"/>
      <c r="E1780" s="485"/>
      <c r="F1780" s="485"/>
      <c r="G1780" s="485"/>
      <c r="H1780" s="485"/>
      <c r="I1780" s="485"/>
      <c r="J1780" s="485"/>
      <c r="K1780" s="485"/>
      <c r="L1780" s="485"/>
      <c r="M1780" s="485"/>
      <c r="N1780" s="486" t="str">
        <f>HYPERLINK("#N"&amp;ROW(N1785),"_x0005_`BDCOD|B02876_x0007_`POSS|"&amp;ROW(N1782)&amp;"_x0007_`POSE|"&amp;ROW(N1785)&amp;"_x0007_`")</f>
        <v>_x0005_`BDCOD|B02876_x0007_`POSS|1782_x0007_`POSE|1785_x0007_`</v>
      </c>
    </row>
    <row r="1781" spans="1:26" ht="33.200000000000003" customHeight="1">
      <c r="A1781" s="469" t="s">
        <v>5237</v>
      </c>
      <c r="B1781" s="469" t="s">
        <v>1690</v>
      </c>
      <c r="C1781" s="487"/>
      <c r="D1781" s="488" t="s">
        <v>984</v>
      </c>
      <c r="E1781" s="487"/>
      <c r="F1781" s="487"/>
      <c r="G1781" s="487"/>
      <c r="H1781" s="487"/>
      <c r="I1781" s="487"/>
      <c r="J1781" s="487"/>
      <c r="K1781" s="487"/>
      <c r="L1781" s="487"/>
      <c r="M1781" s="488" t="s">
        <v>5241</v>
      </c>
      <c r="O1781" s="468" t="s">
        <v>5241</v>
      </c>
    </row>
    <row r="1782" spans="1:26" ht="33.200000000000003" customHeight="1">
      <c r="A1782" s="452" t="s">
        <v>1466</v>
      </c>
      <c r="B1782" s="452" t="s">
        <v>1467</v>
      </c>
      <c r="C1782" s="489">
        <v>2.8000000000000001E-2</v>
      </c>
      <c r="D1782" s="480" t="s">
        <v>8</v>
      </c>
      <c r="E1782" s="490">
        <f t="shared" ref="E1782:F1785" si="286">I1782+G1782+K1782</f>
        <v>274515</v>
      </c>
      <c r="F1782" s="493">
        <f t="shared" si="286"/>
        <v>7686.4</v>
      </c>
      <c r="G1782" s="494">
        <f>일위대가목록표!F73</f>
        <v>274515</v>
      </c>
      <c r="H1782" s="498">
        <f>IF(C1782=0,0,ROUNDDOWN(G1782*C1782,1))</f>
        <v>7686.4</v>
      </c>
      <c r="I1782" s="494">
        <f>일위대가목록표!G73</f>
        <v>0</v>
      </c>
      <c r="J1782" s="498">
        <f>IF(C1782=0,0,ROUNDDOWN(I1782*C1782,1))</f>
        <v>0</v>
      </c>
      <c r="K1782" s="494">
        <f>일위대가목록표!H73</f>
        <v>0</v>
      </c>
      <c r="L1782" s="498">
        <f>IF(C1782=0,0,ROUNDDOWN(K1782*C1782,1))</f>
        <v>0</v>
      </c>
      <c r="M1782" s="463" t="s">
        <v>2596</v>
      </c>
      <c r="N1782" s="451" t="s">
        <v>2597</v>
      </c>
      <c r="O1782" s="468" t="s">
        <v>1470</v>
      </c>
      <c r="P1782" s="468" t="s">
        <v>2354</v>
      </c>
      <c r="Q1782" s="468" t="s">
        <v>2355</v>
      </c>
      <c r="Z1782" s="433" t="str">
        <f ca="1">HYPERLINK("#"&amp;일위대가목록표!J2&amp;"!A"&amp;ROW(일위대가목록표!A73),"B02396 →")</f>
        <v>B02396 →</v>
      </c>
    </row>
    <row r="1783" spans="1:26" ht="33.200000000000003" customHeight="1">
      <c r="A1783" s="452" t="s">
        <v>2484</v>
      </c>
      <c r="B1783" s="452" t="s">
        <v>2485</v>
      </c>
      <c r="C1783" s="489">
        <v>0.14399999999999999</v>
      </c>
      <c r="D1783" s="480" t="s">
        <v>8</v>
      </c>
      <c r="E1783" s="490">
        <f t="shared" si="286"/>
        <v>62811</v>
      </c>
      <c r="F1783" s="493">
        <f t="shared" si="286"/>
        <v>9044.7000000000007</v>
      </c>
      <c r="G1783" s="494">
        <f>단가산출근거목록표!F157</f>
        <v>62811</v>
      </c>
      <c r="H1783" s="498">
        <f>IF(C1783=0,0,ROUNDDOWN(G1783*C1783,1))</f>
        <v>9044.7000000000007</v>
      </c>
      <c r="I1783" s="494">
        <f>단가산출근거목록표!G157</f>
        <v>0</v>
      </c>
      <c r="J1783" s="498">
        <f>IF(C1783=0,0,ROUNDDOWN(I1783*C1783,1))</f>
        <v>0</v>
      </c>
      <c r="K1783" s="494">
        <f>단가산출근거목록표!H157</f>
        <v>0</v>
      </c>
      <c r="L1783" s="498">
        <f>IF(C1783=0,0,ROUNDDOWN(K1783*C1783,1))</f>
        <v>0</v>
      </c>
      <c r="M1783" s="463" t="s">
        <v>2486</v>
      </c>
      <c r="N1783" s="451" t="s">
        <v>2487</v>
      </c>
      <c r="O1783" s="468" t="s">
        <v>2488</v>
      </c>
      <c r="P1783" s="468" t="s">
        <v>2354</v>
      </c>
      <c r="Q1783" s="468" t="s">
        <v>2355</v>
      </c>
      <c r="Z1783" s="433" t="str">
        <f ca="1">HYPERLINK("#"&amp;단가산출근거목록표!J2&amp;"!A"&amp;ROW(단가산출근거목록표!A157),"D01241 →")</f>
        <v>D01241 →</v>
      </c>
    </row>
    <row r="1784" spans="1:26" ht="33.200000000000003" customHeight="1">
      <c r="A1784" s="452" t="s">
        <v>2321</v>
      </c>
      <c r="B1784" s="452" t="s">
        <v>2322</v>
      </c>
      <c r="C1784" s="489">
        <v>0.14399999999999999</v>
      </c>
      <c r="D1784" s="480" t="s">
        <v>8</v>
      </c>
      <c r="E1784" s="490">
        <f t="shared" si="286"/>
        <v>34413</v>
      </c>
      <c r="F1784" s="493">
        <f t="shared" si="286"/>
        <v>4955.3999999999996</v>
      </c>
      <c r="G1784" s="494">
        <f>일위대가목록표!F275</f>
        <v>34413</v>
      </c>
      <c r="H1784" s="498">
        <f>IF(C1784=0,0,ROUNDDOWN(G1784*C1784,1))</f>
        <v>4955.3999999999996</v>
      </c>
      <c r="I1784" s="494">
        <f>일위대가목록표!G275</f>
        <v>0</v>
      </c>
      <c r="J1784" s="498">
        <f>IF(C1784=0,0,ROUNDDOWN(I1784*C1784,1))</f>
        <v>0</v>
      </c>
      <c r="K1784" s="494">
        <f>일위대가목록표!H275</f>
        <v>0</v>
      </c>
      <c r="L1784" s="498">
        <f>IF(C1784=0,0,ROUNDDOWN(K1784*C1784,1))</f>
        <v>0</v>
      </c>
      <c r="M1784" s="463" t="s">
        <v>2489</v>
      </c>
      <c r="N1784" s="451" t="s">
        <v>2490</v>
      </c>
      <c r="O1784" s="468" t="s">
        <v>2491</v>
      </c>
      <c r="P1784" s="468" t="s">
        <v>2354</v>
      </c>
      <c r="Q1784" s="468" t="s">
        <v>2355</v>
      </c>
      <c r="Z1784" s="433" t="str">
        <f ca="1">HYPERLINK("#"&amp;일위대가목록표!J2&amp;"!A"&amp;ROW(일위대가목록표!A275),"B01414 →")</f>
        <v>B01414 →</v>
      </c>
    </row>
    <row r="1785" spans="1:26" ht="33.200000000000003" customHeight="1">
      <c r="A1785" s="452" t="s">
        <v>2507</v>
      </c>
      <c r="B1785" s="452" t="s">
        <v>2441</v>
      </c>
      <c r="C1785" s="489">
        <v>15</v>
      </c>
      <c r="D1785" s="480" t="s">
        <v>2371</v>
      </c>
      <c r="E1785" s="490">
        <f t="shared" si="286"/>
        <v>21686.5</v>
      </c>
      <c r="F1785" s="491">
        <f t="shared" si="286"/>
        <v>3252.9</v>
      </c>
      <c r="G1785" s="496">
        <f>H1782+H1783+H1784</f>
        <v>21686.5</v>
      </c>
      <c r="H1785" s="491">
        <f>IF(C1785=0,0,ROUNDDOWN(G1785*C1785/100,1))</f>
        <v>3252.9</v>
      </c>
      <c r="I1785" s="465">
        <v>0</v>
      </c>
      <c r="J1785" s="493">
        <f>IF(C1785=0,0,ROUNDDOWN(I1785*C1785/100,1))</f>
        <v>0</v>
      </c>
      <c r="K1785" s="467">
        <v>0</v>
      </c>
      <c r="L1785" s="493">
        <f>IF(C1785=0,0,ROUNDDOWN(K1785*C1785/100,1))</f>
        <v>0</v>
      </c>
      <c r="M1785" s="463"/>
      <c r="N1785" s="451" t="s">
        <v>2508</v>
      </c>
      <c r="O1785" s="468" t="s">
        <v>2373</v>
      </c>
      <c r="P1785" s="468" t="s">
        <v>2354</v>
      </c>
    </row>
    <row r="1786" spans="1:26" ht="33.200000000000003" customHeight="1">
      <c r="A1786" s="463" t="s">
        <v>842</v>
      </c>
      <c r="B1786" s="497"/>
      <c r="C1786" s="497"/>
      <c r="D1786" s="497"/>
      <c r="E1786" s="497"/>
      <c r="F1786" s="446">
        <f>J1786+H1786+L1786</f>
        <v>24939</v>
      </c>
      <c r="G1786" s="497"/>
      <c r="H1786" s="446">
        <f>ROUNDDOWN(SUMIF(P1782:P1785,O1786,H1782:H1785),0)</f>
        <v>24939</v>
      </c>
      <c r="I1786" s="497"/>
      <c r="J1786" s="446">
        <f>ROUNDDOWN(SUMIF(P1782:P1785,O1786,J1782:J1785),0)</f>
        <v>0</v>
      </c>
      <c r="K1786" s="497"/>
      <c r="L1786" s="446">
        <f>ROUNDDOWN(SUMIF(P1782:P1785,O1786,L1782:L1785),0)</f>
        <v>0</v>
      </c>
      <c r="M1786" s="497"/>
      <c r="O1786" s="468" t="s">
        <v>2354</v>
      </c>
    </row>
    <row r="1787" spans="1:26" ht="33.200000000000003" customHeight="1">
      <c r="A1787" s="484" t="s">
        <v>3296</v>
      </c>
      <c r="B1787" s="484"/>
      <c r="C1787" s="485"/>
      <c r="D1787" s="485"/>
      <c r="E1787" s="485"/>
      <c r="F1787" s="485"/>
      <c r="G1787" s="485"/>
      <c r="H1787" s="485"/>
      <c r="I1787" s="485"/>
      <c r="J1787" s="485"/>
      <c r="K1787" s="485"/>
      <c r="L1787" s="485"/>
      <c r="M1787" s="485"/>
      <c r="N1787" s="486" t="str">
        <f>HYPERLINK("#N"&amp;ROW(N1792),"_x0005_`BDCOD|B02877_x0007_`POSS|"&amp;ROW(N1789)&amp;"_x0007_`POSE|"&amp;ROW(N1792)&amp;"_x0007_`")</f>
        <v>_x0005_`BDCOD|B02877_x0007_`POSS|1789_x0007_`POSE|1792_x0007_`</v>
      </c>
    </row>
    <row r="1788" spans="1:26" ht="33.200000000000003" customHeight="1">
      <c r="A1788" s="469" t="s">
        <v>5237</v>
      </c>
      <c r="B1788" s="469" t="s">
        <v>1694</v>
      </c>
      <c r="C1788" s="487"/>
      <c r="D1788" s="488" t="s">
        <v>984</v>
      </c>
      <c r="E1788" s="487"/>
      <c r="F1788" s="487"/>
      <c r="G1788" s="487"/>
      <c r="H1788" s="487"/>
      <c r="I1788" s="487"/>
      <c r="J1788" s="487"/>
      <c r="K1788" s="487"/>
      <c r="L1788" s="487"/>
      <c r="M1788" s="488" t="s">
        <v>5244</v>
      </c>
      <c r="O1788" s="468" t="s">
        <v>5244</v>
      </c>
    </row>
    <row r="1789" spans="1:26" ht="33.200000000000003" customHeight="1">
      <c r="A1789" s="452" t="s">
        <v>1466</v>
      </c>
      <c r="B1789" s="452" t="s">
        <v>1467</v>
      </c>
      <c r="C1789" s="489">
        <v>3.3000000000000002E-2</v>
      </c>
      <c r="D1789" s="480" t="s">
        <v>8</v>
      </c>
      <c r="E1789" s="490">
        <f t="shared" ref="E1789:F1792" si="287">I1789+G1789+K1789</f>
        <v>274515</v>
      </c>
      <c r="F1789" s="493">
        <f t="shared" si="287"/>
        <v>9058.9</v>
      </c>
      <c r="G1789" s="494">
        <f>일위대가목록표!F73</f>
        <v>274515</v>
      </c>
      <c r="H1789" s="498">
        <f>IF(C1789=0,0,ROUNDDOWN(G1789*C1789,1))</f>
        <v>9058.9</v>
      </c>
      <c r="I1789" s="494">
        <f>일위대가목록표!G73</f>
        <v>0</v>
      </c>
      <c r="J1789" s="498">
        <f>IF(C1789=0,0,ROUNDDOWN(I1789*C1789,1))</f>
        <v>0</v>
      </c>
      <c r="K1789" s="494">
        <f>일위대가목록표!H73</f>
        <v>0</v>
      </c>
      <c r="L1789" s="498">
        <f>IF(C1789=0,0,ROUNDDOWN(K1789*C1789,1))</f>
        <v>0</v>
      </c>
      <c r="M1789" s="463" t="s">
        <v>2596</v>
      </c>
      <c r="N1789" s="451" t="s">
        <v>2597</v>
      </c>
      <c r="O1789" s="468" t="s">
        <v>1470</v>
      </c>
      <c r="P1789" s="468" t="s">
        <v>2354</v>
      </c>
      <c r="Q1789" s="468" t="s">
        <v>2355</v>
      </c>
      <c r="Z1789" s="433" t="str">
        <f ca="1">HYPERLINK("#"&amp;일위대가목록표!J2&amp;"!A"&amp;ROW(일위대가목록표!A73),"B02396 →")</f>
        <v>B02396 →</v>
      </c>
    </row>
    <row r="1790" spans="1:26" ht="33.200000000000003" customHeight="1">
      <c r="A1790" s="452" t="s">
        <v>2484</v>
      </c>
      <c r="B1790" s="452" t="s">
        <v>2485</v>
      </c>
      <c r="C1790" s="489">
        <v>0.18</v>
      </c>
      <c r="D1790" s="480" t="s">
        <v>8</v>
      </c>
      <c r="E1790" s="490">
        <f t="shared" si="287"/>
        <v>62811</v>
      </c>
      <c r="F1790" s="493">
        <f t="shared" si="287"/>
        <v>11305.9</v>
      </c>
      <c r="G1790" s="494">
        <f>단가산출근거목록표!F157</f>
        <v>62811</v>
      </c>
      <c r="H1790" s="498">
        <f>IF(C1790=0,0,ROUNDDOWN(G1790*C1790,1))</f>
        <v>11305.9</v>
      </c>
      <c r="I1790" s="494">
        <f>단가산출근거목록표!G157</f>
        <v>0</v>
      </c>
      <c r="J1790" s="498">
        <f>IF(C1790=0,0,ROUNDDOWN(I1790*C1790,1))</f>
        <v>0</v>
      </c>
      <c r="K1790" s="494">
        <f>단가산출근거목록표!H157</f>
        <v>0</v>
      </c>
      <c r="L1790" s="498">
        <f>IF(C1790=0,0,ROUNDDOWN(K1790*C1790,1))</f>
        <v>0</v>
      </c>
      <c r="M1790" s="463" t="s">
        <v>2486</v>
      </c>
      <c r="N1790" s="451" t="s">
        <v>2487</v>
      </c>
      <c r="O1790" s="468" t="s">
        <v>2488</v>
      </c>
      <c r="P1790" s="468" t="s">
        <v>2354</v>
      </c>
      <c r="Q1790" s="468" t="s">
        <v>2355</v>
      </c>
      <c r="Z1790" s="433" t="str">
        <f ca="1">HYPERLINK("#"&amp;단가산출근거목록표!J2&amp;"!A"&amp;ROW(단가산출근거목록표!A157),"D01241 →")</f>
        <v>D01241 →</v>
      </c>
    </row>
    <row r="1791" spans="1:26" ht="33.200000000000003" customHeight="1">
      <c r="A1791" s="452" t="s">
        <v>2321</v>
      </c>
      <c r="B1791" s="452" t="s">
        <v>2322</v>
      </c>
      <c r="C1791" s="489">
        <v>0.18</v>
      </c>
      <c r="D1791" s="480" t="s">
        <v>8</v>
      </c>
      <c r="E1791" s="490">
        <f t="shared" si="287"/>
        <v>34413</v>
      </c>
      <c r="F1791" s="493">
        <f t="shared" si="287"/>
        <v>6194.3</v>
      </c>
      <c r="G1791" s="494">
        <f>일위대가목록표!F275</f>
        <v>34413</v>
      </c>
      <c r="H1791" s="498">
        <f>IF(C1791=0,0,ROUNDDOWN(G1791*C1791,1))</f>
        <v>6194.3</v>
      </c>
      <c r="I1791" s="494">
        <f>일위대가목록표!G275</f>
        <v>0</v>
      </c>
      <c r="J1791" s="498">
        <f>IF(C1791=0,0,ROUNDDOWN(I1791*C1791,1))</f>
        <v>0</v>
      </c>
      <c r="K1791" s="494">
        <f>일위대가목록표!H275</f>
        <v>0</v>
      </c>
      <c r="L1791" s="498">
        <f>IF(C1791=0,0,ROUNDDOWN(K1791*C1791,1))</f>
        <v>0</v>
      </c>
      <c r="M1791" s="463" t="s">
        <v>2489</v>
      </c>
      <c r="N1791" s="451" t="s">
        <v>2490</v>
      </c>
      <c r="O1791" s="468" t="s">
        <v>2491</v>
      </c>
      <c r="P1791" s="468" t="s">
        <v>2354</v>
      </c>
      <c r="Q1791" s="468" t="s">
        <v>2355</v>
      </c>
      <c r="Z1791" s="433" t="str">
        <f ca="1">HYPERLINK("#"&amp;일위대가목록표!J2&amp;"!A"&amp;ROW(일위대가목록표!A275),"B01414 →")</f>
        <v>B01414 →</v>
      </c>
    </row>
    <row r="1792" spans="1:26" ht="33.200000000000003" customHeight="1">
      <c r="A1792" s="452" t="s">
        <v>2507</v>
      </c>
      <c r="B1792" s="452" t="s">
        <v>2441</v>
      </c>
      <c r="C1792" s="489">
        <v>15</v>
      </c>
      <c r="D1792" s="480" t="s">
        <v>2371</v>
      </c>
      <c r="E1792" s="490">
        <f t="shared" si="287"/>
        <v>26559.1</v>
      </c>
      <c r="F1792" s="491">
        <f t="shared" si="287"/>
        <v>3983.8</v>
      </c>
      <c r="G1792" s="496">
        <f>H1789+H1790+H1791</f>
        <v>26559.1</v>
      </c>
      <c r="H1792" s="491">
        <f>IF(C1792=0,0,ROUNDDOWN(G1792*C1792/100,1))</f>
        <v>3983.8</v>
      </c>
      <c r="I1792" s="465">
        <v>0</v>
      </c>
      <c r="J1792" s="493">
        <f>IF(C1792=0,0,ROUNDDOWN(I1792*C1792/100,1))</f>
        <v>0</v>
      </c>
      <c r="K1792" s="467">
        <v>0</v>
      </c>
      <c r="L1792" s="493">
        <f>IF(C1792=0,0,ROUNDDOWN(K1792*C1792/100,1))</f>
        <v>0</v>
      </c>
      <c r="M1792" s="463"/>
      <c r="N1792" s="451" t="s">
        <v>2508</v>
      </c>
      <c r="O1792" s="468" t="s">
        <v>2373</v>
      </c>
      <c r="P1792" s="468" t="s">
        <v>2354</v>
      </c>
    </row>
    <row r="1793" spans="1:26" ht="33.200000000000003" customHeight="1">
      <c r="A1793" s="463" t="s">
        <v>842</v>
      </c>
      <c r="B1793" s="497"/>
      <c r="C1793" s="497"/>
      <c r="D1793" s="497"/>
      <c r="E1793" s="497"/>
      <c r="F1793" s="446">
        <f>J1793+H1793+L1793</f>
        <v>30542</v>
      </c>
      <c r="G1793" s="497"/>
      <c r="H1793" s="446">
        <f>ROUNDDOWN(SUMIF(P1789:P1792,O1793,H1789:H1792),0)</f>
        <v>30542</v>
      </c>
      <c r="I1793" s="497"/>
      <c r="J1793" s="446">
        <f>ROUNDDOWN(SUMIF(P1789:P1792,O1793,J1789:J1792),0)</f>
        <v>0</v>
      </c>
      <c r="K1793" s="497"/>
      <c r="L1793" s="446">
        <f>ROUNDDOWN(SUMIF(P1789:P1792,O1793,L1789:L1792),0)</f>
        <v>0</v>
      </c>
      <c r="M1793" s="497"/>
      <c r="O1793" s="468" t="s">
        <v>2354</v>
      </c>
    </row>
    <row r="1794" spans="1:26" ht="33.200000000000003" customHeight="1">
      <c r="A1794" s="484" t="s">
        <v>3297</v>
      </c>
      <c r="B1794" s="484"/>
      <c r="C1794" s="485"/>
      <c r="D1794" s="485"/>
      <c r="E1794" s="485"/>
      <c r="F1794" s="485"/>
      <c r="G1794" s="485"/>
      <c r="H1794" s="485"/>
      <c r="I1794" s="485"/>
      <c r="J1794" s="485"/>
      <c r="K1794" s="485"/>
      <c r="L1794" s="485"/>
      <c r="M1794" s="485"/>
      <c r="N1794" s="486" t="str">
        <f>HYPERLINK("#N"&amp;ROW(N1799),"_x0005_`BDCOD|B02632_x0007_`POSS|"&amp;ROW(N1796)&amp;"_x0007_`POSE|"&amp;ROW(N1799)&amp;"_x0007_`")</f>
        <v>_x0005_`BDCOD|B02632_x0007_`POSS|1796_x0007_`POSE|1799_x0007_`</v>
      </c>
    </row>
    <row r="1795" spans="1:26" ht="33.200000000000003" customHeight="1">
      <c r="A1795" s="469" t="s">
        <v>5247</v>
      </c>
      <c r="B1795" s="469" t="s">
        <v>1686</v>
      </c>
      <c r="C1795" s="487"/>
      <c r="D1795" s="488" t="s">
        <v>984</v>
      </c>
      <c r="E1795" s="487"/>
      <c r="F1795" s="487"/>
      <c r="G1795" s="487"/>
      <c r="H1795" s="487"/>
      <c r="I1795" s="487"/>
      <c r="J1795" s="487"/>
      <c r="K1795" s="487"/>
      <c r="L1795" s="487"/>
      <c r="M1795" s="488" t="s">
        <v>1687</v>
      </c>
      <c r="O1795" s="468" t="s">
        <v>1687</v>
      </c>
    </row>
    <row r="1796" spans="1:26" ht="33.200000000000003" customHeight="1">
      <c r="A1796" s="452" t="s">
        <v>1466</v>
      </c>
      <c r="B1796" s="452" t="s">
        <v>1467</v>
      </c>
      <c r="C1796" s="489">
        <v>2.5000000000000001E-2</v>
      </c>
      <c r="D1796" s="480" t="s">
        <v>8</v>
      </c>
      <c r="E1796" s="490">
        <f t="shared" ref="E1796:F1799" si="288">I1796+G1796+K1796</f>
        <v>274515</v>
      </c>
      <c r="F1796" s="493">
        <f t="shared" si="288"/>
        <v>6862.8</v>
      </c>
      <c r="G1796" s="494">
        <f>일위대가목록표!F73</f>
        <v>274515</v>
      </c>
      <c r="H1796" s="498">
        <f>IF(C1796=0,0,ROUNDDOWN(G1796*C1796,1))</f>
        <v>6862.8</v>
      </c>
      <c r="I1796" s="494">
        <f>일위대가목록표!G73</f>
        <v>0</v>
      </c>
      <c r="J1796" s="498">
        <f>IF(C1796=0,0,ROUNDDOWN(I1796*C1796,1))</f>
        <v>0</v>
      </c>
      <c r="K1796" s="494">
        <f>일위대가목록표!H73</f>
        <v>0</v>
      </c>
      <c r="L1796" s="498">
        <f>IF(C1796=0,0,ROUNDDOWN(K1796*C1796,1))</f>
        <v>0</v>
      </c>
      <c r="M1796" s="463" t="s">
        <v>2596</v>
      </c>
      <c r="N1796" s="451" t="s">
        <v>2597</v>
      </c>
      <c r="O1796" s="468" t="s">
        <v>1470</v>
      </c>
      <c r="P1796" s="468" t="s">
        <v>2354</v>
      </c>
      <c r="Q1796" s="468" t="s">
        <v>2355</v>
      </c>
      <c r="Z1796" s="433" t="str">
        <f ca="1">HYPERLINK("#"&amp;일위대가목록표!J2&amp;"!A"&amp;ROW(일위대가목록표!A73),"B02396 →")</f>
        <v>B02396 →</v>
      </c>
    </row>
    <row r="1797" spans="1:26" ht="33.200000000000003" customHeight="1">
      <c r="A1797" s="452" t="s">
        <v>2484</v>
      </c>
      <c r="B1797" s="452" t="s">
        <v>2485</v>
      </c>
      <c r="C1797" s="489">
        <v>0.12</v>
      </c>
      <c r="D1797" s="480" t="s">
        <v>8</v>
      </c>
      <c r="E1797" s="490">
        <f t="shared" si="288"/>
        <v>62811</v>
      </c>
      <c r="F1797" s="493">
        <f t="shared" si="288"/>
        <v>7537.3</v>
      </c>
      <c r="G1797" s="494">
        <f>단가산출근거목록표!F157</f>
        <v>62811</v>
      </c>
      <c r="H1797" s="498">
        <f>IF(C1797=0,0,ROUNDDOWN(G1797*C1797,1))</f>
        <v>7537.3</v>
      </c>
      <c r="I1797" s="494">
        <f>단가산출근거목록표!G157</f>
        <v>0</v>
      </c>
      <c r="J1797" s="498">
        <f>IF(C1797=0,0,ROUNDDOWN(I1797*C1797,1))</f>
        <v>0</v>
      </c>
      <c r="K1797" s="494">
        <f>단가산출근거목록표!H157</f>
        <v>0</v>
      </c>
      <c r="L1797" s="498">
        <f>IF(C1797=0,0,ROUNDDOWN(K1797*C1797,1))</f>
        <v>0</v>
      </c>
      <c r="M1797" s="463" t="s">
        <v>2486</v>
      </c>
      <c r="N1797" s="451" t="s">
        <v>2487</v>
      </c>
      <c r="O1797" s="468" t="s">
        <v>2488</v>
      </c>
      <c r="P1797" s="468" t="s">
        <v>2354</v>
      </c>
      <c r="Q1797" s="468" t="s">
        <v>2355</v>
      </c>
      <c r="Z1797" s="433" t="str">
        <f ca="1">HYPERLINK("#"&amp;단가산출근거목록표!J2&amp;"!A"&amp;ROW(단가산출근거목록표!A157),"D01241 →")</f>
        <v>D01241 →</v>
      </c>
    </row>
    <row r="1798" spans="1:26" ht="33.200000000000003" customHeight="1">
      <c r="A1798" s="452" t="s">
        <v>2321</v>
      </c>
      <c r="B1798" s="452" t="s">
        <v>2322</v>
      </c>
      <c r="C1798" s="489">
        <v>0.12</v>
      </c>
      <c r="D1798" s="480" t="s">
        <v>8</v>
      </c>
      <c r="E1798" s="490">
        <f t="shared" si="288"/>
        <v>34413</v>
      </c>
      <c r="F1798" s="493">
        <f t="shared" si="288"/>
        <v>4129.5</v>
      </c>
      <c r="G1798" s="494">
        <f>일위대가목록표!F275</f>
        <v>34413</v>
      </c>
      <c r="H1798" s="498">
        <f>IF(C1798=0,0,ROUNDDOWN(G1798*C1798,1))</f>
        <v>4129.5</v>
      </c>
      <c r="I1798" s="494">
        <f>일위대가목록표!G275</f>
        <v>0</v>
      </c>
      <c r="J1798" s="498">
        <f>IF(C1798=0,0,ROUNDDOWN(I1798*C1798,1))</f>
        <v>0</v>
      </c>
      <c r="K1798" s="494">
        <f>일위대가목록표!H275</f>
        <v>0</v>
      </c>
      <c r="L1798" s="498">
        <f>IF(C1798=0,0,ROUNDDOWN(K1798*C1798,1))</f>
        <v>0</v>
      </c>
      <c r="M1798" s="463" t="s">
        <v>2489</v>
      </c>
      <c r="N1798" s="451" t="s">
        <v>2490</v>
      </c>
      <c r="O1798" s="468" t="s">
        <v>2491</v>
      </c>
      <c r="P1798" s="468" t="s">
        <v>2354</v>
      </c>
      <c r="Q1798" s="468" t="s">
        <v>2355</v>
      </c>
      <c r="Z1798" s="433" t="str">
        <f ca="1">HYPERLINK("#"&amp;일위대가목록표!J2&amp;"!A"&amp;ROW(일위대가목록표!A275),"B01414 →")</f>
        <v>B01414 →</v>
      </c>
    </row>
    <row r="1799" spans="1:26" ht="33.200000000000003" customHeight="1">
      <c r="A1799" s="452" t="s">
        <v>2507</v>
      </c>
      <c r="B1799" s="452" t="s">
        <v>2441</v>
      </c>
      <c r="C1799" s="489">
        <v>25</v>
      </c>
      <c r="D1799" s="480" t="s">
        <v>2371</v>
      </c>
      <c r="E1799" s="490">
        <f t="shared" si="288"/>
        <v>18529.599999999999</v>
      </c>
      <c r="F1799" s="491">
        <f t="shared" si="288"/>
        <v>4632.3999999999996</v>
      </c>
      <c r="G1799" s="496">
        <f>H1796+H1797+H1798</f>
        <v>18529.599999999999</v>
      </c>
      <c r="H1799" s="491">
        <f>IF(C1799=0,0,ROUNDDOWN(G1799*C1799/100,1))</f>
        <v>4632.3999999999996</v>
      </c>
      <c r="I1799" s="465">
        <v>0</v>
      </c>
      <c r="J1799" s="493">
        <f>IF(C1799=0,0,ROUNDDOWN(I1799*C1799/100,1))</f>
        <v>0</v>
      </c>
      <c r="K1799" s="467">
        <v>0</v>
      </c>
      <c r="L1799" s="493">
        <f>IF(C1799=0,0,ROUNDDOWN(K1799*C1799/100,1))</f>
        <v>0</v>
      </c>
      <c r="M1799" s="463"/>
      <c r="N1799" s="451" t="s">
        <v>2508</v>
      </c>
      <c r="O1799" s="468" t="s">
        <v>2373</v>
      </c>
      <c r="P1799" s="468" t="s">
        <v>2354</v>
      </c>
    </row>
    <row r="1800" spans="1:26" ht="33.200000000000003" customHeight="1">
      <c r="A1800" s="463" t="s">
        <v>842</v>
      </c>
      <c r="B1800" s="497"/>
      <c r="C1800" s="497"/>
      <c r="D1800" s="497"/>
      <c r="E1800" s="497"/>
      <c r="F1800" s="446">
        <f>J1800+H1800+L1800</f>
        <v>23162</v>
      </c>
      <c r="G1800" s="497"/>
      <c r="H1800" s="446">
        <f>ROUNDDOWN(SUMIF(P1796:P1799,O1800,H1796:H1799),0)</f>
        <v>23162</v>
      </c>
      <c r="I1800" s="497"/>
      <c r="J1800" s="446">
        <f>ROUNDDOWN(SUMIF(P1796:P1799,O1800,J1796:J1799),0)</f>
        <v>0</v>
      </c>
      <c r="K1800" s="497"/>
      <c r="L1800" s="446">
        <f>ROUNDDOWN(SUMIF(P1796:P1799,O1800,L1796:L1799),0)</f>
        <v>0</v>
      </c>
      <c r="M1800" s="497"/>
      <c r="O1800" s="468" t="s">
        <v>2354</v>
      </c>
    </row>
    <row r="1801" spans="1:26" ht="33.200000000000003" customHeight="1">
      <c r="A1801" s="484" t="s">
        <v>3298</v>
      </c>
      <c r="B1801" s="484"/>
      <c r="C1801" s="485"/>
      <c r="D1801" s="485"/>
      <c r="E1801" s="485"/>
      <c r="F1801" s="485"/>
      <c r="G1801" s="485"/>
      <c r="H1801" s="485"/>
      <c r="I1801" s="485"/>
      <c r="J1801" s="485"/>
      <c r="K1801" s="485"/>
      <c r="L1801" s="485"/>
      <c r="M1801" s="485"/>
      <c r="N1801" s="486" t="str">
        <f>HYPERLINK("#N"&amp;ROW(N1806),"_x0005_`BDCOD|B02634_x0007_`POSS|"&amp;ROW(N1803)&amp;"_x0007_`POSE|"&amp;ROW(N1806)&amp;"_x0007_`")</f>
        <v>_x0005_`BDCOD|B02634_x0007_`POSS|1803_x0007_`POSE|1806_x0007_`</v>
      </c>
    </row>
    <row r="1802" spans="1:26" ht="33.200000000000003" customHeight="1">
      <c r="A1802" s="469" t="s">
        <v>5247</v>
      </c>
      <c r="B1802" s="469" t="s">
        <v>1690</v>
      </c>
      <c r="C1802" s="487"/>
      <c r="D1802" s="488" t="s">
        <v>984</v>
      </c>
      <c r="E1802" s="487"/>
      <c r="F1802" s="487"/>
      <c r="G1802" s="487"/>
      <c r="H1802" s="487"/>
      <c r="I1802" s="487"/>
      <c r="J1802" s="487"/>
      <c r="K1802" s="487"/>
      <c r="L1802" s="487"/>
      <c r="M1802" s="488" t="s">
        <v>1691</v>
      </c>
      <c r="O1802" s="468" t="s">
        <v>1691</v>
      </c>
    </row>
    <row r="1803" spans="1:26" ht="33.200000000000003" customHeight="1">
      <c r="A1803" s="452" t="s">
        <v>1466</v>
      </c>
      <c r="B1803" s="452" t="s">
        <v>1467</v>
      </c>
      <c r="C1803" s="489">
        <v>2.8000000000000001E-2</v>
      </c>
      <c r="D1803" s="480" t="s">
        <v>8</v>
      </c>
      <c r="E1803" s="490">
        <f t="shared" ref="E1803:F1806" si="289">I1803+G1803+K1803</f>
        <v>274515</v>
      </c>
      <c r="F1803" s="493">
        <f t="shared" si="289"/>
        <v>7686.4</v>
      </c>
      <c r="G1803" s="494">
        <f>일위대가목록표!F73</f>
        <v>274515</v>
      </c>
      <c r="H1803" s="498">
        <f>IF(C1803=0,0,ROUNDDOWN(G1803*C1803,1))</f>
        <v>7686.4</v>
      </c>
      <c r="I1803" s="494">
        <f>일위대가목록표!G73</f>
        <v>0</v>
      </c>
      <c r="J1803" s="498">
        <f>IF(C1803=0,0,ROUNDDOWN(I1803*C1803,1))</f>
        <v>0</v>
      </c>
      <c r="K1803" s="494">
        <f>일위대가목록표!H73</f>
        <v>0</v>
      </c>
      <c r="L1803" s="498">
        <f>IF(C1803=0,0,ROUNDDOWN(K1803*C1803,1))</f>
        <v>0</v>
      </c>
      <c r="M1803" s="463" t="s">
        <v>2596</v>
      </c>
      <c r="N1803" s="451" t="s">
        <v>2597</v>
      </c>
      <c r="O1803" s="468" t="s">
        <v>1470</v>
      </c>
      <c r="P1803" s="468" t="s">
        <v>2354</v>
      </c>
      <c r="Q1803" s="468" t="s">
        <v>2355</v>
      </c>
      <c r="Z1803" s="433" t="str">
        <f ca="1">HYPERLINK("#"&amp;일위대가목록표!J2&amp;"!A"&amp;ROW(일위대가목록표!A73),"B02396 →")</f>
        <v>B02396 →</v>
      </c>
    </row>
    <row r="1804" spans="1:26" ht="33.200000000000003" customHeight="1">
      <c r="A1804" s="452" t="s">
        <v>2484</v>
      </c>
      <c r="B1804" s="452" t="s">
        <v>2485</v>
      </c>
      <c r="C1804" s="489">
        <v>0.14399999999999999</v>
      </c>
      <c r="D1804" s="480" t="s">
        <v>8</v>
      </c>
      <c r="E1804" s="490">
        <f t="shared" si="289"/>
        <v>62811</v>
      </c>
      <c r="F1804" s="493">
        <f t="shared" si="289"/>
        <v>9044.7000000000007</v>
      </c>
      <c r="G1804" s="494">
        <f>단가산출근거목록표!F157</f>
        <v>62811</v>
      </c>
      <c r="H1804" s="498">
        <f>IF(C1804=0,0,ROUNDDOWN(G1804*C1804,1))</f>
        <v>9044.7000000000007</v>
      </c>
      <c r="I1804" s="494">
        <f>단가산출근거목록표!G157</f>
        <v>0</v>
      </c>
      <c r="J1804" s="498">
        <f>IF(C1804=0,0,ROUNDDOWN(I1804*C1804,1))</f>
        <v>0</v>
      </c>
      <c r="K1804" s="494">
        <f>단가산출근거목록표!H157</f>
        <v>0</v>
      </c>
      <c r="L1804" s="498">
        <f>IF(C1804=0,0,ROUNDDOWN(K1804*C1804,1))</f>
        <v>0</v>
      </c>
      <c r="M1804" s="463" t="s">
        <v>2486</v>
      </c>
      <c r="N1804" s="451" t="s">
        <v>2487</v>
      </c>
      <c r="O1804" s="468" t="s">
        <v>2488</v>
      </c>
      <c r="P1804" s="468" t="s">
        <v>2354</v>
      </c>
      <c r="Q1804" s="468" t="s">
        <v>2355</v>
      </c>
      <c r="Z1804" s="433" t="str">
        <f ca="1">HYPERLINK("#"&amp;단가산출근거목록표!J2&amp;"!A"&amp;ROW(단가산출근거목록표!A157),"D01241 →")</f>
        <v>D01241 →</v>
      </c>
    </row>
    <row r="1805" spans="1:26" ht="33.200000000000003" customHeight="1">
      <c r="A1805" s="452" t="s">
        <v>2321</v>
      </c>
      <c r="B1805" s="452" t="s">
        <v>2322</v>
      </c>
      <c r="C1805" s="489">
        <v>0.14399999999999999</v>
      </c>
      <c r="D1805" s="480" t="s">
        <v>8</v>
      </c>
      <c r="E1805" s="490">
        <f t="shared" si="289"/>
        <v>34413</v>
      </c>
      <c r="F1805" s="493">
        <f t="shared" si="289"/>
        <v>4955.3999999999996</v>
      </c>
      <c r="G1805" s="494">
        <f>일위대가목록표!F275</f>
        <v>34413</v>
      </c>
      <c r="H1805" s="498">
        <f>IF(C1805=0,0,ROUNDDOWN(G1805*C1805,1))</f>
        <v>4955.3999999999996</v>
      </c>
      <c r="I1805" s="494">
        <f>일위대가목록표!G275</f>
        <v>0</v>
      </c>
      <c r="J1805" s="498">
        <f>IF(C1805=0,0,ROUNDDOWN(I1805*C1805,1))</f>
        <v>0</v>
      </c>
      <c r="K1805" s="494">
        <f>일위대가목록표!H275</f>
        <v>0</v>
      </c>
      <c r="L1805" s="498">
        <f>IF(C1805=0,0,ROUNDDOWN(K1805*C1805,1))</f>
        <v>0</v>
      </c>
      <c r="M1805" s="463" t="s">
        <v>2489</v>
      </c>
      <c r="N1805" s="451" t="s">
        <v>2490</v>
      </c>
      <c r="O1805" s="468" t="s">
        <v>2491</v>
      </c>
      <c r="P1805" s="468" t="s">
        <v>2354</v>
      </c>
      <c r="Q1805" s="468" t="s">
        <v>2355</v>
      </c>
      <c r="Z1805" s="433" t="str">
        <f ca="1">HYPERLINK("#"&amp;일위대가목록표!J2&amp;"!A"&amp;ROW(일위대가목록표!A275),"B01414 →")</f>
        <v>B01414 →</v>
      </c>
    </row>
    <row r="1806" spans="1:26" ht="33.200000000000003" customHeight="1">
      <c r="A1806" s="452" t="s">
        <v>2507</v>
      </c>
      <c r="B1806" s="452" t="s">
        <v>2441</v>
      </c>
      <c r="C1806" s="489">
        <v>25</v>
      </c>
      <c r="D1806" s="480" t="s">
        <v>2371</v>
      </c>
      <c r="E1806" s="490">
        <f t="shared" si="289"/>
        <v>21686.5</v>
      </c>
      <c r="F1806" s="491">
        <f t="shared" si="289"/>
        <v>5421.6</v>
      </c>
      <c r="G1806" s="496">
        <f>H1803+H1804+H1805</f>
        <v>21686.5</v>
      </c>
      <c r="H1806" s="491">
        <f>IF(C1806=0,0,ROUNDDOWN(G1806*C1806/100,1))</f>
        <v>5421.6</v>
      </c>
      <c r="I1806" s="465">
        <v>0</v>
      </c>
      <c r="J1806" s="493">
        <f>IF(C1806=0,0,ROUNDDOWN(I1806*C1806/100,1))</f>
        <v>0</v>
      </c>
      <c r="K1806" s="467">
        <v>0</v>
      </c>
      <c r="L1806" s="493">
        <f>IF(C1806=0,0,ROUNDDOWN(K1806*C1806/100,1))</f>
        <v>0</v>
      </c>
      <c r="M1806" s="463"/>
      <c r="N1806" s="451" t="s">
        <v>2508</v>
      </c>
      <c r="O1806" s="468" t="s">
        <v>2373</v>
      </c>
      <c r="P1806" s="468" t="s">
        <v>2354</v>
      </c>
    </row>
    <row r="1807" spans="1:26" ht="33.200000000000003" customHeight="1">
      <c r="A1807" s="463" t="s">
        <v>842</v>
      </c>
      <c r="B1807" s="497"/>
      <c r="C1807" s="497"/>
      <c r="D1807" s="497"/>
      <c r="E1807" s="497"/>
      <c r="F1807" s="446">
        <f>J1807+H1807+L1807</f>
        <v>27108</v>
      </c>
      <c r="G1807" s="497"/>
      <c r="H1807" s="446">
        <f>ROUNDDOWN(SUMIF(P1803:P1806,O1807,H1803:H1806),0)</f>
        <v>27108</v>
      </c>
      <c r="I1807" s="497"/>
      <c r="J1807" s="446">
        <f>ROUNDDOWN(SUMIF(P1803:P1806,O1807,J1803:J1806),0)</f>
        <v>0</v>
      </c>
      <c r="K1807" s="497"/>
      <c r="L1807" s="446">
        <f>ROUNDDOWN(SUMIF(P1803:P1806,O1807,L1803:L1806),0)</f>
        <v>0</v>
      </c>
      <c r="M1807" s="497"/>
      <c r="O1807" s="468" t="s">
        <v>2354</v>
      </c>
    </row>
    <row r="1808" spans="1:26" ht="33.200000000000003" customHeight="1">
      <c r="A1808" s="484" t="s">
        <v>3299</v>
      </c>
      <c r="B1808" s="484"/>
      <c r="C1808" s="485"/>
      <c r="D1808" s="485"/>
      <c r="E1808" s="485"/>
      <c r="F1808" s="485"/>
      <c r="G1808" s="485"/>
      <c r="H1808" s="485"/>
      <c r="I1808" s="485"/>
      <c r="J1808" s="485"/>
      <c r="K1808" s="485"/>
      <c r="L1808" s="485"/>
      <c r="M1808" s="485"/>
      <c r="N1808" s="486" t="str">
        <f>HYPERLINK("#N"&amp;ROW(N1813),"_x0005_`BDCOD|B02633_x0007_`POSS|"&amp;ROW(N1810)&amp;"_x0007_`POSE|"&amp;ROW(N1813)&amp;"_x0007_`")</f>
        <v>_x0005_`BDCOD|B02633_x0007_`POSS|1810_x0007_`POSE|1813_x0007_`</v>
      </c>
    </row>
    <row r="1809" spans="1:26" ht="33.200000000000003" customHeight="1">
      <c r="A1809" s="469" t="s">
        <v>5247</v>
      </c>
      <c r="B1809" s="469" t="s">
        <v>1694</v>
      </c>
      <c r="C1809" s="487"/>
      <c r="D1809" s="488" t="s">
        <v>984</v>
      </c>
      <c r="E1809" s="487"/>
      <c r="F1809" s="487"/>
      <c r="G1809" s="487"/>
      <c r="H1809" s="487"/>
      <c r="I1809" s="487"/>
      <c r="J1809" s="487"/>
      <c r="K1809" s="487"/>
      <c r="L1809" s="487"/>
      <c r="M1809" s="488" t="s">
        <v>1695</v>
      </c>
      <c r="O1809" s="468" t="s">
        <v>1695</v>
      </c>
    </row>
    <row r="1810" spans="1:26" ht="33.200000000000003" customHeight="1">
      <c r="A1810" s="452" t="s">
        <v>1466</v>
      </c>
      <c r="B1810" s="452" t="s">
        <v>1467</v>
      </c>
      <c r="C1810" s="489">
        <v>3.3000000000000002E-2</v>
      </c>
      <c r="D1810" s="480" t="s">
        <v>8</v>
      </c>
      <c r="E1810" s="490">
        <f t="shared" ref="E1810:F1813" si="290">I1810+G1810+K1810</f>
        <v>274515</v>
      </c>
      <c r="F1810" s="493">
        <f t="shared" si="290"/>
        <v>9058.9</v>
      </c>
      <c r="G1810" s="494">
        <f>일위대가목록표!F73</f>
        <v>274515</v>
      </c>
      <c r="H1810" s="498">
        <f>IF(C1810=0,0,ROUNDDOWN(G1810*C1810,1))</f>
        <v>9058.9</v>
      </c>
      <c r="I1810" s="494">
        <f>일위대가목록표!G73</f>
        <v>0</v>
      </c>
      <c r="J1810" s="498">
        <f>IF(C1810=0,0,ROUNDDOWN(I1810*C1810,1))</f>
        <v>0</v>
      </c>
      <c r="K1810" s="494">
        <f>일위대가목록표!H73</f>
        <v>0</v>
      </c>
      <c r="L1810" s="498">
        <f>IF(C1810=0,0,ROUNDDOWN(K1810*C1810,1))</f>
        <v>0</v>
      </c>
      <c r="M1810" s="463" t="s">
        <v>2596</v>
      </c>
      <c r="N1810" s="451" t="s">
        <v>2597</v>
      </c>
      <c r="O1810" s="468" t="s">
        <v>1470</v>
      </c>
      <c r="P1810" s="468" t="s">
        <v>2354</v>
      </c>
      <c r="Q1810" s="468" t="s">
        <v>2355</v>
      </c>
      <c r="Z1810" s="433" t="str">
        <f ca="1">HYPERLINK("#"&amp;일위대가목록표!J2&amp;"!A"&amp;ROW(일위대가목록표!A73),"B02396 →")</f>
        <v>B02396 →</v>
      </c>
    </row>
    <row r="1811" spans="1:26" ht="33.200000000000003" customHeight="1">
      <c r="A1811" s="452" t="s">
        <v>2484</v>
      </c>
      <c r="B1811" s="452" t="s">
        <v>2485</v>
      </c>
      <c r="C1811" s="489">
        <v>0.18</v>
      </c>
      <c r="D1811" s="480" t="s">
        <v>8</v>
      </c>
      <c r="E1811" s="490">
        <f t="shared" si="290"/>
        <v>62811</v>
      </c>
      <c r="F1811" s="493">
        <f t="shared" si="290"/>
        <v>11305.9</v>
      </c>
      <c r="G1811" s="494">
        <f>단가산출근거목록표!F157</f>
        <v>62811</v>
      </c>
      <c r="H1811" s="498">
        <f>IF(C1811=0,0,ROUNDDOWN(G1811*C1811,1))</f>
        <v>11305.9</v>
      </c>
      <c r="I1811" s="494">
        <f>단가산출근거목록표!G157</f>
        <v>0</v>
      </c>
      <c r="J1811" s="498">
        <f>IF(C1811=0,0,ROUNDDOWN(I1811*C1811,1))</f>
        <v>0</v>
      </c>
      <c r="K1811" s="494">
        <f>단가산출근거목록표!H157</f>
        <v>0</v>
      </c>
      <c r="L1811" s="498">
        <f>IF(C1811=0,0,ROUNDDOWN(K1811*C1811,1))</f>
        <v>0</v>
      </c>
      <c r="M1811" s="463" t="s">
        <v>2486</v>
      </c>
      <c r="N1811" s="451" t="s">
        <v>2487</v>
      </c>
      <c r="O1811" s="468" t="s">
        <v>2488</v>
      </c>
      <c r="P1811" s="468" t="s">
        <v>2354</v>
      </c>
      <c r="Q1811" s="468" t="s">
        <v>2355</v>
      </c>
      <c r="Z1811" s="433" t="str">
        <f ca="1">HYPERLINK("#"&amp;단가산출근거목록표!J2&amp;"!A"&amp;ROW(단가산출근거목록표!A157),"D01241 →")</f>
        <v>D01241 →</v>
      </c>
    </row>
    <row r="1812" spans="1:26" ht="33.200000000000003" customHeight="1">
      <c r="A1812" s="452" t="s">
        <v>2321</v>
      </c>
      <c r="B1812" s="452" t="s">
        <v>2322</v>
      </c>
      <c r="C1812" s="489">
        <v>0.18</v>
      </c>
      <c r="D1812" s="480" t="s">
        <v>8</v>
      </c>
      <c r="E1812" s="490">
        <f t="shared" si="290"/>
        <v>34413</v>
      </c>
      <c r="F1812" s="493">
        <f t="shared" si="290"/>
        <v>6194.3</v>
      </c>
      <c r="G1812" s="494">
        <f>일위대가목록표!F275</f>
        <v>34413</v>
      </c>
      <c r="H1812" s="498">
        <f>IF(C1812=0,0,ROUNDDOWN(G1812*C1812,1))</f>
        <v>6194.3</v>
      </c>
      <c r="I1812" s="494">
        <f>일위대가목록표!G275</f>
        <v>0</v>
      </c>
      <c r="J1812" s="498">
        <f>IF(C1812=0,0,ROUNDDOWN(I1812*C1812,1))</f>
        <v>0</v>
      </c>
      <c r="K1812" s="494">
        <f>일위대가목록표!H275</f>
        <v>0</v>
      </c>
      <c r="L1812" s="498">
        <f>IF(C1812=0,0,ROUNDDOWN(K1812*C1812,1))</f>
        <v>0</v>
      </c>
      <c r="M1812" s="463" t="s">
        <v>2489</v>
      </c>
      <c r="N1812" s="451" t="s">
        <v>2490</v>
      </c>
      <c r="O1812" s="468" t="s">
        <v>2491</v>
      </c>
      <c r="P1812" s="468" t="s">
        <v>2354</v>
      </c>
      <c r="Q1812" s="468" t="s">
        <v>2355</v>
      </c>
      <c r="Z1812" s="433" t="str">
        <f ca="1">HYPERLINK("#"&amp;일위대가목록표!J2&amp;"!A"&amp;ROW(일위대가목록표!A275),"B01414 →")</f>
        <v>B01414 →</v>
      </c>
    </row>
    <row r="1813" spans="1:26" ht="33.200000000000003" customHeight="1">
      <c r="A1813" s="452" t="s">
        <v>2507</v>
      </c>
      <c r="B1813" s="452" t="s">
        <v>2441</v>
      </c>
      <c r="C1813" s="489">
        <v>25</v>
      </c>
      <c r="D1813" s="480" t="s">
        <v>2371</v>
      </c>
      <c r="E1813" s="490">
        <f t="shared" si="290"/>
        <v>26559.1</v>
      </c>
      <c r="F1813" s="491">
        <f t="shared" si="290"/>
        <v>6639.7</v>
      </c>
      <c r="G1813" s="496">
        <f>H1810+H1811+H1812</f>
        <v>26559.1</v>
      </c>
      <c r="H1813" s="491">
        <f>IF(C1813=0,0,ROUNDDOWN(G1813*C1813/100,1))</f>
        <v>6639.7</v>
      </c>
      <c r="I1813" s="465">
        <v>0</v>
      </c>
      <c r="J1813" s="493">
        <f>IF(C1813=0,0,ROUNDDOWN(I1813*C1813/100,1))</f>
        <v>0</v>
      </c>
      <c r="K1813" s="467">
        <v>0</v>
      </c>
      <c r="L1813" s="493">
        <f>IF(C1813=0,0,ROUNDDOWN(K1813*C1813/100,1))</f>
        <v>0</v>
      </c>
      <c r="M1813" s="463"/>
      <c r="N1813" s="451" t="s">
        <v>2508</v>
      </c>
      <c r="O1813" s="468" t="s">
        <v>2373</v>
      </c>
      <c r="P1813" s="468" t="s">
        <v>2354</v>
      </c>
    </row>
    <row r="1814" spans="1:26" ht="33.200000000000003" customHeight="1">
      <c r="A1814" s="463" t="s">
        <v>842</v>
      </c>
      <c r="B1814" s="497"/>
      <c r="C1814" s="497"/>
      <c r="D1814" s="497"/>
      <c r="E1814" s="497"/>
      <c r="F1814" s="446">
        <f>J1814+H1814+L1814</f>
        <v>33198</v>
      </c>
      <c r="G1814" s="497"/>
      <c r="H1814" s="446">
        <f>ROUNDDOWN(SUMIF(P1810:P1813,O1814,H1810:H1813),0)</f>
        <v>33198</v>
      </c>
      <c r="I1814" s="497"/>
      <c r="J1814" s="446">
        <f>ROUNDDOWN(SUMIF(P1810:P1813,O1814,J1810:J1813),0)</f>
        <v>0</v>
      </c>
      <c r="K1814" s="497"/>
      <c r="L1814" s="446">
        <f>ROUNDDOWN(SUMIF(P1810:P1813,O1814,L1810:L1813),0)</f>
        <v>0</v>
      </c>
      <c r="M1814" s="497"/>
      <c r="O1814" s="468" t="s">
        <v>2354</v>
      </c>
    </row>
    <row r="1815" spans="1:26" ht="33.200000000000003" customHeight="1">
      <c r="A1815" s="484" t="s">
        <v>3300</v>
      </c>
      <c r="B1815" s="484"/>
      <c r="C1815" s="485"/>
      <c r="D1815" s="485"/>
      <c r="E1815" s="485"/>
      <c r="F1815" s="485"/>
      <c r="G1815" s="485"/>
      <c r="H1815" s="485"/>
      <c r="I1815" s="485"/>
      <c r="J1815" s="485"/>
      <c r="K1815" s="485"/>
      <c r="L1815" s="485"/>
      <c r="M1815" s="485"/>
      <c r="N1815" s="486" t="str">
        <f>HYPERLINK("#N"&amp;ROW(N1826),"_x0005_`BDCOD|B02841_x0007_`POSS|"&amp;ROW(N1817)&amp;"_x0007_`POSE|"&amp;ROW(N1826)&amp;"_x0007_`")</f>
        <v>_x0005_`BDCOD|B02841_x0007_`POSS|1817_x0007_`POSE|1826_x0007_`</v>
      </c>
    </row>
    <row r="1816" spans="1:26" ht="33.200000000000003" customHeight="1">
      <c r="A1816" s="469" t="s">
        <v>5105</v>
      </c>
      <c r="B1816" s="469" t="s">
        <v>1039</v>
      </c>
      <c r="C1816" s="487"/>
      <c r="D1816" s="488" t="s">
        <v>984</v>
      </c>
      <c r="E1816" s="487"/>
      <c r="F1816" s="487"/>
      <c r="G1816" s="487"/>
      <c r="H1816" s="487"/>
      <c r="I1816" s="487"/>
      <c r="J1816" s="487"/>
      <c r="K1816" s="487"/>
      <c r="L1816" s="487"/>
      <c r="M1816" s="488" t="s">
        <v>5106</v>
      </c>
      <c r="O1816" s="468" t="s">
        <v>5106</v>
      </c>
    </row>
    <row r="1817" spans="1:26" ht="33.200000000000003" customHeight="1">
      <c r="A1817" s="452" t="s">
        <v>2484</v>
      </c>
      <c r="B1817" s="452" t="s">
        <v>2485</v>
      </c>
      <c r="C1817" s="489">
        <v>0.12</v>
      </c>
      <c r="D1817" s="480" t="s">
        <v>8</v>
      </c>
      <c r="E1817" s="490">
        <f t="shared" ref="E1817:F1826" si="291">I1817+G1817+K1817</f>
        <v>62811</v>
      </c>
      <c r="F1817" s="493">
        <f t="shared" si="291"/>
        <v>7537.3</v>
      </c>
      <c r="G1817" s="494">
        <f>단가산출근거목록표!F157</f>
        <v>62811</v>
      </c>
      <c r="H1817" s="498">
        <f t="shared" ref="H1817:H1825" si="292">IF(C1817=0,0,ROUNDDOWN(G1817*C1817,1))</f>
        <v>7537.3</v>
      </c>
      <c r="I1817" s="494">
        <f>단가산출근거목록표!G157</f>
        <v>0</v>
      </c>
      <c r="J1817" s="498">
        <f t="shared" ref="J1817:J1825" si="293">IF(C1817=0,0,ROUNDDOWN(I1817*C1817,1))</f>
        <v>0</v>
      </c>
      <c r="K1817" s="494">
        <f>단가산출근거목록표!H157</f>
        <v>0</v>
      </c>
      <c r="L1817" s="498">
        <f t="shared" ref="L1817:L1825" si="294">IF(C1817=0,0,ROUNDDOWN(K1817*C1817,1))</f>
        <v>0</v>
      </c>
      <c r="M1817" s="463" t="s">
        <v>2486</v>
      </c>
      <c r="N1817" s="451" t="s">
        <v>2487</v>
      </c>
      <c r="O1817" s="468" t="s">
        <v>2488</v>
      </c>
      <c r="P1817" s="468" t="s">
        <v>2354</v>
      </c>
      <c r="Q1817" s="468" t="s">
        <v>2355</v>
      </c>
      <c r="Z1817" s="433" t="str">
        <f ca="1">HYPERLINK("#"&amp;단가산출근거목록표!J2&amp;"!A"&amp;ROW(단가산출근거목록표!A157),"D01241 →")</f>
        <v>D01241 →</v>
      </c>
    </row>
    <row r="1818" spans="1:26" ht="33.200000000000003" customHeight="1">
      <c r="A1818" s="452" t="s">
        <v>2321</v>
      </c>
      <c r="B1818" s="452" t="s">
        <v>2322</v>
      </c>
      <c r="C1818" s="489">
        <v>2.5000000000000001E-2</v>
      </c>
      <c r="D1818" s="480" t="s">
        <v>8</v>
      </c>
      <c r="E1818" s="490">
        <f t="shared" si="291"/>
        <v>34413</v>
      </c>
      <c r="F1818" s="493">
        <f t="shared" si="291"/>
        <v>860.3</v>
      </c>
      <c r="G1818" s="494">
        <f>일위대가목록표!F275</f>
        <v>34413</v>
      </c>
      <c r="H1818" s="498">
        <f t="shared" si="292"/>
        <v>860.3</v>
      </c>
      <c r="I1818" s="494">
        <f>일위대가목록표!G275</f>
        <v>0</v>
      </c>
      <c r="J1818" s="498">
        <f t="shared" si="293"/>
        <v>0</v>
      </c>
      <c r="K1818" s="494">
        <f>일위대가목록표!H275</f>
        <v>0</v>
      </c>
      <c r="L1818" s="498">
        <f t="shared" si="294"/>
        <v>0</v>
      </c>
      <c r="M1818" s="463" t="s">
        <v>2489</v>
      </c>
      <c r="N1818" s="451" t="s">
        <v>2490</v>
      </c>
      <c r="O1818" s="468" t="s">
        <v>2491</v>
      </c>
      <c r="P1818" s="468" t="s">
        <v>2354</v>
      </c>
      <c r="Q1818" s="468" t="s">
        <v>2355</v>
      </c>
      <c r="Z1818" s="433" t="str">
        <f ca="1">HYPERLINK("#"&amp;일위대가목록표!J2&amp;"!A"&amp;ROW(일위대가목록표!A275),"B01414 →")</f>
        <v>B01414 →</v>
      </c>
    </row>
    <row r="1819" spans="1:26" ht="33.200000000000003" customHeight="1">
      <c r="A1819" s="452" t="s">
        <v>2298</v>
      </c>
      <c r="B1819" s="452" t="s">
        <v>2299</v>
      </c>
      <c r="C1819" s="489">
        <v>9.5000000000000001E-2</v>
      </c>
      <c r="D1819" s="480" t="s">
        <v>8</v>
      </c>
      <c r="E1819" s="490">
        <f t="shared" si="291"/>
        <v>24089</v>
      </c>
      <c r="F1819" s="493">
        <f t="shared" si="291"/>
        <v>2288.4</v>
      </c>
      <c r="G1819" s="494">
        <f>일위대가목록표!F37</f>
        <v>24089</v>
      </c>
      <c r="H1819" s="498">
        <f t="shared" si="292"/>
        <v>2288.4</v>
      </c>
      <c r="I1819" s="494">
        <f>일위대가목록표!G37</f>
        <v>0</v>
      </c>
      <c r="J1819" s="498">
        <f t="shared" si="293"/>
        <v>0</v>
      </c>
      <c r="K1819" s="494">
        <f>일위대가목록표!H37</f>
        <v>0</v>
      </c>
      <c r="L1819" s="498">
        <f t="shared" si="294"/>
        <v>0</v>
      </c>
      <c r="M1819" s="463" t="s">
        <v>2492</v>
      </c>
      <c r="N1819" s="451" t="s">
        <v>2493</v>
      </c>
      <c r="O1819" s="468" t="s">
        <v>2494</v>
      </c>
      <c r="P1819" s="468" t="s">
        <v>2354</v>
      </c>
      <c r="Q1819" s="468" t="s">
        <v>2355</v>
      </c>
      <c r="Z1819" s="433" t="str">
        <f ca="1">HYPERLINK("#"&amp;일위대가목록표!J2&amp;"!A"&amp;ROW(일위대가목록표!A37),"B01447 →")</f>
        <v>B01447 →</v>
      </c>
    </row>
    <row r="1820" spans="1:26" ht="33.200000000000003" customHeight="1">
      <c r="A1820" s="452" t="s">
        <v>2922</v>
      </c>
      <c r="B1820" s="452" t="s">
        <v>2923</v>
      </c>
      <c r="C1820" s="489">
        <v>7.7969999999999997</v>
      </c>
      <c r="D1820" s="480" t="s">
        <v>605</v>
      </c>
      <c r="E1820" s="490">
        <f t="shared" si="291"/>
        <v>7400</v>
      </c>
      <c r="F1820" s="491">
        <f t="shared" si="291"/>
        <v>57697.8</v>
      </c>
      <c r="G1820" s="492">
        <v>0</v>
      </c>
      <c r="H1820" s="493">
        <f t="shared" si="292"/>
        <v>0</v>
      </c>
      <c r="I1820" s="494">
        <f>재료비목록표!E76</f>
        <v>7400</v>
      </c>
      <c r="J1820" s="495">
        <f t="shared" si="293"/>
        <v>57697.8</v>
      </c>
      <c r="K1820" s="492">
        <v>0</v>
      </c>
      <c r="L1820" s="493">
        <f t="shared" si="294"/>
        <v>0</v>
      </c>
      <c r="M1820" s="463" t="s">
        <v>2924</v>
      </c>
      <c r="N1820" s="451" t="s">
        <v>2925</v>
      </c>
      <c r="O1820" s="468" t="s">
        <v>2926</v>
      </c>
      <c r="P1820" s="468" t="s">
        <v>2354</v>
      </c>
      <c r="Z1820" s="433" t="str">
        <f ca="1">HYPERLINK("#"&amp;재료비목록표!G2&amp;"!A"&amp;ROW(재료비목록표!A76),"M00960 →")</f>
        <v>M00960 →</v>
      </c>
    </row>
    <row r="1821" spans="1:26" ht="33.200000000000003" customHeight="1">
      <c r="A1821" s="452" t="s">
        <v>1461</v>
      </c>
      <c r="B1821" s="452" t="s">
        <v>1462</v>
      </c>
      <c r="C1821" s="489">
        <v>2.5000000000000001E-2</v>
      </c>
      <c r="D1821" s="480" t="s">
        <v>8</v>
      </c>
      <c r="E1821" s="490">
        <f t="shared" si="291"/>
        <v>915052</v>
      </c>
      <c r="F1821" s="493">
        <f t="shared" si="291"/>
        <v>22876.3</v>
      </c>
      <c r="G1821" s="494">
        <f>일위대가목록표!F72</f>
        <v>915052</v>
      </c>
      <c r="H1821" s="498">
        <f t="shared" si="292"/>
        <v>22876.3</v>
      </c>
      <c r="I1821" s="494">
        <f>일위대가목록표!G72</f>
        <v>0</v>
      </c>
      <c r="J1821" s="498">
        <f t="shared" si="293"/>
        <v>0</v>
      </c>
      <c r="K1821" s="494">
        <f>일위대가목록표!H72</f>
        <v>0</v>
      </c>
      <c r="L1821" s="498">
        <f t="shared" si="294"/>
        <v>0</v>
      </c>
      <c r="M1821" s="463" t="s">
        <v>2471</v>
      </c>
      <c r="N1821" s="451" t="s">
        <v>2472</v>
      </c>
      <c r="O1821" s="468" t="s">
        <v>1465</v>
      </c>
      <c r="P1821" s="468" t="s">
        <v>2354</v>
      </c>
      <c r="Q1821" s="468" t="s">
        <v>2355</v>
      </c>
      <c r="Z1821" s="433" t="str">
        <f ca="1">HYPERLINK("#"&amp;일위대가목록표!J2&amp;"!A"&amp;ROW(일위대가목록표!A72),"B01822 →")</f>
        <v>B01822 →</v>
      </c>
    </row>
    <row r="1822" spans="1:26" ht="33.200000000000003" customHeight="1">
      <c r="A1822" s="452" t="s">
        <v>2927</v>
      </c>
      <c r="B1822" s="452" t="s">
        <v>3076</v>
      </c>
      <c r="C1822" s="489">
        <v>6.3</v>
      </c>
      <c r="D1822" s="480" t="s">
        <v>2377</v>
      </c>
      <c r="E1822" s="490">
        <f t="shared" si="291"/>
        <v>2049</v>
      </c>
      <c r="F1822" s="491">
        <f t="shared" si="291"/>
        <v>12908.7</v>
      </c>
      <c r="G1822" s="492">
        <v>0</v>
      </c>
      <c r="H1822" s="493">
        <f t="shared" si="292"/>
        <v>0</v>
      </c>
      <c r="I1822" s="494">
        <f>재료비목록표!E56</f>
        <v>2049</v>
      </c>
      <c r="J1822" s="495">
        <f t="shared" si="293"/>
        <v>12908.7</v>
      </c>
      <c r="K1822" s="492">
        <v>0</v>
      </c>
      <c r="L1822" s="493">
        <f t="shared" si="294"/>
        <v>0</v>
      </c>
      <c r="M1822" s="463" t="s">
        <v>3077</v>
      </c>
      <c r="N1822" s="451" t="s">
        <v>3078</v>
      </c>
      <c r="O1822" s="468" t="s">
        <v>3079</v>
      </c>
      <c r="P1822" s="468" t="s">
        <v>2354</v>
      </c>
      <c r="Z1822" s="433" t="str">
        <f ca="1">HYPERLINK("#"&amp;재료비목록표!G2&amp;"!A"&amp;ROW(재료비목록표!A56),"M00955 →")</f>
        <v>M00955 →</v>
      </c>
    </row>
    <row r="1823" spans="1:26" ht="33.200000000000003" customHeight="1">
      <c r="A1823" s="452" t="s">
        <v>2932</v>
      </c>
      <c r="B1823" s="452" t="s">
        <v>2933</v>
      </c>
      <c r="C1823" s="489">
        <v>6.3</v>
      </c>
      <c r="D1823" s="480" t="s">
        <v>2377</v>
      </c>
      <c r="E1823" s="490">
        <f t="shared" si="291"/>
        <v>157.30000000000001</v>
      </c>
      <c r="F1823" s="491">
        <f t="shared" si="291"/>
        <v>990.9</v>
      </c>
      <c r="G1823" s="492">
        <v>0</v>
      </c>
      <c r="H1823" s="493">
        <f t="shared" si="292"/>
        <v>0</v>
      </c>
      <c r="I1823" s="494">
        <f>재료비목록표!E26</f>
        <v>157.30000000000001</v>
      </c>
      <c r="J1823" s="495">
        <f t="shared" si="293"/>
        <v>990.9</v>
      </c>
      <c r="K1823" s="492">
        <v>0</v>
      </c>
      <c r="L1823" s="493">
        <f t="shared" si="294"/>
        <v>0</v>
      </c>
      <c r="M1823" s="463" t="s">
        <v>2934</v>
      </c>
      <c r="N1823" s="451" t="s">
        <v>2935</v>
      </c>
      <c r="O1823" s="468" t="s">
        <v>2936</v>
      </c>
      <c r="P1823" s="468" t="s">
        <v>2354</v>
      </c>
      <c r="Z1823" s="433" t="str">
        <f ca="1">HYPERLINK("#"&amp;재료비목록표!G2&amp;"!A"&amp;ROW(재료비목록표!A26),"M00958 →")</f>
        <v>M00958 →</v>
      </c>
    </row>
    <row r="1824" spans="1:26" ht="33.200000000000003" customHeight="1">
      <c r="A1824" s="452" t="s">
        <v>2937</v>
      </c>
      <c r="B1824" s="452" t="s">
        <v>2933</v>
      </c>
      <c r="C1824" s="489">
        <v>6.3</v>
      </c>
      <c r="D1824" s="480" t="s">
        <v>2377</v>
      </c>
      <c r="E1824" s="490">
        <f t="shared" si="291"/>
        <v>53.7</v>
      </c>
      <c r="F1824" s="491">
        <f t="shared" si="291"/>
        <v>338.3</v>
      </c>
      <c r="G1824" s="492">
        <v>0</v>
      </c>
      <c r="H1824" s="493">
        <f t="shared" si="292"/>
        <v>0</v>
      </c>
      <c r="I1824" s="494">
        <f>재료비목록표!E74</f>
        <v>53.7</v>
      </c>
      <c r="J1824" s="495">
        <f t="shared" si="293"/>
        <v>338.3</v>
      </c>
      <c r="K1824" s="492">
        <v>0</v>
      </c>
      <c r="L1824" s="493">
        <f t="shared" si="294"/>
        <v>0</v>
      </c>
      <c r="M1824" s="463" t="s">
        <v>2938</v>
      </c>
      <c r="N1824" s="451" t="s">
        <v>2939</v>
      </c>
      <c r="O1824" s="468" t="s">
        <v>2940</v>
      </c>
      <c r="P1824" s="468" t="s">
        <v>2354</v>
      </c>
      <c r="Z1824" s="433" t="str">
        <f ca="1">HYPERLINK("#"&amp;재료비목록표!G2&amp;"!A"&amp;ROW(재료비목록표!A74),"M00648 →")</f>
        <v>M00648 →</v>
      </c>
    </row>
    <row r="1825" spans="1:26" ht="33.200000000000003" customHeight="1">
      <c r="A1825" s="452" t="s">
        <v>2310</v>
      </c>
      <c r="B1825" s="452" t="s">
        <v>2311</v>
      </c>
      <c r="C1825" s="489">
        <v>6</v>
      </c>
      <c r="D1825" s="480" t="s">
        <v>975</v>
      </c>
      <c r="E1825" s="490">
        <f t="shared" si="291"/>
        <v>784</v>
      </c>
      <c r="F1825" s="493">
        <f t="shared" si="291"/>
        <v>4704</v>
      </c>
      <c r="G1825" s="494">
        <f>일위대가목록표!F145</f>
        <v>677</v>
      </c>
      <c r="H1825" s="498">
        <f t="shared" si="292"/>
        <v>4062</v>
      </c>
      <c r="I1825" s="494">
        <f>일위대가목록표!G145</f>
        <v>107</v>
      </c>
      <c r="J1825" s="498">
        <f t="shared" si="293"/>
        <v>642</v>
      </c>
      <c r="K1825" s="494">
        <f>일위대가목록표!H145</f>
        <v>0</v>
      </c>
      <c r="L1825" s="498">
        <f t="shared" si="294"/>
        <v>0</v>
      </c>
      <c r="M1825" s="463" t="s">
        <v>2941</v>
      </c>
      <c r="N1825" s="451" t="s">
        <v>2992</v>
      </c>
      <c r="O1825" s="468" t="s">
        <v>2943</v>
      </c>
      <c r="P1825" s="468" t="s">
        <v>2354</v>
      </c>
      <c r="Q1825" s="468" t="s">
        <v>2355</v>
      </c>
      <c r="Z1825" s="433" t="str">
        <f ca="1">HYPERLINK("#"&amp;일위대가목록표!J2&amp;"!A"&amp;ROW(일위대가목록표!A145),"B01416 →")</f>
        <v>B01416 →</v>
      </c>
    </row>
    <row r="1826" spans="1:26" ht="33.200000000000003" customHeight="1">
      <c r="A1826" s="452" t="s">
        <v>2507</v>
      </c>
      <c r="B1826" s="452" t="s">
        <v>2441</v>
      </c>
      <c r="C1826" s="489">
        <v>15</v>
      </c>
      <c r="D1826" s="480" t="s">
        <v>2371</v>
      </c>
      <c r="E1826" s="490">
        <f t="shared" si="291"/>
        <v>37624.300000000003</v>
      </c>
      <c r="F1826" s="491">
        <f t="shared" si="291"/>
        <v>5643.6</v>
      </c>
      <c r="G1826" s="496">
        <f>H1817+H1818+H1819+H1821+H1825</f>
        <v>37624.300000000003</v>
      </c>
      <c r="H1826" s="491">
        <f>IF(C1826=0,0,ROUNDDOWN(G1826*C1826/100,1))</f>
        <v>5643.6</v>
      </c>
      <c r="I1826" s="465">
        <v>0</v>
      </c>
      <c r="J1826" s="493">
        <f>IF(C1826=0,0,ROUNDDOWN(I1826*C1826/100,1))</f>
        <v>0</v>
      </c>
      <c r="K1826" s="467">
        <v>0</v>
      </c>
      <c r="L1826" s="493">
        <f>IF(C1826=0,0,ROUNDDOWN(K1826*C1826/100,1))</f>
        <v>0</v>
      </c>
      <c r="M1826" s="463"/>
      <c r="N1826" s="451" t="s">
        <v>2508</v>
      </c>
      <c r="O1826" s="468" t="s">
        <v>2373</v>
      </c>
      <c r="P1826" s="468" t="s">
        <v>2354</v>
      </c>
    </row>
    <row r="1827" spans="1:26" ht="33.200000000000003" customHeight="1">
      <c r="A1827" s="463" t="s">
        <v>842</v>
      </c>
      <c r="B1827" s="497"/>
      <c r="C1827" s="497"/>
      <c r="D1827" s="497"/>
      <c r="E1827" s="497"/>
      <c r="F1827" s="446">
        <f>J1827+H1827+L1827</f>
        <v>115844</v>
      </c>
      <c r="G1827" s="497"/>
      <c r="H1827" s="446">
        <f>ROUNDDOWN(SUMIF(P1817:P1826,O1827,H1817:H1826),0)</f>
        <v>43267</v>
      </c>
      <c r="I1827" s="497"/>
      <c r="J1827" s="446">
        <f>ROUNDDOWN(SUMIF(P1817:P1826,O1827,J1817:J1826),0)</f>
        <v>72577</v>
      </c>
      <c r="K1827" s="497"/>
      <c r="L1827" s="446">
        <f>ROUNDDOWN(SUMIF(P1817:P1826,O1827,L1817:L1826),0)</f>
        <v>0</v>
      </c>
      <c r="M1827" s="497"/>
      <c r="O1827" s="468" t="s">
        <v>2354</v>
      </c>
    </row>
    <row r="1828" spans="1:26" ht="33.200000000000003" customHeight="1">
      <c r="A1828" s="484" t="s">
        <v>3301</v>
      </c>
      <c r="B1828" s="484"/>
      <c r="C1828" s="485"/>
      <c r="D1828" s="485"/>
      <c r="E1828" s="485"/>
      <c r="F1828" s="485"/>
      <c r="G1828" s="485"/>
      <c r="H1828" s="485"/>
      <c r="I1828" s="485"/>
      <c r="J1828" s="485"/>
      <c r="K1828" s="485"/>
      <c r="L1828" s="485"/>
      <c r="M1828" s="485"/>
      <c r="N1828" s="486" t="str">
        <f>HYPERLINK("#N"&amp;ROW(N1839),"_x0005_`BDCOD|B02842_x0007_`POSS|"&amp;ROW(N1830)&amp;"_x0007_`POSE|"&amp;ROW(N1839)&amp;"_x0007_`")</f>
        <v>_x0005_`BDCOD|B02842_x0007_`POSS|1830_x0007_`POSE|1839_x0007_`</v>
      </c>
    </row>
    <row r="1829" spans="1:26" ht="33.200000000000003" customHeight="1">
      <c r="A1829" s="469" t="s">
        <v>5105</v>
      </c>
      <c r="B1829" s="469" t="s">
        <v>1043</v>
      </c>
      <c r="C1829" s="487"/>
      <c r="D1829" s="488" t="s">
        <v>984</v>
      </c>
      <c r="E1829" s="487"/>
      <c r="F1829" s="487"/>
      <c r="G1829" s="487"/>
      <c r="H1829" s="487"/>
      <c r="I1829" s="487"/>
      <c r="J1829" s="487"/>
      <c r="K1829" s="487"/>
      <c r="L1829" s="487"/>
      <c r="M1829" s="488" t="s">
        <v>5109</v>
      </c>
      <c r="O1829" s="468" t="s">
        <v>5109</v>
      </c>
    </row>
    <row r="1830" spans="1:26" ht="33.200000000000003" customHeight="1">
      <c r="A1830" s="452" t="s">
        <v>2484</v>
      </c>
      <c r="B1830" s="452" t="s">
        <v>2485</v>
      </c>
      <c r="C1830" s="489">
        <v>0.14399999999999999</v>
      </c>
      <c r="D1830" s="480" t="s">
        <v>8</v>
      </c>
      <c r="E1830" s="490">
        <f t="shared" ref="E1830:F1839" si="295">I1830+G1830+K1830</f>
        <v>62811</v>
      </c>
      <c r="F1830" s="493">
        <f t="shared" si="295"/>
        <v>9044.7000000000007</v>
      </c>
      <c r="G1830" s="494">
        <f>단가산출근거목록표!F157</f>
        <v>62811</v>
      </c>
      <c r="H1830" s="498">
        <f t="shared" ref="H1830:H1838" si="296">IF(C1830=0,0,ROUNDDOWN(G1830*C1830,1))</f>
        <v>9044.7000000000007</v>
      </c>
      <c r="I1830" s="494">
        <f>단가산출근거목록표!G157</f>
        <v>0</v>
      </c>
      <c r="J1830" s="498">
        <f t="shared" ref="J1830:J1838" si="297">IF(C1830=0,0,ROUNDDOWN(I1830*C1830,1))</f>
        <v>0</v>
      </c>
      <c r="K1830" s="494">
        <f>단가산출근거목록표!H157</f>
        <v>0</v>
      </c>
      <c r="L1830" s="498">
        <f t="shared" ref="L1830:L1838" si="298">IF(C1830=0,0,ROUNDDOWN(K1830*C1830,1))</f>
        <v>0</v>
      </c>
      <c r="M1830" s="463" t="s">
        <v>2486</v>
      </c>
      <c r="N1830" s="451" t="s">
        <v>2487</v>
      </c>
      <c r="O1830" s="468" t="s">
        <v>2488</v>
      </c>
      <c r="P1830" s="468" t="s">
        <v>2354</v>
      </c>
      <c r="Q1830" s="468" t="s">
        <v>2355</v>
      </c>
      <c r="Z1830" s="433" t="str">
        <f ca="1">HYPERLINK("#"&amp;단가산출근거목록표!J2&amp;"!A"&amp;ROW(단가산출근거목록표!A157),"D01241 →")</f>
        <v>D01241 →</v>
      </c>
    </row>
    <row r="1831" spans="1:26" ht="33.200000000000003" customHeight="1">
      <c r="A1831" s="452" t="s">
        <v>2321</v>
      </c>
      <c r="B1831" s="452" t="s">
        <v>2322</v>
      </c>
      <c r="C1831" s="489">
        <v>2.8000000000000001E-2</v>
      </c>
      <c r="D1831" s="480" t="s">
        <v>8</v>
      </c>
      <c r="E1831" s="490">
        <f t="shared" si="295"/>
        <v>34413</v>
      </c>
      <c r="F1831" s="493">
        <f t="shared" si="295"/>
        <v>963.5</v>
      </c>
      <c r="G1831" s="494">
        <f>일위대가목록표!F275</f>
        <v>34413</v>
      </c>
      <c r="H1831" s="498">
        <f t="shared" si="296"/>
        <v>963.5</v>
      </c>
      <c r="I1831" s="494">
        <f>일위대가목록표!G275</f>
        <v>0</v>
      </c>
      <c r="J1831" s="498">
        <f t="shared" si="297"/>
        <v>0</v>
      </c>
      <c r="K1831" s="494">
        <f>일위대가목록표!H275</f>
        <v>0</v>
      </c>
      <c r="L1831" s="498">
        <f t="shared" si="298"/>
        <v>0</v>
      </c>
      <c r="M1831" s="463" t="s">
        <v>2489</v>
      </c>
      <c r="N1831" s="451" t="s">
        <v>2490</v>
      </c>
      <c r="O1831" s="468" t="s">
        <v>2491</v>
      </c>
      <c r="P1831" s="468" t="s">
        <v>2354</v>
      </c>
      <c r="Q1831" s="468" t="s">
        <v>2355</v>
      </c>
      <c r="Z1831" s="433" t="str">
        <f ca="1">HYPERLINK("#"&amp;일위대가목록표!J2&amp;"!A"&amp;ROW(일위대가목록표!A275),"B01414 →")</f>
        <v>B01414 →</v>
      </c>
    </row>
    <row r="1832" spans="1:26" ht="33.200000000000003" customHeight="1">
      <c r="A1832" s="452" t="s">
        <v>2298</v>
      </c>
      <c r="B1832" s="452" t="s">
        <v>2299</v>
      </c>
      <c r="C1832" s="489">
        <v>0.11600000000000001</v>
      </c>
      <c r="D1832" s="480" t="s">
        <v>8</v>
      </c>
      <c r="E1832" s="490">
        <f t="shared" si="295"/>
        <v>24089</v>
      </c>
      <c r="F1832" s="493">
        <f t="shared" si="295"/>
        <v>2794.3</v>
      </c>
      <c r="G1832" s="494">
        <f>일위대가목록표!F37</f>
        <v>24089</v>
      </c>
      <c r="H1832" s="498">
        <f t="shared" si="296"/>
        <v>2794.3</v>
      </c>
      <c r="I1832" s="494">
        <f>일위대가목록표!G37</f>
        <v>0</v>
      </c>
      <c r="J1832" s="498">
        <f t="shared" si="297"/>
        <v>0</v>
      </c>
      <c r="K1832" s="494">
        <f>일위대가목록표!H37</f>
        <v>0</v>
      </c>
      <c r="L1832" s="498">
        <f t="shared" si="298"/>
        <v>0</v>
      </c>
      <c r="M1832" s="463" t="s">
        <v>2492</v>
      </c>
      <c r="N1832" s="451" t="s">
        <v>2493</v>
      </c>
      <c r="O1832" s="468" t="s">
        <v>2494</v>
      </c>
      <c r="P1832" s="468" t="s">
        <v>2354</v>
      </c>
      <c r="Q1832" s="468" t="s">
        <v>2355</v>
      </c>
      <c r="Z1832" s="433" t="str">
        <f ca="1">HYPERLINK("#"&amp;일위대가목록표!J2&amp;"!A"&amp;ROW(일위대가목록표!A37),"B01447 →")</f>
        <v>B01447 →</v>
      </c>
    </row>
    <row r="1833" spans="1:26" ht="33.200000000000003" customHeight="1">
      <c r="A1833" s="452" t="s">
        <v>2922</v>
      </c>
      <c r="B1833" s="452" t="s">
        <v>2923</v>
      </c>
      <c r="C1833" s="489">
        <v>8.7850000000000001</v>
      </c>
      <c r="D1833" s="480" t="s">
        <v>605</v>
      </c>
      <c r="E1833" s="490">
        <f t="shared" si="295"/>
        <v>7400</v>
      </c>
      <c r="F1833" s="491">
        <f t="shared" si="295"/>
        <v>65009</v>
      </c>
      <c r="G1833" s="492">
        <v>0</v>
      </c>
      <c r="H1833" s="493">
        <f t="shared" si="296"/>
        <v>0</v>
      </c>
      <c r="I1833" s="494">
        <f>재료비목록표!E76</f>
        <v>7400</v>
      </c>
      <c r="J1833" s="495">
        <f t="shared" si="297"/>
        <v>65009</v>
      </c>
      <c r="K1833" s="492">
        <v>0</v>
      </c>
      <c r="L1833" s="493">
        <f t="shared" si="298"/>
        <v>0</v>
      </c>
      <c r="M1833" s="463" t="s">
        <v>2924</v>
      </c>
      <c r="N1833" s="451" t="s">
        <v>2925</v>
      </c>
      <c r="O1833" s="468" t="s">
        <v>2926</v>
      </c>
      <c r="P1833" s="468" t="s">
        <v>2354</v>
      </c>
      <c r="Z1833" s="433" t="str">
        <f ca="1">HYPERLINK("#"&amp;재료비목록표!G2&amp;"!A"&amp;ROW(재료비목록표!A76),"M00960 →")</f>
        <v>M00960 →</v>
      </c>
    </row>
    <row r="1834" spans="1:26" ht="33.200000000000003" customHeight="1">
      <c r="A1834" s="452" t="s">
        <v>1461</v>
      </c>
      <c r="B1834" s="452" t="s">
        <v>1462</v>
      </c>
      <c r="C1834" s="489">
        <v>2.8000000000000001E-2</v>
      </c>
      <c r="D1834" s="480" t="s">
        <v>8</v>
      </c>
      <c r="E1834" s="490">
        <f t="shared" si="295"/>
        <v>915052</v>
      </c>
      <c r="F1834" s="493">
        <f t="shared" si="295"/>
        <v>25621.4</v>
      </c>
      <c r="G1834" s="494">
        <f>일위대가목록표!F72</f>
        <v>915052</v>
      </c>
      <c r="H1834" s="498">
        <f t="shared" si="296"/>
        <v>25621.4</v>
      </c>
      <c r="I1834" s="494">
        <f>일위대가목록표!G72</f>
        <v>0</v>
      </c>
      <c r="J1834" s="498">
        <f t="shared" si="297"/>
        <v>0</v>
      </c>
      <c r="K1834" s="494">
        <f>일위대가목록표!H72</f>
        <v>0</v>
      </c>
      <c r="L1834" s="498">
        <f t="shared" si="298"/>
        <v>0</v>
      </c>
      <c r="M1834" s="463" t="s">
        <v>2471</v>
      </c>
      <c r="N1834" s="451" t="s">
        <v>2472</v>
      </c>
      <c r="O1834" s="468" t="s">
        <v>1465</v>
      </c>
      <c r="P1834" s="468" t="s">
        <v>2354</v>
      </c>
      <c r="Q1834" s="468" t="s">
        <v>2355</v>
      </c>
      <c r="Z1834" s="433" t="str">
        <f ca="1">HYPERLINK("#"&amp;일위대가목록표!J2&amp;"!A"&amp;ROW(일위대가목록표!A72),"B01822 →")</f>
        <v>B01822 →</v>
      </c>
    </row>
    <row r="1835" spans="1:26" ht="33.200000000000003" customHeight="1">
      <c r="A1835" s="452" t="s">
        <v>2927</v>
      </c>
      <c r="B1835" s="452" t="s">
        <v>3076</v>
      </c>
      <c r="C1835" s="489">
        <v>6.3</v>
      </c>
      <c r="D1835" s="480" t="s">
        <v>2377</v>
      </c>
      <c r="E1835" s="490">
        <f t="shared" si="295"/>
        <v>2049</v>
      </c>
      <c r="F1835" s="491">
        <f t="shared" si="295"/>
        <v>12908.7</v>
      </c>
      <c r="G1835" s="492">
        <v>0</v>
      </c>
      <c r="H1835" s="493">
        <f t="shared" si="296"/>
        <v>0</v>
      </c>
      <c r="I1835" s="494">
        <f>재료비목록표!E56</f>
        <v>2049</v>
      </c>
      <c r="J1835" s="495">
        <f t="shared" si="297"/>
        <v>12908.7</v>
      </c>
      <c r="K1835" s="492">
        <v>0</v>
      </c>
      <c r="L1835" s="493">
        <f t="shared" si="298"/>
        <v>0</v>
      </c>
      <c r="M1835" s="463" t="s">
        <v>3077</v>
      </c>
      <c r="N1835" s="451" t="s">
        <v>3078</v>
      </c>
      <c r="O1835" s="468" t="s">
        <v>3079</v>
      </c>
      <c r="P1835" s="468" t="s">
        <v>2354</v>
      </c>
      <c r="Z1835" s="433" t="str">
        <f ca="1">HYPERLINK("#"&amp;재료비목록표!G2&amp;"!A"&amp;ROW(재료비목록표!A56),"M00955 →")</f>
        <v>M00955 →</v>
      </c>
    </row>
    <row r="1836" spans="1:26" ht="33.200000000000003" customHeight="1">
      <c r="A1836" s="452" t="s">
        <v>2932</v>
      </c>
      <c r="B1836" s="452" t="s">
        <v>2933</v>
      </c>
      <c r="C1836" s="489">
        <v>6.3</v>
      </c>
      <c r="D1836" s="480" t="s">
        <v>2377</v>
      </c>
      <c r="E1836" s="490">
        <f t="shared" si="295"/>
        <v>157.30000000000001</v>
      </c>
      <c r="F1836" s="491">
        <f t="shared" si="295"/>
        <v>990.9</v>
      </c>
      <c r="G1836" s="492">
        <v>0</v>
      </c>
      <c r="H1836" s="493">
        <f t="shared" si="296"/>
        <v>0</v>
      </c>
      <c r="I1836" s="494">
        <f>재료비목록표!E26</f>
        <v>157.30000000000001</v>
      </c>
      <c r="J1836" s="495">
        <f t="shared" si="297"/>
        <v>990.9</v>
      </c>
      <c r="K1836" s="492">
        <v>0</v>
      </c>
      <c r="L1836" s="493">
        <f t="shared" si="298"/>
        <v>0</v>
      </c>
      <c r="M1836" s="463" t="s">
        <v>2934</v>
      </c>
      <c r="N1836" s="451" t="s">
        <v>2935</v>
      </c>
      <c r="O1836" s="468" t="s">
        <v>2936</v>
      </c>
      <c r="P1836" s="468" t="s">
        <v>2354</v>
      </c>
      <c r="Z1836" s="433" t="str">
        <f ca="1">HYPERLINK("#"&amp;재료비목록표!G2&amp;"!A"&amp;ROW(재료비목록표!A26),"M00958 →")</f>
        <v>M00958 →</v>
      </c>
    </row>
    <row r="1837" spans="1:26" ht="33.200000000000003" customHeight="1">
      <c r="A1837" s="452" t="s">
        <v>2937</v>
      </c>
      <c r="B1837" s="452" t="s">
        <v>2933</v>
      </c>
      <c r="C1837" s="489">
        <v>6.3</v>
      </c>
      <c r="D1837" s="480" t="s">
        <v>2377</v>
      </c>
      <c r="E1837" s="490">
        <f t="shared" si="295"/>
        <v>53.7</v>
      </c>
      <c r="F1837" s="491">
        <f t="shared" si="295"/>
        <v>338.3</v>
      </c>
      <c r="G1837" s="492">
        <v>0</v>
      </c>
      <c r="H1837" s="493">
        <f t="shared" si="296"/>
        <v>0</v>
      </c>
      <c r="I1837" s="494">
        <f>재료비목록표!E74</f>
        <v>53.7</v>
      </c>
      <c r="J1837" s="495">
        <f t="shared" si="297"/>
        <v>338.3</v>
      </c>
      <c r="K1837" s="492">
        <v>0</v>
      </c>
      <c r="L1837" s="493">
        <f t="shared" si="298"/>
        <v>0</v>
      </c>
      <c r="M1837" s="463" t="s">
        <v>2938</v>
      </c>
      <c r="N1837" s="451" t="s">
        <v>2939</v>
      </c>
      <c r="O1837" s="468" t="s">
        <v>2940</v>
      </c>
      <c r="P1837" s="468" t="s">
        <v>2354</v>
      </c>
      <c r="Z1837" s="433" t="str">
        <f ca="1">HYPERLINK("#"&amp;재료비목록표!G2&amp;"!A"&amp;ROW(재료비목록표!A74),"M00648 →")</f>
        <v>M00648 →</v>
      </c>
    </row>
    <row r="1838" spans="1:26" ht="33.200000000000003" customHeight="1">
      <c r="A1838" s="452" t="s">
        <v>2310</v>
      </c>
      <c r="B1838" s="452" t="s">
        <v>2311</v>
      </c>
      <c r="C1838" s="489">
        <v>6</v>
      </c>
      <c r="D1838" s="480" t="s">
        <v>975</v>
      </c>
      <c r="E1838" s="490">
        <f t="shared" si="295"/>
        <v>784</v>
      </c>
      <c r="F1838" s="493">
        <f t="shared" si="295"/>
        <v>4704</v>
      </c>
      <c r="G1838" s="494">
        <f>일위대가목록표!F145</f>
        <v>677</v>
      </c>
      <c r="H1838" s="498">
        <f t="shared" si="296"/>
        <v>4062</v>
      </c>
      <c r="I1838" s="494">
        <f>일위대가목록표!G145</f>
        <v>107</v>
      </c>
      <c r="J1838" s="498">
        <f t="shared" si="297"/>
        <v>642</v>
      </c>
      <c r="K1838" s="494">
        <f>일위대가목록표!H145</f>
        <v>0</v>
      </c>
      <c r="L1838" s="498">
        <f t="shared" si="298"/>
        <v>0</v>
      </c>
      <c r="M1838" s="463" t="s">
        <v>2941</v>
      </c>
      <c r="N1838" s="451" t="s">
        <v>2992</v>
      </c>
      <c r="O1838" s="468" t="s">
        <v>2943</v>
      </c>
      <c r="P1838" s="468" t="s">
        <v>2354</v>
      </c>
      <c r="Q1838" s="468" t="s">
        <v>2355</v>
      </c>
      <c r="Z1838" s="433" t="str">
        <f ca="1">HYPERLINK("#"&amp;일위대가목록표!J2&amp;"!A"&amp;ROW(일위대가목록표!A145),"B01416 →")</f>
        <v>B01416 →</v>
      </c>
    </row>
    <row r="1839" spans="1:26" ht="33.200000000000003" customHeight="1">
      <c r="A1839" s="452" t="s">
        <v>2507</v>
      </c>
      <c r="B1839" s="452" t="s">
        <v>2441</v>
      </c>
      <c r="C1839" s="489">
        <v>15</v>
      </c>
      <c r="D1839" s="480" t="s">
        <v>2371</v>
      </c>
      <c r="E1839" s="490">
        <f t="shared" si="295"/>
        <v>42485.9</v>
      </c>
      <c r="F1839" s="491">
        <f t="shared" si="295"/>
        <v>6372.8</v>
      </c>
      <c r="G1839" s="496">
        <f>H1830+H1831+H1832+H1834+H1838</f>
        <v>42485.9</v>
      </c>
      <c r="H1839" s="491">
        <f>IF(C1839=0,0,ROUNDDOWN(G1839*C1839/100,1))</f>
        <v>6372.8</v>
      </c>
      <c r="I1839" s="465">
        <v>0</v>
      </c>
      <c r="J1839" s="493">
        <f>IF(C1839=0,0,ROUNDDOWN(I1839*C1839/100,1))</f>
        <v>0</v>
      </c>
      <c r="K1839" s="467">
        <v>0</v>
      </c>
      <c r="L1839" s="493">
        <f>IF(C1839=0,0,ROUNDDOWN(K1839*C1839/100,1))</f>
        <v>0</v>
      </c>
      <c r="M1839" s="463"/>
      <c r="N1839" s="451" t="s">
        <v>2508</v>
      </c>
      <c r="O1839" s="468" t="s">
        <v>2373</v>
      </c>
      <c r="P1839" s="468" t="s">
        <v>2354</v>
      </c>
    </row>
    <row r="1840" spans="1:26" ht="33.200000000000003" customHeight="1">
      <c r="A1840" s="463" t="s">
        <v>842</v>
      </c>
      <c r="B1840" s="497"/>
      <c r="C1840" s="497"/>
      <c r="D1840" s="497"/>
      <c r="E1840" s="497"/>
      <c r="F1840" s="446">
        <f>J1840+H1840+L1840</f>
        <v>128746</v>
      </c>
      <c r="G1840" s="497"/>
      <c r="H1840" s="446">
        <f>ROUNDDOWN(SUMIF(P1830:P1839,O1840,H1830:H1839),0)</f>
        <v>48858</v>
      </c>
      <c r="I1840" s="497"/>
      <c r="J1840" s="446">
        <f>ROUNDDOWN(SUMIF(P1830:P1839,O1840,J1830:J1839),0)</f>
        <v>79888</v>
      </c>
      <c r="K1840" s="497"/>
      <c r="L1840" s="446">
        <f>ROUNDDOWN(SUMIF(P1830:P1839,O1840,L1830:L1839),0)</f>
        <v>0</v>
      </c>
      <c r="M1840" s="497"/>
      <c r="O1840" s="468" t="s">
        <v>2354</v>
      </c>
    </row>
    <row r="1841" spans="1:26" ht="33.200000000000003" customHeight="1">
      <c r="A1841" s="484" t="s">
        <v>3307</v>
      </c>
      <c r="B1841" s="484"/>
      <c r="C1841" s="485"/>
      <c r="D1841" s="485"/>
      <c r="E1841" s="485"/>
      <c r="F1841" s="485"/>
      <c r="G1841" s="485"/>
      <c r="H1841" s="485"/>
      <c r="I1841" s="485"/>
      <c r="J1841" s="485"/>
      <c r="K1841" s="485"/>
      <c r="L1841" s="485"/>
      <c r="M1841" s="485"/>
      <c r="N1841" s="486" t="str">
        <f>HYPERLINK("#N"&amp;ROW(N1852),"_x0005_`BDCOD|B02805_x0007_`POSS|"&amp;ROW(N1843)&amp;"_x0007_`POSE|"&amp;ROW(N1852)&amp;"_x0007_`")</f>
        <v>_x0005_`BDCOD|B02805_x0007_`POSS|1843_x0007_`POSE|1852_x0007_`</v>
      </c>
    </row>
    <row r="1842" spans="1:26" ht="33.200000000000003" customHeight="1">
      <c r="A1842" s="469" t="s">
        <v>5112</v>
      </c>
      <c r="B1842" s="469" t="s">
        <v>1039</v>
      </c>
      <c r="C1842" s="487"/>
      <c r="D1842" s="488" t="s">
        <v>984</v>
      </c>
      <c r="E1842" s="487"/>
      <c r="F1842" s="487"/>
      <c r="G1842" s="487"/>
      <c r="H1842" s="487"/>
      <c r="I1842" s="487"/>
      <c r="J1842" s="487"/>
      <c r="K1842" s="487"/>
      <c r="L1842" s="487"/>
      <c r="M1842" s="488" t="s">
        <v>1040</v>
      </c>
      <c r="O1842" s="468" t="s">
        <v>1040</v>
      </c>
    </row>
    <row r="1843" spans="1:26" ht="33.200000000000003" customHeight="1">
      <c r="A1843" s="452" t="s">
        <v>2484</v>
      </c>
      <c r="B1843" s="452" t="s">
        <v>2485</v>
      </c>
      <c r="C1843" s="489">
        <v>0.12</v>
      </c>
      <c r="D1843" s="480" t="s">
        <v>8</v>
      </c>
      <c r="E1843" s="490">
        <f t="shared" ref="E1843:F1852" si="299">I1843+G1843+K1843</f>
        <v>62811</v>
      </c>
      <c r="F1843" s="493">
        <f t="shared" si="299"/>
        <v>7537.3</v>
      </c>
      <c r="G1843" s="494">
        <f>단가산출근거목록표!F157</f>
        <v>62811</v>
      </c>
      <c r="H1843" s="498">
        <f t="shared" ref="H1843:H1851" si="300">IF(C1843=0,0,ROUNDDOWN(G1843*C1843,1))</f>
        <v>7537.3</v>
      </c>
      <c r="I1843" s="494">
        <f>단가산출근거목록표!G157</f>
        <v>0</v>
      </c>
      <c r="J1843" s="498">
        <f t="shared" ref="J1843:J1851" si="301">IF(C1843=0,0,ROUNDDOWN(I1843*C1843,1))</f>
        <v>0</v>
      </c>
      <c r="K1843" s="494">
        <f>단가산출근거목록표!H157</f>
        <v>0</v>
      </c>
      <c r="L1843" s="498">
        <f t="shared" ref="L1843:L1851" si="302">IF(C1843=0,0,ROUNDDOWN(K1843*C1843,1))</f>
        <v>0</v>
      </c>
      <c r="M1843" s="463" t="s">
        <v>2486</v>
      </c>
      <c r="N1843" s="451" t="s">
        <v>2487</v>
      </c>
      <c r="O1843" s="468" t="s">
        <v>2488</v>
      </c>
      <c r="P1843" s="468" t="s">
        <v>2354</v>
      </c>
      <c r="Q1843" s="468" t="s">
        <v>2355</v>
      </c>
      <c r="Z1843" s="433" t="str">
        <f ca="1">HYPERLINK("#"&amp;단가산출근거목록표!J2&amp;"!A"&amp;ROW(단가산출근거목록표!A157),"D01241 →")</f>
        <v>D01241 →</v>
      </c>
    </row>
    <row r="1844" spans="1:26" ht="33.200000000000003" customHeight="1">
      <c r="A1844" s="452" t="s">
        <v>2321</v>
      </c>
      <c r="B1844" s="452" t="s">
        <v>2322</v>
      </c>
      <c r="C1844" s="489">
        <v>2.5000000000000001E-2</v>
      </c>
      <c r="D1844" s="480" t="s">
        <v>8</v>
      </c>
      <c r="E1844" s="490">
        <f t="shared" si="299"/>
        <v>34413</v>
      </c>
      <c r="F1844" s="493">
        <f t="shared" si="299"/>
        <v>860.3</v>
      </c>
      <c r="G1844" s="494">
        <f>일위대가목록표!F275</f>
        <v>34413</v>
      </c>
      <c r="H1844" s="498">
        <f t="shared" si="300"/>
        <v>860.3</v>
      </c>
      <c r="I1844" s="494">
        <f>일위대가목록표!G275</f>
        <v>0</v>
      </c>
      <c r="J1844" s="498">
        <f t="shared" si="301"/>
        <v>0</v>
      </c>
      <c r="K1844" s="494">
        <f>일위대가목록표!H275</f>
        <v>0</v>
      </c>
      <c r="L1844" s="498">
        <f t="shared" si="302"/>
        <v>0</v>
      </c>
      <c r="M1844" s="463" t="s">
        <v>2489</v>
      </c>
      <c r="N1844" s="451" t="s">
        <v>2490</v>
      </c>
      <c r="O1844" s="468" t="s">
        <v>2491</v>
      </c>
      <c r="P1844" s="468" t="s">
        <v>2354</v>
      </c>
      <c r="Q1844" s="468" t="s">
        <v>2355</v>
      </c>
      <c r="Z1844" s="433" t="str">
        <f ca="1">HYPERLINK("#"&amp;일위대가목록표!J2&amp;"!A"&amp;ROW(일위대가목록표!A275),"B01414 →")</f>
        <v>B01414 →</v>
      </c>
    </row>
    <row r="1845" spans="1:26" ht="33.200000000000003" customHeight="1">
      <c r="A1845" s="452" t="s">
        <v>2298</v>
      </c>
      <c r="B1845" s="452" t="s">
        <v>2299</v>
      </c>
      <c r="C1845" s="489">
        <v>9.5000000000000001E-2</v>
      </c>
      <c r="D1845" s="480" t="s">
        <v>8</v>
      </c>
      <c r="E1845" s="490">
        <f t="shared" si="299"/>
        <v>24089</v>
      </c>
      <c r="F1845" s="493">
        <f t="shared" si="299"/>
        <v>2288.4</v>
      </c>
      <c r="G1845" s="494">
        <f>일위대가목록표!F37</f>
        <v>24089</v>
      </c>
      <c r="H1845" s="498">
        <f t="shared" si="300"/>
        <v>2288.4</v>
      </c>
      <c r="I1845" s="494">
        <f>일위대가목록표!G37</f>
        <v>0</v>
      </c>
      <c r="J1845" s="498">
        <f t="shared" si="301"/>
        <v>0</v>
      </c>
      <c r="K1845" s="494">
        <f>일위대가목록표!H37</f>
        <v>0</v>
      </c>
      <c r="L1845" s="498">
        <f t="shared" si="302"/>
        <v>0</v>
      </c>
      <c r="M1845" s="463" t="s">
        <v>2492</v>
      </c>
      <c r="N1845" s="451" t="s">
        <v>2493</v>
      </c>
      <c r="O1845" s="468" t="s">
        <v>2494</v>
      </c>
      <c r="P1845" s="468" t="s">
        <v>2354</v>
      </c>
      <c r="Q1845" s="468" t="s">
        <v>2355</v>
      </c>
      <c r="Z1845" s="433" t="str">
        <f ca="1">HYPERLINK("#"&amp;일위대가목록표!J2&amp;"!A"&amp;ROW(일위대가목록표!A37),"B01447 →")</f>
        <v>B01447 →</v>
      </c>
    </row>
    <row r="1846" spans="1:26" ht="33.200000000000003" customHeight="1">
      <c r="A1846" s="452" t="s">
        <v>2922</v>
      </c>
      <c r="B1846" s="452" t="s">
        <v>2923</v>
      </c>
      <c r="C1846" s="489">
        <v>7.7969999999999997</v>
      </c>
      <c r="D1846" s="480" t="s">
        <v>605</v>
      </c>
      <c r="E1846" s="490">
        <f t="shared" si="299"/>
        <v>7400</v>
      </c>
      <c r="F1846" s="491">
        <f t="shared" si="299"/>
        <v>57697.8</v>
      </c>
      <c r="G1846" s="492">
        <v>0</v>
      </c>
      <c r="H1846" s="493">
        <f t="shared" si="300"/>
        <v>0</v>
      </c>
      <c r="I1846" s="494">
        <f>재료비목록표!E76</f>
        <v>7400</v>
      </c>
      <c r="J1846" s="495">
        <f t="shared" si="301"/>
        <v>57697.8</v>
      </c>
      <c r="K1846" s="492">
        <v>0</v>
      </c>
      <c r="L1846" s="493">
        <f t="shared" si="302"/>
        <v>0</v>
      </c>
      <c r="M1846" s="463" t="s">
        <v>2924</v>
      </c>
      <c r="N1846" s="451" t="s">
        <v>2925</v>
      </c>
      <c r="O1846" s="468" t="s">
        <v>2926</v>
      </c>
      <c r="P1846" s="468" t="s">
        <v>2354</v>
      </c>
      <c r="Z1846" s="433" t="str">
        <f ca="1">HYPERLINK("#"&amp;재료비목록표!G2&amp;"!A"&amp;ROW(재료비목록표!A76),"M00960 →")</f>
        <v>M00960 →</v>
      </c>
    </row>
    <row r="1847" spans="1:26" ht="33.200000000000003" customHeight="1">
      <c r="A1847" s="452" t="s">
        <v>1461</v>
      </c>
      <c r="B1847" s="452" t="s">
        <v>1462</v>
      </c>
      <c r="C1847" s="489">
        <v>2.5000000000000001E-2</v>
      </c>
      <c r="D1847" s="480" t="s">
        <v>8</v>
      </c>
      <c r="E1847" s="490">
        <f t="shared" si="299"/>
        <v>915052</v>
      </c>
      <c r="F1847" s="493">
        <f t="shared" si="299"/>
        <v>22876.3</v>
      </c>
      <c r="G1847" s="494">
        <f>일위대가목록표!F72</f>
        <v>915052</v>
      </c>
      <c r="H1847" s="498">
        <f t="shared" si="300"/>
        <v>22876.3</v>
      </c>
      <c r="I1847" s="494">
        <f>일위대가목록표!G72</f>
        <v>0</v>
      </c>
      <c r="J1847" s="498">
        <f t="shared" si="301"/>
        <v>0</v>
      </c>
      <c r="K1847" s="494">
        <f>일위대가목록표!H72</f>
        <v>0</v>
      </c>
      <c r="L1847" s="498">
        <f t="shared" si="302"/>
        <v>0</v>
      </c>
      <c r="M1847" s="463" t="s">
        <v>2471</v>
      </c>
      <c r="N1847" s="451" t="s">
        <v>2472</v>
      </c>
      <c r="O1847" s="468" t="s">
        <v>1465</v>
      </c>
      <c r="P1847" s="468" t="s">
        <v>2354</v>
      </c>
      <c r="Q1847" s="468" t="s">
        <v>2355</v>
      </c>
      <c r="Z1847" s="433" t="str">
        <f ca="1">HYPERLINK("#"&amp;일위대가목록표!J2&amp;"!A"&amp;ROW(일위대가목록표!A72),"B01822 →")</f>
        <v>B01822 →</v>
      </c>
    </row>
    <row r="1848" spans="1:26" ht="33.200000000000003" customHeight="1">
      <c r="A1848" s="452" t="s">
        <v>2927</v>
      </c>
      <c r="B1848" s="452" t="s">
        <v>3076</v>
      </c>
      <c r="C1848" s="489">
        <v>6.3</v>
      </c>
      <c r="D1848" s="480" t="s">
        <v>2377</v>
      </c>
      <c r="E1848" s="490">
        <f t="shared" si="299"/>
        <v>2049</v>
      </c>
      <c r="F1848" s="491">
        <f t="shared" si="299"/>
        <v>12908.7</v>
      </c>
      <c r="G1848" s="492">
        <v>0</v>
      </c>
      <c r="H1848" s="493">
        <f t="shared" si="300"/>
        <v>0</v>
      </c>
      <c r="I1848" s="494">
        <f>재료비목록표!E56</f>
        <v>2049</v>
      </c>
      <c r="J1848" s="495">
        <f t="shared" si="301"/>
        <v>12908.7</v>
      </c>
      <c r="K1848" s="492">
        <v>0</v>
      </c>
      <c r="L1848" s="493">
        <f t="shared" si="302"/>
        <v>0</v>
      </c>
      <c r="M1848" s="463" t="s">
        <v>3077</v>
      </c>
      <c r="N1848" s="451" t="s">
        <v>3078</v>
      </c>
      <c r="O1848" s="468" t="s">
        <v>3079</v>
      </c>
      <c r="P1848" s="468" t="s">
        <v>2354</v>
      </c>
      <c r="Z1848" s="433" t="str">
        <f ca="1">HYPERLINK("#"&amp;재료비목록표!G2&amp;"!A"&amp;ROW(재료비목록표!A56),"M00955 →")</f>
        <v>M00955 →</v>
      </c>
    </row>
    <row r="1849" spans="1:26" ht="33.200000000000003" customHeight="1">
      <c r="A1849" s="452" t="s">
        <v>2932</v>
      </c>
      <c r="B1849" s="452" t="s">
        <v>2933</v>
      </c>
      <c r="C1849" s="489">
        <v>6.3</v>
      </c>
      <c r="D1849" s="480" t="s">
        <v>2377</v>
      </c>
      <c r="E1849" s="490">
        <f t="shared" si="299"/>
        <v>157.30000000000001</v>
      </c>
      <c r="F1849" s="491">
        <f t="shared" si="299"/>
        <v>990.9</v>
      </c>
      <c r="G1849" s="492">
        <v>0</v>
      </c>
      <c r="H1849" s="493">
        <f t="shared" si="300"/>
        <v>0</v>
      </c>
      <c r="I1849" s="494">
        <f>재료비목록표!E26</f>
        <v>157.30000000000001</v>
      </c>
      <c r="J1849" s="495">
        <f t="shared" si="301"/>
        <v>990.9</v>
      </c>
      <c r="K1849" s="492">
        <v>0</v>
      </c>
      <c r="L1849" s="493">
        <f t="shared" si="302"/>
        <v>0</v>
      </c>
      <c r="M1849" s="463" t="s">
        <v>2934</v>
      </c>
      <c r="N1849" s="451" t="s">
        <v>2935</v>
      </c>
      <c r="O1849" s="468" t="s">
        <v>2936</v>
      </c>
      <c r="P1849" s="468" t="s">
        <v>2354</v>
      </c>
      <c r="Z1849" s="433" t="str">
        <f ca="1">HYPERLINK("#"&amp;재료비목록표!G2&amp;"!A"&amp;ROW(재료비목록표!A26),"M00958 →")</f>
        <v>M00958 →</v>
      </c>
    </row>
    <row r="1850" spans="1:26" ht="33.200000000000003" customHeight="1">
      <c r="A1850" s="452" t="s">
        <v>2937</v>
      </c>
      <c r="B1850" s="452" t="s">
        <v>2933</v>
      </c>
      <c r="C1850" s="489">
        <v>6.3</v>
      </c>
      <c r="D1850" s="480" t="s">
        <v>2377</v>
      </c>
      <c r="E1850" s="490">
        <f t="shared" si="299"/>
        <v>53.7</v>
      </c>
      <c r="F1850" s="491">
        <f t="shared" si="299"/>
        <v>338.3</v>
      </c>
      <c r="G1850" s="492">
        <v>0</v>
      </c>
      <c r="H1850" s="493">
        <f t="shared" si="300"/>
        <v>0</v>
      </c>
      <c r="I1850" s="494">
        <f>재료비목록표!E74</f>
        <v>53.7</v>
      </c>
      <c r="J1850" s="495">
        <f t="shared" si="301"/>
        <v>338.3</v>
      </c>
      <c r="K1850" s="492">
        <v>0</v>
      </c>
      <c r="L1850" s="493">
        <f t="shared" si="302"/>
        <v>0</v>
      </c>
      <c r="M1850" s="463" t="s">
        <v>2938</v>
      </c>
      <c r="N1850" s="451" t="s">
        <v>2939</v>
      </c>
      <c r="O1850" s="468" t="s">
        <v>2940</v>
      </c>
      <c r="P1850" s="468" t="s">
        <v>2354</v>
      </c>
      <c r="Z1850" s="433" t="str">
        <f ca="1">HYPERLINK("#"&amp;재료비목록표!G2&amp;"!A"&amp;ROW(재료비목록표!A74),"M00648 →")</f>
        <v>M00648 →</v>
      </c>
    </row>
    <row r="1851" spans="1:26" ht="33.200000000000003" customHeight="1">
      <c r="A1851" s="452" t="s">
        <v>2310</v>
      </c>
      <c r="B1851" s="452" t="s">
        <v>2311</v>
      </c>
      <c r="C1851" s="489">
        <v>6</v>
      </c>
      <c r="D1851" s="480" t="s">
        <v>975</v>
      </c>
      <c r="E1851" s="490">
        <f t="shared" si="299"/>
        <v>784</v>
      </c>
      <c r="F1851" s="493">
        <f t="shared" si="299"/>
        <v>4704</v>
      </c>
      <c r="G1851" s="494">
        <f>일위대가목록표!F145</f>
        <v>677</v>
      </c>
      <c r="H1851" s="498">
        <f t="shared" si="300"/>
        <v>4062</v>
      </c>
      <c r="I1851" s="494">
        <f>일위대가목록표!G145</f>
        <v>107</v>
      </c>
      <c r="J1851" s="498">
        <f t="shared" si="301"/>
        <v>642</v>
      </c>
      <c r="K1851" s="494">
        <f>일위대가목록표!H145</f>
        <v>0</v>
      </c>
      <c r="L1851" s="498">
        <f t="shared" si="302"/>
        <v>0</v>
      </c>
      <c r="M1851" s="463" t="s">
        <v>2941</v>
      </c>
      <c r="N1851" s="451" t="s">
        <v>2992</v>
      </c>
      <c r="O1851" s="468" t="s">
        <v>2943</v>
      </c>
      <c r="P1851" s="468" t="s">
        <v>2354</v>
      </c>
      <c r="Q1851" s="468" t="s">
        <v>2355</v>
      </c>
      <c r="Z1851" s="433" t="str">
        <f ca="1">HYPERLINK("#"&amp;일위대가목록표!J2&amp;"!A"&amp;ROW(일위대가목록표!A145),"B01416 →")</f>
        <v>B01416 →</v>
      </c>
    </row>
    <row r="1852" spans="1:26" ht="33.200000000000003" customHeight="1">
      <c r="A1852" s="452" t="s">
        <v>2507</v>
      </c>
      <c r="B1852" s="452" t="s">
        <v>2441</v>
      </c>
      <c r="C1852" s="489">
        <v>25</v>
      </c>
      <c r="D1852" s="480" t="s">
        <v>2371</v>
      </c>
      <c r="E1852" s="490">
        <f t="shared" si="299"/>
        <v>37624.300000000003</v>
      </c>
      <c r="F1852" s="491">
        <f t="shared" si="299"/>
        <v>9406</v>
      </c>
      <c r="G1852" s="496">
        <f>H1843+H1844+H1845+H1847+H1851</f>
        <v>37624.300000000003</v>
      </c>
      <c r="H1852" s="491">
        <f>IF(C1852=0,0,ROUNDDOWN(G1852*C1852/100,1))</f>
        <v>9406</v>
      </c>
      <c r="I1852" s="465">
        <v>0</v>
      </c>
      <c r="J1852" s="493">
        <f>IF(C1852=0,0,ROUNDDOWN(I1852*C1852/100,1))</f>
        <v>0</v>
      </c>
      <c r="K1852" s="467">
        <v>0</v>
      </c>
      <c r="L1852" s="493">
        <f>IF(C1852=0,0,ROUNDDOWN(K1852*C1852/100,1))</f>
        <v>0</v>
      </c>
      <c r="M1852" s="463"/>
      <c r="N1852" s="451" t="s">
        <v>2508</v>
      </c>
      <c r="O1852" s="468" t="s">
        <v>2373</v>
      </c>
      <c r="P1852" s="468" t="s">
        <v>2354</v>
      </c>
    </row>
    <row r="1853" spans="1:26" ht="33.200000000000003" customHeight="1">
      <c r="A1853" s="463" t="s">
        <v>842</v>
      </c>
      <c r="B1853" s="497"/>
      <c r="C1853" s="497"/>
      <c r="D1853" s="497"/>
      <c r="E1853" s="497"/>
      <c r="F1853" s="446">
        <f>J1853+H1853+L1853</f>
        <v>119607</v>
      </c>
      <c r="G1853" s="497"/>
      <c r="H1853" s="446">
        <f>ROUNDDOWN(SUMIF(P1843:P1852,O1853,H1843:H1852),0)</f>
        <v>47030</v>
      </c>
      <c r="I1853" s="497"/>
      <c r="J1853" s="446">
        <f>ROUNDDOWN(SUMIF(P1843:P1852,O1853,J1843:J1852),0)</f>
        <v>72577</v>
      </c>
      <c r="K1853" s="497"/>
      <c r="L1853" s="446">
        <f>ROUNDDOWN(SUMIF(P1843:P1852,O1853,L1843:L1852),0)</f>
        <v>0</v>
      </c>
      <c r="M1853" s="497"/>
      <c r="O1853" s="468" t="s">
        <v>2354</v>
      </c>
    </row>
    <row r="1854" spans="1:26" ht="33.200000000000003" customHeight="1">
      <c r="A1854" s="484" t="s">
        <v>3308</v>
      </c>
      <c r="B1854" s="484"/>
      <c r="C1854" s="485"/>
      <c r="D1854" s="485"/>
      <c r="E1854" s="485"/>
      <c r="F1854" s="485"/>
      <c r="G1854" s="485"/>
      <c r="H1854" s="485"/>
      <c r="I1854" s="485"/>
      <c r="J1854" s="485"/>
      <c r="K1854" s="485"/>
      <c r="L1854" s="485"/>
      <c r="M1854" s="485"/>
      <c r="N1854" s="486" t="str">
        <f>HYPERLINK("#N"&amp;ROW(N1865),"_x0005_`BDCOD|B02806_x0007_`POSS|"&amp;ROW(N1856)&amp;"_x0007_`POSE|"&amp;ROW(N1865)&amp;"_x0007_`")</f>
        <v>_x0005_`BDCOD|B02806_x0007_`POSS|1856_x0007_`POSE|1865_x0007_`</v>
      </c>
    </row>
    <row r="1855" spans="1:26" ht="33.200000000000003" customHeight="1">
      <c r="A1855" s="469" t="s">
        <v>5112</v>
      </c>
      <c r="B1855" s="469" t="s">
        <v>1043</v>
      </c>
      <c r="C1855" s="487"/>
      <c r="D1855" s="488" t="s">
        <v>984</v>
      </c>
      <c r="E1855" s="487"/>
      <c r="F1855" s="487"/>
      <c r="G1855" s="487"/>
      <c r="H1855" s="487"/>
      <c r="I1855" s="487"/>
      <c r="J1855" s="487"/>
      <c r="K1855" s="487"/>
      <c r="L1855" s="487"/>
      <c r="M1855" s="488" t="s">
        <v>1044</v>
      </c>
      <c r="O1855" s="468" t="s">
        <v>1044</v>
      </c>
    </row>
    <row r="1856" spans="1:26" ht="33.200000000000003" customHeight="1">
      <c r="A1856" s="452" t="s">
        <v>2484</v>
      </c>
      <c r="B1856" s="452" t="s">
        <v>2485</v>
      </c>
      <c r="C1856" s="489">
        <v>0.14399999999999999</v>
      </c>
      <c r="D1856" s="480" t="s">
        <v>8</v>
      </c>
      <c r="E1856" s="490">
        <f t="shared" ref="E1856:F1865" si="303">I1856+G1856+K1856</f>
        <v>62811</v>
      </c>
      <c r="F1856" s="493">
        <f t="shared" si="303"/>
        <v>9044.7000000000007</v>
      </c>
      <c r="G1856" s="494">
        <f>단가산출근거목록표!F157</f>
        <v>62811</v>
      </c>
      <c r="H1856" s="498">
        <f t="shared" ref="H1856:H1864" si="304">IF(C1856=0,0,ROUNDDOWN(G1856*C1856,1))</f>
        <v>9044.7000000000007</v>
      </c>
      <c r="I1856" s="494">
        <f>단가산출근거목록표!G157</f>
        <v>0</v>
      </c>
      <c r="J1856" s="498">
        <f t="shared" ref="J1856:J1864" si="305">IF(C1856=0,0,ROUNDDOWN(I1856*C1856,1))</f>
        <v>0</v>
      </c>
      <c r="K1856" s="494">
        <f>단가산출근거목록표!H157</f>
        <v>0</v>
      </c>
      <c r="L1856" s="498">
        <f t="shared" ref="L1856:L1864" si="306">IF(C1856=0,0,ROUNDDOWN(K1856*C1856,1))</f>
        <v>0</v>
      </c>
      <c r="M1856" s="463" t="s">
        <v>2486</v>
      </c>
      <c r="N1856" s="451" t="s">
        <v>2487</v>
      </c>
      <c r="O1856" s="468" t="s">
        <v>2488</v>
      </c>
      <c r="P1856" s="468" t="s">
        <v>2354</v>
      </c>
      <c r="Q1856" s="468" t="s">
        <v>2355</v>
      </c>
      <c r="Z1856" s="433" t="str">
        <f ca="1">HYPERLINK("#"&amp;단가산출근거목록표!J2&amp;"!A"&amp;ROW(단가산출근거목록표!A157),"D01241 →")</f>
        <v>D01241 →</v>
      </c>
    </row>
    <row r="1857" spans="1:26" ht="33.200000000000003" customHeight="1">
      <c r="A1857" s="452" t="s">
        <v>2321</v>
      </c>
      <c r="B1857" s="452" t="s">
        <v>2322</v>
      </c>
      <c r="C1857" s="489">
        <v>2.8000000000000001E-2</v>
      </c>
      <c r="D1857" s="480" t="s">
        <v>8</v>
      </c>
      <c r="E1857" s="490">
        <f t="shared" si="303"/>
        <v>34413</v>
      </c>
      <c r="F1857" s="493">
        <f t="shared" si="303"/>
        <v>963.5</v>
      </c>
      <c r="G1857" s="494">
        <f>일위대가목록표!F275</f>
        <v>34413</v>
      </c>
      <c r="H1857" s="498">
        <f t="shared" si="304"/>
        <v>963.5</v>
      </c>
      <c r="I1857" s="494">
        <f>일위대가목록표!G275</f>
        <v>0</v>
      </c>
      <c r="J1857" s="498">
        <f t="shared" si="305"/>
        <v>0</v>
      </c>
      <c r="K1857" s="494">
        <f>일위대가목록표!H275</f>
        <v>0</v>
      </c>
      <c r="L1857" s="498">
        <f t="shared" si="306"/>
        <v>0</v>
      </c>
      <c r="M1857" s="463" t="s">
        <v>2489</v>
      </c>
      <c r="N1857" s="451" t="s">
        <v>2490</v>
      </c>
      <c r="O1857" s="468" t="s">
        <v>2491</v>
      </c>
      <c r="P1857" s="468" t="s">
        <v>2354</v>
      </c>
      <c r="Q1857" s="468" t="s">
        <v>2355</v>
      </c>
      <c r="Z1857" s="433" t="str">
        <f ca="1">HYPERLINK("#"&amp;일위대가목록표!J2&amp;"!A"&amp;ROW(일위대가목록표!A275),"B01414 →")</f>
        <v>B01414 →</v>
      </c>
    </row>
    <row r="1858" spans="1:26" ht="33.200000000000003" customHeight="1">
      <c r="A1858" s="452" t="s">
        <v>2298</v>
      </c>
      <c r="B1858" s="452" t="s">
        <v>2299</v>
      </c>
      <c r="C1858" s="489">
        <v>0.11600000000000001</v>
      </c>
      <c r="D1858" s="480" t="s">
        <v>8</v>
      </c>
      <c r="E1858" s="490">
        <f t="shared" si="303"/>
        <v>24089</v>
      </c>
      <c r="F1858" s="493">
        <f t="shared" si="303"/>
        <v>2794.3</v>
      </c>
      <c r="G1858" s="494">
        <f>일위대가목록표!F37</f>
        <v>24089</v>
      </c>
      <c r="H1858" s="498">
        <f t="shared" si="304"/>
        <v>2794.3</v>
      </c>
      <c r="I1858" s="494">
        <f>일위대가목록표!G37</f>
        <v>0</v>
      </c>
      <c r="J1858" s="498">
        <f t="shared" si="305"/>
        <v>0</v>
      </c>
      <c r="K1858" s="494">
        <f>일위대가목록표!H37</f>
        <v>0</v>
      </c>
      <c r="L1858" s="498">
        <f t="shared" si="306"/>
        <v>0</v>
      </c>
      <c r="M1858" s="463" t="s">
        <v>2492</v>
      </c>
      <c r="N1858" s="451" t="s">
        <v>2493</v>
      </c>
      <c r="O1858" s="468" t="s">
        <v>2494</v>
      </c>
      <c r="P1858" s="468" t="s">
        <v>2354</v>
      </c>
      <c r="Q1858" s="468" t="s">
        <v>2355</v>
      </c>
      <c r="Z1858" s="433" t="str">
        <f ca="1">HYPERLINK("#"&amp;일위대가목록표!J2&amp;"!A"&amp;ROW(일위대가목록표!A37),"B01447 →")</f>
        <v>B01447 →</v>
      </c>
    </row>
    <row r="1859" spans="1:26" ht="33.200000000000003" customHeight="1">
      <c r="A1859" s="452" t="s">
        <v>2922</v>
      </c>
      <c r="B1859" s="452" t="s">
        <v>2923</v>
      </c>
      <c r="C1859" s="489">
        <v>8.7850000000000001</v>
      </c>
      <c r="D1859" s="480" t="s">
        <v>605</v>
      </c>
      <c r="E1859" s="490">
        <f t="shared" si="303"/>
        <v>7400</v>
      </c>
      <c r="F1859" s="491">
        <f t="shared" si="303"/>
        <v>65009</v>
      </c>
      <c r="G1859" s="492">
        <v>0</v>
      </c>
      <c r="H1859" s="493">
        <f t="shared" si="304"/>
        <v>0</v>
      </c>
      <c r="I1859" s="494">
        <f>재료비목록표!E76</f>
        <v>7400</v>
      </c>
      <c r="J1859" s="495">
        <f t="shared" si="305"/>
        <v>65009</v>
      </c>
      <c r="K1859" s="492">
        <v>0</v>
      </c>
      <c r="L1859" s="493">
        <f t="shared" si="306"/>
        <v>0</v>
      </c>
      <c r="M1859" s="463" t="s">
        <v>2924</v>
      </c>
      <c r="N1859" s="451" t="s">
        <v>2925</v>
      </c>
      <c r="O1859" s="468" t="s">
        <v>2926</v>
      </c>
      <c r="P1859" s="468" t="s">
        <v>2354</v>
      </c>
      <c r="Z1859" s="433" t="str">
        <f ca="1">HYPERLINK("#"&amp;재료비목록표!G2&amp;"!A"&amp;ROW(재료비목록표!A76),"M00960 →")</f>
        <v>M00960 →</v>
      </c>
    </row>
    <row r="1860" spans="1:26" ht="33.200000000000003" customHeight="1">
      <c r="A1860" s="452" t="s">
        <v>1461</v>
      </c>
      <c r="B1860" s="452" t="s">
        <v>1462</v>
      </c>
      <c r="C1860" s="489">
        <v>2.8000000000000001E-2</v>
      </c>
      <c r="D1860" s="480" t="s">
        <v>8</v>
      </c>
      <c r="E1860" s="490">
        <f t="shared" si="303"/>
        <v>915052</v>
      </c>
      <c r="F1860" s="493">
        <f t="shared" si="303"/>
        <v>25621.4</v>
      </c>
      <c r="G1860" s="494">
        <f>일위대가목록표!F72</f>
        <v>915052</v>
      </c>
      <c r="H1860" s="498">
        <f t="shared" si="304"/>
        <v>25621.4</v>
      </c>
      <c r="I1860" s="494">
        <f>일위대가목록표!G72</f>
        <v>0</v>
      </c>
      <c r="J1860" s="498">
        <f t="shared" si="305"/>
        <v>0</v>
      </c>
      <c r="K1860" s="494">
        <f>일위대가목록표!H72</f>
        <v>0</v>
      </c>
      <c r="L1860" s="498">
        <f t="shared" si="306"/>
        <v>0</v>
      </c>
      <c r="M1860" s="463" t="s">
        <v>2471</v>
      </c>
      <c r="N1860" s="451" t="s">
        <v>2472</v>
      </c>
      <c r="O1860" s="468" t="s">
        <v>1465</v>
      </c>
      <c r="P1860" s="468" t="s">
        <v>2354</v>
      </c>
      <c r="Q1860" s="468" t="s">
        <v>2355</v>
      </c>
      <c r="Z1860" s="433" t="str">
        <f ca="1">HYPERLINK("#"&amp;일위대가목록표!J2&amp;"!A"&amp;ROW(일위대가목록표!A72),"B01822 →")</f>
        <v>B01822 →</v>
      </c>
    </row>
    <row r="1861" spans="1:26" ht="33.200000000000003" customHeight="1">
      <c r="A1861" s="452" t="s">
        <v>2927</v>
      </c>
      <c r="B1861" s="452" t="s">
        <v>3076</v>
      </c>
      <c r="C1861" s="489">
        <v>6.3</v>
      </c>
      <c r="D1861" s="480" t="s">
        <v>2377</v>
      </c>
      <c r="E1861" s="490">
        <f t="shared" si="303"/>
        <v>2049</v>
      </c>
      <c r="F1861" s="491">
        <f t="shared" si="303"/>
        <v>12908.7</v>
      </c>
      <c r="G1861" s="492">
        <v>0</v>
      </c>
      <c r="H1861" s="493">
        <f t="shared" si="304"/>
        <v>0</v>
      </c>
      <c r="I1861" s="494">
        <f>재료비목록표!E56</f>
        <v>2049</v>
      </c>
      <c r="J1861" s="495">
        <f t="shared" si="305"/>
        <v>12908.7</v>
      </c>
      <c r="K1861" s="492">
        <v>0</v>
      </c>
      <c r="L1861" s="493">
        <f t="shared" si="306"/>
        <v>0</v>
      </c>
      <c r="M1861" s="463" t="s">
        <v>3077</v>
      </c>
      <c r="N1861" s="451" t="s">
        <v>3078</v>
      </c>
      <c r="O1861" s="468" t="s">
        <v>3079</v>
      </c>
      <c r="P1861" s="468" t="s">
        <v>2354</v>
      </c>
      <c r="Z1861" s="433" t="str">
        <f ca="1">HYPERLINK("#"&amp;재료비목록표!G2&amp;"!A"&amp;ROW(재료비목록표!A56),"M00955 →")</f>
        <v>M00955 →</v>
      </c>
    </row>
    <row r="1862" spans="1:26" ht="33.200000000000003" customHeight="1">
      <c r="A1862" s="452" t="s">
        <v>2932</v>
      </c>
      <c r="B1862" s="452" t="s">
        <v>2933</v>
      </c>
      <c r="C1862" s="489">
        <v>6.3</v>
      </c>
      <c r="D1862" s="480" t="s">
        <v>2377</v>
      </c>
      <c r="E1862" s="490">
        <f t="shared" si="303"/>
        <v>157.30000000000001</v>
      </c>
      <c r="F1862" s="491">
        <f t="shared" si="303"/>
        <v>990.9</v>
      </c>
      <c r="G1862" s="492">
        <v>0</v>
      </c>
      <c r="H1862" s="493">
        <f t="shared" si="304"/>
        <v>0</v>
      </c>
      <c r="I1862" s="494">
        <f>재료비목록표!E26</f>
        <v>157.30000000000001</v>
      </c>
      <c r="J1862" s="495">
        <f t="shared" si="305"/>
        <v>990.9</v>
      </c>
      <c r="K1862" s="492">
        <v>0</v>
      </c>
      <c r="L1862" s="493">
        <f t="shared" si="306"/>
        <v>0</v>
      </c>
      <c r="M1862" s="463" t="s">
        <v>2934</v>
      </c>
      <c r="N1862" s="451" t="s">
        <v>2935</v>
      </c>
      <c r="O1862" s="468" t="s">
        <v>2936</v>
      </c>
      <c r="P1862" s="468" t="s">
        <v>2354</v>
      </c>
      <c r="Z1862" s="433" t="str">
        <f ca="1">HYPERLINK("#"&amp;재료비목록표!G2&amp;"!A"&amp;ROW(재료비목록표!A26),"M00958 →")</f>
        <v>M00958 →</v>
      </c>
    </row>
    <row r="1863" spans="1:26" ht="33.200000000000003" customHeight="1">
      <c r="A1863" s="452" t="s">
        <v>2937</v>
      </c>
      <c r="B1863" s="452" t="s">
        <v>2933</v>
      </c>
      <c r="C1863" s="489">
        <v>6.3</v>
      </c>
      <c r="D1863" s="480" t="s">
        <v>2377</v>
      </c>
      <c r="E1863" s="490">
        <f t="shared" si="303"/>
        <v>53.7</v>
      </c>
      <c r="F1863" s="491">
        <f t="shared" si="303"/>
        <v>338.3</v>
      </c>
      <c r="G1863" s="492">
        <v>0</v>
      </c>
      <c r="H1863" s="493">
        <f t="shared" si="304"/>
        <v>0</v>
      </c>
      <c r="I1863" s="494">
        <f>재료비목록표!E74</f>
        <v>53.7</v>
      </c>
      <c r="J1863" s="495">
        <f t="shared" si="305"/>
        <v>338.3</v>
      </c>
      <c r="K1863" s="492">
        <v>0</v>
      </c>
      <c r="L1863" s="493">
        <f t="shared" si="306"/>
        <v>0</v>
      </c>
      <c r="M1863" s="463" t="s">
        <v>2938</v>
      </c>
      <c r="N1863" s="451" t="s">
        <v>2939</v>
      </c>
      <c r="O1863" s="468" t="s">
        <v>2940</v>
      </c>
      <c r="P1863" s="468" t="s">
        <v>2354</v>
      </c>
      <c r="Z1863" s="433" t="str">
        <f ca="1">HYPERLINK("#"&amp;재료비목록표!G2&amp;"!A"&amp;ROW(재료비목록표!A74),"M00648 →")</f>
        <v>M00648 →</v>
      </c>
    </row>
    <row r="1864" spans="1:26" ht="33.200000000000003" customHeight="1">
      <c r="A1864" s="452" t="s">
        <v>2310</v>
      </c>
      <c r="B1864" s="452" t="s">
        <v>2311</v>
      </c>
      <c r="C1864" s="489">
        <v>6</v>
      </c>
      <c r="D1864" s="480" t="s">
        <v>975</v>
      </c>
      <c r="E1864" s="490">
        <f t="shared" si="303"/>
        <v>784</v>
      </c>
      <c r="F1864" s="493">
        <f t="shared" si="303"/>
        <v>4704</v>
      </c>
      <c r="G1864" s="494">
        <f>일위대가목록표!F145</f>
        <v>677</v>
      </c>
      <c r="H1864" s="498">
        <f t="shared" si="304"/>
        <v>4062</v>
      </c>
      <c r="I1864" s="494">
        <f>일위대가목록표!G145</f>
        <v>107</v>
      </c>
      <c r="J1864" s="498">
        <f t="shared" si="305"/>
        <v>642</v>
      </c>
      <c r="K1864" s="494">
        <f>일위대가목록표!H145</f>
        <v>0</v>
      </c>
      <c r="L1864" s="498">
        <f t="shared" si="306"/>
        <v>0</v>
      </c>
      <c r="M1864" s="463" t="s">
        <v>2941</v>
      </c>
      <c r="N1864" s="451" t="s">
        <v>2992</v>
      </c>
      <c r="O1864" s="468" t="s">
        <v>2943</v>
      </c>
      <c r="P1864" s="468" t="s">
        <v>2354</v>
      </c>
      <c r="Q1864" s="468" t="s">
        <v>2355</v>
      </c>
      <c r="Z1864" s="433" t="str">
        <f ca="1">HYPERLINK("#"&amp;일위대가목록표!J2&amp;"!A"&amp;ROW(일위대가목록표!A145),"B01416 →")</f>
        <v>B01416 →</v>
      </c>
    </row>
    <row r="1865" spans="1:26" ht="33.200000000000003" customHeight="1">
      <c r="A1865" s="452" t="s">
        <v>2507</v>
      </c>
      <c r="B1865" s="452" t="s">
        <v>2441</v>
      </c>
      <c r="C1865" s="489">
        <v>25</v>
      </c>
      <c r="D1865" s="480" t="s">
        <v>2371</v>
      </c>
      <c r="E1865" s="490">
        <f t="shared" si="303"/>
        <v>42485.9</v>
      </c>
      <c r="F1865" s="491">
        <f t="shared" si="303"/>
        <v>10621.4</v>
      </c>
      <c r="G1865" s="496">
        <f>H1856+H1857+H1858+H1860+H1864</f>
        <v>42485.9</v>
      </c>
      <c r="H1865" s="491">
        <f>IF(C1865=0,0,ROUNDDOWN(G1865*C1865/100,1))</f>
        <v>10621.4</v>
      </c>
      <c r="I1865" s="465">
        <v>0</v>
      </c>
      <c r="J1865" s="493">
        <f>IF(C1865=0,0,ROUNDDOWN(I1865*C1865/100,1))</f>
        <v>0</v>
      </c>
      <c r="K1865" s="467">
        <v>0</v>
      </c>
      <c r="L1865" s="493">
        <f>IF(C1865=0,0,ROUNDDOWN(K1865*C1865/100,1))</f>
        <v>0</v>
      </c>
      <c r="M1865" s="463"/>
      <c r="N1865" s="451" t="s">
        <v>2508</v>
      </c>
      <c r="O1865" s="468" t="s">
        <v>2373</v>
      </c>
      <c r="P1865" s="468" t="s">
        <v>2354</v>
      </c>
    </row>
    <row r="1866" spans="1:26" ht="33.200000000000003" customHeight="1">
      <c r="A1866" s="463" t="s">
        <v>842</v>
      </c>
      <c r="B1866" s="497"/>
      <c r="C1866" s="497"/>
      <c r="D1866" s="497"/>
      <c r="E1866" s="497"/>
      <c r="F1866" s="446">
        <f>J1866+H1866+L1866</f>
        <v>132995</v>
      </c>
      <c r="G1866" s="497"/>
      <c r="H1866" s="446">
        <f>ROUNDDOWN(SUMIF(P1856:P1865,O1866,H1856:H1865),0)</f>
        <v>53107</v>
      </c>
      <c r="I1866" s="497"/>
      <c r="J1866" s="446">
        <f>ROUNDDOWN(SUMIF(P1856:P1865,O1866,J1856:J1865),0)</f>
        <v>79888</v>
      </c>
      <c r="K1866" s="497"/>
      <c r="L1866" s="446">
        <f>ROUNDDOWN(SUMIF(P1856:P1865,O1866,L1856:L1865),0)</f>
        <v>0</v>
      </c>
      <c r="M1866" s="497"/>
      <c r="O1866" s="468" t="s">
        <v>2354</v>
      </c>
    </row>
    <row r="1867" spans="1:26" ht="33.200000000000003" customHeight="1">
      <c r="A1867" s="484" t="s">
        <v>3309</v>
      </c>
      <c r="B1867" s="484"/>
      <c r="C1867" s="485"/>
      <c r="D1867" s="485"/>
      <c r="E1867" s="485"/>
      <c r="F1867" s="485"/>
      <c r="G1867" s="485"/>
      <c r="H1867" s="485"/>
      <c r="I1867" s="485"/>
      <c r="J1867" s="485"/>
      <c r="K1867" s="485"/>
      <c r="L1867" s="485"/>
      <c r="M1867" s="485"/>
      <c r="N1867" s="486" t="str">
        <f>HYPERLINK("#N"&amp;ROW(N1869),"_x0005_`BDCOD|B02534_x0007_`POSS|"&amp;ROW(N1869)&amp;"_x0007_`POSE|"&amp;ROW(N1869)&amp;"_x0007_`")</f>
        <v>_x0005_`BDCOD|B02534_x0007_`POSS|1869_x0007_`POSE|1869_x0007_`</v>
      </c>
    </row>
    <row r="1868" spans="1:26" ht="33.200000000000003" customHeight="1">
      <c r="A1868" s="469" t="s">
        <v>1394</v>
      </c>
      <c r="B1868" s="469" t="s">
        <v>1395</v>
      </c>
      <c r="C1868" s="487"/>
      <c r="D1868" s="488" t="s">
        <v>975</v>
      </c>
      <c r="E1868" s="487"/>
      <c r="F1868" s="487"/>
      <c r="G1868" s="487"/>
      <c r="H1868" s="487"/>
      <c r="I1868" s="487"/>
      <c r="J1868" s="487"/>
      <c r="K1868" s="487"/>
      <c r="L1868" s="487"/>
      <c r="M1868" s="488" t="s">
        <v>1396</v>
      </c>
      <c r="O1868" s="468" t="s">
        <v>1396</v>
      </c>
    </row>
    <row r="1869" spans="1:26" ht="33.200000000000003" customHeight="1">
      <c r="A1869" s="452" t="s">
        <v>1394</v>
      </c>
      <c r="B1869" s="452" t="s">
        <v>3094</v>
      </c>
      <c r="C1869" s="489">
        <v>1</v>
      </c>
      <c r="D1869" s="480" t="s">
        <v>1589</v>
      </c>
      <c r="E1869" s="490">
        <f>I1869+G1869+K1869</f>
        <v>3290000</v>
      </c>
      <c r="F1869" s="491">
        <f>J1869+H1869+L1869</f>
        <v>3290000</v>
      </c>
      <c r="G1869" s="492">
        <v>0</v>
      </c>
      <c r="H1869" s="493">
        <f>IF(C1869=0,0,ROUNDDOWN(G1869*C1869,1))</f>
        <v>0</v>
      </c>
      <c r="I1869" s="494">
        <f>재료비목록표!E77</f>
        <v>3290000</v>
      </c>
      <c r="J1869" s="495">
        <f>IF(C1869=0,0,ROUNDDOWN(I1869*C1869,1))</f>
        <v>3290000</v>
      </c>
      <c r="K1869" s="492">
        <v>0</v>
      </c>
      <c r="L1869" s="493">
        <f>IF(C1869=0,0,ROUNDDOWN(K1869*C1869,1))</f>
        <v>0</v>
      </c>
      <c r="M1869" s="463" t="s">
        <v>3095</v>
      </c>
      <c r="N1869" s="451" t="s">
        <v>3096</v>
      </c>
      <c r="O1869" s="468" t="s">
        <v>3097</v>
      </c>
      <c r="P1869" s="468" t="s">
        <v>2354</v>
      </c>
      <c r="Z1869" s="433" t="str">
        <f ca="1">HYPERLINK("#"&amp;재료비목록표!G2&amp;"!A"&amp;ROW(재료비목록표!A77),"M01529 →")</f>
        <v>M01529 →</v>
      </c>
    </row>
    <row r="1870" spans="1:26" ht="33.200000000000003" customHeight="1">
      <c r="A1870" s="463" t="s">
        <v>842</v>
      </c>
      <c r="B1870" s="497"/>
      <c r="C1870" s="497"/>
      <c r="D1870" s="497"/>
      <c r="E1870" s="497"/>
      <c r="F1870" s="446">
        <f>J1870+H1870+L1870</f>
        <v>3290000</v>
      </c>
      <c r="G1870" s="497"/>
      <c r="H1870" s="446">
        <f>ROUNDDOWN(SUMIF(P1869:P1869,O1870,H1869:H1869),0)</f>
        <v>0</v>
      </c>
      <c r="I1870" s="497"/>
      <c r="J1870" s="446">
        <f>ROUNDDOWN(SUMIF(P1869:P1869,O1870,J1869:J1869),0)</f>
        <v>3290000</v>
      </c>
      <c r="K1870" s="497"/>
      <c r="L1870" s="446">
        <f>ROUNDDOWN(SUMIF(P1869:P1869,O1870,L1869:L1869),0)</f>
        <v>0</v>
      </c>
      <c r="M1870" s="497"/>
      <c r="O1870" s="468" t="s">
        <v>2354</v>
      </c>
    </row>
    <row r="1871" spans="1:26" ht="33.200000000000003" customHeight="1">
      <c r="A1871" s="484" t="s">
        <v>3310</v>
      </c>
      <c r="B1871" s="484"/>
      <c r="C1871" s="485"/>
      <c r="D1871" s="485"/>
      <c r="E1871" s="485"/>
      <c r="F1871" s="485"/>
      <c r="G1871" s="485"/>
      <c r="H1871" s="485"/>
      <c r="I1871" s="485"/>
      <c r="J1871" s="485"/>
      <c r="K1871" s="485"/>
      <c r="L1871" s="485"/>
      <c r="M1871" s="485"/>
      <c r="N1871" s="486" t="str">
        <f>HYPERLINK("#N"&amp;ROW(N1877),"_x0005_`BDCOD|B02581_x0007_`POSS|"&amp;ROW(N1873)&amp;"_x0007_`POSE|"&amp;ROW(N1877)&amp;"_x0007_`")</f>
        <v>_x0005_`BDCOD|B02581_x0007_`POSS|1873_x0007_`POSE|1877_x0007_`</v>
      </c>
    </row>
    <row r="1872" spans="1:26" ht="33.200000000000003" customHeight="1">
      <c r="A1872" s="469" t="s">
        <v>1630</v>
      </c>
      <c r="B1872" s="469" t="s">
        <v>1631</v>
      </c>
      <c r="C1872" s="487"/>
      <c r="D1872" s="488" t="s">
        <v>975</v>
      </c>
      <c r="E1872" s="487"/>
      <c r="F1872" s="487"/>
      <c r="G1872" s="487"/>
      <c r="H1872" s="487"/>
      <c r="I1872" s="487"/>
      <c r="J1872" s="487"/>
      <c r="K1872" s="487"/>
      <c r="L1872" s="487"/>
      <c r="M1872" s="488" t="s">
        <v>1632</v>
      </c>
      <c r="O1872" s="468" t="s">
        <v>1632</v>
      </c>
    </row>
    <row r="1873" spans="1:26" ht="33.200000000000003" customHeight="1">
      <c r="A1873" s="452" t="s">
        <v>1466</v>
      </c>
      <c r="B1873" s="452" t="s">
        <v>1467</v>
      </c>
      <c r="C1873" s="489">
        <v>0.01</v>
      </c>
      <c r="D1873" s="480" t="s">
        <v>8</v>
      </c>
      <c r="E1873" s="490">
        <f t="shared" ref="E1873:F1877" si="307">I1873+G1873+K1873</f>
        <v>274515</v>
      </c>
      <c r="F1873" s="493">
        <f t="shared" si="307"/>
        <v>2745.1</v>
      </c>
      <c r="G1873" s="494">
        <f>일위대가목록표!F73</f>
        <v>274515</v>
      </c>
      <c r="H1873" s="498">
        <f>IF(C1873=0,0,ROUNDDOWN(G1873*C1873,1))</f>
        <v>2745.1</v>
      </c>
      <c r="I1873" s="494">
        <f>일위대가목록표!G73</f>
        <v>0</v>
      </c>
      <c r="J1873" s="498">
        <f>IF(C1873=0,0,ROUNDDOWN(I1873*C1873,1))</f>
        <v>0</v>
      </c>
      <c r="K1873" s="494">
        <f>일위대가목록표!H73</f>
        <v>0</v>
      </c>
      <c r="L1873" s="498">
        <f>IF(C1873=0,0,ROUNDDOWN(K1873*C1873,1))</f>
        <v>0</v>
      </c>
      <c r="M1873" s="463" t="s">
        <v>2596</v>
      </c>
      <c r="N1873" s="451" t="s">
        <v>2671</v>
      </c>
      <c r="O1873" s="468" t="s">
        <v>1470</v>
      </c>
      <c r="P1873" s="468" t="s">
        <v>2354</v>
      </c>
      <c r="Z1873" s="433" t="str">
        <f ca="1">HYPERLINK("#"&amp;일위대가목록표!J2&amp;"!A"&amp;ROW(일위대가목록표!A73),"B02396 →")</f>
        <v>B02396 →</v>
      </c>
    </row>
    <row r="1874" spans="1:26" ht="33.200000000000003" customHeight="1">
      <c r="A1874" s="452" t="s">
        <v>2627</v>
      </c>
      <c r="B1874" s="452" t="s">
        <v>2628</v>
      </c>
      <c r="C1874" s="489">
        <v>3.33</v>
      </c>
      <c r="D1874" s="480" t="s">
        <v>605</v>
      </c>
      <c r="E1874" s="490">
        <f t="shared" si="307"/>
        <v>6200</v>
      </c>
      <c r="F1874" s="491">
        <f t="shared" si="307"/>
        <v>20646</v>
      </c>
      <c r="G1874" s="492">
        <v>0</v>
      </c>
      <c r="H1874" s="493">
        <f>IF(C1874=0,0,ROUNDDOWN(G1874*C1874,1))</f>
        <v>0</v>
      </c>
      <c r="I1874" s="494">
        <f>재료비목록표!E8</f>
        <v>6200</v>
      </c>
      <c r="J1874" s="495">
        <f>IF(C1874=0,0,ROUNDDOWN(I1874*C1874,1))</f>
        <v>20646</v>
      </c>
      <c r="K1874" s="492">
        <v>0</v>
      </c>
      <c r="L1874" s="493">
        <f>IF(C1874=0,0,ROUNDDOWN(K1874*C1874,1))</f>
        <v>0</v>
      </c>
      <c r="M1874" s="463" t="s">
        <v>2629</v>
      </c>
      <c r="N1874" s="451" t="s">
        <v>2630</v>
      </c>
      <c r="O1874" s="468" t="s">
        <v>2631</v>
      </c>
      <c r="P1874" s="468" t="s">
        <v>2354</v>
      </c>
      <c r="Z1874" s="433" t="str">
        <f ca="1">HYPERLINK("#"&amp;재료비목록표!G2&amp;"!A"&amp;ROW(재료비목록표!A8),"M00950 →")</f>
        <v>M00950 →</v>
      </c>
    </row>
    <row r="1875" spans="1:26" ht="33.200000000000003" customHeight="1">
      <c r="A1875" s="452" t="s">
        <v>1461</v>
      </c>
      <c r="B1875" s="452" t="s">
        <v>1462</v>
      </c>
      <c r="C1875" s="489">
        <v>0.01</v>
      </c>
      <c r="D1875" s="480" t="s">
        <v>8</v>
      </c>
      <c r="E1875" s="490">
        <f t="shared" si="307"/>
        <v>915052</v>
      </c>
      <c r="F1875" s="493">
        <f t="shared" si="307"/>
        <v>9150.5</v>
      </c>
      <c r="G1875" s="494">
        <f>일위대가목록표!F72</f>
        <v>915052</v>
      </c>
      <c r="H1875" s="498">
        <f>IF(C1875=0,0,ROUNDDOWN(G1875*C1875,1))</f>
        <v>9150.5</v>
      </c>
      <c r="I1875" s="494">
        <f>일위대가목록표!G72</f>
        <v>0</v>
      </c>
      <c r="J1875" s="498">
        <f>IF(C1875=0,0,ROUNDDOWN(I1875*C1875,1))</f>
        <v>0</v>
      </c>
      <c r="K1875" s="494">
        <f>일위대가목록표!H72</f>
        <v>0</v>
      </c>
      <c r="L1875" s="498">
        <f>IF(C1875=0,0,ROUNDDOWN(K1875*C1875,1))</f>
        <v>0</v>
      </c>
      <c r="M1875" s="463" t="s">
        <v>2471</v>
      </c>
      <c r="N1875" s="451" t="s">
        <v>2672</v>
      </c>
      <c r="O1875" s="468" t="s">
        <v>1465</v>
      </c>
      <c r="P1875" s="468" t="s">
        <v>2354</v>
      </c>
      <c r="Z1875" s="433" t="str">
        <f ca="1">HYPERLINK("#"&amp;일위대가목록표!J2&amp;"!A"&amp;ROW(일위대가목록표!A72),"B01822 →")</f>
        <v>B01822 →</v>
      </c>
    </row>
    <row r="1876" spans="1:26" ht="33.200000000000003" customHeight="1">
      <c r="A1876" s="452" t="s">
        <v>1507</v>
      </c>
      <c r="B1876" s="452" t="s">
        <v>1512</v>
      </c>
      <c r="C1876" s="489">
        <v>0.63</v>
      </c>
      <c r="D1876" s="480" t="s">
        <v>595</v>
      </c>
      <c r="E1876" s="490">
        <f t="shared" si="307"/>
        <v>2658</v>
      </c>
      <c r="F1876" s="493">
        <f t="shared" si="307"/>
        <v>1674.3</v>
      </c>
      <c r="G1876" s="494">
        <f>일위대가목록표!F115</f>
        <v>2539</v>
      </c>
      <c r="H1876" s="498">
        <f>IF(C1876=0,0,ROUNDDOWN(G1876*C1876,1))</f>
        <v>1599.5</v>
      </c>
      <c r="I1876" s="494">
        <f>일위대가목록표!G115</f>
        <v>43</v>
      </c>
      <c r="J1876" s="498">
        <f>IF(C1876=0,0,ROUNDDOWN(I1876*C1876,1))</f>
        <v>27</v>
      </c>
      <c r="K1876" s="494">
        <f>일위대가목록표!H115</f>
        <v>76</v>
      </c>
      <c r="L1876" s="498">
        <f>IF(C1876=0,0,ROUNDDOWN(K1876*C1876,1))</f>
        <v>47.8</v>
      </c>
      <c r="M1876" s="463" t="s">
        <v>2600</v>
      </c>
      <c r="N1876" s="451" t="s">
        <v>2673</v>
      </c>
      <c r="O1876" s="468" t="s">
        <v>1515</v>
      </c>
      <c r="P1876" s="468" t="s">
        <v>2354</v>
      </c>
      <c r="Z1876" s="433" t="str">
        <f ca="1">HYPERLINK("#"&amp;일위대가목록표!J2&amp;"!A"&amp;ROW(일위대가목록표!A115),"B02110 →")</f>
        <v>B02110 →</v>
      </c>
    </row>
    <row r="1877" spans="1:26" ht="33.200000000000003" customHeight="1">
      <c r="A1877" s="452" t="s">
        <v>1532</v>
      </c>
      <c r="B1877" s="452" t="s">
        <v>1537</v>
      </c>
      <c r="C1877" s="489">
        <v>0.63</v>
      </c>
      <c r="D1877" s="480" t="s">
        <v>595</v>
      </c>
      <c r="E1877" s="490">
        <f t="shared" si="307"/>
        <v>12642</v>
      </c>
      <c r="F1877" s="493">
        <f t="shared" si="307"/>
        <v>7964.4000000000005</v>
      </c>
      <c r="G1877" s="494">
        <f>일위대가목록표!F224</f>
        <v>11027</v>
      </c>
      <c r="H1877" s="498">
        <f>IF(C1877=0,0,ROUNDDOWN(G1877*C1877,1))</f>
        <v>6947</v>
      </c>
      <c r="I1877" s="494">
        <f>일위대가목록표!G224</f>
        <v>1395</v>
      </c>
      <c r="J1877" s="498">
        <f>IF(C1877=0,0,ROUNDDOWN(I1877*C1877,1))</f>
        <v>878.8</v>
      </c>
      <c r="K1877" s="494">
        <f>일위대가목록표!H224</f>
        <v>220</v>
      </c>
      <c r="L1877" s="498">
        <f>IF(C1877=0,0,ROUNDDOWN(K1877*C1877,1))</f>
        <v>138.6</v>
      </c>
      <c r="M1877" s="463" t="s">
        <v>2473</v>
      </c>
      <c r="N1877" s="451" t="s">
        <v>2674</v>
      </c>
      <c r="O1877" s="468" t="s">
        <v>1540</v>
      </c>
      <c r="P1877" s="468" t="s">
        <v>2354</v>
      </c>
      <c r="Z1877" s="433" t="str">
        <f ca="1">HYPERLINK("#"&amp;일위대가목록표!J2&amp;"!A"&amp;ROW(일위대가목록표!A224),"B01814 →")</f>
        <v>B01814 →</v>
      </c>
    </row>
    <row r="1878" spans="1:26" ht="33.200000000000003" customHeight="1">
      <c r="A1878" s="463" t="s">
        <v>842</v>
      </c>
      <c r="B1878" s="497"/>
      <c r="C1878" s="497"/>
      <c r="D1878" s="497"/>
      <c r="E1878" s="497"/>
      <c r="F1878" s="446">
        <f>J1878+H1878+L1878</f>
        <v>42179</v>
      </c>
      <c r="G1878" s="497"/>
      <c r="H1878" s="446">
        <f>ROUNDDOWN(SUMIF(P1873:P1877,O1878,H1873:H1877),0)</f>
        <v>20442</v>
      </c>
      <c r="I1878" s="497"/>
      <c r="J1878" s="446">
        <f>ROUNDDOWN(SUMIF(P1873:P1877,O1878,J1873:J1877),0)</f>
        <v>21551</v>
      </c>
      <c r="K1878" s="497"/>
      <c r="L1878" s="446">
        <f>ROUNDDOWN(SUMIF(P1873:P1877,O1878,L1873:L1877),0)</f>
        <v>186</v>
      </c>
      <c r="M1878" s="497"/>
      <c r="O1878" s="468" t="s">
        <v>2354</v>
      </c>
    </row>
    <row r="1879" spans="1:26" ht="33.200000000000003" customHeight="1">
      <c r="A1879" s="484" t="s">
        <v>3311</v>
      </c>
      <c r="B1879" s="484"/>
      <c r="C1879" s="485"/>
      <c r="D1879" s="485"/>
      <c r="E1879" s="485"/>
      <c r="F1879" s="485"/>
      <c r="G1879" s="485"/>
      <c r="H1879" s="485"/>
      <c r="I1879" s="485"/>
      <c r="J1879" s="485"/>
      <c r="K1879" s="485"/>
      <c r="L1879" s="485"/>
      <c r="M1879" s="485"/>
      <c r="N1879" s="486" t="str">
        <f>HYPERLINK("#N"&amp;ROW(N1883),"_x0005_`BDCOD|B02638_x0007_`POSS|"&amp;ROW(N1881)&amp;"_x0007_`POSE|"&amp;ROW(N1883)&amp;"_x0007_`")</f>
        <v>_x0005_`BDCOD|B02638_x0007_`POSS|1881_x0007_`POSE|1883_x0007_`</v>
      </c>
    </row>
    <row r="1880" spans="1:26" ht="33.200000000000003" customHeight="1">
      <c r="A1880" s="469" t="s">
        <v>1779</v>
      </c>
      <c r="B1880" s="469"/>
      <c r="C1880" s="487"/>
      <c r="D1880" s="488" t="s">
        <v>975</v>
      </c>
      <c r="E1880" s="487"/>
      <c r="F1880" s="487"/>
      <c r="G1880" s="487"/>
      <c r="H1880" s="487"/>
      <c r="I1880" s="487"/>
      <c r="J1880" s="487"/>
      <c r="K1880" s="487"/>
      <c r="L1880" s="487"/>
      <c r="M1880" s="488" t="s">
        <v>1780</v>
      </c>
      <c r="O1880" s="468" t="s">
        <v>1780</v>
      </c>
    </row>
    <row r="1881" spans="1:26" ht="33.200000000000003" customHeight="1">
      <c r="A1881" s="452" t="s">
        <v>2484</v>
      </c>
      <c r="B1881" s="452" t="s">
        <v>2485</v>
      </c>
      <c r="C1881" s="489">
        <v>0.30399999999999999</v>
      </c>
      <c r="D1881" s="480" t="s">
        <v>8</v>
      </c>
      <c r="E1881" s="490">
        <f t="shared" ref="E1881:F1883" si="308">I1881+G1881+K1881</f>
        <v>62811</v>
      </c>
      <c r="F1881" s="493">
        <f t="shared" si="308"/>
        <v>19094.5</v>
      </c>
      <c r="G1881" s="494">
        <f>단가산출근거목록표!F157</f>
        <v>62811</v>
      </c>
      <c r="H1881" s="498">
        <f>IF(C1881=0,0,ROUNDDOWN(G1881*C1881,1))</f>
        <v>19094.5</v>
      </c>
      <c r="I1881" s="494">
        <f>단가산출근거목록표!G157</f>
        <v>0</v>
      </c>
      <c r="J1881" s="498">
        <f>IF(C1881=0,0,ROUNDDOWN(I1881*C1881,1))</f>
        <v>0</v>
      </c>
      <c r="K1881" s="494">
        <f>단가산출근거목록표!H157</f>
        <v>0</v>
      </c>
      <c r="L1881" s="498">
        <f>IF(C1881=0,0,ROUNDDOWN(K1881*C1881,1))</f>
        <v>0</v>
      </c>
      <c r="M1881" s="463" t="s">
        <v>2486</v>
      </c>
      <c r="N1881" s="451" t="s">
        <v>2487</v>
      </c>
      <c r="O1881" s="468" t="s">
        <v>2488</v>
      </c>
      <c r="P1881" s="468" t="s">
        <v>2354</v>
      </c>
      <c r="Q1881" s="468" t="s">
        <v>2355</v>
      </c>
      <c r="Z1881" s="433" t="str">
        <f ca="1">HYPERLINK("#"&amp;단가산출근거목록표!J2&amp;"!A"&amp;ROW(단가산출근거목록표!A157),"D01241 →")</f>
        <v>D01241 →</v>
      </c>
    </row>
    <row r="1882" spans="1:26" ht="33.200000000000003" customHeight="1">
      <c r="A1882" s="452" t="s">
        <v>1793</v>
      </c>
      <c r="B1882" s="452" t="s">
        <v>1789</v>
      </c>
      <c r="C1882" s="489">
        <v>0.13500000000000001</v>
      </c>
      <c r="D1882" s="480" t="s">
        <v>8</v>
      </c>
      <c r="E1882" s="490">
        <f t="shared" si="308"/>
        <v>233588</v>
      </c>
      <c r="F1882" s="493">
        <f t="shared" si="308"/>
        <v>31534.3</v>
      </c>
      <c r="G1882" s="494">
        <f>단가산출근거목록표!F152</f>
        <v>228399</v>
      </c>
      <c r="H1882" s="498">
        <f>IF(C1882=0,0,ROUNDDOWN(G1882*C1882,1))</f>
        <v>30833.8</v>
      </c>
      <c r="I1882" s="494">
        <f>단가산출근거목록표!G152</f>
        <v>0</v>
      </c>
      <c r="J1882" s="498">
        <f>IF(C1882=0,0,ROUNDDOWN(I1882*C1882,1))</f>
        <v>0</v>
      </c>
      <c r="K1882" s="494">
        <f>단가산출근거목록표!H152</f>
        <v>5189</v>
      </c>
      <c r="L1882" s="498">
        <f>IF(C1882=0,0,ROUNDDOWN(K1882*C1882,1))</f>
        <v>700.5</v>
      </c>
      <c r="M1882" s="463" t="s">
        <v>2594</v>
      </c>
      <c r="N1882" s="451" t="s">
        <v>2595</v>
      </c>
      <c r="O1882" s="468" t="s">
        <v>1796</v>
      </c>
      <c r="P1882" s="468" t="s">
        <v>2354</v>
      </c>
      <c r="Q1882" s="468" t="s">
        <v>2355</v>
      </c>
      <c r="Z1882" s="433" t="str">
        <f ca="1">HYPERLINK("#"&amp;단가산출근거목록표!J2&amp;"!A"&amp;ROW(단가산출근거목록표!A152),"D01242 →")</f>
        <v>D01242 →</v>
      </c>
    </row>
    <row r="1883" spans="1:26" ht="33.200000000000003" customHeight="1">
      <c r="A1883" s="452" t="s">
        <v>1466</v>
      </c>
      <c r="B1883" s="452" t="s">
        <v>1467</v>
      </c>
      <c r="C1883" s="489">
        <v>0.17199999999999999</v>
      </c>
      <c r="D1883" s="480" t="s">
        <v>8</v>
      </c>
      <c r="E1883" s="490">
        <f t="shared" si="308"/>
        <v>274515</v>
      </c>
      <c r="F1883" s="493">
        <f t="shared" si="308"/>
        <v>47216.5</v>
      </c>
      <c r="G1883" s="494">
        <f>일위대가목록표!F73</f>
        <v>274515</v>
      </c>
      <c r="H1883" s="498">
        <f>IF(C1883=0,0,ROUNDDOWN(G1883*C1883,1))</f>
        <v>47216.5</v>
      </c>
      <c r="I1883" s="494">
        <f>일위대가목록표!G73</f>
        <v>0</v>
      </c>
      <c r="J1883" s="498">
        <f>IF(C1883=0,0,ROUNDDOWN(I1883*C1883,1))</f>
        <v>0</v>
      </c>
      <c r="K1883" s="494">
        <f>일위대가목록표!H73</f>
        <v>0</v>
      </c>
      <c r="L1883" s="498">
        <f>IF(C1883=0,0,ROUNDDOWN(K1883*C1883,1))</f>
        <v>0</v>
      </c>
      <c r="M1883" s="463" t="s">
        <v>2596</v>
      </c>
      <c r="N1883" s="451" t="s">
        <v>2597</v>
      </c>
      <c r="O1883" s="468" t="s">
        <v>1470</v>
      </c>
      <c r="P1883" s="468" t="s">
        <v>2354</v>
      </c>
      <c r="Q1883" s="468" t="s">
        <v>2355</v>
      </c>
      <c r="Z1883" s="433" t="str">
        <f ca="1">HYPERLINK("#"&amp;일위대가목록표!J2&amp;"!A"&amp;ROW(일위대가목록표!A73),"B02396 →")</f>
        <v>B02396 →</v>
      </c>
    </row>
    <row r="1884" spans="1:26" ht="33.200000000000003" customHeight="1">
      <c r="A1884" s="463" t="s">
        <v>842</v>
      </c>
      <c r="B1884" s="497"/>
      <c r="C1884" s="497"/>
      <c r="D1884" s="497"/>
      <c r="E1884" s="497"/>
      <c r="F1884" s="446">
        <f>J1884+H1884+L1884</f>
        <v>97844</v>
      </c>
      <c r="G1884" s="497"/>
      <c r="H1884" s="446">
        <f>ROUNDDOWN(SUMIF(P1881:P1883,O1884,H1881:H1883),0)</f>
        <v>97144</v>
      </c>
      <c r="I1884" s="497"/>
      <c r="J1884" s="446">
        <f>ROUNDDOWN(SUMIF(P1881:P1883,O1884,J1881:J1883),0)</f>
        <v>0</v>
      </c>
      <c r="K1884" s="497"/>
      <c r="L1884" s="446">
        <f>ROUNDDOWN(SUMIF(P1881:P1883,O1884,L1881:L1883),0)</f>
        <v>700</v>
      </c>
      <c r="M1884" s="497"/>
      <c r="O1884" s="468" t="s">
        <v>2354</v>
      </c>
    </row>
    <row r="1885" spans="1:26" ht="33.200000000000003" customHeight="1">
      <c r="A1885" s="484" t="s">
        <v>3312</v>
      </c>
      <c r="B1885" s="484"/>
      <c r="C1885" s="485"/>
      <c r="D1885" s="485"/>
      <c r="E1885" s="485"/>
      <c r="F1885" s="485"/>
      <c r="G1885" s="485"/>
      <c r="H1885" s="485"/>
      <c r="I1885" s="485"/>
      <c r="J1885" s="485"/>
      <c r="K1885" s="485"/>
      <c r="L1885" s="485"/>
      <c r="M1885" s="485"/>
      <c r="N1885" s="486" t="str">
        <f>HYPERLINK("#N"&amp;ROW(N1890),"_x0005_`BDCOD|B02887_x0007_`POSS|"&amp;ROW(N1887)&amp;"_x0007_`POSE|"&amp;ROW(N1890)&amp;"_x0007_`")</f>
        <v>_x0005_`BDCOD|B02887_x0007_`POSS|1887_x0007_`POSE|1890_x0007_`</v>
      </c>
    </row>
    <row r="1886" spans="1:26" ht="33.200000000000003" customHeight="1">
      <c r="A1886" s="469" t="s">
        <v>5287</v>
      </c>
      <c r="B1886" s="469"/>
      <c r="C1886" s="487"/>
      <c r="D1886" s="488" t="s">
        <v>975</v>
      </c>
      <c r="E1886" s="487"/>
      <c r="F1886" s="487"/>
      <c r="G1886" s="487"/>
      <c r="H1886" s="487"/>
      <c r="I1886" s="487"/>
      <c r="J1886" s="487"/>
      <c r="K1886" s="487"/>
      <c r="L1886" s="487"/>
      <c r="M1886" s="488" t="s">
        <v>5288</v>
      </c>
      <c r="O1886" s="468" t="s">
        <v>5288</v>
      </c>
    </row>
    <row r="1887" spans="1:26" ht="33.200000000000003" customHeight="1">
      <c r="A1887" s="452" t="s">
        <v>2484</v>
      </c>
      <c r="B1887" s="452" t="s">
        <v>2485</v>
      </c>
      <c r="C1887" s="489">
        <v>0.30399999999999999</v>
      </c>
      <c r="D1887" s="480" t="s">
        <v>8</v>
      </c>
      <c r="E1887" s="490">
        <f t="shared" ref="E1887:F1890" si="309">I1887+G1887+K1887</f>
        <v>62811</v>
      </c>
      <c r="F1887" s="493">
        <f t="shared" si="309"/>
        <v>19094.5</v>
      </c>
      <c r="G1887" s="494">
        <f>단가산출근거목록표!F157</f>
        <v>62811</v>
      </c>
      <c r="H1887" s="498">
        <f>IF(C1887=0,0,ROUNDDOWN(G1887*C1887,1))</f>
        <v>19094.5</v>
      </c>
      <c r="I1887" s="494">
        <f>단가산출근거목록표!G157</f>
        <v>0</v>
      </c>
      <c r="J1887" s="498">
        <f>IF(C1887=0,0,ROUNDDOWN(I1887*C1887,1))</f>
        <v>0</v>
      </c>
      <c r="K1887" s="494">
        <f>단가산출근거목록표!H157</f>
        <v>0</v>
      </c>
      <c r="L1887" s="498">
        <f>IF(C1887=0,0,ROUNDDOWN(K1887*C1887,1))</f>
        <v>0</v>
      </c>
      <c r="M1887" s="463" t="s">
        <v>2486</v>
      </c>
      <c r="N1887" s="451" t="s">
        <v>2487</v>
      </c>
      <c r="O1887" s="468" t="s">
        <v>2488</v>
      </c>
      <c r="P1887" s="468" t="s">
        <v>2354</v>
      </c>
      <c r="Q1887" s="468" t="s">
        <v>2355</v>
      </c>
      <c r="Z1887" s="433" t="str">
        <f ca="1">HYPERLINK("#"&amp;단가산출근거목록표!J2&amp;"!A"&amp;ROW(단가산출근거목록표!A157),"D01241 →")</f>
        <v>D01241 →</v>
      </c>
    </row>
    <row r="1888" spans="1:26" ht="33.200000000000003" customHeight="1">
      <c r="A1888" s="452" t="s">
        <v>1793</v>
      </c>
      <c r="B1888" s="452" t="s">
        <v>1789</v>
      </c>
      <c r="C1888" s="489">
        <v>0.13500000000000001</v>
      </c>
      <c r="D1888" s="480" t="s">
        <v>8</v>
      </c>
      <c r="E1888" s="490">
        <f t="shared" si="309"/>
        <v>233588</v>
      </c>
      <c r="F1888" s="493">
        <f t="shared" si="309"/>
        <v>31534.3</v>
      </c>
      <c r="G1888" s="494">
        <f>단가산출근거목록표!F152</f>
        <v>228399</v>
      </c>
      <c r="H1888" s="498">
        <f>IF(C1888=0,0,ROUNDDOWN(G1888*C1888,1))</f>
        <v>30833.8</v>
      </c>
      <c r="I1888" s="494">
        <f>단가산출근거목록표!G152</f>
        <v>0</v>
      </c>
      <c r="J1888" s="498">
        <f>IF(C1888=0,0,ROUNDDOWN(I1888*C1888,1))</f>
        <v>0</v>
      </c>
      <c r="K1888" s="494">
        <f>단가산출근거목록표!H152</f>
        <v>5189</v>
      </c>
      <c r="L1888" s="498">
        <f>IF(C1888=0,0,ROUNDDOWN(K1888*C1888,1))</f>
        <v>700.5</v>
      </c>
      <c r="M1888" s="463" t="s">
        <v>2594</v>
      </c>
      <c r="N1888" s="451" t="s">
        <v>2595</v>
      </c>
      <c r="O1888" s="468" t="s">
        <v>1796</v>
      </c>
      <c r="P1888" s="468" t="s">
        <v>2354</v>
      </c>
      <c r="Q1888" s="468" t="s">
        <v>2355</v>
      </c>
      <c r="Z1888" s="433" t="str">
        <f ca="1">HYPERLINK("#"&amp;단가산출근거목록표!J2&amp;"!A"&amp;ROW(단가산출근거목록표!A152),"D01242 →")</f>
        <v>D01242 →</v>
      </c>
    </row>
    <row r="1889" spans="1:26" ht="33.200000000000003" customHeight="1">
      <c r="A1889" s="452" t="s">
        <v>1466</v>
      </c>
      <c r="B1889" s="452" t="s">
        <v>1467</v>
      </c>
      <c r="C1889" s="489">
        <v>0.17199999999999999</v>
      </c>
      <c r="D1889" s="480" t="s">
        <v>8</v>
      </c>
      <c r="E1889" s="490">
        <f t="shared" si="309"/>
        <v>274515</v>
      </c>
      <c r="F1889" s="493">
        <f t="shared" si="309"/>
        <v>47216.5</v>
      </c>
      <c r="G1889" s="494">
        <f>일위대가목록표!F73</f>
        <v>274515</v>
      </c>
      <c r="H1889" s="498">
        <f>IF(C1889=0,0,ROUNDDOWN(G1889*C1889,1))</f>
        <v>47216.5</v>
      </c>
      <c r="I1889" s="494">
        <f>일위대가목록표!G73</f>
        <v>0</v>
      </c>
      <c r="J1889" s="498">
        <f>IF(C1889=0,0,ROUNDDOWN(I1889*C1889,1))</f>
        <v>0</v>
      </c>
      <c r="K1889" s="494">
        <f>일위대가목록표!H73</f>
        <v>0</v>
      </c>
      <c r="L1889" s="498">
        <f>IF(C1889=0,0,ROUNDDOWN(K1889*C1889,1))</f>
        <v>0</v>
      </c>
      <c r="M1889" s="463" t="s">
        <v>2596</v>
      </c>
      <c r="N1889" s="451" t="s">
        <v>2597</v>
      </c>
      <c r="O1889" s="468" t="s">
        <v>1470</v>
      </c>
      <c r="P1889" s="468" t="s">
        <v>2354</v>
      </c>
      <c r="Q1889" s="468" t="s">
        <v>2355</v>
      </c>
      <c r="Z1889" s="433" t="str">
        <f ca="1">HYPERLINK("#"&amp;일위대가목록표!J2&amp;"!A"&amp;ROW(일위대가목록표!A73),"B02396 →")</f>
        <v>B02396 →</v>
      </c>
    </row>
    <row r="1890" spans="1:26" ht="33.200000000000003" customHeight="1">
      <c r="A1890" s="452" t="s">
        <v>2507</v>
      </c>
      <c r="B1890" s="452" t="s">
        <v>2441</v>
      </c>
      <c r="C1890" s="489">
        <v>15</v>
      </c>
      <c r="D1890" s="480" t="s">
        <v>2371</v>
      </c>
      <c r="E1890" s="490">
        <f t="shared" si="309"/>
        <v>97144.8</v>
      </c>
      <c r="F1890" s="491">
        <f t="shared" si="309"/>
        <v>14571.7</v>
      </c>
      <c r="G1890" s="496">
        <f>H1887+H1888+H1889</f>
        <v>97144.8</v>
      </c>
      <c r="H1890" s="491">
        <f>IF(C1890=0,0,ROUNDDOWN(G1890*C1890/100,1))</f>
        <v>14571.7</v>
      </c>
      <c r="I1890" s="465">
        <v>0</v>
      </c>
      <c r="J1890" s="493">
        <f>IF(C1890=0,0,ROUNDDOWN(I1890*C1890/100,1))</f>
        <v>0</v>
      </c>
      <c r="K1890" s="467">
        <v>0</v>
      </c>
      <c r="L1890" s="493">
        <f>IF(C1890=0,0,ROUNDDOWN(K1890*C1890/100,1))</f>
        <v>0</v>
      </c>
      <c r="M1890" s="463"/>
      <c r="N1890" s="451" t="s">
        <v>2508</v>
      </c>
      <c r="O1890" s="468" t="s">
        <v>2373</v>
      </c>
      <c r="P1890" s="468" t="s">
        <v>2354</v>
      </c>
    </row>
    <row r="1891" spans="1:26" ht="33.200000000000003" customHeight="1">
      <c r="A1891" s="463" t="s">
        <v>842</v>
      </c>
      <c r="B1891" s="497"/>
      <c r="C1891" s="497"/>
      <c r="D1891" s="497"/>
      <c r="E1891" s="497"/>
      <c r="F1891" s="446">
        <f>J1891+H1891+L1891</f>
        <v>112416</v>
      </c>
      <c r="G1891" s="497"/>
      <c r="H1891" s="446">
        <f>ROUNDDOWN(SUMIF(P1887:P1890,O1891,H1887:H1890),0)</f>
        <v>111716</v>
      </c>
      <c r="I1891" s="497"/>
      <c r="J1891" s="446">
        <f>ROUNDDOWN(SUMIF(P1887:P1890,O1891,J1887:J1890),0)</f>
        <v>0</v>
      </c>
      <c r="K1891" s="497"/>
      <c r="L1891" s="446">
        <f>ROUNDDOWN(SUMIF(P1887:P1890,O1891,L1887:L1890),0)</f>
        <v>700</v>
      </c>
      <c r="M1891" s="497"/>
      <c r="O1891" s="468" t="s">
        <v>2354</v>
      </c>
    </row>
    <row r="1892" spans="1:26" ht="33.200000000000003" customHeight="1">
      <c r="A1892" s="484" t="s">
        <v>3318</v>
      </c>
      <c r="B1892" s="484"/>
      <c r="C1892" s="485"/>
      <c r="D1892" s="485"/>
      <c r="E1892" s="485"/>
      <c r="F1892" s="485"/>
      <c r="G1892" s="485"/>
      <c r="H1892" s="485"/>
      <c r="I1892" s="485"/>
      <c r="J1892" s="485"/>
      <c r="K1892" s="485"/>
      <c r="L1892" s="485"/>
      <c r="M1892" s="485"/>
      <c r="N1892" s="486" t="str">
        <f>HYPERLINK("#N"&amp;ROW(N1897),"_x0005_`BDCOD|B02397_x0007_`POSS|"&amp;ROW(N1894)&amp;"_x0007_`POSE|"&amp;ROW(N1897)&amp;"_x0007_`")</f>
        <v>_x0005_`BDCOD|B02397_x0007_`POSS|1894_x0007_`POSE|1897_x0007_`</v>
      </c>
    </row>
    <row r="1893" spans="1:26" ht="33.200000000000003" customHeight="1">
      <c r="A1893" s="469" t="s">
        <v>5291</v>
      </c>
      <c r="B1893" s="469"/>
      <c r="C1893" s="487"/>
      <c r="D1893" s="488" t="s">
        <v>975</v>
      </c>
      <c r="E1893" s="487"/>
      <c r="F1893" s="487"/>
      <c r="G1893" s="487"/>
      <c r="H1893" s="487"/>
      <c r="I1893" s="487"/>
      <c r="J1893" s="487"/>
      <c r="K1893" s="487"/>
      <c r="L1893" s="487"/>
      <c r="M1893" s="488" t="s">
        <v>1776</v>
      </c>
      <c r="O1893" s="468" t="s">
        <v>1776</v>
      </c>
    </row>
    <row r="1894" spans="1:26" ht="33.200000000000003" customHeight="1">
      <c r="A1894" s="452" t="s">
        <v>2484</v>
      </c>
      <c r="B1894" s="452" t="s">
        <v>2485</v>
      </c>
      <c r="C1894" s="489">
        <v>0.30399999999999999</v>
      </c>
      <c r="D1894" s="480" t="s">
        <v>8</v>
      </c>
      <c r="E1894" s="490">
        <f t="shared" ref="E1894:F1897" si="310">I1894+G1894+K1894</f>
        <v>62811</v>
      </c>
      <c r="F1894" s="493">
        <f t="shared" si="310"/>
        <v>19094.5</v>
      </c>
      <c r="G1894" s="494">
        <f>단가산출근거목록표!F157</f>
        <v>62811</v>
      </c>
      <c r="H1894" s="498">
        <f>IF(C1894=0,0,ROUNDDOWN(G1894*C1894,1))</f>
        <v>19094.5</v>
      </c>
      <c r="I1894" s="494">
        <f>단가산출근거목록표!G157</f>
        <v>0</v>
      </c>
      <c r="J1894" s="498">
        <f>IF(C1894=0,0,ROUNDDOWN(I1894*C1894,1))</f>
        <v>0</v>
      </c>
      <c r="K1894" s="494">
        <f>단가산출근거목록표!H157</f>
        <v>0</v>
      </c>
      <c r="L1894" s="498">
        <f>IF(C1894=0,0,ROUNDDOWN(K1894*C1894,1))</f>
        <v>0</v>
      </c>
      <c r="M1894" s="463" t="s">
        <v>2486</v>
      </c>
      <c r="N1894" s="451" t="s">
        <v>2487</v>
      </c>
      <c r="O1894" s="468" t="s">
        <v>2488</v>
      </c>
      <c r="P1894" s="468" t="s">
        <v>2354</v>
      </c>
      <c r="Q1894" s="468" t="s">
        <v>2355</v>
      </c>
      <c r="Z1894" s="433" t="str">
        <f ca="1">HYPERLINK("#"&amp;단가산출근거목록표!J2&amp;"!A"&amp;ROW(단가산출근거목록표!A157),"D01241 →")</f>
        <v>D01241 →</v>
      </c>
    </row>
    <row r="1895" spans="1:26" ht="33.200000000000003" customHeight="1">
      <c r="A1895" s="452" t="s">
        <v>1793</v>
      </c>
      <c r="B1895" s="452" t="s">
        <v>1789</v>
      </c>
      <c r="C1895" s="489">
        <v>0.13500000000000001</v>
      </c>
      <c r="D1895" s="480" t="s">
        <v>8</v>
      </c>
      <c r="E1895" s="490">
        <f t="shared" si="310"/>
        <v>233588</v>
      </c>
      <c r="F1895" s="493">
        <f t="shared" si="310"/>
        <v>31534.3</v>
      </c>
      <c r="G1895" s="494">
        <f>단가산출근거목록표!F152</f>
        <v>228399</v>
      </c>
      <c r="H1895" s="498">
        <f>IF(C1895=0,0,ROUNDDOWN(G1895*C1895,1))</f>
        <v>30833.8</v>
      </c>
      <c r="I1895" s="494">
        <f>단가산출근거목록표!G152</f>
        <v>0</v>
      </c>
      <c r="J1895" s="498">
        <f>IF(C1895=0,0,ROUNDDOWN(I1895*C1895,1))</f>
        <v>0</v>
      </c>
      <c r="K1895" s="494">
        <f>단가산출근거목록표!H152</f>
        <v>5189</v>
      </c>
      <c r="L1895" s="498">
        <f>IF(C1895=0,0,ROUNDDOWN(K1895*C1895,1))</f>
        <v>700.5</v>
      </c>
      <c r="M1895" s="463" t="s">
        <v>2594</v>
      </c>
      <c r="N1895" s="451" t="s">
        <v>2595</v>
      </c>
      <c r="O1895" s="468" t="s">
        <v>1796</v>
      </c>
      <c r="P1895" s="468" t="s">
        <v>2354</v>
      </c>
      <c r="Q1895" s="468" t="s">
        <v>2355</v>
      </c>
      <c r="Z1895" s="433" t="str">
        <f ca="1">HYPERLINK("#"&amp;단가산출근거목록표!J2&amp;"!A"&amp;ROW(단가산출근거목록표!A152),"D01242 →")</f>
        <v>D01242 →</v>
      </c>
    </row>
    <row r="1896" spans="1:26" ht="33.200000000000003" customHeight="1">
      <c r="A1896" s="452" t="s">
        <v>1466</v>
      </c>
      <c r="B1896" s="452" t="s">
        <v>1467</v>
      </c>
      <c r="C1896" s="489">
        <v>0.17199999999999999</v>
      </c>
      <c r="D1896" s="480" t="s">
        <v>8</v>
      </c>
      <c r="E1896" s="490">
        <f t="shared" si="310"/>
        <v>274515</v>
      </c>
      <c r="F1896" s="493">
        <f t="shared" si="310"/>
        <v>47216.5</v>
      </c>
      <c r="G1896" s="494">
        <f>일위대가목록표!F73</f>
        <v>274515</v>
      </c>
      <c r="H1896" s="498">
        <f>IF(C1896=0,0,ROUNDDOWN(G1896*C1896,1))</f>
        <v>47216.5</v>
      </c>
      <c r="I1896" s="494">
        <f>일위대가목록표!G73</f>
        <v>0</v>
      </c>
      <c r="J1896" s="498">
        <f>IF(C1896=0,0,ROUNDDOWN(I1896*C1896,1))</f>
        <v>0</v>
      </c>
      <c r="K1896" s="494">
        <f>일위대가목록표!H73</f>
        <v>0</v>
      </c>
      <c r="L1896" s="498">
        <f>IF(C1896=0,0,ROUNDDOWN(K1896*C1896,1))</f>
        <v>0</v>
      </c>
      <c r="M1896" s="463" t="s">
        <v>2596</v>
      </c>
      <c r="N1896" s="451" t="s">
        <v>2597</v>
      </c>
      <c r="O1896" s="468" t="s">
        <v>1470</v>
      </c>
      <c r="P1896" s="468" t="s">
        <v>2354</v>
      </c>
      <c r="Q1896" s="468" t="s">
        <v>2355</v>
      </c>
      <c r="Z1896" s="433" t="str">
        <f ca="1">HYPERLINK("#"&amp;일위대가목록표!J2&amp;"!A"&amp;ROW(일위대가목록표!A73),"B02396 →")</f>
        <v>B02396 →</v>
      </c>
    </row>
    <row r="1897" spans="1:26" ht="33.200000000000003" customHeight="1">
      <c r="A1897" s="452" t="s">
        <v>2507</v>
      </c>
      <c r="B1897" s="452" t="s">
        <v>2441</v>
      </c>
      <c r="C1897" s="489">
        <v>25</v>
      </c>
      <c r="D1897" s="480" t="s">
        <v>2371</v>
      </c>
      <c r="E1897" s="490">
        <f t="shared" si="310"/>
        <v>97144.8</v>
      </c>
      <c r="F1897" s="491">
        <f t="shared" si="310"/>
        <v>24286.2</v>
      </c>
      <c r="G1897" s="496">
        <f>H1894+H1895+H1896</f>
        <v>97144.8</v>
      </c>
      <c r="H1897" s="491">
        <f>IF(C1897=0,0,ROUNDDOWN(G1897*C1897/100,1))</f>
        <v>24286.2</v>
      </c>
      <c r="I1897" s="465">
        <v>0</v>
      </c>
      <c r="J1897" s="493">
        <f>IF(C1897=0,0,ROUNDDOWN(I1897*C1897/100,1))</f>
        <v>0</v>
      </c>
      <c r="K1897" s="467">
        <v>0</v>
      </c>
      <c r="L1897" s="493">
        <f>IF(C1897=0,0,ROUNDDOWN(K1897*C1897/100,1))</f>
        <v>0</v>
      </c>
      <c r="M1897" s="463"/>
      <c r="N1897" s="451" t="s">
        <v>2508</v>
      </c>
      <c r="O1897" s="468" t="s">
        <v>2373</v>
      </c>
      <c r="P1897" s="468" t="s">
        <v>2354</v>
      </c>
    </row>
    <row r="1898" spans="1:26" ht="33.200000000000003" customHeight="1">
      <c r="A1898" s="463" t="s">
        <v>842</v>
      </c>
      <c r="B1898" s="497"/>
      <c r="C1898" s="497"/>
      <c r="D1898" s="497"/>
      <c r="E1898" s="497"/>
      <c r="F1898" s="446">
        <f>J1898+H1898+L1898</f>
        <v>122131</v>
      </c>
      <c r="G1898" s="497"/>
      <c r="H1898" s="446">
        <f>ROUNDDOWN(SUMIF(P1894:P1897,O1898,H1894:H1897),0)</f>
        <v>121431</v>
      </c>
      <c r="I1898" s="497"/>
      <c r="J1898" s="446">
        <f>ROUNDDOWN(SUMIF(P1894:P1897,O1898,J1894:J1897),0)</f>
        <v>0</v>
      </c>
      <c r="K1898" s="497"/>
      <c r="L1898" s="446">
        <f>ROUNDDOWN(SUMIF(P1894:P1897,O1898,L1894:L1897),0)</f>
        <v>700</v>
      </c>
      <c r="M1898" s="497"/>
      <c r="O1898" s="468" t="s">
        <v>2354</v>
      </c>
    </row>
    <row r="1899" spans="1:26" ht="33.200000000000003" customHeight="1">
      <c r="A1899" s="484" t="s">
        <v>3323</v>
      </c>
      <c r="B1899" s="484"/>
      <c r="C1899" s="485"/>
      <c r="D1899" s="485"/>
      <c r="E1899" s="485"/>
      <c r="F1899" s="485"/>
      <c r="G1899" s="485"/>
      <c r="H1899" s="485"/>
      <c r="I1899" s="485"/>
      <c r="J1899" s="485"/>
      <c r="K1899" s="485"/>
      <c r="L1899" s="485"/>
      <c r="M1899" s="485"/>
      <c r="N1899" s="486" t="str">
        <f>HYPERLINK("#N"&amp;ROW(N1905),"_x0005_`BDCOD|B02563_x0007_`POSS|"&amp;ROW(N1901)&amp;"_x0007_`POSE|"&amp;ROW(N1905)&amp;"_x0007_`")</f>
        <v>_x0005_`BDCOD|B02563_x0007_`POSS|1901_x0007_`POSE|1905_x0007_`</v>
      </c>
    </row>
    <row r="1900" spans="1:26" ht="33.200000000000003" customHeight="1">
      <c r="A1900" s="469" t="s">
        <v>1516</v>
      </c>
      <c r="B1900" s="469" t="s">
        <v>1517</v>
      </c>
      <c r="C1900" s="487"/>
      <c r="D1900" s="488" t="s">
        <v>595</v>
      </c>
      <c r="E1900" s="487"/>
      <c r="F1900" s="487"/>
      <c r="G1900" s="487"/>
      <c r="H1900" s="487"/>
      <c r="I1900" s="487"/>
      <c r="J1900" s="487"/>
      <c r="K1900" s="487"/>
      <c r="L1900" s="487"/>
      <c r="M1900" s="488" t="s">
        <v>1518</v>
      </c>
      <c r="O1900" s="468" t="s">
        <v>1518</v>
      </c>
    </row>
    <row r="1901" spans="1:26" ht="33.200000000000003" customHeight="1">
      <c r="A1901" s="452" t="s">
        <v>2424</v>
      </c>
      <c r="B1901" s="452"/>
      <c r="C1901" s="489">
        <v>0.02</v>
      </c>
      <c r="D1901" s="480" t="s">
        <v>585</v>
      </c>
      <c r="E1901" s="490">
        <f t="shared" ref="E1901:F1905" si="311">I1901+G1901+K1901</f>
        <v>263017</v>
      </c>
      <c r="F1901" s="493">
        <f t="shared" si="311"/>
        <v>5260.3</v>
      </c>
      <c r="G1901" s="494">
        <f>노무비목록표!E7</f>
        <v>263017</v>
      </c>
      <c r="H1901" s="495">
        <f>IF(C1901=0,0,ROUNDDOWN(G1901*C1901,1))</f>
        <v>5260.3</v>
      </c>
      <c r="I1901" s="492">
        <v>0</v>
      </c>
      <c r="J1901" s="491">
        <f>IF(C1901=0,0,ROUNDDOWN(I1901*C1901,1))</f>
        <v>0</v>
      </c>
      <c r="K1901" s="492">
        <v>0</v>
      </c>
      <c r="L1901" s="493">
        <f>IF(C1901=0,0,ROUNDDOWN(K1901*C1901,1))</f>
        <v>0</v>
      </c>
      <c r="M1901" s="463" t="s">
        <v>2425</v>
      </c>
      <c r="N1901" s="451" t="s">
        <v>2426</v>
      </c>
      <c r="O1901" s="468" t="s">
        <v>2427</v>
      </c>
      <c r="P1901" s="468" t="s">
        <v>2354</v>
      </c>
      <c r="Q1901" s="468" t="s">
        <v>2355</v>
      </c>
      <c r="Z1901" s="433" t="str">
        <f ca="1">HYPERLINK("#"&amp;노무비목록표!G2&amp;"!A"&amp;ROW(노무비목록표!A7),"L00010 →")</f>
        <v>L00010 →</v>
      </c>
    </row>
    <row r="1902" spans="1:26" ht="33.200000000000003" customHeight="1">
      <c r="A1902" s="452" t="s">
        <v>2360</v>
      </c>
      <c r="B1902" s="452"/>
      <c r="C1902" s="489">
        <v>4.0000000000000001E-3</v>
      </c>
      <c r="D1902" s="480" t="s">
        <v>585</v>
      </c>
      <c r="E1902" s="490">
        <f t="shared" si="311"/>
        <v>172068</v>
      </c>
      <c r="F1902" s="493">
        <f t="shared" si="311"/>
        <v>688.2</v>
      </c>
      <c r="G1902" s="494">
        <f>노무비목록표!E10</f>
        <v>172068</v>
      </c>
      <c r="H1902" s="495">
        <f>IF(C1902=0,0,ROUNDDOWN(G1902*C1902,1))</f>
        <v>688.2</v>
      </c>
      <c r="I1902" s="492">
        <v>0</v>
      </c>
      <c r="J1902" s="491">
        <f>IF(C1902=0,0,ROUNDDOWN(I1902*C1902,1))</f>
        <v>0</v>
      </c>
      <c r="K1902" s="492">
        <v>0</v>
      </c>
      <c r="L1902" s="493">
        <f>IF(C1902=0,0,ROUNDDOWN(K1902*C1902,1))</f>
        <v>0</v>
      </c>
      <c r="M1902" s="463" t="s">
        <v>2361</v>
      </c>
      <c r="N1902" s="451" t="s">
        <v>2428</v>
      </c>
      <c r="O1902" s="468" t="s">
        <v>2363</v>
      </c>
      <c r="P1902" s="468" t="s">
        <v>2354</v>
      </c>
      <c r="Q1902" s="468" t="s">
        <v>2355</v>
      </c>
      <c r="Z1902" s="433" t="str">
        <f ca="1">HYPERLINK("#"&amp;노무비목록표!G2&amp;"!A"&amp;ROW(노무비목록표!A10),"L00017 →")</f>
        <v>L00017 →</v>
      </c>
    </row>
    <row r="1903" spans="1:26" ht="33.200000000000003" customHeight="1">
      <c r="A1903" s="452" t="s">
        <v>3102</v>
      </c>
      <c r="B1903" s="452" t="s">
        <v>3103</v>
      </c>
      <c r="C1903" s="489">
        <v>0.08</v>
      </c>
      <c r="D1903" s="480" t="s">
        <v>2431</v>
      </c>
      <c r="E1903" s="490">
        <f t="shared" si="311"/>
        <v>5888</v>
      </c>
      <c r="F1903" s="491">
        <f t="shared" si="311"/>
        <v>471</v>
      </c>
      <c r="G1903" s="492">
        <v>0</v>
      </c>
      <c r="H1903" s="493">
        <f>IF(C1903=0,0,ROUNDDOWN(G1903*C1903,1))</f>
        <v>0</v>
      </c>
      <c r="I1903" s="494">
        <f>재료비목록표!E89</f>
        <v>5888</v>
      </c>
      <c r="J1903" s="495">
        <f>IF(C1903=0,0,ROUNDDOWN(I1903*C1903,1))</f>
        <v>471</v>
      </c>
      <c r="K1903" s="492">
        <v>0</v>
      </c>
      <c r="L1903" s="493">
        <f>IF(C1903=0,0,ROUNDDOWN(K1903*C1903,1))</f>
        <v>0</v>
      </c>
      <c r="M1903" s="463" t="s">
        <v>3104</v>
      </c>
      <c r="N1903" s="451" t="s">
        <v>3105</v>
      </c>
      <c r="O1903" s="468" t="s">
        <v>3106</v>
      </c>
      <c r="P1903" s="468" t="s">
        <v>2354</v>
      </c>
      <c r="Z1903" s="433" t="str">
        <f ca="1">HYPERLINK("#"&amp;재료비목록표!G2&amp;"!A"&amp;ROW(재료비목록표!A89),"M08804 →")</f>
        <v>M08804 →</v>
      </c>
    </row>
    <row r="1904" spans="1:26" ht="33.200000000000003" customHeight="1">
      <c r="A1904" s="452" t="s">
        <v>2435</v>
      </c>
      <c r="B1904" s="452" t="s">
        <v>2436</v>
      </c>
      <c r="C1904" s="489">
        <v>4.0000000000000001E-3</v>
      </c>
      <c r="D1904" s="480" t="s">
        <v>2431</v>
      </c>
      <c r="E1904" s="490">
        <f t="shared" si="311"/>
        <v>2500</v>
      </c>
      <c r="F1904" s="491">
        <f t="shared" si="311"/>
        <v>10</v>
      </c>
      <c r="G1904" s="492">
        <v>0</v>
      </c>
      <c r="H1904" s="493">
        <f>IF(C1904=0,0,ROUNDDOWN(G1904*C1904,1))</f>
        <v>0</v>
      </c>
      <c r="I1904" s="494">
        <f>재료비목록표!E61</f>
        <v>2500</v>
      </c>
      <c r="J1904" s="495">
        <f>IF(C1904=0,0,ROUNDDOWN(I1904*C1904,1))</f>
        <v>10</v>
      </c>
      <c r="K1904" s="492">
        <v>0</v>
      </c>
      <c r="L1904" s="493">
        <f>IF(C1904=0,0,ROUNDDOWN(K1904*C1904,1))</f>
        <v>0</v>
      </c>
      <c r="M1904" s="463" t="s">
        <v>2437</v>
      </c>
      <c r="N1904" s="451" t="s">
        <v>2438</v>
      </c>
      <c r="O1904" s="468" t="s">
        <v>2439</v>
      </c>
      <c r="P1904" s="468" t="s">
        <v>2354</v>
      </c>
      <c r="Z1904" s="433" t="str">
        <f ca="1">HYPERLINK("#"&amp;재료비목록표!G2&amp;"!A"&amp;ROW(재료비목록표!A61),"M00167 →")</f>
        <v>M00167 →</v>
      </c>
    </row>
    <row r="1905" spans="1:26" ht="33.200000000000003" customHeight="1">
      <c r="A1905" s="452" t="s">
        <v>2440</v>
      </c>
      <c r="B1905" s="452" t="s">
        <v>2441</v>
      </c>
      <c r="C1905" s="489">
        <v>2</v>
      </c>
      <c r="D1905" s="480" t="s">
        <v>2371</v>
      </c>
      <c r="E1905" s="490">
        <f t="shared" si="311"/>
        <v>5948.5</v>
      </c>
      <c r="F1905" s="491">
        <f t="shared" si="311"/>
        <v>118.9</v>
      </c>
      <c r="G1905" s="465">
        <v>0</v>
      </c>
      <c r="H1905" s="491">
        <f>IF(C1905=0,0,ROUNDDOWN(G1905*C1905/100,1))</f>
        <v>0</v>
      </c>
      <c r="I1905" s="465">
        <v>0</v>
      </c>
      <c r="J1905" s="493">
        <f>IF(C1905=0,0,ROUNDDOWN(I1905*C1905/100,1))</f>
        <v>0</v>
      </c>
      <c r="K1905" s="499">
        <f>H1901+H1902</f>
        <v>5948.5</v>
      </c>
      <c r="L1905" s="493">
        <f>IF(C1905=0,0,ROUNDDOWN(K1905*C1905/100,1))</f>
        <v>118.9</v>
      </c>
      <c r="M1905" s="463"/>
      <c r="N1905" s="451" t="s">
        <v>2442</v>
      </c>
      <c r="O1905" s="468" t="s">
        <v>2373</v>
      </c>
      <c r="P1905" s="468" t="s">
        <v>2354</v>
      </c>
    </row>
    <row r="1906" spans="1:26" ht="33.200000000000003" customHeight="1">
      <c r="A1906" s="463" t="s">
        <v>842</v>
      </c>
      <c r="B1906" s="497"/>
      <c r="C1906" s="497"/>
      <c r="D1906" s="497"/>
      <c r="E1906" s="497"/>
      <c r="F1906" s="446">
        <f>J1906+H1906+L1906</f>
        <v>6547</v>
      </c>
      <c r="G1906" s="497"/>
      <c r="H1906" s="446">
        <f>ROUNDDOWN(SUMIF(P1901:P1905,O1906,H1901:H1905),0)</f>
        <v>5948</v>
      </c>
      <c r="I1906" s="497"/>
      <c r="J1906" s="446">
        <f>ROUNDDOWN(SUMIF(P1901:P1905,O1906,J1901:J1905),0)</f>
        <v>481</v>
      </c>
      <c r="K1906" s="497"/>
      <c r="L1906" s="446">
        <f>ROUNDDOWN(SUMIF(P1901:P1905,O1906,L1901:L1905),0)</f>
        <v>118</v>
      </c>
      <c r="M1906" s="497"/>
      <c r="O1906" s="468" t="s">
        <v>2354</v>
      </c>
    </row>
    <row r="1907" spans="1:26" ht="33.200000000000003" customHeight="1">
      <c r="A1907" s="484" t="s">
        <v>3333</v>
      </c>
      <c r="B1907" s="484"/>
      <c r="C1907" s="485"/>
      <c r="D1907" s="485"/>
      <c r="E1907" s="485"/>
      <c r="F1907" s="485"/>
      <c r="G1907" s="485"/>
      <c r="H1907" s="485"/>
      <c r="I1907" s="485"/>
      <c r="J1907" s="485"/>
      <c r="K1907" s="485"/>
      <c r="L1907" s="485"/>
      <c r="M1907" s="485"/>
      <c r="N1907" s="486" t="str">
        <f>HYPERLINK("#N"&amp;ROW(N1913),"_x0005_`BDCOD|B02550_x0007_`POSS|"&amp;ROW(N1909)&amp;"_x0007_`POSE|"&amp;ROW(N1913)&amp;"_x0007_`")</f>
        <v>_x0005_`BDCOD|B02550_x0007_`POSS|1909_x0007_`POSE|1913_x0007_`</v>
      </c>
    </row>
    <row r="1908" spans="1:26" ht="33.200000000000003" customHeight="1">
      <c r="A1908" s="469" t="s">
        <v>1516</v>
      </c>
      <c r="B1908" s="469" t="s">
        <v>1521</v>
      </c>
      <c r="C1908" s="487"/>
      <c r="D1908" s="488" t="s">
        <v>595</v>
      </c>
      <c r="E1908" s="487"/>
      <c r="F1908" s="487"/>
      <c r="G1908" s="487"/>
      <c r="H1908" s="487"/>
      <c r="I1908" s="487"/>
      <c r="J1908" s="487"/>
      <c r="K1908" s="487"/>
      <c r="L1908" s="487"/>
      <c r="M1908" s="488" t="s">
        <v>1522</v>
      </c>
      <c r="O1908" s="468" t="s">
        <v>1522</v>
      </c>
    </row>
    <row r="1909" spans="1:26" ht="33.200000000000003" customHeight="1">
      <c r="A1909" s="452" t="s">
        <v>2424</v>
      </c>
      <c r="B1909" s="452"/>
      <c r="C1909" s="489">
        <v>0.04</v>
      </c>
      <c r="D1909" s="480" t="s">
        <v>585</v>
      </c>
      <c r="E1909" s="490">
        <f t="shared" ref="E1909:F1913" si="312">I1909+G1909+K1909</f>
        <v>263017</v>
      </c>
      <c r="F1909" s="493">
        <f t="shared" si="312"/>
        <v>10520.6</v>
      </c>
      <c r="G1909" s="494">
        <f>노무비목록표!E7</f>
        <v>263017</v>
      </c>
      <c r="H1909" s="495">
        <f>IF(C1909=0,0,ROUNDDOWN(G1909*C1909,1))</f>
        <v>10520.6</v>
      </c>
      <c r="I1909" s="492">
        <v>0</v>
      </c>
      <c r="J1909" s="491">
        <f>IF(C1909=0,0,ROUNDDOWN(I1909*C1909,1))</f>
        <v>0</v>
      </c>
      <c r="K1909" s="492">
        <v>0</v>
      </c>
      <c r="L1909" s="493">
        <f>IF(C1909=0,0,ROUNDDOWN(K1909*C1909,1))</f>
        <v>0</v>
      </c>
      <c r="M1909" s="463" t="s">
        <v>2425</v>
      </c>
      <c r="N1909" s="451" t="s">
        <v>2426</v>
      </c>
      <c r="O1909" s="468" t="s">
        <v>2427</v>
      </c>
      <c r="P1909" s="468" t="s">
        <v>2354</v>
      </c>
      <c r="Q1909" s="468" t="s">
        <v>2355</v>
      </c>
      <c r="Z1909" s="433" t="str">
        <f ca="1">HYPERLINK("#"&amp;노무비목록표!G2&amp;"!A"&amp;ROW(노무비목록표!A7),"L00010 →")</f>
        <v>L00010 →</v>
      </c>
    </row>
    <row r="1910" spans="1:26" ht="33.200000000000003" customHeight="1">
      <c r="A1910" s="452" t="s">
        <v>2360</v>
      </c>
      <c r="B1910" s="452"/>
      <c r="C1910" s="489">
        <v>8.0000000000000002E-3</v>
      </c>
      <c r="D1910" s="480" t="s">
        <v>585</v>
      </c>
      <c r="E1910" s="490">
        <f t="shared" si="312"/>
        <v>172068</v>
      </c>
      <c r="F1910" s="493">
        <f t="shared" si="312"/>
        <v>1376.5</v>
      </c>
      <c r="G1910" s="494">
        <f>노무비목록표!E10</f>
        <v>172068</v>
      </c>
      <c r="H1910" s="495">
        <f>IF(C1910=0,0,ROUNDDOWN(G1910*C1910,1))</f>
        <v>1376.5</v>
      </c>
      <c r="I1910" s="492">
        <v>0</v>
      </c>
      <c r="J1910" s="491">
        <f>IF(C1910=0,0,ROUNDDOWN(I1910*C1910,1))</f>
        <v>0</v>
      </c>
      <c r="K1910" s="492">
        <v>0</v>
      </c>
      <c r="L1910" s="493">
        <f>IF(C1910=0,0,ROUNDDOWN(K1910*C1910,1))</f>
        <v>0</v>
      </c>
      <c r="M1910" s="463" t="s">
        <v>2361</v>
      </c>
      <c r="N1910" s="451" t="s">
        <v>2428</v>
      </c>
      <c r="O1910" s="468" t="s">
        <v>2363</v>
      </c>
      <c r="P1910" s="468" t="s">
        <v>2354</v>
      </c>
      <c r="Q1910" s="468" t="s">
        <v>2355</v>
      </c>
      <c r="Z1910" s="433" t="str">
        <f ca="1">HYPERLINK("#"&amp;노무비목록표!G2&amp;"!A"&amp;ROW(노무비목록표!A10),"L00017 →")</f>
        <v>L00017 →</v>
      </c>
    </row>
    <row r="1911" spans="1:26" ht="33.200000000000003" customHeight="1">
      <c r="A1911" s="452" t="s">
        <v>3102</v>
      </c>
      <c r="B1911" s="452" t="s">
        <v>3103</v>
      </c>
      <c r="C1911" s="489">
        <v>0.16600000000000001</v>
      </c>
      <c r="D1911" s="480" t="s">
        <v>2431</v>
      </c>
      <c r="E1911" s="490">
        <f t="shared" si="312"/>
        <v>5888</v>
      </c>
      <c r="F1911" s="491">
        <f t="shared" si="312"/>
        <v>977.4</v>
      </c>
      <c r="G1911" s="492">
        <v>0</v>
      </c>
      <c r="H1911" s="493">
        <f>IF(C1911=0,0,ROUNDDOWN(G1911*C1911,1))</f>
        <v>0</v>
      </c>
      <c r="I1911" s="494">
        <f>재료비목록표!E89</f>
        <v>5888</v>
      </c>
      <c r="J1911" s="495">
        <f>IF(C1911=0,0,ROUNDDOWN(I1911*C1911,1))</f>
        <v>977.4</v>
      </c>
      <c r="K1911" s="492">
        <v>0</v>
      </c>
      <c r="L1911" s="493">
        <f>IF(C1911=0,0,ROUNDDOWN(K1911*C1911,1))</f>
        <v>0</v>
      </c>
      <c r="M1911" s="463" t="s">
        <v>3104</v>
      </c>
      <c r="N1911" s="451" t="s">
        <v>3105</v>
      </c>
      <c r="O1911" s="468" t="s">
        <v>3106</v>
      </c>
      <c r="P1911" s="468" t="s">
        <v>2354</v>
      </c>
      <c r="Z1911" s="433" t="str">
        <f ca="1">HYPERLINK("#"&amp;재료비목록표!G2&amp;"!A"&amp;ROW(재료비목록표!A89),"M08804 →")</f>
        <v>M08804 →</v>
      </c>
    </row>
    <row r="1912" spans="1:26" ht="33.200000000000003" customHeight="1">
      <c r="A1912" s="452" t="s">
        <v>2435</v>
      </c>
      <c r="B1912" s="452" t="s">
        <v>2436</v>
      </c>
      <c r="C1912" s="489">
        <v>8.0000000000000002E-3</v>
      </c>
      <c r="D1912" s="480" t="s">
        <v>2431</v>
      </c>
      <c r="E1912" s="490">
        <f t="shared" si="312"/>
        <v>2500</v>
      </c>
      <c r="F1912" s="491">
        <f t="shared" si="312"/>
        <v>20</v>
      </c>
      <c r="G1912" s="492">
        <v>0</v>
      </c>
      <c r="H1912" s="493">
        <f>IF(C1912=0,0,ROUNDDOWN(G1912*C1912,1))</f>
        <v>0</v>
      </c>
      <c r="I1912" s="494">
        <f>재료비목록표!E61</f>
        <v>2500</v>
      </c>
      <c r="J1912" s="495">
        <f>IF(C1912=0,0,ROUNDDOWN(I1912*C1912,1))</f>
        <v>20</v>
      </c>
      <c r="K1912" s="492">
        <v>0</v>
      </c>
      <c r="L1912" s="493">
        <f>IF(C1912=0,0,ROUNDDOWN(K1912*C1912,1))</f>
        <v>0</v>
      </c>
      <c r="M1912" s="463" t="s">
        <v>2437</v>
      </c>
      <c r="N1912" s="451" t="s">
        <v>2438</v>
      </c>
      <c r="O1912" s="468" t="s">
        <v>2439</v>
      </c>
      <c r="P1912" s="468" t="s">
        <v>2354</v>
      </c>
      <c r="Z1912" s="433" t="str">
        <f ca="1">HYPERLINK("#"&amp;재료비목록표!G2&amp;"!A"&amp;ROW(재료비목록표!A61),"M00167 →")</f>
        <v>M00167 →</v>
      </c>
    </row>
    <row r="1913" spans="1:26" ht="33.200000000000003" customHeight="1">
      <c r="A1913" s="452" t="s">
        <v>2440</v>
      </c>
      <c r="B1913" s="452" t="s">
        <v>2441</v>
      </c>
      <c r="C1913" s="489">
        <v>2</v>
      </c>
      <c r="D1913" s="480" t="s">
        <v>2371</v>
      </c>
      <c r="E1913" s="490">
        <f t="shared" si="312"/>
        <v>11897.1</v>
      </c>
      <c r="F1913" s="491">
        <f t="shared" si="312"/>
        <v>237.9</v>
      </c>
      <c r="G1913" s="465">
        <v>0</v>
      </c>
      <c r="H1913" s="491">
        <f>IF(C1913=0,0,ROUNDDOWN(G1913*C1913/100,1))</f>
        <v>0</v>
      </c>
      <c r="I1913" s="465">
        <v>0</v>
      </c>
      <c r="J1913" s="493">
        <f>IF(C1913=0,0,ROUNDDOWN(I1913*C1913/100,1))</f>
        <v>0</v>
      </c>
      <c r="K1913" s="499">
        <f>H1909+H1910</f>
        <v>11897.1</v>
      </c>
      <c r="L1913" s="493">
        <f>IF(C1913=0,0,ROUNDDOWN(K1913*C1913/100,1))</f>
        <v>237.9</v>
      </c>
      <c r="M1913" s="463"/>
      <c r="N1913" s="451" t="s">
        <v>2442</v>
      </c>
      <c r="O1913" s="468" t="s">
        <v>2373</v>
      </c>
      <c r="P1913" s="468" t="s">
        <v>2354</v>
      </c>
    </row>
    <row r="1914" spans="1:26" ht="33.200000000000003" customHeight="1">
      <c r="A1914" s="463" t="s">
        <v>842</v>
      </c>
      <c r="B1914" s="497"/>
      <c r="C1914" s="497"/>
      <c r="D1914" s="497"/>
      <c r="E1914" s="497"/>
      <c r="F1914" s="446">
        <f>J1914+H1914+L1914</f>
        <v>13131</v>
      </c>
      <c r="G1914" s="497"/>
      <c r="H1914" s="446">
        <f>ROUNDDOWN(SUMIF(P1909:P1913,O1914,H1909:H1913),0)</f>
        <v>11897</v>
      </c>
      <c r="I1914" s="497"/>
      <c r="J1914" s="446">
        <f>ROUNDDOWN(SUMIF(P1909:P1913,O1914,J1909:J1913),0)</f>
        <v>997</v>
      </c>
      <c r="K1914" s="497"/>
      <c r="L1914" s="446">
        <f>ROUNDDOWN(SUMIF(P1909:P1913,O1914,L1909:L1913),0)</f>
        <v>237</v>
      </c>
      <c r="M1914" s="497"/>
      <c r="O1914" s="468" t="s">
        <v>2354</v>
      </c>
    </row>
    <row r="1915" spans="1:26" ht="33.200000000000003" customHeight="1">
      <c r="A1915" s="484" t="s">
        <v>3334</v>
      </c>
      <c r="B1915" s="484"/>
      <c r="C1915" s="485"/>
      <c r="D1915" s="485"/>
      <c r="E1915" s="485"/>
      <c r="F1915" s="485"/>
      <c r="G1915" s="485"/>
      <c r="H1915" s="485"/>
      <c r="I1915" s="485"/>
      <c r="J1915" s="485"/>
      <c r="K1915" s="485"/>
      <c r="L1915" s="485"/>
      <c r="M1915" s="485"/>
      <c r="N1915" s="486" t="str">
        <f>HYPERLINK("#N"&amp;ROW(N1921),"_x0005_`BDCOD|B02733_x0007_`POSS|"&amp;ROW(N1917)&amp;"_x0007_`POSE|"&amp;ROW(N1921)&amp;"_x0007_`")</f>
        <v>_x0005_`BDCOD|B02733_x0007_`POSS|1917_x0007_`POSE|1921_x0007_`</v>
      </c>
    </row>
    <row r="1916" spans="1:26" ht="33.200000000000003" customHeight="1">
      <c r="A1916" s="469" t="s">
        <v>1516</v>
      </c>
      <c r="B1916" s="469" t="s">
        <v>1521</v>
      </c>
      <c r="C1916" s="487"/>
      <c r="D1916" s="488" t="s">
        <v>595</v>
      </c>
      <c r="E1916" s="487"/>
      <c r="F1916" s="487"/>
      <c r="G1916" s="487"/>
      <c r="H1916" s="487"/>
      <c r="I1916" s="487"/>
      <c r="J1916" s="487"/>
      <c r="K1916" s="487"/>
      <c r="L1916" s="487"/>
      <c r="M1916" s="488" t="s">
        <v>2319</v>
      </c>
      <c r="O1916" s="468" t="s">
        <v>2319</v>
      </c>
    </row>
    <row r="1917" spans="1:26" ht="33.200000000000003" customHeight="1">
      <c r="A1917" s="452" t="s">
        <v>2424</v>
      </c>
      <c r="B1917" s="452"/>
      <c r="C1917" s="489">
        <v>0.04</v>
      </c>
      <c r="D1917" s="480" t="s">
        <v>585</v>
      </c>
      <c r="E1917" s="490">
        <f t="shared" ref="E1917:F1921" si="313">I1917+G1917+K1917</f>
        <v>263017</v>
      </c>
      <c r="F1917" s="493">
        <f t="shared" si="313"/>
        <v>10520.6</v>
      </c>
      <c r="G1917" s="494">
        <f>노무비목록표!E7</f>
        <v>263017</v>
      </c>
      <c r="H1917" s="495">
        <f>IF(C1917=0,0,ROUNDDOWN(G1917*C1917,1))</f>
        <v>10520.6</v>
      </c>
      <c r="I1917" s="492">
        <v>0</v>
      </c>
      <c r="J1917" s="491">
        <f>IF(C1917=0,0,ROUNDDOWN(I1917*C1917,1))</f>
        <v>0</v>
      </c>
      <c r="K1917" s="492">
        <v>0</v>
      </c>
      <c r="L1917" s="493">
        <f>IF(C1917=0,0,ROUNDDOWN(K1917*C1917,1))</f>
        <v>0</v>
      </c>
      <c r="M1917" s="463" t="s">
        <v>2425</v>
      </c>
      <c r="N1917" s="451" t="s">
        <v>2426</v>
      </c>
      <c r="O1917" s="468" t="s">
        <v>2427</v>
      </c>
      <c r="P1917" s="468" t="s">
        <v>2354</v>
      </c>
      <c r="Q1917" s="468" t="s">
        <v>2355</v>
      </c>
      <c r="Z1917" s="433" t="str">
        <f ca="1">HYPERLINK("#"&amp;노무비목록표!G2&amp;"!A"&amp;ROW(노무비목록표!A7),"L00010 →")</f>
        <v>L00010 →</v>
      </c>
    </row>
    <row r="1918" spans="1:26" ht="33.200000000000003" customHeight="1">
      <c r="A1918" s="452" t="s">
        <v>2360</v>
      </c>
      <c r="B1918" s="452"/>
      <c r="C1918" s="489">
        <v>8.0000000000000002E-3</v>
      </c>
      <c r="D1918" s="480" t="s">
        <v>585</v>
      </c>
      <c r="E1918" s="490">
        <f t="shared" si="313"/>
        <v>172068</v>
      </c>
      <c r="F1918" s="493">
        <f t="shared" si="313"/>
        <v>1376.5</v>
      </c>
      <c r="G1918" s="494">
        <f>노무비목록표!E10</f>
        <v>172068</v>
      </c>
      <c r="H1918" s="495">
        <f>IF(C1918=0,0,ROUNDDOWN(G1918*C1918,1))</f>
        <v>1376.5</v>
      </c>
      <c r="I1918" s="492">
        <v>0</v>
      </c>
      <c r="J1918" s="491">
        <f>IF(C1918=0,0,ROUNDDOWN(I1918*C1918,1))</f>
        <v>0</v>
      </c>
      <c r="K1918" s="492">
        <v>0</v>
      </c>
      <c r="L1918" s="493">
        <f>IF(C1918=0,0,ROUNDDOWN(K1918*C1918,1))</f>
        <v>0</v>
      </c>
      <c r="M1918" s="463" t="s">
        <v>2361</v>
      </c>
      <c r="N1918" s="451" t="s">
        <v>2428</v>
      </c>
      <c r="O1918" s="468" t="s">
        <v>2363</v>
      </c>
      <c r="P1918" s="468" t="s">
        <v>2354</v>
      </c>
      <c r="Q1918" s="468" t="s">
        <v>2355</v>
      </c>
      <c r="Z1918" s="433" t="str">
        <f ca="1">HYPERLINK("#"&amp;노무비목록표!G2&amp;"!A"&amp;ROW(노무비목록표!A10),"L00017 →")</f>
        <v>L00017 →</v>
      </c>
    </row>
    <row r="1919" spans="1:26" ht="33.200000000000003" customHeight="1">
      <c r="A1919" s="452" t="s">
        <v>3102</v>
      </c>
      <c r="B1919" s="452" t="s">
        <v>3103</v>
      </c>
      <c r="C1919" s="489">
        <v>0.16600000000000001</v>
      </c>
      <c r="D1919" s="480" t="s">
        <v>2431</v>
      </c>
      <c r="E1919" s="490">
        <f t="shared" si="313"/>
        <v>5888</v>
      </c>
      <c r="F1919" s="491">
        <f t="shared" si="313"/>
        <v>977.4</v>
      </c>
      <c r="G1919" s="492">
        <v>0</v>
      </c>
      <c r="H1919" s="493">
        <f>IF(C1919=0,0,ROUNDDOWN(G1919*C1919,1))</f>
        <v>0</v>
      </c>
      <c r="I1919" s="494">
        <f>재료비목록표!E89</f>
        <v>5888</v>
      </c>
      <c r="J1919" s="495">
        <f>IF(C1919=0,0,ROUNDDOWN(I1919*C1919,1))</f>
        <v>977.4</v>
      </c>
      <c r="K1919" s="492">
        <v>0</v>
      </c>
      <c r="L1919" s="493">
        <f>IF(C1919=0,0,ROUNDDOWN(K1919*C1919,1))</f>
        <v>0</v>
      </c>
      <c r="M1919" s="463" t="s">
        <v>3104</v>
      </c>
      <c r="N1919" s="451" t="s">
        <v>3105</v>
      </c>
      <c r="O1919" s="468" t="s">
        <v>3106</v>
      </c>
      <c r="P1919" s="468" t="s">
        <v>2354</v>
      </c>
      <c r="Z1919" s="433" t="str">
        <f ca="1">HYPERLINK("#"&amp;재료비목록표!G2&amp;"!A"&amp;ROW(재료비목록표!A89),"M08804 →")</f>
        <v>M08804 →</v>
      </c>
    </row>
    <row r="1920" spans="1:26" ht="33.200000000000003" customHeight="1">
      <c r="A1920" s="452" t="s">
        <v>2435</v>
      </c>
      <c r="B1920" s="452" t="s">
        <v>2436</v>
      </c>
      <c r="C1920" s="489">
        <v>8.0000000000000002E-3</v>
      </c>
      <c r="D1920" s="480" t="s">
        <v>2431</v>
      </c>
      <c r="E1920" s="490">
        <f t="shared" si="313"/>
        <v>2500</v>
      </c>
      <c r="F1920" s="491">
        <f t="shared" si="313"/>
        <v>20</v>
      </c>
      <c r="G1920" s="492">
        <v>0</v>
      </c>
      <c r="H1920" s="493">
        <f>IF(C1920=0,0,ROUNDDOWN(G1920*C1920,1))</f>
        <v>0</v>
      </c>
      <c r="I1920" s="494">
        <f>재료비목록표!E61</f>
        <v>2500</v>
      </c>
      <c r="J1920" s="495">
        <f>IF(C1920=0,0,ROUNDDOWN(I1920*C1920,1))</f>
        <v>20</v>
      </c>
      <c r="K1920" s="492">
        <v>0</v>
      </c>
      <c r="L1920" s="493">
        <f>IF(C1920=0,0,ROUNDDOWN(K1920*C1920,1))</f>
        <v>0</v>
      </c>
      <c r="M1920" s="463" t="s">
        <v>2437</v>
      </c>
      <c r="N1920" s="451" t="s">
        <v>2438</v>
      </c>
      <c r="O1920" s="468" t="s">
        <v>2439</v>
      </c>
      <c r="P1920" s="468" t="s">
        <v>2354</v>
      </c>
      <c r="Z1920" s="433" t="str">
        <f ca="1">HYPERLINK("#"&amp;재료비목록표!G2&amp;"!A"&amp;ROW(재료비목록표!A61),"M00167 →")</f>
        <v>M00167 →</v>
      </c>
    </row>
    <row r="1921" spans="1:26" ht="33.200000000000003" customHeight="1">
      <c r="A1921" s="452" t="s">
        <v>2440</v>
      </c>
      <c r="B1921" s="452" t="s">
        <v>2441</v>
      </c>
      <c r="C1921" s="489">
        <v>2</v>
      </c>
      <c r="D1921" s="480" t="s">
        <v>2371</v>
      </c>
      <c r="E1921" s="490">
        <f t="shared" si="313"/>
        <v>11897.1</v>
      </c>
      <c r="F1921" s="491">
        <f t="shared" si="313"/>
        <v>237.9</v>
      </c>
      <c r="G1921" s="465">
        <v>0</v>
      </c>
      <c r="H1921" s="491">
        <f>IF(C1921=0,0,ROUNDDOWN(G1921*C1921/100,1))</f>
        <v>0</v>
      </c>
      <c r="I1921" s="465">
        <v>0</v>
      </c>
      <c r="J1921" s="493">
        <f>IF(C1921=0,0,ROUNDDOWN(I1921*C1921/100,1))</f>
        <v>0</v>
      </c>
      <c r="K1921" s="499">
        <f>H1917+H1918</f>
        <v>11897.1</v>
      </c>
      <c r="L1921" s="493">
        <f>IF(C1921=0,0,ROUNDDOWN(K1921*C1921/100,1))</f>
        <v>237.9</v>
      </c>
      <c r="M1921" s="463"/>
      <c r="N1921" s="451" t="s">
        <v>2442</v>
      </c>
      <c r="O1921" s="468" t="s">
        <v>2373</v>
      </c>
      <c r="P1921" s="468" t="s">
        <v>2354</v>
      </c>
    </row>
    <row r="1922" spans="1:26" ht="33.200000000000003" customHeight="1">
      <c r="A1922" s="463" t="s">
        <v>842</v>
      </c>
      <c r="B1922" s="497"/>
      <c r="C1922" s="497"/>
      <c r="D1922" s="497"/>
      <c r="E1922" s="497"/>
      <c r="F1922" s="446">
        <f>J1922+H1922+L1922</f>
        <v>13131</v>
      </c>
      <c r="G1922" s="497"/>
      <c r="H1922" s="446">
        <f>ROUNDDOWN(SUMIF(P1917:P1921,O1922,H1917:H1921),0)</f>
        <v>11897</v>
      </c>
      <c r="I1922" s="497"/>
      <c r="J1922" s="446">
        <f>ROUNDDOWN(SUMIF(P1917:P1921,O1922,J1917:J1921),0)</f>
        <v>997</v>
      </c>
      <c r="K1922" s="497"/>
      <c r="L1922" s="446">
        <f>ROUNDDOWN(SUMIF(P1917:P1921,O1922,L1917:L1921),0)</f>
        <v>237</v>
      </c>
      <c r="M1922" s="497"/>
      <c r="O1922" s="468" t="s">
        <v>2354</v>
      </c>
    </row>
    <row r="1923" spans="1:26" ht="33.200000000000003" customHeight="1">
      <c r="A1923" s="484" t="s">
        <v>3335</v>
      </c>
      <c r="B1923" s="484"/>
      <c r="C1923" s="485"/>
      <c r="D1923" s="485"/>
      <c r="E1923" s="485"/>
      <c r="F1923" s="485"/>
      <c r="G1923" s="485"/>
      <c r="H1923" s="485"/>
      <c r="I1923" s="485"/>
      <c r="J1923" s="485"/>
      <c r="K1923" s="485"/>
      <c r="L1923" s="485"/>
      <c r="M1923" s="485"/>
      <c r="N1923" s="486" t="str">
        <f>HYPERLINK("#N"&amp;ROW(N1928),"_x0005_`BDCOD|B02560_x0007_`POSS|"&amp;ROW(N1925)&amp;"_x0007_`POSE|"&amp;ROW(N1928)&amp;"_x0007_`")</f>
        <v>_x0005_`BDCOD|B02560_x0007_`POSS|1925_x0007_`POSE|1928_x0007_`</v>
      </c>
    </row>
    <row r="1924" spans="1:26" ht="33.200000000000003" customHeight="1">
      <c r="A1924" s="469" t="s">
        <v>1587</v>
      </c>
      <c r="B1924" s="469" t="s">
        <v>1597</v>
      </c>
      <c r="C1924" s="487"/>
      <c r="D1924" s="488" t="s">
        <v>1589</v>
      </c>
      <c r="E1924" s="487"/>
      <c r="F1924" s="487"/>
      <c r="G1924" s="487"/>
      <c r="H1924" s="487"/>
      <c r="I1924" s="487"/>
      <c r="J1924" s="487"/>
      <c r="K1924" s="487"/>
      <c r="L1924" s="487"/>
      <c r="M1924" s="488" t="s">
        <v>1598</v>
      </c>
      <c r="O1924" s="468" t="s">
        <v>1598</v>
      </c>
    </row>
    <row r="1925" spans="1:26" ht="33.200000000000003" customHeight="1">
      <c r="A1925" s="452" t="s">
        <v>1466</v>
      </c>
      <c r="B1925" s="452" t="s">
        <v>1467</v>
      </c>
      <c r="C1925" s="489">
        <v>1.2999999999999999E-2</v>
      </c>
      <c r="D1925" s="480" t="s">
        <v>8</v>
      </c>
      <c r="E1925" s="490">
        <f t="shared" ref="E1925:F1928" si="314">I1925+G1925+K1925</f>
        <v>274515</v>
      </c>
      <c r="F1925" s="493">
        <f t="shared" si="314"/>
        <v>3568.6</v>
      </c>
      <c r="G1925" s="494">
        <f>일위대가목록표!F73</f>
        <v>274515</v>
      </c>
      <c r="H1925" s="498">
        <f>IF(C1925=0,0,ROUNDDOWN(G1925*C1925,1))</f>
        <v>3568.6</v>
      </c>
      <c r="I1925" s="494">
        <f>일위대가목록표!G73</f>
        <v>0</v>
      </c>
      <c r="J1925" s="498">
        <f>IF(C1925=0,0,ROUNDDOWN(I1925*C1925,1))</f>
        <v>0</v>
      </c>
      <c r="K1925" s="494">
        <f>일위대가목록표!H73</f>
        <v>0</v>
      </c>
      <c r="L1925" s="498">
        <f>IF(C1925=0,0,ROUNDDOWN(K1925*C1925,1))</f>
        <v>0</v>
      </c>
      <c r="M1925" s="463" t="s">
        <v>2596</v>
      </c>
      <c r="N1925" s="451" t="s">
        <v>2671</v>
      </c>
      <c r="O1925" s="468" t="s">
        <v>1470</v>
      </c>
      <c r="P1925" s="468" t="s">
        <v>2354</v>
      </c>
      <c r="Z1925" s="433" t="str">
        <f ca="1">HYPERLINK("#"&amp;일위대가목록표!J2&amp;"!A"&amp;ROW(일위대가목록표!A73),"B02396 →")</f>
        <v>B02396 →</v>
      </c>
    </row>
    <row r="1926" spans="1:26" ht="33.200000000000003" customHeight="1">
      <c r="A1926" s="452" t="s">
        <v>2627</v>
      </c>
      <c r="B1926" s="452" t="s">
        <v>2628</v>
      </c>
      <c r="C1926" s="489">
        <v>4.2679999999999998</v>
      </c>
      <c r="D1926" s="480" t="s">
        <v>605</v>
      </c>
      <c r="E1926" s="490">
        <f t="shared" si="314"/>
        <v>6200</v>
      </c>
      <c r="F1926" s="491">
        <f t="shared" si="314"/>
        <v>26461.599999999999</v>
      </c>
      <c r="G1926" s="492">
        <v>0</v>
      </c>
      <c r="H1926" s="493">
        <f>IF(C1926=0,0,ROUNDDOWN(G1926*C1926,1))</f>
        <v>0</v>
      </c>
      <c r="I1926" s="494">
        <f>재료비목록표!E8</f>
        <v>6200</v>
      </c>
      <c r="J1926" s="495">
        <f>IF(C1926=0,0,ROUNDDOWN(I1926*C1926,1))</f>
        <v>26461.599999999999</v>
      </c>
      <c r="K1926" s="492">
        <v>0</v>
      </c>
      <c r="L1926" s="493">
        <f>IF(C1926=0,0,ROUNDDOWN(K1926*C1926,1))</f>
        <v>0</v>
      </c>
      <c r="M1926" s="463" t="s">
        <v>2629</v>
      </c>
      <c r="N1926" s="451" t="s">
        <v>2630</v>
      </c>
      <c r="O1926" s="468" t="s">
        <v>2631</v>
      </c>
      <c r="P1926" s="468" t="s">
        <v>2354</v>
      </c>
      <c r="Z1926" s="433" t="str">
        <f ca="1">HYPERLINK("#"&amp;재료비목록표!G2&amp;"!A"&amp;ROW(재료비목록표!A8),"M00950 →")</f>
        <v>M00950 →</v>
      </c>
    </row>
    <row r="1927" spans="1:26" ht="33.200000000000003" customHeight="1">
      <c r="A1927" s="452" t="s">
        <v>1461</v>
      </c>
      <c r="B1927" s="452" t="s">
        <v>1462</v>
      </c>
      <c r="C1927" s="489">
        <v>1.2999999999999999E-2</v>
      </c>
      <c r="D1927" s="480" t="s">
        <v>8</v>
      </c>
      <c r="E1927" s="490">
        <f t="shared" si="314"/>
        <v>915052</v>
      </c>
      <c r="F1927" s="493">
        <f t="shared" si="314"/>
        <v>11895.6</v>
      </c>
      <c r="G1927" s="494">
        <f>일위대가목록표!F72</f>
        <v>915052</v>
      </c>
      <c r="H1927" s="498">
        <f>IF(C1927=0,0,ROUNDDOWN(G1927*C1927,1))</f>
        <v>11895.6</v>
      </c>
      <c r="I1927" s="494">
        <f>일위대가목록표!G72</f>
        <v>0</v>
      </c>
      <c r="J1927" s="498">
        <f>IF(C1927=0,0,ROUNDDOWN(I1927*C1927,1))</f>
        <v>0</v>
      </c>
      <c r="K1927" s="494">
        <f>일위대가목록표!H72</f>
        <v>0</v>
      </c>
      <c r="L1927" s="498">
        <f>IF(C1927=0,0,ROUNDDOWN(K1927*C1927,1))</f>
        <v>0</v>
      </c>
      <c r="M1927" s="463" t="s">
        <v>2471</v>
      </c>
      <c r="N1927" s="451" t="s">
        <v>2672</v>
      </c>
      <c r="O1927" s="468" t="s">
        <v>1465</v>
      </c>
      <c r="P1927" s="468" t="s">
        <v>2354</v>
      </c>
      <c r="Z1927" s="433" t="str">
        <f ca="1">HYPERLINK("#"&amp;일위대가목록표!J2&amp;"!A"&amp;ROW(일위대가목록표!A72),"B01822 →")</f>
        <v>B01822 →</v>
      </c>
    </row>
    <row r="1928" spans="1:26" ht="33.200000000000003" customHeight="1">
      <c r="A1928" s="452" t="s">
        <v>1532</v>
      </c>
      <c r="B1928" s="452" t="s">
        <v>1537</v>
      </c>
      <c r="C1928" s="489">
        <v>0.64800000000000002</v>
      </c>
      <c r="D1928" s="480" t="s">
        <v>595</v>
      </c>
      <c r="E1928" s="490">
        <f t="shared" si="314"/>
        <v>12642</v>
      </c>
      <c r="F1928" s="493">
        <f t="shared" si="314"/>
        <v>8191.7999999999993</v>
      </c>
      <c r="G1928" s="494">
        <f>일위대가목록표!F224</f>
        <v>11027</v>
      </c>
      <c r="H1928" s="498">
        <f>IF(C1928=0,0,ROUNDDOWN(G1928*C1928,1))</f>
        <v>7145.4</v>
      </c>
      <c r="I1928" s="494">
        <f>일위대가목록표!G224</f>
        <v>1395</v>
      </c>
      <c r="J1928" s="498">
        <f>IF(C1928=0,0,ROUNDDOWN(I1928*C1928,1))</f>
        <v>903.9</v>
      </c>
      <c r="K1928" s="494">
        <f>일위대가목록표!H224</f>
        <v>220</v>
      </c>
      <c r="L1928" s="498">
        <f>IF(C1928=0,0,ROUNDDOWN(K1928*C1928,1))</f>
        <v>142.5</v>
      </c>
      <c r="M1928" s="463" t="s">
        <v>2473</v>
      </c>
      <c r="N1928" s="451" t="s">
        <v>2674</v>
      </c>
      <c r="O1928" s="468" t="s">
        <v>1540</v>
      </c>
      <c r="P1928" s="468" t="s">
        <v>2354</v>
      </c>
      <c r="Z1928" s="433" t="str">
        <f ca="1">HYPERLINK("#"&amp;일위대가목록표!J2&amp;"!A"&amp;ROW(일위대가목록표!A224),"B01814 →")</f>
        <v>B01814 →</v>
      </c>
    </row>
    <row r="1929" spans="1:26" ht="33.200000000000003" customHeight="1">
      <c r="A1929" s="463" t="s">
        <v>842</v>
      </c>
      <c r="B1929" s="497"/>
      <c r="C1929" s="497"/>
      <c r="D1929" s="497"/>
      <c r="E1929" s="497"/>
      <c r="F1929" s="446">
        <f>J1929+H1929+L1929</f>
        <v>50116</v>
      </c>
      <c r="G1929" s="497"/>
      <c r="H1929" s="446">
        <f>ROUNDDOWN(SUMIF(P1925:P1928,O1929,H1925:H1928),0)</f>
        <v>22609</v>
      </c>
      <c r="I1929" s="497"/>
      <c r="J1929" s="446">
        <f>ROUNDDOWN(SUMIF(P1925:P1928,O1929,J1925:J1928),0)</f>
        <v>27365</v>
      </c>
      <c r="K1929" s="497"/>
      <c r="L1929" s="446">
        <f>ROUNDDOWN(SUMIF(P1925:P1928,O1929,L1925:L1928),0)</f>
        <v>142</v>
      </c>
      <c r="M1929" s="497"/>
      <c r="O1929" s="468" t="s">
        <v>2354</v>
      </c>
    </row>
    <row r="1930" spans="1:26" ht="33.200000000000003" customHeight="1">
      <c r="A1930" s="484" t="s">
        <v>3336</v>
      </c>
      <c r="B1930" s="484"/>
      <c r="C1930" s="485"/>
      <c r="D1930" s="485"/>
      <c r="E1930" s="485"/>
      <c r="F1930" s="485"/>
      <c r="G1930" s="485"/>
      <c r="H1930" s="485"/>
      <c r="I1930" s="485"/>
      <c r="J1930" s="485"/>
      <c r="K1930" s="485"/>
      <c r="L1930" s="485"/>
      <c r="M1930" s="485"/>
      <c r="N1930" s="486" t="str">
        <f>HYPERLINK("#N"&amp;ROW(N1935),"_x0005_`BDCOD|B02561_x0007_`POSS|"&amp;ROW(N1932)&amp;"_x0007_`POSE|"&amp;ROW(N1935)&amp;"_x0007_`")</f>
        <v>_x0005_`BDCOD|B02561_x0007_`POSS|1932_x0007_`POSE|1935_x0007_`</v>
      </c>
    </row>
    <row r="1931" spans="1:26" ht="33.200000000000003" customHeight="1">
      <c r="A1931" s="469" t="s">
        <v>1587</v>
      </c>
      <c r="B1931" s="469" t="s">
        <v>1601</v>
      </c>
      <c r="C1931" s="487"/>
      <c r="D1931" s="488" t="s">
        <v>1589</v>
      </c>
      <c r="E1931" s="487"/>
      <c r="F1931" s="487"/>
      <c r="G1931" s="487"/>
      <c r="H1931" s="487"/>
      <c r="I1931" s="487"/>
      <c r="J1931" s="487"/>
      <c r="K1931" s="487"/>
      <c r="L1931" s="487"/>
      <c r="M1931" s="488" t="s">
        <v>1602</v>
      </c>
      <c r="O1931" s="468" t="s">
        <v>1602</v>
      </c>
    </row>
    <row r="1932" spans="1:26" ht="33.200000000000003" customHeight="1">
      <c r="A1932" s="452" t="s">
        <v>1466</v>
      </c>
      <c r="B1932" s="452" t="s">
        <v>1467</v>
      </c>
      <c r="C1932" s="489">
        <v>2.8000000000000001E-2</v>
      </c>
      <c r="D1932" s="480" t="s">
        <v>8</v>
      </c>
      <c r="E1932" s="490">
        <f t="shared" ref="E1932:F1935" si="315">I1932+G1932+K1932</f>
        <v>274515</v>
      </c>
      <c r="F1932" s="493">
        <f t="shared" si="315"/>
        <v>7686.4</v>
      </c>
      <c r="G1932" s="494">
        <f>일위대가목록표!F73</f>
        <v>274515</v>
      </c>
      <c r="H1932" s="498">
        <f>IF(C1932=0,0,ROUNDDOWN(G1932*C1932,1))</f>
        <v>7686.4</v>
      </c>
      <c r="I1932" s="494">
        <f>일위대가목록표!G73</f>
        <v>0</v>
      </c>
      <c r="J1932" s="498">
        <f>IF(C1932=0,0,ROUNDDOWN(I1932*C1932,1))</f>
        <v>0</v>
      </c>
      <c r="K1932" s="494">
        <f>일위대가목록표!H73</f>
        <v>0</v>
      </c>
      <c r="L1932" s="498">
        <f>IF(C1932=0,0,ROUNDDOWN(K1932*C1932,1))</f>
        <v>0</v>
      </c>
      <c r="M1932" s="463" t="s">
        <v>2596</v>
      </c>
      <c r="N1932" s="451" t="s">
        <v>2671</v>
      </c>
      <c r="O1932" s="468" t="s">
        <v>1470</v>
      </c>
      <c r="P1932" s="468" t="s">
        <v>2354</v>
      </c>
      <c r="Z1932" s="433" t="str">
        <f ca="1">HYPERLINK("#"&amp;일위대가목록표!J2&amp;"!A"&amp;ROW(일위대가목록표!A73),"B02396 →")</f>
        <v>B02396 →</v>
      </c>
    </row>
    <row r="1933" spans="1:26" ht="33.200000000000003" customHeight="1">
      <c r="A1933" s="452" t="s">
        <v>2627</v>
      </c>
      <c r="B1933" s="452" t="s">
        <v>2628</v>
      </c>
      <c r="C1933" s="489">
        <v>9.3369999999999997</v>
      </c>
      <c r="D1933" s="480" t="s">
        <v>605</v>
      </c>
      <c r="E1933" s="490">
        <f t="shared" si="315"/>
        <v>6200</v>
      </c>
      <c r="F1933" s="491">
        <f t="shared" si="315"/>
        <v>57889.4</v>
      </c>
      <c r="G1933" s="492">
        <v>0</v>
      </c>
      <c r="H1933" s="493">
        <f>IF(C1933=0,0,ROUNDDOWN(G1933*C1933,1))</f>
        <v>0</v>
      </c>
      <c r="I1933" s="494">
        <f>재료비목록표!E8</f>
        <v>6200</v>
      </c>
      <c r="J1933" s="495">
        <f>IF(C1933=0,0,ROUNDDOWN(I1933*C1933,1))</f>
        <v>57889.4</v>
      </c>
      <c r="K1933" s="492">
        <v>0</v>
      </c>
      <c r="L1933" s="493">
        <f>IF(C1933=0,0,ROUNDDOWN(K1933*C1933,1))</f>
        <v>0</v>
      </c>
      <c r="M1933" s="463" t="s">
        <v>2629</v>
      </c>
      <c r="N1933" s="451" t="s">
        <v>2630</v>
      </c>
      <c r="O1933" s="468" t="s">
        <v>2631</v>
      </c>
      <c r="P1933" s="468" t="s">
        <v>2354</v>
      </c>
      <c r="Z1933" s="433" t="str">
        <f ca="1">HYPERLINK("#"&amp;재료비목록표!G2&amp;"!A"&amp;ROW(재료비목록표!A8),"M00950 →")</f>
        <v>M00950 →</v>
      </c>
    </row>
    <row r="1934" spans="1:26" ht="33.200000000000003" customHeight="1">
      <c r="A1934" s="452" t="s">
        <v>1461</v>
      </c>
      <c r="B1934" s="452" t="s">
        <v>1462</v>
      </c>
      <c r="C1934" s="489">
        <v>2.8000000000000001E-2</v>
      </c>
      <c r="D1934" s="480" t="s">
        <v>8</v>
      </c>
      <c r="E1934" s="490">
        <f t="shared" si="315"/>
        <v>915052</v>
      </c>
      <c r="F1934" s="493">
        <f t="shared" si="315"/>
        <v>25621.4</v>
      </c>
      <c r="G1934" s="494">
        <f>일위대가목록표!F72</f>
        <v>915052</v>
      </c>
      <c r="H1934" s="498">
        <f>IF(C1934=0,0,ROUNDDOWN(G1934*C1934,1))</f>
        <v>25621.4</v>
      </c>
      <c r="I1934" s="494">
        <f>일위대가목록표!G72</f>
        <v>0</v>
      </c>
      <c r="J1934" s="498">
        <f>IF(C1934=0,0,ROUNDDOWN(I1934*C1934,1))</f>
        <v>0</v>
      </c>
      <c r="K1934" s="494">
        <f>일위대가목록표!H72</f>
        <v>0</v>
      </c>
      <c r="L1934" s="498">
        <f>IF(C1934=0,0,ROUNDDOWN(K1934*C1934,1))</f>
        <v>0</v>
      </c>
      <c r="M1934" s="463" t="s">
        <v>2471</v>
      </c>
      <c r="N1934" s="451" t="s">
        <v>2672</v>
      </c>
      <c r="O1934" s="468" t="s">
        <v>1465</v>
      </c>
      <c r="P1934" s="468" t="s">
        <v>2354</v>
      </c>
      <c r="Z1934" s="433" t="str">
        <f ca="1">HYPERLINK("#"&amp;일위대가목록표!J2&amp;"!A"&amp;ROW(일위대가목록표!A72),"B01822 →")</f>
        <v>B01822 →</v>
      </c>
    </row>
    <row r="1935" spans="1:26" ht="33.200000000000003" customHeight="1">
      <c r="A1935" s="452" t="s">
        <v>1532</v>
      </c>
      <c r="B1935" s="452" t="s">
        <v>1537</v>
      </c>
      <c r="C1935" s="489">
        <v>1.0780000000000001</v>
      </c>
      <c r="D1935" s="480" t="s">
        <v>595</v>
      </c>
      <c r="E1935" s="490">
        <f t="shared" si="315"/>
        <v>12642</v>
      </c>
      <c r="F1935" s="493">
        <f t="shared" si="315"/>
        <v>13628</v>
      </c>
      <c r="G1935" s="494">
        <f>일위대가목록표!F224</f>
        <v>11027</v>
      </c>
      <c r="H1935" s="498">
        <f>IF(C1935=0,0,ROUNDDOWN(G1935*C1935,1))</f>
        <v>11887.1</v>
      </c>
      <c r="I1935" s="494">
        <f>일위대가목록표!G224</f>
        <v>1395</v>
      </c>
      <c r="J1935" s="498">
        <f>IF(C1935=0,0,ROUNDDOWN(I1935*C1935,1))</f>
        <v>1503.8</v>
      </c>
      <c r="K1935" s="494">
        <f>일위대가목록표!H224</f>
        <v>220</v>
      </c>
      <c r="L1935" s="498">
        <f>IF(C1935=0,0,ROUNDDOWN(K1935*C1935,1))</f>
        <v>237.1</v>
      </c>
      <c r="M1935" s="463" t="s">
        <v>2473</v>
      </c>
      <c r="N1935" s="451" t="s">
        <v>2674</v>
      </c>
      <c r="O1935" s="468" t="s">
        <v>1540</v>
      </c>
      <c r="P1935" s="468" t="s">
        <v>2354</v>
      </c>
      <c r="Z1935" s="433" t="str">
        <f ca="1">HYPERLINK("#"&amp;일위대가목록표!J2&amp;"!A"&amp;ROW(일위대가목록표!A224),"B01814 →")</f>
        <v>B01814 →</v>
      </c>
    </row>
    <row r="1936" spans="1:26" ht="33.200000000000003" customHeight="1">
      <c r="A1936" s="463" t="s">
        <v>842</v>
      </c>
      <c r="B1936" s="497"/>
      <c r="C1936" s="497"/>
      <c r="D1936" s="497"/>
      <c r="E1936" s="497"/>
      <c r="F1936" s="446">
        <f>J1936+H1936+L1936</f>
        <v>104824</v>
      </c>
      <c r="G1936" s="497"/>
      <c r="H1936" s="446">
        <f>ROUNDDOWN(SUMIF(P1932:P1935,O1936,H1932:H1935),0)</f>
        <v>45194</v>
      </c>
      <c r="I1936" s="497"/>
      <c r="J1936" s="446">
        <f>ROUNDDOWN(SUMIF(P1932:P1935,O1936,J1932:J1935),0)</f>
        <v>59393</v>
      </c>
      <c r="K1936" s="497"/>
      <c r="L1936" s="446">
        <f>ROUNDDOWN(SUMIF(P1932:P1935,O1936,L1932:L1935),0)</f>
        <v>237</v>
      </c>
      <c r="M1936" s="497"/>
      <c r="O1936" s="468" t="s">
        <v>2354</v>
      </c>
    </row>
    <row r="1937" spans="1:26" ht="33.200000000000003" customHeight="1">
      <c r="A1937" s="484" t="s">
        <v>3337</v>
      </c>
      <c r="B1937" s="484"/>
      <c r="C1937" s="485"/>
      <c r="D1937" s="485"/>
      <c r="E1937" s="485"/>
      <c r="F1937" s="485"/>
      <c r="G1937" s="485"/>
      <c r="H1937" s="485"/>
      <c r="I1937" s="485"/>
      <c r="J1937" s="485"/>
      <c r="K1937" s="485"/>
      <c r="L1937" s="485"/>
      <c r="M1937" s="485"/>
      <c r="N1937" s="486" t="str">
        <f>HYPERLINK("#N"&amp;ROW(N1942),"_x0005_`BDCOD|B02559_x0007_`POSS|"&amp;ROW(N1939)&amp;"_x0007_`POSE|"&amp;ROW(N1942)&amp;"_x0007_`")</f>
        <v>_x0005_`BDCOD|B02559_x0007_`POSS|1939_x0007_`POSE|1942_x0007_`</v>
      </c>
    </row>
    <row r="1938" spans="1:26" ht="33.200000000000003" customHeight="1">
      <c r="A1938" s="469" t="s">
        <v>1587</v>
      </c>
      <c r="B1938" s="469" t="s">
        <v>1588</v>
      </c>
      <c r="C1938" s="487"/>
      <c r="D1938" s="488" t="s">
        <v>1589</v>
      </c>
      <c r="E1938" s="487"/>
      <c r="F1938" s="487"/>
      <c r="G1938" s="487"/>
      <c r="H1938" s="487"/>
      <c r="I1938" s="487"/>
      <c r="J1938" s="487"/>
      <c r="K1938" s="487"/>
      <c r="L1938" s="487"/>
      <c r="M1938" s="488" t="s">
        <v>1590</v>
      </c>
      <c r="O1938" s="468" t="s">
        <v>1590</v>
      </c>
    </row>
    <row r="1939" spans="1:26" ht="33.200000000000003" customHeight="1">
      <c r="A1939" s="452" t="s">
        <v>1466</v>
      </c>
      <c r="B1939" s="452" t="s">
        <v>1467</v>
      </c>
      <c r="C1939" s="489">
        <v>3.0000000000000001E-3</v>
      </c>
      <c r="D1939" s="480" t="s">
        <v>8</v>
      </c>
      <c r="E1939" s="490">
        <f t="shared" ref="E1939:F1942" si="316">I1939+G1939+K1939</f>
        <v>274515</v>
      </c>
      <c r="F1939" s="493">
        <f t="shared" si="316"/>
        <v>823.5</v>
      </c>
      <c r="G1939" s="494">
        <f>일위대가목록표!F73</f>
        <v>274515</v>
      </c>
      <c r="H1939" s="498">
        <f>IF(C1939=0,0,ROUNDDOWN(G1939*C1939,1))</f>
        <v>823.5</v>
      </c>
      <c r="I1939" s="494">
        <f>일위대가목록표!G73</f>
        <v>0</v>
      </c>
      <c r="J1939" s="498">
        <f>IF(C1939=0,0,ROUNDDOWN(I1939*C1939,1))</f>
        <v>0</v>
      </c>
      <c r="K1939" s="494">
        <f>일위대가목록표!H73</f>
        <v>0</v>
      </c>
      <c r="L1939" s="498">
        <f>IF(C1939=0,0,ROUNDDOWN(K1939*C1939,1))</f>
        <v>0</v>
      </c>
      <c r="M1939" s="463" t="s">
        <v>2596</v>
      </c>
      <c r="N1939" s="451" t="s">
        <v>2671</v>
      </c>
      <c r="O1939" s="468" t="s">
        <v>1470</v>
      </c>
      <c r="P1939" s="468" t="s">
        <v>2354</v>
      </c>
      <c r="Z1939" s="433" t="str">
        <f ca="1">HYPERLINK("#"&amp;일위대가목록표!J2&amp;"!A"&amp;ROW(일위대가목록표!A73),"B02396 →")</f>
        <v>B02396 →</v>
      </c>
    </row>
    <row r="1940" spans="1:26" ht="33.200000000000003" customHeight="1">
      <c r="A1940" s="452" t="s">
        <v>2627</v>
      </c>
      <c r="B1940" s="452" t="s">
        <v>2628</v>
      </c>
      <c r="C1940" s="489">
        <v>1.0669999999999999</v>
      </c>
      <c r="D1940" s="480" t="s">
        <v>605</v>
      </c>
      <c r="E1940" s="490">
        <f t="shared" si="316"/>
        <v>6200</v>
      </c>
      <c r="F1940" s="491">
        <f t="shared" si="316"/>
        <v>6615.4</v>
      </c>
      <c r="G1940" s="492">
        <v>0</v>
      </c>
      <c r="H1940" s="493">
        <f>IF(C1940=0,0,ROUNDDOWN(G1940*C1940,1))</f>
        <v>0</v>
      </c>
      <c r="I1940" s="494">
        <f>재료비목록표!E8</f>
        <v>6200</v>
      </c>
      <c r="J1940" s="495">
        <f>IF(C1940=0,0,ROUNDDOWN(I1940*C1940,1))</f>
        <v>6615.4</v>
      </c>
      <c r="K1940" s="492">
        <v>0</v>
      </c>
      <c r="L1940" s="493">
        <f>IF(C1940=0,0,ROUNDDOWN(K1940*C1940,1))</f>
        <v>0</v>
      </c>
      <c r="M1940" s="463" t="s">
        <v>2629</v>
      </c>
      <c r="N1940" s="451" t="s">
        <v>2630</v>
      </c>
      <c r="O1940" s="468" t="s">
        <v>2631</v>
      </c>
      <c r="P1940" s="468" t="s">
        <v>2354</v>
      </c>
      <c r="Z1940" s="433" t="str">
        <f ca="1">HYPERLINK("#"&amp;재료비목록표!G2&amp;"!A"&amp;ROW(재료비목록표!A8),"M00950 →")</f>
        <v>M00950 →</v>
      </c>
    </row>
    <row r="1941" spans="1:26" ht="33.200000000000003" customHeight="1">
      <c r="A1941" s="452" t="s">
        <v>1461</v>
      </c>
      <c r="B1941" s="452" t="s">
        <v>1462</v>
      </c>
      <c r="C1941" s="489">
        <v>3.0000000000000001E-3</v>
      </c>
      <c r="D1941" s="480" t="s">
        <v>8</v>
      </c>
      <c r="E1941" s="490">
        <f t="shared" si="316"/>
        <v>915052</v>
      </c>
      <c r="F1941" s="493">
        <f t="shared" si="316"/>
        <v>2745.1</v>
      </c>
      <c r="G1941" s="494">
        <f>일위대가목록표!F72</f>
        <v>915052</v>
      </c>
      <c r="H1941" s="498">
        <f>IF(C1941=0,0,ROUNDDOWN(G1941*C1941,1))</f>
        <v>2745.1</v>
      </c>
      <c r="I1941" s="494">
        <f>일위대가목록표!G72</f>
        <v>0</v>
      </c>
      <c r="J1941" s="498">
        <f>IF(C1941=0,0,ROUNDDOWN(I1941*C1941,1))</f>
        <v>0</v>
      </c>
      <c r="K1941" s="494">
        <f>일위대가목록표!H72</f>
        <v>0</v>
      </c>
      <c r="L1941" s="498">
        <f>IF(C1941=0,0,ROUNDDOWN(K1941*C1941,1))</f>
        <v>0</v>
      </c>
      <c r="M1941" s="463" t="s">
        <v>2471</v>
      </c>
      <c r="N1941" s="451" t="s">
        <v>2672</v>
      </c>
      <c r="O1941" s="468" t="s">
        <v>1465</v>
      </c>
      <c r="P1941" s="468" t="s">
        <v>2354</v>
      </c>
      <c r="Z1941" s="433" t="str">
        <f ca="1">HYPERLINK("#"&amp;일위대가목록표!J2&amp;"!A"&amp;ROW(일위대가목록표!A72),"B01822 →")</f>
        <v>B01822 →</v>
      </c>
    </row>
    <row r="1942" spans="1:26" ht="33.200000000000003" customHeight="1">
      <c r="A1942" s="452" t="s">
        <v>1532</v>
      </c>
      <c r="B1942" s="452" t="s">
        <v>1537</v>
      </c>
      <c r="C1942" s="489">
        <v>0.33500000000000002</v>
      </c>
      <c r="D1942" s="480" t="s">
        <v>595</v>
      </c>
      <c r="E1942" s="490">
        <f t="shared" si="316"/>
        <v>12642</v>
      </c>
      <c r="F1942" s="493">
        <f t="shared" si="316"/>
        <v>4235</v>
      </c>
      <c r="G1942" s="494">
        <f>일위대가목록표!F224</f>
        <v>11027</v>
      </c>
      <c r="H1942" s="498">
        <f>IF(C1942=0,0,ROUNDDOWN(G1942*C1942,1))</f>
        <v>3694</v>
      </c>
      <c r="I1942" s="494">
        <f>일위대가목록표!G224</f>
        <v>1395</v>
      </c>
      <c r="J1942" s="498">
        <f>IF(C1942=0,0,ROUNDDOWN(I1942*C1942,1))</f>
        <v>467.3</v>
      </c>
      <c r="K1942" s="494">
        <f>일위대가목록표!H224</f>
        <v>220</v>
      </c>
      <c r="L1942" s="498">
        <f>IF(C1942=0,0,ROUNDDOWN(K1942*C1942,1))</f>
        <v>73.7</v>
      </c>
      <c r="M1942" s="463" t="s">
        <v>2473</v>
      </c>
      <c r="N1942" s="451" t="s">
        <v>2674</v>
      </c>
      <c r="O1942" s="468" t="s">
        <v>1540</v>
      </c>
      <c r="P1942" s="468" t="s">
        <v>2354</v>
      </c>
      <c r="Z1942" s="433" t="str">
        <f ca="1">HYPERLINK("#"&amp;일위대가목록표!J2&amp;"!A"&amp;ROW(일위대가목록표!A224),"B01814 →")</f>
        <v>B01814 →</v>
      </c>
    </row>
    <row r="1943" spans="1:26" ht="33.200000000000003" customHeight="1">
      <c r="A1943" s="463" t="s">
        <v>842</v>
      </c>
      <c r="B1943" s="497"/>
      <c r="C1943" s="497"/>
      <c r="D1943" s="497"/>
      <c r="E1943" s="497"/>
      <c r="F1943" s="446">
        <f>J1943+H1943+L1943</f>
        <v>14417</v>
      </c>
      <c r="G1943" s="497"/>
      <c r="H1943" s="446">
        <f>ROUNDDOWN(SUMIF(P1939:P1942,O1943,H1939:H1942),0)</f>
        <v>7262</v>
      </c>
      <c r="I1943" s="497"/>
      <c r="J1943" s="446">
        <f>ROUNDDOWN(SUMIF(P1939:P1942,O1943,J1939:J1942),0)</f>
        <v>7082</v>
      </c>
      <c r="K1943" s="497"/>
      <c r="L1943" s="446">
        <f>ROUNDDOWN(SUMIF(P1939:P1942,O1943,L1939:L1942),0)</f>
        <v>73</v>
      </c>
      <c r="M1943" s="497"/>
      <c r="O1943" s="468" t="s">
        <v>2354</v>
      </c>
    </row>
    <row r="1944" spans="1:26" ht="33.200000000000003" customHeight="1">
      <c r="A1944" s="484" t="s">
        <v>3338</v>
      </c>
      <c r="B1944" s="484"/>
      <c r="C1944" s="485"/>
      <c r="D1944" s="485"/>
      <c r="E1944" s="485"/>
      <c r="F1944" s="485"/>
      <c r="G1944" s="485"/>
      <c r="H1944" s="485"/>
      <c r="I1944" s="485"/>
      <c r="J1944" s="485"/>
      <c r="K1944" s="485"/>
      <c r="L1944" s="485"/>
      <c r="M1944" s="485"/>
      <c r="N1944" s="486" t="str">
        <f>HYPERLINK("#N"&amp;ROW(N1949),"_x0005_`BDCOD|B02558_x0007_`POSS|"&amp;ROW(N1946)&amp;"_x0007_`POSE|"&amp;ROW(N1949)&amp;"_x0007_`")</f>
        <v>_x0005_`BDCOD|B02558_x0007_`POSS|1946_x0007_`POSE|1949_x0007_`</v>
      </c>
    </row>
    <row r="1945" spans="1:26" ht="33.200000000000003" customHeight="1">
      <c r="A1945" s="469" t="s">
        <v>1587</v>
      </c>
      <c r="B1945" s="469" t="s">
        <v>1593</v>
      </c>
      <c r="C1945" s="487"/>
      <c r="D1945" s="488" t="s">
        <v>1589</v>
      </c>
      <c r="E1945" s="487"/>
      <c r="F1945" s="487"/>
      <c r="G1945" s="487"/>
      <c r="H1945" s="487"/>
      <c r="I1945" s="487"/>
      <c r="J1945" s="487"/>
      <c r="K1945" s="487"/>
      <c r="L1945" s="487"/>
      <c r="M1945" s="488" t="s">
        <v>1594</v>
      </c>
      <c r="O1945" s="468" t="s">
        <v>1594</v>
      </c>
    </row>
    <row r="1946" spans="1:26" ht="33.200000000000003" customHeight="1">
      <c r="A1946" s="452" t="s">
        <v>1466</v>
      </c>
      <c r="B1946" s="452" t="s">
        <v>1467</v>
      </c>
      <c r="C1946" s="489">
        <v>6.0000000000000001E-3</v>
      </c>
      <c r="D1946" s="480" t="s">
        <v>8</v>
      </c>
      <c r="E1946" s="490">
        <f t="shared" ref="E1946:F1949" si="317">I1946+G1946+K1946</f>
        <v>274515</v>
      </c>
      <c r="F1946" s="493">
        <f t="shared" si="317"/>
        <v>1647</v>
      </c>
      <c r="G1946" s="494">
        <f>일위대가목록표!F73</f>
        <v>274515</v>
      </c>
      <c r="H1946" s="498">
        <f>IF(C1946=0,0,ROUNDDOWN(G1946*C1946,1))</f>
        <v>1647</v>
      </c>
      <c r="I1946" s="494">
        <f>일위대가목록표!G73</f>
        <v>0</v>
      </c>
      <c r="J1946" s="498">
        <f>IF(C1946=0,0,ROUNDDOWN(I1946*C1946,1))</f>
        <v>0</v>
      </c>
      <c r="K1946" s="494">
        <f>일위대가목록표!H73</f>
        <v>0</v>
      </c>
      <c r="L1946" s="498">
        <f>IF(C1946=0,0,ROUNDDOWN(K1946*C1946,1))</f>
        <v>0</v>
      </c>
      <c r="M1946" s="463" t="s">
        <v>2596</v>
      </c>
      <c r="N1946" s="451" t="s">
        <v>2671</v>
      </c>
      <c r="O1946" s="468" t="s">
        <v>1470</v>
      </c>
      <c r="P1946" s="468" t="s">
        <v>2354</v>
      </c>
      <c r="Z1946" s="433" t="str">
        <f ca="1">HYPERLINK("#"&amp;일위대가목록표!J2&amp;"!A"&amp;ROW(일위대가목록표!A73),"B02396 →")</f>
        <v>B02396 →</v>
      </c>
    </row>
    <row r="1947" spans="1:26" ht="33.200000000000003" customHeight="1">
      <c r="A1947" s="452" t="s">
        <v>2627</v>
      </c>
      <c r="B1947" s="452" t="s">
        <v>2628</v>
      </c>
      <c r="C1947" s="489">
        <v>2.04</v>
      </c>
      <c r="D1947" s="480" t="s">
        <v>605</v>
      </c>
      <c r="E1947" s="490">
        <f t="shared" si="317"/>
        <v>6200</v>
      </c>
      <c r="F1947" s="491">
        <f t="shared" si="317"/>
        <v>12648</v>
      </c>
      <c r="G1947" s="492">
        <v>0</v>
      </c>
      <c r="H1947" s="493">
        <f>IF(C1947=0,0,ROUNDDOWN(G1947*C1947,1))</f>
        <v>0</v>
      </c>
      <c r="I1947" s="494">
        <f>재료비목록표!E8</f>
        <v>6200</v>
      </c>
      <c r="J1947" s="495">
        <f>IF(C1947=0,0,ROUNDDOWN(I1947*C1947,1))</f>
        <v>12648</v>
      </c>
      <c r="K1947" s="492">
        <v>0</v>
      </c>
      <c r="L1947" s="493">
        <f>IF(C1947=0,0,ROUNDDOWN(K1947*C1947,1))</f>
        <v>0</v>
      </c>
      <c r="M1947" s="463" t="s">
        <v>2629</v>
      </c>
      <c r="N1947" s="451" t="s">
        <v>2630</v>
      </c>
      <c r="O1947" s="468" t="s">
        <v>2631</v>
      </c>
      <c r="P1947" s="468" t="s">
        <v>2354</v>
      </c>
      <c r="Z1947" s="433" t="str">
        <f ca="1">HYPERLINK("#"&amp;재료비목록표!G2&amp;"!A"&amp;ROW(재료비목록표!A8),"M00950 →")</f>
        <v>M00950 →</v>
      </c>
    </row>
    <row r="1948" spans="1:26" ht="33.200000000000003" customHeight="1">
      <c r="A1948" s="452" t="s">
        <v>1461</v>
      </c>
      <c r="B1948" s="452" t="s">
        <v>1462</v>
      </c>
      <c r="C1948" s="489">
        <v>6.0000000000000001E-3</v>
      </c>
      <c r="D1948" s="480" t="s">
        <v>8</v>
      </c>
      <c r="E1948" s="490">
        <f t="shared" si="317"/>
        <v>915052</v>
      </c>
      <c r="F1948" s="493">
        <f t="shared" si="317"/>
        <v>5490.3</v>
      </c>
      <c r="G1948" s="494">
        <f>일위대가목록표!F72</f>
        <v>915052</v>
      </c>
      <c r="H1948" s="498">
        <f>IF(C1948=0,0,ROUNDDOWN(G1948*C1948,1))</f>
        <v>5490.3</v>
      </c>
      <c r="I1948" s="494">
        <f>일위대가목록표!G72</f>
        <v>0</v>
      </c>
      <c r="J1948" s="498">
        <f>IF(C1948=0,0,ROUNDDOWN(I1948*C1948,1))</f>
        <v>0</v>
      </c>
      <c r="K1948" s="494">
        <f>일위대가목록표!H72</f>
        <v>0</v>
      </c>
      <c r="L1948" s="498">
        <f>IF(C1948=0,0,ROUNDDOWN(K1948*C1948,1))</f>
        <v>0</v>
      </c>
      <c r="M1948" s="463" t="s">
        <v>2471</v>
      </c>
      <c r="N1948" s="451" t="s">
        <v>2672</v>
      </c>
      <c r="O1948" s="468" t="s">
        <v>1465</v>
      </c>
      <c r="P1948" s="468" t="s">
        <v>2354</v>
      </c>
      <c r="Z1948" s="433" t="str">
        <f ca="1">HYPERLINK("#"&amp;일위대가목록표!J2&amp;"!A"&amp;ROW(일위대가목록표!A72),"B01822 →")</f>
        <v>B01822 →</v>
      </c>
    </row>
    <row r="1949" spans="1:26" ht="33.200000000000003" customHeight="1">
      <c r="A1949" s="452" t="s">
        <v>1532</v>
      </c>
      <c r="B1949" s="452" t="s">
        <v>1537</v>
      </c>
      <c r="C1949" s="489">
        <v>0.48499999999999999</v>
      </c>
      <c r="D1949" s="480" t="s">
        <v>595</v>
      </c>
      <c r="E1949" s="490">
        <f t="shared" si="317"/>
        <v>12642</v>
      </c>
      <c r="F1949" s="493">
        <f t="shared" si="317"/>
        <v>6131.2</v>
      </c>
      <c r="G1949" s="494">
        <f>일위대가목록표!F224</f>
        <v>11027</v>
      </c>
      <c r="H1949" s="498">
        <f>IF(C1949=0,0,ROUNDDOWN(G1949*C1949,1))</f>
        <v>5348</v>
      </c>
      <c r="I1949" s="494">
        <f>일위대가목록표!G224</f>
        <v>1395</v>
      </c>
      <c r="J1949" s="498">
        <f>IF(C1949=0,0,ROUNDDOWN(I1949*C1949,1))</f>
        <v>676.5</v>
      </c>
      <c r="K1949" s="494">
        <f>일위대가목록표!H224</f>
        <v>220</v>
      </c>
      <c r="L1949" s="498">
        <f>IF(C1949=0,0,ROUNDDOWN(K1949*C1949,1))</f>
        <v>106.7</v>
      </c>
      <c r="M1949" s="463" t="s">
        <v>2473</v>
      </c>
      <c r="N1949" s="451" t="s">
        <v>2674</v>
      </c>
      <c r="O1949" s="468" t="s">
        <v>1540</v>
      </c>
      <c r="P1949" s="468" t="s">
        <v>2354</v>
      </c>
      <c r="Z1949" s="433" t="str">
        <f ca="1">HYPERLINK("#"&amp;일위대가목록표!J2&amp;"!A"&amp;ROW(일위대가목록표!A224),"B01814 →")</f>
        <v>B01814 →</v>
      </c>
    </row>
    <row r="1950" spans="1:26" ht="33.200000000000003" customHeight="1">
      <c r="A1950" s="463" t="s">
        <v>842</v>
      </c>
      <c r="B1950" s="497"/>
      <c r="C1950" s="497"/>
      <c r="D1950" s="497"/>
      <c r="E1950" s="497"/>
      <c r="F1950" s="446">
        <f>J1950+H1950+L1950</f>
        <v>25915</v>
      </c>
      <c r="G1950" s="497"/>
      <c r="H1950" s="446">
        <f>ROUNDDOWN(SUMIF(P1946:P1949,O1950,H1946:H1949),0)</f>
        <v>12485</v>
      </c>
      <c r="I1950" s="497"/>
      <c r="J1950" s="446">
        <f>ROUNDDOWN(SUMIF(P1946:P1949,O1950,J1946:J1949),0)</f>
        <v>13324</v>
      </c>
      <c r="K1950" s="497"/>
      <c r="L1950" s="446">
        <f>ROUNDDOWN(SUMIF(P1946:P1949,O1950,L1946:L1949),0)</f>
        <v>106</v>
      </c>
      <c r="M1950" s="497"/>
      <c r="O1950" s="468" t="s">
        <v>2354</v>
      </c>
    </row>
    <row r="1951" spans="1:26" ht="33.200000000000003" customHeight="1">
      <c r="A1951" s="484" t="s">
        <v>3339</v>
      </c>
      <c r="B1951" s="484"/>
      <c r="C1951" s="485"/>
      <c r="D1951" s="485"/>
      <c r="E1951" s="485"/>
      <c r="F1951" s="485"/>
      <c r="G1951" s="485"/>
      <c r="H1951" s="485"/>
      <c r="I1951" s="485"/>
      <c r="J1951" s="485"/>
      <c r="K1951" s="485"/>
      <c r="L1951" s="485"/>
      <c r="M1951" s="485"/>
      <c r="N1951" s="486" t="str">
        <f>HYPERLINK("#N"&amp;ROW(N1958),"_x0005_`BDCOD|B02556_x0007_`POSS|"&amp;ROW(N1953)&amp;"_x0007_`POSE|"&amp;ROW(N1958)&amp;"_x0007_`")</f>
        <v>_x0005_`BDCOD|B02556_x0007_`POSS|1953_x0007_`POSE|1958_x0007_`</v>
      </c>
    </row>
    <row r="1952" spans="1:26" ht="33.200000000000003" customHeight="1">
      <c r="A1952" s="469" t="s">
        <v>1582</v>
      </c>
      <c r="B1952" s="469" t="s">
        <v>1583</v>
      </c>
      <c r="C1952" s="487"/>
      <c r="D1952" s="488" t="s">
        <v>975</v>
      </c>
      <c r="E1952" s="487"/>
      <c r="F1952" s="487"/>
      <c r="G1952" s="487"/>
      <c r="H1952" s="487"/>
      <c r="I1952" s="487"/>
      <c r="J1952" s="487"/>
      <c r="K1952" s="487"/>
      <c r="L1952" s="487"/>
      <c r="M1952" s="488" t="s">
        <v>1584</v>
      </c>
      <c r="O1952" s="468" t="s">
        <v>1584</v>
      </c>
    </row>
    <row r="1953" spans="1:26" ht="33.200000000000003" customHeight="1">
      <c r="A1953" s="452" t="s">
        <v>2484</v>
      </c>
      <c r="B1953" s="452" t="s">
        <v>2485</v>
      </c>
      <c r="C1953" s="489">
        <v>7.4999999999999997E-2</v>
      </c>
      <c r="D1953" s="480" t="s">
        <v>8</v>
      </c>
      <c r="E1953" s="490">
        <f t="shared" ref="E1953:F1958" si="318">I1953+G1953+K1953</f>
        <v>62811</v>
      </c>
      <c r="F1953" s="493">
        <f t="shared" si="318"/>
        <v>4710.8</v>
      </c>
      <c r="G1953" s="494">
        <f>단가산출근거목록표!F157</f>
        <v>62811</v>
      </c>
      <c r="H1953" s="498">
        <f t="shared" ref="H1953:H1958" si="319">IF(C1953=0,0,ROUNDDOWN(G1953*C1953,1))</f>
        <v>4710.8</v>
      </c>
      <c r="I1953" s="494">
        <f>단가산출근거목록표!G157</f>
        <v>0</v>
      </c>
      <c r="J1953" s="498">
        <f t="shared" ref="J1953:J1958" si="320">IF(C1953=0,0,ROUNDDOWN(I1953*C1953,1))</f>
        <v>0</v>
      </c>
      <c r="K1953" s="494">
        <f>단가산출근거목록표!H157</f>
        <v>0</v>
      </c>
      <c r="L1953" s="498">
        <f t="shared" ref="L1953:L1958" si="321">IF(C1953=0,0,ROUNDDOWN(K1953*C1953,1))</f>
        <v>0</v>
      </c>
      <c r="M1953" s="463" t="s">
        <v>2486</v>
      </c>
      <c r="N1953" s="451" t="s">
        <v>2504</v>
      </c>
      <c r="O1953" s="468" t="s">
        <v>2488</v>
      </c>
      <c r="P1953" s="468" t="s">
        <v>2354</v>
      </c>
      <c r="Z1953" s="433" t="str">
        <f ca="1">HYPERLINK("#"&amp;단가산출근거목록표!J2&amp;"!A"&amp;ROW(단가산출근거목록표!A157),"D01241 →")</f>
        <v>D01241 →</v>
      </c>
    </row>
    <row r="1954" spans="1:26" ht="33.200000000000003" customHeight="1">
      <c r="A1954" s="452" t="s">
        <v>2321</v>
      </c>
      <c r="B1954" s="452" t="s">
        <v>2322</v>
      </c>
      <c r="C1954" s="489">
        <v>1.7999999999999999E-2</v>
      </c>
      <c r="D1954" s="480" t="s">
        <v>8</v>
      </c>
      <c r="E1954" s="490">
        <f t="shared" si="318"/>
        <v>34413</v>
      </c>
      <c r="F1954" s="493">
        <f t="shared" si="318"/>
        <v>619.4</v>
      </c>
      <c r="G1954" s="494">
        <f>일위대가목록표!F275</f>
        <v>34413</v>
      </c>
      <c r="H1954" s="498">
        <f t="shared" si="319"/>
        <v>619.4</v>
      </c>
      <c r="I1954" s="494">
        <f>일위대가목록표!G275</f>
        <v>0</v>
      </c>
      <c r="J1954" s="498">
        <f t="shared" si="320"/>
        <v>0</v>
      </c>
      <c r="K1954" s="494">
        <f>일위대가목록표!H275</f>
        <v>0</v>
      </c>
      <c r="L1954" s="498">
        <f t="shared" si="321"/>
        <v>0</v>
      </c>
      <c r="M1954" s="463" t="s">
        <v>2489</v>
      </c>
      <c r="N1954" s="451" t="s">
        <v>2538</v>
      </c>
      <c r="O1954" s="468" t="s">
        <v>2491</v>
      </c>
      <c r="P1954" s="468" t="s">
        <v>2354</v>
      </c>
      <c r="Z1954" s="433" t="str">
        <f ca="1">HYPERLINK("#"&amp;일위대가목록표!J2&amp;"!A"&amp;ROW(일위대가목록표!A275),"B01414 →")</f>
        <v>B01414 →</v>
      </c>
    </row>
    <row r="1955" spans="1:26" ht="33.200000000000003" customHeight="1">
      <c r="A1955" s="452" t="s">
        <v>2298</v>
      </c>
      <c r="B1955" s="452" t="s">
        <v>2299</v>
      </c>
      <c r="C1955" s="489">
        <v>5.7000000000000002E-2</v>
      </c>
      <c r="D1955" s="480" t="s">
        <v>8</v>
      </c>
      <c r="E1955" s="490">
        <f t="shared" si="318"/>
        <v>24089</v>
      </c>
      <c r="F1955" s="493">
        <f t="shared" si="318"/>
        <v>1373</v>
      </c>
      <c r="G1955" s="494">
        <f>일위대가목록표!F37</f>
        <v>24089</v>
      </c>
      <c r="H1955" s="498">
        <f t="shared" si="319"/>
        <v>1373</v>
      </c>
      <c r="I1955" s="494">
        <f>일위대가목록표!G37</f>
        <v>0</v>
      </c>
      <c r="J1955" s="498">
        <f t="shared" si="320"/>
        <v>0</v>
      </c>
      <c r="K1955" s="494">
        <f>일위대가목록표!H37</f>
        <v>0</v>
      </c>
      <c r="L1955" s="498">
        <f t="shared" si="321"/>
        <v>0</v>
      </c>
      <c r="M1955" s="463" t="s">
        <v>2492</v>
      </c>
      <c r="N1955" s="451" t="s">
        <v>2537</v>
      </c>
      <c r="O1955" s="468" t="s">
        <v>2494</v>
      </c>
      <c r="P1955" s="468" t="s">
        <v>2354</v>
      </c>
      <c r="Z1955" s="433" t="str">
        <f ca="1">HYPERLINK("#"&amp;일위대가목록표!J2&amp;"!A"&amp;ROW(일위대가목록표!A37),"B01447 →")</f>
        <v>B01447 →</v>
      </c>
    </row>
    <row r="1956" spans="1:26" ht="33.200000000000003" customHeight="1">
      <c r="A1956" s="452" t="s">
        <v>1793</v>
      </c>
      <c r="B1956" s="452" t="s">
        <v>1789</v>
      </c>
      <c r="C1956" s="489">
        <v>1.7999999999999999E-2</v>
      </c>
      <c r="D1956" s="480" t="s">
        <v>8</v>
      </c>
      <c r="E1956" s="490">
        <f t="shared" si="318"/>
        <v>233588</v>
      </c>
      <c r="F1956" s="493">
        <f t="shared" si="318"/>
        <v>4204.5</v>
      </c>
      <c r="G1956" s="494">
        <f>단가산출근거목록표!F152</f>
        <v>228399</v>
      </c>
      <c r="H1956" s="498">
        <f t="shared" si="319"/>
        <v>4111.1000000000004</v>
      </c>
      <c r="I1956" s="494">
        <f>단가산출근거목록표!G152</f>
        <v>0</v>
      </c>
      <c r="J1956" s="498">
        <f t="shared" si="320"/>
        <v>0</v>
      </c>
      <c r="K1956" s="494">
        <f>단가산출근거목록표!H152</f>
        <v>5189</v>
      </c>
      <c r="L1956" s="498">
        <f t="shared" si="321"/>
        <v>93.4</v>
      </c>
      <c r="M1956" s="463" t="s">
        <v>2594</v>
      </c>
      <c r="N1956" s="451" t="s">
        <v>2901</v>
      </c>
      <c r="O1956" s="468" t="s">
        <v>1796</v>
      </c>
      <c r="P1956" s="468" t="s">
        <v>2354</v>
      </c>
      <c r="Z1956" s="433" t="str">
        <f ca="1">HYPERLINK("#"&amp;단가산출근거목록표!J2&amp;"!A"&amp;ROW(단가산출근거목록표!A152),"D01242 →")</f>
        <v>D01242 →</v>
      </c>
    </row>
    <row r="1957" spans="1:26" ht="33.200000000000003" customHeight="1">
      <c r="A1957" s="452" t="s">
        <v>2342</v>
      </c>
      <c r="B1957" s="452" t="s">
        <v>2343</v>
      </c>
      <c r="C1957" s="489">
        <v>1.7999999999999999E-2</v>
      </c>
      <c r="D1957" s="480" t="s">
        <v>8</v>
      </c>
      <c r="E1957" s="490">
        <f t="shared" si="318"/>
        <v>477254</v>
      </c>
      <c r="F1957" s="493">
        <f t="shared" si="318"/>
        <v>8590.5</v>
      </c>
      <c r="G1957" s="494">
        <f>일위대가목록표!F330</f>
        <v>373604</v>
      </c>
      <c r="H1957" s="498">
        <f t="shared" si="319"/>
        <v>6724.8</v>
      </c>
      <c r="I1957" s="494">
        <f>일위대가목록표!G330</f>
        <v>103650</v>
      </c>
      <c r="J1957" s="498">
        <f t="shared" si="320"/>
        <v>1865.7</v>
      </c>
      <c r="K1957" s="494">
        <f>일위대가목록표!H330</f>
        <v>0</v>
      </c>
      <c r="L1957" s="498">
        <f t="shared" si="321"/>
        <v>0</v>
      </c>
      <c r="M1957" s="463" t="s">
        <v>2500</v>
      </c>
      <c r="N1957" s="451" t="s">
        <v>2910</v>
      </c>
      <c r="O1957" s="468" t="s">
        <v>2502</v>
      </c>
      <c r="P1957" s="468" t="s">
        <v>2354</v>
      </c>
      <c r="Z1957" s="433" t="str">
        <f ca="1">HYPERLINK("#"&amp;일위대가목록표!J2&amp;"!A"&amp;ROW(일위대가목록표!A330),"B01936 →")</f>
        <v>B01936 →</v>
      </c>
    </row>
    <row r="1958" spans="1:26" ht="33.200000000000003" customHeight="1">
      <c r="A1958" s="452" t="s">
        <v>2495</v>
      </c>
      <c r="B1958" s="452" t="s">
        <v>2496</v>
      </c>
      <c r="C1958" s="489">
        <v>0.24</v>
      </c>
      <c r="D1958" s="480" t="s">
        <v>595</v>
      </c>
      <c r="E1958" s="490">
        <f t="shared" si="318"/>
        <v>46533</v>
      </c>
      <c r="F1958" s="493">
        <f t="shared" si="318"/>
        <v>11167.8</v>
      </c>
      <c r="G1958" s="494">
        <f>단가산출근거목록표!F169</f>
        <v>34461</v>
      </c>
      <c r="H1958" s="498">
        <f t="shared" si="319"/>
        <v>8270.6</v>
      </c>
      <c r="I1958" s="494">
        <f>단가산출근거목록표!G169</f>
        <v>11728</v>
      </c>
      <c r="J1958" s="498">
        <f t="shared" si="320"/>
        <v>2814.7</v>
      </c>
      <c r="K1958" s="494">
        <f>단가산출근거목록표!H169</f>
        <v>344</v>
      </c>
      <c r="L1958" s="498">
        <f t="shared" si="321"/>
        <v>82.5</v>
      </c>
      <c r="M1958" s="463" t="s">
        <v>2497</v>
      </c>
      <c r="N1958" s="451" t="s">
        <v>2565</v>
      </c>
      <c r="O1958" s="468" t="s">
        <v>2499</v>
      </c>
      <c r="P1958" s="468" t="s">
        <v>2354</v>
      </c>
      <c r="Z1958" s="433" t="str">
        <f ca="1">HYPERLINK("#"&amp;단가산출근거목록표!J2&amp;"!A"&amp;ROW(단가산출근거목록표!A169),"D01231 →")</f>
        <v>D01231 →</v>
      </c>
    </row>
    <row r="1959" spans="1:26" ht="33.200000000000003" customHeight="1">
      <c r="A1959" s="463" t="s">
        <v>842</v>
      </c>
      <c r="B1959" s="497"/>
      <c r="C1959" s="497"/>
      <c r="D1959" s="497"/>
      <c r="E1959" s="497"/>
      <c r="F1959" s="446">
        <f>J1959+H1959+L1959</f>
        <v>30664</v>
      </c>
      <c r="G1959" s="497"/>
      <c r="H1959" s="446">
        <f>ROUNDDOWN(SUMIF(P1953:P1958,O1959,H1953:H1958),0)</f>
        <v>25809</v>
      </c>
      <c r="I1959" s="497"/>
      <c r="J1959" s="446">
        <f>ROUNDDOWN(SUMIF(P1953:P1958,O1959,J1953:J1958),0)</f>
        <v>4680</v>
      </c>
      <c r="K1959" s="497"/>
      <c r="L1959" s="446">
        <f>ROUNDDOWN(SUMIF(P1953:P1958,O1959,L1953:L1958),0)</f>
        <v>175</v>
      </c>
      <c r="M1959" s="497"/>
      <c r="O1959" s="468" t="s">
        <v>2354</v>
      </c>
    </row>
    <row r="1960" spans="1:26" ht="33.200000000000003" customHeight="1">
      <c r="A1960" s="484" t="s">
        <v>3340</v>
      </c>
      <c r="B1960" s="484"/>
      <c r="C1960" s="485"/>
      <c r="D1960" s="485"/>
      <c r="E1960" s="485"/>
      <c r="F1960" s="485"/>
      <c r="G1960" s="485"/>
      <c r="H1960" s="485"/>
      <c r="I1960" s="485"/>
      <c r="J1960" s="485"/>
      <c r="K1960" s="485"/>
      <c r="L1960" s="485"/>
      <c r="M1960" s="485"/>
      <c r="N1960" s="486" t="str">
        <f>HYPERLINK("#N"&amp;ROW(N1965),"_x0005_`BDCOD|B02654_x0007_`POSS|"&amp;ROW(N1962)&amp;"_x0007_`POSE|"&amp;ROW(N1965)&amp;"_x0007_`")</f>
        <v>_x0005_`BDCOD|B02654_x0007_`POSS|1962_x0007_`POSE|1965_x0007_`</v>
      </c>
    </row>
    <row r="1961" spans="1:26" ht="33.200000000000003" customHeight="1">
      <c r="A1961" s="469" t="s">
        <v>1712</v>
      </c>
      <c r="B1961" s="469" t="s">
        <v>1708</v>
      </c>
      <c r="C1961" s="487"/>
      <c r="D1961" s="488" t="s">
        <v>975</v>
      </c>
      <c r="E1961" s="487"/>
      <c r="F1961" s="487"/>
      <c r="G1961" s="487"/>
      <c r="H1961" s="487"/>
      <c r="I1961" s="487"/>
      <c r="J1961" s="487"/>
      <c r="K1961" s="487"/>
      <c r="L1961" s="487"/>
      <c r="M1961" s="488" t="s">
        <v>1713</v>
      </c>
      <c r="O1961" s="468" t="s">
        <v>1713</v>
      </c>
    </row>
    <row r="1962" spans="1:26" ht="33.200000000000003" customHeight="1">
      <c r="A1962" s="452" t="s">
        <v>2484</v>
      </c>
      <c r="B1962" s="452" t="s">
        <v>2485</v>
      </c>
      <c r="C1962" s="489">
        <v>0.18</v>
      </c>
      <c r="D1962" s="480" t="s">
        <v>8</v>
      </c>
      <c r="E1962" s="490">
        <f t="shared" ref="E1962:F1965" si="322">I1962+G1962+K1962</f>
        <v>62811</v>
      </c>
      <c r="F1962" s="493">
        <f t="shared" si="322"/>
        <v>11305.9</v>
      </c>
      <c r="G1962" s="494">
        <f>단가산출근거목록표!F157</f>
        <v>62811</v>
      </c>
      <c r="H1962" s="498">
        <f>IF(C1962=0,0,ROUNDDOWN(G1962*C1962,1))</f>
        <v>11305.9</v>
      </c>
      <c r="I1962" s="494">
        <f>단가산출근거목록표!G157</f>
        <v>0</v>
      </c>
      <c r="J1962" s="498">
        <f>IF(C1962=0,0,ROUNDDOWN(I1962*C1962,1))</f>
        <v>0</v>
      </c>
      <c r="K1962" s="494">
        <f>단가산출근거목록표!H157</f>
        <v>0</v>
      </c>
      <c r="L1962" s="498">
        <f>IF(C1962=0,0,ROUNDDOWN(K1962*C1962,1))</f>
        <v>0</v>
      </c>
      <c r="M1962" s="463" t="s">
        <v>2486</v>
      </c>
      <c r="N1962" s="451" t="s">
        <v>2504</v>
      </c>
      <c r="O1962" s="468" t="s">
        <v>2488</v>
      </c>
      <c r="P1962" s="468" t="s">
        <v>2354</v>
      </c>
      <c r="Z1962" s="433" t="str">
        <f ca="1">HYPERLINK("#"&amp;단가산출근거목록표!J2&amp;"!A"&amp;ROW(단가산출근거목록표!A157),"D01241 →")</f>
        <v>D01241 →</v>
      </c>
    </row>
    <row r="1963" spans="1:26" ht="33.200000000000003" customHeight="1">
      <c r="A1963" s="452" t="s">
        <v>1793</v>
      </c>
      <c r="B1963" s="452" t="s">
        <v>1789</v>
      </c>
      <c r="C1963" s="489">
        <v>6.3E-2</v>
      </c>
      <c r="D1963" s="480" t="s">
        <v>8</v>
      </c>
      <c r="E1963" s="490">
        <f t="shared" si="322"/>
        <v>233588</v>
      </c>
      <c r="F1963" s="493">
        <f t="shared" si="322"/>
        <v>14716</v>
      </c>
      <c r="G1963" s="494">
        <f>단가산출근거목록표!F152</f>
        <v>228399</v>
      </c>
      <c r="H1963" s="498">
        <f>IF(C1963=0,0,ROUNDDOWN(G1963*C1963,1))</f>
        <v>14389.1</v>
      </c>
      <c r="I1963" s="494">
        <f>단가산출근거목록표!G152</f>
        <v>0</v>
      </c>
      <c r="J1963" s="498">
        <f>IF(C1963=0,0,ROUNDDOWN(I1963*C1963,1))</f>
        <v>0</v>
      </c>
      <c r="K1963" s="494">
        <f>단가산출근거목록표!H152</f>
        <v>5189</v>
      </c>
      <c r="L1963" s="498">
        <f>IF(C1963=0,0,ROUNDDOWN(K1963*C1963,1))</f>
        <v>326.89999999999998</v>
      </c>
      <c r="M1963" s="463" t="s">
        <v>2594</v>
      </c>
      <c r="N1963" s="451" t="s">
        <v>2901</v>
      </c>
      <c r="O1963" s="468" t="s">
        <v>1796</v>
      </c>
      <c r="P1963" s="468" t="s">
        <v>2354</v>
      </c>
      <c r="Z1963" s="433" t="str">
        <f ca="1">HYPERLINK("#"&amp;단가산출근거목록표!J2&amp;"!A"&amp;ROW(단가산출근거목록표!A152),"D01242 →")</f>
        <v>D01242 →</v>
      </c>
    </row>
    <row r="1964" spans="1:26" ht="33.200000000000003" customHeight="1">
      <c r="A1964" s="452" t="s">
        <v>2298</v>
      </c>
      <c r="B1964" s="452" t="s">
        <v>2299</v>
      </c>
      <c r="C1964" s="489">
        <v>0.11700000000000001</v>
      </c>
      <c r="D1964" s="480" t="s">
        <v>8</v>
      </c>
      <c r="E1964" s="490">
        <f t="shared" si="322"/>
        <v>24089</v>
      </c>
      <c r="F1964" s="493">
        <f t="shared" si="322"/>
        <v>2818.4</v>
      </c>
      <c r="G1964" s="494">
        <f>일위대가목록표!F37</f>
        <v>24089</v>
      </c>
      <c r="H1964" s="498">
        <f>IF(C1964=0,0,ROUNDDOWN(G1964*C1964,1))</f>
        <v>2818.4</v>
      </c>
      <c r="I1964" s="494">
        <f>일위대가목록표!G37</f>
        <v>0</v>
      </c>
      <c r="J1964" s="498">
        <f>IF(C1964=0,0,ROUNDDOWN(I1964*C1964,1))</f>
        <v>0</v>
      </c>
      <c r="K1964" s="494">
        <f>일위대가목록표!H37</f>
        <v>0</v>
      </c>
      <c r="L1964" s="498">
        <f>IF(C1964=0,0,ROUNDDOWN(K1964*C1964,1))</f>
        <v>0</v>
      </c>
      <c r="M1964" s="463" t="s">
        <v>2492</v>
      </c>
      <c r="N1964" s="451" t="s">
        <v>2537</v>
      </c>
      <c r="O1964" s="468" t="s">
        <v>2494</v>
      </c>
      <c r="P1964" s="468" t="s">
        <v>2354</v>
      </c>
      <c r="Z1964" s="433" t="str">
        <f ca="1">HYPERLINK("#"&amp;일위대가목록표!J2&amp;"!A"&amp;ROW(일위대가목록표!A37),"B01447 →")</f>
        <v>B01447 →</v>
      </c>
    </row>
    <row r="1965" spans="1:26" ht="33.200000000000003" customHeight="1">
      <c r="A1965" s="452" t="s">
        <v>1466</v>
      </c>
      <c r="B1965" s="452" t="s">
        <v>1467</v>
      </c>
      <c r="C1965" s="489">
        <v>0.18</v>
      </c>
      <c r="D1965" s="480" t="s">
        <v>8</v>
      </c>
      <c r="E1965" s="490">
        <f t="shared" si="322"/>
        <v>274515</v>
      </c>
      <c r="F1965" s="493">
        <f t="shared" si="322"/>
        <v>49412.7</v>
      </c>
      <c r="G1965" s="494">
        <f>일위대가목록표!F73</f>
        <v>274515</v>
      </c>
      <c r="H1965" s="498">
        <f>IF(C1965=0,0,ROUNDDOWN(G1965*C1965,1))</f>
        <v>49412.7</v>
      </c>
      <c r="I1965" s="494">
        <f>일위대가목록표!G73</f>
        <v>0</v>
      </c>
      <c r="J1965" s="498">
        <f>IF(C1965=0,0,ROUNDDOWN(I1965*C1965,1))</f>
        <v>0</v>
      </c>
      <c r="K1965" s="494">
        <f>일위대가목록표!H73</f>
        <v>0</v>
      </c>
      <c r="L1965" s="498">
        <f>IF(C1965=0,0,ROUNDDOWN(K1965*C1965,1))</f>
        <v>0</v>
      </c>
      <c r="M1965" s="463" t="s">
        <v>2596</v>
      </c>
      <c r="N1965" s="451" t="s">
        <v>2597</v>
      </c>
      <c r="O1965" s="468" t="s">
        <v>1470</v>
      </c>
      <c r="P1965" s="468" t="s">
        <v>2354</v>
      </c>
      <c r="Q1965" s="468" t="s">
        <v>2355</v>
      </c>
      <c r="Z1965" s="433" t="str">
        <f ca="1">HYPERLINK("#"&amp;일위대가목록표!J2&amp;"!A"&amp;ROW(일위대가목록표!A73),"B02396 →")</f>
        <v>B02396 →</v>
      </c>
    </row>
    <row r="1966" spans="1:26" ht="33.200000000000003" customHeight="1">
      <c r="A1966" s="463" t="s">
        <v>842</v>
      </c>
      <c r="B1966" s="497"/>
      <c r="C1966" s="497"/>
      <c r="D1966" s="497"/>
      <c r="E1966" s="497"/>
      <c r="F1966" s="446">
        <f>J1966+H1966+L1966</f>
        <v>78252</v>
      </c>
      <c r="G1966" s="497"/>
      <c r="H1966" s="446">
        <f>ROUNDDOWN(SUMIF(P1962:P1965,O1966,H1962:H1965),0)</f>
        <v>77926</v>
      </c>
      <c r="I1966" s="497"/>
      <c r="J1966" s="446">
        <f>ROUNDDOWN(SUMIF(P1962:P1965,O1966,J1962:J1965),0)</f>
        <v>0</v>
      </c>
      <c r="K1966" s="497"/>
      <c r="L1966" s="446">
        <f>ROUNDDOWN(SUMIF(P1962:P1965,O1966,L1962:L1965),0)</f>
        <v>326</v>
      </c>
      <c r="M1966" s="497"/>
      <c r="O1966" s="468" t="s">
        <v>2354</v>
      </c>
    </row>
    <row r="1967" spans="1:26" ht="33.200000000000003" customHeight="1">
      <c r="A1967" s="484" t="s">
        <v>3341</v>
      </c>
      <c r="B1967" s="484"/>
      <c r="C1967" s="485"/>
      <c r="D1967" s="485"/>
      <c r="E1967" s="485"/>
      <c r="F1967" s="485"/>
      <c r="G1967" s="485"/>
      <c r="H1967" s="485"/>
      <c r="I1967" s="485"/>
      <c r="J1967" s="485"/>
      <c r="K1967" s="485"/>
      <c r="L1967" s="485"/>
      <c r="M1967" s="485"/>
      <c r="N1967" s="486" t="str">
        <f>HYPERLINK("#N"&amp;ROW(N1973),"_x0005_`BDCOD|B02878_x0007_`POSS|"&amp;ROW(N1969)&amp;"_x0007_`POSE|"&amp;ROW(N1973)&amp;"_x0007_`")</f>
        <v>_x0005_`BDCOD|B02878_x0007_`POSS|1969_x0007_`POSE|1973_x0007_`</v>
      </c>
    </row>
    <row r="1968" spans="1:26" ht="33.200000000000003" customHeight="1">
      <c r="A1968" s="469" t="s">
        <v>5248</v>
      </c>
      <c r="B1968" s="469" t="s">
        <v>1708</v>
      </c>
      <c r="C1968" s="487"/>
      <c r="D1968" s="488" t="s">
        <v>975</v>
      </c>
      <c r="E1968" s="487"/>
      <c r="F1968" s="487"/>
      <c r="G1968" s="487"/>
      <c r="H1968" s="487"/>
      <c r="I1968" s="487"/>
      <c r="J1968" s="487"/>
      <c r="K1968" s="487"/>
      <c r="L1968" s="487"/>
      <c r="M1968" s="488" t="s">
        <v>5249</v>
      </c>
      <c r="O1968" s="468" t="s">
        <v>5249</v>
      </c>
    </row>
    <row r="1969" spans="1:26" ht="33.200000000000003" customHeight="1">
      <c r="A1969" s="452" t="s">
        <v>2484</v>
      </c>
      <c r="B1969" s="452" t="s">
        <v>2485</v>
      </c>
      <c r="C1969" s="489">
        <v>0.18</v>
      </c>
      <c r="D1969" s="480" t="s">
        <v>8</v>
      </c>
      <c r="E1969" s="490">
        <f t="shared" ref="E1969:F1973" si="323">I1969+G1969+K1969</f>
        <v>62811</v>
      </c>
      <c r="F1969" s="493">
        <f t="shared" si="323"/>
        <v>11305.9</v>
      </c>
      <c r="G1969" s="494">
        <f>단가산출근거목록표!F157</f>
        <v>62811</v>
      </c>
      <c r="H1969" s="498">
        <f>IF(C1969=0,0,ROUNDDOWN(G1969*C1969,1))</f>
        <v>11305.9</v>
      </c>
      <c r="I1969" s="494">
        <f>단가산출근거목록표!G157</f>
        <v>0</v>
      </c>
      <c r="J1969" s="498">
        <f>IF(C1969=0,0,ROUNDDOWN(I1969*C1969,1))</f>
        <v>0</v>
      </c>
      <c r="K1969" s="494">
        <f>단가산출근거목록표!H157</f>
        <v>0</v>
      </c>
      <c r="L1969" s="498">
        <f>IF(C1969=0,0,ROUNDDOWN(K1969*C1969,1))</f>
        <v>0</v>
      </c>
      <c r="M1969" s="463" t="s">
        <v>2486</v>
      </c>
      <c r="N1969" s="451" t="s">
        <v>2487</v>
      </c>
      <c r="O1969" s="468" t="s">
        <v>2488</v>
      </c>
      <c r="P1969" s="468" t="s">
        <v>2354</v>
      </c>
      <c r="Q1969" s="468" t="s">
        <v>2355</v>
      </c>
      <c r="Z1969" s="433" t="str">
        <f ca="1">HYPERLINK("#"&amp;단가산출근거목록표!J2&amp;"!A"&amp;ROW(단가산출근거목록표!A157),"D01241 →")</f>
        <v>D01241 →</v>
      </c>
    </row>
    <row r="1970" spans="1:26" ht="33.200000000000003" customHeight="1">
      <c r="A1970" s="452" t="s">
        <v>1793</v>
      </c>
      <c r="B1970" s="452" t="s">
        <v>1789</v>
      </c>
      <c r="C1970" s="489">
        <v>6.3E-2</v>
      </c>
      <c r="D1970" s="480" t="s">
        <v>8</v>
      </c>
      <c r="E1970" s="490">
        <f t="shared" si="323"/>
        <v>233588</v>
      </c>
      <c r="F1970" s="493">
        <f t="shared" si="323"/>
        <v>14716</v>
      </c>
      <c r="G1970" s="494">
        <f>단가산출근거목록표!F152</f>
        <v>228399</v>
      </c>
      <c r="H1970" s="498">
        <f>IF(C1970=0,0,ROUNDDOWN(G1970*C1970,1))</f>
        <v>14389.1</v>
      </c>
      <c r="I1970" s="494">
        <f>단가산출근거목록표!G152</f>
        <v>0</v>
      </c>
      <c r="J1970" s="498">
        <f>IF(C1970=0,0,ROUNDDOWN(I1970*C1970,1))</f>
        <v>0</v>
      </c>
      <c r="K1970" s="494">
        <f>단가산출근거목록표!H152</f>
        <v>5189</v>
      </c>
      <c r="L1970" s="498">
        <f>IF(C1970=0,0,ROUNDDOWN(K1970*C1970,1))</f>
        <v>326.89999999999998</v>
      </c>
      <c r="M1970" s="463" t="s">
        <v>2594</v>
      </c>
      <c r="N1970" s="451" t="s">
        <v>2595</v>
      </c>
      <c r="O1970" s="468" t="s">
        <v>1796</v>
      </c>
      <c r="P1970" s="468" t="s">
        <v>2354</v>
      </c>
      <c r="Q1970" s="468" t="s">
        <v>2355</v>
      </c>
      <c r="Z1970" s="433" t="str">
        <f ca="1">HYPERLINK("#"&amp;단가산출근거목록표!J2&amp;"!A"&amp;ROW(단가산출근거목록표!A152),"D01242 →")</f>
        <v>D01242 →</v>
      </c>
    </row>
    <row r="1971" spans="1:26" ht="33.200000000000003" customHeight="1">
      <c r="A1971" s="452" t="s">
        <v>2298</v>
      </c>
      <c r="B1971" s="452" t="s">
        <v>2299</v>
      </c>
      <c r="C1971" s="489">
        <v>0.11700000000000001</v>
      </c>
      <c r="D1971" s="480" t="s">
        <v>8</v>
      </c>
      <c r="E1971" s="490">
        <f t="shared" si="323"/>
        <v>24089</v>
      </c>
      <c r="F1971" s="493">
        <f t="shared" si="323"/>
        <v>2818.4</v>
      </c>
      <c r="G1971" s="494">
        <f>일위대가목록표!F37</f>
        <v>24089</v>
      </c>
      <c r="H1971" s="498">
        <f>IF(C1971=0,0,ROUNDDOWN(G1971*C1971,1))</f>
        <v>2818.4</v>
      </c>
      <c r="I1971" s="494">
        <f>일위대가목록표!G37</f>
        <v>0</v>
      </c>
      <c r="J1971" s="498">
        <f>IF(C1971=0,0,ROUNDDOWN(I1971*C1971,1))</f>
        <v>0</v>
      </c>
      <c r="K1971" s="494">
        <f>일위대가목록표!H37</f>
        <v>0</v>
      </c>
      <c r="L1971" s="498">
        <f>IF(C1971=0,0,ROUNDDOWN(K1971*C1971,1))</f>
        <v>0</v>
      </c>
      <c r="M1971" s="463" t="s">
        <v>2492</v>
      </c>
      <c r="N1971" s="451" t="s">
        <v>2493</v>
      </c>
      <c r="O1971" s="468" t="s">
        <v>2494</v>
      </c>
      <c r="P1971" s="468" t="s">
        <v>2354</v>
      </c>
      <c r="Q1971" s="468" t="s">
        <v>2355</v>
      </c>
      <c r="Z1971" s="433" t="str">
        <f ca="1">HYPERLINK("#"&amp;일위대가목록표!J2&amp;"!A"&amp;ROW(일위대가목록표!A37),"B01447 →")</f>
        <v>B01447 →</v>
      </c>
    </row>
    <row r="1972" spans="1:26" ht="33.200000000000003" customHeight="1">
      <c r="A1972" s="452" t="s">
        <v>1466</v>
      </c>
      <c r="B1972" s="452" t="s">
        <v>1467</v>
      </c>
      <c r="C1972" s="489">
        <v>0.18</v>
      </c>
      <c r="D1972" s="480" t="s">
        <v>8</v>
      </c>
      <c r="E1972" s="490">
        <f t="shared" si="323"/>
        <v>274515</v>
      </c>
      <c r="F1972" s="493">
        <f t="shared" si="323"/>
        <v>49412.7</v>
      </c>
      <c r="G1972" s="494">
        <f>일위대가목록표!F73</f>
        <v>274515</v>
      </c>
      <c r="H1972" s="498">
        <f>IF(C1972=0,0,ROUNDDOWN(G1972*C1972,1))</f>
        <v>49412.7</v>
      </c>
      <c r="I1972" s="494">
        <f>일위대가목록표!G73</f>
        <v>0</v>
      </c>
      <c r="J1972" s="498">
        <f>IF(C1972=0,0,ROUNDDOWN(I1972*C1972,1))</f>
        <v>0</v>
      </c>
      <c r="K1972" s="494">
        <f>일위대가목록표!H73</f>
        <v>0</v>
      </c>
      <c r="L1972" s="498">
        <f>IF(C1972=0,0,ROUNDDOWN(K1972*C1972,1))</f>
        <v>0</v>
      </c>
      <c r="M1972" s="463" t="s">
        <v>2596</v>
      </c>
      <c r="N1972" s="451" t="s">
        <v>2597</v>
      </c>
      <c r="O1972" s="468" t="s">
        <v>1470</v>
      </c>
      <c r="P1972" s="468" t="s">
        <v>2354</v>
      </c>
      <c r="Q1972" s="468" t="s">
        <v>2355</v>
      </c>
      <c r="Z1972" s="433" t="str">
        <f ca="1">HYPERLINK("#"&amp;일위대가목록표!J2&amp;"!A"&amp;ROW(일위대가목록표!A73),"B02396 →")</f>
        <v>B02396 →</v>
      </c>
    </row>
    <row r="1973" spans="1:26" ht="33.200000000000003" customHeight="1">
      <c r="A1973" s="452" t="s">
        <v>2507</v>
      </c>
      <c r="B1973" s="452" t="s">
        <v>2441</v>
      </c>
      <c r="C1973" s="489">
        <v>15</v>
      </c>
      <c r="D1973" s="480" t="s">
        <v>2371</v>
      </c>
      <c r="E1973" s="490">
        <f t="shared" si="323"/>
        <v>77926.100000000006</v>
      </c>
      <c r="F1973" s="491">
        <f t="shared" si="323"/>
        <v>11688.9</v>
      </c>
      <c r="G1973" s="496">
        <f>H1969+H1970+H1971+H1972</f>
        <v>77926.100000000006</v>
      </c>
      <c r="H1973" s="491">
        <f>IF(C1973=0,0,ROUNDDOWN(G1973*C1973/100,1))</f>
        <v>11688.9</v>
      </c>
      <c r="I1973" s="465">
        <v>0</v>
      </c>
      <c r="J1973" s="493">
        <f>IF(C1973=0,0,ROUNDDOWN(I1973*C1973/100,1))</f>
        <v>0</v>
      </c>
      <c r="K1973" s="467">
        <v>0</v>
      </c>
      <c r="L1973" s="493">
        <f>IF(C1973=0,0,ROUNDDOWN(K1973*C1973/100,1))</f>
        <v>0</v>
      </c>
      <c r="M1973" s="463"/>
      <c r="N1973" s="451" t="s">
        <v>2508</v>
      </c>
      <c r="O1973" s="468" t="s">
        <v>2373</v>
      </c>
      <c r="P1973" s="468" t="s">
        <v>2354</v>
      </c>
    </row>
    <row r="1974" spans="1:26" ht="33.200000000000003" customHeight="1">
      <c r="A1974" s="463" t="s">
        <v>842</v>
      </c>
      <c r="B1974" s="497"/>
      <c r="C1974" s="497"/>
      <c r="D1974" s="497"/>
      <c r="E1974" s="497"/>
      <c r="F1974" s="446">
        <f>J1974+H1974+L1974</f>
        <v>89941</v>
      </c>
      <c r="G1974" s="497"/>
      <c r="H1974" s="446">
        <f>ROUNDDOWN(SUMIF(P1969:P1973,O1974,H1969:H1973),0)</f>
        <v>89615</v>
      </c>
      <c r="I1974" s="497"/>
      <c r="J1974" s="446">
        <f>ROUNDDOWN(SUMIF(P1969:P1973,O1974,J1969:J1973),0)</f>
        <v>0</v>
      </c>
      <c r="K1974" s="497"/>
      <c r="L1974" s="446">
        <f>ROUNDDOWN(SUMIF(P1969:P1973,O1974,L1969:L1973),0)</f>
        <v>326</v>
      </c>
      <c r="M1974" s="497"/>
      <c r="O1974" s="468" t="s">
        <v>2354</v>
      </c>
    </row>
    <row r="1975" spans="1:26" ht="33.200000000000003" customHeight="1">
      <c r="A1975" s="484" t="s">
        <v>3342</v>
      </c>
      <c r="B1975" s="484"/>
      <c r="C1975" s="485"/>
      <c r="D1975" s="485"/>
      <c r="E1975" s="485"/>
      <c r="F1975" s="485"/>
      <c r="G1975" s="485"/>
      <c r="H1975" s="485"/>
      <c r="I1975" s="485"/>
      <c r="J1975" s="485"/>
      <c r="K1975" s="485"/>
      <c r="L1975" s="485"/>
      <c r="M1975" s="485"/>
      <c r="N1975" s="486" t="str">
        <f>HYPERLINK("#N"&amp;ROW(N1981),"_x0005_`BDCOD|B02656_x0007_`POSS|"&amp;ROW(N1977)&amp;"_x0007_`POSE|"&amp;ROW(N1981)&amp;"_x0007_`")</f>
        <v>_x0005_`BDCOD|B02656_x0007_`POSS|1977_x0007_`POSE|1981_x0007_`</v>
      </c>
    </row>
    <row r="1976" spans="1:26" ht="33.200000000000003" customHeight="1">
      <c r="A1976" s="469" t="s">
        <v>5252</v>
      </c>
      <c r="B1976" s="469" t="s">
        <v>1708</v>
      </c>
      <c r="C1976" s="487"/>
      <c r="D1976" s="488" t="s">
        <v>975</v>
      </c>
      <c r="E1976" s="487"/>
      <c r="F1976" s="487"/>
      <c r="G1976" s="487"/>
      <c r="H1976" s="487"/>
      <c r="I1976" s="487"/>
      <c r="J1976" s="487"/>
      <c r="K1976" s="487"/>
      <c r="L1976" s="487"/>
      <c r="M1976" s="488" t="s">
        <v>1709</v>
      </c>
      <c r="O1976" s="468" t="s">
        <v>1709</v>
      </c>
    </row>
    <row r="1977" spans="1:26" ht="33.200000000000003" customHeight="1">
      <c r="A1977" s="452" t="s">
        <v>2484</v>
      </c>
      <c r="B1977" s="452" t="s">
        <v>2485</v>
      </c>
      <c r="C1977" s="489">
        <v>0.18</v>
      </c>
      <c r="D1977" s="480" t="s">
        <v>8</v>
      </c>
      <c r="E1977" s="490">
        <f t="shared" ref="E1977:F1981" si="324">I1977+G1977+K1977</f>
        <v>62811</v>
      </c>
      <c r="F1977" s="493">
        <f t="shared" si="324"/>
        <v>11305.9</v>
      </c>
      <c r="G1977" s="494">
        <f>단가산출근거목록표!F157</f>
        <v>62811</v>
      </c>
      <c r="H1977" s="498">
        <f>IF(C1977=0,0,ROUNDDOWN(G1977*C1977,1))</f>
        <v>11305.9</v>
      </c>
      <c r="I1977" s="494">
        <f>단가산출근거목록표!G157</f>
        <v>0</v>
      </c>
      <c r="J1977" s="498">
        <f>IF(C1977=0,0,ROUNDDOWN(I1977*C1977,1))</f>
        <v>0</v>
      </c>
      <c r="K1977" s="494">
        <f>단가산출근거목록표!H157</f>
        <v>0</v>
      </c>
      <c r="L1977" s="498">
        <f>IF(C1977=0,0,ROUNDDOWN(K1977*C1977,1))</f>
        <v>0</v>
      </c>
      <c r="M1977" s="463" t="s">
        <v>2486</v>
      </c>
      <c r="N1977" s="451" t="s">
        <v>2487</v>
      </c>
      <c r="O1977" s="468" t="s">
        <v>2488</v>
      </c>
      <c r="P1977" s="468" t="s">
        <v>2354</v>
      </c>
      <c r="Q1977" s="468" t="s">
        <v>2355</v>
      </c>
      <c r="Z1977" s="433" t="str">
        <f ca="1">HYPERLINK("#"&amp;단가산출근거목록표!J2&amp;"!A"&amp;ROW(단가산출근거목록표!A157),"D01241 →")</f>
        <v>D01241 →</v>
      </c>
    </row>
    <row r="1978" spans="1:26" ht="33.200000000000003" customHeight="1">
      <c r="A1978" s="452" t="s">
        <v>1793</v>
      </c>
      <c r="B1978" s="452" t="s">
        <v>1789</v>
      </c>
      <c r="C1978" s="489">
        <v>6.3E-2</v>
      </c>
      <c r="D1978" s="480" t="s">
        <v>8</v>
      </c>
      <c r="E1978" s="490">
        <f t="shared" si="324"/>
        <v>233588</v>
      </c>
      <c r="F1978" s="493">
        <f t="shared" si="324"/>
        <v>14716</v>
      </c>
      <c r="G1978" s="494">
        <f>단가산출근거목록표!F152</f>
        <v>228399</v>
      </c>
      <c r="H1978" s="498">
        <f>IF(C1978=0,0,ROUNDDOWN(G1978*C1978,1))</f>
        <v>14389.1</v>
      </c>
      <c r="I1978" s="494">
        <f>단가산출근거목록표!G152</f>
        <v>0</v>
      </c>
      <c r="J1978" s="498">
        <f>IF(C1978=0,0,ROUNDDOWN(I1978*C1978,1))</f>
        <v>0</v>
      </c>
      <c r="K1978" s="494">
        <f>단가산출근거목록표!H152</f>
        <v>5189</v>
      </c>
      <c r="L1978" s="498">
        <f>IF(C1978=0,0,ROUNDDOWN(K1978*C1978,1))</f>
        <v>326.89999999999998</v>
      </c>
      <c r="M1978" s="463" t="s">
        <v>2594</v>
      </c>
      <c r="N1978" s="451" t="s">
        <v>2595</v>
      </c>
      <c r="O1978" s="468" t="s">
        <v>1796</v>
      </c>
      <c r="P1978" s="468" t="s">
        <v>2354</v>
      </c>
      <c r="Q1978" s="468" t="s">
        <v>2355</v>
      </c>
      <c r="Z1978" s="433" t="str">
        <f ca="1">HYPERLINK("#"&amp;단가산출근거목록표!J2&amp;"!A"&amp;ROW(단가산출근거목록표!A152),"D01242 →")</f>
        <v>D01242 →</v>
      </c>
    </row>
    <row r="1979" spans="1:26" ht="33.200000000000003" customHeight="1">
      <c r="A1979" s="452" t="s">
        <v>2298</v>
      </c>
      <c r="B1979" s="452" t="s">
        <v>2299</v>
      </c>
      <c r="C1979" s="489">
        <v>0.11700000000000001</v>
      </c>
      <c r="D1979" s="480" t="s">
        <v>8</v>
      </c>
      <c r="E1979" s="490">
        <f t="shared" si="324"/>
        <v>24089</v>
      </c>
      <c r="F1979" s="493">
        <f t="shared" si="324"/>
        <v>2818.4</v>
      </c>
      <c r="G1979" s="494">
        <f>일위대가목록표!F37</f>
        <v>24089</v>
      </c>
      <c r="H1979" s="498">
        <f>IF(C1979=0,0,ROUNDDOWN(G1979*C1979,1))</f>
        <v>2818.4</v>
      </c>
      <c r="I1979" s="494">
        <f>일위대가목록표!G37</f>
        <v>0</v>
      </c>
      <c r="J1979" s="498">
        <f>IF(C1979=0,0,ROUNDDOWN(I1979*C1979,1))</f>
        <v>0</v>
      </c>
      <c r="K1979" s="494">
        <f>일위대가목록표!H37</f>
        <v>0</v>
      </c>
      <c r="L1979" s="498">
        <f>IF(C1979=0,0,ROUNDDOWN(K1979*C1979,1))</f>
        <v>0</v>
      </c>
      <c r="M1979" s="463" t="s">
        <v>2492</v>
      </c>
      <c r="N1979" s="451" t="s">
        <v>2493</v>
      </c>
      <c r="O1979" s="468" t="s">
        <v>2494</v>
      </c>
      <c r="P1979" s="468" t="s">
        <v>2354</v>
      </c>
      <c r="Q1979" s="468" t="s">
        <v>2355</v>
      </c>
      <c r="Z1979" s="433" t="str">
        <f ca="1">HYPERLINK("#"&amp;일위대가목록표!J2&amp;"!A"&amp;ROW(일위대가목록표!A37),"B01447 →")</f>
        <v>B01447 →</v>
      </c>
    </row>
    <row r="1980" spans="1:26" ht="33.200000000000003" customHeight="1">
      <c r="A1980" s="452" t="s">
        <v>1466</v>
      </c>
      <c r="B1980" s="452" t="s">
        <v>1467</v>
      </c>
      <c r="C1980" s="489">
        <v>0.18</v>
      </c>
      <c r="D1980" s="480" t="s">
        <v>8</v>
      </c>
      <c r="E1980" s="490">
        <f t="shared" si="324"/>
        <v>274515</v>
      </c>
      <c r="F1980" s="493">
        <f t="shared" si="324"/>
        <v>49412.7</v>
      </c>
      <c r="G1980" s="494">
        <f>일위대가목록표!F73</f>
        <v>274515</v>
      </c>
      <c r="H1980" s="498">
        <f>IF(C1980=0,0,ROUNDDOWN(G1980*C1980,1))</f>
        <v>49412.7</v>
      </c>
      <c r="I1980" s="494">
        <f>일위대가목록표!G73</f>
        <v>0</v>
      </c>
      <c r="J1980" s="498">
        <f>IF(C1980=0,0,ROUNDDOWN(I1980*C1980,1))</f>
        <v>0</v>
      </c>
      <c r="K1980" s="494">
        <f>일위대가목록표!H73</f>
        <v>0</v>
      </c>
      <c r="L1980" s="498">
        <f>IF(C1980=0,0,ROUNDDOWN(K1980*C1980,1))</f>
        <v>0</v>
      </c>
      <c r="M1980" s="463" t="s">
        <v>2596</v>
      </c>
      <c r="N1980" s="451" t="s">
        <v>2597</v>
      </c>
      <c r="O1980" s="468" t="s">
        <v>1470</v>
      </c>
      <c r="P1980" s="468" t="s">
        <v>2354</v>
      </c>
      <c r="Q1980" s="468" t="s">
        <v>2355</v>
      </c>
      <c r="Z1980" s="433" t="str">
        <f ca="1">HYPERLINK("#"&amp;일위대가목록표!J2&amp;"!A"&amp;ROW(일위대가목록표!A73),"B02396 →")</f>
        <v>B02396 →</v>
      </c>
    </row>
    <row r="1981" spans="1:26" ht="33.200000000000003" customHeight="1">
      <c r="A1981" s="452" t="s">
        <v>2507</v>
      </c>
      <c r="B1981" s="452" t="s">
        <v>2441</v>
      </c>
      <c r="C1981" s="489">
        <v>25</v>
      </c>
      <c r="D1981" s="480" t="s">
        <v>2371</v>
      </c>
      <c r="E1981" s="490">
        <f t="shared" si="324"/>
        <v>77926.100000000006</v>
      </c>
      <c r="F1981" s="491">
        <f t="shared" si="324"/>
        <v>19481.5</v>
      </c>
      <c r="G1981" s="496">
        <f>H1977+H1978+H1979+H1980</f>
        <v>77926.100000000006</v>
      </c>
      <c r="H1981" s="491">
        <f>IF(C1981=0,0,ROUNDDOWN(G1981*C1981/100,1))</f>
        <v>19481.5</v>
      </c>
      <c r="I1981" s="465">
        <v>0</v>
      </c>
      <c r="J1981" s="493">
        <f>IF(C1981=0,0,ROUNDDOWN(I1981*C1981/100,1))</f>
        <v>0</v>
      </c>
      <c r="K1981" s="467">
        <v>0</v>
      </c>
      <c r="L1981" s="493">
        <f>IF(C1981=0,0,ROUNDDOWN(K1981*C1981/100,1))</f>
        <v>0</v>
      </c>
      <c r="M1981" s="463"/>
      <c r="N1981" s="451" t="s">
        <v>2508</v>
      </c>
      <c r="O1981" s="468" t="s">
        <v>2373</v>
      </c>
      <c r="P1981" s="468" t="s">
        <v>2354</v>
      </c>
    </row>
    <row r="1982" spans="1:26" ht="33.200000000000003" customHeight="1">
      <c r="A1982" s="463" t="s">
        <v>842</v>
      </c>
      <c r="B1982" s="497"/>
      <c r="C1982" s="497"/>
      <c r="D1982" s="497"/>
      <c r="E1982" s="497"/>
      <c r="F1982" s="446">
        <f>J1982+H1982+L1982</f>
        <v>97733</v>
      </c>
      <c r="G1982" s="497"/>
      <c r="H1982" s="446">
        <f>ROUNDDOWN(SUMIF(P1977:P1981,O1982,H1977:H1981),0)</f>
        <v>97407</v>
      </c>
      <c r="I1982" s="497"/>
      <c r="J1982" s="446">
        <f>ROUNDDOWN(SUMIF(P1977:P1981,O1982,J1977:J1981),0)</f>
        <v>0</v>
      </c>
      <c r="K1982" s="497"/>
      <c r="L1982" s="446">
        <f>ROUNDDOWN(SUMIF(P1977:P1981,O1982,L1977:L1981),0)</f>
        <v>326</v>
      </c>
      <c r="M1982" s="497"/>
      <c r="O1982" s="468" t="s">
        <v>2354</v>
      </c>
    </row>
    <row r="1983" spans="1:26" ht="33.200000000000003" customHeight="1">
      <c r="A1983" s="484" t="s">
        <v>5506</v>
      </c>
      <c r="B1983" s="484"/>
      <c r="C1983" s="485"/>
      <c r="D1983" s="485"/>
      <c r="E1983" s="485"/>
      <c r="F1983" s="485"/>
      <c r="G1983" s="485"/>
      <c r="H1983" s="485"/>
      <c r="I1983" s="485"/>
      <c r="J1983" s="485"/>
      <c r="K1983" s="485"/>
      <c r="L1983" s="485"/>
      <c r="M1983" s="485"/>
      <c r="N1983" s="486" t="str">
        <f>HYPERLINK("#N"&amp;ROW(N1985),"_x0005_`BDCOD|B02658_x0007_`POSS|"&amp;ROW(N1985)&amp;"_x0007_`POSE|"&amp;ROW(N1985)&amp;"_x0007_`")</f>
        <v>_x0005_`BDCOD|B02658_x0007_`POSS|1985_x0007_`POSE|1985_x0007_`</v>
      </c>
    </row>
    <row r="1984" spans="1:26" ht="33.200000000000003" customHeight="1">
      <c r="A1984" s="469" t="s">
        <v>1399</v>
      </c>
      <c r="B1984" s="469" t="s">
        <v>1400</v>
      </c>
      <c r="C1984" s="487"/>
      <c r="D1984" s="488" t="s">
        <v>975</v>
      </c>
      <c r="E1984" s="487"/>
      <c r="F1984" s="487"/>
      <c r="G1984" s="487"/>
      <c r="H1984" s="487"/>
      <c r="I1984" s="487"/>
      <c r="J1984" s="487"/>
      <c r="K1984" s="487"/>
      <c r="L1984" s="487"/>
      <c r="M1984" s="488" t="s">
        <v>1401</v>
      </c>
      <c r="O1984" s="468" t="s">
        <v>1401</v>
      </c>
    </row>
    <row r="1985" spans="1:26" ht="33.200000000000003" customHeight="1">
      <c r="A1985" s="452" t="s">
        <v>1399</v>
      </c>
      <c r="B1985" s="452" t="s">
        <v>3117</v>
      </c>
      <c r="C1985" s="489">
        <v>1</v>
      </c>
      <c r="D1985" s="480" t="s">
        <v>1589</v>
      </c>
      <c r="E1985" s="490">
        <f>I1985+G1985+K1985</f>
        <v>4600000</v>
      </c>
      <c r="F1985" s="491">
        <f>J1985+H1985+L1985</f>
        <v>4600000</v>
      </c>
      <c r="G1985" s="492">
        <v>0</v>
      </c>
      <c r="H1985" s="493">
        <f>IF(C1985=0,0,ROUNDDOWN(G1985*C1985,1))</f>
        <v>0</v>
      </c>
      <c r="I1985" s="494">
        <f>재료비목록표!E84</f>
        <v>4600000</v>
      </c>
      <c r="J1985" s="495">
        <f>IF(C1985=0,0,ROUNDDOWN(I1985*C1985,1))</f>
        <v>4600000</v>
      </c>
      <c r="K1985" s="492">
        <v>0</v>
      </c>
      <c r="L1985" s="493">
        <f>IF(C1985=0,0,ROUNDDOWN(K1985*C1985,1))</f>
        <v>0</v>
      </c>
      <c r="M1985" s="463" t="s">
        <v>3118</v>
      </c>
      <c r="N1985" s="451" t="s">
        <v>3119</v>
      </c>
      <c r="O1985" s="468" t="s">
        <v>3120</v>
      </c>
      <c r="P1985" s="468" t="s">
        <v>2354</v>
      </c>
      <c r="Z1985" s="433" t="str">
        <f ca="1">HYPERLINK("#"&amp;재료비목록표!G2&amp;"!A"&amp;ROW(재료비목록표!A84),"M01526 →")</f>
        <v>M01526 →</v>
      </c>
    </row>
    <row r="1986" spans="1:26" ht="33.200000000000003" customHeight="1">
      <c r="A1986" s="463" t="s">
        <v>842</v>
      </c>
      <c r="B1986" s="497"/>
      <c r="C1986" s="497"/>
      <c r="D1986" s="497"/>
      <c r="E1986" s="497"/>
      <c r="F1986" s="446">
        <f>J1986+H1986+L1986</f>
        <v>4600000</v>
      </c>
      <c r="G1986" s="497"/>
      <c r="H1986" s="446">
        <f>ROUNDDOWN(SUMIF(P1985:P1985,O1986,H1985:H1985),0)</f>
        <v>0</v>
      </c>
      <c r="I1986" s="497"/>
      <c r="J1986" s="446">
        <f>ROUNDDOWN(SUMIF(P1985:P1985,O1986,J1985:J1985),0)</f>
        <v>4600000</v>
      </c>
      <c r="K1986" s="497"/>
      <c r="L1986" s="446">
        <f>ROUNDDOWN(SUMIF(P1985:P1985,O1986,L1985:L1985),0)</f>
        <v>0</v>
      </c>
      <c r="M1986" s="497"/>
      <c r="O1986" s="468" t="s">
        <v>2354</v>
      </c>
    </row>
    <row r="1987" spans="1:26" ht="33.200000000000003" customHeight="1">
      <c r="A1987" s="484" t="s">
        <v>5507</v>
      </c>
      <c r="B1987" s="484"/>
      <c r="C1987" s="485"/>
      <c r="D1987" s="485"/>
      <c r="E1987" s="485"/>
      <c r="F1987" s="485"/>
      <c r="G1987" s="485"/>
      <c r="H1987" s="485"/>
      <c r="I1987" s="485"/>
      <c r="J1987" s="485"/>
      <c r="K1987" s="485"/>
      <c r="L1987" s="485"/>
      <c r="M1987" s="485"/>
      <c r="N1987" s="486" t="str">
        <f>HYPERLINK("#N"&amp;ROW(N1989),"_x0005_`BDCOD|B02539_x0007_`POSS|"&amp;ROW(N1989)&amp;"_x0007_`POSE|"&amp;ROW(N1989)&amp;"_x0007_`")</f>
        <v>_x0005_`BDCOD|B02539_x0007_`POSS|1989_x0007_`POSE|1989_x0007_`</v>
      </c>
    </row>
    <row r="1988" spans="1:26" ht="33.200000000000003" customHeight="1">
      <c r="A1988" s="469" t="s">
        <v>1404</v>
      </c>
      <c r="B1988" s="469" t="s">
        <v>1405</v>
      </c>
      <c r="C1988" s="487"/>
      <c r="D1988" s="488" t="s">
        <v>975</v>
      </c>
      <c r="E1988" s="487"/>
      <c r="F1988" s="487"/>
      <c r="G1988" s="487"/>
      <c r="H1988" s="487"/>
      <c r="I1988" s="487"/>
      <c r="J1988" s="487"/>
      <c r="K1988" s="487"/>
      <c r="L1988" s="487"/>
      <c r="M1988" s="488" t="s">
        <v>1406</v>
      </c>
      <c r="O1988" s="468" t="s">
        <v>1406</v>
      </c>
    </row>
    <row r="1989" spans="1:26" ht="33.200000000000003" customHeight="1">
      <c r="A1989" s="452" t="s">
        <v>1404</v>
      </c>
      <c r="B1989" s="452" t="s">
        <v>3122</v>
      </c>
      <c r="C1989" s="489">
        <v>1</v>
      </c>
      <c r="D1989" s="480" t="s">
        <v>1589</v>
      </c>
      <c r="E1989" s="490">
        <f>I1989+G1989+K1989</f>
        <v>5180000</v>
      </c>
      <c r="F1989" s="491">
        <f>J1989+H1989+L1989</f>
        <v>5180000</v>
      </c>
      <c r="G1989" s="492">
        <v>0</v>
      </c>
      <c r="H1989" s="493">
        <f>IF(C1989=0,0,ROUNDDOWN(G1989*C1989,1))</f>
        <v>0</v>
      </c>
      <c r="I1989" s="494">
        <f>재료비목록표!E85</f>
        <v>5180000</v>
      </c>
      <c r="J1989" s="495">
        <f>IF(C1989=0,0,ROUNDDOWN(I1989*C1989,1))</f>
        <v>5180000</v>
      </c>
      <c r="K1989" s="492">
        <v>0</v>
      </c>
      <c r="L1989" s="493">
        <f>IF(C1989=0,0,ROUNDDOWN(K1989*C1989,1))</f>
        <v>0</v>
      </c>
      <c r="M1989" s="463" t="s">
        <v>3123</v>
      </c>
      <c r="N1989" s="451" t="s">
        <v>3124</v>
      </c>
      <c r="O1989" s="468" t="s">
        <v>3125</v>
      </c>
      <c r="P1989" s="468" t="s">
        <v>2354</v>
      </c>
      <c r="Z1989" s="433" t="str">
        <f ca="1">HYPERLINK("#"&amp;재료비목록표!G2&amp;"!A"&amp;ROW(재료비목록표!A85),"M01545 →")</f>
        <v>M01545 →</v>
      </c>
    </row>
    <row r="1990" spans="1:26" ht="33.200000000000003" customHeight="1">
      <c r="A1990" s="463" t="s">
        <v>842</v>
      </c>
      <c r="B1990" s="497"/>
      <c r="C1990" s="497"/>
      <c r="D1990" s="497"/>
      <c r="E1990" s="497"/>
      <c r="F1990" s="446">
        <f>J1990+H1990+L1990</f>
        <v>5180000</v>
      </c>
      <c r="G1990" s="497"/>
      <c r="H1990" s="446">
        <f>ROUNDDOWN(SUMIF(P1989:P1989,O1990,H1989:H1989),0)</f>
        <v>0</v>
      </c>
      <c r="I1990" s="497"/>
      <c r="J1990" s="446">
        <f>ROUNDDOWN(SUMIF(P1989:P1989,O1990,J1989:J1989),0)</f>
        <v>5180000</v>
      </c>
      <c r="K1990" s="497"/>
      <c r="L1990" s="446">
        <f>ROUNDDOWN(SUMIF(P1989:P1989,O1990,L1989:L1989),0)</f>
        <v>0</v>
      </c>
      <c r="M1990" s="497"/>
      <c r="O1990" s="468" t="s">
        <v>2354</v>
      </c>
    </row>
    <row r="1991" spans="1:26" ht="33.200000000000003" customHeight="1">
      <c r="A1991" s="484" t="s">
        <v>5508</v>
      </c>
      <c r="B1991" s="484"/>
      <c r="C1991" s="485"/>
      <c r="D1991" s="485"/>
      <c r="E1991" s="485"/>
      <c r="F1991" s="485"/>
      <c r="G1991" s="485"/>
      <c r="H1991" s="485"/>
      <c r="I1991" s="485"/>
      <c r="J1991" s="485"/>
      <c r="K1991" s="485"/>
      <c r="L1991" s="485"/>
      <c r="M1991" s="485"/>
      <c r="N1991" s="486" t="str">
        <f>HYPERLINK("#N"&amp;ROW(N1994),"_x0005_`BDCOD|B02690_x0007_`POSS|"&amp;ROW(N1993)&amp;"_x0007_`POSE|"&amp;ROW(N1994)&amp;"_x0007_`")</f>
        <v>_x0005_`BDCOD|B02690_x0007_`POSS|1993_x0007_`POSE|1994_x0007_`</v>
      </c>
    </row>
    <row r="1992" spans="1:26" ht="33.200000000000003" customHeight="1">
      <c r="A1992" s="469" t="s">
        <v>1912</v>
      </c>
      <c r="B1992" s="469" t="s">
        <v>1917</v>
      </c>
      <c r="C1992" s="487"/>
      <c r="D1992" s="488" t="s">
        <v>595</v>
      </c>
      <c r="E1992" s="487"/>
      <c r="F1992" s="487"/>
      <c r="G1992" s="487"/>
      <c r="H1992" s="487"/>
      <c r="I1992" s="487"/>
      <c r="J1992" s="487"/>
      <c r="K1992" s="487"/>
      <c r="L1992" s="487"/>
      <c r="M1992" s="488" t="s">
        <v>1918</v>
      </c>
      <c r="O1992" s="468" t="s">
        <v>1918</v>
      </c>
    </row>
    <row r="1993" spans="1:26" ht="33.200000000000003" customHeight="1">
      <c r="A1993" s="452" t="s">
        <v>3127</v>
      </c>
      <c r="B1993" s="452" t="s">
        <v>3128</v>
      </c>
      <c r="C1993" s="489">
        <v>6.11</v>
      </c>
      <c r="D1993" s="480" t="s">
        <v>3129</v>
      </c>
      <c r="E1993" s="490">
        <f>I1993+G1993+K1993</f>
        <v>270</v>
      </c>
      <c r="F1993" s="491">
        <f>J1993+H1993+L1993</f>
        <v>1649.7</v>
      </c>
      <c r="G1993" s="492">
        <v>0</v>
      </c>
      <c r="H1993" s="493">
        <f>IF(C1993=0,0,ROUNDDOWN(G1993*C1993,1))</f>
        <v>0</v>
      </c>
      <c r="I1993" s="494">
        <f>재료비목록표!E86</f>
        <v>270</v>
      </c>
      <c r="J1993" s="495">
        <f>IF(C1993=0,0,ROUNDDOWN(I1993*C1993,1))</f>
        <v>1649.7</v>
      </c>
      <c r="K1993" s="492">
        <v>0</v>
      </c>
      <c r="L1993" s="493">
        <f>IF(C1993=0,0,ROUNDDOWN(K1993*C1993,1))</f>
        <v>0</v>
      </c>
      <c r="M1993" s="463" t="s">
        <v>3130</v>
      </c>
      <c r="N1993" s="451" t="s">
        <v>3131</v>
      </c>
      <c r="O1993" s="468" t="s">
        <v>3132</v>
      </c>
      <c r="P1993" s="468" t="s">
        <v>2354</v>
      </c>
      <c r="Z1993" s="433" t="str">
        <f ca="1">HYPERLINK("#"&amp;재료비목록표!G2&amp;"!A"&amp;ROW(재료비목록표!A86),"M00982 →")</f>
        <v>M00982 →</v>
      </c>
    </row>
    <row r="1994" spans="1:26" ht="33.200000000000003" customHeight="1">
      <c r="A1994" s="452" t="s">
        <v>3133</v>
      </c>
      <c r="B1994" s="452"/>
      <c r="C1994" s="489">
        <v>1</v>
      </c>
      <c r="D1994" s="480" t="s">
        <v>595</v>
      </c>
      <c r="E1994" s="490">
        <f>I1994+G1994+K1994</f>
        <v>5432</v>
      </c>
      <c r="F1994" s="493">
        <f>J1994+H1994+L1994</f>
        <v>5432</v>
      </c>
      <c r="G1994" s="494">
        <f>단가산출근거목록표!F137</f>
        <v>5432</v>
      </c>
      <c r="H1994" s="498">
        <f>IF(C1994=0,0,ROUNDDOWN(G1994*C1994,1))</f>
        <v>5432</v>
      </c>
      <c r="I1994" s="494">
        <f>단가산출근거목록표!G137</f>
        <v>0</v>
      </c>
      <c r="J1994" s="498">
        <f>IF(C1994=0,0,ROUNDDOWN(I1994*C1994,1))</f>
        <v>0</v>
      </c>
      <c r="K1994" s="494">
        <f>단가산출근거목록표!H137</f>
        <v>0</v>
      </c>
      <c r="L1994" s="498">
        <f>IF(C1994=0,0,ROUNDDOWN(K1994*C1994,1))</f>
        <v>0</v>
      </c>
      <c r="M1994" s="463" t="s">
        <v>3134</v>
      </c>
      <c r="N1994" s="451" t="s">
        <v>3135</v>
      </c>
      <c r="O1994" s="468" t="s">
        <v>3136</v>
      </c>
      <c r="P1994" s="468" t="s">
        <v>2354</v>
      </c>
      <c r="Z1994" s="433" t="str">
        <f ca="1">HYPERLINK("#"&amp;단가산출근거목록표!J2&amp;"!A"&amp;ROW(단가산출근거목록표!A137),"D01216 →")</f>
        <v>D01216 →</v>
      </c>
    </row>
    <row r="1995" spans="1:26" ht="33.200000000000003" customHeight="1">
      <c r="A1995" s="463" t="s">
        <v>842</v>
      </c>
      <c r="B1995" s="497"/>
      <c r="C1995" s="497"/>
      <c r="D1995" s="497"/>
      <c r="E1995" s="497"/>
      <c r="F1995" s="446">
        <f>J1995+H1995+L1995</f>
        <v>7081</v>
      </c>
      <c r="G1995" s="497"/>
      <c r="H1995" s="446">
        <f>ROUNDDOWN(SUMIF(P1993:P1994,O1995,H1993:H1994),0)</f>
        <v>5432</v>
      </c>
      <c r="I1995" s="497"/>
      <c r="J1995" s="446">
        <f>ROUNDDOWN(SUMIF(P1993:P1994,O1995,J1993:J1994),0)</f>
        <v>1649</v>
      </c>
      <c r="K1995" s="497"/>
      <c r="L1995" s="446">
        <f>ROUNDDOWN(SUMIF(P1993:P1994,O1995,L1993:L1994),0)</f>
        <v>0</v>
      </c>
      <c r="M1995" s="497"/>
      <c r="O1995" s="468" t="s">
        <v>2354</v>
      </c>
    </row>
    <row r="1996" spans="1:26" ht="33.200000000000003" customHeight="1">
      <c r="A1996" s="484" t="s">
        <v>5509</v>
      </c>
      <c r="B1996" s="484"/>
      <c r="C1996" s="485"/>
      <c r="D1996" s="485"/>
      <c r="E1996" s="485"/>
      <c r="F1996" s="485"/>
      <c r="G1996" s="485"/>
      <c r="H1996" s="485"/>
      <c r="I1996" s="485"/>
      <c r="J1996" s="485"/>
      <c r="K1996" s="485"/>
      <c r="L1996" s="485"/>
      <c r="M1996" s="485"/>
      <c r="N1996" s="486" t="str">
        <f>HYPERLINK("#N"&amp;ROW(N1999),"_x0005_`BDCOD|B02071_x0007_`POSS|"&amp;ROW(N1998)&amp;"_x0007_`POSE|"&amp;ROW(N1999)&amp;"_x0007_`")</f>
        <v>_x0005_`BDCOD|B02071_x0007_`POSS|1998_x0007_`POSE|1999_x0007_`</v>
      </c>
    </row>
    <row r="1997" spans="1:26" ht="33.200000000000003" customHeight="1">
      <c r="A1997" s="469" t="s">
        <v>1912</v>
      </c>
      <c r="B1997" s="469" t="s">
        <v>1913</v>
      </c>
      <c r="C1997" s="487"/>
      <c r="D1997" s="488" t="s">
        <v>595</v>
      </c>
      <c r="E1997" s="487"/>
      <c r="F1997" s="487"/>
      <c r="G1997" s="487"/>
      <c r="H1997" s="487"/>
      <c r="I1997" s="487"/>
      <c r="J1997" s="487"/>
      <c r="K1997" s="487"/>
      <c r="L1997" s="487"/>
      <c r="M1997" s="488" t="s">
        <v>1914</v>
      </c>
      <c r="O1997" s="468" t="s">
        <v>1914</v>
      </c>
    </row>
    <row r="1998" spans="1:26" ht="33.200000000000003" customHeight="1">
      <c r="A1998" s="452" t="s">
        <v>3127</v>
      </c>
      <c r="B1998" s="452" t="s">
        <v>3128</v>
      </c>
      <c r="C1998" s="489">
        <v>34</v>
      </c>
      <c r="D1998" s="480" t="s">
        <v>3129</v>
      </c>
      <c r="E1998" s="490">
        <f>I1998+G1998+K1998</f>
        <v>270</v>
      </c>
      <c r="F1998" s="491">
        <f>J1998+H1998+L1998</f>
        <v>9180</v>
      </c>
      <c r="G1998" s="492">
        <v>0</v>
      </c>
      <c r="H1998" s="493">
        <f>IF(C1998=0,0,ROUNDDOWN(G1998*C1998,1))</f>
        <v>0</v>
      </c>
      <c r="I1998" s="494">
        <f>재료비목록표!E86</f>
        <v>270</v>
      </c>
      <c r="J1998" s="495">
        <f>IF(C1998=0,0,ROUNDDOWN(I1998*C1998,1))</f>
        <v>9180</v>
      </c>
      <c r="K1998" s="492">
        <v>0</v>
      </c>
      <c r="L1998" s="493">
        <f>IF(C1998=0,0,ROUNDDOWN(K1998*C1998,1))</f>
        <v>0</v>
      </c>
      <c r="M1998" s="463" t="s">
        <v>3130</v>
      </c>
      <c r="N1998" s="451" t="s">
        <v>3131</v>
      </c>
      <c r="O1998" s="468" t="s">
        <v>3132</v>
      </c>
      <c r="P1998" s="468" t="s">
        <v>2354</v>
      </c>
      <c r="Z1998" s="433" t="str">
        <f ca="1">HYPERLINK("#"&amp;재료비목록표!G2&amp;"!A"&amp;ROW(재료비목록표!A86),"M00982 →")</f>
        <v>M00982 →</v>
      </c>
    </row>
    <row r="1999" spans="1:26" ht="33.200000000000003" customHeight="1">
      <c r="A1999" s="452" t="s">
        <v>3138</v>
      </c>
      <c r="B1999" s="452"/>
      <c r="C1999" s="489">
        <v>1</v>
      </c>
      <c r="D1999" s="480" t="s">
        <v>595</v>
      </c>
      <c r="E1999" s="490">
        <f>I1999+G1999+K1999</f>
        <v>6156</v>
      </c>
      <c r="F1999" s="493">
        <f>J1999+H1999+L1999</f>
        <v>6156</v>
      </c>
      <c r="G1999" s="494">
        <f>단가산출근거목록표!F161</f>
        <v>6156</v>
      </c>
      <c r="H1999" s="498">
        <f>IF(C1999=0,0,ROUNDDOWN(G1999*C1999,1))</f>
        <v>6156</v>
      </c>
      <c r="I1999" s="494">
        <f>단가산출근거목록표!G161</f>
        <v>0</v>
      </c>
      <c r="J1999" s="498">
        <f>IF(C1999=0,0,ROUNDDOWN(I1999*C1999,1))</f>
        <v>0</v>
      </c>
      <c r="K1999" s="494">
        <f>단가산출근거목록표!H161</f>
        <v>0</v>
      </c>
      <c r="L1999" s="498">
        <f>IF(C1999=0,0,ROUNDDOWN(K1999*C1999,1))</f>
        <v>0</v>
      </c>
      <c r="M1999" s="463" t="s">
        <v>3139</v>
      </c>
      <c r="N1999" s="451" t="s">
        <v>3140</v>
      </c>
      <c r="O1999" s="468" t="s">
        <v>3141</v>
      </c>
      <c r="P1999" s="468" t="s">
        <v>2354</v>
      </c>
      <c r="Z1999" s="433" t="str">
        <f ca="1">HYPERLINK("#"&amp;단가산출근거목록표!J2&amp;"!A"&amp;ROW(단가산출근거목록표!A161),"D00939 →")</f>
        <v>D00939 →</v>
      </c>
    </row>
    <row r="2000" spans="1:26" ht="33.200000000000003" customHeight="1">
      <c r="A2000" s="463" t="s">
        <v>842</v>
      </c>
      <c r="B2000" s="497"/>
      <c r="C2000" s="497"/>
      <c r="D2000" s="497"/>
      <c r="E2000" s="497"/>
      <c r="F2000" s="446">
        <f>J2000+H2000+L2000</f>
        <v>15336</v>
      </c>
      <c r="G2000" s="497"/>
      <c r="H2000" s="446">
        <f>ROUNDDOWN(SUMIF(P1998:P1999,O2000,H1998:H1999),0)</f>
        <v>6156</v>
      </c>
      <c r="I2000" s="497"/>
      <c r="J2000" s="446">
        <f>ROUNDDOWN(SUMIF(P1998:P1999,O2000,J1998:J1999),0)</f>
        <v>9180</v>
      </c>
      <c r="K2000" s="497"/>
      <c r="L2000" s="446">
        <f>ROUNDDOWN(SUMIF(P1998:P1999,O2000,L1998:L1999),0)</f>
        <v>0</v>
      </c>
      <c r="M2000" s="497"/>
      <c r="O2000" s="468" t="s">
        <v>2354</v>
      </c>
    </row>
    <row r="2001" spans="1:26" ht="33.200000000000003" customHeight="1">
      <c r="A2001" s="484" t="s">
        <v>5510</v>
      </c>
      <c r="B2001" s="484"/>
      <c r="C2001" s="485"/>
      <c r="D2001" s="485"/>
      <c r="E2001" s="485"/>
      <c r="F2001" s="485"/>
      <c r="G2001" s="485"/>
      <c r="H2001" s="485"/>
      <c r="I2001" s="485"/>
      <c r="J2001" s="485"/>
      <c r="K2001" s="485"/>
      <c r="L2001" s="485"/>
      <c r="M2001" s="485"/>
      <c r="N2001" s="486" t="str">
        <f>HYPERLINK("#N"&amp;ROW(N2005),"_x0005_`BDCOD|B02893_x0007_`POSS|"&amp;ROW(N2003)&amp;"_x0007_`POSE|"&amp;ROW(N2005)&amp;"_x0007_`")</f>
        <v>_x0005_`BDCOD|B02893_x0007_`POSS|2003_x0007_`POSE|2005_x0007_`</v>
      </c>
    </row>
    <row r="2002" spans="1:26" ht="33.200000000000003" customHeight="1">
      <c r="A2002" s="469" t="s">
        <v>5425</v>
      </c>
      <c r="B2002" s="469" t="s">
        <v>1917</v>
      </c>
      <c r="C2002" s="487"/>
      <c r="D2002" s="488" t="s">
        <v>595</v>
      </c>
      <c r="E2002" s="487"/>
      <c r="F2002" s="487"/>
      <c r="G2002" s="487"/>
      <c r="H2002" s="487"/>
      <c r="I2002" s="487"/>
      <c r="J2002" s="487"/>
      <c r="K2002" s="487"/>
      <c r="L2002" s="487"/>
      <c r="M2002" s="488" t="s">
        <v>5429</v>
      </c>
      <c r="O2002" s="468" t="s">
        <v>5429</v>
      </c>
    </row>
    <row r="2003" spans="1:26" ht="33.200000000000003" customHeight="1">
      <c r="A2003" s="452" t="s">
        <v>3127</v>
      </c>
      <c r="B2003" s="452" t="s">
        <v>3128</v>
      </c>
      <c r="C2003" s="489">
        <v>6.11</v>
      </c>
      <c r="D2003" s="480" t="s">
        <v>3129</v>
      </c>
      <c r="E2003" s="490">
        <f t="shared" ref="E2003:F2005" si="325">I2003+G2003+K2003</f>
        <v>270</v>
      </c>
      <c r="F2003" s="491">
        <f t="shared" si="325"/>
        <v>1649.7</v>
      </c>
      <c r="G2003" s="492">
        <v>0</v>
      </c>
      <c r="H2003" s="493">
        <f>IF(C2003=0,0,ROUNDDOWN(G2003*C2003,1))</f>
        <v>0</v>
      </c>
      <c r="I2003" s="494">
        <f>재료비목록표!E86</f>
        <v>270</v>
      </c>
      <c r="J2003" s="495">
        <f>IF(C2003=0,0,ROUNDDOWN(I2003*C2003,1))</f>
        <v>1649.7</v>
      </c>
      <c r="K2003" s="492">
        <v>0</v>
      </c>
      <c r="L2003" s="493">
        <f>IF(C2003=0,0,ROUNDDOWN(K2003*C2003,1))</f>
        <v>0</v>
      </c>
      <c r="M2003" s="463" t="s">
        <v>3130</v>
      </c>
      <c r="N2003" s="451" t="s">
        <v>3131</v>
      </c>
      <c r="O2003" s="468" t="s">
        <v>3132</v>
      </c>
      <c r="P2003" s="468" t="s">
        <v>2354</v>
      </c>
      <c r="Z2003" s="433" t="str">
        <f ca="1">HYPERLINK("#"&amp;재료비목록표!G2&amp;"!A"&amp;ROW(재료비목록표!A86),"M00982 →")</f>
        <v>M00982 →</v>
      </c>
    </row>
    <row r="2004" spans="1:26" ht="33.200000000000003" customHeight="1">
      <c r="A2004" s="452" t="s">
        <v>3133</v>
      </c>
      <c r="B2004" s="452"/>
      <c r="C2004" s="489">
        <v>1</v>
      </c>
      <c r="D2004" s="480" t="s">
        <v>595</v>
      </c>
      <c r="E2004" s="490">
        <f t="shared" si="325"/>
        <v>5432</v>
      </c>
      <c r="F2004" s="493">
        <f t="shared" si="325"/>
        <v>5432</v>
      </c>
      <c r="G2004" s="494">
        <f>단가산출근거목록표!F137</f>
        <v>5432</v>
      </c>
      <c r="H2004" s="498">
        <f>IF(C2004=0,0,ROUNDDOWN(G2004*C2004,1))</f>
        <v>5432</v>
      </c>
      <c r="I2004" s="494">
        <f>단가산출근거목록표!G137</f>
        <v>0</v>
      </c>
      <c r="J2004" s="498">
        <f>IF(C2004=0,0,ROUNDDOWN(I2004*C2004,1))</f>
        <v>0</v>
      </c>
      <c r="K2004" s="494">
        <f>단가산출근거목록표!H137</f>
        <v>0</v>
      </c>
      <c r="L2004" s="498">
        <f>IF(C2004=0,0,ROUNDDOWN(K2004*C2004,1))</f>
        <v>0</v>
      </c>
      <c r="M2004" s="463" t="s">
        <v>3134</v>
      </c>
      <c r="N2004" s="451" t="s">
        <v>5511</v>
      </c>
      <c r="O2004" s="468" t="s">
        <v>3136</v>
      </c>
      <c r="P2004" s="468" t="s">
        <v>2354</v>
      </c>
      <c r="Q2004" s="468" t="s">
        <v>2355</v>
      </c>
      <c r="Z2004" s="433" t="str">
        <f ca="1">HYPERLINK("#"&amp;단가산출근거목록표!J2&amp;"!A"&amp;ROW(단가산출근거목록표!A137),"D01216 →")</f>
        <v>D01216 →</v>
      </c>
    </row>
    <row r="2005" spans="1:26" ht="33.200000000000003" customHeight="1">
      <c r="A2005" s="452" t="s">
        <v>2507</v>
      </c>
      <c r="B2005" s="452" t="s">
        <v>2441</v>
      </c>
      <c r="C2005" s="489">
        <v>15</v>
      </c>
      <c r="D2005" s="480" t="s">
        <v>2371</v>
      </c>
      <c r="E2005" s="490">
        <f t="shared" si="325"/>
        <v>5432</v>
      </c>
      <c r="F2005" s="491">
        <f t="shared" si="325"/>
        <v>814.8</v>
      </c>
      <c r="G2005" s="496">
        <f>H2004</f>
        <v>5432</v>
      </c>
      <c r="H2005" s="491">
        <f>IF(C2005=0,0,ROUNDDOWN(G2005*C2005/100,1))</f>
        <v>814.8</v>
      </c>
      <c r="I2005" s="465">
        <v>0</v>
      </c>
      <c r="J2005" s="493">
        <f>IF(C2005=0,0,ROUNDDOWN(I2005*C2005/100,1))</f>
        <v>0</v>
      </c>
      <c r="K2005" s="467">
        <v>0</v>
      </c>
      <c r="L2005" s="493">
        <f>IF(C2005=0,0,ROUNDDOWN(K2005*C2005/100,1))</f>
        <v>0</v>
      </c>
      <c r="M2005" s="463"/>
      <c r="N2005" s="451" t="s">
        <v>2508</v>
      </c>
      <c r="O2005" s="468" t="s">
        <v>2373</v>
      </c>
      <c r="P2005" s="468" t="s">
        <v>2354</v>
      </c>
    </row>
    <row r="2006" spans="1:26" ht="33.200000000000003" customHeight="1">
      <c r="A2006" s="463" t="s">
        <v>842</v>
      </c>
      <c r="B2006" s="497"/>
      <c r="C2006" s="497"/>
      <c r="D2006" s="497"/>
      <c r="E2006" s="497"/>
      <c r="F2006" s="446">
        <f>J2006+H2006+L2006</f>
        <v>7895</v>
      </c>
      <c r="G2006" s="497"/>
      <c r="H2006" s="446">
        <f>ROUNDDOWN(SUMIF(P2003:P2005,O2006,H2003:H2005),0)</f>
        <v>6246</v>
      </c>
      <c r="I2006" s="497"/>
      <c r="J2006" s="446">
        <f>ROUNDDOWN(SUMIF(P2003:P2005,O2006,J2003:J2005),0)</f>
        <v>1649</v>
      </c>
      <c r="K2006" s="497"/>
      <c r="L2006" s="446">
        <f>ROUNDDOWN(SUMIF(P2003:P2005,O2006,L2003:L2005),0)</f>
        <v>0</v>
      </c>
      <c r="M2006" s="497"/>
      <c r="O2006" s="468" t="s">
        <v>2354</v>
      </c>
    </row>
    <row r="2007" spans="1:26" ht="33.200000000000003" customHeight="1">
      <c r="A2007" s="484" t="s">
        <v>5512</v>
      </c>
      <c r="B2007" s="484"/>
      <c r="C2007" s="485"/>
      <c r="D2007" s="485"/>
      <c r="E2007" s="485"/>
      <c r="F2007" s="485"/>
      <c r="G2007" s="485"/>
      <c r="H2007" s="485"/>
      <c r="I2007" s="485"/>
      <c r="J2007" s="485"/>
      <c r="K2007" s="485"/>
      <c r="L2007" s="485"/>
      <c r="M2007" s="485"/>
      <c r="N2007" s="486" t="str">
        <f>HYPERLINK("#N"&amp;ROW(N2011),"_x0005_`BDCOD|B02892_x0007_`POSS|"&amp;ROW(N2009)&amp;"_x0007_`POSE|"&amp;ROW(N2011)&amp;"_x0007_`")</f>
        <v>_x0005_`BDCOD|B02892_x0007_`POSS|2009_x0007_`POSE|2011_x0007_`</v>
      </c>
    </row>
    <row r="2008" spans="1:26" ht="33.200000000000003" customHeight="1">
      <c r="A2008" s="469" t="s">
        <v>5425</v>
      </c>
      <c r="B2008" s="469" t="s">
        <v>1913</v>
      </c>
      <c r="C2008" s="487"/>
      <c r="D2008" s="488" t="s">
        <v>595</v>
      </c>
      <c r="E2008" s="487"/>
      <c r="F2008" s="487"/>
      <c r="G2008" s="487"/>
      <c r="H2008" s="487"/>
      <c r="I2008" s="487"/>
      <c r="J2008" s="487"/>
      <c r="K2008" s="487"/>
      <c r="L2008" s="487"/>
      <c r="M2008" s="488" t="s">
        <v>5426</v>
      </c>
      <c r="O2008" s="468" t="s">
        <v>5426</v>
      </c>
    </row>
    <row r="2009" spans="1:26" ht="33.200000000000003" customHeight="1">
      <c r="A2009" s="452" t="s">
        <v>3127</v>
      </c>
      <c r="B2009" s="452" t="s">
        <v>3128</v>
      </c>
      <c r="C2009" s="489">
        <v>34</v>
      </c>
      <c r="D2009" s="480" t="s">
        <v>3129</v>
      </c>
      <c r="E2009" s="490">
        <f t="shared" ref="E2009:F2011" si="326">I2009+G2009+K2009</f>
        <v>270</v>
      </c>
      <c r="F2009" s="491">
        <f t="shared" si="326"/>
        <v>9180</v>
      </c>
      <c r="G2009" s="492">
        <v>0</v>
      </c>
      <c r="H2009" s="493">
        <f>IF(C2009=0,0,ROUNDDOWN(G2009*C2009,1))</f>
        <v>0</v>
      </c>
      <c r="I2009" s="494">
        <f>재료비목록표!E86</f>
        <v>270</v>
      </c>
      <c r="J2009" s="495">
        <f>IF(C2009=0,0,ROUNDDOWN(I2009*C2009,1))</f>
        <v>9180</v>
      </c>
      <c r="K2009" s="492">
        <v>0</v>
      </c>
      <c r="L2009" s="493">
        <f>IF(C2009=0,0,ROUNDDOWN(K2009*C2009,1))</f>
        <v>0</v>
      </c>
      <c r="M2009" s="463" t="s">
        <v>3130</v>
      </c>
      <c r="N2009" s="451" t="s">
        <v>3131</v>
      </c>
      <c r="O2009" s="468" t="s">
        <v>3132</v>
      </c>
      <c r="P2009" s="468" t="s">
        <v>2354</v>
      </c>
      <c r="Z2009" s="433" t="str">
        <f ca="1">HYPERLINK("#"&amp;재료비목록표!G2&amp;"!A"&amp;ROW(재료비목록표!A86),"M00982 →")</f>
        <v>M00982 →</v>
      </c>
    </row>
    <row r="2010" spans="1:26" ht="33.200000000000003" customHeight="1">
      <c r="A2010" s="452" t="s">
        <v>3138</v>
      </c>
      <c r="B2010" s="452"/>
      <c r="C2010" s="489">
        <v>1</v>
      </c>
      <c r="D2010" s="480" t="s">
        <v>595</v>
      </c>
      <c r="E2010" s="490">
        <f t="shared" si="326"/>
        <v>6156</v>
      </c>
      <c r="F2010" s="493">
        <f t="shared" si="326"/>
        <v>6156</v>
      </c>
      <c r="G2010" s="494">
        <f>단가산출근거목록표!F161</f>
        <v>6156</v>
      </c>
      <c r="H2010" s="498">
        <f>IF(C2010=0,0,ROUNDDOWN(G2010*C2010,1))</f>
        <v>6156</v>
      </c>
      <c r="I2010" s="494">
        <f>단가산출근거목록표!G161</f>
        <v>0</v>
      </c>
      <c r="J2010" s="498">
        <f>IF(C2010=0,0,ROUNDDOWN(I2010*C2010,1))</f>
        <v>0</v>
      </c>
      <c r="K2010" s="494">
        <f>단가산출근거목록표!H161</f>
        <v>0</v>
      </c>
      <c r="L2010" s="498">
        <f>IF(C2010=0,0,ROUNDDOWN(K2010*C2010,1))</f>
        <v>0</v>
      </c>
      <c r="M2010" s="463" t="s">
        <v>3139</v>
      </c>
      <c r="N2010" s="451" t="s">
        <v>5513</v>
      </c>
      <c r="O2010" s="468" t="s">
        <v>3141</v>
      </c>
      <c r="P2010" s="468" t="s">
        <v>2354</v>
      </c>
      <c r="Q2010" s="468" t="s">
        <v>2355</v>
      </c>
      <c r="Z2010" s="433" t="str">
        <f ca="1">HYPERLINK("#"&amp;단가산출근거목록표!J2&amp;"!A"&amp;ROW(단가산출근거목록표!A161),"D00939 →")</f>
        <v>D00939 →</v>
      </c>
    </row>
    <row r="2011" spans="1:26" ht="33.200000000000003" customHeight="1">
      <c r="A2011" s="452" t="s">
        <v>2507</v>
      </c>
      <c r="B2011" s="452" t="s">
        <v>2441</v>
      </c>
      <c r="C2011" s="489">
        <v>15</v>
      </c>
      <c r="D2011" s="480" t="s">
        <v>2371</v>
      </c>
      <c r="E2011" s="490">
        <f t="shared" si="326"/>
        <v>6156</v>
      </c>
      <c r="F2011" s="491">
        <f t="shared" si="326"/>
        <v>923.4</v>
      </c>
      <c r="G2011" s="496">
        <f>H2010</f>
        <v>6156</v>
      </c>
      <c r="H2011" s="491">
        <f>IF(C2011=0,0,ROUNDDOWN(G2011*C2011/100,1))</f>
        <v>923.4</v>
      </c>
      <c r="I2011" s="465">
        <v>0</v>
      </c>
      <c r="J2011" s="493">
        <f>IF(C2011=0,0,ROUNDDOWN(I2011*C2011/100,1))</f>
        <v>0</v>
      </c>
      <c r="K2011" s="467">
        <v>0</v>
      </c>
      <c r="L2011" s="493">
        <f>IF(C2011=0,0,ROUNDDOWN(K2011*C2011/100,1))</f>
        <v>0</v>
      </c>
      <c r="M2011" s="463"/>
      <c r="N2011" s="451" t="s">
        <v>2508</v>
      </c>
      <c r="O2011" s="468" t="s">
        <v>2373</v>
      </c>
      <c r="P2011" s="468" t="s">
        <v>2354</v>
      </c>
    </row>
    <row r="2012" spans="1:26" ht="33.200000000000003" customHeight="1">
      <c r="A2012" s="463" t="s">
        <v>842</v>
      </c>
      <c r="B2012" s="497"/>
      <c r="C2012" s="497"/>
      <c r="D2012" s="497"/>
      <c r="E2012" s="497"/>
      <c r="F2012" s="446">
        <f>J2012+H2012+L2012</f>
        <v>16259</v>
      </c>
      <c r="G2012" s="497"/>
      <c r="H2012" s="446">
        <f>ROUNDDOWN(SUMIF(P2009:P2011,O2012,H2009:H2011),0)</f>
        <v>7079</v>
      </c>
      <c r="I2012" s="497"/>
      <c r="J2012" s="446">
        <f>ROUNDDOWN(SUMIF(P2009:P2011,O2012,J2009:J2011),0)</f>
        <v>9180</v>
      </c>
      <c r="K2012" s="497"/>
      <c r="L2012" s="446">
        <f>ROUNDDOWN(SUMIF(P2009:P2011,O2012,L2009:L2011),0)</f>
        <v>0</v>
      </c>
      <c r="M2012" s="497"/>
      <c r="O2012" s="468" t="s">
        <v>2354</v>
      </c>
    </row>
    <row r="2013" spans="1:26" ht="33.200000000000003" customHeight="1">
      <c r="A2013" s="484" t="s">
        <v>5514</v>
      </c>
      <c r="B2013" s="484"/>
      <c r="C2013" s="485"/>
      <c r="D2013" s="485"/>
      <c r="E2013" s="485"/>
      <c r="F2013" s="485"/>
      <c r="G2013" s="485"/>
      <c r="H2013" s="485"/>
      <c r="I2013" s="485"/>
      <c r="J2013" s="485"/>
      <c r="K2013" s="485"/>
      <c r="L2013" s="485"/>
      <c r="M2013" s="485"/>
      <c r="N2013" s="486" t="str">
        <f>HYPERLINK("#N"&amp;ROW(N2017),"_x0005_`BDCOD|B02822_x0007_`POSS|"&amp;ROW(N2015)&amp;"_x0007_`POSE|"&amp;ROW(N2017)&amp;"_x0007_`")</f>
        <v>_x0005_`BDCOD|B02822_x0007_`POSS|2015_x0007_`POSE|2017_x0007_`</v>
      </c>
    </row>
    <row r="2014" spans="1:26" ht="33.200000000000003" customHeight="1">
      <c r="A2014" s="469" t="s">
        <v>5432</v>
      </c>
      <c r="B2014" s="469" t="s">
        <v>1917</v>
      </c>
      <c r="C2014" s="487"/>
      <c r="D2014" s="488" t="s">
        <v>595</v>
      </c>
      <c r="E2014" s="487"/>
      <c r="F2014" s="487"/>
      <c r="G2014" s="487"/>
      <c r="H2014" s="487"/>
      <c r="I2014" s="487"/>
      <c r="J2014" s="487"/>
      <c r="K2014" s="487"/>
      <c r="L2014" s="487"/>
      <c r="M2014" s="488" t="s">
        <v>5436</v>
      </c>
      <c r="O2014" s="468" t="s">
        <v>5436</v>
      </c>
    </row>
    <row r="2015" spans="1:26" ht="33.200000000000003" customHeight="1">
      <c r="A2015" s="452" t="s">
        <v>3127</v>
      </c>
      <c r="B2015" s="452" t="s">
        <v>3128</v>
      </c>
      <c r="C2015" s="489">
        <v>6.11</v>
      </c>
      <c r="D2015" s="480" t="s">
        <v>3129</v>
      </c>
      <c r="E2015" s="490">
        <f t="shared" ref="E2015:F2017" si="327">I2015+G2015+K2015</f>
        <v>270</v>
      </c>
      <c r="F2015" s="491">
        <f t="shared" si="327"/>
        <v>1649.7</v>
      </c>
      <c r="G2015" s="492">
        <v>0</v>
      </c>
      <c r="H2015" s="493">
        <f>IF(C2015=0,0,ROUNDDOWN(G2015*C2015,1))</f>
        <v>0</v>
      </c>
      <c r="I2015" s="494">
        <f>재료비목록표!E86</f>
        <v>270</v>
      </c>
      <c r="J2015" s="495">
        <f>IF(C2015=0,0,ROUNDDOWN(I2015*C2015,1))</f>
        <v>1649.7</v>
      </c>
      <c r="K2015" s="492">
        <v>0</v>
      </c>
      <c r="L2015" s="493">
        <f>IF(C2015=0,0,ROUNDDOWN(K2015*C2015,1))</f>
        <v>0</v>
      </c>
      <c r="M2015" s="463" t="s">
        <v>3130</v>
      </c>
      <c r="N2015" s="451" t="s">
        <v>3131</v>
      </c>
      <c r="O2015" s="468" t="s">
        <v>3132</v>
      </c>
      <c r="P2015" s="468" t="s">
        <v>2354</v>
      </c>
      <c r="Z2015" s="433" t="str">
        <f ca="1">HYPERLINK("#"&amp;재료비목록표!G2&amp;"!A"&amp;ROW(재료비목록표!A86),"M00982 →")</f>
        <v>M00982 →</v>
      </c>
    </row>
    <row r="2016" spans="1:26" ht="33.200000000000003" customHeight="1">
      <c r="A2016" s="452" t="s">
        <v>3133</v>
      </c>
      <c r="B2016" s="452"/>
      <c r="C2016" s="489">
        <v>1</v>
      </c>
      <c r="D2016" s="480" t="s">
        <v>595</v>
      </c>
      <c r="E2016" s="490">
        <f t="shared" si="327"/>
        <v>5432</v>
      </c>
      <c r="F2016" s="493">
        <f t="shared" si="327"/>
        <v>5432</v>
      </c>
      <c r="G2016" s="494">
        <f>단가산출근거목록표!F137</f>
        <v>5432</v>
      </c>
      <c r="H2016" s="498">
        <f>IF(C2016=0,0,ROUNDDOWN(G2016*C2016,1))</f>
        <v>5432</v>
      </c>
      <c r="I2016" s="494">
        <f>단가산출근거목록표!G137</f>
        <v>0</v>
      </c>
      <c r="J2016" s="498">
        <f>IF(C2016=0,0,ROUNDDOWN(I2016*C2016,1))</f>
        <v>0</v>
      </c>
      <c r="K2016" s="494">
        <f>단가산출근거목록표!H137</f>
        <v>0</v>
      </c>
      <c r="L2016" s="498">
        <f>IF(C2016=0,0,ROUNDDOWN(K2016*C2016,1))</f>
        <v>0</v>
      </c>
      <c r="M2016" s="463" t="s">
        <v>3134</v>
      </c>
      <c r="N2016" s="451" t="s">
        <v>5511</v>
      </c>
      <c r="O2016" s="468" t="s">
        <v>3136</v>
      </c>
      <c r="P2016" s="468" t="s">
        <v>2354</v>
      </c>
      <c r="Q2016" s="468" t="s">
        <v>2355</v>
      </c>
      <c r="Z2016" s="433" t="str">
        <f ca="1">HYPERLINK("#"&amp;단가산출근거목록표!J2&amp;"!A"&amp;ROW(단가산출근거목록표!A137),"D01216 →")</f>
        <v>D01216 →</v>
      </c>
    </row>
    <row r="2017" spans="1:26" ht="33.200000000000003" customHeight="1">
      <c r="A2017" s="452" t="s">
        <v>2507</v>
      </c>
      <c r="B2017" s="452" t="s">
        <v>2441</v>
      </c>
      <c r="C2017" s="489">
        <v>25</v>
      </c>
      <c r="D2017" s="480" t="s">
        <v>2371</v>
      </c>
      <c r="E2017" s="490">
        <f t="shared" si="327"/>
        <v>5432</v>
      </c>
      <c r="F2017" s="491">
        <f t="shared" si="327"/>
        <v>1358</v>
      </c>
      <c r="G2017" s="496">
        <f>H2016</f>
        <v>5432</v>
      </c>
      <c r="H2017" s="491">
        <f>IF(C2017=0,0,ROUNDDOWN(G2017*C2017/100,1))</f>
        <v>1358</v>
      </c>
      <c r="I2017" s="465">
        <v>0</v>
      </c>
      <c r="J2017" s="493">
        <f>IF(C2017=0,0,ROUNDDOWN(I2017*C2017/100,1))</f>
        <v>0</v>
      </c>
      <c r="K2017" s="467">
        <v>0</v>
      </c>
      <c r="L2017" s="493">
        <f>IF(C2017=0,0,ROUNDDOWN(K2017*C2017/100,1))</f>
        <v>0</v>
      </c>
      <c r="M2017" s="463"/>
      <c r="N2017" s="451" t="s">
        <v>2508</v>
      </c>
      <c r="O2017" s="468" t="s">
        <v>2373</v>
      </c>
      <c r="P2017" s="468" t="s">
        <v>2354</v>
      </c>
    </row>
    <row r="2018" spans="1:26" ht="33.200000000000003" customHeight="1">
      <c r="A2018" s="463" t="s">
        <v>842</v>
      </c>
      <c r="B2018" s="497"/>
      <c r="C2018" s="497"/>
      <c r="D2018" s="497"/>
      <c r="E2018" s="497"/>
      <c r="F2018" s="446">
        <f>J2018+H2018+L2018</f>
        <v>8439</v>
      </c>
      <c r="G2018" s="497"/>
      <c r="H2018" s="446">
        <f>ROUNDDOWN(SUMIF(P2015:P2017,O2018,H2015:H2017),0)</f>
        <v>6790</v>
      </c>
      <c r="I2018" s="497"/>
      <c r="J2018" s="446">
        <f>ROUNDDOWN(SUMIF(P2015:P2017,O2018,J2015:J2017),0)</f>
        <v>1649</v>
      </c>
      <c r="K2018" s="497"/>
      <c r="L2018" s="446">
        <f>ROUNDDOWN(SUMIF(P2015:P2017,O2018,L2015:L2017),0)</f>
        <v>0</v>
      </c>
      <c r="M2018" s="497"/>
      <c r="O2018" s="468" t="s">
        <v>2354</v>
      </c>
    </row>
    <row r="2019" spans="1:26" ht="33.200000000000003" customHeight="1">
      <c r="A2019" s="484" t="s">
        <v>5515</v>
      </c>
      <c r="B2019" s="484"/>
      <c r="C2019" s="485"/>
      <c r="D2019" s="485"/>
      <c r="E2019" s="485"/>
      <c r="F2019" s="485"/>
      <c r="G2019" s="485"/>
      <c r="H2019" s="485"/>
      <c r="I2019" s="485"/>
      <c r="J2019" s="485"/>
      <c r="K2019" s="485"/>
      <c r="L2019" s="485"/>
      <c r="M2019" s="485"/>
      <c r="N2019" s="486" t="str">
        <f>HYPERLINK("#N"&amp;ROW(N2023),"_x0005_`BDCOD|B02821_x0007_`POSS|"&amp;ROW(N2021)&amp;"_x0007_`POSE|"&amp;ROW(N2023)&amp;"_x0007_`")</f>
        <v>_x0005_`BDCOD|B02821_x0007_`POSS|2021_x0007_`POSE|2023_x0007_`</v>
      </c>
    </row>
    <row r="2020" spans="1:26" ht="33.200000000000003" customHeight="1">
      <c r="A2020" s="469" t="s">
        <v>5432</v>
      </c>
      <c r="B2020" s="469" t="s">
        <v>1913</v>
      </c>
      <c r="C2020" s="487"/>
      <c r="D2020" s="488" t="s">
        <v>595</v>
      </c>
      <c r="E2020" s="487"/>
      <c r="F2020" s="487"/>
      <c r="G2020" s="487"/>
      <c r="H2020" s="487"/>
      <c r="I2020" s="487"/>
      <c r="J2020" s="487"/>
      <c r="K2020" s="487"/>
      <c r="L2020" s="487"/>
      <c r="M2020" s="488" t="s">
        <v>5433</v>
      </c>
      <c r="O2020" s="468" t="s">
        <v>5433</v>
      </c>
    </row>
    <row r="2021" spans="1:26" ht="33.200000000000003" customHeight="1">
      <c r="A2021" s="452" t="s">
        <v>3127</v>
      </c>
      <c r="B2021" s="452" t="s">
        <v>3128</v>
      </c>
      <c r="C2021" s="489">
        <v>34</v>
      </c>
      <c r="D2021" s="480" t="s">
        <v>3129</v>
      </c>
      <c r="E2021" s="490">
        <f t="shared" ref="E2021:F2023" si="328">I2021+G2021+K2021</f>
        <v>270</v>
      </c>
      <c r="F2021" s="491">
        <f t="shared" si="328"/>
        <v>9180</v>
      </c>
      <c r="G2021" s="492">
        <v>0</v>
      </c>
      <c r="H2021" s="493">
        <f>IF(C2021=0,0,ROUNDDOWN(G2021*C2021,1))</f>
        <v>0</v>
      </c>
      <c r="I2021" s="494">
        <f>재료비목록표!E86</f>
        <v>270</v>
      </c>
      <c r="J2021" s="495">
        <f>IF(C2021=0,0,ROUNDDOWN(I2021*C2021,1))</f>
        <v>9180</v>
      </c>
      <c r="K2021" s="492">
        <v>0</v>
      </c>
      <c r="L2021" s="493">
        <f>IF(C2021=0,0,ROUNDDOWN(K2021*C2021,1))</f>
        <v>0</v>
      </c>
      <c r="M2021" s="463" t="s">
        <v>3130</v>
      </c>
      <c r="N2021" s="451" t="s">
        <v>3131</v>
      </c>
      <c r="O2021" s="468" t="s">
        <v>3132</v>
      </c>
      <c r="P2021" s="468" t="s">
        <v>2354</v>
      </c>
      <c r="Z2021" s="433" t="str">
        <f ca="1">HYPERLINK("#"&amp;재료비목록표!G2&amp;"!A"&amp;ROW(재료비목록표!A86),"M00982 →")</f>
        <v>M00982 →</v>
      </c>
    </row>
    <row r="2022" spans="1:26" ht="33.200000000000003" customHeight="1">
      <c r="A2022" s="452" t="s">
        <v>3138</v>
      </c>
      <c r="B2022" s="452"/>
      <c r="C2022" s="489">
        <v>1</v>
      </c>
      <c r="D2022" s="480" t="s">
        <v>595</v>
      </c>
      <c r="E2022" s="490">
        <f t="shared" si="328"/>
        <v>6156</v>
      </c>
      <c r="F2022" s="493">
        <f t="shared" si="328"/>
        <v>6156</v>
      </c>
      <c r="G2022" s="494">
        <f>단가산출근거목록표!F161</f>
        <v>6156</v>
      </c>
      <c r="H2022" s="498">
        <f>IF(C2022=0,0,ROUNDDOWN(G2022*C2022,1))</f>
        <v>6156</v>
      </c>
      <c r="I2022" s="494">
        <f>단가산출근거목록표!G161</f>
        <v>0</v>
      </c>
      <c r="J2022" s="498">
        <f>IF(C2022=0,0,ROUNDDOWN(I2022*C2022,1))</f>
        <v>0</v>
      </c>
      <c r="K2022" s="494">
        <f>단가산출근거목록표!H161</f>
        <v>0</v>
      </c>
      <c r="L2022" s="498">
        <f>IF(C2022=0,0,ROUNDDOWN(K2022*C2022,1))</f>
        <v>0</v>
      </c>
      <c r="M2022" s="463" t="s">
        <v>3139</v>
      </c>
      <c r="N2022" s="451" t="s">
        <v>5513</v>
      </c>
      <c r="O2022" s="468" t="s">
        <v>3141</v>
      </c>
      <c r="P2022" s="468" t="s">
        <v>2354</v>
      </c>
      <c r="Q2022" s="468" t="s">
        <v>2355</v>
      </c>
      <c r="Z2022" s="433" t="str">
        <f ca="1">HYPERLINK("#"&amp;단가산출근거목록표!J2&amp;"!A"&amp;ROW(단가산출근거목록표!A161),"D00939 →")</f>
        <v>D00939 →</v>
      </c>
    </row>
    <row r="2023" spans="1:26" ht="33.200000000000003" customHeight="1">
      <c r="A2023" s="452" t="s">
        <v>2507</v>
      </c>
      <c r="B2023" s="452" t="s">
        <v>2441</v>
      </c>
      <c r="C2023" s="489">
        <v>25</v>
      </c>
      <c r="D2023" s="480" t="s">
        <v>2371</v>
      </c>
      <c r="E2023" s="490">
        <f t="shared" si="328"/>
        <v>6156</v>
      </c>
      <c r="F2023" s="491">
        <f t="shared" si="328"/>
        <v>1539</v>
      </c>
      <c r="G2023" s="496">
        <f>H2022</f>
        <v>6156</v>
      </c>
      <c r="H2023" s="491">
        <f>IF(C2023=0,0,ROUNDDOWN(G2023*C2023/100,1))</f>
        <v>1539</v>
      </c>
      <c r="I2023" s="465">
        <v>0</v>
      </c>
      <c r="J2023" s="493">
        <f>IF(C2023=0,0,ROUNDDOWN(I2023*C2023/100,1))</f>
        <v>0</v>
      </c>
      <c r="K2023" s="467">
        <v>0</v>
      </c>
      <c r="L2023" s="493">
        <f>IF(C2023=0,0,ROUNDDOWN(K2023*C2023/100,1))</f>
        <v>0</v>
      </c>
      <c r="M2023" s="463"/>
      <c r="N2023" s="451" t="s">
        <v>2508</v>
      </c>
      <c r="O2023" s="468" t="s">
        <v>2373</v>
      </c>
      <c r="P2023" s="468" t="s">
        <v>2354</v>
      </c>
    </row>
    <row r="2024" spans="1:26" ht="33.200000000000003" customHeight="1">
      <c r="A2024" s="463" t="s">
        <v>842</v>
      </c>
      <c r="B2024" s="497"/>
      <c r="C2024" s="497"/>
      <c r="D2024" s="497"/>
      <c r="E2024" s="497"/>
      <c r="F2024" s="446">
        <f>J2024+H2024+L2024</f>
        <v>16875</v>
      </c>
      <c r="G2024" s="497"/>
      <c r="H2024" s="446">
        <f>ROUNDDOWN(SUMIF(P2021:P2023,O2024,H2021:H2023),0)</f>
        <v>7695</v>
      </c>
      <c r="I2024" s="497"/>
      <c r="J2024" s="446">
        <f>ROUNDDOWN(SUMIF(P2021:P2023,O2024,J2021:J2023),0)</f>
        <v>9180</v>
      </c>
      <c r="K2024" s="497"/>
      <c r="L2024" s="446">
        <f>ROUNDDOWN(SUMIF(P2021:P2023,O2024,L2021:L2023),0)</f>
        <v>0</v>
      </c>
      <c r="M2024" s="497"/>
      <c r="O2024" s="468" t="s">
        <v>2354</v>
      </c>
    </row>
    <row r="2025" spans="1:26" ht="33.200000000000003" customHeight="1">
      <c r="A2025" s="484" t="s">
        <v>5516</v>
      </c>
      <c r="B2025" s="484"/>
      <c r="C2025" s="485"/>
      <c r="D2025" s="485"/>
      <c r="E2025" s="485"/>
      <c r="F2025" s="485"/>
      <c r="G2025" s="485"/>
      <c r="H2025" s="485"/>
      <c r="I2025" s="485"/>
      <c r="J2025" s="485"/>
      <c r="K2025" s="485"/>
      <c r="L2025" s="485"/>
      <c r="M2025" s="485"/>
      <c r="N2025" s="486" t="str">
        <f>HYPERLINK("#N"&amp;ROW(N2027),"_x0005_`BDCOD|B01414_x0007_`POSS|"&amp;ROW(N2027)&amp;"_x0007_`POSE|"&amp;ROW(N2027)&amp;"_x0007_`")</f>
        <v>_x0005_`BDCOD|B01414_x0007_`POSS|2027_x0007_`POSE|2027_x0007_`</v>
      </c>
    </row>
    <row r="2026" spans="1:26" ht="33.200000000000003" customHeight="1">
      <c r="A2026" s="469" t="s">
        <v>2321</v>
      </c>
      <c r="B2026" s="469" t="s">
        <v>2322</v>
      </c>
      <c r="C2026" s="487"/>
      <c r="D2026" s="488" t="s">
        <v>8</v>
      </c>
      <c r="E2026" s="487"/>
      <c r="F2026" s="487"/>
      <c r="G2026" s="487"/>
      <c r="H2026" s="487"/>
      <c r="I2026" s="487"/>
      <c r="J2026" s="487"/>
      <c r="K2026" s="487"/>
      <c r="L2026" s="487"/>
      <c r="M2026" s="488" t="s">
        <v>2320</v>
      </c>
      <c r="O2026" s="468" t="s">
        <v>2320</v>
      </c>
    </row>
    <row r="2027" spans="1:26" ht="33.200000000000003" customHeight="1">
      <c r="A2027" s="452" t="s">
        <v>2360</v>
      </c>
      <c r="B2027" s="452"/>
      <c r="C2027" s="489">
        <v>0.2</v>
      </c>
      <c r="D2027" s="480" t="s">
        <v>585</v>
      </c>
      <c r="E2027" s="490">
        <f>I2027+G2027+K2027</f>
        <v>172068</v>
      </c>
      <c r="F2027" s="493">
        <f>J2027+H2027+L2027</f>
        <v>34413.599999999999</v>
      </c>
      <c r="G2027" s="494">
        <f>노무비목록표!E10</f>
        <v>172068</v>
      </c>
      <c r="H2027" s="495">
        <f>IF(C2027=0,0,ROUNDDOWN(G2027*C2027,1))</f>
        <v>34413.599999999999</v>
      </c>
      <c r="I2027" s="492">
        <v>0</v>
      </c>
      <c r="J2027" s="491">
        <f>IF(C2027=0,0,ROUNDDOWN(I2027*C2027,1))</f>
        <v>0</v>
      </c>
      <c r="K2027" s="492">
        <v>0</v>
      </c>
      <c r="L2027" s="493">
        <f>IF(C2027=0,0,ROUNDDOWN(K2027*C2027,1))</f>
        <v>0</v>
      </c>
      <c r="M2027" s="463" t="s">
        <v>2361</v>
      </c>
      <c r="N2027" s="451" t="s">
        <v>2362</v>
      </c>
      <c r="O2027" s="468" t="s">
        <v>2363</v>
      </c>
      <c r="P2027" s="468" t="s">
        <v>2354</v>
      </c>
      <c r="Z2027" s="433" t="str">
        <f ca="1">HYPERLINK("#"&amp;노무비목록표!G2&amp;"!A"&amp;ROW(노무비목록표!A10),"L00017 →")</f>
        <v>L00017 →</v>
      </c>
    </row>
    <row r="2028" spans="1:26" ht="33.200000000000003" customHeight="1">
      <c r="A2028" s="463" t="s">
        <v>842</v>
      </c>
      <c r="B2028" s="497"/>
      <c r="C2028" s="497"/>
      <c r="D2028" s="497"/>
      <c r="E2028" s="497"/>
      <c r="F2028" s="446">
        <f>J2028+H2028+L2028</f>
        <v>34413</v>
      </c>
      <c r="G2028" s="497"/>
      <c r="H2028" s="446">
        <f>ROUNDDOWN(SUMIF(P2027:P2027,O2028,H2027:H2027),0)</f>
        <v>34413</v>
      </c>
      <c r="I2028" s="497"/>
      <c r="J2028" s="446">
        <f>ROUNDDOWN(SUMIF(P2027:P2027,O2028,J2027:J2027),0)</f>
        <v>0</v>
      </c>
      <c r="K2028" s="497"/>
      <c r="L2028" s="446">
        <f>ROUNDDOWN(SUMIF(P2027:P2027,O2028,L2027:L2027),0)</f>
        <v>0</v>
      </c>
      <c r="M2028" s="497"/>
      <c r="O2028" s="468" t="s">
        <v>2354</v>
      </c>
    </row>
    <row r="2029" spans="1:26" ht="33.200000000000003" customHeight="1">
      <c r="A2029" s="484" t="s">
        <v>5517</v>
      </c>
      <c r="B2029" s="484"/>
      <c r="C2029" s="485"/>
      <c r="D2029" s="485"/>
      <c r="E2029" s="485"/>
      <c r="F2029" s="485"/>
      <c r="G2029" s="485"/>
      <c r="H2029" s="485"/>
      <c r="I2029" s="485"/>
      <c r="J2029" s="485"/>
      <c r="K2029" s="485"/>
      <c r="L2029" s="485"/>
      <c r="M2029" s="485"/>
      <c r="N2029" s="486" t="str">
        <f>HYPERLINK("#N"&amp;ROW(N2036),"_x0005_`BDCOD|B02691_x0007_`POSS|"&amp;ROW(N2031)&amp;"_x0007_`POSE|"&amp;ROW(N2036)&amp;"_x0007_`")</f>
        <v>_x0005_`BDCOD|B02691_x0007_`POSS|2031_x0007_`POSE|2036_x0007_`</v>
      </c>
    </row>
    <row r="2030" spans="1:26" ht="33.200000000000003" customHeight="1">
      <c r="A2030" s="469" t="s">
        <v>2325</v>
      </c>
      <c r="B2030" s="469" t="s">
        <v>2326</v>
      </c>
      <c r="C2030" s="487"/>
      <c r="D2030" s="488" t="s">
        <v>2132</v>
      </c>
      <c r="E2030" s="487"/>
      <c r="F2030" s="487"/>
      <c r="G2030" s="487"/>
      <c r="H2030" s="487"/>
      <c r="I2030" s="487"/>
      <c r="J2030" s="487"/>
      <c r="K2030" s="487"/>
      <c r="L2030" s="487"/>
      <c r="M2030" s="488" t="s">
        <v>2324</v>
      </c>
      <c r="O2030" s="468" t="s">
        <v>2324</v>
      </c>
    </row>
    <row r="2031" spans="1:26" ht="33.200000000000003" customHeight="1">
      <c r="A2031" s="452" t="s">
        <v>3144</v>
      </c>
      <c r="B2031" s="452"/>
      <c r="C2031" s="489">
        <v>7.05</v>
      </c>
      <c r="D2031" s="480" t="s">
        <v>585</v>
      </c>
      <c r="E2031" s="490">
        <f t="shared" ref="E2031:F2036" si="329">I2031+G2031+K2031</f>
        <v>239808</v>
      </c>
      <c r="F2031" s="493">
        <f t="shared" si="329"/>
        <v>1690646.4</v>
      </c>
      <c r="G2031" s="494">
        <f>노무비목록표!E18</f>
        <v>239808</v>
      </c>
      <c r="H2031" s="495">
        <f>IF(C2031=0,0,ROUNDDOWN(G2031*C2031,1))</f>
        <v>1690646.4</v>
      </c>
      <c r="I2031" s="492">
        <v>0</v>
      </c>
      <c r="J2031" s="491">
        <f>IF(C2031=0,0,ROUNDDOWN(I2031*C2031,1))</f>
        <v>0</v>
      </c>
      <c r="K2031" s="492">
        <v>0</v>
      </c>
      <c r="L2031" s="493">
        <f>IF(C2031=0,0,ROUNDDOWN(K2031*C2031,1))</f>
        <v>0</v>
      </c>
      <c r="M2031" s="463" t="s">
        <v>3145</v>
      </c>
      <c r="N2031" s="451" t="s">
        <v>3146</v>
      </c>
      <c r="O2031" s="468" t="s">
        <v>3147</v>
      </c>
      <c r="P2031" s="468" t="s">
        <v>2354</v>
      </c>
      <c r="Q2031" s="468" t="s">
        <v>2355</v>
      </c>
      <c r="Z2031" s="433" t="str">
        <f ca="1">HYPERLINK("#"&amp;노무비목록표!G2&amp;"!A"&amp;ROW(노무비목록표!A18),"L00004 →")</f>
        <v>L00004 →</v>
      </c>
    </row>
    <row r="2032" spans="1:26" ht="33.200000000000003" customHeight="1">
      <c r="A2032" s="452" t="s">
        <v>3148</v>
      </c>
      <c r="B2032" s="452"/>
      <c r="C2032" s="489">
        <v>2.57</v>
      </c>
      <c r="D2032" s="480" t="s">
        <v>585</v>
      </c>
      <c r="E2032" s="490">
        <f t="shared" si="329"/>
        <v>282536</v>
      </c>
      <c r="F2032" s="493">
        <f t="shared" si="329"/>
        <v>726117.5</v>
      </c>
      <c r="G2032" s="494">
        <f>노무비목록표!E12</f>
        <v>282536</v>
      </c>
      <c r="H2032" s="495">
        <f>IF(C2032=0,0,ROUNDDOWN(G2032*C2032,1))</f>
        <v>726117.5</v>
      </c>
      <c r="I2032" s="492">
        <v>0</v>
      </c>
      <c r="J2032" s="491">
        <f>IF(C2032=0,0,ROUNDDOWN(I2032*C2032,1))</f>
        <v>0</v>
      </c>
      <c r="K2032" s="492">
        <v>0</v>
      </c>
      <c r="L2032" s="493">
        <f>IF(C2032=0,0,ROUNDDOWN(K2032*C2032,1))</f>
        <v>0</v>
      </c>
      <c r="M2032" s="463" t="s">
        <v>3149</v>
      </c>
      <c r="N2032" s="451" t="s">
        <v>3150</v>
      </c>
      <c r="O2032" s="468" t="s">
        <v>3151</v>
      </c>
      <c r="P2032" s="468" t="s">
        <v>2354</v>
      </c>
      <c r="Q2032" s="468" t="s">
        <v>2355</v>
      </c>
      <c r="Z2032" s="433" t="str">
        <f ca="1">HYPERLINK("#"&amp;노무비목록표!G2&amp;"!A"&amp;ROW(노무비목록표!A12),"L00026 →")</f>
        <v>L00026 →</v>
      </c>
    </row>
    <row r="2033" spans="1:26" ht="33.200000000000003" customHeight="1">
      <c r="A2033" s="452" t="s">
        <v>2516</v>
      </c>
      <c r="B2033" s="452"/>
      <c r="C2033" s="489">
        <v>1.92</v>
      </c>
      <c r="D2033" s="480" t="s">
        <v>585</v>
      </c>
      <c r="E2033" s="490">
        <f t="shared" si="329"/>
        <v>226122</v>
      </c>
      <c r="F2033" s="493">
        <f t="shared" si="329"/>
        <v>434154.2</v>
      </c>
      <c r="G2033" s="494">
        <f>노무비목록표!E21</f>
        <v>226122</v>
      </c>
      <c r="H2033" s="495">
        <f>IF(C2033=0,0,ROUNDDOWN(G2033*C2033,1))</f>
        <v>434154.2</v>
      </c>
      <c r="I2033" s="492">
        <v>0</v>
      </c>
      <c r="J2033" s="491">
        <f>IF(C2033=0,0,ROUNDDOWN(I2033*C2033,1))</f>
        <v>0</v>
      </c>
      <c r="K2033" s="492">
        <v>0</v>
      </c>
      <c r="L2033" s="493">
        <f>IF(C2033=0,0,ROUNDDOWN(K2033*C2033,1))</f>
        <v>0</v>
      </c>
      <c r="M2033" s="463" t="s">
        <v>2517</v>
      </c>
      <c r="N2033" s="451" t="s">
        <v>2518</v>
      </c>
      <c r="O2033" s="468" t="s">
        <v>2519</v>
      </c>
      <c r="P2033" s="468" t="s">
        <v>2354</v>
      </c>
      <c r="Q2033" s="468" t="s">
        <v>2355</v>
      </c>
      <c r="Z2033" s="433" t="str">
        <f ca="1">HYPERLINK("#"&amp;노무비목록표!G2&amp;"!A"&amp;ROW(노무비목록표!A21),"L00016 →")</f>
        <v>L00016 →</v>
      </c>
    </row>
    <row r="2034" spans="1:26" ht="33.200000000000003" customHeight="1">
      <c r="A2034" s="452" t="s">
        <v>2360</v>
      </c>
      <c r="B2034" s="452"/>
      <c r="C2034" s="489">
        <v>1.28</v>
      </c>
      <c r="D2034" s="480" t="s">
        <v>585</v>
      </c>
      <c r="E2034" s="490">
        <f t="shared" si="329"/>
        <v>172068</v>
      </c>
      <c r="F2034" s="493">
        <f t="shared" si="329"/>
        <v>220247</v>
      </c>
      <c r="G2034" s="494">
        <f>노무비목록표!E10</f>
        <v>172068</v>
      </c>
      <c r="H2034" s="495">
        <f>IF(C2034=0,0,ROUNDDOWN(G2034*C2034,1))</f>
        <v>220247</v>
      </c>
      <c r="I2034" s="492">
        <v>0</v>
      </c>
      <c r="J2034" s="491">
        <f>IF(C2034=0,0,ROUNDDOWN(I2034*C2034,1))</f>
        <v>0</v>
      </c>
      <c r="K2034" s="492">
        <v>0</v>
      </c>
      <c r="L2034" s="493">
        <f>IF(C2034=0,0,ROUNDDOWN(K2034*C2034,1))</f>
        <v>0</v>
      </c>
      <c r="M2034" s="463" t="s">
        <v>2361</v>
      </c>
      <c r="N2034" s="451" t="s">
        <v>2428</v>
      </c>
      <c r="O2034" s="468" t="s">
        <v>2363</v>
      </c>
      <c r="P2034" s="468" t="s">
        <v>2354</v>
      </c>
      <c r="Q2034" s="468" t="s">
        <v>2355</v>
      </c>
      <c r="Z2034" s="433" t="str">
        <f ca="1">HYPERLINK("#"&amp;노무비목록표!G2&amp;"!A"&amp;ROW(노무비목록표!A10),"L00017 →")</f>
        <v>L00017 →</v>
      </c>
    </row>
    <row r="2035" spans="1:26" ht="33.200000000000003" customHeight="1">
      <c r="A2035" s="452" t="s">
        <v>3152</v>
      </c>
      <c r="B2035" s="452" t="s">
        <v>2441</v>
      </c>
      <c r="C2035" s="489">
        <v>5</v>
      </c>
      <c r="D2035" s="480" t="s">
        <v>2371</v>
      </c>
      <c r="E2035" s="490">
        <f t="shared" si="329"/>
        <v>3071165.1</v>
      </c>
      <c r="F2035" s="491">
        <f t="shared" si="329"/>
        <v>153558.20000000001</v>
      </c>
      <c r="G2035" s="465">
        <v>0</v>
      </c>
      <c r="H2035" s="491">
        <f>IF(C2035=0,0,ROUNDDOWN(G2035*C2035/100,1))</f>
        <v>0</v>
      </c>
      <c r="I2035" s="465">
        <v>0</v>
      </c>
      <c r="J2035" s="493">
        <f>IF(C2035=0,0,ROUNDDOWN(I2035*C2035/100,1))</f>
        <v>0</v>
      </c>
      <c r="K2035" s="499">
        <f>H2031+H2032+H2033+H2034</f>
        <v>3071165.1</v>
      </c>
      <c r="L2035" s="493">
        <f>IF(C2035=0,0,ROUNDDOWN(K2035*C2035/100,1))</f>
        <v>153558.20000000001</v>
      </c>
      <c r="M2035" s="463"/>
      <c r="N2035" s="451" t="s">
        <v>2442</v>
      </c>
      <c r="O2035" s="468" t="s">
        <v>2373</v>
      </c>
      <c r="P2035" s="468" t="s">
        <v>2354</v>
      </c>
    </row>
    <row r="2036" spans="1:26" ht="33.200000000000003" customHeight="1">
      <c r="A2036" s="452" t="s">
        <v>2816</v>
      </c>
      <c r="B2036" s="452" t="s">
        <v>2441</v>
      </c>
      <c r="C2036" s="489">
        <v>3</v>
      </c>
      <c r="D2036" s="480" t="s">
        <v>2371</v>
      </c>
      <c r="E2036" s="490">
        <f t="shared" si="329"/>
        <v>3071165.1</v>
      </c>
      <c r="F2036" s="491">
        <f t="shared" si="329"/>
        <v>92134.9</v>
      </c>
      <c r="G2036" s="465">
        <v>0</v>
      </c>
      <c r="H2036" s="491">
        <f>IF(C2036=0,0,ROUNDDOWN(G2036*C2036/100,1))</f>
        <v>0</v>
      </c>
      <c r="I2036" s="496">
        <f>H2031+H2032+H2033+H2034</f>
        <v>3071165.1</v>
      </c>
      <c r="J2036" s="493">
        <f>IF(C2036=0,0,ROUNDDOWN(I2036*C2036/100,1))</f>
        <v>92134.9</v>
      </c>
      <c r="K2036" s="467">
        <v>0</v>
      </c>
      <c r="L2036" s="493">
        <f>IF(C2036=0,0,ROUNDDOWN(K2036*C2036/100,1))</f>
        <v>0</v>
      </c>
      <c r="M2036" s="463"/>
      <c r="N2036" s="451" t="s">
        <v>2817</v>
      </c>
      <c r="O2036" s="468" t="s">
        <v>2373</v>
      </c>
      <c r="P2036" s="468" t="s">
        <v>2354</v>
      </c>
    </row>
    <row r="2037" spans="1:26" ht="33.200000000000003" customHeight="1">
      <c r="A2037" s="463" t="s">
        <v>842</v>
      </c>
      <c r="B2037" s="497"/>
      <c r="C2037" s="497"/>
      <c r="D2037" s="497"/>
      <c r="E2037" s="497"/>
      <c r="F2037" s="446">
        <f>J2037+H2037+L2037</f>
        <v>3316857</v>
      </c>
      <c r="G2037" s="497"/>
      <c r="H2037" s="446">
        <f>ROUNDDOWN(SUMIF(P2031:P2036,O2037,H2031:H2036),0)</f>
        <v>3071165</v>
      </c>
      <c r="I2037" s="497"/>
      <c r="J2037" s="446">
        <f>ROUNDDOWN(SUMIF(P2031:P2036,O2037,J2031:J2036),0)</f>
        <v>92134</v>
      </c>
      <c r="K2037" s="497"/>
      <c r="L2037" s="446">
        <f>ROUNDDOWN(SUMIF(P2031:P2036,O2037,L2031:L2036),0)</f>
        <v>153558</v>
      </c>
      <c r="M2037" s="497"/>
      <c r="O2037" s="468" t="s">
        <v>2354</v>
      </c>
    </row>
    <row r="2038" spans="1:26" ht="33.200000000000003" customHeight="1">
      <c r="A2038" s="484" t="s">
        <v>5518</v>
      </c>
      <c r="B2038" s="484"/>
      <c r="C2038" s="485"/>
      <c r="D2038" s="485"/>
      <c r="E2038" s="485"/>
      <c r="F2038" s="485"/>
      <c r="G2038" s="485"/>
      <c r="H2038" s="485"/>
      <c r="I2038" s="485"/>
      <c r="J2038" s="485"/>
      <c r="K2038" s="485"/>
      <c r="L2038" s="485"/>
      <c r="M2038" s="485"/>
      <c r="N2038" s="486" t="str">
        <f>HYPERLINK("#N"&amp;ROW(N2045),"_x0005_`BDCOD|B02687_x0007_`POSS|"&amp;ROW(N2040)&amp;"_x0007_`POSE|"&amp;ROW(N2045)&amp;"_x0007_`")</f>
        <v>_x0005_`BDCOD|B02687_x0007_`POSS|2040_x0007_`POSE|2045_x0007_`</v>
      </c>
    </row>
    <row r="2039" spans="1:26" ht="33.200000000000003" customHeight="1">
      <c r="A2039" s="469" t="s">
        <v>2325</v>
      </c>
      <c r="B2039" s="469" t="s">
        <v>2329</v>
      </c>
      <c r="C2039" s="487"/>
      <c r="D2039" s="488" t="s">
        <v>2132</v>
      </c>
      <c r="E2039" s="487"/>
      <c r="F2039" s="487"/>
      <c r="G2039" s="487"/>
      <c r="H2039" s="487"/>
      <c r="I2039" s="487"/>
      <c r="J2039" s="487"/>
      <c r="K2039" s="487"/>
      <c r="L2039" s="487"/>
      <c r="M2039" s="488" t="s">
        <v>2328</v>
      </c>
      <c r="O2039" s="468" t="s">
        <v>2328</v>
      </c>
    </row>
    <row r="2040" spans="1:26" ht="33.200000000000003" customHeight="1">
      <c r="A2040" s="452" t="s">
        <v>3144</v>
      </c>
      <c r="B2040" s="452"/>
      <c r="C2040" s="489">
        <v>16.09</v>
      </c>
      <c r="D2040" s="480" t="s">
        <v>585</v>
      </c>
      <c r="E2040" s="490">
        <f t="shared" ref="E2040:F2045" si="330">I2040+G2040+K2040</f>
        <v>239808</v>
      </c>
      <c r="F2040" s="493">
        <f t="shared" si="330"/>
        <v>3858510.7</v>
      </c>
      <c r="G2040" s="494">
        <f>노무비목록표!E18</f>
        <v>239808</v>
      </c>
      <c r="H2040" s="495">
        <f>IF(C2040=0,0,ROUNDDOWN(G2040*C2040,1))</f>
        <v>3858510.7</v>
      </c>
      <c r="I2040" s="492">
        <v>0</v>
      </c>
      <c r="J2040" s="491">
        <f>IF(C2040=0,0,ROUNDDOWN(I2040*C2040,1))</f>
        <v>0</v>
      </c>
      <c r="K2040" s="492">
        <v>0</v>
      </c>
      <c r="L2040" s="493">
        <f>IF(C2040=0,0,ROUNDDOWN(K2040*C2040,1))</f>
        <v>0</v>
      </c>
      <c r="M2040" s="463" t="s">
        <v>3145</v>
      </c>
      <c r="N2040" s="451" t="s">
        <v>3146</v>
      </c>
      <c r="O2040" s="468" t="s">
        <v>3147</v>
      </c>
      <c r="P2040" s="468" t="s">
        <v>2354</v>
      </c>
      <c r="Q2040" s="468" t="s">
        <v>2355</v>
      </c>
      <c r="Z2040" s="433" t="str">
        <f ca="1">HYPERLINK("#"&amp;노무비목록표!G2&amp;"!A"&amp;ROW(노무비목록표!A18),"L00004 →")</f>
        <v>L00004 →</v>
      </c>
    </row>
    <row r="2041" spans="1:26" ht="33.200000000000003" customHeight="1">
      <c r="A2041" s="452" t="s">
        <v>3148</v>
      </c>
      <c r="B2041" s="452"/>
      <c r="C2041" s="489">
        <v>4.3899999999999997</v>
      </c>
      <c r="D2041" s="480" t="s">
        <v>585</v>
      </c>
      <c r="E2041" s="490">
        <f t="shared" si="330"/>
        <v>282536</v>
      </c>
      <c r="F2041" s="493">
        <f t="shared" si="330"/>
        <v>1240333</v>
      </c>
      <c r="G2041" s="494">
        <f>노무비목록표!E12</f>
        <v>282536</v>
      </c>
      <c r="H2041" s="495">
        <f>IF(C2041=0,0,ROUNDDOWN(G2041*C2041,1))</f>
        <v>1240333</v>
      </c>
      <c r="I2041" s="492">
        <v>0</v>
      </c>
      <c r="J2041" s="491">
        <f>IF(C2041=0,0,ROUNDDOWN(I2041*C2041,1))</f>
        <v>0</v>
      </c>
      <c r="K2041" s="492">
        <v>0</v>
      </c>
      <c r="L2041" s="493">
        <f>IF(C2041=0,0,ROUNDDOWN(K2041*C2041,1))</f>
        <v>0</v>
      </c>
      <c r="M2041" s="463" t="s">
        <v>3149</v>
      </c>
      <c r="N2041" s="451" t="s">
        <v>3150</v>
      </c>
      <c r="O2041" s="468" t="s">
        <v>3151</v>
      </c>
      <c r="P2041" s="468" t="s">
        <v>2354</v>
      </c>
      <c r="Q2041" s="468" t="s">
        <v>2355</v>
      </c>
      <c r="Z2041" s="433" t="str">
        <f ca="1">HYPERLINK("#"&amp;노무비목록표!G2&amp;"!A"&amp;ROW(노무비목록표!A12),"L00026 →")</f>
        <v>L00026 →</v>
      </c>
    </row>
    <row r="2042" spans="1:26" ht="33.200000000000003" customHeight="1">
      <c r="A2042" s="452" t="s">
        <v>2516</v>
      </c>
      <c r="B2042" s="452"/>
      <c r="C2042" s="489">
        <v>5.85</v>
      </c>
      <c r="D2042" s="480" t="s">
        <v>585</v>
      </c>
      <c r="E2042" s="490">
        <f t="shared" si="330"/>
        <v>226122</v>
      </c>
      <c r="F2042" s="493">
        <f t="shared" si="330"/>
        <v>1322813.7</v>
      </c>
      <c r="G2042" s="494">
        <f>노무비목록표!E21</f>
        <v>226122</v>
      </c>
      <c r="H2042" s="495">
        <f>IF(C2042=0,0,ROUNDDOWN(G2042*C2042,1))</f>
        <v>1322813.7</v>
      </c>
      <c r="I2042" s="492">
        <v>0</v>
      </c>
      <c r="J2042" s="491">
        <f>IF(C2042=0,0,ROUNDDOWN(I2042*C2042,1))</f>
        <v>0</v>
      </c>
      <c r="K2042" s="492">
        <v>0</v>
      </c>
      <c r="L2042" s="493">
        <f>IF(C2042=0,0,ROUNDDOWN(K2042*C2042,1))</f>
        <v>0</v>
      </c>
      <c r="M2042" s="463" t="s">
        <v>2517</v>
      </c>
      <c r="N2042" s="451" t="s">
        <v>2518</v>
      </c>
      <c r="O2042" s="468" t="s">
        <v>2519</v>
      </c>
      <c r="P2042" s="468" t="s">
        <v>2354</v>
      </c>
      <c r="Q2042" s="468" t="s">
        <v>2355</v>
      </c>
      <c r="Z2042" s="433" t="str">
        <f ca="1">HYPERLINK("#"&amp;노무비목록표!G2&amp;"!A"&amp;ROW(노무비목록표!A21),"L00016 →")</f>
        <v>L00016 →</v>
      </c>
    </row>
    <row r="2043" spans="1:26" ht="33.200000000000003" customHeight="1">
      <c r="A2043" s="452" t="s">
        <v>2360</v>
      </c>
      <c r="B2043" s="452"/>
      <c r="C2043" s="489">
        <v>2.93</v>
      </c>
      <c r="D2043" s="480" t="s">
        <v>585</v>
      </c>
      <c r="E2043" s="490">
        <f t="shared" si="330"/>
        <v>172068</v>
      </c>
      <c r="F2043" s="493">
        <f t="shared" si="330"/>
        <v>504159.2</v>
      </c>
      <c r="G2043" s="494">
        <f>노무비목록표!E10</f>
        <v>172068</v>
      </c>
      <c r="H2043" s="495">
        <f>IF(C2043=0,0,ROUNDDOWN(G2043*C2043,1))</f>
        <v>504159.2</v>
      </c>
      <c r="I2043" s="492">
        <v>0</v>
      </c>
      <c r="J2043" s="491">
        <f>IF(C2043=0,0,ROUNDDOWN(I2043*C2043,1))</f>
        <v>0</v>
      </c>
      <c r="K2043" s="492">
        <v>0</v>
      </c>
      <c r="L2043" s="493">
        <f>IF(C2043=0,0,ROUNDDOWN(K2043*C2043,1))</f>
        <v>0</v>
      </c>
      <c r="M2043" s="463" t="s">
        <v>2361</v>
      </c>
      <c r="N2043" s="451" t="s">
        <v>2428</v>
      </c>
      <c r="O2043" s="468" t="s">
        <v>2363</v>
      </c>
      <c r="P2043" s="468" t="s">
        <v>2354</v>
      </c>
      <c r="Q2043" s="468" t="s">
        <v>2355</v>
      </c>
      <c r="Z2043" s="433" t="str">
        <f ca="1">HYPERLINK("#"&amp;노무비목록표!G2&amp;"!A"&amp;ROW(노무비목록표!A10),"L00017 →")</f>
        <v>L00017 →</v>
      </c>
    </row>
    <row r="2044" spans="1:26" ht="33.200000000000003" customHeight="1">
      <c r="A2044" s="452" t="s">
        <v>2440</v>
      </c>
      <c r="B2044" s="452" t="s">
        <v>2441</v>
      </c>
      <c r="C2044" s="489">
        <v>4</v>
      </c>
      <c r="D2044" s="480" t="s">
        <v>2371</v>
      </c>
      <c r="E2044" s="490">
        <f t="shared" si="330"/>
        <v>6925816.6000000006</v>
      </c>
      <c r="F2044" s="491">
        <f t="shared" si="330"/>
        <v>277032.59999999998</v>
      </c>
      <c r="G2044" s="465">
        <v>0</v>
      </c>
      <c r="H2044" s="491">
        <f>IF(C2044=0,0,ROUNDDOWN(G2044*C2044/100,1))</f>
        <v>0</v>
      </c>
      <c r="I2044" s="465">
        <v>0</v>
      </c>
      <c r="J2044" s="493">
        <f>IF(C2044=0,0,ROUNDDOWN(I2044*C2044/100,1))</f>
        <v>0</v>
      </c>
      <c r="K2044" s="499">
        <f>H2040+H2041+H2042+H2043</f>
        <v>6925816.6000000006</v>
      </c>
      <c r="L2044" s="493">
        <f>IF(C2044=0,0,ROUNDDOWN(K2044*C2044/100,1))</f>
        <v>277032.59999999998</v>
      </c>
      <c r="M2044" s="463"/>
      <c r="N2044" s="451" t="s">
        <v>3154</v>
      </c>
      <c r="O2044" s="468" t="s">
        <v>2373</v>
      </c>
      <c r="P2044" s="468" t="s">
        <v>2354</v>
      </c>
      <c r="Q2044" s="468" t="s">
        <v>2355</v>
      </c>
    </row>
    <row r="2045" spans="1:26" ht="33.200000000000003" customHeight="1">
      <c r="A2045" s="452" t="s">
        <v>2816</v>
      </c>
      <c r="B2045" s="452" t="s">
        <v>2441</v>
      </c>
      <c r="C2045" s="489">
        <v>2</v>
      </c>
      <c r="D2045" s="480" t="s">
        <v>2371</v>
      </c>
      <c r="E2045" s="490">
        <f t="shared" si="330"/>
        <v>6925816.6000000006</v>
      </c>
      <c r="F2045" s="491">
        <f t="shared" si="330"/>
        <v>138516.29999999999</v>
      </c>
      <c r="G2045" s="465">
        <v>0</v>
      </c>
      <c r="H2045" s="491">
        <f>IF(C2045=0,0,ROUNDDOWN(G2045*C2045/100,1))</f>
        <v>0</v>
      </c>
      <c r="I2045" s="465">
        <v>0</v>
      </c>
      <c r="J2045" s="493">
        <f>IF(C2045=0,0,ROUNDDOWN(I2045*C2045/100,1))</f>
        <v>0</v>
      </c>
      <c r="K2045" s="499">
        <f>H2040+H2041+H2042+H2043+H2044</f>
        <v>6925816.6000000006</v>
      </c>
      <c r="L2045" s="493">
        <f>IF(C2045=0,0,ROUNDDOWN(K2045*C2045/100,1))</f>
        <v>138516.29999999999</v>
      </c>
      <c r="M2045" s="463"/>
      <c r="N2045" s="451" t="s">
        <v>2442</v>
      </c>
      <c r="O2045" s="468" t="s">
        <v>2373</v>
      </c>
      <c r="P2045" s="468" t="s">
        <v>2354</v>
      </c>
    </row>
    <row r="2046" spans="1:26" ht="33.200000000000003" customHeight="1">
      <c r="A2046" s="463" t="s">
        <v>842</v>
      </c>
      <c r="B2046" s="497"/>
      <c r="C2046" s="497"/>
      <c r="D2046" s="497"/>
      <c r="E2046" s="497"/>
      <c r="F2046" s="446">
        <f>J2046+H2046+L2046</f>
        <v>7341364</v>
      </c>
      <c r="G2046" s="497"/>
      <c r="H2046" s="446">
        <f>ROUNDDOWN(SUMIF(P2040:P2045,O2046,H2040:H2045),0)</f>
        <v>6925816</v>
      </c>
      <c r="I2046" s="497"/>
      <c r="J2046" s="446">
        <f>ROUNDDOWN(SUMIF(P2040:P2045,O2046,J2040:J2045),0)</f>
        <v>0</v>
      </c>
      <c r="K2046" s="497"/>
      <c r="L2046" s="446">
        <f>ROUNDDOWN(SUMIF(P2040:P2045,O2046,L2040:L2045),0)</f>
        <v>415548</v>
      </c>
      <c r="M2046" s="497"/>
      <c r="O2046" s="468" t="s">
        <v>2354</v>
      </c>
    </row>
    <row r="2047" spans="1:26" ht="33.200000000000003" customHeight="1">
      <c r="A2047" s="484" t="s">
        <v>5519</v>
      </c>
      <c r="B2047" s="484"/>
      <c r="C2047" s="485"/>
      <c r="D2047" s="485"/>
      <c r="E2047" s="485"/>
      <c r="F2047" s="485"/>
      <c r="G2047" s="485"/>
      <c r="H2047" s="485"/>
      <c r="I2047" s="485"/>
      <c r="J2047" s="485"/>
      <c r="K2047" s="485"/>
      <c r="L2047" s="485"/>
      <c r="M2047" s="485"/>
      <c r="N2047" s="486" t="str">
        <f>HYPERLINK("#N"&amp;ROW(N2050),"_x0005_`BDCOD|B01959_x0007_`POSS|"&amp;ROW(N2049)&amp;"_x0007_`POSE|"&amp;ROW(N2050)&amp;"_x0007_`")</f>
        <v>_x0005_`BDCOD|B01959_x0007_`POSS|2049_x0007_`POSE|2050_x0007_`</v>
      </c>
    </row>
    <row r="2048" spans="1:26" ht="33.200000000000003" customHeight="1">
      <c r="A2048" s="469" t="s">
        <v>1255</v>
      </c>
      <c r="B2048" s="469" t="s">
        <v>1256</v>
      </c>
      <c r="C2048" s="487"/>
      <c r="D2048" s="488" t="s">
        <v>595</v>
      </c>
      <c r="E2048" s="487"/>
      <c r="F2048" s="487"/>
      <c r="G2048" s="487"/>
      <c r="H2048" s="487"/>
      <c r="I2048" s="487"/>
      <c r="J2048" s="487"/>
      <c r="K2048" s="487"/>
      <c r="L2048" s="487"/>
      <c r="M2048" s="488" t="s">
        <v>1257</v>
      </c>
      <c r="O2048" s="468" t="s">
        <v>1257</v>
      </c>
    </row>
    <row r="2049" spans="1:26" ht="33.200000000000003" customHeight="1">
      <c r="A2049" s="452" t="s">
        <v>2360</v>
      </c>
      <c r="B2049" s="452"/>
      <c r="C2049" s="489">
        <v>0.01</v>
      </c>
      <c r="D2049" s="480" t="s">
        <v>585</v>
      </c>
      <c r="E2049" s="490">
        <f>I2049+G2049+K2049</f>
        <v>172068</v>
      </c>
      <c r="F2049" s="493">
        <f>J2049+H2049+L2049</f>
        <v>1720.6</v>
      </c>
      <c r="G2049" s="494">
        <f>노무비목록표!E10</f>
        <v>172068</v>
      </c>
      <c r="H2049" s="495">
        <f>IF(C2049=0,0,ROUNDDOWN(G2049*C2049,1))</f>
        <v>1720.6</v>
      </c>
      <c r="I2049" s="492">
        <v>0</v>
      </c>
      <c r="J2049" s="491">
        <f>IF(C2049=0,0,ROUNDDOWN(I2049*C2049,1))</f>
        <v>0</v>
      </c>
      <c r="K2049" s="492">
        <v>0</v>
      </c>
      <c r="L2049" s="493">
        <f>IF(C2049=0,0,ROUNDDOWN(K2049*C2049,1))</f>
        <v>0</v>
      </c>
      <c r="M2049" s="463" t="s">
        <v>2361</v>
      </c>
      <c r="N2049" s="451" t="s">
        <v>2362</v>
      </c>
      <c r="O2049" s="468" t="s">
        <v>2363</v>
      </c>
      <c r="P2049" s="468" t="s">
        <v>2354</v>
      </c>
      <c r="Z2049" s="433" t="str">
        <f ca="1">HYPERLINK("#"&amp;노무비목록표!G2&amp;"!A"&amp;ROW(노무비목록표!A10),"L00017 →")</f>
        <v>L00017 →</v>
      </c>
    </row>
    <row r="2050" spans="1:26" ht="33.200000000000003" customHeight="1">
      <c r="A2050" s="452" t="s">
        <v>2407</v>
      </c>
      <c r="B2050" s="452" t="s">
        <v>3156</v>
      </c>
      <c r="C2050" s="489">
        <v>2.4E-2</v>
      </c>
      <c r="D2050" s="480" t="s">
        <v>2409</v>
      </c>
      <c r="E2050" s="490">
        <f>I2050+G2050+K2050</f>
        <v>99603</v>
      </c>
      <c r="F2050" s="493">
        <f>J2050+H2050+L2050</f>
        <v>2390.3000000000002</v>
      </c>
      <c r="G2050" s="494">
        <f>중기목록표!F8</f>
        <v>59020</v>
      </c>
      <c r="H2050" s="498">
        <f>IF(C2050=0,0,ROUNDDOWN(G2050*C2050,1))</f>
        <v>1416.4</v>
      </c>
      <c r="I2050" s="494">
        <f>중기목록표!G8</f>
        <v>17160</v>
      </c>
      <c r="J2050" s="498">
        <f>IF(C2050=0,0,ROUNDDOWN(I2050*C2050,1))</f>
        <v>411.8</v>
      </c>
      <c r="K2050" s="494">
        <f>중기목록표!H8</f>
        <v>23423</v>
      </c>
      <c r="L2050" s="498">
        <f>IF(C2050=0,0,ROUNDDOWN(K2050*C2050,1))</f>
        <v>562.1</v>
      </c>
      <c r="M2050" s="463" t="s">
        <v>3157</v>
      </c>
      <c r="N2050" s="451" t="s">
        <v>3158</v>
      </c>
      <c r="O2050" s="468" t="s">
        <v>3159</v>
      </c>
      <c r="P2050" s="468" t="s">
        <v>2354</v>
      </c>
      <c r="Z2050" s="433" t="str">
        <f ca="1">HYPERLINK("#"&amp;중기목록표!J2&amp;"!A"&amp;ROW(중기목록표!A8),"X00269 →")</f>
        <v>X00269 →</v>
      </c>
    </row>
    <row r="2051" spans="1:26" ht="33.200000000000003" customHeight="1">
      <c r="A2051" s="463" t="s">
        <v>842</v>
      </c>
      <c r="B2051" s="497"/>
      <c r="C2051" s="497"/>
      <c r="D2051" s="497"/>
      <c r="E2051" s="497"/>
      <c r="F2051" s="446">
        <f>J2051+H2051+L2051</f>
        <v>4110</v>
      </c>
      <c r="G2051" s="497"/>
      <c r="H2051" s="446">
        <f>ROUNDDOWN(SUMIF(P2049:P2050,O2051,H2049:H2050),0)</f>
        <v>3137</v>
      </c>
      <c r="I2051" s="497"/>
      <c r="J2051" s="446">
        <f>ROUNDDOWN(SUMIF(P2049:P2050,O2051,J2049:J2050),0)</f>
        <v>411</v>
      </c>
      <c r="K2051" s="497"/>
      <c r="L2051" s="446">
        <f>ROUNDDOWN(SUMIF(P2049:P2050,O2051,L2049:L2050),0)</f>
        <v>562</v>
      </c>
      <c r="M2051" s="497"/>
      <c r="O2051" s="468" t="s">
        <v>2354</v>
      </c>
    </row>
    <row r="2052" spans="1:26" ht="33.200000000000003" customHeight="1">
      <c r="A2052" s="484" t="s">
        <v>5520</v>
      </c>
      <c r="B2052" s="484"/>
      <c r="C2052" s="485"/>
      <c r="D2052" s="485"/>
      <c r="E2052" s="485"/>
      <c r="F2052" s="485"/>
      <c r="G2052" s="485"/>
      <c r="H2052" s="485"/>
      <c r="I2052" s="485"/>
      <c r="J2052" s="485"/>
      <c r="K2052" s="485"/>
      <c r="L2052" s="485"/>
      <c r="M2052" s="485"/>
      <c r="N2052" s="486" t="str">
        <f>HYPERLINK("#N"&amp;ROW(N2055),"_x0005_`BDCOD|B02213_x0007_`POSS|"&amp;ROW(N2054)&amp;"_x0007_`POSE|"&amp;ROW(N2055)&amp;"_x0007_`")</f>
        <v>_x0005_`BDCOD|B02213_x0007_`POSS|2054_x0007_`POSE|2055_x0007_`</v>
      </c>
    </row>
    <row r="2053" spans="1:26" ht="33.200000000000003" customHeight="1">
      <c r="A2053" s="469" t="s">
        <v>1255</v>
      </c>
      <c r="B2053" s="469" t="s">
        <v>1260</v>
      </c>
      <c r="C2053" s="487"/>
      <c r="D2053" s="488" t="s">
        <v>595</v>
      </c>
      <c r="E2053" s="487"/>
      <c r="F2053" s="487"/>
      <c r="G2053" s="487"/>
      <c r="H2053" s="487"/>
      <c r="I2053" s="487"/>
      <c r="J2053" s="487"/>
      <c r="K2053" s="487"/>
      <c r="L2053" s="487"/>
      <c r="M2053" s="488" t="s">
        <v>1261</v>
      </c>
      <c r="O2053" s="468" t="s">
        <v>1261</v>
      </c>
    </row>
    <row r="2054" spans="1:26" ht="33.200000000000003" customHeight="1">
      <c r="A2054" s="452" t="s">
        <v>2360</v>
      </c>
      <c r="B2054" s="452"/>
      <c r="C2054" s="489">
        <v>8.9999999999999993E-3</v>
      </c>
      <c r="D2054" s="480" t="s">
        <v>585</v>
      </c>
      <c r="E2054" s="490">
        <f>I2054+G2054+K2054</f>
        <v>172068</v>
      </c>
      <c r="F2054" s="493">
        <f>J2054+H2054+L2054</f>
        <v>1548.6</v>
      </c>
      <c r="G2054" s="494">
        <f>노무비목록표!E10</f>
        <v>172068</v>
      </c>
      <c r="H2054" s="495">
        <f>IF(C2054=0,0,ROUNDDOWN(G2054*C2054,1))</f>
        <v>1548.6</v>
      </c>
      <c r="I2054" s="492">
        <v>0</v>
      </c>
      <c r="J2054" s="491">
        <f>IF(C2054=0,0,ROUNDDOWN(I2054*C2054,1))</f>
        <v>0</v>
      </c>
      <c r="K2054" s="492">
        <v>0</v>
      </c>
      <c r="L2054" s="493">
        <f>IF(C2054=0,0,ROUNDDOWN(K2054*C2054,1))</f>
        <v>0</v>
      </c>
      <c r="M2054" s="463" t="s">
        <v>2361</v>
      </c>
      <c r="N2054" s="451" t="s">
        <v>2362</v>
      </c>
      <c r="O2054" s="468" t="s">
        <v>2363</v>
      </c>
      <c r="P2054" s="468" t="s">
        <v>2354</v>
      </c>
      <c r="Z2054" s="433" t="str">
        <f ca="1">HYPERLINK("#"&amp;노무비목록표!G2&amp;"!A"&amp;ROW(노무비목록표!A10),"L00017 →")</f>
        <v>L00017 →</v>
      </c>
    </row>
    <row r="2055" spans="1:26" ht="33.200000000000003" customHeight="1">
      <c r="A2055" s="452" t="s">
        <v>2407</v>
      </c>
      <c r="B2055" s="452" t="s">
        <v>3161</v>
      </c>
      <c r="C2055" s="489">
        <v>2.1000000000000001E-2</v>
      </c>
      <c r="D2055" s="480" t="s">
        <v>2409</v>
      </c>
      <c r="E2055" s="490">
        <f>I2055+G2055+K2055</f>
        <v>103089</v>
      </c>
      <c r="F2055" s="493">
        <f>J2055+H2055+L2055</f>
        <v>2164.8000000000002</v>
      </c>
      <c r="G2055" s="494">
        <f>중기목록표!F10</f>
        <v>59020</v>
      </c>
      <c r="H2055" s="498">
        <f>IF(C2055=0,0,ROUNDDOWN(G2055*C2055,1))</f>
        <v>1239.4000000000001</v>
      </c>
      <c r="I2055" s="494">
        <f>중기목록표!G10</f>
        <v>19515</v>
      </c>
      <c r="J2055" s="498">
        <f>IF(C2055=0,0,ROUNDDOWN(I2055*C2055,1))</f>
        <v>409.8</v>
      </c>
      <c r="K2055" s="494">
        <f>중기목록표!H10</f>
        <v>24554</v>
      </c>
      <c r="L2055" s="498">
        <f>IF(C2055=0,0,ROUNDDOWN(K2055*C2055,1))</f>
        <v>515.6</v>
      </c>
      <c r="M2055" s="463" t="s">
        <v>3162</v>
      </c>
      <c r="N2055" s="451" t="s">
        <v>3163</v>
      </c>
      <c r="O2055" s="468" t="s">
        <v>3164</v>
      </c>
      <c r="P2055" s="468" t="s">
        <v>2354</v>
      </c>
      <c r="Z2055" s="433" t="str">
        <f ca="1">HYPERLINK("#"&amp;중기목록표!J2&amp;"!A"&amp;ROW(중기목록표!A10),"X00262 →")</f>
        <v>X00262 →</v>
      </c>
    </row>
    <row r="2056" spans="1:26" ht="33.200000000000003" customHeight="1">
      <c r="A2056" s="463" t="s">
        <v>842</v>
      </c>
      <c r="B2056" s="497"/>
      <c r="C2056" s="497"/>
      <c r="D2056" s="497"/>
      <c r="E2056" s="497"/>
      <c r="F2056" s="446">
        <f>J2056+H2056+L2056</f>
        <v>3712</v>
      </c>
      <c r="G2056" s="497"/>
      <c r="H2056" s="446">
        <f>ROUNDDOWN(SUMIF(P2054:P2055,O2056,H2054:H2055),0)</f>
        <v>2788</v>
      </c>
      <c r="I2056" s="497"/>
      <c r="J2056" s="446">
        <f>ROUNDDOWN(SUMIF(P2054:P2055,O2056,J2054:J2055),0)</f>
        <v>409</v>
      </c>
      <c r="K2056" s="497"/>
      <c r="L2056" s="446">
        <f>ROUNDDOWN(SUMIF(P2054:P2055,O2056,L2054:L2055),0)</f>
        <v>515</v>
      </c>
      <c r="M2056" s="497"/>
      <c r="O2056" s="468" t="s">
        <v>2354</v>
      </c>
    </row>
    <row r="2057" spans="1:26" ht="33.200000000000003" customHeight="1">
      <c r="A2057" s="484" t="s">
        <v>5521</v>
      </c>
      <c r="B2057" s="484"/>
      <c r="C2057" s="485"/>
      <c r="D2057" s="485"/>
      <c r="E2057" s="485"/>
      <c r="F2057" s="485"/>
      <c r="G2057" s="485"/>
      <c r="H2057" s="485"/>
      <c r="I2057" s="485"/>
      <c r="J2057" s="485"/>
      <c r="K2057" s="485"/>
      <c r="L2057" s="485"/>
      <c r="M2057" s="485"/>
      <c r="N2057" s="486" t="str">
        <f>HYPERLINK("#N"&amp;ROW(N2060),"_x0005_`BDCOD|B02295_x0007_`POSS|"&amp;ROW(N2059)&amp;"_x0007_`POSE|"&amp;ROW(N2060)&amp;"_x0007_`")</f>
        <v>_x0005_`BDCOD|B02295_x0007_`POSS|2059_x0007_`POSE|2060_x0007_`</v>
      </c>
    </row>
    <row r="2058" spans="1:26" ht="33.200000000000003" customHeight="1">
      <c r="A2058" s="469" t="s">
        <v>1255</v>
      </c>
      <c r="B2058" s="469" t="s">
        <v>1264</v>
      </c>
      <c r="C2058" s="487"/>
      <c r="D2058" s="488" t="s">
        <v>595</v>
      </c>
      <c r="E2058" s="487"/>
      <c r="F2058" s="487"/>
      <c r="G2058" s="487"/>
      <c r="H2058" s="487"/>
      <c r="I2058" s="487"/>
      <c r="J2058" s="487"/>
      <c r="K2058" s="487"/>
      <c r="L2058" s="487"/>
      <c r="M2058" s="488" t="s">
        <v>1265</v>
      </c>
      <c r="O2058" s="468" t="s">
        <v>1265</v>
      </c>
    </row>
    <row r="2059" spans="1:26" ht="33.200000000000003" customHeight="1">
      <c r="A2059" s="452" t="s">
        <v>2360</v>
      </c>
      <c r="B2059" s="452"/>
      <c r="C2059" s="489">
        <v>1.9E-2</v>
      </c>
      <c r="D2059" s="480" t="s">
        <v>585</v>
      </c>
      <c r="E2059" s="490">
        <f>I2059+G2059+K2059</f>
        <v>172068</v>
      </c>
      <c r="F2059" s="493">
        <f>J2059+H2059+L2059</f>
        <v>3269.2</v>
      </c>
      <c r="G2059" s="494">
        <f>노무비목록표!E10</f>
        <v>172068</v>
      </c>
      <c r="H2059" s="495">
        <f>IF(C2059=0,0,ROUNDDOWN(G2059*C2059,1))</f>
        <v>3269.2</v>
      </c>
      <c r="I2059" s="492">
        <v>0</v>
      </c>
      <c r="J2059" s="491">
        <f>IF(C2059=0,0,ROUNDDOWN(I2059*C2059,1))</f>
        <v>0</v>
      </c>
      <c r="K2059" s="492">
        <v>0</v>
      </c>
      <c r="L2059" s="493">
        <f>IF(C2059=0,0,ROUNDDOWN(K2059*C2059,1))</f>
        <v>0</v>
      </c>
      <c r="M2059" s="463" t="s">
        <v>2361</v>
      </c>
      <c r="N2059" s="451" t="s">
        <v>2362</v>
      </c>
      <c r="O2059" s="468" t="s">
        <v>2363</v>
      </c>
      <c r="P2059" s="468" t="s">
        <v>2354</v>
      </c>
      <c r="Z2059" s="433" t="str">
        <f ca="1">HYPERLINK("#"&amp;노무비목록표!G2&amp;"!A"&amp;ROW(노무비목록표!A10),"L00017 →")</f>
        <v>L00017 →</v>
      </c>
    </row>
    <row r="2060" spans="1:26" ht="33.200000000000003" customHeight="1">
      <c r="A2060" s="452" t="s">
        <v>2407</v>
      </c>
      <c r="B2060" s="452" t="s">
        <v>3161</v>
      </c>
      <c r="C2060" s="489">
        <v>4.4999999999999998E-2</v>
      </c>
      <c r="D2060" s="480" t="s">
        <v>2409</v>
      </c>
      <c r="E2060" s="490">
        <f>I2060+G2060+K2060</f>
        <v>103089</v>
      </c>
      <c r="F2060" s="493">
        <f>J2060+H2060+L2060</f>
        <v>4638.8999999999996</v>
      </c>
      <c r="G2060" s="494">
        <f>중기목록표!F10</f>
        <v>59020</v>
      </c>
      <c r="H2060" s="498">
        <f>IF(C2060=0,0,ROUNDDOWN(G2060*C2060,1))</f>
        <v>2655.9</v>
      </c>
      <c r="I2060" s="494">
        <f>중기목록표!G10</f>
        <v>19515</v>
      </c>
      <c r="J2060" s="498">
        <f>IF(C2060=0,0,ROUNDDOWN(I2060*C2060,1))</f>
        <v>878.1</v>
      </c>
      <c r="K2060" s="494">
        <f>중기목록표!H10</f>
        <v>24554</v>
      </c>
      <c r="L2060" s="498">
        <f>IF(C2060=0,0,ROUNDDOWN(K2060*C2060,1))</f>
        <v>1104.9000000000001</v>
      </c>
      <c r="M2060" s="463" t="s">
        <v>3162</v>
      </c>
      <c r="N2060" s="451" t="s">
        <v>3163</v>
      </c>
      <c r="O2060" s="468" t="s">
        <v>3164</v>
      </c>
      <c r="P2060" s="468" t="s">
        <v>2354</v>
      </c>
      <c r="Z2060" s="433" t="str">
        <f ca="1">HYPERLINK("#"&amp;중기목록표!J2&amp;"!A"&amp;ROW(중기목록표!A10),"X00262 →")</f>
        <v>X00262 →</v>
      </c>
    </row>
    <row r="2061" spans="1:26" ht="33.200000000000003" customHeight="1">
      <c r="A2061" s="463" t="s">
        <v>842</v>
      </c>
      <c r="B2061" s="497"/>
      <c r="C2061" s="497"/>
      <c r="D2061" s="497"/>
      <c r="E2061" s="497"/>
      <c r="F2061" s="446">
        <f>J2061+H2061+L2061</f>
        <v>7907</v>
      </c>
      <c r="G2061" s="497"/>
      <c r="H2061" s="446">
        <f>ROUNDDOWN(SUMIF(P2059:P2060,O2061,H2059:H2060),0)</f>
        <v>5925</v>
      </c>
      <c r="I2061" s="497"/>
      <c r="J2061" s="446">
        <f>ROUNDDOWN(SUMIF(P2059:P2060,O2061,J2059:J2060),0)</f>
        <v>878</v>
      </c>
      <c r="K2061" s="497"/>
      <c r="L2061" s="446">
        <f>ROUNDDOWN(SUMIF(P2059:P2060,O2061,L2059:L2060),0)</f>
        <v>1104</v>
      </c>
      <c r="M2061" s="497"/>
      <c r="O2061" s="468" t="s">
        <v>2354</v>
      </c>
    </row>
    <row r="2062" spans="1:26" ht="33.200000000000003" customHeight="1">
      <c r="A2062" s="484" t="s">
        <v>5522</v>
      </c>
      <c r="B2062" s="484"/>
      <c r="C2062" s="485"/>
      <c r="D2062" s="485"/>
      <c r="E2062" s="485"/>
      <c r="F2062" s="485"/>
      <c r="G2062" s="485"/>
      <c r="H2062" s="485"/>
      <c r="I2062" s="485"/>
      <c r="J2062" s="485"/>
      <c r="K2062" s="485"/>
      <c r="L2062" s="485"/>
      <c r="M2062" s="485"/>
      <c r="N2062" s="486" t="str">
        <f>HYPERLINK("#N"&amp;ROW(N2069),"_x0005_`BDCOD|B02798_x0007_`POSS|"&amp;ROW(N2064)&amp;"_x0007_`POSE|"&amp;ROW(N2069)&amp;"_x0007_`")</f>
        <v>_x0005_`BDCOD|B02798_x0007_`POSS|2064_x0007_`POSE|2069_x0007_`</v>
      </c>
    </row>
    <row r="2063" spans="1:26" ht="33.200000000000003" customHeight="1">
      <c r="A2063" s="469" t="s">
        <v>1234</v>
      </c>
      <c r="B2063" s="469" t="s">
        <v>1235</v>
      </c>
      <c r="C2063" s="487"/>
      <c r="D2063" s="488" t="s">
        <v>595</v>
      </c>
      <c r="E2063" s="487"/>
      <c r="F2063" s="487"/>
      <c r="G2063" s="487"/>
      <c r="H2063" s="487"/>
      <c r="I2063" s="487"/>
      <c r="J2063" s="487"/>
      <c r="K2063" s="487"/>
      <c r="L2063" s="487"/>
      <c r="M2063" s="488" t="s">
        <v>1236</v>
      </c>
      <c r="O2063" s="468" t="s">
        <v>1236</v>
      </c>
    </row>
    <row r="2064" spans="1:26" ht="33.200000000000003" customHeight="1">
      <c r="A2064" s="452" t="s">
        <v>3167</v>
      </c>
      <c r="B2064" s="452"/>
      <c r="C2064" s="489">
        <v>1.8660000000000001</v>
      </c>
      <c r="D2064" s="480" t="s">
        <v>2132</v>
      </c>
      <c r="E2064" s="490">
        <f t="shared" ref="E2064:F2069" si="331">I2064+G2064+K2064</f>
        <v>144802</v>
      </c>
      <c r="F2064" s="493">
        <f t="shared" si="331"/>
        <v>270200.3</v>
      </c>
      <c r="G2064" s="494">
        <f>단가산출근거목록표!F135</f>
        <v>116356</v>
      </c>
      <c r="H2064" s="498">
        <f t="shared" ref="H2064:H2069" si="332">IF(C2064=0,0,ROUNDDOWN(G2064*C2064,1))</f>
        <v>217120.2</v>
      </c>
      <c r="I2064" s="494">
        <f>단가산출근거목록표!G135</f>
        <v>10527</v>
      </c>
      <c r="J2064" s="498">
        <f t="shared" ref="J2064:J2069" si="333">IF(C2064=0,0,ROUNDDOWN(I2064*C2064,1))</f>
        <v>19643.3</v>
      </c>
      <c r="K2064" s="494">
        <f>단가산출근거목록표!H135</f>
        <v>17919</v>
      </c>
      <c r="L2064" s="498">
        <f t="shared" ref="L2064:L2069" si="334">IF(C2064=0,0,ROUNDDOWN(K2064*C2064,1))</f>
        <v>33436.800000000003</v>
      </c>
      <c r="M2064" s="463" t="s">
        <v>3168</v>
      </c>
      <c r="N2064" s="451" t="s">
        <v>3169</v>
      </c>
      <c r="O2064" s="468" t="s">
        <v>3170</v>
      </c>
      <c r="P2064" s="468" t="s">
        <v>2354</v>
      </c>
      <c r="Z2064" s="433" t="str">
        <f ca="1">HYPERLINK("#"&amp;단가산출근거목록표!J2&amp;"!A"&amp;ROW(단가산출근거목록표!A135),"D01300 →")</f>
        <v>D01300 →</v>
      </c>
    </row>
    <row r="2065" spans="1:26" ht="33.200000000000003" customHeight="1">
      <c r="A2065" s="452" t="s">
        <v>3171</v>
      </c>
      <c r="B2065" s="452" t="s">
        <v>3172</v>
      </c>
      <c r="C2065" s="489">
        <v>1.8660000000000001</v>
      </c>
      <c r="D2065" s="480" t="s">
        <v>2576</v>
      </c>
      <c r="E2065" s="490">
        <f t="shared" si="331"/>
        <v>45000</v>
      </c>
      <c r="F2065" s="491">
        <f t="shared" si="331"/>
        <v>83970</v>
      </c>
      <c r="G2065" s="492">
        <v>0</v>
      </c>
      <c r="H2065" s="493">
        <f t="shared" si="332"/>
        <v>0</v>
      </c>
      <c r="I2065" s="494">
        <f>재료비목록표!E23</f>
        <v>45000</v>
      </c>
      <c r="J2065" s="495">
        <f t="shared" si="333"/>
        <v>83970</v>
      </c>
      <c r="K2065" s="492">
        <v>0</v>
      </c>
      <c r="L2065" s="493">
        <f t="shared" si="334"/>
        <v>0</v>
      </c>
      <c r="M2065" s="463" t="s">
        <v>3173</v>
      </c>
      <c r="N2065" s="451" t="s">
        <v>3174</v>
      </c>
      <c r="O2065" s="468" t="s">
        <v>3175</v>
      </c>
      <c r="P2065" s="468" t="s">
        <v>2354</v>
      </c>
      <c r="Z2065" s="433" t="str">
        <f ca="1">HYPERLINK("#"&amp;재료비목록표!G2&amp;"!A"&amp;ROW(재료비목록표!A23),"M01053 →")</f>
        <v>M01053 →</v>
      </c>
    </row>
    <row r="2066" spans="1:26" ht="33.200000000000003" customHeight="1">
      <c r="A2066" s="452" t="s">
        <v>2710</v>
      </c>
      <c r="B2066" s="452" t="s">
        <v>3176</v>
      </c>
      <c r="C2066" s="489">
        <v>0.21</v>
      </c>
      <c r="D2066" s="480" t="s">
        <v>8</v>
      </c>
      <c r="E2066" s="490">
        <f t="shared" si="331"/>
        <v>5311</v>
      </c>
      <c r="F2066" s="493">
        <f t="shared" si="331"/>
        <v>1115.0999999999999</v>
      </c>
      <c r="G2066" s="494">
        <f>단가산출근거목록표!F57</f>
        <v>3147</v>
      </c>
      <c r="H2066" s="498">
        <f t="shared" si="332"/>
        <v>660.8</v>
      </c>
      <c r="I2066" s="494">
        <f>단가산출근거목록표!G57</f>
        <v>915</v>
      </c>
      <c r="J2066" s="498">
        <f t="shared" si="333"/>
        <v>192.1</v>
      </c>
      <c r="K2066" s="494">
        <f>단가산출근거목록표!H57</f>
        <v>1249</v>
      </c>
      <c r="L2066" s="498">
        <f t="shared" si="334"/>
        <v>262.2</v>
      </c>
      <c r="M2066" s="463" t="s">
        <v>3177</v>
      </c>
      <c r="N2066" s="451" t="s">
        <v>3178</v>
      </c>
      <c r="O2066" s="468" t="s">
        <v>3179</v>
      </c>
      <c r="P2066" s="468" t="s">
        <v>2354</v>
      </c>
      <c r="Z2066" s="433" t="str">
        <f ca="1">HYPERLINK("#"&amp;단가산출근거목록표!J2&amp;"!A"&amp;ROW(단가산출근거목록표!A57),"D01302 →")</f>
        <v>D01302 →</v>
      </c>
    </row>
    <row r="2067" spans="1:26" ht="33.200000000000003" customHeight="1">
      <c r="A2067" s="452" t="s">
        <v>3180</v>
      </c>
      <c r="B2067" s="452" t="s">
        <v>3181</v>
      </c>
      <c r="C2067" s="489">
        <v>0.06</v>
      </c>
      <c r="D2067" s="480" t="s">
        <v>8</v>
      </c>
      <c r="E2067" s="490">
        <f t="shared" si="331"/>
        <v>3113</v>
      </c>
      <c r="F2067" s="493">
        <f t="shared" si="331"/>
        <v>186.7</v>
      </c>
      <c r="G2067" s="494">
        <f>단가산출근거목록표!F61</f>
        <v>2546</v>
      </c>
      <c r="H2067" s="498">
        <f t="shared" si="332"/>
        <v>152.69999999999999</v>
      </c>
      <c r="I2067" s="494">
        <f>단가산출근거목록표!G61</f>
        <v>240</v>
      </c>
      <c r="J2067" s="498">
        <f t="shared" si="333"/>
        <v>14.4</v>
      </c>
      <c r="K2067" s="494">
        <f>단가산출근거목록표!H61</f>
        <v>327</v>
      </c>
      <c r="L2067" s="498">
        <f t="shared" si="334"/>
        <v>19.600000000000001</v>
      </c>
      <c r="M2067" s="463" t="s">
        <v>3182</v>
      </c>
      <c r="N2067" s="451" t="s">
        <v>3183</v>
      </c>
      <c r="O2067" s="468" t="s">
        <v>3184</v>
      </c>
      <c r="P2067" s="468" t="s">
        <v>2354</v>
      </c>
      <c r="Z2067" s="433" t="str">
        <f ca="1">HYPERLINK("#"&amp;단가산출근거목록표!J2&amp;"!A"&amp;ROW(단가산출근거목록표!A61),"D01303 →")</f>
        <v>D01303 →</v>
      </c>
    </row>
    <row r="2068" spans="1:26" ht="33.200000000000003" customHeight="1">
      <c r="A2068" s="452" t="s">
        <v>2321</v>
      </c>
      <c r="B2068" s="452" t="s">
        <v>2322</v>
      </c>
      <c r="C2068" s="489">
        <v>0.15</v>
      </c>
      <c r="D2068" s="480" t="s">
        <v>8</v>
      </c>
      <c r="E2068" s="490">
        <f t="shared" si="331"/>
        <v>34413</v>
      </c>
      <c r="F2068" s="493">
        <f t="shared" si="331"/>
        <v>5161.8999999999996</v>
      </c>
      <c r="G2068" s="494">
        <f>일위대가목록표!F275</f>
        <v>34413</v>
      </c>
      <c r="H2068" s="498">
        <f t="shared" si="332"/>
        <v>5161.8999999999996</v>
      </c>
      <c r="I2068" s="494">
        <f>일위대가목록표!G275</f>
        <v>0</v>
      </c>
      <c r="J2068" s="498">
        <f t="shared" si="333"/>
        <v>0</v>
      </c>
      <c r="K2068" s="494">
        <f>일위대가목록표!H275</f>
        <v>0</v>
      </c>
      <c r="L2068" s="498">
        <f t="shared" si="334"/>
        <v>0</v>
      </c>
      <c r="M2068" s="463" t="s">
        <v>2489</v>
      </c>
      <c r="N2068" s="451" t="s">
        <v>2538</v>
      </c>
      <c r="O2068" s="468" t="s">
        <v>2491</v>
      </c>
      <c r="P2068" s="468" t="s">
        <v>2354</v>
      </c>
      <c r="Z2068" s="433" t="str">
        <f ca="1">HYPERLINK("#"&amp;일위대가목록표!J2&amp;"!A"&amp;ROW(일위대가목록표!A275),"B01414 →")</f>
        <v>B01414 →</v>
      </c>
    </row>
    <row r="2069" spans="1:26" ht="33.200000000000003" customHeight="1">
      <c r="A2069" s="452" t="s">
        <v>3185</v>
      </c>
      <c r="B2069" s="452" t="s">
        <v>3186</v>
      </c>
      <c r="C2069" s="489">
        <v>1.1180000000000001</v>
      </c>
      <c r="D2069" s="480" t="s">
        <v>595</v>
      </c>
      <c r="E2069" s="490">
        <f t="shared" si="331"/>
        <v>1250</v>
      </c>
      <c r="F2069" s="491">
        <f t="shared" si="331"/>
        <v>1397.5</v>
      </c>
      <c r="G2069" s="492">
        <v>0</v>
      </c>
      <c r="H2069" s="493">
        <f t="shared" si="332"/>
        <v>0</v>
      </c>
      <c r="I2069" s="494">
        <f>재료비목록표!E51</f>
        <v>1250</v>
      </c>
      <c r="J2069" s="495">
        <f t="shared" si="333"/>
        <v>1397.5</v>
      </c>
      <c r="K2069" s="492">
        <v>0</v>
      </c>
      <c r="L2069" s="493">
        <f t="shared" si="334"/>
        <v>0</v>
      </c>
      <c r="M2069" s="463" t="s">
        <v>3187</v>
      </c>
      <c r="N2069" s="451" t="s">
        <v>3188</v>
      </c>
      <c r="O2069" s="468" t="s">
        <v>3189</v>
      </c>
      <c r="P2069" s="468" t="s">
        <v>2354</v>
      </c>
      <c r="Z2069" s="433" t="str">
        <f ca="1">HYPERLINK("#"&amp;재료비목록표!G2&amp;"!A"&amp;ROW(재료비목록표!A51),"M08846 →")</f>
        <v>M08846 →</v>
      </c>
    </row>
    <row r="2070" spans="1:26" ht="33.200000000000003" customHeight="1">
      <c r="A2070" s="463" t="s">
        <v>842</v>
      </c>
      <c r="B2070" s="497"/>
      <c r="C2070" s="497"/>
      <c r="D2070" s="497"/>
      <c r="E2070" s="497"/>
      <c r="F2070" s="446">
        <f>J2070+H2070+L2070</f>
        <v>362030</v>
      </c>
      <c r="G2070" s="497"/>
      <c r="H2070" s="446">
        <f>ROUNDDOWN(SUMIF(P2064:P2069,O2070,H2064:H2069),0)</f>
        <v>223095</v>
      </c>
      <c r="I2070" s="497"/>
      <c r="J2070" s="446">
        <f>ROUNDDOWN(SUMIF(P2064:P2069,O2070,J2064:J2069),0)</f>
        <v>105217</v>
      </c>
      <c r="K2070" s="497"/>
      <c r="L2070" s="446">
        <f>ROUNDDOWN(SUMIF(P2064:P2069,O2070,L2064:L2069),0)</f>
        <v>33718</v>
      </c>
      <c r="M2070" s="497"/>
      <c r="O2070" s="468" t="s">
        <v>2354</v>
      </c>
    </row>
    <row r="2071" spans="1:26" ht="33.200000000000003" customHeight="1">
      <c r="A2071" s="484" t="s">
        <v>5523</v>
      </c>
      <c r="B2071" s="484"/>
      <c r="C2071" s="485"/>
      <c r="D2071" s="485"/>
      <c r="E2071" s="485"/>
      <c r="F2071" s="485"/>
      <c r="G2071" s="485"/>
      <c r="H2071" s="485"/>
      <c r="I2071" s="485"/>
      <c r="J2071" s="485"/>
      <c r="K2071" s="485"/>
      <c r="L2071" s="485"/>
      <c r="M2071" s="485"/>
      <c r="N2071" s="486" t="str">
        <f>HYPERLINK("#N"&amp;ROW(N2073),"_x0005_`BDCOD|B02462_x0007_`POSS|"&amp;ROW(N2073)&amp;"_x0007_`POSE|"&amp;ROW(N2073)&amp;"_x0007_`")</f>
        <v>_x0005_`BDCOD|B02462_x0007_`POSS|2073_x0007_`POSE|2073_x0007_`</v>
      </c>
    </row>
    <row r="2072" spans="1:26" ht="33.200000000000003" customHeight="1">
      <c r="A2072" s="469" t="s">
        <v>1447</v>
      </c>
      <c r="B2072" s="469" t="s">
        <v>1448</v>
      </c>
      <c r="C2072" s="487"/>
      <c r="D2072" s="488" t="s">
        <v>975</v>
      </c>
      <c r="E2072" s="487"/>
      <c r="F2072" s="487"/>
      <c r="G2072" s="487"/>
      <c r="H2072" s="487"/>
      <c r="I2072" s="487"/>
      <c r="J2072" s="487"/>
      <c r="K2072" s="487"/>
      <c r="L2072" s="487"/>
      <c r="M2072" s="488" t="s">
        <v>1449</v>
      </c>
      <c r="O2072" s="468" t="s">
        <v>1449</v>
      </c>
    </row>
    <row r="2073" spans="1:26" ht="33.200000000000003" customHeight="1">
      <c r="A2073" s="452" t="s">
        <v>3191</v>
      </c>
      <c r="B2073" s="452" t="s">
        <v>3192</v>
      </c>
      <c r="C2073" s="489">
        <v>1</v>
      </c>
      <c r="D2073" s="480" t="s">
        <v>2377</v>
      </c>
      <c r="E2073" s="490">
        <f>I2073+G2073+K2073</f>
        <v>2508000</v>
      </c>
      <c r="F2073" s="491">
        <f>J2073+H2073+L2073</f>
        <v>2508000</v>
      </c>
      <c r="G2073" s="492">
        <v>0</v>
      </c>
      <c r="H2073" s="493">
        <f>IF(C2073=0,0,ROUNDDOWN(G2073*C2073,1))</f>
        <v>0</v>
      </c>
      <c r="I2073" s="494">
        <f>재료비목록표!E90</f>
        <v>2508000</v>
      </c>
      <c r="J2073" s="495">
        <f>IF(C2073=0,0,ROUNDDOWN(I2073*C2073,1))</f>
        <v>2508000</v>
      </c>
      <c r="K2073" s="492">
        <v>0</v>
      </c>
      <c r="L2073" s="493">
        <f>IF(C2073=0,0,ROUNDDOWN(K2073*C2073,1))</f>
        <v>0</v>
      </c>
      <c r="M2073" s="463" t="s">
        <v>3193</v>
      </c>
      <c r="N2073" s="451" t="s">
        <v>3194</v>
      </c>
      <c r="O2073" s="468" t="s">
        <v>3195</v>
      </c>
      <c r="P2073" s="468" t="s">
        <v>2354</v>
      </c>
      <c r="Z2073" s="433" t="str">
        <f ca="1">HYPERLINK("#"&amp;재료비목록표!G2&amp;"!A"&amp;ROW(재료비목록표!A90),"M01607 →")</f>
        <v>M01607 →</v>
      </c>
    </row>
    <row r="2074" spans="1:26" ht="33.200000000000003" customHeight="1">
      <c r="A2074" s="463" t="s">
        <v>842</v>
      </c>
      <c r="B2074" s="497"/>
      <c r="C2074" s="497"/>
      <c r="D2074" s="497"/>
      <c r="E2074" s="497"/>
      <c r="F2074" s="446">
        <f>J2074+H2074+L2074</f>
        <v>2508000</v>
      </c>
      <c r="G2074" s="497"/>
      <c r="H2074" s="446">
        <f>ROUNDDOWN(SUMIF(P2073:P2073,O2074,H2073:H2073),0)</f>
        <v>0</v>
      </c>
      <c r="I2074" s="497"/>
      <c r="J2074" s="446">
        <f>ROUNDDOWN(SUMIF(P2073:P2073,O2074,J2073:J2073),0)</f>
        <v>2508000</v>
      </c>
      <c r="K2074" s="497"/>
      <c r="L2074" s="446">
        <f>ROUNDDOWN(SUMIF(P2073:P2073,O2074,L2073:L2073),0)</f>
        <v>0</v>
      </c>
      <c r="M2074" s="497"/>
      <c r="O2074" s="468" t="s">
        <v>2354</v>
      </c>
    </row>
    <row r="2075" spans="1:26" ht="33.200000000000003" customHeight="1">
      <c r="A2075" s="484" t="s">
        <v>5524</v>
      </c>
      <c r="B2075" s="484"/>
      <c r="C2075" s="485"/>
      <c r="D2075" s="485"/>
      <c r="E2075" s="485"/>
      <c r="F2075" s="485"/>
      <c r="G2075" s="485"/>
      <c r="H2075" s="485"/>
      <c r="I2075" s="485"/>
      <c r="J2075" s="485"/>
      <c r="K2075" s="485"/>
      <c r="L2075" s="485"/>
      <c r="M2075" s="485"/>
      <c r="N2075" s="486" t="str">
        <f>HYPERLINK("#N"&amp;ROW(N2078),"_x0005_`BDCOD|B02565_x0007_`POSS|"&amp;ROW(N2077)&amp;"_x0007_`POSE|"&amp;ROW(N2078)&amp;"_x0007_`")</f>
        <v>_x0005_`BDCOD|B02565_x0007_`POSS|2077_x0007_`POSE|2078_x0007_`</v>
      </c>
    </row>
    <row r="2076" spans="1:26" ht="33.200000000000003" customHeight="1">
      <c r="A2076" s="469" t="s">
        <v>1605</v>
      </c>
      <c r="B2076" s="469" t="s">
        <v>1606</v>
      </c>
      <c r="C2076" s="487"/>
      <c r="D2076" s="488" t="s">
        <v>911</v>
      </c>
      <c r="E2076" s="487"/>
      <c r="F2076" s="487"/>
      <c r="G2076" s="487"/>
      <c r="H2076" s="487"/>
      <c r="I2076" s="487"/>
      <c r="J2076" s="487"/>
      <c r="K2076" s="487"/>
      <c r="L2076" s="487"/>
      <c r="M2076" s="488" t="s">
        <v>1607</v>
      </c>
      <c r="O2076" s="468" t="s">
        <v>1607</v>
      </c>
    </row>
    <row r="2077" spans="1:26" ht="33.200000000000003" customHeight="1">
      <c r="A2077" s="452" t="s">
        <v>3197</v>
      </c>
      <c r="B2077" s="452" t="s">
        <v>3198</v>
      </c>
      <c r="C2077" s="489">
        <v>1.05</v>
      </c>
      <c r="D2077" s="480" t="s">
        <v>911</v>
      </c>
      <c r="E2077" s="490">
        <f>I2077+G2077+K2077</f>
        <v>7340</v>
      </c>
      <c r="F2077" s="491">
        <f>J2077+H2077+L2077</f>
        <v>7707</v>
      </c>
      <c r="G2077" s="492">
        <v>0</v>
      </c>
      <c r="H2077" s="493">
        <f>IF(C2077=0,0,ROUNDDOWN(G2077*C2077,1))</f>
        <v>0</v>
      </c>
      <c r="I2077" s="494">
        <f>재료비목록표!E16</f>
        <v>7340</v>
      </c>
      <c r="J2077" s="495">
        <f>IF(C2077=0,0,ROUNDDOWN(I2077*C2077,1))</f>
        <v>7707</v>
      </c>
      <c r="K2077" s="492">
        <v>0</v>
      </c>
      <c r="L2077" s="493">
        <f>IF(C2077=0,0,ROUNDDOWN(K2077*C2077,1))</f>
        <v>0</v>
      </c>
      <c r="M2077" s="463" t="s">
        <v>3199</v>
      </c>
      <c r="N2077" s="451" t="s">
        <v>3200</v>
      </c>
      <c r="O2077" s="468" t="s">
        <v>3201</v>
      </c>
      <c r="P2077" s="468" t="s">
        <v>2354</v>
      </c>
      <c r="Z2077" s="433" t="str">
        <f ca="1">HYPERLINK("#"&amp;재료비목록표!G2&amp;"!A"&amp;ROW(재료비목록표!A16),"M01585 →")</f>
        <v>M01585 →</v>
      </c>
    </row>
    <row r="2078" spans="1:26" ht="33.200000000000003" customHeight="1">
      <c r="A2078" s="452" t="s">
        <v>2325</v>
      </c>
      <c r="B2078" s="452" t="s">
        <v>2329</v>
      </c>
      <c r="C2078" s="489">
        <v>8.9300000000000002E-4</v>
      </c>
      <c r="D2078" s="480" t="s">
        <v>2132</v>
      </c>
      <c r="E2078" s="490">
        <f>I2078+G2078+K2078</f>
        <v>7341364</v>
      </c>
      <c r="F2078" s="493">
        <f>J2078+H2078+L2078</f>
        <v>6555.7</v>
      </c>
      <c r="G2078" s="494">
        <f>일위대가목록표!F277</f>
        <v>6925816</v>
      </c>
      <c r="H2078" s="498">
        <f>IF(C2078=0,0,ROUNDDOWN(G2078*C2078,1))</f>
        <v>6184.7</v>
      </c>
      <c r="I2078" s="494">
        <f>일위대가목록표!G277</f>
        <v>0</v>
      </c>
      <c r="J2078" s="498">
        <f>IF(C2078=0,0,ROUNDDOWN(I2078*C2078,1))</f>
        <v>0</v>
      </c>
      <c r="K2078" s="494">
        <f>일위대가목록표!H277</f>
        <v>415548</v>
      </c>
      <c r="L2078" s="498">
        <f>IF(C2078=0,0,ROUNDDOWN(K2078*C2078,1))</f>
        <v>371</v>
      </c>
      <c r="M2078" s="463" t="s">
        <v>3064</v>
      </c>
      <c r="N2078" s="451" t="s">
        <v>3065</v>
      </c>
      <c r="O2078" s="468" t="s">
        <v>3066</v>
      </c>
      <c r="P2078" s="468" t="s">
        <v>2354</v>
      </c>
      <c r="Z2078" s="433" t="str">
        <f ca="1">HYPERLINK("#"&amp;일위대가목록표!J2&amp;"!A"&amp;ROW(일위대가목록표!A277),"B02687 →")</f>
        <v>B02687 →</v>
      </c>
    </row>
    <row r="2079" spans="1:26" ht="33.200000000000003" customHeight="1">
      <c r="A2079" s="463" t="s">
        <v>842</v>
      </c>
      <c r="B2079" s="497"/>
      <c r="C2079" s="497"/>
      <c r="D2079" s="497"/>
      <c r="E2079" s="497"/>
      <c r="F2079" s="446">
        <f>J2079+H2079+L2079</f>
        <v>14262</v>
      </c>
      <c r="G2079" s="497"/>
      <c r="H2079" s="446">
        <f>ROUNDDOWN(SUMIF(P2077:P2078,O2079,H2077:H2078),0)</f>
        <v>6184</v>
      </c>
      <c r="I2079" s="497"/>
      <c r="J2079" s="446">
        <f>ROUNDDOWN(SUMIF(P2077:P2078,O2079,J2077:J2078),0)</f>
        <v>7707</v>
      </c>
      <c r="K2079" s="497"/>
      <c r="L2079" s="446">
        <f>ROUNDDOWN(SUMIF(P2077:P2078,O2079,L2077:L2078),0)</f>
        <v>371</v>
      </c>
      <c r="M2079" s="497"/>
      <c r="O2079" s="468" t="s">
        <v>2354</v>
      </c>
    </row>
    <row r="2080" spans="1:26" ht="33.200000000000003" customHeight="1">
      <c r="A2080" s="484" t="s">
        <v>5525</v>
      </c>
      <c r="B2080" s="484"/>
      <c r="C2080" s="485"/>
      <c r="D2080" s="485"/>
      <c r="E2080" s="485"/>
      <c r="F2080" s="485"/>
      <c r="G2080" s="485"/>
      <c r="H2080" s="485"/>
      <c r="I2080" s="485"/>
      <c r="J2080" s="485"/>
      <c r="K2080" s="485"/>
      <c r="L2080" s="485"/>
      <c r="M2080" s="485"/>
      <c r="N2080" s="486" t="str">
        <f>HYPERLINK("#N"&amp;ROW(N2083),"_x0005_`BDCOD|B02566_x0007_`POSS|"&amp;ROW(N2082)&amp;"_x0007_`POSE|"&amp;ROW(N2083)&amp;"_x0007_`")</f>
        <v>_x0005_`BDCOD|B02566_x0007_`POSS|2082_x0007_`POSE|2083_x0007_`</v>
      </c>
    </row>
    <row r="2081" spans="1:26" ht="33.200000000000003" customHeight="1">
      <c r="A2081" s="469" t="s">
        <v>1605</v>
      </c>
      <c r="B2081" s="469" t="s">
        <v>1610</v>
      </c>
      <c r="C2081" s="487"/>
      <c r="D2081" s="488" t="s">
        <v>911</v>
      </c>
      <c r="E2081" s="487"/>
      <c r="F2081" s="487"/>
      <c r="G2081" s="487"/>
      <c r="H2081" s="487"/>
      <c r="I2081" s="487"/>
      <c r="J2081" s="487"/>
      <c r="K2081" s="487"/>
      <c r="L2081" s="487"/>
      <c r="M2081" s="488" t="s">
        <v>1611</v>
      </c>
      <c r="O2081" s="468" t="s">
        <v>1611</v>
      </c>
    </row>
    <row r="2082" spans="1:26" ht="33.200000000000003" customHeight="1">
      <c r="A2082" s="452" t="s">
        <v>3197</v>
      </c>
      <c r="B2082" s="452" t="s">
        <v>3203</v>
      </c>
      <c r="C2082" s="489">
        <v>1.05</v>
      </c>
      <c r="D2082" s="480" t="s">
        <v>911</v>
      </c>
      <c r="E2082" s="490">
        <f>I2082+G2082+K2082</f>
        <v>11200</v>
      </c>
      <c r="F2082" s="491">
        <f>J2082+H2082+L2082</f>
        <v>11760</v>
      </c>
      <c r="G2082" s="492">
        <v>0</v>
      </c>
      <c r="H2082" s="493">
        <f>IF(C2082=0,0,ROUNDDOWN(G2082*C2082,1))</f>
        <v>0</v>
      </c>
      <c r="I2082" s="494">
        <f>재료비목록표!E17</f>
        <v>11200</v>
      </c>
      <c r="J2082" s="495">
        <f>IF(C2082=0,0,ROUNDDOWN(I2082*C2082,1))</f>
        <v>11760</v>
      </c>
      <c r="K2082" s="492">
        <v>0</v>
      </c>
      <c r="L2082" s="493">
        <f>IF(C2082=0,0,ROUNDDOWN(K2082*C2082,1))</f>
        <v>0</v>
      </c>
      <c r="M2082" s="463" t="s">
        <v>3204</v>
      </c>
      <c r="N2082" s="451" t="s">
        <v>3205</v>
      </c>
      <c r="O2082" s="468" t="s">
        <v>3206</v>
      </c>
      <c r="P2082" s="468" t="s">
        <v>2354</v>
      </c>
      <c r="Z2082" s="433" t="str">
        <f ca="1">HYPERLINK("#"&amp;재료비목록표!G2&amp;"!A"&amp;ROW(재료비목록표!A17),"M01586 →")</f>
        <v>M01586 →</v>
      </c>
    </row>
    <row r="2083" spans="1:26" ht="33.200000000000003" customHeight="1">
      <c r="A2083" s="452" t="s">
        <v>2325</v>
      </c>
      <c r="B2083" s="452" t="s">
        <v>2329</v>
      </c>
      <c r="C2083" s="489">
        <v>1.1299999999999999E-3</v>
      </c>
      <c r="D2083" s="480" t="s">
        <v>2132</v>
      </c>
      <c r="E2083" s="490">
        <f>I2083+G2083+K2083</f>
        <v>7341364</v>
      </c>
      <c r="F2083" s="493">
        <f>J2083+H2083+L2083</f>
        <v>8295.6</v>
      </c>
      <c r="G2083" s="494">
        <f>일위대가목록표!F277</f>
        <v>6925816</v>
      </c>
      <c r="H2083" s="498">
        <f>IF(C2083=0,0,ROUNDDOWN(G2083*C2083,1))</f>
        <v>7826.1</v>
      </c>
      <c r="I2083" s="494">
        <f>일위대가목록표!G277</f>
        <v>0</v>
      </c>
      <c r="J2083" s="498">
        <f>IF(C2083=0,0,ROUNDDOWN(I2083*C2083,1))</f>
        <v>0</v>
      </c>
      <c r="K2083" s="494">
        <f>일위대가목록표!H277</f>
        <v>415548</v>
      </c>
      <c r="L2083" s="498">
        <f>IF(C2083=0,0,ROUNDDOWN(K2083*C2083,1))</f>
        <v>469.5</v>
      </c>
      <c r="M2083" s="463" t="s">
        <v>3064</v>
      </c>
      <c r="N2083" s="451" t="s">
        <v>3065</v>
      </c>
      <c r="O2083" s="468" t="s">
        <v>3066</v>
      </c>
      <c r="P2083" s="468" t="s">
        <v>2354</v>
      </c>
      <c r="Z2083" s="433" t="str">
        <f ca="1">HYPERLINK("#"&amp;일위대가목록표!J2&amp;"!A"&amp;ROW(일위대가목록표!A277),"B02687 →")</f>
        <v>B02687 →</v>
      </c>
    </row>
    <row r="2084" spans="1:26" ht="33.200000000000003" customHeight="1">
      <c r="A2084" s="463" t="s">
        <v>842</v>
      </c>
      <c r="B2084" s="497"/>
      <c r="C2084" s="497"/>
      <c r="D2084" s="497"/>
      <c r="E2084" s="497"/>
      <c r="F2084" s="446">
        <f>J2084+H2084+L2084</f>
        <v>20055</v>
      </c>
      <c r="G2084" s="497"/>
      <c r="H2084" s="446">
        <f>ROUNDDOWN(SUMIF(P2082:P2083,O2084,H2082:H2083),0)</f>
        <v>7826</v>
      </c>
      <c r="I2084" s="497"/>
      <c r="J2084" s="446">
        <f>ROUNDDOWN(SUMIF(P2082:P2083,O2084,J2082:J2083),0)</f>
        <v>11760</v>
      </c>
      <c r="K2084" s="497"/>
      <c r="L2084" s="446">
        <f>ROUNDDOWN(SUMIF(P2082:P2083,O2084,L2082:L2083),0)</f>
        <v>469</v>
      </c>
      <c r="M2084" s="497"/>
      <c r="O2084" s="468" t="s">
        <v>2354</v>
      </c>
    </row>
    <row r="2085" spans="1:26" ht="33.200000000000003" customHeight="1">
      <c r="A2085" s="484" t="s">
        <v>5526</v>
      </c>
      <c r="B2085" s="484"/>
      <c r="C2085" s="485"/>
      <c r="D2085" s="485"/>
      <c r="E2085" s="485"/>
      <c r="F2085" s="485"/>
      <c r="G2085" s="485"/>
      <c r="H2085" s="485"/>
      <c r="I2085" s="485"/>
      <c r="J2085" s="485"/>
      <c r="K2085" s="485"/>
      <c r="L2085" s="485"/>
      <c r="M2085" s="485"/>
      <c r="N2085" s="486" t="str">
        <f>HYPERLINK("#N"&amp;ROW(N2088),"_x0005_`BDCOD|B02567_x0007_`POSS|"&amp;ROW(N2087)&amp;"_x0007_`POSE|"&amp;ROW(N2088)&amp;"_x0007_`")</f>
        <v>_x0005_`BDCOD|B02567_x0007_`POSS|2087_x0007_`POSE|2088_x0007_`</v>
      </c>
    </row>
    <row r="2086" spans="1:26" ht="33.200000000000003" customHeight="1">
      <c r="A2086" s="469" t="s">
        <v>1605</v>
      </c>
      <c r="B2086" s="469" t="s">
        <v>1614</v>
      </c>
      <c r="C2086" s="487"/>
      <c r="D2086" s="488" t="s">
        <v>911</v>
      </c>
      <c r="E2086" s="487"/>
      <c r="F2086" s="487"/>
      <c r="G2086" s="487"/>
      <c r="H2086" s="487"/>
      <c r="I2086" s="487"/>
      <c r="J2086" s="487"/>
      <c r="K2086" s="487"/>
      <c r="L2086" s="487"/>
      <c r="M2086" s="488" t="s">
        <v>1615</v>
      </c>
      <c r="O2086" s="468" t="s">
        <v>1615</v>
      </c>
    </row>
    <row r="2087" spans="1:26" ht="33.200000000000003" customHeight="1">
      <c r="A2087" s="452" t="s">
        <v>3197</v>
      </c>
      <c r="B2087" s="452" t="s">
        <v>3208</v>
      </c>
      <c r="C2087" s="489">
        <v>1.05</v>
      </c>
      <c r="D2087" s="480" t="s">
        <v>911</v>
      </c>
      <c r="E2087" s="490">
        <f>I2087+G2087+K2087</f>
        <v>14960</v>
      </c>
      <c r="F2087" s="491">
        <f>J2087+H2087+L2087</f>
        <v>15708</v>
      </c>
      <c r="G2087" s="492">
        <v>0</v>
      </c>
      <c r="H2087" s="493">
        <f>IF(C2087=0,0,ROUNDDOWN(G2087*C2087,1))</f>
        <v>0</v>
      </c>
      <c r="I2087" s="494">
        <f>재료비목록표!E18</f>
        <v>14960</v>
      </c>
      <c r="J2087" s="495">
        <f>IF(C2087=0,0,ROUNDDOWN(I2087*C2087,1))</f>
        <v>15708</v>
      </c>
      <c r="K2087" s="492">
        <v>0</v>
      </c>
      <c r="L2087" s="493">
        <f>IF(C2087=0,0,ROUNDDOWN(K2087*C2087,1))</f>
        <v>0</v>
      </c>
      <c r="M2087" s="463" t="s">
        <v>3209</v>
      </c>
      <c r="N2087" s="451" t="s">
        <v>3210</v>
      </c>
      <c r="O2087" s="468" t="s">
        <v>3211</v>
      </c>
      <c r="P2087" s="468" t="s">
        <v>2354</v>
      </c>
      <c r="Z2087" s="433" t="str">
        <f ca="1">HYPERLINK("#"&amp;재료비목록표!G2&amp;"!A"&amp;ROW(재료비목록표!A18),"M01587 →")</f>
        <v>M01587 →</v>
      </c>
    </row>
    <row r="2088" spans="1:26" ht="33.200000000000003" customHeight="1">
      <c r="A2088" s="452" t="s">
        <v>2325</v>
      </c>
      <c r="B2088" s="452" t="s">
        <v>2329</v>
      </c>
      <c r="C2088" s="489">
        <v>1.8400000000000001E-3</v>
      </c>
      <c r="D2088" s="480" t="s">
        <v>2132</v>
      </c>
      <c r="E2088" s="490">
        <f>I2088+G2088+K2088</f>
        <v>7341364</v>
      </c>
      <c r="F2088" s="493">
        <f>J2088+H2088+L2088</f>
        <v>13508.1</v>
      </c>
      <c r="G2088" s="494">
        <f>일위대가목록표!F277</f>
        <v>6925816</v>
      </c>
      <c r="H2088" s="498">
        <f>IF(C2088=0,0,ROUNDDOWN(G2088*C2088,1))</f>
        <v>12743.5</v>
      </c>
      <c r="I2088" s="494">
        <f>일위대가목록표!G277</f>
        <v>0</v>
      </c>
      <c r="J2088" s="498">
        <f>IF(C2088=0,0,ROUNDDOWN(I2088*C2088,1))</f>
        <v>0</v>
      </c>
      <c r="K2088" s="494">
        <f>일위대가목록표!H277</f>
        <v>415548</v>
      </c>
      <c r="L2088" s="498">
        <f>IF(C2088=0,0,ROUNDDOWN(K2088*C2088,1))</f>
        <v>764.6</v>
      </c>
      <c r="M2088" s="463" t="s">
        <v>3064</v>
      </c>
      <c r="N2088" s="451" t="s">
        <v>3065</v>
      </c>
      <c r="O2088" s="468" t="s">
        <v>3066</v>
      </c>
      <c r="P2088" s="468" t="s">
        <v>2354</v>
      </c>
      <c r="Z2088" s="433" t="str">
        <f ca="1">HYPERLINK("#"&amp;일위대가목록표!J2&amp;"!A"&amp;ROW(일위대가목록표!A277),"B02687 →")</f>
        <v>B02687 →</v>
      </c>
    </row>
    <row r="2089" spans="1:26" ht="33.200000000000003" customHeight="1">
      <c r="A2089" s="463" t="s">
        <v>842</v>
      </c>
      <c r="B2089" s="497"/>
      <c r="C2089" s="497"/>
      <c r="D2089" s="497"/>
      <c r="E2089" s="497"/>
      <c r="F2089" s="446">
        <f>J2089+H2089+L2089</f>
        <v>29215</v>
      </c>
      <c r="G2089" s="497"/>
      <c r="H2089" s="446">
        <f>ROUNDDOWN(SUMIF(P2087:P2088,O2089,H2087:H2088),0)</f>
        <v>12743</v>
      </c>
      <c r="I2089" s="497"/>
      <c r="J2089" s="446">
        <f>ROUNDDOWN(SUMIF(P2087:P2088,O2089,J2087:J2088),0)</f>
        <v>15708</v>
      </c>
      <c r="K2089" s="497"/>
      <c r="L2089" s="446">
        <f>ROUNDDOWN(SUMIF(P2087:P2088,O2089,L2087:L2088),0)</f>
        <v>764</v>
      </c>
      <c r="M2089" s="497"/>
      <c r="O2089" s="468" t="s">
        <v>2354</v>
      </c>
    </row>
    <row r="2090" spans="1:26" ht="33.200000000000003" customHeight="1">
      <c r="A2090" s="484" t="s">
        <v>5527</v>
      </c>
      <c r="B2090" s="484"/>
      <c r="C2090" s="485"/>
      <c r="D2090" s="485"/>
      <c r="E2090" s="485"/>
      <c r="F2090" s="485"/>
      <c r="G2090" s="485"/>
      <c r="H2090" s="485"/>
      <c r="I2090" s="485"/>
      <c r="J2090" s="485"/>
      <c r="K2090" s="485"/>
      <c r="L2090" s="485"/>
      <c r="M2090" s="485"/>
      <c r="N2090" s="486" t="str">
        <f>HYPERLINK("#N"&amp;ROW(N2093),"_x0005_`BDCOD|B02568_x0007_`POSS|"&amp;ROW(N2092)&amp;"_x0007_`POSE|"&amp;ROW(N2093)&amp;"_x0007_`")</f>
        <v>_x0005_`BDCOD|B02568_x0007_`POSS|2092_x0007_`POSE|2093_x0007_`</v>
      </c>
    </row>
    <row r="2091" spans="1:26" ht="33.200000000000003" customHeight="1">
      <c r="A2091" s="469" t="s">
        <v>1605</v>
      </c>
      <c r="B2091" s="469" t="s">
        <v>1618</v>
      </c>
      <c r="C2091" s="487"/>
      <c r="D2091" s="488" t="s">
        <v>911</v>
      </c>
      <c r="E2091" s="487"/>
      <c r="F2091" s="487"/>
      <c r="G2091" s="487"/>
      <c r="H2091" s="487"/>
      <c r="I2091" s="487"/>
      <c r="J2091" s="487"/>
      <c r="K2091" s="487"/>
      <c r="L2091" s="487"/>
      <c r="M2091" s="488" t="s">
        <v>1619</v>
      </c>
      <c r="O2091" s="468" t="s">
        <v>1619</v>
      </c>
    </row>
    <row r="2092" spans="1:26" ht="33.200000000000003" customHeight="1">
      <c r="A2092" s="452" t="s">
        <v>3197</v>
      </c>
      <c r="B2092" s="452" t="s">
        <v>3213</v>
      </c>
      <c r="C2092" s="489">
        <v>1.05</v>
      </c>
      <c r="D2092" s="480" t="s">
        <v>911</v>
      </c>
      <c r="E2092" s="490">
        <f>I2092+G2092+K2092</f>
        <v>26920</v>
      </c>
      <c r="F2092" s="491">
        <f>J2092+H2092+L2092</f>
        <v>28266</v>
      </c>
      <c r="G2092" s="492">
        <v>0</v>
      </c>
      <c r="H2092" s="493">
        <f>IF(C2092=0,0,ROUNDDOWN(G2092*C2092,1))</f>
        <v>0</v>
      </c>
      <c r="I2092" s="494">
        <f>재료비목록표!E19</f>
        <v>26920</v>
      </c>
      <c r="J2092" s="495">
        <f>IF(C2092=0,0,ROUNDDOWN(I2092*C2092,1))</f>
        <v>28266</v>
      </c>
      <c r="K2092" s="492">
        <v>0</v>
      </c>
      <c r="L2092" s="493">
        <f>IF(C2092=0,0,ROUNDDOWN(K2092*C2092,1))</f>
        <v>0</v>
      </c>
      <c r="M2092" s="463" t="s">
        <v>3214</v>
      </c>
      <c r="N2092" s="451" t="s">
        <v>3215</v>
      </c>
      <c r="O2092" s="468" t="s">
        <v>3216</v>
      </c>
      <c r="P2092" s="468" t="s">
        <v>2354</v>
      </c>
      <c r="Z2092" s="433" t="str">
        <f ca="1">HYPERLINK("#"&amp;재료비목록표!G2&amp;"!A"&amp;ROW(재료비목록표!A19),"M01588 →")</f>
        <v>M01588 →</v>
      </c>
    </row>
    <row r="2093" spans="1:26" ht="33.200000000000003" customHeight="1">
      <c r="A2093" s="452" t="s">
        <v>2325</v>
      </c>
      <c r="B2093" s="452" t="s">
        <v>2329</v>
      </c>
      <c r="C2093" s="489">
        <v>1.8400000000000001E-3</v>
      </c>
      <c r="D2093" s="480" t="s">
        <v>2132</v>
      </c>
      <c r="E2093" s="490">
        <f>I2093+G2093+K2093</f>
        <v>7341364</v>
      </c>
      <c r="F2093" s="493">
        <f>J2093+H2093+L2093</f>
        <v>13508.1</v>
      </c>
      <c r="G2093" s="494">
        <f>일위대가목록표!F277</f>
        <v>6925816</v>
      </c>
      <c r="H2093" s="498">
        <f>IF(C2093=0,0,ROUNDDOWN(G2093*C2093,1))</f>
        <v>12743.5</v>
      </c>
      <c r="I2093" s="494">
        <f>일위대가목록표!G277</f>
        <v>0</v>
      </c>
      <c r="J2093" s="498">
        <f>IF(C2093=0,0,ROUNDDOWN(I2093*C2093,1))</f>
        <v>0</v>
      </c>
      <c r="K2093" s="494">
        <f>일위대가목록표!H277</f>
        <v>415548</v>
      </c>
      <c r="L2093" s="498">
        <f>IF(C2093=0,0,ROUNDDOWN(K2093*C2093,1))</f>
        <v>764.6</v>
      </c>
      <c r="M2093" s="463" t="s">
        <v>3064</v>
      </c>
      <c r="N2093" s="451" t="s">
        <v>3065</v>
      </c>
      <c r="O2093" s="468" t="s">
        <v>3066</v>
      </c>
      <c r="P2093" s="468" t="s">
        <v>2354</v>
      </c>
      <c r="Z2093" s="433" t="str">
        <f ca="1">HYPERLINK("#"&amp;일위대가목록표!J2&amp;"!A"&amp;ROW(일위대가목록표!A277),"B02687 →")</f>
        <v>B02687 →</v>
      </c>
    </row>
    <row r="2094" spans="1:26" ht="33.200000000000003" customHeight="1">
      <c r="A2094" s="463" t="s">
        <v>842</v>
      </c>
      <c r="B2094" s="497"/>
      <c r="C2094" s="497"/>
      <c r="D2094" s="497"/>
      <c r="E2094" s="497"/>
      <c r="F2094" s="446">
        <f>J2094+H2094+L2094</f>
        <v>41773</v>
      </c>
      <c r="G2094" s="497"/>
      <c r="H2094" s="446">
        <f>ROUNDDOWN(SUMIF(P2092:P2093,O2094,H2092:H2093),0)</f>
        <v>12743</v>
      </c>
      <c r="I2094" s="497"/>
      <c r="J2094" s="446">
        <f>ROUNDDOWN(SUMIF(P2092:P2093,O2094,J2092:J2093),0)</f>
        <v>28266</v>
      </c>
      <c r="K2094" s="497"/>
      <c r="L2094" s="446">
        <f>ROUNDDOWN(SUMIF(P2092:P2093,O2094,L2092:L2093),0)</f>
        <v>764</v>
      </c>
      <c r="M2094" s="497"/>
      <c r="O2094" s="468" t="s">
        <v>2354</v>
      </c>
    </row>
    <row r="2095" spans="1:26" ht="33.200000000000003" customHeight="1">
      <c r="A2095" s="484" t="s">
        <v>5528</v>
      </c>
      <c r="B2095" s="484"/>
      <c r="C2095" s="485"/>
      <c r="D2095" s="485"/>
      <c r="E2095" s="485"/>
      <c r="F2095" s="485"/>
      <c r="G2095" s="485"/>
      <c r="H2095" s="485"/>
      <c r="I2095" s="485"/>
      <c r="J2095" s="485"/>
      <c r="K2095" s="485"/>
      <c r="L2095" s="485"/>
      <c r="M2095" s="485"/>
      <c r="N2095" s="486" t="str">
        <f>HYPERLINK("#N"&amp;ROW(N2099),"_x0005_`BDCOD|B02106_x0007_`POSS|"&amp;ROW(N2097)&amp;"_x0007_`POSE|"&amp;ROW(N2099)&amp;"_x0007_`")</f>
        <v>_x0005_`BDCOD|B02106_x0007_`POSS|2097_x0007_`POSE|2099_x0007_`</v>
      </c>
    </row>
    <row r="2096" spans="1:26" ht="33.200000000000003" customHeight="1">
      <c r="A2096" s="469" t="s">
        <v>1502</v>
      </c>
      <c r="B2096" s="469" t="s">
        <v>1503</v>
      </c>
      <c r="C2096" s="487"/>
      <c r="D2096" s="488" t="s">
        <v>595</v>
      </c>
      <c r="E2096" s="487"/>
      <c r="F2096" s="487"/>
      <c r="G2096" s="487"/>
      <c r="H2096" s="487"/>
      <c r="I2096" s="487"/>
      <c r="J2096" s="487"/>
      <c r="K2096" s="487"/>
      <c r="L2096" s="487"/>
      <c r="M2096" s="488" t="s">
        <v>1504</v>
      </c>
      <c r="O2096" s="468" t="s">
        <v>1504</v>
      </c>
    </row>
    <row r="2097" spans="1:26" ht="33.200000000000003" customHeight="1">
      <c r="A2097" s="452" t="s">
        <v>2333</v>
      </c>
      <c r="B2097" s="452" t="s">
        <v>2334</v>
      </c>
      <c r="C2097" s="489">
        <v>1</v>
      </c>
      <c r="D2097" s="480" t="s">
        <v>595</v>
      </c>
      <c r="E2097" s="490">
        <f t="shared" ref="E2097:F2099" si="335">I2097+G2097+K2097</f>
        <v>1802</v>
      </c>
      <c r="F2097" s="493">
        <f t="shared" si="335"/>
        <v>1802</v>
      </c>
      <c r="G2097" s="494">
        <f>일위대가목록표!F288</f>
        <v>1750</v>
      </c>
      <c r="H2097" s="498">
        <f>IF(C2097=0,0,ROUNDDOWN(G2097*C2097,1))</f>
        <v>1750</v>
      </c>
      <c r="I2097" s="494">
        <f>일위대가목록표!G288</f>
        <v>0</v>
      </c>
      <c r="J2097" s="498">
        <f>IF(C2097=0,0,ROUNDDOWN(I2097*C2097,1))</f>
        <v>0</v>
      </c>
      <c r="K2097" s="494">
        <f>일위대가목록표!H288</f>
        <v>52</v>
      </c>
      <c r="L2097" s="498">
        <f>IF(C2097=0,0,ROUNDDOWN(K2097*C2097,1))</f>
        <v>52</v>
      </c>
      <c r="M2097" s="463" t="s">
        <v>2916</v>
      </c>
      <c r="N2097" s="451" t="s">
        <v>2917</v>
      </c>
      <c r="O2097" s="468" t="s">
        <v>2918</v>
      </c>
      <c r="P2097" s="468" t="s">
        <v>2354</v>
      </c>
      <c r="Z2097" s="433" t="str">
        <f ca="1">HYPERLINK("#"&amp;일위대가목록표!J2&amp;"!A"&amp;ROW(일위대가목록표!A288),"B02108 →")</f>
        <v>B02108 →</v>
      </c>
    </row>
    <row r="2098" spans="1:26" ht="33.200000000000003" customHeight="1">
      <c r="A2098" s="452" t="s">
        <v>1525</v>
      </c>
      <c r="B2098" s="452" t="s">
        <v>1517</v>
      </c>
      <c r="C2098" s="489">
        <v>1</v>
      </c>
      <c r="D2098" s="480" t="s">
        <v>595</v>
      </c>
      <c r="E2098" s="490">
        <f t="shared" si="335"/>
        <v>5122</v>
      </c>
      <c r="F2098" s="493">
        <f t="shared" si="335"/>
        <v>5122</v>
      </c>
      <c r="G2098" s="494">
        <f>일위대가목록표!F16</f>
        <v>4461</v>
      </c>
      <c r="H2098" s="498">
        <f>IF(C2098=0,0,ROUNDDOWN(G2098*C2098,1))</f>
        <v>4461</v>
      </c>
      <c r="I2098" s="494">
        <f>일위대가목록표!G16</f>
        <v>572</v>
      </c>
      <c r="J2098" s="498">
        <f>IF(C2098=0,0,ROUNDDOWN(I2098*C2098,1))</f>
        <v>572</v>
      </c>
      <c r="K2098" s="494">
        <f>일위대가목록표!H16</f>
        <v>89</v>
      </c>
      <c r="L2098" s="498">
        <f>IF(C2098=0,0,ROUNDDOWN(K2098*C2098,1))</f>
        <v>89</v>
      </c>
      <c r="M2098" s="463" t="s">
        <v>3218</v>
      </c>
      <c r="N2098" s="451" t="s">
        <v>3219</v>
      </c>
      <c r="O2098" s="468" t="s">
        <v>1528</v>
      </c>
      <c r="P2098" s="468" t="s">
        <v>2354</v>
      </c>
      <c r="Z2098" s="433" t="str">
        <f ca="1">HYPERLINK("#"&amp;일위대가목록표!J2&amp;"!A"&amp;ROW(일위대가목록표!A16),"B02562 →")</f>
        <v>B02562 →</v>
      </c>
    </row>
    <row r="2099" spans="1:26" ht="33.200000000000003" customHeight="1">
      <c r="A2099" s="452" t="s">
        <v>1516</v>
      </c>
      <c r="B2099" s="452" t="s">
        <v>1517</v>
      </c>
      <c r="C2099" s="489">
        <v>1</v>
      </c>
      <c r="D2099" s="480" t="s">
        <v>595</v>
      </c>
      <c r="E2099" s="490">
        <f t="shared" si="335"/>
        <v>6547</v>
      </c>
      <c r="F2099" s="493">
        <f t="shared" si="335"/>
        <v>6547</v>
      </c>
      <c r="G2099" s="494">
        <f>일위대가목록표!F256</f>
        <v>5948</v>
      </c>
      <c r="H2099" s="498">
        <f>IF(C2099=0,0,ROUNDDOWN(G2099*C2099,1))</f>
        <v>5948</v>
      </c>
      <c r="I2099" s="494">
        <f>일위대가목록표!G256</f>
        <v>481</v>
      </c>
      <c r="J2099" s="498">
        <f>IF(C2099=0,0,ROUNDDOWN(I2099*C2099,1))</f>
        <v>481</v>
      </c>
      <c r="K2099" s="494">
        <f>일위대가목록표!H256</f>
        <v>118</v>
      </c>
      <c r="L2099" s="498">
        <f>IF(C2099=0,0,ROUNDDOWN(K2099*C2099,1))</f>
        <v>118</v>
      </c>
      <c r="M2099" s="463" t="s">
        <v>3220</v>
      </c>
      <c r="N2099" s="451" t="s">
        <v>3221</v>
      </c>
      <c r="O2099" s="468" t="s">
        <v>1520</v>
      </c>
      <c r="P2099" s="468" t="s">
        <v>2354</v>
      </c>
      <c r="Z2099" s="433" t="str">
        <f ca="1">HYPERLINK("#"&amp;일위대가목록표!J2&amp;"!A"&amp;ROW(일위대가목록표!A256),"B02563 →")</f>
        <v>B02563 →</v>
      </c>
    </row>
    <row r="2100" spans="1:26" ht="33.200000000000003" customHeight="1">
      <c r="A2100" s="463" t="s">
        <v>842</v>
      </c>
      <c r="B2100" s="497"/>
      <c r="C2100" s="497"/>
      <c r="D2100" s="497"/>
      <c r="E2100" s="497"/>
      <c r="F2100" s="446">
        <f>J2100+H2100+L2100</f>
        <v>13471</v>
      </c>
      <c r="G2100" s="497"/>
      <c r="H2100" s="446">
        <f>ROUNDDOWN(SUMIF(P2097:P2099,O2100,H2097:H2099),0)</f>
        <v>12159</v>
      </c>
      <c r="I2100" s="497"/>
      <c r="J2100" s="446">
        <f>ROUNDDOWN(SUMIF(P2097:P2099,O2100,J2097:J2099),0)</f>
        <v>1053</v>
      </c>
      <c r="K2100" s="497"/>
      <c r="L2100" s="446">
        <f>ROUNDDOWN(SUMIF(P2097:P2099,O2100,L2097:L2099),0)</f>
        <v>259</v>
      </c>
      <c r="M2100" s="497"/>
      <c r="O2100" s="468" t="s">
        <v>2354</v>
      </c>
    </row>
    <row r="2101" spans="1:26" ht="33.200000000000003" customHeight="1">
      <c r="A2101" s="484" t="s">
        <v>5529</v>
      </c>
      <c r="B2101" s="484"/>
      <c r="C2101" s="485"/>
      <c r="D2101" s="485"/>
      <c r="E2101" s="485"/>
      <c r="F2101" s="485"/>
      <c r="G2101" s="485"/>
      <c r="H2101" s="485"/>
      <c r="I2101" s="485"/>
      <c r="J2101" s="485"/>
      <c r="K2101" s="485"/>
      <c r="L2101" s="485"/>
      <c r="M2101" s="485"/>
      <c r="N2101" s="486" t="str">
        <f>HYPERLINK("#N"&amp;ROW(N2105),"_x0005_`BDCOD|B02108_x0007_`POSS|"&amp;ROW(N2103)&amp;"_x0007_`POSE|"&amp;ROW(N2105)&amp;"_x0007_`")</f>
        <v>_x0005_`BDCOD|B02108_x0007_`POSS|2103_x0007_`POSE|2105_x0007_`</v>
      </c>
    </row>
    <row r="2102" spans="1:26" ht="33.200000000000003" customHeight="1">
      <c r="A2102" s="469" t="s">
        <v>2333</v>
      </c>
      <c r="B2102" s="469" t="s">
        <v>2334</v>
      </c>
      <c r="C2102" s="487"/>
      <c r="D2102" s="488" t="s">
        <v>595</v>
      </c>
      <c r="E2102" s="487"/>
      <c r="F2102" s="487"/>
      <c r="G2102" s="487"/>
      <c r="H2102" s="487"/>
      <c r="I2102" s="487"/>
      <c r="J2102" s="487"/>
      <c r="K2102" s="487"/>
      <c r="L2102" s="487"/>
      <c r="M2102" s="488" t="s">
        <v>2332</v>
      </c>
      <c r="O2102" s="468" t="s">
        <v>2332</v>
      </c>
    </row>
    <row r="2103" spans="1:26" ht="33.200000000000003" customHeight="1">
      <c r="A2103" s="452" t="s">
        <v>2424</v>
      </c>
      <c r="B2103" s="452"/>
      <c r="C2103" s="489">
        <v>6.0000000000000001E-3</v>
      </c>
      <c r="D2103" s="480" t="s">
        <v>585</v>
      </c>
      <c r="E2103" s="490">
        <f t="shared" ref="E2103:F2105" si="336">I2103+G2103+K2103</f>
        <v>263017</v>
      </c>
      <c r="F2103" s="493">
        <f t="shared" si="336"/>
        <v>1578.1</v>
      </c>
      <c r="G2103" s="494">
        <f>노무비목록표!E7</f>
        <v>263017</v>
      </c>
      <c r="H2103" s="495">
        <f>IF(C2103=0,0,ROUNDDOWN(G2103*C2103,1))</f>
        <v>1578.1</v>
      </c>
      <c r="I2103" s="492">
        <v>0</v>
      </c>
      <c r="J2103" s="491">
        <f>IF(C2103=0,0,ROUNDDOWN(I2103*C2103,1))</f>
        <v>0</v>
      </c>
      <c r="K2103" s="492">
        <v>0</v>
      </c>
      <c r="L2103" s="493">
        <f>IF(C2103=0,0,ROUNDDOWN(K2103*C2103,1))</f>
        <v>0</v>
      </c>
      <c r="M2103" s="463" t="s">
        <v>2425</v>
      </c>
      <c r="N2103" s="451" t="s">
        <v>2426</v>
      </c>
      <c r="O2103" s="468" t="s">
        <v>2427</v>
      </c>
      <c r="P2103" s="468" t="s">
        <v>2354</v>
      </c>
      <c r="Q2103" s="468" t="s">
        <v>2355</v>
      </c>
      <c r="Z2103" s="433" t="str">
        <f ca="1">HYPERLINK("#"&amp;노무비목록표!G2&amp;"!A"&amp;ROW(노무비목록표!A7),"L00010 →")</f>
        <v>L00010 →</v>
      </c>
    </row>
    <row r="2104" spans="1:26" ht="33.200000000000003" customHeight="1">
      <c r="A2104" s="452" t="s">
        <v>2360</v>
      </c>
      <c r="B2104" s="452"/>
      <c r="C2104" s="489">
        <v>1E-3</v>
      </c>
      <c r="D2104" s="480" t="s">
        <v>585</v>
      </c>
      <c r="E2104" s="490">
        <f t="shared" si="336"/>
        <v>172068</v>
      </c>
      <c r="F2104" s="493">
        <f t="shared" si="336"/>
        <v>172</v>
      </c>
      <c r="G2104" s="494">
        <f>노무비목록표!E10</f>
        <v>172068</v>
      </c>
      <c r="H2104" s="495">
        <f>IF(C2104=0,0,ROUNDDOWN(G2104*C2104,1))</f>
        <v>172</v>
      </c>
      <c r="I2104" s="492">
        <v>0</v>
      </c>
      <c r="J2104" s="491">
        <f>IF(C2104=0,0,ROUNDDOWN(I2104*C2104,1))</f>
        <v>0</v>
      </c>
      <c r="K2104" s="492">
        <v>0</v>
      </c>
      <c r="L2104" s="493">
        <f>IF(C2104=0,0,ROUNDDOWN(K2104*C2104,1))</f>
        <v>0</v>
      </c>
      <c r="M2104" s="463" t="s">
        <v>2361</v>
      </c>
      <c r="N2104" s="451" t="s">
        <v>2428</v>
      </c>
      <c r="O2104" s="468" t="s">
        <v>2363</v>
      </c>
      <c r="P2104" s="468" t="s">
        <v>2354</v>
      </c>
      <c r="Q2104" s="468" t="s">
        <v>2355</v>
      </c>
      <c r="Z2104" s="433" t="str">
        <f ca="1">HYPERLINK("#"&amp;노무비목록표!G2&amp;"!A"&amp;ROW(노무비목록표!A10),"L00017 →")</f>
        <v>L00017 →</v>
      </c>
    </row>
    <row r="2105" spans="1:26" ht="33.200000000000003" customHeight="1">
      <c r="A2105" s="452" t="s">
        <v>2440</v>
      </c>
      <c r="B2105" s="452" t="s">
        <v>2441</v>
      </c>
      <c r="C2105" s="489">
        <v>3</v>
      </c>
      <c r="D2105" s="480" t="s">
        <v>2371</v>
      </c>
      <c r="E2105" s="490">
        <f t="shared" si="336"/>
        <v>1750.1</v>
      </c>
      <c r="F2105" s="491">
        <f t="shared" si="336"/>
        <v>52.5</v>
      </c>
      <c r="G2105" s="465">
        <v>0</v>
      </c>
      <c r="H2105" s="491">
        <f>IF(C2105=0,0,ROUNDDOWN(G2105*C2105/100,1))</f>
        <v>0</v>
      </c>
      <c r="I2105" s="465">
        <v>0</v>
      </c>
      <c r="J2105" s="493">
        <f>IF(C2105=0,0,ROUNDDOWN(I2105*C2105/100,1))</f>
        <v>0</v>
      </c>
      <c r="K2105" s="499">
        <f>H2103+H2104</f>
        <v>1750.1</v>
      </c>
      <c r="L2105" s="493">
        <f>IF(C2105=0,0,ROUNDDOWN(K2105*C2105/100,1))</f>
        <v>52.5</v>
      </c>
      <c r="M2105" s="463"/>
      <c r="N2105" s="451" t="s">
        <v>2442</v>
      </c>
      <c r="O2105" s="468" t="s">
        <v>2373</v>
      </c>
      <c r="P2105" s="468" t="s">
        <v>2354</v>
      </c>
    </row>
    <row r="2106" spans="1:26" ht="33.200000000000003" customHeight="1">
      <c r="A2106" s="463" t="s">
        <v>842</v>
      </c>
      <c r="B2106" s="497"/>
      <c r="C2106" s="497"/>
      <c r="D2106" s="497"/>
      <c r="E2106" s="497"/>
      <c r="F2106" s="446">
        <f>J2106+H2106+L2106</f>
        <v>1802</v>
      </c>
      <c r="G2106" s="497"/>
      <c r="H2106" s="446">
        <f>ROUNDDOWN(SUMIF(P2103:P2105,O2106,H2103:H2105),0)</f>
        <v>1750</v>
      </c>
      <c r="I2106" s="497"/>
      <c r="J2106" s="446">
        <f>ROUNDDOWN(SUMIF(P2103:P2105,O2106,J2103:J2105),0)</f>
        <v>0</v>
      </c>
      <c r="K2106" s="497"/>
      <c r="L2106" s="446">
        <f>ROUNDDOWN(SUMIF(P2103:P2105,O2106,L2103:L2105),0)</f>
        <v>52</v>
      </c>
      <c r="M2106" s="497"/>
      <c r="O2106" s="468" t="s">
        <v>2354</v>
      </c>
    </row>
    <row r="2107" spans="1:26" ht="33.200000000000003" customHeight="1">
      <c r="A2107" s="484" t="s">
        <v>5530</v>
      </c>
      <c r="B2107" s="484"/>
      <c r="C2107" s="485"/>
      <c r="D2107" s="485"/>
      <c r="E2107" s="485"/>
      <c r="F2107" s="485"/>
      <c r="G2107" s="485"/>
      <c r="H2107" s="485"/>
      <c r="I2107" s="485"/>
      <c r="J2107" s="485"/>
      <c r="K2107" s="485"/>
      <c r="L2107" s="485"/>
      <c r="M2107" s="485"/>
      <c r="N2107" s="486" t="str">
        <f>HYPERLINK("#N"&amp;ROW(N2113),"_x0005_`BDCOD|B02684_x0007_`POSS|"&amp;ROW(N2109)&amp;"_x0007_`POSE|"&amp;ROW(N2113)&amp;"_x0007_`")</f>
        <v>_x0005_`BDCOD|B02684_x0007_`POSS|2109_x0007_`POSE|2113_x0007_`</v>
      </c>
    </row>
    <row r="2108" spans="1:26" ht="33.200000000000003" customHeight="1">
      <c r="A2108" s="469" t="s">
        <v>1247</v>
      </c>
      <c r="B2108" s="469" t="s">
        <v>1235</v>
      </c>
      <c r="C2108" s="487"/>
      <c r="D2108" s="488" t="s">
        <v>595</v>
      </c>
      <c r="E2108" s="487"/>
      <c r="F2108" s="487"/>
      <c r="G2108" s="487"/>
      <c r="H2108" s="487"/>
      <c r="I2108" s="487"/>
      <c r="J2108" s="487"/>
      <c r="K2108" s="487"/>
      <c r="L2108" s="487"/>
      <c r="M2108" s="488" t="s">
        <v>1248</v>
      </c>
      <c r="O2108" s="468" t="s">
        <v>1248</v>
      </c>
    </row>
    <row r="2109" spans="1:26" ht="33.200000000000003" customHeight="1">
      <c r="A2109" s="452" t="s">
        <v>2287</v>
      </c>
      <c r="B2109" s="452" t="s">
        <v>2288</v>
      </c>
      <c r="C2109" s="489">
        <v>1</v>
      </c>
      <c r="D2109" s="480" t="s">
        <v>595</v>
      </c>
      <c r="E2109" s="490">
        <f t="shared" ref="E2109:F2113" si="337">I2109+G2109+K2109</f>
        <v>67286</v>
      </c>
      <c r="F2109" s="493">
        <f t="shared" si="337"/>
        <v>67286</v>
      </c>
      <c r="G2109" s="494">
        <f>일위대가목록표!F33</f>
        <v>54084</v>
      </c>
      <c r="H2109" s="498">
        <f>IF(C2109=0,0,ROUNDDOWN(G2109*C2109,1))</f>
        <v>54084</v>
      </c>
      <c r="I2109" s="494">
        <f>일위대가목록표!G33</f>
        <v>6177</v>
      </c>
      <c r="J2109" s="498">
        <f>IF(C2109=0,0,ROUNDDOWN(I2109*C2109,1))</f>
        <v>6177</v>
      </c>
      <c r="K2109" s="494">
        <f>일위대가목록표!H33</f>
        <v>7025</v>
      </c>
      <c r="L2109" s="498">
        <f>IF(C2109=0,0,ROUNDDOWN(K2109*C2109,1))</f>
        <v>7025</v>
      </c>
      <c r="M2109" s="463" t="s">
        <v>3224</v>
      </c>
      <c r="N2109" s="451" t="s">
        <v>3225</v>
      </c>
      <c r="O2109" s="468" t="s">
        <v>3226</v>
      </c>
      <c r="P2109" s="468" t="s">
        <v>2354</v>
      </c>
      <c r="Z2109" s="433" t="str">
        <f ca="1">HYPERLINK("#"&amp;일위대가목록표!J2&amp;"!A"&amp;ROW(일위대가목록표!A33),"B02685 →")</f>
        <v>B02685 →</v>
      </c>
    </row>
    <row r="2110" spans="1:26" ht="33.200000000000003" customHeight="1">
      <c r="A2110" s="452" t="s">
        <v>3171</v>
      </c>
      <c r="B2110" s="452" t="s">
        <v>3172</v>
      </c>
      <c r="C2110" s="489">
        <v>0.97599999999999998</v>
      </c>
      <c r="D2110" s="480" t="s">
        <v>2576</v>
      </c>
      <c r="E2110" s="490">
        <f t="shared" si="337"/>
        <v>45000</v>
      </c>
      <c r="F2110" s="491">
        <f t="shared" si="337"/>
        <v>43920</v>
      </c>
      <c r="G2110" s="492">
        <v>0</v>
      </c>
      <c r="H2110" s="493">
        <f>IF(C2110=0,0,ROUNDDOWN(G2110*C2110,1))</f>
        <v>0</v>
      </c>
      <c r="I2110" s="494">
        <f>재료비목록표!E23</f>
        <v>45000</v>
      </c>
      <c r="J2110" s="495">
        <f>IF(C2110=0,0,ROUNDDOWN(I2110*C2110,1))</f>
        <v>43920</v>
      </c>
      <c r="K2110" s="492">
        <v>0</v>
      </c>
      <c r="L2110" s="493">
        <f>IF(C2110=0,0,ROUNDDOWN(K2110*C2110,1))</f>
        <v>0</v>
      </c>
      <c r="M2110" s="463" t="s">
        <v>3173</v>
      </c>
      <c r="N2110" s="451" t="s">
        <v>3174</v>
      </c>
      <c r="O2110" s="468" t="s">
        <v>3175</v>
      </c>
      <c r="P2110" s="468" t="s">
        <v>2354</v>
      </c>
      <c r="Z2110" s="433" t="str">
        <f ca="1">HYPERLINK("#"&amp;재료비목록표!G2&amp;"!A"&amp;ROW(재료비목록표!A23),"M01053 →")</f>
        <v>M01053 →</v>
      </c>
    </row>
    <row r="2111" spans="1:26" ht="33.200000000000003" customHeight="1">
      <c r="A2111" s="452" t="s">
        <v>3227</v>
      </c>
      <c r="B2111" s="452" t="s">
        <v>3228</v>
      </c>
      <c r="C2111" s="489">
        <v>0.15</v>
      </c>
      <c r="D2111" s="480" t="s">
        <v>8</v>
      </c>
      <c r="E2111" s="490">
        <f t="shared" si="337"/>
        <v>26887</v>
      </c>
      <c r="F2111" s="493">
        <f t="shared" si="337"/>
        <v>4032.9999999999995</v>
      </c>
      <c r="G2111" s="494">
        <f>단가산출근거목록표!F4</f>
        <v>20935</v>
      </c>
      <c r="H2111" s="498">
        <f>IF(C2111=0,0,ROUNDDOWN(G2111*C2111,1))</f>
        <v>3140.2</v>
      </c>
      <c r="I2111" s="494">
        <f>단가산출근거목록표!G4</f>
        <v>2818</v>
      </c>
      <c r="J2111" s="498">
        <f>IF(C2111=0,0,ROUNDDOWN(I2111*C2111,1))</f>
        <v>422.7</v>
      </c>
      <c r="K2111" s="494">
        <f>단가산출근거목록표!H4</f>
        <v>3134</v>
      </c>
      <c r="L2111" s="498">
        <f>IF(C2111=0,0,ROUNDDOWN(K2111*C2111,1))</f>
        <v>470.1</v>
      </c>
      <c r="M2111" s="463" t="s">
        <v>3229</v>
      </c>
      <c r="N2111" s="451" t="s">
        <v>3230</v>
      </c>
      <c r="O2111" s="468" t="s">
        <v>3231</v>
      </c>
      <c r="P2111" s="468" t="s">
        <v>2354</v>
      </c>
      <c r="Z2111" s="433" t="str">
        <f ca="1">HYPERLINK("#"&amp;단가산출근거목록표!J2&amp;"!A"&amp;ROW(단가산출근거목록표!A4),"D00970 →")</f>
        <v>D00970 →</v>
      </c>
    </row>
    <row r="2112" spans="1:26" ht="33.200000000000003" customHeight="1">
      <c r="A2112" s="452" t="s">
        <v>2710</v>
      </c>
      <c r="B2112" s="452" t="s">
        <v>2716</v>
      </c>
      <c r="C2112" s="489">
        <v>0.35</v>
      </c>
      <c r="D2112" s="480" t="s">
        <v>8</v>
      </c>
      <c r="E2112" s="490">
        <f t="shared" si="337"/>
        <v>6415</v>
      </c>
      <c r="F2112" s="493">
        <f t="shared" si="337"/>
        <v>2245.1</v>
      </c>
      <c r="G2112" s="494">
        <f>단가산출근거목록표!F58</f>
        <v>5659</v>
      </c>
      <c r="H2112" s="498">
        <f>IF(C2112=0,0,ROUNDDOWN(G2112*C2112,1))</f>
        <v>1980.6</v>
      </c>
      <c r="I2112" s="494">
        <f>단가산출근거목록표!G58</f>
        <v>335</v>
      </c>
      <c r="J2112" s="498">
        <f>IF(C2112=0,0,ROUNDDOWN(I2112*C2112,1))</f>
        <v>117.2</v>
      </c>
      <c r="K2112" s="494">
        <f>단가산출근거목록표!H58</f>
        <v>421</v>
      </c>
      <c r="L2112" s="498">
        <f>IF(C2112=0,0,ROUNDDOWN(K2112*C2112,1))</f>
        <v>147.30000000000001</v>
      </c>
      <c r="M2112" s="463" t="s">
        <v>3232</v>
      </c>
      <c r="N2112" s="451" t="s">
        <v>3233</v>
      </c>
      <c r="O2112" s="468" t="s">
        <v>3234</v>
      </c>
      <c r="P2112" s="468" t="s">
        <v>2354</v>
      </c>
      <c r="Z2112" s="433" t="str">
        <f ca="1">HYPERLINK("#"&amp;단가산출근거목록표!J2&amp;"!A"&amp;ROW(단가산출근거목록표!A58),"D00783 →")</f>
        <v>D00783 →</v>
      </c>
    </row>
    <row r="2113" spans="1:26" ht="33.200000000000003" customHeight="1">
      <c r="A2113" s="452" t="s">
        <v>2720</v>
      </c>
      <c r="B2113" s="452" t="s">
        <v>2721</v>
      </c>
      <c r="C2113" s="489">
        <v>0.35</v>
      </c>
      <c r="D2113" s="480" t="s">
        <v>8</v>
      </c>
      <c r="E2113" s="490">
        <f t="shared" si="337"/>
        <v>1814</v>
      </c>
      <c r="F2113" s="493">
        <f t="shared" si="337"/>
        <v>634.79999999999995</v>
      </c>
      <c r="G2113" s="494">
        <f>단가산출근거목록표!F56</f>
        <v>1039</v>
      </c>
      <c r="H2113" s="498">
        <f>IF(C2113=0,0,ROUNDDOWN(G2113*C2113,1))</f>
        <v>363.6</v>
      </c>
      <c r="I2113" s="494">
        <f>단가산출근거목록표!G56</f>
        <v>343</v>
      </c>
      <c r="J2113" s="498">
        <f>IF(C2113=0,0,ROUNDDOWN(I2113*C2113,1))</f>
        <v>120</v>
      </c>
      <c r="K2113" s="494">
        <f>단가산출근거목록표!H56</f>
        <v>432</v>
      </c>
      <c r="L2113" s="498">
        <f>IF(C2113=0,0,ROUNDDOWN(K2113*C2113,1))</f>
        <v>151.19999999999999</v>
      </c>
      <c r="M2113" s="463" t="s">
        <v>2722</v>
      </c>
      <c r="N2113" s="451" t="s">
        <v>2723</v>
      </c>
      <c r="O2113" s="468" t="s">
        <v>2724</v>
      </c>
      <c r="P2113" s="468" t="s">
        <v>2354</v>
      </c>
      <c r="Z2113" s="433" t="str">
        <f ca="1">HYPERLINK("#"&amp;단가산출근거목록표!J2&amp;"!A"&amp;ROW(단가산출근거목록표!A56),"D00787 →")</f>
        <v>D00787 →</v>
      </c>
    </row>
    <row r="2114" spans="1:26" ht="33.200000000000003" customHeight="1">
      <c r="A2114" s="463" t="s">
        <v>842</v>
      </c>
      <c r="B2114" s="497"/>
      <c r="C2114" s="497"/>
      <c r="D2114" s="497"/>
      <c r="E2114" s="497"/>
      <c r="F2114" s="446">
        <f>J2114+H2114+L2114</f>
        <v>118117</v>
      </c>
      <c r="G2114" s="497"/>
      <c r="H2114" s="446">
        <f>ROUNDDOWN(SUMIF(P2109:P2113,O2114,H2109:H2113),0)</f>
        <v>59568</v>
      </c>
      <c r="I2114" s="497"/>
      <c r="J2114" s="446">
        <f>ROUNDDOWN(SUMIF(P2109:P2113,O2114,J2109:J2113),0)</f>
        <v>50756</v>
      </c>
      <c r="K2114" s="497"/>
      <c r="L2114" s="446">
        <f>ROUNDDOWN(SUMIF(P2109:P2113,O2114,L2109:L2113),0)</f>
        <v>7793</v>
      </c>
      <c r="M2114" s="497"/>
      <c r="O2114" s="468" t="s">
        <v>2354</v>
      </c>
    </row>
    <row r="2115" spans="1:26" ht="33.200000000000003" customHeight="1">
      <c r="A2115" s="484" t="s">
        <v>5531</v>
      </c>
      <c r="B2115" s="484"/>
      <c r="C2115" s="485"/>
      <c r="D2115" s="485"/>
      <c r="E2115" s="485"/>
      <c r="F2115" s="485"/>
      <c r="G2115" s="485"/>
      <c r="H2115" s="485"/>
      <c r="I2115" s="485"/>
      <c r="J2115" s="485"/>
      <c r="K2115" s="485"/>
      <c r="L2115" s="485"/>
      <c r="M2115" s="485"/>
      <c r="N2115" s="486" t="str">
        <f>HYPERLINK("#N"&amp;ROW(N2123),"_x0005_`BDCOD|B02148_x0007_`POSS|"&amp;ROW(N2117)&amp;"_x0007_`POSE|"&amp;ROW(N2123)&amp;"_x0007_`")</f>
        <v>_x0005_`BDCOD|B02148_x0007_`POSS|2117_x0007_`POSE|2123_x0007_`</v>
      </c>
    </row>
    <row r="2116" spans="1:26" ht="33.200000000000003" customHeight="1">
      <c r="A2116" s="469" t="s">
        <v>1239</v>
      </c>
      <c r="B2116" s="469" t="s">
        <v>1235</v>
      </c>
      <c r="C2116" s="487"/>
      <c r="D2116" s="488" t="s">
        <v>595</v>
      </c>
      <c r="E2116" s="487"/>
      <c r="F2116" s="487"/>
      <c r="G2116" s="487"/>
      <c r="H2116" s="487"/>
      <c r="I2116" s="487"/>
      <c r="J2116" s="487"/>
      <c r="K2116" s="487"/>
      <c r="L2116" s="487"/>
      <c r="M2116" s="488" t="s">
        <v>1240</v>
      </c>
      <c r="O2116" s="468" t="s">
        <v>1240</v>
      </c>
    </row>
    <row r="2117" spans="1:26" ht="33.200000000000003" customHeight="1">
      <c r="A2117" s="452" t="s">
        <v>2293</v>
      </c>
      <c r="B2117" s="452" t="s">
        <v>2294</v>
      </c>
      <c r="C2117" s="489">
        <v>1</v>
      </c>
      <c r="D2117" s="480" t="s">
        <v>595</v>
      </c>
      <c r="E2117" s="490">
        <f t="shared" ref="E2117:F2123" si="338">I2117+G2117+K2117</f>
        <v>103073</v>
      </c>
      <c r="F2117" s="493">
        <f t="shared" si="338"/>
        <v>103073</v>
      </c>
      <c r="G2117" s="494">
        <f>일위대가목록표!F35</f>
        <v>81995</v>
      </c>
      <c r="H2117" s="498">
        <f t="shared" ref="H2117:H2123" si="339">IF(C2117=0,0,ROUNDDOWN(G2117*C2117,1))</f>
        <v>81995</v>
      </c>
      <c r="I2117" s="494">
        <f>일위대가목록표!G35</f>
        <v>9884</v>
      </c>
      <c r="J2117" s="498">
        <f t="shared" ref="J2117:J2123" si="340">IF(C2117=0,0,ROUNDDOWN(I2117*C2117,1))</f>
        <v>9884</v>
      </c>
      <c r="K2117" s="494">
        <f>일위대가목록표!H35</f>
        <v>11194</v>
      </c>
      <c r="L2117" s="498">
        <f t="shared" ref="L2117:L2123" si="341">IF(C2117=0,0,ROUNDDOWN(K2117*C2117,1))</f>
        <v>11194</v>
      </c>
      <c r="M2117" s="463" t="s">
        <v>3236</v>
      </c>
      <c r="N2117" s="451" t="s">
        <v>3237</v>
      </c>
      <c r="O2117" s="468" t="s">
        <v>3238</v>
      </c>
      <c r="P2117" s="468" t="s">
        <v>2354</v>
      </c>
      <c r="Z2117" s="433" t="str">
        <f ca="1">HYPERLINK("#"&amp;일위대가목록표!J2&amp;"!A"&amp;ROW(일위대가목록표!A35),"B02146 →")</f>
        <v>B02146 →</v>
      </c>
    </row>
    <row r="2118" spans="1:26" ht="33.200000000000003" customHeight="1">
      <c r="A2118" s="452" t="s">
        <v>3171</v>
      </c>
      <c r="B2118" s="452" t="s">
        <v>3172</v>
      </c>
      <c r="C2118" s="489">
        <v>1.36</v>
      </c>
      <c r="D2118" s="480" t="s">
        <v>2576</v>
      </c>
      <c r="E2118" s="490">
        <f t="shared" si="338"/>
        <v>45000</v>
      </c>
      <c r="F2118" s="491">
        <f t="shared" si="338"/>
        <v>61200</v>
      </c>
      <c r="G2118" s="492">
        <v>0</v>
      </c>
      <c r="H2118" s="493">
        <f t="shared" si="339"/>
        <v>0</v>
      </c>
      <c r="I2118" s="494">
        <f>재료비목록표!E23</f>
        <v>45000</v>
      </c>
      <c r="J2118" s="495">
        <f t="shared" si="340"/>
        <v>61200</v>
      </c>
      <c r="K2118" s="492">
        <v>0</v>
      </c>
      <c r="L2118" s="493">
        <f t="shared" si="341"/>
        <v>0</v>
      </c>
      <c r="M2118" s="463" t="s">
        <v>3173</v>
      </c>
      <c r="N2118" s="451" t="s">
        <v>3174</v>
      </c>
      <c r="O2118" s="468" t="s">
        <v>3175</v>
      </c>
      <c r="P2118" s="468" t="s">
        <v>2354</v>
      </c>
      <c r="Z2118" s="433" t="str">
        <f ca="1">HYPERLINK("#"&amp;재료비목록표!G2&amp;"!A"&amp;ROW(재료비목록표!A23),"M01053 →")</f>
        <v>M01053 →</v>
      </c>
    </row>
    <row r="2119" spans="1:26" ht="33.200000000000003" customHeight="1">
      <c r="A2119" s="452" t="s">
        <v>3239</v>
      </c>
      <c r="B2119" s="452" t="s">
        <v>3240</v>
      </c>
      <c r="C2119" s="489">
        <v>0.31</v>
      </c>
      <c r="D2119" s="480" t="s">
        <v>8</v>
      </c>
      <c r="E2119" s="490">
        <f t="shared" si="338"/>
        <v>25000</v>
      </c>
      <c r="F2119" s="491">
        <f t="shared" si="338"/>
        <v>7750</v>
      </c>
      <c r="G2119" s="492">
        <v>0</v>
      </c>
      <c r="H2119" s="493">
        <f t="shared" si="339"/>
        <v>0</v>
      </c>
      <c r="I2119" s="494">
        <f>재료비목록표!E87</f>
        <v>25000</v>
      </c>
      <c r="J2119" s="495">
        <f t="shared" si="340"/>
        <v>7750</v>
      </c>
      <c r="K2119" s="492">
        <v>0</v>
      </c>
      <c r="L2119" s="493">
        <f t="shared" si="341"/>
        <v>0</v>
      </c>
      <c r="M2119" s="463" t="s">
        <v>3241</v>
      </c>
      <c r="N2119" s="451" t="s">
        <v>3242</v>
      </c>
      <c r="O2119" s="468" t="s">
        <v>3243</v>
      </c>
      <c r="P2119" s="468" t="s">
        <v>2354</v>
      </c>
      <c r="Z2119" s="433" t="str">
        <f ca="1">HYPERLINK("#"&amp;재료비목록표!G2&amp;"!A"&amp;ROW(재료비목록표!A87),"M01154 →")</f>
        <v>M01154 →</v>
      </c>
    </row>
    <row r="2120" spans="1:26" ht="33.200000000000003" customHeight="1">
      <c r="A2120" s="452" t="s">
        <v>2282</v>
      </c>
      <c r="B2120" s="452" t="s">
        <v>2283</v>
      </c>
      <c r="C2120" s="489">
        <v>0.31</v>
      </c>
      <c r="D2120" s="480" t="s">
        <v>8</v>
      </c>
      <c r="E2120" s="490">
        <f t="shared" si="338"/>
        <v>15336</v>
      </c>
      <c r="F2120" s="493">
        <f t="shared" si="338"/>
        <v>4754</v>
      </c>
      <c r="G2120" s="494">
        <f>일위대가목록표!F15</f>
        <v>12868</v>
      </c>
      <c r="H2120" s="498">
        <f t="shared" si="339"/>
        <v>3989</v>
      </c>
      <c r="I2120" s="494">
        <f>일위대가목록표!G15</f>
        <v>1153</v>
      </c>
      <c r="J2120" s="498">
        <f t="shared" si="340"/>
        <v>357.4</v>
      </c>
      <c r="K2120" s="494">
        <f>일위대가목록표!H15</f>
        <v>1315</v>
      </c>
      <c r="L2120" s="498">
        <f t="shared" si="341"/>
        <v>407.6</v>
      </c>
      <c r="M2120" s="463" t="s">
        <v>3244</v>
      </c>
      <c r="N2120" s="451" t="s">
        <v>3245</v>
      </c>
      <c r="O2120" s="468" t="s">
        <v>3246</v>
      </c>
      <c r="P2120" s="468" t="s">
        <v>2354</v>
      </c>
      <c r="Z2120" s="433" t="str">
        <f ca="1">HYPERLINK("#"&amp;일위대가목록표!J2&amp;"!A"&amp;ROW(일위대가목록표!A15),"B02299 →")</f>
        <v>B02299 →</v>
      </c>
    </row>
    <row r="2121" spans="1:26" ht="33.200000000000003" customHeight="1">
      <c r="A2121" s="452" t="s">
        <v>3227</v>
      </c>
      <c r="B2121" s="452" t="s">
        <v>3228</v>
      </c>
      <c r="C2121" s="489">
        <v>0.15</v>
      </c>
      <c r="D2121" s="480" t="s">
        <v>8</v>
      </c>
      <c r="E2121" s="490">
        <f t="shared" si="338"/>
        <v>26887</v>
      </c>
      <c r="F2121" s="493">
        <f t="shared" si="338"/>
        <v>4032.9999999999995</v>
      </c>
      <c r="G2121" s="494">
        <f>단가산출근거목록표!F4</f>
        <v>20935</v>
      </c>
      <c r="H2121" s="498">
        <f t="shared" si="339"/>
        <v>3140.2</v>
      </c>
      <c r="I2121" s="494">
        <f>단가산출근거목록표!G4</f>
        <v>2818</v>
      </c>
      <c r="J2121" s="498">
        <f t="shared" si="340"/>
        <v>422.7</v>
      </c>
      <c r="K2121" s="494">
        <f>단가산출근거목록표!H4</f>
        <v>3134</v>
      </c>
      <c r="L2121" s="498">
        <f t="shared" si="341"/>
        <v>470.1</v>
      </c>
      <c r="M2121" s="463" t="s">
        <v>3229</v>
      </c>
      <c r="N2121" s="451" t="s">
        <v>3230</v>
      </c>
      <c r="O2121" s="468" t="s">
        <v>3231</v>
      </c>
      <c r="P2121" s="468" t="s">
        <v>2354</v>
      </c>
      <c r="Z2121" s="433" t="str">
        <f ca="1">HYPERLINK("#"&amp;단가산출근거목록표!J2&amp;"!A"&amp;ROW(단가산출근거목록표!A4),"D00970 →")</f>
        <v>D00970 →</v>
      </c>
    </row>
    <row r="2122" spans="1:26" ht="33.200000000000003" customHeight="1">
      <c r="A2122" s="452" t="s">
        <v>2710</v>
      </c>
      <c r="B2122" s="452" t="s">
        <v>2716</v>
      </c>
      <c r="C2122" s="489">
        <v>0.45</v>
      </c>
      <c r="D2122" s="480" t="s">
        <v>8</v>
      </c>
      <c r="E2122" s="490">
        <f t="shared" si="338"/>
        <v>6415</v>
      </c>
      <c r="F2122" s="493">
        <f t="shared" si="338"/>
        <v>2886.6</v>
      </c>
      <c r="G2122" s="494">
        <f>단가산출근거목록표!F58</f>
        <v>5659</v>
      </c>
      <c r="H2122" s="498">
        <f t="shared" si="339"/>
        <v>2546.5</v>
      </c>
      <c r="I2122" s="494">
        <f>단가산출근거목록표!G58</f>
        <v>335</v>
      </c>
      <c r="J2122" s="498">
        <f t="shared" si="340"/>
        <v>150.69999999999999</v>
      </c>
      <c r="K2122" s="494">
        <f>단가산출근거목록표!H58</f>
        <v>421</v>
      </c>
      <c r="L2122" s="498">
        <f t="shared" si="341"/>
        <v>189.4</v>
      </c>
      <c r="M2122" s="463" t="s">
        <v>3232</v>
      </c>
      <c r="N2122" s="451" t="s">
        <v>3233</v>
      </c>
      <c r="O2122" s="468" t="s">
        <v>3234</v>
      </c>
      <c r="P2122" s="468" t="s">
        <v>2354</v>
      </c>
      <c r="Z2122" s="433" t="str">
        <f ca="1">HYPERLINK("#"&amp;단가산출근거목록표!J2&amp;"!A"&amp;ROW(단가산출근거목록표!A58),"D00783 →")</f>
        <v>D00783 →</v>
      </c>
    </row>
    <row r="2123" spans="1:26" ht="33.200000000000003" customHeight="1">
      <c r="A2123" s="452" t="s">
        <v>2720</v>
      </c>
      <c r="B2123" s="452" t="s">
        <v>2721</v>
      </c>
      <c r="C2123" s="489">
        <v>0.45</v>
      </c>
      <c r="D2123" s="480" t="s">
        <v>8</v>
      </c>
      <c r="E2123" s="490">
        <f t="shared" si="338"/>
        <v>1814</v>
      </c>
      <c r="F2123" s="493">
        <f t="shared" si="338"/>
        <v>816.19999999999993</v>
      </c>
      <c r="G2123" s="494">
        <f>단가산출근거목록표!F56</f>
        <v>1039</v>
      </c>
      <c r="H2123" s="498">
        <f t="shared" si="339"/>
        <v>467.5</v>
      </c>
      <c r="I2123" s="494">
        <f>단가산출근거목록표!G56</f>
        <v>343</v>
      </c>
      <c r="J2123" s="498">
        <f t="shared" si="340"/>
        <v>154.30000000000001</v>
      </c>
      <c r="K2123" s="494">
        <f>단가산출근거목록표!H56</f>
        <v>432</v>
      </c>
      <c r="L2123" s="498">
        <f t="shared" si="341"/>
        <v>194.4</v>
      </c>
      <c r="M2123" s="463" t="s">
        <v>2722</v>
      </c>
      <c r="N2123" s="451" t="s">
        <v>2723</v>
      </c>
      <c r="O2123" s="468" t="s">
        <v>2724</v>
      </c>
      <c r="P2123" s="468" t="s">
        <v>2354</v>
      </c>
      <c r="Z2123" s="433" t="str">
        <f ca="1">HYPERLINK("#"&amp;단가산출근거목록표!J2&amp;"!A"&amp;ROW(단가산출근거목록표!A56),"D00787 →")</f>
        <v>D00787 →</v>
      </c>
    </row>
    <row r="2124" spans="1:26" ht="33.200000000000003" customHeight="1">
      <c r="A2124" s="463" t="s">
        <v>842</v>
      </c>
      <c r="B2124" s="497"/>
      <c r="C2124" s="497"/>
      <c r="D2124" s="497"/>
      <c r="E2124" s="497"/>
      <c r="F2124" s="446">
        <f>J2124+H2124+L2124</f>
        <v>184512</v>
      </c>
      <c r="G2124" s="497"/>
      <c r="H2124" s="446">
        <f>ROUNDDOWN(SUMIF(P2117:P2123,O2124,H2117:H2123),0)</f>
        <v>92138</v>
      </c>
      <c r="I2124" s="497"/>
      <c r="J2124" s="446">
        <f>ROUNDDOWN(SUMIF(P2117:P2123,O2124,J2117:J2123),0)</f>
        <v>79919</v>
      </c>
      <c r="K2124" s="497"/>
      <c r="L2124" s="446">
        <f>ROUNDDOWN(SUMIF(P2117:P2123,O2124,L2117:L2123),0)</f>
        <v>12455</v>
      </c>
      <c r="M2124" s="497"/>
      <c r="O2124" s="468" t="s">
        <v>2354</v>
      </c>
    </row>
    <row r="2125" spans="1:26" ht="33.200000000000003" customHeight="1">
      <c r="A2125" s="484" t="s">
        <v>5532</v>
      </c>
      <c r="B2125" s="484"/>
      <c r="C2125" s="485"/>
      <c r="D2125" s="485"/>
      <c r="E2125" s="485"/>
      <c r="F2125" s="485"/>
      <c r="G2125" s="485"/>
      <c r="H2125" s="485"/>
      <c r="I2125" s="485"/>
      <c r="J2125" s="485"/>
      <c r="K2125" s="485"/>
      <c r="L2125" s="485"/>
      <c r="M2125" s="485"/>
      <c r="N2125" s="486" t="str">
        <f>HYPERLINK("#N"&amp;ROW(N2133),"_x0005_`BDCOD|B02683_x0007_`POSS|"&amp;ROW(N2127)&amp;"_x0007_`POSE|"&amp;ROW(N2133)&amp;"_x0007_`")</f>
        <v>_x0005_`BDCOD|B02683_x0007_`POSS|2127_x0007_`POSE|2133_x0007_`</v>
      </c>
    </row>
    <row r="2126" spans="1:26" ht="33.200000000000003" customHeight="1">
      <c r="A2126" s="469" t="s">
        <v>1251</v>
      </c>
      <c r="B2126" s="469" t="s">
        <v>1235</v>
      </c>
      <c r="C2126" s="487"/>
      <c r="D2126" s="488" t="s">
        <v>595</v>
      </c>
      <c r="E2126" s="487"/>
      <c r="F2126" s="487"/>
      <c r="G2126" s="487"/>
      <c r="H2126" s="487"/>
      <c r="I2126" s="487"/>
      <c r="J2126" s="487"/>
      <c r="K2126" s="487"/>
      <c r="L2126" s="487"/>
      <c r="M2126" s="488" t="s">
        <v>1252</v>
      </c>
      <c r="O2126" s="468" t="s">
        <v>1252</v>
      </c>
    </row>
    <row r="2127" spans="1:26" ht="33.200000000000003" customHeight="1">
      <c r="A2127" s="452" t="s">
        <v>2287</v>
      </c>
      <c r="B2127" s="452" t="s">
        <v>2291</v>
      </c>
      <c r="C2127" s="489">
        <v>1</v>
      </c>
      <c r="D2127" s="480" t="s">
        <v>595</v>
      </c>
      <c r="E2127" s="490">
        <f t="shared" ref="E2127:F2133" si="342">I2127+G2127+K2127</f>
        <v>92473</v>
      </c>
      <c r="F2127" s="493">
        <f t="shared" si="342"/>
        <v>92473</v>
      </c>
      <c r="G2127" s="494">
        <f>일위대가목록표!F34</f>
        <v>72570</v>
      </c>
      <c r="H2127" s="498">
        <f t="shared" ref="H2127:H2133" si="343">IF(C2127=0,0,ROUNDDOWN(G2127*C2127,1))</f>
        <v>72570</v>
      </c>
      <c r="I2127" s="494">
        <f>일위대가목록표!G34</f>
        <v>8648</v>
      </c>
      <c r="J2127" s="498">
        <f t="shared" ref="J2127:J2133" si="344">IF(C2127=0,0,ROUNDDOWN(I2127*C2127,1))</f>
        <v>8648</v>
      </c>
      <c r="K2127" s="494">
        <f>일위대가목록표!H34</f>
        <v>11255</v>
      </c>
      <c r="L2127" s="498">
        <f t="shared" ref="L2127:L2133" si="345">IF(C2127=0,0,ROUNDDOWN(K2127*C2127,1))</f>
        <v>11255</v>
      </c>
      <c r="M2127" s="463" t="s">
        <v>3248</v>
      </c>
      <c r="N2127" s="451" t="s">
        <v>3249</v>
      </c>
      <c r="O2127" s="468" t="s">
        <v>3250</v>
      </c>
      <c r="P2127" s="468" t="s">
        <v>2354</v>
      </c>
      <c r="Z2127" s="433" t="str">
        <f ca="1">HYPERLINK("#"&amp;일위대가목록표!J2&amp;"!A"&amp;ROW(일위대가목록표!A34),"B02145 →")</f>
        <v>B02145 →</v>
      </c>
    </row>
    <row r="2128" spans="1:26" ht="33.200000000000003" customHeight="1">
      <c r="A2128" s="452" t="s">
        <v>3171</v>
      </c>
      <c r="B2128" s="452" t="s">
        <v>3172</v>
      </c>
      <c r="C2128" s="489">
        <v>0.97599999999999998</v>
      </c>
      <c r="D2128" s="480" t="s">
        <v>2576</v>
      </c>
      <c r="E2128" s="490">
        <f t="shared" si="342"/>
        <v>45000</v>
      </c>
      <c r="F2128" s="491">
        <f t="shared" si="342"/>
        <v>43920</v>
      </c>
      <c r="G2128" s="492">
        <v>0</v>
      </c>
      <c r="H2128" s="493">
        <f t="shared" si="343"/>
        <v>0</v>
      </c>
      <c r="I2128" s="494">
        <f>재료비목록표!E23</f>
        <v>45000</v>
      </c>
      <c r="J2128" s="495">
        <f t="shared" si="344"/>
        <v>43920</v>
      </c>
      <c r="K2128" s="492">
        <v>0</v>
      </c>
      <c r="L2128" s="493">
        <f t="shared" si="345"/>
        <v>0</v>
      </c>
      <c r="M2128" s="463" t="s">
        <v>3173</v>
      </c>
      <c r="N2128" s="451" t="s">
        <v>3174</v>
      </c>
      <c r="O2128" s="468" t="s">
        <v>3175</v>
      </c>
      <c r="P2128" s="468" t="s">
        <v>2354</v>
      </c>
      <c r="Z2128" s="433" t="str">
        <f ca="1">HYPERLINK("#"&amp;재료비목록표!G2&amp;"!A"&amp;ROW(재료비목록표!A23),"M01053 →")</f>
        <v>M01053 →</v>
      </c>
    </row>
    <row r="2129" spans="1:26" ht="33.200000000000003" customHeight="1">
      <c r="A2129" s="452" t="s">
        <v>3227</v>
      </c>
      <c r="B2129" s="452" t="s">
        <v>3228</v>
      </c>
      <c r="C2129" s="489">
        <v>0.15</v>
      </c>
      <c r="D2129" s="480" t="s">
        <v>8</v>
      </c>
      <c r="E2129" s="490">
        <f t="shared" si="342"/>
        <v>26887</v>
      </c>
      <c r="F2129" s="493">
        <f t="shared" si="342"/>
        <v>4032.9999999999995</v>
      </c>
      <c r="G2129" s="494">
        <f>단가산출근거목록표!F4</f>
        <v>20935</v>
      </c>
      <c r="H2129" s="498">
        <f t="shared" si="343"/>
        <v>3140.2</v>
      </c>
      <c r="I2129" s="494">
        <f>단가산출근거목록표!G4</f>
        <v>2818</v>
      </c>
      <c r="J2129" s="498">
        <f t="shared" si="344"/>
        <v>422.7</v>
      </c>
      <c r="K2129" s="494">
        <f>단가산출근거목록표!H4</f>
        <v>3134</v>
      </c>
      <c r="L2129" s="498">
        <f t="shared" si="345"/>
        <v>470.1</v>
      </c>
      <c r="M2129" s="463" t="s">
        <v>3229</v>
      </c>
      <c r="N2129" s="451" t="s">
        <v>3230</v>
      </c>
      <c r="O2129" s="468" t="s">
        <v>3231</v>
      </c>
      <c r="P2129" s="468" t="s">
        <v>2354</v>
      </c>
      <c r="Z2129" s="433" t="str">
        <f ca="1">HYPERLINK("#"&amp;단가산출근거목록표!J2&amp;"!A"&amp;ROW(단가산출근거목록표!A4),"D00970 →")</f>
        <v>D00970 →</v>
      </c>
    </row>
    <row r="2130" spans="1:26" ht="33.200000000000003" customHeight="1">
      <c r="A2130" s="452" t="s">
        <v>2342</v>
      </c>
      <c r="B2130" s="452" t="s">
        <v>2343</v>
      </c>
      <c r="C2130" s="489">
        <v>0.2</v>
      </c>
      <c r="D2130" s="480" t="s">
        <v>8</v>
      </c>
      <c r="E2130" s="490">
        <f t="shared" si="342"/>
        <v>477254</v>
      </c>
      <c r="F2130" s="493">
        <f t="shared" si="342"/>
        <v>95450.8</v>
      </c>
      <c r="G2130" s="494">
        <f>일위대가목록표!F330</f>
        <v>373604</v>
      </c>
      <c r="H2130" s="498">
        <f t="shared" si="343"/>
        <v>74720.800000000003</v>
      </c>
      <c r="I2130" s="494">
        <f>일위대가목록표!G330</f>
        <v>103650</v>
      </c>
      <c r="J2130" s="498">
        <f t="shared" si="344"/>
        <v>20730</v>
      </c>
      <c r="K2130" s="494">
        <f>일위대가목록표!H330</f>
        <v>0</v>
      </c>
      <c r="L2130" s="498">
        <f t="shared" si="345"/>
        <v>0</v>
      </c>
      <c r="M2130" s="463" t="s">
        <v>2500</v>
      </c>
      <c r="N2130" s="451" t="s">
        <v>2910</v>
      </c>
      <c r="O2130" s="468" t="s">
        <v>2502</v>
      </c>
      <c r="P2130" s="468" t="s">
        <v>2354</v>
      </c>
      <c r="Z2130" s="433" t="str">
        <f ca="1">HYPERLINK("#"&amp;일위대가목록표!J2&amp;"!A"&amp;ROW(일위대가목록표!A330),"B01936 →")</f>
        <v>B01936 →</v>
      </c>
    </row>
    <row r="2131" spans="1:26" ht="33.200000000000003" customHeight="1">
      <c r="A2131" s="452" t="s">
        <v>2301</v>
      </c>
      <c r="B2131" s="452" t="s">
        <v>2302</v>
      </c>
      <c r="C2131" s="489">
        <v>8.9999999999999993E-3</v>
      </c>
      <c r="D2131" s="480" t="s">
        <v>8</v>
      </c>
      <c r="E2131" s="490">
        <f t="shared" si="342"/>
        <v>220769</v>
      </c>
      <c r="F2131" s="493">
        <f t="shared" si="342"/>
        <v>1986.9</v>
      </c>
      <c r="G2131" s="494">
        <f>일위대가목록표!F71</f>
        <v>73989</v>
      </c>
      <c r="H2131" s="498">
        <f t="shared" si="343"/>
        <v>665.9</v>
      </c>
      <c r="I2131" s="494">
        <f>일위대가목록표!G71</f>
        <v>146780</v>
      </c>
      <c r="J2131" s="498">
        <f t="shared" si="344"/>
        <v>1321</v>
      </c>
      <c r="K2131" s="494">
        <f>일위대가목록표!H71</f>
        <v>0</v>
      </c>
      <c r="L2131" s="498">
        <f t="shared" si="345"/>
        <v>0</v>
      </c>
      <c r="M2131" s="463" t="s">
        <v>3251</v>
      </c>
      <c r="N2131" s="451" t="s">
        <v>3252</v>
      </c>
      <c r="O2131" s="468" t="s">
        <v>3253</v>
      </c>
      <c r="P2131" s="468" t="s">
        <v>2354</v>
      </c>
      <c r="Z2131" s="433" t="str">
        <f ca="1">HYPERLINK("#"&amp;일위대가목록표!J2&amp;"!A"&amp;ROW(일위대가목록표!A71),"B01772 →")</f>
        <v>B01772 →</v>
      </c>
    </row>
    <row r="2132" spans="1:26" ht="33.200000000000003" customHeight="1">
      <c r="A2132" s="452" t="s">
        <v>2710</v>
      </c>
      <c r="B2132" s="452" t="s">
        <v>2716</v>
      </c>
      <c r="C2132" s="489">
        <v>0.35</v>
      </c>
      <c r="D2132" s="480" t="s">
        <v>8</v>
      </c>
      <c r="E2132" s="490">
        <f t="shared" si="342"/>
        <v>6415</v>
      </c>
      <c r="F2132" s="493">
        <f t="shared" si="342"/>
        <v>2245.1</v>
      </c>
      <c r="G2132" s="494">
        <f>단가산출근거목록표!F58</f>
        <v>5659</v>
      </c>
      <c r="H2132" s="498">
        <f t="shared" si="343"/>
        <v>1980.6</v>
      </c>
      <c r="I2132" s="494">
        <f>단가산출근거목록표!G58</f>
        <v>335</v>
      </c>
      <c r="J2132" s="498">
        <f t="shared" si="344"/>
        <v>117.2</v>
      </c>
      <c r="K2132" s="494">
        <f>단가산출근거목록표!H58</f>
        <v>421</v>
      </c>
      <c r="L2132" s="498">
        <f t="shared" si="345"/>
        <v>147.30000000000001</v>
      </c>
      <c r="M2132" s="463" t="s">
        <v>3232</v>
      </c>
      <c r="N2132" s="451" t="s">
        <v>3233</v>
      </c>
      <c r="O2132" s="468" t="s">
        <v>3234</v>
      </c>
      <c r="P2132" s="468" t="s">
        <v>2354</v>
      </c>
      <c r="Z2132" s="433" t="str">
        <f ca="1">HYPERLINK("#"&amp;단가산출근거목록표!J2&amp;"!A"&amp;ROW(단가산출근거목록표!A58),"D00783 →")</f>
        <v>D00783 →</v>
      </c>
    </row>
    <row r="2133" spans="1:26" ht="33.200000000000003" customHeight="1">
      <c r="A2133" s="452" t="s">
        <v>2720</v>
      </c>
      <c r="B2133" s="452" t="s">
        <v>2721</v>
      </c>
      <c r="C2133" s="489">
        <v>0.35</v>
      </c>
      <c r="D2133" s="480" t="s">
        <v>8</v>
      </c>
      <c r="E2133" s="490">
        <f t="shared" si="342"/>
        <v>1814</v>
      </c>
      <c r="F2133" s="493">
        <f t="shared" si="342"/>
        <v>634.79999999999995</v>
      </c>
      <c r="G2133" s="494">
        <f>단가산출근거목록표!F56</f>
        <v>1039</v>
      </c>
      <c r="H2133" s="498">
        <f t="shared" si="343"/>
        <v>363.6</v>
      </c>
      <c r="I2133" s="494">
        <f>단가산출근거목록표!G56</f>
        <v>343</v>
      </c>
      <c r="J2133" s="498">
        <f t="shared" si="344"/>
        <v>120</v>
      </c>
      <c r="K2133" s="494">
        <f>단가산출근거목록표!H56</f>
        <v>432</v>
      </c>
      <c r="L2133" s="498">
        <f t="shared" si="345"/>
        <v>151.19999999999999</v>
      </c>
      <c r="M2133" s="463" t="s">
        <v>2722</v>
      </c>
      <c r="N2133" s="451" t="s">
        <v>2723</v>
      </c>
      <c r="O2133" s="468" t="s">
        <v>2724</v>
      </c>
      <c r="P2133" s="468" t="s">
        <v>2354</v>
      </c>
      <c r="Z2133" s="433" t="str">
        <f ca="1">HYPERLINK("#"&amp;단가산출근거목록표!J2&amp;"!A"&amp;ROW(단가산출근거목록표!A56),"D00787 →")</f>
        <v>D00787 →</v>
      </c>
    </row>
    <row r="2134" spans="1:26" ht="33.200000000000003" customHeight="1">
      <c r="A2134" s="463" t="s">
        <v>842</v>
      </c>
      <c r="B2134" s="497"/>
      <c r="C2134" s="497"/>
      <c r="D2134" s="497"/>
      <c r="E2134" s="497"/>
      <c r="F2134" s="446">
        <f>J2134+H2134+L2134</f>
        <v>240742</v>
      </c>
      <c r="G2134" s="497"/>
      <c r="H2134" s="446">
        <f>ROUNDDOWN(SUMIF(P2127:P2133,O2134,H2127:H2133),0)</f>
        <v>153441</v>
      </c>
      <c r="I2134" s="497"/>
      <c r="J2134" s="446">
        <f>ROUNDDOWN(SUMIF(P2127:P2133,O2134,J2127:J2133),0)</f>
        <v>75278</v>
      </c>
      <c r="K2134" s="497"/>
      <c r="L2134" s="446">
        <f>ROUNDDOWN(SUMIF(P2127:P2133,O2134,L2127:L2133),0)</f>
        <v>12023</v>
      </c>
      <c r="M2134" s="497"/>
      <c r="O2134" s="468" t="s">
        <v>2354</v>
      </c>
    </row>
    <row r="2135" spans="1:26" ht="33.200000000000003" customHeight="1">
      <c r="A2135" s="484" t="s">
        <v>5533</v>
      </c>
      <c r="B2135" s="484"/>
      <c r="C2135" s="485"/>
      <c r="D2135" s="485"/>
      <c r="E2135" s="485"/>
      <c r="F2135" s="485"/>
      <c r="G2135" s="485"/>
      <c r="H2135" s="485"/>
      <c r="I2135" s="485"/>
      <c r="J2135" s="485"/>
      <c r="K2135" s="485"/>
      <c r="L2135" s="485"/>
      <c r="M2135" s="485"/>
      <c r="N2135" s="486" t="str">
        <f>HYPERLINK("#N"&amp;ROW(N2146),"_x0005_`BDCOD|B02682_x0007_`POSS|"&amp;ROW(N2137)&amp;"_x0007_`POSE|"&amp;ROW(N2146)&amp;"_x0007_`")</f>
        <v>_x0005_`BDCOD|B02682_x0007_`POSS|2137_x0007_`POSE|2146_x0007_`</v>
      </c>
    </row>
    <row r="2136" spans="1:26" ht="33.200000000000003" customHeight="1">
      <c r="A2136" s="469" t="s">
        <v>1243</v>
      </c>
      <c r="B2136" s="469" t="s">
        <v>1235</v>
      </c>
      <c r="C2136" s="487"/>
      <c r="D2136" s="488" t="s">
        <v>595</v>
      </c>
      <c r="E2136" s="487"/>
      <c r="F2136" s="487"/>
      <c r="G2136" s="487"/>
      <c r="H2136" s="487"/>
      <c r="I2136" s="487"/>
      <c r="J2136" s="487"/>
      <c r="K2136" s="487"/>
      <c r="L2136" s="487"/>
      <c r="M2136" s="488" t="s">
        <v>1244</v>
      </c>
      <c r="O2136" s="468" t="s">
        <v>1244</v>
      </c>
    </row>
    <row r="2137" spans="1:26" ht="33.200000000000003" customHeight="1">
      <c r="A2137" s="452" t="s">
        <v>2293</v>
      </c>
      <c r="B2137" s="452" t="s">
        <v>2296</v>
      </c>
      <c r="C2137" s="489">
        <v>1</v>
      </c>
      <c r="D2137" s="480" t="s">
        <v>595</v>
      </c>
      <c r="E2137" s="490">
        <f t="shared" ref="E2137:F2146" si="346">I2137+G2137+K2137</f>
        <v>132158</v>
      </c>
      <c r="F2137" s="493">
        <f t="shared" si="346"/>
        <v>132158</v>
      </c>
      <c r="G2137" s="494">
        <f>일위대가목록표!F36</f>
        <v>98014</v>
      </c>
      <c r="H2137" s="498">
        <f t="shared" ref="H2137:H2146" si="347">IF(C2137=0,0,ROUNDDOWN(G2137*C2137,1))</f>
        <v>98014</v>
      </c>
      <c r="I2137" s="494">
        <f>일위대가목록표!G36</f>
        <v>12355</v>
      </c>
      <c r="J2137" s="498">
        <f t="shared" ref="J2137:J2146" si="348">IF(C2137=0,0,ROUNDDOWN(I2137*C2137,1))</f>
        <v>12355</v>
      </c>
      <c r="K2137" s="494">
        <f>일위대가목록표!H36</f>
        <v>21789</v>
      </c>
      <c r="L2137" s="498">
        <f t="shared" ref="L2137:L2146" si="349">IF(C2137=0,0,ROUNDDOWN(K2137*C2137,1))</f>
        <v>21789</v>
      </c>
      <c r="M2137" s="463" t="s">
        <v>3255</v>
      </c>
      <c r="N2137" s="451" t="s">
        <v>3256</v>
      </c>
      <c r="O2137" s="468" t="s">
        <v>3257</v>
      </c>
      <c r="P2137" s="468" t="s">
        <v>2354</v>
      </c>
      <c r="Z2137" s="433" t="str">
        <f ca="1">HYPERLINK("#"&amp;일위대가목록표!J2&amp;"!A"&amp;ROW(일위대가목록표!A36),"B02144 →")</f>
        <v>B02144 →</v>
      </c>
    </row>
    <row r="2138" spans="1:26" ht="33.200000000000003" customHeight="1">
      <c r="A2138" s="452" t="s">
        <v>3171</v>
      </c>
      <c r="B2138" s="452" t="s">
        <v>3172</v>
      </c>
      <c r="C2138" s="489">
        <v>1.27</v>
      </c>
      <c r="D2138" s="480" t="s">
        <v>2576</v>
      </c>
      <c r="E2138" s="490">
        <f t="shared" si="346"/>
        <v>45000</v>
      </c>
      <c r="F2138" s="491">
        <f t="shared" si="346"/>
        <v>57150</v>
      </c>
      <c r="G2138" s="492">
        <v>0</v>
      </c>
      <c r="H2138" s="493">
        <f t="shared" si="347"/>
        <v>0</v>
      </c>
      <c r="I2138" s="494">
        <f>재료비목록표!E23</f>
        <v>45000</v>
      </c>
      <c r="J2138" s="495">
        <f t="shared" si="348"/>
        <v>57150</v>
      </c>
      <c r="K2138" s="492">
        <v>0</v>
      </c>
      <c r="L2138" s="493">
        <f t="shared" si="349"/>
        <v>0</v>
      </c>
      <c r="M2138" s="463" t="s">
        <v>3173</v>
      </c>
      <c r="N2138" s="451" t="s">
        <v>3174</v>
      </c>
      <c r="O2138" s="468" t="s">
        <v>3175</v>
      </c>
      <c r="P2138" s="468" t="s">
        <v>2354</v>
      </c>
      <c r="Z2138" s="433" t="str">
        <f ca="1">HYPERLINK("#"&amp;재료비목록표!G2&amp;"!A"&amp;ROW(재료비목록표!A23),"M01053 →")</f>
        <v>M01053 →</v>
      </c>
    </row>
    <row r="2139" spans="1:26" ht="33.200000000000003" customHeight="1">
      <c r="A2139" s="452" t="s">
        <v>3239</v>
      </c>
      <c r="B2139" s="452" t="s">
        <v>3240</v>
      </c>
      <c r="C2139" s="489">
        <v>0.31</v>
      </c>
      <c r="D2139" s="480" t="s">
        <v>8</v>
      </c>
      <c r="E2139" s="490">
        <f t="shared" si="346"/>
        <v>25000</v>
      </c>
      <c r="F2139" s="491">
        <f t="shared" si="346"/>
        <v>7750</v>
      </c>
      <c r="G2139" s="492">
        <v>0</v>
      </c>
      <c r="H2139" s="493">
        <f t="shared" si="347"/>
        <v>0</v>
      </c>
      <c r="I2139" s="494">
        <f>재료비목록표!E87</f>
        <v>25000</v>
      </c>
      <c r="J2139" s="495">
        <f t="shared" si="348"/>
        <v>7750</v>
      </c>
      <c r="K2139" s="492">
        <v>0</v>
      </c>
      <c r="L2139" s="493">
        <f t="shared" si="349"/>
        <v>0</v>
      </c>
      <c r="M2139" s="463" t="s">
        <v>3241</v>
      </c>
      <c r="N2139" s="451" t="s">
        <v>3242</v>
      </c>
      <c r="O2139" s="468" t="s">
        <v>3243</v>
      </c>
      <c r="P2139" s="468" t="s">
        <v>2354</v>
      </c>
      <c r="Z2139" s="433" t="str">
        <f ca="1">HYPERLINK("#"&amp;재료비목록표!G2&amp;"!A"&amp;ROW(재료비목록표!A87),"M01154 →")</f>
        <v>M01154 →</v>
      </c>
    </row>
    <row r="2140" spans="1:26" ht="33.200000000000003" customHeight="1">
      <c r="A2140" s="452" t="s">
        <v>2282</v>
      </c>
      <c r="B2140" s="452" t="s">
        <v>2283</v>
      </c>
      <c r="C2140" s="489">
        <v>0.31</v>
      </c>
      <c r="D2140" s="480" t="s">
        <v>8</v>
      </c>
      <c r="E2140" s="490">
        <f t="shared" si="346"/>
        <v>15336</v>
      </c>
      <c r="F2140" s="493">
        <f t="shared" si="346"/>
        <v>4754</v>
      </c>
      <c r="G2140" s="494">
        <f>일위대가목록표!F15</f>
        <v>12868</v>
      </c>
      <c r="H2140" s="498">
        <f t="shared" si="347"/>
        <v>3989</v>
      </c>
      <c r="I2140" s="494">
        <f>일위대가목록표!G15</f>
        <v>1153</v>
      </c>
      <c r="J2140" s="498">
        <f t="shared" si="348"/>
        <v>357.4</v>
      </c>
      <c r="K2140" s="494">
        <f>일위대가목록표!H15</f>
        <v>1315</v>
      </c>
      <c r="L2140" s="498">
        <f t="shared" si="349"/>
        <v>407.6</v>
      </c>
      <c r="M2140" s="463" t="s">
        <v>3244</v>
      </c>
      <c r="N2140" s="451" t="s">
        <v>3245</v>
      </c>
      <c r="O2140" s="468" t="s">
        <v>3246</v>
      </c>
      <c r="P2140" s="468" t="s">
        <v>2354</v>
      </c>
      <c r="Z2140" s="433" t="str">
        <f ca="1">HYPERLINK("#"&amp;일위대가목록표!J2&amp;"!A"&amp;ROW(일위대가목록표!A15),"B02299 →")</f>
        <v>B02299 →</v>
      </c>
    </row>
    <row r="2141" spans="1:26" ht="33.200000000000003" customHeight="1">
      <c r="A2141" s="452" t="s">
        <v>3227</v>
      </c>
      <c r="B2141" s="452" t="s">
        <v>3228</v>
      </c>
      <c r="C2141" s="489">
        <v>0.15</v>
      </c>
      <c r="D2141" s="480" t="s">
        <v>8</v>
      </c>
      <c r="E2141" s="490">
        <f t="shared" si="346"/>
        <v>26887</v>
      </c>
      <c r="F2141" s="493">
        <f t="shared" si="346"/>
        <v>4032.9999999999995</v>
      </c>
      <c r="G2141" s="494">
        <f>단가산출근거목록표!F4</f>
        <v>20935</v>
      </c>
      <c r="H2141" s="498">
        <f t="shared" si="347"/>
        <v>3140.2</v>
      </c>
      <c r="I2141" s="494">
        <f>단가산출근거목록표!G4</f>
        <v>2818</v>
      </c>
      <c r="J2141" s="498">
        <f t="shared" si="348"/>
        <v>422.7</v>
      </c>
      <c r="K2141" s="494">
        <f>단가산출근거목록표!H4</f>
        <v>3134</v>
      </c>
      <c r="L2141" s="498">
        <f t="shared" si="349"/>
        <v>470.1</v>
      </c>
      <c r="M2141" s="463" t="s">
        <v>3229</v>
      </c>
      <c r="N2141" s="451" t="s">
        <v>3230</v>
      </c>
      <c r="O2141" s="468" t="s">
        <v>3231</v>
      </c>
      <c r="P2141" s="468" t="s">
        <v>2354</v>
      </c>
      <c r="Z2141" s="433" t="str">
        <f ca="1">HYPERLINK("#"&amp;단가산출근거목록표!J2&amp;"!A"&amp;ROW(단가산출근거목록표!A4),"D00970 →")</f>
        <v>D00970 →</v>
      </c>
    </row>
    <row r="2142" spans="1:26" ht="33.200000000000003" customHeight="1">
      <c r="A2142" s="452" t="s">
        <v>2710</v>
      </c>
      <c r="B2142" s="452" t="s">
        <v>2716</v>
      </c>
      <c r="C2142" s="489">
        <v>0.45</v>
      </c>
      <c r="D2142" s="480" t="s">
        <v>8</v>
      </c>
      <c r="E2142" s="490">
        <f t="shared" si="346"/>
        <v>6415</v>
      </c>
      <c r="F2142" s="493">
        <f t="shared" si="346"/>
        <v>2886.6</v>
      </c>
      <c r="G2142" s="494">
        <f>단가산출근거목록표!F58</f>
        <v>5659</v>
      </c>
      <c r="H2142" s="498">
        <f t="shared" si="347"/>
        <v>2546.5</v>
      </c>
      <c r="I2142" s="494">
        <f>단가산출근거목록표!G58</f>
        <v>335</v>
      </c>
      <c r="J2142" s="498">
        <f t="shared" si="348"/>
        <v>150.69999999999999</v>
      </c>
      <c r="K2142" s="494">
        <f>단가산출근거목록표!H58</f>
        <v>421</v>
      </c>
      <c r="L2142" s="498">
        <f t="shared" si="349"/>
        <v>189.4</v>
      </c>
      <c r="M2142" s="463" t="s">
        <v>3232</v>
      </c>
      <c r="N2142" s="451" t="s">
        <v>3233</v>
      </c>
      <c r="O2142" s="468" t="s">
        <v>3234</v>
      </c>
      <c r="P2142" s="468" t="s">
        <v>2354</v>
      </c>
      <c r="Z2142" s="433" t="str">
        <f ca="1">HYPERLINK("#"&amp;단가산출근거목록표!J2&amp;"!A"&amp;ROW(단가산출근거목록표!A58),"D00783 →")</f>
        <v>D00783 →</v>
      </c>
    </row>
    <row r="2143" spans="1:26" ht="33.200000000000003" customHeight="1">
      <c r="A2143" s="452" t="s">
        <v>2720</v>
      </c>
      <c r="B2143" s="452" t="s">
        <v>2721</v>
      </c>
      <c r="C2143" s="489">
        <v>0.45</v>
      </c>
      <c r="D2143" s="480" t="s">
        <v>8</v>
      </c>
      <c r="E2143" s="490">
        <f t="shared" si="346"/>
        <v>1814</v>
      </c>
      <c r="F2143" s="493">
        <f t="shared" si="346"/>
        <v>816.19999999999993</v>
      </c>
      <c r="G2143" s="494">
        <f>단가산출근거목록표!F56</f>
        <v>1039</v>
      </c>
      <c r="H2143" s="498">
        <f t="shared" si="347"/>
        <v>467.5</v>
      </c>
      <c r="I2143" s="494">
        <f>단가산출근거목록표!G56</f>
        <v>343</v>
      </c>
      <c r="J2143" s="498">
        <f t="shared" si="348"/>
        <v>154.30000000000001</v>
      </c>
      <c r="K2143" s="494">
        <f>단가산출근거목록표!H56</f>
        <v>432</v>
      </c>
      <c r="L2143" s="498">
        <f t="shared" si="349"/>
        <v>194.4</v>
      </c>
      <c r="M2143" s="463" t="s">
        <v>2722</v>
      </c>
      <c r="N2143" s="451" t="s">
        <v>2723</v>
      </c>
      <c r="O2143" s="468" t="s">
        <v>2724</v>
      </c>
      <c r="P2143" s="468" t="s">
        <v>2354</v>
      </c>
      <c r="Z2143" s="433" t="str">
        <f ca="1">HYPERLINK("#"&amp;단가산출근거목록표!J2&amp;"!A"&amp;ROW(단가산출근거목록표!A56),"D00787 →")</f>
        <v>D00787 →</v>
      </c>
    </row>
    <row r="2144" spans="1:26" ht="33.200000000000003" customHeight="1">
      <c r="A2144" s="452" t="s">
        <v>2342</v>
      </c>
      <c r="B2144" s="452" t="s">
        <v>2343</v>
      </c>
      <c r="C2144" s="489">
        <v>0.2</v>
      </c>
      <c r="D2144" s="480" t="s">
        <v>8</v>
      </c>
      <c r="E2144" s="490">
        <f t="shared" si="346"/>
        <v>477254</v>
      </c>
      <c r="F2144" s="493">
        <f t="shared" si="346"/>
        <v>95450.8</v>
      </c>
      <c r="G2144" s="494">
        <f>일위대가목록표!F330</f>
        <v>373604</v>
      </c>
      <c r="H2144" s="498">
        <f t="shared" si="347"/>
        <v>74720.800000000003</v>
      </c>
      <c r="I2144" s="494">
        <f>일위대가목록표!G330</f>
        <v>103650</v>
      </c>
      <c r="J2144" s="498">
        <f t="shared" si="348"/>
        <v>20730</v>
      </c>
      <c r="K2144" s="494">
        <f>일위대가목록표!H330</f>
        <v>0</v>
      </c>
      <c r="L2144" s="498">
        <f t="shared" si="349"/>
        <v>0</v>
      </c>
      <c r="M2144" s="463" t="s">
        <v>2500</v>
      </c>
      <c r="N2144" s="451" t="s">
        <v>2910</v>
      </c>
      <c r="O2144" s="468" t="s">
        <v>2502</v>
      </c>
      <c r="P2144" s="468" t="s">
        <v>2354</v>
      </c>
      <c r="Z2144" s="433" t="str">
        <f ca="1">HYPERLINK("#"&amp;일위대가목록표!J2&amp;"!A"&amp;ROW(일위대가목록표!A330),"B01936 →")</f>
        <v>B01936 →</v>
      </c>
    </row>
    <row r="2145" spans="1:26" ht="33.200000000000003" customHeight="1">
      <c r="A2145" s="452" t="s">
        <v>2301</v>
      </c>
      <c r="B2145" s="452" t="s">
        <v>2302</v>
      </c>
      <c r="C2145" s="489">
        <v>0.01</v>
      </c>
      <c r="D2145" s="480" t="s">
        <v>8</v>
      </c>
      <c r="E2145" s="490">
        <f t="shared" si="346"/>
        <v>220769</v>
      </c>
      <c r="F2145" s="493">
        <f t="shared" si="346"/>
        <v>2207.6</v>
      </c>
      <c r="G2145" s="494">
        <f>일위대가목록표!F71</f>
        <v>73989</v>
      </c>
      <c r="H2145" s="498">
        <f t="shared" si="347"/>
        <v>739.8</v>
      </c>
      <c r="I2145" s="494">
        <f>일위대가목록표!G71</f>
        <v>146780</v>
      </c>
      <c r="J2145" s="498">
        <f t="shared" si="348"/>
        <v>1467.8</v>
      </c>
      <c r="K2145" s="494">
        <f>일위대가목록표!H71</f>
        <v>0</v>
      </c>
      <c r="L2145" s="498">
        <f t="shared" si="349"/>
        <v>0</v>
      </c>
      <c r="M2145" s="463" t="s">
        <v>3251</v>
      </c>
      <c r="N2145" s="451" t="s">
        <v>3252</v>
      </c>
      <c r="O2145" s="468" t="s">
        <v>3253</v>
      </c>
      <c r="P2145" s="468" t="s">
        <v>2354</v>
      </c>
      <c r="Z2145" s="433" t="str">
        <f ca="1">HYPERLINK("#"&amp;일위대가목록표!J2&amp;"!A"&amp;ROW(일위대가목록표!A71),"B01772 →")</f>
        <v>B01772 →</v>
      </c>
    </row>
    <row r="2146" spans="1:26" ht="33.200000000000003" customHeight="1">
      <c r="A2146" s="452" t="s">
        <v>3258</v>
      </c>
      <c r="B2146" s="452" t="s">
        <v>3259</v>
      </c>
      <c r="C2146" s="489">
        <v>0.46</v>
      </c>
      <c r="D2146" s="480" t="s">
        <v>911</v>
      </c>
      <c r="E2146" s="490">
        <f t="shared" si="346"/>
        <v>1977</v>
      </c>
      <c r="F2146" s="491">
        <f t="shared" si="346"/>
        <v>909.4</v>
      </c>
      <c r="G2146" s="492">
        <v>0</v>
      </c>
      <c r="H2146" s="493">
        <f t="shared" si="347"/>
        <v>0</v>
      </c>
      <c r="I2146" s="494">
        <f>재료비목록표!E5</f>
        <v>1977</v>
      </c>
      <c r="J2146" s="495">
        <f t="shared" si="348"/>
        <v>909.4</v>
      </c>
      <c r="K2146" s="492">
        <v>0</v>
      </c>
      <c r="L2146" s="493">
        <f t="shared" si="349"/>
        <v>0</v>
      </c>
      <c r="M2146" s="463" t="s">
        <v>3260</v>
      </c>
      <c r="N2146" s="451" t="s">
        <v>3261</v>
      </c>
      <c r="O2146" s="468" t="s">
        <v>3262</v>
      </c>
      <c r="P2146" s="468" t="s">
        <v>2354</v>
      </c>
      <c r="Z2146" s="433" t="str">
        <f ca="1">HYPERLINK("#"&amp;재료비목록표!G2&amp;"!A"&amp;ROW(재료비목록표!A5),"M00912 →")</f>
        <v>M00912 →</v>
      </c>
    </row>
    <row r="2147" spans="1:26" ht="33.200000000000003" customHeight="1">
      <c r="A2147" s="463" t="s">
        <v>842</v>
      </c>
      <c r="B2147" s="497"/>
      <c r="C2147" s="497"/>
      <c r="D2147" s="497"/>
      <c r="E2147" s="497"/>
      <c r="F2147" s="446">
        <f>J2147+H2147+L2147</f>
        <v>308114</v>
      </c>
      <c r="G2147" s="497"/>
      <c r="H2147" s="446">
        <f>ROUNDDOWN(SUMIF(P2137:P2146,O2147,H2137:H2146),0)</f>
        <v>183617</v>
      </c>
      <c r="I2147" s="497"/>
      <c r="J2147" s="446">
        <f>ROUNDDOWN(SUMIF(P2137:P2146,O2147,J2137:J2146),0)</f>
        <v>101447</v>
      </c>
      <c r="K2147" s="497"/>
      <c r="L2147" s="446">
        <f>ROUNDDOWN(SUMIF(P2137:P2146,O2147,L2137:L2146),0)</f>
        <v>23050</v>
      </c>
      <c r="M2147" s="497"/>
      <c r="O2147" s="468" t="s">
        <v>2354</v>
      </c>
    </row>
    <row r="2148" spans="1:26" ht="33.200000000000003" customHeight="1">
      <c r="A2148" s="484" t="s">
        <v>5534</v>
      </c>
      <c r="B2148" s="484"/>
      <c r="C2148" s="485"/>
      <c r="D2148" s="485"/>
      <c r="E2148" s="485"/>
      <c r="F2148" s="485"/>
      <c r="G2148" s="485"/>
      <c r="H2148" s="485"/>
      <c r="I2148" s="485"/>
      <c r="J2148" s="485"/>
      <c r="K2148" s="485"/>
      <c r="L2148" s="485"/>
      <c r="M2148" s="485"/>
      <c r="N2148" s="486" t="str">
        <f>HYPERLINK("#N"&amp;ROW(N2165),"_x0005_`BDCOD|B02651_x0007_`POSS|"&amp;ROW(N2150)&amp;"_x0007_`POSE|"&amp;ROW(N2165)&amp;"_x0007_`")</f>
        <v>_x0005_`BDCOD|B02651_x0007_`POSS|2150_x0007_`POSE|2165_x0007_`</v>
      </c>
    </row>
    <row r="2149" spans="1:26" ht="33.200000000000003" customHeight="1">
      <c r="A2149" s="469" t="s">
        <v>1171</v>
      </c>
      <c r="B2149" s="469" t="s">
        <v>1159</v>
      </c>
      <c r="C2149" s="487"/>
      <c r="D2149" s="488" t="s">
        <v>966</v>
      </c>
      <c r="E2149" s="487"/>
      <c r="F2149" s="487"/>
      <c r="G2149" s="487"/>
      <c r="H2149" s="487"/>
      <c r="I2149" s="487"/>
      <c r="J2149" s="487"/>
      <c r="K2149" s="487"/>
      <c r="L2149" s="487"/>
      <c r="M2149" s="488" t="s">
        <v>1172</v>
      </c>
      <c r="O2149" s="468" t="s">
        <v>1172</v>
      </c>
    </row>
    <row r="2150" spans="1:26" ht="33.200000000000003" customHeight="1">
      <c r="A2150" s="452" t="s">
        <v>2484</v>
      </c>
      <c r="B2150" s="452" t="s">
        <v>2485</v>
      </c>
      <c r="C2150" s="489">
        <v>0.44600000000000001</v>
      </c>
      <c r="D2150" s="480" t="s">
        <v>8</v>
      </c>
      <c r="E2150" s="490">
        <f t="shared" ref="E2150:F2165" si="350">I2150+G2150+K2150</f>
        <v>62811</v>
      </c>
      <c r="F2150" s="493">
        <f t="shared" si="350"/>
        <v>28013.7</v>
      </c>
      <c r="G2150" s="494">
        <f>단가산출근거목록표!F157</f>
        <v>62811</v>
      </c>
      <c r="H2150" s="498">
        <f t="shared" ref="H2150:H2165" si="351">IF(C2150=0,0,ROUNDDOWN(G2150*C2150,1))</f>
        <v>28013.7</v>
      </c>
      <c r="I2150" s="494">
        <f>단가산출근거목록표!G157</f>
        <v>0</v>
      </c>
      <c r="J2150" s="498">
        <f t="shared" ref="J2150:J2165" si="352">IF(C2150=0,0,ROUNDDOWN(I2150*C2150,1))</f>
        <v>0</v>
      </c>
      <c r="K2150" s="494">
        <f>단가산출근거목록표!H157</f>
        <v>0</v>
      </c>
      <c r="L2150" s="498">
        <f t="shared" ref="L2150:L2165" si="353">IF(C2150=0,0,ROUNDDOWN(K2150*C2150,1))</f>
        <v>0</v>
      </c>
      <c r="M2150" s="463" t="s">
        <v>2486</v>
      </c>
      <c r="N2150" s="451" t="s">
        <v>2487</v>
      </c>
      <c r="O2150" s="468" t="s">
        <v>2488</v>
      </c>
      <c r="P2150" s="468" t="s">
        <v>2354</v>
      </c>
      <c r="Q2150" s="468" t="s">
        <v>2355</v>
      </c>
      <c r="Z2150" s="433" t="str">
        <f ca="1">HYPERLINK("#"&amp;단가산출근거목록표!J2&amp;"!A"&amp;ROW(단가산출근거목록표!A157),"D01241 →")</f>
        <v>D01241 →</v>
      </c>
    </row>
    <row r="2151" spans="1:26" ht="33.200000000000003" customHeight="1">
      <c r="A2151" s="452" t="s">
        <v>2321</v>
      </c>
      <c r="B2151" s="452" t="s">
        <v>2322</v>
      </c>
      <c r="C2151" s="489">
        <v>0.13100000000000001</v>
      </c>
      <c r="D2151" s="480" t="s">
        <v>8</v>
      </c>
      <c r="E2151" s="490">
        <f t="shared" si="350"/>
        <v>34413</v>
      </c>
      <c r="F2151" s="493">
        <f t="shared" si="350"/>
        <v>4508.1000000000004</v>
      </c>
      <c r="G2151" s="494">
        <f>일위대가목록표!F275</f>
        <v>34413</v>
      </c>
      <c r="H2151" s="498">
        <f t="shared" si="351"/>
        <v>4508.1000000000004</v>
      </c>
      <c r="I2151" s="494">
        <f>일위대가목록표!G275</f>
        <v>0</v>
      </c>
      <c r="J2151" s="498">
        <f t="shared" si="352"/>
        <v>0</v>
      </c>
      <c r="K2151" s="494">
        <f>일위대가목록표!H275</f>
        <v>0</v>
      </c>
      <c r="L2151" s="498">
        <f t="shared" si="353"/>
        <v>0</v>
      </c>
      <c r="M2151" s="463" t="s">
        <v>2489</v>
      </c>
      <c r="N2151" s="451" t="s">
        <v>2490</v>
      </c>
      <c r="O2151" s="468" t="s">
        <v>2491</v>
      </c>
      <c r="P2151" s="468" t="s">
        <v>2354</v>
      </c>
      <c r="Q2151" s="468" t="s">
        <v>2355</v>
      </c>
      <c r="Z2151" s="433" t="str">
        <f ca="1">HYPERLINK("#"&amp;일위대가목록표!J2&amp;"!A"&amp;ROW(일위대가목록표!A275),"B01414 →")</f>
        <v>B01414 →</v>
      </c>
    </row>
    <row r="2152" spans="1:26" ht="33.200000000000003" customHeight="1">
      <c r="A2152" s="452" t="s">
        <v>2298</v>
      </c>
      <c r="B2152" s="452" t="s">
        <v>2299</v>
      </c>
      <c r="C2152" s="489">
        <v>0.315</v>
      </c>
      <c r="D2152" s="480" t="s">
        <v>8</v>
      </c>
      <c r="E2152" s="490">
        <f t="shared" si="350"/>
        <v>24089</v>
      </c>
      <c r="F2152" s="493">
        <f t="shared" si="350"/>
        <v>7588</v>
      </c>
      <c r="G2152" s="494">
        <f>일위대가목록표!F37</f>
        <v>24089</v>
      </c>
      <c r="H2152" s="498">
        <f t="shared" si="351"/>
        <v>7588</v>
      </c>
      <c r="I2152" s="494">
        <f>일위대가목록표!G37</f>
        <v>0</v>
      </c>
      <c r="J2152" s="498">
        <f t="shared" si="352"/>
        <v>0</v>
      </c>
      <c r="K2152" s="494">
        <f>일위대가목록표!H37</f>
        <v>0</v>
      </c>
      <c r="L2152" s="498">
        <f t="shared" si="353"/>
        <v>0</v>
      </c>
      <c r="M2152" s="463" t="s">
        <v>2492</v>
      </c>
      <c r="N2152" s="451" t="s">
        <v>2493</v>
      </c>
      <c r="O2152" s="468" t="s">
        <v>2494</v>
      </c>
      <c r="P2152" s="468" t="s">
        <v>2354</v>
      </c>
      <c r="Q2152" s="468" t="s">
        <v>2355</v>
      </c>
      <c r="Z2152" s="433" t="str">
        <f ca="1">HYPERLINK("#"&amp;일위대가목록표!J2&amp;"!A"&amp;ROW(일위대가목록표!A37),"B01447 →")</f>
        <v>B01447 →</v>
      </c>
    </row>
    <row r="2153" spans="1:26" ht="33.200000000000003" customHeight="1">
      <c r="A2153" s="452" t="s">
        <v>2342</v>
      </c>
      <c r="B2153" s="452" t="s">
        <v>2343</v>
      </c>
      <c r="C2153" s="489">
        <v>0.125</v>
      </c>
      <c r="D2153" s="480" t="s">
        <v>8</v>
      </c>
      <c r="E2153" s="490">
        <f t="shared" si="350"/>
        <v>477254</v>
      </c>
      <c r="F2153" s="493">
        <f t="shared" si="350"/>
        <v>59656.7</v>
      </c>
      <c r="G2153" s="494">
        <f>일위대가목록표!F330</f>
        <v>373604</v>
      </c>
      <c r="H2153" s="498">
        <f t="shared" si="351"/>
        <v>46700.5</v>
      </c>
      <c r="I2153" s="494">
        <f>일위대가목록표!G330</f>
        <v>103650</v>
      </c>
      <c r="J2153" s="498">
        <f t="shared" si="352"/>
        <v>12956.2</v>
      </c>
      <c r="K2153" s="494">
        <f>일위대가목록표!H330</f>
        <v>0</v>
      </c>
      <c r="L2153" s="498">
        <f t="shared" si="353"/>
        <v>0</v>
      </c>
      <c r="M2153" s="463" t="s">
        <v>2500</v>
      </c>
      <c r="N2153" s="451" t="s">
        <v>2501</v>
      </c>
      <c r="O2153" s="468" t="s">
        <v>2502</v>
      </c>
      <c r="P2153" s="468" t="s">
        <v>2354</v>
      </c>
      <c r="Q2153" s="468" t="s">
        <v>2355</v>
      </c>
      <c r="Z2153" s="433" t="str">
        <f ca="1">HYPERLINK("#"&amp;일위대가목록표!J2&amp;"!A"&amp;ROW(일위대가목록표!A330),"B01936 →")</f>
        <v>B01936 →</v>
      </c>
    </row>
    <row r="2154" spans="1:26" ht="33.200000000000003" customHeight="1">
      <c r="A2154" s="452" t="s">
        <v>2495</v>
      </c>
      <c r="B2154" s="452" t="s">
        <v>2496</v>
      </c>
      <c r="C2154" s="489">
        <v>1.28</v>
      </c>
      <c r="D2154" s="480" t="s">
        <v>595</v>
      </c>
      <c r="E2154" s="490">
        <f t="shared" si="350"/>
        <v>46533</v>
      </c>
      <c r="F2154" s="493">
        <f t="shared" si="350"/>
        <v>59562.100000000006</v>
      </c>
      <c r="G2154" s="494">
        <f>단가산출근거목록표!F169</f>
        <v>34461</v>
      </c>
      <c r="H2154" s="498">
        <f t="shared" si="351"/>
        <v>44110</v>
      </c>
      <c r="I2154" s="494">
        <f>단가산출근거목록표!G169</f>
        <v>11728</v>
      </c>
      <c r="J2154" s="498">
        <f t="shared" si="352"/>
        <v>15011.8</v>
      </c>
      <c r="K2154" s="494">
        <f>단가산출근거목록표!H169</f>
        <v>344</v>
      </c>
      <c r="L2154" s="498">
        <f t="shared" si="353"/>
        <v>440.3</v>
      </c>
      <c r="M2154" s="463" t="s">
        <v>2497</v>
      </c>
      <c r="N2154" s="451" t="s">
        <v>2498</v>
      </c>
      <c r="O2154" s="468" t="s">
        <v>2499</v>
      </c>
      <c r="P2154" s="468" t="s">
        <v>2354</v>
      </c>
      <c r="Q2154" s="468" t="s">
        <v>2355</v>
      </c>
      <c r="Z2154" s="433" t="str">
        <f ca="1">HYPERLINK("#"&amp;단가산출근거목록표!J2&amp;"!A"&amp;ROW(단가산출근거목록표!A169),"D01231 →")</f>
        <v>D01231 →</v>
      </c>
    </row>
    <row r="2155" spans="1:26" ht="33.200000000000003" customHeight="1">
      <c r="A2155" s="452" t="s">
        <v>2922</v>
      </c>
      <c r="B2155" s="452" t="s">
        <v>2923</v>
      </c>
      <c r="C2155" s="489">
        <v>60.585999999999999</v>
      </c>
      <c r="D2155" s="480" t="s">
        <v>605</v>
      </c>
      <c r="E2155" s="490">
        <f t="shared" si="350"/>
        <v>7400</v>
      </c>
      <c r="F2155" s="491">
        <f t="shared" si="350"/>
        <v>448336.4</v>
      </c>
      <c r="G2155" s="492">
        <v>0</v>
      </c>
      <c r="H2155" s="493">
        <f t="shared" si="351"/>
        <v>0</v>
      </c>
      <c r="I2155" s="494">
        <f>재료비목록표!E76</f>
        <v>7400</v>
      </c>
      <c r="J2155" s="495">
        <f t="shared" si="352"/>
        <v>448336.4</v>
      </c>
      <c r="K2155" s="492">
        <v>0</v>
      </c>
      <c r="L2155" s="493">
        <f t="shared" si="353"/>
        <v>0</v>
      </c>
      <c r="M2155" s="463" t="s">
        <v>2924</v>
      </c>
      <c r="N2155" s="451" t="s">
        <v>2925</v>
      </c>
      <c r="O2155" s="468" t="s">
        <v>2926</v>
      </c>
      <c r="P2155" s="468" t="s">
        <v>2354</v>
      </c>
      <c r="Z2155" s="433" t="str">
        <f ca="1">HYPERLINK("#"&amp;재료비목록표!G2&amp;"!A"&amp;ROW(재료비목록표!A76),"M00960 →")</f>
        <v>M00960 →</v>
      </c>
    </row>
    <row r="2156" spans="1:26" ht="33.200000000000003" customHeight="1">
      <c r="A2156" s="452" t="s">
        <v>1461</v>
      </c>
      <c r="B2156" s="452" t="s">
        <v>1462</v>
      </c>
      <c r="C2156" s="489">
        <v>0.192</v>
      </c>
      <c r="D2156" s="480" t="s">
        <v>8</v>
      </c>
      <c r="E2156" s="490">
        <f t="shared" si="350"/>
        <v>915052</v>
      </c>
      <c r="F2156" s="493">
        <f t="shared" si="350"/>
        <v>175689.9</v>
      </c>
      <c r="G2156" s="494">
        <f>일위대가목록표!F72</f>
        <v>915052</v>
      </c>
      <c r="H2156" s="498">
        <f t="shared" si="351"/>
        <v>175689.9</v>
      </c>
      <c r="I2156" s="494">
        <f>일위대가목록표!G72</f>
        <v>0</v>
      </c>
      <c r="J2156" s="498">
        <f t="shared" si="352"/>
        <v>0</v>
      </c>
      <c r="K2156" s="494">
        <f>일위대가목록표!H72</f>
        <v>0</v>
      </c>
      <c r="L2156" s="498">
        <f t="shared" si="353"/>
        <v>0</v>
      </c>
      <c r="M2156" s="463" t="s">
        <v>2471</v>
      </c>
      <c r="N2156" s="451" t="s">
        <v>2472</v>
      </c>
      <c r="O2156" s="468" t="s">
        <v>1465</v>
      </c>
      <c r="P2156" s="468" t="s">
        <v>2354</v>
      </c>
      <c r="Q2156" s="468" t="s">
        <v>2355</v>
      </c>
      <c r="Z2156" s="433" t="str">
        <f ca="1">HYPERLINK("#"&amp;일위대가목록표!J2&amp;"!A"&amp;ROW(일위대가목록표!A72),"B01822 →")</f>
        <v>B01822 →</v>
      </c>
    </row>
    <row r="2157" spans="1:26" ht="33.200000000000003" customHeight="1">
      <c r="A2157" s="452" t="s">
        <v>1532</v>
      </c>
      <c r="B2157" s="452" t="s">
        <v>1537</v>
      </c>
      <c r="C2157" s="489">
        <v>6.2590000000000003</v>
      </c>
      <c r="D2157" s="480" t="s">
        <v>595</v>
      </c>
      <c r="E2157" s="490">
        <f t="shared" si="350"/>
        <v>12642</v>
      </c>
      <c r="F2157" s="493">
        <f t="shared" si="350"/>
        <v>79126.099999999991</v>
      </c>
      <c r="G2157" s="494">
        <f>일위대가목록표!F224</f>
        <v>11027</v>
      </c>
      <c r="H2157" s="498">
        <f t="shared" si="351"/>
        <v>69017.899999999994</v>
      </c>
      <c r="I2157" s="494">
        <f>일위대가목록표!G224</f>
        <v>1395</v>
      </c>
      <c r="J2157" s="498">
        <f t="shared" si="352"/>
        <v>8731.2999999999993</v>
      </c>
      <c r="K2157" s="494">
        <f>일위대가목록표!H224</f>
        <v>220</v>
      </c>
      <c r="L2157" s="498">
        <f t="shared" si="353"/>
        <v>1376.9</v>
      </c>
      <c r="M2157" s="463" t="s">
        <v>2473</v>
      </c>
      <c r="N2157" s="451" t="s">
        <v>2674</v>
      </c>
      <c r="O2157" s="468" t="s">
        <v>1540</v>
      </c>
      <c r="P2157" s="468" t="s">
        <v>2354</v>
      </c>
      <c r="Z2157" s="433" t="str">
        <f ca="1">HYPERLINK("#"&amp;일위대가목록표!J2&amp;"!A"&amp;ROW(일위대가목록표!A224),"B01814 →")</f>
        <v>B01814 →</v>
      </c>
    </row>
    <row r="2158" spans="1:26" ht="33.200000000000003" customHeight="1">
      <c r="A2158" s="452" t="s">
        <v>2911</v>
      </c>
      <c r="B2158" s="452" t="s">
        <v>3264</v>
      </c>
      <c r="C2158" s="489">
        <v>0.84</v>
      </c>
      <c r="D2158" s="480" t="s">
        <v>911</v>
      </c>
      <c r="E2158" s="490">
        <f t="shared" si="350"/>
        <v>18310</v>
      </c>
      <c r="F2158" s="491">
        <f t="shared" si="350"/>
        <v>15380.4</v>
      </c>
      <c r="G2158" s="492">
        <v>0</v>
      </c>
      <c r="H2158" s="493">
        <f t="shared" si="351"/>
        <v>0</v>
      </c>
      <c r="I2158" s="494">
        <f>재료비목록표!E22</f>
        <v>18310</v>
      </c>
      <c r="J2158" s="495">
        <f t="shared" si="352"/>
        <v>15380.4</v>
      </c>
      <c r="K2158" s="492">
        <v>0</v>
      </c>
      <c r="L2158" s="493">
        <f t="shared" si="353"/>
        <v>0</v>
      </c>
      <c r="M2158" s="463" t="s">
        <v>3265</v>
      </c>
      <c r="N2158" s="451" t="s">
        <v>3266</v>
      </c>
      <c r="O2158" s="468" t="s">
        <v>3267</v>
      </c>
      <c r="P2158" s="468" t="s">
        <v>2354</v>
      </c>
      <c r="Z2158" s="433" t="str">
        <f ca="1">HYPERLINK("#"&amp;재료비목록표!G2&amp;"!A"&amp;ROW(재료비목록표!A22),"M01578 →")</f>
        <v>M01578 →</v>
      </c>
    </row>
    <row r="2159" spans="1:26" ht="33.200000000000003" customHeight="1">
      <c r="A2159" s="452" t="s">
        <v>2325</v>
      </c>
      <c r="B2159" s="452" t="s">
        <v>2326</v>
      </c>
      <c r="C2159" s="489">
        <v>8.6E-3</v>
      </c>
      <c r="D2159" s="480" t="s">
        <v>2132</v>
      </c>
      <c r="E2159" s="490">
        <f t="shared" si="350"/>
        <v>3316857</v>
      </c>
      <c r="F2159" s="493">
        <f t="shared" si="350"/>
        <v>28524.799999999999</v>
      </c>
      <c r="G2159" s="494">
        <f>일위대가목록표!F276</f>
        <v>3071165</v>
      </c>
      <c r="H2159" s="498">
        <f t="shared" si="351"/>
        <v>26412</v>
      </c>
      <c r="I2159" s="494">
        <f>일위대가목록표!G276</f>
        <v>92134</v>
      </c>
      <c r="J2159" s="498">
        <f t="shared" si="352"/>
        <v>792.3</v>
      </c>
      <c r="K2159" s="494">
        <f>일위대가목록표!H276</f>
        <v>153558</v>
      </c>
      <c r="L2159" s="498">
        <f t="shared" si="353"/>
        <v>1320.5</v>
      </c>
      <c r="M2159" s="463" t="s">
        <v>3268</v>
      </c>
      <c r="N2159" s="451" t="s">
        <v>3269</v>
      </c>
      <c r="O2159" s="468" t="s">
        <v>3270</v>
      </c>
      <c r="P2159" s="468" t="s">
        <v>2354</v>
      </c>
      <c r="Z2159" s="433" t="str">
        <f ca="1">HYPERLINK("#"&amp;일위대가목록표!J2&amp;"!A"&amp;ROW(일위대가목록표!A276),"B02691 →")</f>
        <v>B02691 →</v>
      </c>
    </row>
    <row r="2160" spans="1:26" ht="33.200000000000003" customHeight="1">
      <c r="A2160" s="452" t="s">
        <v>3271</v>
      </c>
      <c r="B2160" s="452" t="s">
        <v>3272</v>
      </c>
      <c r="C2160" s="489">
        <v>4.57</v>
      </c>
      <c r="D2160" s="480" t="s">
        <v>911</v>
      </c>
      <c r="E2160" s="490">
        <f t="shared" si="350"/>
        <v>5990</v>
      </c>
      <c r="F2160" s="491">
        <f t="shared" si="350"/>
        <v>27374.3</v>
      </c>
      <c r="G2160" s="492">
        <v>0</v>
      </c>
      <c r="H2160" s="493">
        <f t="shared" si="351"/>
        <v>0</v>
      </c>
      <c r="I2160" s="494">
        <f>재료비목록표!E88</f>
        <v>5990</v>
      </c>
      <c r="J2160" s="495">
        <f t="shared" si="352"/>
        <v>27374.3</v>
      </c>
      <c r="K2160" s="492">
        <v>0</v>
      </c>
      <c r="L2160" s="493">
        <f t="shared" si="353"/>
        <v>0</v>
      </c>
      <c r="M2160" s="463" t="s">
        <v>3273</v>
      </c>
      <c r="N2160" s="451" t="s">
        <v>3274</v>
      </c>
      <c r="O2160" s="468" t="s">
        <v>3275</v>
      </c>
      <c r="P2160" s="468" t="s">
        <v>2354</v>
      </c>
      <c r="Z2160" s="433" t="str">
        <f ca="1">HYPERLINK("#"&amp;재료비목록표!G2&amp;"!A"&amp;ROW(재료비목록표!A88),"M01158 →")</f>
        <v>M01158 →</v>
      </c>
    </row>
    <row r="2161" spans="1:26" ht="33.200000000000003" customHeight="1">
      <c r="A2161" s="452" t="s">
        <v>2927</v>
      </c>
      <c r="B2161" s="452" t="s">
        <v>3276</v>
      </c>
      <c r="C2161" s="489">
        <v>4.2</v>
      </c>
      <c r="D2161" s="480" t="s">
        <v>2377</v>
      </c>
      <c r="E2161" s="490">
        <f t="shared" si="350"/>
        <v>1246</v>
      </c>
      <c r="F2161" s="491">
        <f t="shared" si="350"/>
        <v>5233.2</v>
      </c>
      <c r="G2161" s="492">
        <v>0</v>
      </c>
      <c r="H2161" s="493">
        <f t="shared" si="351"/>
        <v>0</v>
      </c>
      <c r="I2161" s="494">
        <f>재료비목록표!E55</f>
        <v>1246</v>
      </c>
      <c r="J2161" s="495">
        <f t="shared" si="352"/>
        <v>5233.2</v>
      </c>
      <c r="K2161" s="492">
        <v>0</v>
      </c>
      <c r="L2161" s="493">
        <f t="shared" si="353"/>
        <v>0</v>
      </c>
      <c r="M2161" s="463" t="s">
        <v>3277</v>
      </c>
      <c r="N2161" s="451" t="s">
        <v>3278</v>
      </c>
      <c r="O2161" s="468" t="s">
        <v>3279</v>
      </c>
      <c r="P2161" s="468" t="s">
        <v>2354</v>
      </c>
      <c r="Z2161" s="433" t="str">
        <f ca="1">HYPERLINK("#"&amp;재료비목록표!G2&amp;"!A"&amp;ROW(재료비목록표!A55),"M01455 →")</f>
        <v>M01455 →</v>
      </c>
    </row>
    <row r="2162" spans="1:26" ht="33.200000000000003" customHeight="1">
      <c r="A2162" s="452" t="s">
        <v>2932</v>
      </c>
      <c r="B2162" s="452" t="s">
        <v>2933</v>
      </c>
      <c r="C2162" s="489">
        <v>4.2</v>
      </c>
      <c r="D2162" s="480" t="s">
        <v>2377</v>
      </c>
      <c r="E2162" s="490">
        <f t="shared" si="350"/>
        <v>157.30000000000001</v>
      </c>
      <c r="F2162" s="491">
        <f t="shared" si="350"/>
        <v>660.6</v>
      </c>
      <c r="G2162" s="492">
        <v>0</v>
      </c>
      <c r="H2162" s="493">
        <f t="shared" si="351"/>
        <v>0</v>
      </c>
      <c r="I2162" s="494">
        <f>재료비목록표!E26</f>
        <v>157.30000000000001</v>
      </c>
      <c r="J2162" s="495">
        <f t="shared" si="352"/>
        <v>660.6</v>
      </c>
      <c r="K2162" s="492">
        <v>0</v>
      </c>
      <c r="L2162" s="493">
        <f t="shared" si="353"/>
        <v>0</v>
      </c>
      <c r="M2162" s="463" t="s">
        <v>2934</v>
      </c>
      <c r="N2162" s="451" t="s">
        <v>2935</v>
      </c>
      <c r="O2162" s="468" t="s">
        <v>2936</v>
      </c>
      <c r="P2162" s="468" t="s">
        <v>2354</v>
      </c>
      <c r="Z2162" s="433" t="str">
        <f ca="1">HYPERLINK("#"&amp;재료비목록표!G2&amp;"!A"&amp;ROW(재료비목록표!A26),"M00958 →")</f>
        <v>M00958 →</v>
      </c>
    </row>
    <row r="2163" spans="1:26" ht="33.200000000000003" customHeight="1">
      <c r="A2163" s="452" t="s">
        <v>2937</v>
      </c>
      <c r="B2163" s="452" t="s">
        <v>2933</v>
      </c>
      <c r="C2163" s="489">
        <v>8.4</v>
      </c>
      <c r="D2163" s="480" t="s">
        <v>2377</v>
      </c>
      <c r="E2163" s="490">
        <f t="shared" si="350"/>
        <v>53.7</v>
      </c>
      <c r="F2163" s="491">
        <f t="shared" si="350"/>
        <v>451</v>
      </c>
      <c r="G2163" s="492">
        <v>0</v>
      </c>
      <c r="H2163" s="493">
        <f t="shared" si="351"/>
        <v>0</v>
      </c>
      <c r="I2163" s="494">
        <f>재료비목록표!E74</f>
        <v>53.7</v>
      </c>
      <c r="J2163" s="495">
        <f t="shared" si="352"/>
        <v>451</v>
      </c>
      <c r="K2163" s="492">
        <v>0</v>
      </c>
      <c r="L2163" s="493">
        <f t="shared" si="353"/>
        <v>0</v>
      </c>
      <c r="M2163" s="463" t="s">
        <v>2938</v>
      </c>
      <c r="N2163" s="451" t="s">
        <v>2939</v>
      </c>
      <c r="O2163" s="468" t="s">
        <v>2940</v>
      </c>
      <c r="P2163" s="468" t="s">
        <v>2354</v>
      </c>
      <c r="Z2163" s="433" t="str">
        <f ca="1">HYPERLINK("#"&amp;재료비목록표!G2&amp;"!A"&amp;ROW(재료비목록표!A74),"M00648 →")</f>
        <v>M00648 →</v>
      </c>
    </row>
    <row r="2164" spans="1:26" ht="33.200000000000003" customHeight="1">
      <c r="A2164" s="452" t="s">
        <v>2574</v>
      </c>
      <c r="B2164" s="452" t="s">
        <v>2575</v>
      </c>
      <c r="C2164" s="489">
        <v>1.2290000000000001E-3</v>
      </c>
      <c r="D2164" s="480" t="s">
        <v>2576</v>
      </c>
      <c r="E2164" s="490">
        <f t="shared" si="350"/>
        <v>765000</v>
      </c>
      <c r="F2164" s="491">
        <f t="shared" si="350"/>
        <v>940.1</v>
      </c>
      <c r="G2164" s="492">
        <v>0</v>
      </c>
      <c r="H2164" s="493">
        <f t="shared" si="351"/>
        <v>0</v>
      </c>
      <c r="I2164" s="494">
        <f>재료비목록표!E81</f>
        <v>765000</v>
      </c>
      <c r="J2164" s="495">
        <f t="shared" si="352"/>
        <v>940.1</v>
      </c>
      <c r="K2164" s="492">
        <v>0</v>
      </c>
      <c r="L2164" s="493">
        <f t="shared" si="353"/>
        <v>0</v>
      </c>
      <c r="M2164" s="463" t="s">
        <v>2577</v>
      </c>
      <c r="N2164" s="451" t="s">
        <v>2578</v>
      </c>
      <c r="O2164" s="468" t="s">
        <v>2579</v>
      </c>
      <c r="P2164" s="468" t="s">
        <v>2354</v>
      </c>
      <c r="Z2164" s="433" t="str">
        <f ca="1">HYPERLINK("#"&amp;재료비목록표!G2&amp;"!A"&amp;ROW(재료비목록표!A81),"M00150 →")</f>
        <v>M00150 →</v>
      </c>
    </row>
    <row r="2165" spans="1:26" ht="33.200000000000003" customHeight="1">
      <c r="A2165" s="452" t="s">
        <v>2580</v>
      </c>
      <c r="B2165" s="452" t="s">
        <v>2581</v>
      </c>
      <c r="C2165" s="489">
        <v>1.194E-3</v>
      </c>
      <c r="D2165" s="480" t="s">
        <v>2132</v>
      </c>
      <c r="E2165" s="490">
        <f t="shared" si="350"/>
        <v>1386016</v>
      </c>
      <c r="F2165" s="493">
        <f t="shared" si="350"/>
        <v>1654.8</v>
      </c>
      <c r="G2165" s="494">
        <f>단가산출근거목록표!F141</f>
        <v>1375031</v>
      </c>
      <c r="H2165" s="498">
        <f t="shared" si="351"/>
        <v>1641.7</v>
      </c>
      <c r="I2165" s="494">
        <f>단가산출근거목록표!G141</f>
        <v>10985</v>
      </c>
      <c r="J2165" s="498">
        <f t="shared" si="352"/>
        <v>13.1</v>
      </c>
      <c r="K2165" s="494">
        <f>단가산출근거목록표!H141</f>
        <v>0</v>
      </c>
      <c r="L2165" s="498">
        <f t="shared" si="353"/>
        <v>0</v>
      </c>
      <c r="M2165" s="463" t="s">
        <v>2582</v>
      </c>
      <c r="N2165" s="451" t="s">
        <v>2588</v>
      </c>
      <c r="O2165" s="468" t="s">
        <v>2584</v>
      </c>
      <c r="P2165" s="468" t="s">
        <v>2354</v>
      </c>
      <c r="Q2165" s="468" t="s">
        <v>2355</v>
      </c>
      <c r="Z2165" s="433" t="str">
        <f ca="1">HYPERLINK("#"&amp;단가산출근거목록표!J2&amp;"!A"&amp;ROW(단가산출근거목록표!A141),"D00950 →")</f>
        <v>D00950 →</v>
      </c>
    </row>
    <row r="2166" spans="1:26" ht="33.200000000000003" customHeight="1">
      <c r="A2166" s="463" t="s">
        <v>842</v>
      </c>
      <c r="B2166" s="497"/>
      <c r="C2166" s="497"/>
      <c r="D2166" s="497"/>
      <c r="E2166" s="497"/>
      <c r="F2166" s="446">
        <f>J2166+H2166+L2166</f>
        <v>942698</v>
      </c>
      <c r="G2166" s="497"/>
      <c r="H2166" s="446">
        <f>ROUNDDOWN(SUMIF(P2150:P2165,O2166,H2150:H2165),0)</f>
        <v>403681</v>
      </c>
      <c r="I2166" s="497"/>
      <c r="J2166" s="446">
        <f>ROUNDDOWN(SUMIF(P2150:P2165,O2166,J2150:J2165),0)</f>
        <v>535880</v>
      </c>
      <c r="K2166" s="497"/>
      <c r="L2166" s="446">
        <f>ROUNDDOWN(SUMIF(P2150:P2165,O2166,L2150:L2165),0)</f>
        <v>3137</v>
      </c>
      <c r="M2166" s="497"/>
      <c r="O2166" s="468" t="s">
        <v>2354</v>
      </c>
    </row>
    <row r="2167" spans="1:26" ht="33.200000000000003" customHeight="1">
      <c r="A2167" s="484" t="s">
        <v>5535</v>
      </c>
      <c r="B2167" s="484"/>
      <c r="C2167" s="485"/>
      <c r="D2167" s="485"/>
      <c r="E2167" s="485"/>
      <c r="F2167" s="485"/>
      <c r="G2167" s="485"/>
      <c r="H2167" s="485"/>
      <c r="I2167" s="485"/>
      <c r="J2167" s="485"/>
      <c r="K2167" s="485"/>
      <c r="L2167" s="485"/>
      <c r="M2167" s="485"/>
      <c r="N2167" s="486" t="str">
        <f>HYPERLINK("#N"&amp;ROW(N2184),"_x0005_`BDCOD|B02728_x0007_`POSS|"&amp;ROW(N2169)&amp;"_x0007_`POSE|"&amp;ROW(N2184)&amp;"_x0007_`")</f>
        <v>_x0005_`BDCOD|B02728_x0007_`POSS|2169_x0007_`POSE|2184_x0007_`</v>
      </c>
    </row>
    <row r="2168" spans="1:26" ht="33.200000000000003" customHeight="1">
      <c r="A2168" s="469" t="s">
        <v>1171</v>
      </c>
      <c r="B2168" s="469" t="s">
        <v>1163</v>
      </c>
      <c r="C2168" s="487"/>
      <c r="D2168" s="488" t="s">
        <v>966</v>
      </c>
      <c r="E2168" s="487"/>
      <c r="F2168" s="487"/>
      <c r="G2168" s="487"/>
      <c r="H2168" s="487"/>
      <c r="I2168" s="487"/>
      <c r="J2168" s="487"/>
      <c r="K2168" s="487"/>
      <c r="L2168" s="487"/>
      <c r="M2168" s="488" t="s">
        <v>1175</v>
      </c>
      <c r="O2168" s="468" t="s">
        <v>1175</v>
      </c>
    </row>
    <row r="2169" spans="1:26" ht="33.200000000000003" customHeight="1">
      <c r="A2169" s="452" t="s">
        <v>2484</v>
      </c>
      <c r="B2169" s="452" t="s">
        <v>2485</v>
      </c>
      <c r="C2169" s="489">
        <v>0.47199999999999998</v>
      </c>
      <c r="D2169" s="480" t="s">
        <v>8</v>
      </c>
      <c r="E2169" s="490">
        <f t="shared" ref="E2169:F2184" si="354">I2169+G2169+K2169</f>
        <v>62811</v>
      </c>
      <c r="F2169" s="493">
        <f t="shared" si="354"/>
        <v>29646.7</v>
      </c>
      <c r="G2169" s="494">
        <f>단가산출근거목록표!F157</f>
        <v>62811</v>
      </c>
      <c r="H2169" s="498">
        <f t="shared" ref="H2169:H2184" si="355">IF(C2169=0,0,ROUNDDOWN(G2169*C2169,1))</f>
        <v>29646.7</v>
      </c>
      <c r="I2169" s="494">
        <f>단가산출근거목록표!G157</f>
        <v>0</v>
      </c>
      <c r="J2169" s="498">
        <f t="shared" ref="J2169:J2184" si="356">IF(C2169=0,0,ROUNDDOWN(I2169*C2169,1))</f>
        <v>0</v>
      </c>
      <c r="K2169" s="494">
        <f>단가산출근거목록표!H157</f>
        <v>0</v>
      </c>
      <c r="L2169" s="498">
        <f t="shared" ref="L2169:L2184" si="357">IF(C2169=0,0,ROUNDDOWN(K2169*C2169,1))</f>
        <v>0</v>
      </c>
      <c r="M2169" s="463" t="s">
        <v>2486</v>
      </c>
      <c r="N2169" s="451" t="s">
        <v>2487</v>
      </c>
      <c r="O2169" s="468" t="s">
        <v>2488</v>
      </c>
      <c r="P2169" s="468" t="s">
        <v>2354</v>
      </c>
      <c r="Q2169" s="468" t="s">
        <v>2355</v>
      </c>
      <c r="Z2169" s="433" t="str">
        <f ca="1">HYPERLINK("#"&amp;단가산출근거목록표!J2&amp;"!A"&amp;ROW(단가산출근거목록표!A157),"D01241 →")</f>
        <v>D01241 →</v>
      </c>
    </row>
    <row r="2170" spans="1:26" ht="33.200000000000003" customHeight="1">
      <c r="A2170" s="452" t="s">
        <v>2321</v>
      </c>
      <c r="B2170" s="452" t="s">
        <v>2322</v>
      </c>
      <c r="C2170" s="489">
        <v>0.13100000000000001</v>
      </c>
      <c r="D2170" s="480" t="s">
        <v>8</v>
      </c>
      <c r="E2170" s="490">
        <f t="shared" si="354"/>
        <v>34413</v>
      </c>
      <c r="F2170" s="493">
        <f t="shared" si="354"/>
        <v>4508.1000000000004</v>
      </c>
      <c r="G2170" s="494">
        <f>일위대가목록표!F275</f>
        <v>34413</v>
      </c>
      <c r="H2170" s="498">
        <f t="shared" si="355"/>
        <v>4508.1000000000004</v>
      </c>
      <c r="I2170" s="494">
        <f>일위대가목록표!G275</f>
        <v>0</v>
      </c>
      <c r="J2170" s="498">
        <f t="shared" si="356"/>
        <v>0</v>
      </c>
      <c r="K2170" s="494">
        <f>일위대가목록표!H275</f>
        <v>0</v>
      </c>
      <c r="L2170" s="498">
        <f t="shared" si="357"/>
        <v>0</v>
      </c>
      <c r="M2170" s="463" t="s">
        <v>2489</v>
      </c>
      <c r="N2170" s="451" t="s">
        <v>2490</v>
      </c>
      <c r="O2170" s="468" t="s">
        <v>2491</v>
      </c>
      <c r="P2170" s="468" t="s">
        <v>2354</v>
      </c>
      <c r="Q2170" s="468" t="s">
        <v>2355</v>
      </c>
      <c r="Z2170" s="433" t="str">
        <f ca="1">HYPERLINK("#"&amp;일위대가목록표!J2&amp;"!A"&amp;ROW(일위대가목록표!A275),"B01414 →")</f>
        <v>B01414 →</v>
      </c>
    </row>
    <row r="2171" spans="1:26" ht="33.200000000000003" customHeight="1">
      <c r="A2171" s="452" t="s">
        <v>2298</v>
      </c>
      <c r="B2171" s="452" t="s">
        <v>2299</v>
      </c>
      <c r="C2171" s="489">
        <v>0.34100000000000003</v>
      </c>
      <c r="D2171" s="480" t="s">
        <v>8</v>
      </c>
      <c r="E2171" s="490">
        <f t="shared" si="354"/>
        <v>24089</v>
      </c>
      <c r="F2171" s="493">
        <f t="shared" si="354"/>
        <v>8214.2999999999993</v>
      </c>
      <c r="G2171" s="494">
        <f>일위대가목록표!F37</f>
        <v>24089</v>
      </c>
      <c r="H2171" s="498">
        <f t="shared" si="355"/>
        <v>8214.2999999999993</v>
      </c>
      <c r="I2171" s="494">
        <f>일위대가목록표!G37</f>
        <v>0</v>
      </c>
      <c r="J2171" s="498">
        <f t="shared" si="356"/>
        <v>0</v>
      </c>
      <c r="K2171" s="494">
        <f>일위대가목록표!H37</f>
        <v>0</v>
      </c>
      <c r="L2171" s="498">
        <f t="shared" si="357"/>
        <v>0</v>
      </c>
      <c r="M2171" s="463" t="s">
        <v>2492</v>
      </c>
      <c r="N2171" s="451" t="s">
        <v>2493</v>
      </c>
      <c r="O2171" s="468" t="s">
        <v>2494</v>
      </c>
      <c r="P2171" s="468" t="s">
        <v>2354</v>
      </c>
      <c r="Q2171" s="468" t="s">
        <v>2355</v>
      </c>
      <c r="Z2171" s="433" t="str">
        <f ca="1">HYPERLINK("#"&amp;일위대가목록표!J2&amp;"!A"&amp;ROW(일위대가목록표!A37),"B01447 →")</f>
        <v>B01447 →</v>
      </c>
    </row>
    <row r="2172" spans="1:26" ht="33.200000000000003" customHeight="1">
      <c r="A2172" s="452" t="s">
        <v>2342</v>
      </c>
      <c r="B2172" s="452" t="s">
        <v>2343</v>
      </c>
      <c r="C2172" s="489">
        <v>0.11899999999999999</v>
      </c>
      <c r="D2172" s="480" t="s">
        <v>8</v>
      </c>
      <c r="E2172" s="490">
        <f t="shared" si="354"/>
        <v>477254</v>
      </c>
      <c r="F2172" s="493">
        <f t="shared" si="354"/>
        <v>56793.100000000006</v>
      </c>
      <c r="G2172" s="494">
        <f>일위대가목록표!F330</f>
        <v>373604</v>
      </c>
      <c r="H2172" s="498">
        <f t="shared" si="355"/>
        <v>44458.8</v>
      </c>
      <c r="I2172" s="494">
        <f>일위대가목록표!G330</f>
        <v>103650</v>
      </c>
      <c r="J2172" s="498">
        <f t="shared" si="356"/>
        <v>12334.3</v>
      </c>
      <c r="K2172" s="494">
        <f>일위대가목록표!H330</f>
        <v>0</v>
      </c>
      <c r="L2172" s="498">
        <f t="shared" si="357"/>
        <v>0</v>
      </c>
      <c r="M2172" s="463" t="s">
        <v>2500</v>
      </c>
      <c r="N2172" s="451" t="s">
        <v>2501</v>
      </c>
      <c r="O2172" s="468" t="s">
        <v>2502</v>
      </c>
      <c r="P2172" s="468" t="s">
        <v>2354</v>
      </c>
      <c r="Q2172" s="468" t="s">
        <v>2355</v>
      </c>
      <c r="Z2172" s="433" t="str">
        <f ca="1">HYPERLINK("#"&amp;일위대가목록표!J2&amp;"!A"&amp;ROW(일위대가목록표!A330),"B01936 →")</f>
        <v>B01936 →</v>
      </c>
    </row>
    <row r="2173" spans="1:26" ht="33.200000000000003" customHeight="1">
      <c r="A2173" s="452" t="s">
        <v>2495</v>
      </c>
      <c r="B2173" s="452" t="s">
        <v>2496</v>
      </c>
      <c r="C2173" s="489">
        <v>1.28</v>
      </c>
      <c r="D2173" s="480" t="s">
        <v>595</v>
      </c>
      <c r="E2173" s="490">
        <f t="shared" si="354"/>
        <v>46533</v>
      </c>
      <c r="F2173" s="493">
        <f t="shared" si="354"/>
        <v>59562.100000000006</v>
      </c>
      <c r="G2173" s="494">
        <f>단가산출근거목록표!F169</f>
        <v>34461</v>
      </c>
      <c r="H2173" s="498">
        <f t="shared" si="355"/>
        <v>44110</v>
      </c>
      <c r="I2173" s="494">
        <f>단가산출근거목록표!G169</f>
        <v>11728</v>
      </c>
      <c r="J2173" s="498">
        <f t="shared" si="356"/>
        <v>15011.8</v>
      </c>
      <c r="K2173" s="494">
        <f>단가산출근거목록표!H169</f>
        <v>344</v>
      </c>
      <c r="L2173" s="498">
        <f t="shared" si="357"/>
        <v>440.3</v>
      </c>
      <c r="M2173" s="463" t="s">
        <v>2497</v>
      </c>
      <c r="N2173" s="451" t="s">
        <v>2498</v>
      </c>
      <c r="O2173" s="468" t="s">
        <v>2499</v>
      </c>
      <c r="P2173" s="468" t="s">
        <v>2354</v>
      </c>
      <c r="Q2173" s="468" t="s">
        <v>2355</v>
      </c>
      <c r="Z2173" s="433" t="str">
        <f ca="1">HYPERLINK("#"&amp;단가산출근거목록표!J2&amp;"!A"&amp;ROW(단가산출근거목록표!A169),"D01231 →")</f>
        <v>D01231 →</v>
      </c>
    </row>
    <row r="2174" spans="1:26" ht="33.200000000000003" customHeight="1">
      <c r="A2174" s="452" t="s">
        <v>2922</v>
      </c>
      <c r="B2174" s="452" t="s">
        <v>2923</v>
      </c>
      <c r="C2174" s="489">
        <v>62.203000000000003</v>
      </c>
      <c r="D2174" s="480" t="s">
        <v>605</v>
      </c>
      <c r="E2174" s="490">
        <f t="shared" si="354"/>
        <v>7400</v>
      </c>
      <c r="F2174" s="491">
        <f t="shared" si="354"/>
        <v>460302.2</v>
      </c>
      <c r="G2174" s="492">
        <v>0</v>
      </c>
      <c r="H2174" s="493">
        <f t="shared" si="355"/>
        <v>0</v>
      </c>
      <c r="I2174" s="494">
        <f>재료비목록표!E76</f>
        <v>7400</v>
      </c>
      <c r="J2174" s="495">
        <f t="shared" si="356"/>
        <v>460302.2</v>
      </c>
      <c r="K2174" s="492">
        <v>0</v>
      </c>
      <c r="L2174" s="493">
        <f t="shared" si="357"/>
        <v>0</v>
      </c>
      <c r="M2174" s="463" t="s">
        <v>2924</v>
      </c>
      <c r="N2174" s="451" t="s">
        <v>2925</v>
      </c>
      <c r="O2174" s="468" t="s">
        <v>2926</v>
      </c>
      <c r="P2174" s="468" t="s">
        <v>2354</v>
      </c>
      <c r="Z2174" s="433" t="str">
        <f ca="1">HYPERLINK("#"&amp;재료비목록표!G2&amp;"!A"&amp;ROW(재료비목록표!A76),"M00960 →")</f>
        <v>M00960 →</v>
      </c>
    </row>
    <row r="2175" spans="1:26" ht="33.200000000000003" customHeight="1">
      <c r="A2175" s="452" t="s">
        <v>1461</v>
      </c>
      <c r="B2175" s="452" t="s">
        <v>1462</v>
      </c>
      <c r="C2175" s="489">
        <v>0.19700000000000001</v>
      </c>
      <c r="D2175" s="480" t="s">
        <v>8</v>
      </c>
      <c r="E2175" s="490">
        <f t="shared" si="354"/>
        <v>915052</v>
      </c>
      <c r="F2175" s="493">
        <f t="shared" si="354"/>
        <v>180265.2</v>
      </c>
      <c r="G2175" s="494">
        <f>일위대가목록표!F72</f>
        <v>915052</v>
      </c>
      <c r="H2175" s="498">
        <f t="shared" si="355"/>
        <v>180265.2</v>
      </c>
      <c r="I2175" s="494">
        <f>일위대가목록표!G72</f>
        <v>0</v>
      </c>
      <c r="J2175" s="498">
        <f t="shared" si="356"/>
        <v>0</v>
      </c>
      <c r="K2175" s="494">
        <f>일위대가목록표!H72</f>
        <v>0</v>
      </c>
      <c r="L2175" s="498">
        <f t="shared" si="357"/>
        <v>0</v>
      </c>
      <c r="M2175" s="463" t="s">
        <v>2471</v>
      </c>
      <c r="N2175" s="451" t="s">
        <v>2472</v>
      </c>
      <c r="O2175" s="468" t="s">
        <v>1465</v>
      </c>
      <c r="P2175" s="468" t="s">
        <v>2354</v>
      </c>
      <c r="Q2175" s="468" t="s">
        <v>2355</v>
      </c>
      <c r="Z2175" s="433" t="str">
        <f ca="1">HYPERLINK("#"&amp;일위대가목록표!J2&amp;"!A"&amp;ROW(일위대가목록표!A72),"B01822 →")</f>
        <v>B01822 →</v>
      </c>
    </row>
    <row r="2176" spans="1:26" ht="33.200000000000003" customHeight="1">
      <c r="A2176" s="452" t="s">
        <v>1532</v>
      </c>
      <c r="B2176" s="452" t="s">
        <v>1537</v>
      </c>
      <c r="C2176" s="489">
        <v>6.46</v>
      </c>
      <c r="D2176" s="480" t="s">
        <v>595</v>
      </c>
      <c r="E2176" s="490">
        <f t="shared" si="354"/>
        <v>12642</v>
      </c>
      <c r="F2176" s="493">
        <f t="shared" si="354"/>
        <v>81667.299999999988</v>
      </c>
      <c r="G2176" s="494">
        <f>일위대가목록표!F224</f>
        <v>11027</v>
      </c>
      <c r="H2176" s="498">
        <f t="shared" si="355"/>
        <v>71234.399999999994</v>
      </c>
      <c r="I2176" s="494">
        <f>일위대가목록표!G224</f>
        <v>1395</v>
      </c>
      <c r="J2176" s="498">
        <f t="shared" si="356"/>
        <v>9011.7000000000007</v>
      </c>
      <c r="K2176" s="494">
        <f>일위대가목록표!H224</f>
        <v>220</v>
      </c>
      <c r="L2176" s="498">
        <f t="shared" si="357"/>
        <v>1421.2</v>
      </c>
      <c r="M2176" s="463" t="s">
        <v>2473</v>
      </c>
      <c r="N2176" s="451" t="s">
        <v>2674</v>
      </c>
      <c r="O2176" s="468" t="s">
        <v>1540</v>
      </c>
      <c r="P2176" s="468" t="s">
        <v>2354</v>
      </c>
      <c r="Z2176" s="433" t="str">
        <f ca="1">HYPERLINK("#"&amp;일위대가목록표!J2&amp;"!A"&amp;ROW(일위대가목록표!A224),"B01814 →")</f>
        <v>B01814 →</v>
      </c>
    </row>
    <row r="2177" spans="1:26" ht="33.200000000000003" customHeight="1">
      <c r="A2177" s="452" t="s">
        <v>2911</v>
      </c>
      <c r="B2177" s="452" t="s">
        <v>3264</v>
      </c>
      <c r="C2177" s="489">
        <v>0.84</v>
      </c>
      <c r="D2177" s="480" t="s">
        <v>911</v>
      </c>
      <c r="E2177" s="490">
        <f t="shared" si="354"/>
        <v>18310</v>
      </c>
      <c r="F2177" s="491">
        <f t="shared" si="354"/>
        <v>15380.4</v>
      </c>
      <c r="G2177" s="492">
        <v>0</v>
      </c>
      <c r="H2177" s="493">
        <f t="shared" si="355"/>
        <v>0</v>
      </c>
      <c r="I2177" s="494">
        <f>재료비목록표!E22</f>
        <v>18310</v>
      </c>
      <c r="J2177" s="495">
        <f t="shared" si="356"/>
        <v>15380.4</v>
      </c>
      <c r="K2177" s="492">
        <v>0</v>
      </c>
      <c r="L2177" s="493">
        <f t="shared" si="357"/>
        <v>0</v>
      </c>
      <c r="M2177" s="463" t="s">
        <v>3265</v>
      </c>
      <c r="N2177" s="451" t="s">
        <v>3266</v>
      </c>
      <c r="O2177" s="468" t="s">
        <v>3267</v>
      </c>
      <c r="P2177" s="468" t="s">
        <v>2354</v>
      </c>
      <c r="Z2177" s="433" t="str">
        <f ca="1">HYPERLINK("#"&amp;재료비목록표!G2&amp;"!A"&amp;ROW(재료비목록표!A22),"M01578 →")</f>
        <v>M01578 →</v>
      </c>
    </row>
    <row r="2178" spans="1:26" ht="33.200000000000003" customHeight="1">
      <c r="A2178" s="452" t="s">
        <v>2325</v>
      </c>
      <c r="B2178" s="452" t="s">
        <v>2326</v>
      </c>
      <c r="C2178" s="489">
        <v>8.6E-3</v>
      </c>
      <c r="D2178" s="480" t="s">
        <v>2132</v>
      </c>
      <c r="E2178" s="490">
        <f t="shared" si="354"/>
        <v>3316857</v>
      </c>
      <c r="F2178" s="493">
        <f t="shared" si="354"/>
        <v>28524.799999999999</v>
      </c>
      <c r="G2178" s="494">
        <f>일위대가목록표!F276</f>
        <v>3071165</v>
      </c>
      <c r="H2178" s="498">
        <f t="shared" si="355"/>
        <v>26412</v>
      </c>
      <c r="I2178" s="494">
        <f>일위대가목록표!G276</f>
        <v>92134</v>
      </c>
      <c r="J2178" s="498">
        <f t="shared" si="356"/>
        <v>792.3</v>
      </c>
      <c r="K2178" s="494">
        <f>일위대가목록표!H276</f>
        <v>153558</v>
      </c>
      <c r="L2178" s="498">
        <f t="shared" si="357"/>
        <v>1320.5</v>
      </c>
      <c r="M2178" s="463" t="s">
        <v>3268</v>
      </c>
      <c r="N2178" s="451" t="s">
        <v>3269</v>
      </c>
      <c r="O2178" s="468" t="s">
        <v>3270</v>
      </c>
      <c r="P2178" s="468" t="s">
        <v>2354</v>
      </c>
      <c r="Z2178" s="433" t="str">
        <f ca="1">HYPERLINK("#"&amp;일위대가목록표!J2&amp;"!A"&amp;ROW(일위대가목록표!A276),"B02691 →")</f>
        <v>B02691 →</v>
      </c>
    </row>
    <row r="2179" spans="1:26" ht="33.200000000000003" customHeight="1">
      <c r="A2179" s="452" t="s">
        <v>3271</v>
      </c>
      <c r="B2179" s="452" t="s">
        <v>3272</v>
      </c>
      <c r="C2179" s="489">
        <v>3.27</v>
      </c>
      <c r="D2179" s="480" t="s">
        <v>911</v>
      </c>
      <c r="E2179" s="490">
        <f t="shared" si="354"/>
        <v>5990</v>
      </c>
      <c r="F2179" s="491">
        <f t="shared" si="354"/>
        <v>19587.3</v>
      </c>
      <c r="G2179" s="492">
        <v>0</v>
      </c>
      <c r="H2179" s="493">
        <f t="shared" si="355"/>
        <v>0</v>
      </c>
      <c r="I2179" s="494">
        <f>재료비목록표!E88</f>
        <v>5990</v>
      </c>
      <c r="J2179" s="495">
        <f t="shared" si="356"/>
        <v>19587.3</v>
      </c>
      <c r="K2179" s="492">
        <v>0</v>
      </c>
      <c r="L2179" s="493">
        <f t="shared" si="357"/>
        <v>0</v>
      </c>
      <c r="M2179" s="463" t="s">
        <v>3273</v>
      </c>
      <c r="N2179" s="451" t="s">
        <v>3274</v>
      </c>
      <c r="O2179" s="468" t="s">
        <v>3275</v>
      </c>
      <c r="P2179" s="468" t="s">
        <v>2354</v>
      </c>
      <c r="Z2179" s="433" t="str">
        <f ca="1">HYPERLINK("#"&amp;재료비목록표!G2&amp;"!A"&amp;ROW(재료비목록표!A88),"M01158 →")</f>
        <v>M01158 →</v>
      </c>
    </row>
    <row r="2180" spans="1:26" ht="33.200000000000003" customHeight="1">
      <c r="A2180" s="452" t="s">
        <v>2927</v>
      </c>
      <c r="B2180" s="452" t="s">
        <v>3276</v>
      </c>
      <c r="C2180" s="489">
        <v>4.2</v>
      </c>
      <c r="D2180" s="480" t="s">
        <v>2377</v>
      </c>
      <c r="E2180" s="490">
        <f t="shared" si="354"/>
        <v>1246</v>
      </c>
      <c r="F2180" s="491">
        <f t="shared" si="354"/>
        <v>5233.2</v>
      </c>
      <c r="G2180" s="492">
        <v>0</v>
      </c>
      <c r="H2180" s="493">
        <f t="shared" si="355"/>
        <v>0</v>
      </c>
      <c r="I2180" s="494">
        <f>재료비목록표!E55</f>
        <v>1246</v>
      </c>
      <c r="J2180" s="495">
        <f t="shared" si="356"/>
        <v>5233.2</v>
      </c>
      <c r="K2180" s="492">
        <v>0</v>
      </c>
      <c r="L2180" s="493">
        <f t="shared" si="357"/>
        <v>0</v>
      </c>
      <c r="M2180" s="463" t="s">
        <v>3277</v>
      </c>
      <c r="N2180" s="451" t="s">
        <v>3278</v>
      </c>
      <c r="O2180" s="468" t="s">
        <v>3279</v>
      </c>
      <c r="P2180" s="468" t="s">
        <v>2354</v>
      </c>
      <c r="Z2180" s="433" t="str">
        <f ca="1">HYPERLINK("#"&amp;재료비목록표!G2&amp;"!A"&amp;ROW(재료비목록표!A55),"M01455 →")</f>
        <v>M01455 →</v>
      </c>
    </row>
    <row r="2181" spans="1:26" ht="33.200000000000003" customHeight="1">
      <c r="A2181" s="452" t="s">
        <v>2932</v>
      </c>
      <c r="B2181" s="452" t="s">
        <v>2933</v>
      </c>
      <c r="C2181" s="489">
        <v>4.2</v>
      </c>
      <c r="D2181" s="480" t="s">
        <v>2377</v>
      </c>
      <c r="E2181" s="490">
        <f t="shared" si="354"/>
        <v>157.30000000000001</v>
      </c>
      <c r="F2181" s="491">
        <f t="shared" si="354"/>
        <v>660.6</v>
      </c>
      <c r="G2181" s="492">
        <v>0</v>
      </c>
      <c r="H2181" s="493">
        <f t="shared" si="355"/>
        <v>0</v>
      </c>
      <c r="I2181" s="494">
        <f>재료비목록표!E26</f>
        <v>157.30000000000001</v>
      </c>
      <c r="J2181" s="495">
        <f t="shared" si="356"/>
        <v>660.6</v>
      </c>
      <c r="K2181" s="492">
        <v>0</v>
      </c>
      <c r="L2181" s="493">
        <f t="shared" si="357"/>
        <v>0</v>
      </c>
      <c r="M2181" s="463" t="s">
        <v>2934</v>
      </c>
      <c r="N2181" s="451" t="s">
        <v>2935</v>
      </c>
      <c r="O2181" s="468" t="s">
        <v>2936</v>
      </c>
      <c r="P2181" s="468" t="s">
        <v>2354</v>
      </c>
      <c r="Z2181" s="433" t="str">
        <f ca="1">HYPERLINK("#"&amp;재료비목록표!G2&amp;"!A"&amp;ROW(재료비목록표!A26),"M00958 →")</f>
        <v>M00958 →</v>
      </c>
    </row>
    <row r="2182" spans="1:26" ht="33.200000000000003" customHeight="1">
      <c r="A2182" s="452" t="s">
        <v>2937</v>
      </c>
      <c r="B2182" s="452" t="s">
        <v>2933</v>
      </c>
      <c r="C2182" s="489">
        <v>8.4</v>
      </c>
      <c r="D2182" s="480" t="s">
        <v>2377</v>
      </c>
      <c r="E2182" s="490">
        <f t="shared" si="354"/>
        <v>53.7</v>
      </c>
      <c r="F2182" s="491">
        <f t="shared" si="354"/>
        <v>451</v>
      </c>
      <c r="G2182" s="492">
        <v>0</v>
      </c>
      <c r="H2182" s="493">
        <f t="shared" si="355"/>
        <v>0</v>
      </c>
      <c r="I2182" s="494">
        <f>재료비목록표!E74</f>
        <v>53.7</v>
      </c>
      <c r="J2182" s="495">
        <f t="shared" si="356"/>
        <v>451</v>
      </c>
      <c r="K2182" s="492">
        <v>0</v>
      </c>
      <c r="L2182" s="493">
        <f t="shared" si="357"/>
        <v>0</v>
      </c>
      <c r="M2182" s="463" t="s">
        <v>2938</v>
      </c>
      <c r="N2182" s="451" t="s">
        <v>2939</v>
      </c>
      <c r="O2182" s="468" t="s">
        <v>2940</v>
      </c>
      <c r="P2182" s="468" t="s">
        <v>2354</v>
      </c>
      <c r="Z2182" s="433" t="str">
        <f ca="1">HYPERLINK("#"&amp;재료비목록표!G2&amp;"!A"&amp;ROW(재료비목록표!A74),"M00648 →")</f>
        <v>M00648 →</v>
      </c>
    </row>
    <row r="2183" spans="1:26" ht="33.200000000000003" customHeight="1">
      <c r="A2183" s="452" t="s">
        <v>2574</v>
      </c>
      <c r="B2183" s="452" t="s">
        <v>2575</v>
      </c>
      <c r="C2183" s="489">
        <v>1.2290000000000001E-3</v>
      </c>
      <c r="D2183" s="480" t="s">
        <v>2576</v>
      </c>
      <c r="E2183" s="490">
        <f t="shared" si="354"/>
        <v>765000</v>
      </c>
      <c r="F2183" s="491">
        <f t="shared" si="354"/>
        <v>940.1</v>
      </c>
      <c r="G2183" s="492">
        <v>0</v>
      </c>
      <c r="H2183" s="493">
        <f t="shared" si="355"/>
        <v>0</v>
      </c>
      <c r="I2183" s="494">
        <f>재료비목록표!E81</f>
        <v>765000</v>
      </c>
      <c r="J2183" s="495">
        <f t="shared" si="356"/>
        <v>940.1</v>
      </c>
      <c r="K2183" s="492">
        <v>0</v>
      </c>
      <c r="L2183" s="493">
        <f t="shared" si="357"/>
        <v>0</v>
      </c>
      <c r="M2183" s="463" t="s">
        <v>2577</v>
      </c>
      <c r="N2183" s="451" t="s">
        <v>2578</v>
      </c>
      <c r="O2183" s="468" t="s">
        <v>2579</v>
      </c>
      <c r="P2183" s="468" t="s">
        <v>2354</v>
      </c>
      <c r="Z2183" s="433" t="str">
        <f ca="1">HYPERLINK("#"&amp;재료비목록표!G2&amp;"!A"&amp;ROW(재료비목록표!A81),"M00150 →")</f>
        <v>M00150 →</v>
      </c>
    </row>
    <row r="2184" spans="1:26" ht="33.200000000000003" customHeight="1">
      <c r="A2184" s="452" t="s">
        <v>2580</v>
      </c>
      <c r="B2184" s="452" t="s">
        <v>2581</v>
      </c>
      <c r="C2184" s="489">
        <v>1.194E-3</v>
      </c>
      <c r="D2184" s="480" t="s">
        <v>2132</v>
      </c>
      <c r="E2184" s="490">
        <f t="shared" si="354"/>
        <v>1386016</v>
      </c>
      <c r="F2184" s="493">
        <f t="shared" si="354"/>
        <v>1654.8</v>
      </c>
      <c r="G2184" s="494">
        <f>단가산출근거목록표!F141</f>
        <v>1375031</v>
      </c>
      <c r="H2184" s="498">
        <f t="shared" si="355"/>
        <v>1641.7</v>
      </c>
      <c r="I2184" s="494">
        <f>단가산출근거목록표!G141</f>
        <v>10985</v>
      </c>
      <c r="J2184" s="498">
        <f t="shared" si="356"/>
        <v>13.1</v>
      </c>
      <c r="K2184" s="494">
        <f>단가산출근거목록표!H141</f>
        <v>0</v>
      </c>
      <c r="L2184" s="498">
        <f t="shared" si="357"/>
        <v>0</v>
      </c>
      <c r="M2184" s="463" t="s">
        <v>2582</v>
      </c>
      <c r="N2184" s="451" t="s">
        <v>2583</v>
      </c>
      <c r="O2184" s="468" t="s">
        <v>2584</v>
      </c>
      <c r="P2184" s="468" t="s">
        <v>2354</v>
      </c>
      <c r="Z2184" s="433" t="str">
        <f ca="1">HYPERLINK("#"&amp;단가산출근거목록표!J2&amp;"!A"&amp;ROW(단가산출근거목록표!A141),"D00950 →")</f>
        <v>D00950 →</v>
      </c>
    </row>
    <row r="2185" spans="1:26" ht="33.200000000000003" customHeight="1">
      <c r="A2185" s="463" t="s">
        <v>842</v>
      </c>
      <c r="B2185" s="497"/>
      <c r="C2185" s="497"/>
      <c r="D2185" s="497"/>
      <c r="E2185" s="497"/>
      <c r="F2185" s="446">
        <f>J2185+H2185+L2185</f>
        <v>953391</v>
      </c>
      <c r="G2185" s="497"/>
      <c r="H2185" s="446">
        <f>ROUNDDOWN(SUMIF(P2169:P2184,O2185,H2169:H2184),0)</f>
        <v>410491</v>
      </c>
      <c r="I2185" s="497"/>
      <c r="J2185" s="446">
        <f>ROUNDDOWN(SUMIF(P2169:P2184,O2185,J2169:J2184),0)</f>
        <v>539718</v>
      </c>
      <c r="K2185" s="497"/>
      <c r="L2185" s="446">
        <f>ROUNDDOWN(SUMIF(P2169:P2184,O2185,L2169:L2184),0)</f>
        <v>3182</v>
      </c>
      <c r="M2185" s="497"/>
      <c r="O2185" s="468" t="s">
        <v>2354</v>
      </c>
    </row>
    <row r="2186" spans="1:26" ht="33.200000000000003" customHeight="1">
      <c r="A2186" s="484" t="s">
        <v>5536</v>
      </c>
      <c r="B2186" s="484"/>
      <c r="C2186" s="485"/>
      <c r="D2186" s="485"/>
      <c r="E2186" s="485"/>
      <c r="F2186" s="485"/>
      <c r="G2186" s="485"/>
      <c r="H2186" s="485"/>
      <c r="I2186" s="485"/>
      <c r="J2186" s="485"/>
      <c r="K2186" s="485"/>
      <c r="L2186" s="485"/>
      <c r="M2186" s="485"/>
      <c r="N2186" s="486" t="str">
        <f>HYPERLINK("#N"&amp;ROW(N2203),"_x0005_`BDCOD|B02727_x0007_`POSS|"&amp;ROW(N2188)&amp;"_x0007_`POSE|"&amp;ROW(N2203)&amp;"_x0007_`")</f>
        <v>_x0005_`BDCOD|B02727_x0007_`POSS|2188_x0007_`POSE|2203_x0007_`</v>
      </c>
    </row>
    <row r="2187" spans="1:26" ht="33.200000000000003" customHeight="1">
      <c r="A2187" s="469" t="s">
        <v>1171</v>
      </c>
      <c r="B2187" s="469" t="s">
        <v>1167</v>
      </c>
      <c r="C2187" s="487"/>
      <c r="D2187" s="488" t="s">
        <v>966</v>
      </c>
      <c r="E2187" s="487"/>
      <c r="F2187" s="487"/>
      <c r="G2187" s="487"/>
      <c r="H2187" s="487"/>
      <c r="I2187" s="487"/>
      <c r="J2187" s="487"/>
      <c r="K2187" s="487"/>
      <c r="L2187" s="487"/>
      <c r="M2187" s="488" t="s">
        <v>1178</v>
      </c>
      <c r="O2187" s="468" t="s">
        <v>1178</v>
      </c>
    </row>
    <row r="2188" spans="1:26" ht="33.200000000000003" customHeight="1">
      <c r="A2188" s="452" t="s">
        <v>2484</v>
      </c>
      <c r="B2188" s="452" t="s">
        <v>2485</v>
      </c>
      <c r="C2188" s="489">
        <v>0.47199999999999998</v>
      </c>
      <c r="D2188" s="480" t="s">
        <v>8</v>
      </c>
      <c r="E2188" s="490">
        <f t="shared" ref="E2188:F2203" si="358">I2188+G2188+K2188</f>
        <v>62811</v>
      </c>
      <c r="F2188" s="493">
        <f t="shared" si="358"/>
        <v>29646.7</v>
      </c>
      <c r="G2188" s="494">
        <f>단가산출근거목록표!F157</f>
        <v>62811</v>
      </c>
      <c r="H2188" s="498">
        <f t="shared" ref="H2188:H2203" si="359">IF(C2188=0,0,ROUNDDOWN(G2188*C2188,1))</f>
        <v>29646.7</v>
      </c>
      <c r="I2188" s="494">
        <f>단가산출근거목록표!G157</f>
        <v>0</v>
      </c>
      <c r="J2188" s="498">
        <f t="shared" ref="J2188:J2203" si="360">IF(C2188=0,0,ROUNDDOWN(I2188*C2188,1))</f>
        <v>0</v>
      </c>
      <c r="K2188" s="494">
        <f>단가산출근거목록표!H157</f>
        <v>0</v>
      </c>
      <c r="L2188" s="498">
        <f t="shared" ref="L2188:L2203" si="361">IF(C2188=0,0,ROUNDDOWN(K2188*C2188,1))</f>
        <v>0</v>
      </c>
      <c r="M2188" s="463" t="s">
        <v>2486</v>
      </c>
      <c r="N2188" s="451" t="s">
        <v>2487</v>
      </c>
      <c r="O2188" s="468" t="s">
        <v>2488</v>
      </c>
      <c r="P2188" s="468" t="s">
        <v>2354</v>
      </c>
      <c r="Q2188" s="468" t="s">
        <v>2355</v>
      </c>
      <c r="Z2188" s="433" t="str">
        <f ca="1">HYPERLINK("#"&amp;단가산출근거목록표!J2&amp;"!A"&amp;ROW(단가산출근거목록표!A157),"D01241 →")</f>
        <v>D01241 →</v>
      </c>
    </row>
    <row r="2189" spans="1:26" ht="33.200000000000003" customHeight="1">
      <c r="A2189" s="452" t="s">
        <v>2321</v>
      </c>
      <c r="B2189" s="452" t="s">
        <v>2322</v>
      </c>
      <c r="C2189" s="489">
        <v>0.13100000000000001</v>
      </c>
      <c r="D2189" s="480" t="s">
        <v>8</v>
      </c>
      <c r="E2189" s="490">
        <f t="shared" si="358"/>
        <v>34413</v>
      </c>
      <c r="F2189" s="493">
        <f t="shared" si="358"/>
        <v>4508.1000000000004</v>
      </c>
      <c r="G2189" s="494">
        <f>일위대가목록표!F275</f>
        <v>34413</v>
      </c>
      <c r="H2189" s="498">
        <f t="shared" si="359"/>
        <v>4508.1000000000004</v>
      </c>
      <c r="I2189" s="494">
        <f>일위대가목록표!G275</f>
        <v>0</v>
      </c>
      <c r="J2189" s="498">
        <f t="shared" si="360"/>
        <v>0</v>
      </c>
      <c r="K2189" s="494">
        <f>일위대가목록표!H275</f>
        <v>0</v>
      </c>
      <c r="L2189" s="498">
        <f t="shared" si="361"/>
        <v>0</v>
      </c>
      <c r="M2189" s="463" t="s">
        <v>2489</v>
      </c>
      <c r="N2189" s="451" t="s">
        <v>2490</v>
      </c>
      <c r="O2189" s="468" t="s">
        <v>2491</v>
      </c>
      <c r="P2189" s="468" t="s">
        <v>2354</v>
      </c>
      <c r="Q2189" s="468" t="s">
        <v>2355</v>
      </c>
      <c r="Z2189" s="433" t="str">
        <f ca="1">HYPERLINK("#"&amp;일위대가목록표!J2&amp;"!A"&amp;ROW(일위대가목록표!A275),"B01414 →")</f>
        <v>B01414 →</v>
      </c>
    </row>
    <row r="2190" spans="1:26" ht="33.200000000000003" customHeight="1">
      <c r="A2190" s="452" t="s">
        <v>2298</v>
      </c>
      <c r="B2190" s="452" t="s">
        <v>2299</v>
      </c>
      <c r="C2190" s="489">
        <v>0.34100000000000003</v>
      </c>
      <c r="D2190" s="480" t="s">
        <v>8</v>
      </c>
      <c r="E2190" s="490">
        <f t="shared" si="358"/>
        <v>24089</v>
      </c>
      <c r="F2190" s="493">
        <f t="shared" si="358"/>
        <v>8214.2999999999993</v>
      </c>
      <c r="G2190" s="494">
        <f>일위대가목록표!F37</f>
        <v>24089</v>
      </c>
      <c r="H2190" s="498">
        <f t="shared" si="359"/>
        <v>8214.2999999999993</v>
      </c>
      <c r="I2190" s="494">
        <f>일위대가목록표!G37</f>
        <v>0</v>
      </c>
      <c r="J2190" s="498">
        <f t="shared" si="360"/>
        <v>0</v>
      </c>
      <c r="K2190" s="494">
        <f>일위대가목록표!H37</f>
        <v>0</v>
      </c>
      <c r="L2190" s="498">
        <f t="shared" si="361"/>
        <v>0</v>
      </c>
      <c r="M2190" s="463" t="s">
        <v>2492</v>
      </c>
      <c r="N2190" s="451" t="s">
        <v>2493</v>
      </c>
      <c r="O2190" s="468" t="s">
        <v>2494</v>
      </c>
      <c r="P2190" s="468" t="s">
        <v>2354</v>
      </c>
      <c r="Q2190" s="468" t="s">
        <v>2355</v>
      </c>
      <c r="Z2190" s="433" t="str">
        <f ca="1">HYPERLINK("#"&amp;일위대가목록표!J2&amp;"!A"&amp;ROW(일위대가목록표!A37),"B01447 →")</f>
        <v>B01447 →</v>
      </c>
    </row>
    <row r="2191" spans="1:26" ht="33.200000000000003" customHeight="1">
      <c r="A2191" s="452" t="s">
        <v>2342</v>
      </c>
      <c r="B2191" s="452" t="s">
        <v>2343</v>
      </c>
      <c r="C2191" s="489">
        <v>0.11899999999999999</v>
      </c>
      <c r="D2191" s="480" t="s">
        <v>8</v>
      </c>
      <c r="E2191" s="490">
        <f t="shared" si="358"/>
        <v>477254</v>
      </c>
      <c r="F2191" s="493">
        <f t="shared" si="358"/>
        <v>56793.100000000006</v>
      </c>
      <c r="G2191" s="494">
        <f>일위대가목록표!F330</f>
        <v>373604</v>
      </c>
      <c r="H2191" s="498">
        <f t="shared" si="359"/>
        <v>44458.8</v>
      </c>
      <c r="I2191" s="494">
        <f>일위대가목록표!G330</f>
        <v>103650</v>
      </c>
      <c r="J2191" s="498">
        <f t="shared" si="360"/>
        <v>12334.3</v>
      </c>
      <c r="K2191" s="494">
        <f>일위대가목록표!H330</f>
        <v>0</v>
      </c>
      <c r="L2191" s="498">
        <f t="shared" si="361"/>
        <v>0</v>
      </c>
      <c r="M2191" s="463" t="s">
        <v>2500</v>
      </c>
      <c r="N2191" s="451" t="s">
        <v>2501</v>
      </c>
      <c r="O2191" s="468" t="s">
        <v>2502</v>
      </c>
      <c r="P2191" s="468" t="s">
        <v>2354</v>
      </c>
      <c r="Q2191" s="468" t="s">
        <v>2355</v>
      </c>
      <c r="Z2191" s="433" t="str">
        <f ca="1">HYPERLINK("#"&amp;일위대가목록표!J2&amp;"!A"&amp;ROW(일위대가목록표!A330),"B01936 →")</f>
        <v>B01936 →</v>
      </c>
    </row>
    <row r="2192" spans="1:26" ht="33.200000000000003" customHeight="1">
      <c r="A2192" s="452" t="s">
        <v>2495</v>
      </c>
      <c r="B2192" s="452" t="s">
        <v>2496</v>
      </c>
      <c r="C2192" s="489">
        <v>1.28</v>
      </c>
      <c r="D2192" s="480" t="s">
        <v>595</v>
      </c>
      <c r="E2192" s="490">
        <f t="shared" si="358"/>
        <v>46533</v>
      </c>
      <c r="F2192" s="493">
        <f t="shared" si="358"/>
        <v>59562.100000000006</v>
      </c>
      <c r="G2192" s="494">
        <f>단가산출근거목록표!F169</f>
        <v>34461</v>
      </c>
      <c r="H2192" s="498">
        <f t="shared" si="359"/>
        <v>44110</v>
      </c>
      <c r="I2192" s="494">
        <f>단가산출근거목록표!G169</f>
        <v>11728</v>
      </c>
      <c r="J2192" s="498">
        <f t="shared" si="360"/>
        <v>15011.8</v>
      </c>
      <c r="K2192" s="494">
        <f>단가산출근거목록표!H169</f>
        <v>344</v>
      </c>
      <c r="L2192" s="498">
        <f t="shared" si="361"/>
        <v>440.3</v>
      </c>
      <c r="M2192" s="463" t="s">
        <v>2497</v>
      </c>
      <c r="N2192" s="451" t="s">
        <v>2498</v>
      </c>
      <c r="O2192" s="468" t="s">
        <v>2499</v>
      </c>
      <c r="P2192" s="468" t="s">
        <v>2354</v>
      </c>
      <c r="Q2192" s="468" t="s">
        <v>2355</v>
      </c>
      <c r="Z2192" s="433" t="str">
        <f ca="1">HYPERLINK("#"&amp;단가산출근거목록표!J2&amp;"!A"&amp;ROW(단가산출근거목록표!A169),"D01231 →")</f>
        <v>D01231 →</v>
      </c>
    </row>
    <row r="2193" spans="1:26" ht="33.200000000000003" customHeight="1">
      <c r="A2193" s="452" t="s">
        <v>2922</v>
      </c>
      <c r="B2193" s="452" t="s">
        <v>2923</v>
      </c>
      <c r="C2193" s="489">
        <v>85.46</v>
      </c>
      <c r="D2193" s="480" t="s">
        <v>605</v>
      </c>
      <c r="E2193" s="490">
        <f t="shared" si="358"/>
        <v>7400</v>
      </c>
      <c r="F2193" s="491">
        <f t="shared" si="358"/>
        <v>632404</v>
      </c>
      <c r="G2193" s="492">
        <v>0</v>
      </c>
      <c r="H2193" s="493">
        <f t="shared" si="359"/>
        <v>0</v>
      </c>
      <c r="I2193" s="494">
        <f>재료비목록표!E76</f>
        <v>7400</v>
      </c>
      <c r="J2193" s="495">
        <f t="shared" si="360"/>
        <v>632404</v>
      </c>
      <c r="K2193" s="492">
        <v>0</v>
      </c>
      <c r="L2193" s="493">
        <f t="shared" si="361"/>
        <v>0</v>
      </c>
      <c r="M2193" s="463" t="s">
        <v>2924</v>
      </c>
      <c r="N2193" s="451" t="s">
        <v>2925</v>
      </c>
      <c r="O2193" s="468" t="s">
        <v>2926</v>
      </c>
      <c r="P2193" s="468" t="s">
        <v>2354</v>
      </c>
      <c r="Z2193" s="433" t="str">
        <f ca="1">HYPERLINK("#"&amp;재료비목록표!G2&amp;"!A"&amp;ROW(재료비목록표!A76),"M00960 →")</f>
        <v>M00960 →</v>
      </c>
    </row>
    <row r="2194" spans="1:26" ht="33.200000000000003" customHeight="1">
      <c r="A2194" s="452" t="s">
        <v>1461</v>
      </c>
      <c r="B2194" s="452" t="s">
        <v>1462</v>
      </c>
      <c r="C2194" s="489">
        <v>0.27100000000000002</v>
      </c>
      <c r="D2194" s="480" t="s">
        <v>8</v>
      </c>
      <c r="E2194" s="490">
        <f t="shared" si="358"/>
        <v>915052</v>
      </c>
      <c r="F2194" s="493">
        <f t="shared" si="358"/>
        <v>247979</v>
      </c>
      <c r="G2194" s="494">
        <f>일위대가목록표!F72</f>
        <v>915052</v>
      </c>
      <c r="H2194" s="498">
        <f t="shared" si="359"/>
        <v>247979</v>
      </c>
      <c r="I2194" s="494">
        <f>일위대가목록표!G72</f>
        <v>0</v>
      </c>
      <c r="J2194" s="498">
        <f t="shared" si="360"/>
        <v>0</v>
      </c>
      <c r="K2194" s="494">
        <f>일위대가목록표!H72</f>
        <v>0</v>
      </c>
      <c r="L2194" s="498">
        <f t="shared" si="361"/>
        <v>0</v>
      </c>
      <c r="M2194" s="463" t="s">
        <v>2471</v>
      </c>
      <c r="N2194" s="451" t="s">
        <v>2472</v>
      </c>
      <c r="O2194" s="468" t="s">
        <v>1465</v>
      </c>
      <c r="P2194" s="468" t="s">
        <v>2354</v>
      </c>
      <c r="Q2194" s="468" t="s">
        <v>2355</v>
      </c>
      <c r="Z2194" s="433" t="str">
        <f ca="1">HYPERLINK("#"&amp;일위대가목록표!J2&amp;"!A"&amp;ROW(일위대가목록표!A72),"B01822 →")</f>
        <v>B01822 →</v>
      </c>
    </row>
    <row r="2195" spans="1:26" ht="33.200000000000003" customHeight="1">
      <c r="A2195" s="452" t="s">
        <v>1532</v>
      </c>
      <c r="B2195" s="452" t="s">
        <v>1537</v>
      </c>
      <c r="C2195" s="489">
        <v>8.8960000000000008</v>
      </c>
      <c r="D2195" s="480" t="s">
        <v>595</v>
      </c>
      <c r="E2195" s="490">
        <f t="shared" si="358"/>
        <v>12642</v>
      </c>
      <c r="F2195" s="493">
        <f t="shared" si="358"/>
        <v>112463.1</v>
      </c>
      <c r="G2195" s="494">
        <f>일위대가목록표!F224</f>
        <v>11027</v>
      </c>
      <c r="H2195" s="498">
        <f t="shared" si="359"/>
        <v>98096.1</v>
      </c>
      <c r="I2195" s="494">
        <f>일위대가목록표!G224</f>
        <v>1395</v>
      </c>
      <c r="J2195" s="498">
        <f t="shared" si="360"/>
        <v>12409.9</v>
      </c>
      <c r="K2195" s="494">
        <f>일위대가목록표!H224</f>
        <v>220</v>
      </c>
      <c r="L2195" s="498">
        <f t="shared" si="361"/>
        <v>1957.1</v>
      </c>
      <c r="M2195" s="463" t="s">
        <v>2473</v>
      </c>
      <c r="N2195" s="451" t="s">
        <v>2674</v>
      </c>
      <c r="O2195" s="468" t="s">
        <v>1540</v>
      </c>
      <c r="P2195" s="468" t="s">
        <v>2354</v>
      </c>
      <c r="Z2195" s="433" t="str">
        <f ca="1">HYPERLINK("#"&amp;일위대가목록표!J2&amp;"!A"&amp;ROW(일위대가목록표!A224),"B01814 →")</f>
        <v>B01814 →</v>
      </c>
    </row>
    <row r="2196" spans="1:26" ht="33.200000000000003" customHeight="1">
      <c r="A2196" s="452" t="s">
        <v>2911</v>
      </c>
      <c r="B2196" s="452" t="s">
        <v>3264</v>
      </c>
      <c r="C2196" s="489">
        <v>0.84</v>
      </c>
      <c r="D2196" s="480" t="s">
        <v>911</v>
      </c>
      <c r="E2196" s="490">
        <f t="shared" si="358"/>
        <v>18310</v>
      </c>
      <c r="F2196" s="491">
        <f t="shared" si="358"/>
        <v>15380.4</v>
      </c>
      <c r="G2196" s="492">
        <v>0</v>
      </c>
      <c r="H2196" s="493">
        <f t="shared" si="359"/>
        <v>0</v>
      </c>
      <c r="I2196" s="494">
        <f>재료비목록표!E22</f>
        <v>18310</v>
      </c>
      <c r="J2196" s="495">
        <f t="shared" si="360"/>
        <v>15380.4</v>
      </c>
      <c r="K2196" s="492">
        <v>0</v>
      </c>
      <c r="L2196" s="493">
        <f t="shared" si="361"/>
        <v>0</v>
      </c>
      <c r="M2196" s="463" t="s">
        <v>3265</v>
      </c>
      <c r="N2196" s="451" t="s">
        <v>3266</v>
      </c>
      <c r="O2196" s="468" t="s">
        <v>3267</v>
      </c>
      <c r="P2196" s="468" t="s">
        <v>2354</v>
      </c>
      <c r="Z2196" s="433" t="str">
        <f ca="1">HYPERLINK("#"&amp;재료비목록표!G2&amp;"!A"&amp;ROW(재료비목록표!A22),"M01578 →")</f>
        <v>M01578 →</v>
      </c>
    </row>
    <row r="2197" spans="1:26" ht="33.200000000000003" customHeight="1">
      <c r="A2197" s="452" t="s">
        <v>2325</v>
      </c>
      <c r="B2197" s="452" t="s">
        <v>2326</v>
      </c>
      <c r="C2197" s="489">
        <v>8.6E-3</v>
      </c>
      <c r="D2197" s="480" t="s">
        <v>2132</v>
      </c>
      <c r="E2197" s="490">
        <f t="shared" si="358"/>
        <v>3316857</v>
      </c>
      <c r="F2197" s="493">
        <f t="shared" si="358"/>
        <v>28524.799999999999</v>
      </c>
      <c r="G2197" s="494">
        <f>일위대가목록표!F276</f>
        <v>3071165</v>
      </c>
      <c r="H2197" s="498">
        <f t="shared" si="359"/>
        <v>26412</v>
      </c>
      <c r="I2197" s="494">
        <f>일위대가목록표!G276</f>
        <v>92134</v>
      </c>
      <c r="J2197" s="498">
        <f t="shared" si="360"/>
        <v>792.3</v>
      </c>
      <c r="K2197" s="494">
        <f>일위대가목록표!H276</f>
        <v>153558</v>
      </c>
      <c r="L2197" s="498">
        <f t="shared" si="361"/>
        <v>1320.5</v>
      </c>
      <c r="M2197" s="463" t="s">
        <v>3268</v>
      </c>
      <c r="N2197" s="451" t="s">
        <v>3269</v>
      </c>
      <c r="O2197" s="468" t="s">
        <v>3270</v>
      </c>
      <c r="P2197" s="468" t="s">
        <v>2354</v>
      </c>
      <c r="Z2197" s="433" t="str">
        <f ca="1">HYPERLINK("#"&amp;일위대가목록표!J2&amp;"!A"&amp;ROW(일위대가목록표!A276),"B02691 →")</f>
        <v>B02691 →</v>
      </c>
    </row>
    <row r="2198" spans="1:26" ht="33.200000000000003" customHeight="1">
      <c r="A2198" s="452" t="s">
        <v>3271</v>
      </c>
      <c r="B2198" s="452" t="s">
        <v>3272</v>
      </c>
      <c r="C2198" s="489">
        <v>4.57</v>
      </c>
      <c r="D2198" s="480" t="s">
        <v>911</v>
      </c>
      <c r="E2198" s="490">
        <f t="shared" si="358"/>
        <v>5990</v>
      </c>
      <c r="F2198" s="491">
        <f t="shared" si="358"/>
        <v>27374.3</v>
      </c>
      <c r="G2198" s="492">
        <v>0</v>
      </c>
      <c r="H2198" s="493">
        <f t="shared" si="359"/>
        <v>0</v>
      </c>
      <c r="I2198" s="494">
        <f>재료비목록표!E88</f>
        <v>5990</v>
      </c>
      <c r="J2198" s="495">
        <f t="shared" si="360"/>
        <v>27374.3</v>
      </c>
      <c r="K2198" s="492">
        <v>0</v>
      </c>
      <c r="L2198" s="493">
        <f t="shared" si="361"/>
        <v>0</v>
      </c>
      <c r="M2198" s="463" t="s">
        <v>3273</v>
      </c>
      <c r="N2198" s="451" t="s">
        <v>3274</v>
      </c>
      <c r="O2198" s="468" t="s">
        <v>3275</v>
      </c>
      <c r="P2198" s="468" t="s">
        <v>2354</v>
      </c>
      <c r="Z2198" s="433" t="str">
        <f ca="1">HYPERLINK("#"&amp;재료비목록표!G2&amp;"!A"&amp;ROW(재료비목록표!A88),"M01158 →")</f>
        <v>M01158 →</v>
      </c>
    </row>
    <row r="2199" spans="1:26" ht="33.200000000000003" customHeight="1">
      <c r="A2199" s="452" t="s">
        <v>2927</v>
      </c>
      <c r="B2199" s="452" t="s">
        <v>3276</v>
      </c>
      <c r="C2199" s="489">
        <v>4.2</v>
      </c>
      <c r="D2199" s="480" t="s">
        <v>2377</v>
      </c>
      <c r="E2199" s="490">
        <f t="shared" si="358"/>
        <v>1246</v>
      </c>
      <c r="F2199" s="491">
        <f t="shared" si="358"/>
        <v>5233.2</v>
      </c>
      <c r="G2199" s="492">
        <v>0</v>
      </c>
      <c r="H2199" s="493">
        <f t="shared" si="359"/>
        <v>0</v>
      </c>
      <c r="I2199" s="494">
        <f>재료비목록표!E55</f>
        <v>1246</v>
      </c>
      <c r="J2199" s="495">
        <f t="shared" si="360"/>
        <v>5233.2</v>
      </c>
      <c r="K2199" s="492">
        <v>0</v>
      </c>
      <c r="L2199" s="493">
        <f t="shared" si="361"/>
        <v>0</v>
      </c>
      <c r="M2199" s="463" t="s">
        <v>3277</v>
      </c>
      <c r="N2199" s="451" t="s">
        <v>3278</v>
      </c>
      <c r="O2199" s="468" t="s">
        <v>3279</v>
      </c>
      <c r="P2199" s="468" t="s">
        <v>2354</v>
      </c>
      <c r="Z2199" s="433" t="str">
        <f ca="1">HYPERLINK("#"&amp;재료비목록표!G2&amp;"!A"&amp;ROW(재료비목록표!A55),"M01455 →")</f>
        <v>M01455 →</v>
      </c>
    </row>
    <row r="2200" spans="1:26" ht="33.200000000000003" customHeight="1">
      <c r="A2200" s="452" t="s">
        <v>2932</v>
      </c>
      <c r="B2200" s="452" t="s">
        <v>2933</v>
      </c>
      <c r="C2200" s="489">
        <v>4.2</v>
      </c>
      <c r="D2200" s="480" t="s">
        <v>2377</v>
      </c>
      <c r="E2200" s="490">
        <f t="shared" si="358"/>
        <v>157.30000000000001</v>
      </c>
      <c r="F2200" s="491">
        <f t="shared" si="358"/>
        <v>660.6</v>
      </c>
      <c r="G2200" s="492">
        <v>0</v>
      </c>
      <c r="H2200" s="493">
        <f t="shared" si="359"/>
        <v>0</v>
      </c>
      <c r="I2200" s="494">
        <f>재료비목록표!E26</f>
        <v>157.30000000000001</v>
      </c>
      <c r="J2200" s="495">
        <f t="shared" si="360"/>
        <v>660.6</v>
      </c>
      <c r="K2200" s="492">
        <v>0</v>
      </c>
      <c r="L2200" s="493">
        <f t="shared" si="361"/>
        <v>0</v>
      </c>
      <c r="M2200" s="463" t="s">
        <v>2934</v>
      </c>
      <c r="N2200" s="451" t="s">
        <v>2935</v>
      </c>
      <c r="O2200" s="468" t="s">
        <v>2936</v>
      </c>
      <c r="P2200" s="468" t="s">
        <v>2354</v>
      </c>
      <c r="Z2200" s="433" t="str">
        <f ca="1">HYPERLINK("#"&amp;재료비목록표!G2&amp;"!A"&amp;ROW(재료비목록표!A26),"M00958 →")</f>
        <v>M00958 →</v>
      </c>
    </row>
    <row r="2201" spans="1:26" ht="33.200000000000003" customHeight="1">
      <c r="A2201" s="452" t="s">
        <v>2937</v>
      </c>
      <c r="B2201" s="452" t="s">
        <v>2933</v>
      </c>
      <c r="C2201" s="489">
        <v>8.4</v>
      </c>
      <c r="D2201" s="480" t="s">
        <v>2377</v>
      </c>
      <c r="E2201" s="490">
        <f t="shared" si="358"/>
        <v>53.7</v>
      </c>
      <c r="F2201" s="491">
        <f t="shared" si="358"/>
        <v>451</v>
      </c>
      <c r="G2201" s="492">
        <v>0</v>
      </c>
      <c r="H2201" s="493">
        <f t="shared" si="359"/>
        <v>0</v>
      </c>
      <c r="I2201" s="494">
        <f>재료비목록표!E74</f>
        <v>53.7</v>
      </c>
      <c r="J2201" s="495">
        <f t="shared" si="360"/>
        <v>451</v>
      </c>
      <c r="K2201" s="492">
        <v>0</v>
      </c>
      <c r="L2201" s="493">
        <f t="shared" si="361"/>
        <v>0</v>
      </c>
      <c r="M2201" s="463" t="s">
        <v>2938</v>
      </c>
      <c r="N2201" s="451" t="s">
        <v>2939</v>
      </c>
      <c r="O2201" s="468" t="s">
        <v>2940</v>
      </c>
      <c r="P2201" s="468" t="s">
        <v>2354</v>
      </c>
      <c r="Z2201" s="433" t="str">
        <f ca="1">HYPERLINK("#"&amp;재료비목록표!G2&amp;"!A"&amp;ROW(재료비목록표!A74),"M00648 →")</f>
        <v>M00648 →</v>
      </c>
    </row>
    <row r="2202" spans="1:26" ht="33.200000000000003" customHeight="1">
      <c r="A2202" s="452" t="s">
        <v>2574</v>
      </c>
      <c r="B2202" s="452" t="s">
        <v>2575</v>
      </c>
      <c r="C2202" s="489">
        <v>1.2290000000000001E-3</v>
      </c>
      <c r="D2202" s="480" t="s">
        <v>2576</v>
      </c>
      <c r="E2202" s="490">
        <f t="shared" si="358"/>
        <v>765000</v>
      </c>
      <c r="F2202" s="491">
        <f t="shared" si="358"/>
        <v>940.1</v>
      </c>
      <c r="G2202" s="492">
        <v>0</v>
      </c>
      <c r="H2202" s="493">
        <f t="shared" si="359"/>
        <v>0</v>
      </c>
      <c r="I2202" s="494">
        <f>재료비목록표!E81</f>
        <v>765000</v>
      </c>
      <c r="J2202" s="495">
        <f t="shared" si="360"/>
        <v>940.1</v>
      </c>
      <c r="K2202" s="492">
        <v>0</v>
      </c>
      <c r="L2202" s="493">
        <f t="shared" si="361"/>
        <v>0</v>
      </c>
      <c r="M2202" s="463" t="s">
        <v>2577</v>
      </c>
      <c r="N2202" s="451" t="s">
        <v>2578</v>
      </c>
      <c r="O2202" s="468" t="s">
        <v>2579</v>
      </c>
      <c r="P2202" s="468" t="s">
        <v>2354</v>
      </c>
      <c r="Z2202" s="433" t="str">
        <f ca="1">HYPERLINK("#"&amp;재료비목록표!G2&amp;"!A"&amp;ROW(재료비목록표!A81),"M00150 →")</f>
        <v>M00150 →</v>
      </c>
    </row>
    <row r="2203" spans="1:26" ht="33.200000000000003" customHeight="1">
      <c r="A2203" s="452" t="s">
        <v>2580</v>
      </c>
      <c r="B2203" s="452" t="s">
        <v>2581</v>
      </c>
      <c r="C2203" s="489">
        <v>1.194E-3</v>
      </c>
      <c r="D2203" s="480" t="s">
        <v>2132</v>
      </c>
      <c r="E2203" s="490">
        <f t="shared" si="358"/>
        <v>1386016</v>
      </c>
      <c r="F2203" s="493">
        <f t="shared" si="358"/>
        <v>1654.8</v>
      </c>
      <c r="G2203" s="494">
        <f>단가산출근거목록표!F141</f>
        <v>1375031</v>
      </c>
      <c r="H2203" s="498">
        <f t="shared" si="359"/>
        <v>1641.7</v>
      </c>
      <c r="I2203" s="494">
        <f>단가산출근거목록표!G141</f>
        <v>10985</v>
      </c>
      <c r="J2203" s="498">
        <f t="shared" si="360"/>
        <v>13.1</v>
      </c>
      <c r="K2203" s="494">
        <f>단가산출근거목록표!H141</f>
        <v>0</v>
      </c>
      <c r="L2203" s="498">
        <f t="shared" si="361"/>
        <v>0</v>
      </c>
      <c r="M2203" s="463" t="s">
        <v>2582</v>
      </c>
      <c r="N2203" s="451" t="s">
        <v>2583</v>
      </c>
      <c r="O2203" s="468" t="s">
        <v>2584</v>
      </c>
      <c r="P2203" s="468" t="s">
        <v>2354</v>
      </c>
      <c r="Z2203" s="433" t="str">
        <f ca="1">HYPERLINK("#"&amp;단가산출근거목록표!J2&amp;"!A"&amp;ROW(단가산출근거목록표!A141),"D00950 →")</f>
        <v>D00950 →</v>
      </c>
    </row>
    <row r="2204" spans="1:26" ht="33.200000000000003" customHeight="1">
      <c r="A2204" s="463" t="s">
        <v>842</v>
      </c>
      <c r="B2204" s="497"/>
      <c r="C2204" s="497"/>
      <c r="D2204" s="497"/>
      <c r="E2204" s="497"/>
      <c r="F2204" s="446">
        <f>J2204+H2204+L2204</f>
        <v>1231788</v>
      </c>
      <c r="G2204" s="497"/>
      <c r="H2204" s="446">
        <f>ROUNDDOWN(SUMIF(P2188:P2203,O2204,H2188:H2203),0)</f>
        <v>505066</v>
      </c>
      <c r="I2204" s="497"/>
      <c r="J2204" s="446">
        <f>ROUNDDOWN(SUMIF(P2188:P2203,O2204,J2188:J2203),0)</f>
        <v>723005</v>
      </c>
      <c r="K2204" s="497"/>
      <c r="L2204" s="446">
        <f>ROUNDDOWN(SUMIF(P2188:P2203,O2204,L2188:L2203),0)</f>
        <v>3717</v>
      </c>
      <c r="M2204" s="497"/>
      <c r="O2204" s="468" t="s">
        <v>2354</v>
      </c>
    </row>
    <row r="2205" spans="1:26" ht="33.200000000000003" customHeight="1">
      <c r="A2205" s="484" t="s">
        <v>5537</v>
      </c>
      <c r="B2205" s="484"/>
      <c r="C2205" s="485"/>
      <c r="D2205" s="485"/>
      <c r="E2205" s="485"/>
      <c r="F2205" s="485"/>
      <c r="G2205" s="485"/>
      <c r="H2205" s="485"/>
      <c r="I2205" s="485"/>
      <c r="J2205" s="485"/>
      <c r="K2205" s="485"/>
      <c r="L2205" s="485"/>
      <c r="M2205" s="485"/>
      <c r="N2205" s="486" t="str">
        <f>HYPERLINK("#N"&amp;ROW(N2223),"_x0005_`BDCOD|B02857_x0007_`POSS|"&amp;ROW(N2207)&amp;"_x0007_`POSE|"&amp;ROW(N2223)&amp;"_x0007_`")</f>
        <v>_x0005_`BDCOD|B02857_x0007_`POSS|2207_x0007_`POSE|2223_x0007_`</v>
      </c>
    </row>
    <row r="2206" spans="1:26" ht="33.200000000000003" customHeight="1">
      <c r="A2206" s="469" t="s">
        <v>5163</v>
      </c>
      <c r="B2206" s="469" t="s">
        <v>1159</v>
      </c>
      <c r="C2206" s="487"/>
      <c r="D2206" s="488" t="s">
        <v>966</v>
      </c>
      <c r="E2206" s="487"/>
      <c r="F2206" s="487"/>
      <c r="G2206" s="487"/>
      <c r="H2206" s="487"/>
      <c r="I2206" s="487"/>
      <c r="J2206" s="487"/>
      <c r="K2206" s="487"/>
      <c r="L2206" s="487"/>
      <c r="M2206" s="488" t="s">
        <v>5164</v>
      </c>
      <c r="O2206" s="468" t="s">
        <v>5164</v>
      </c>
    </row>
    <row r="2207" spans="1:26" ht="33.200000000000003" customHeight="1">
      <c r="A2207" s="452" t="s">
        <v>2484</v>
      </c>
      <c r="B2207" s="452" t="s">
        <v>2485</v>
      </c>
      <c r="C2207" s="489">
        <v>0.44600000000000001</v>
      </c>
      <c r="D2207" s="480" t="s">
        <v>8</v>
      </c>
      <c r="E2207" s="490">
        <f t="shared" ref="E2207:F2223" si="362">I2207+G2207+K2207</f>
        <v>62811</v>
      </c>
      <c r="F2207" s="493">
        <f t="shared" si="362"/>
        <v>28013.7</v>
      </c>
      <c r="G2207" s="494">
        <f>단가산출근거목록표!F157</f>
        <v>62811</v>
      </c>
      <c r="H2207" s="498">
        <f t="shared" ref="H2207:H2222" si="363">IF(C2207=0,0,ROUNDDOWN(G2207*C2207,1))</f>
        <v>28013.7</v>
      </c>
      <c r="I2207" s="494">
        <f>단가산출근거목록표!G157</f>
        <v>0</v>
      </c>
      <c r="J2207" s="498">
        <f t="shared" ref="J2207:J2222" si="364">IF(C2207=0,0,ROUNDDOWN(I2207*C2207,1))</f>
        <v>0</v>
      </c>
      <c r="K2207" s="494">
        <f>단가산출근거목록표!H157</f>
        <v>0</v>
      </c>
      <c r="L2207" s="498">
        <f t="shared" ref="L2207:L2222" si="365">IF(C2207=0,0,ROUNDDOWN(K2207*C2207,1))</f>
        <v>0</v>
      </c>
      <c r="M2207" s="463" t="s">
        <v>2486</v>
      </c>
      <c r="N2207" s="451" t="s">
        <v>2487</v>
      </c>
      <c r="O2207" s="468" t="s">
        <v>2488</v>
      </c>
      <c r="P2207" s="468" t="s">
        <v>2354</v>
      </c>
      <c r="Q2207" s="468" t="s">
        <v>2355</v>
      </c>
      <c r="Z2207" s="433" t="str">
        <f ca="1">HYPERLINK("#"&amp;단가산출근거목록표!J2&amp;"!A"&amp;ROW(단가산출근거목록표!A157),"D01241 →")</f>
        <v>D01241 →</v>
      </c>
    </row>
    <row r="2208" spans="1:26" ht="33.200000000000003" customHeight="1">
      <c r="A2208" s="452" t="s">
        <v>2321</v>
      </c>
      <c r="B2208" s="452" t="s">
        <v>2322</v>
      </c>
      <c r="C2208" s="489">
        <v>0.13100000000000001</v>
      </c>
      <c r="D2208" s="480" t="s">
        <v>8</v>
      </c>
      <c r="E2208" s="490">
        <f t="shared" si="362"/>
        <v>34413</v>
      </c>
      <c r="F2208" s="493">
        <f t="shared" si="362"/>
        <v>4508.1000000000004</v>
      </c>
      <c r="G2208" s="494">
        <f>일위대가목록표!F275</f>
        <v>34413</v>
      </c>
      <c r="H2208" s="498">
        <f t="shared" si="363"/>
        <v>4508.1000000000004</v>
      </c>
      <c r="I2208" s="494">
        <f>일위대가목록표!G275</f>
        <v>0</v>
      </c>
      <c r="J2208" s="498">
        <f t="shared" si="364"/>
        <v>0</v>
      </c>
      <c r="K2208" s="494">
        <f>일위대가목록표!H275</f>
        <v>0</v>
      </c>
      <c r="L2208" s="498">
        <f t="shared" si="365"/>
        <v>0</v>
      </c>
      <c r="M2208" s="463" t="s">
        <v>2489</v>
      </c>
      <c r="N2208" s="451" t="s">
        <v>2490</v>
      </c>
      <c r="O2208" s="468" t="s">
        <v>2491</v>
      </c>
      <c r="P2208" s="468" t="s">
        <v>2354</v>
      </c>
      <c r="Q2208" s="468" t="s">
        <v>2355</v>
      </c>
      <c r="Z2208" s="433" t="str">
        <f ca="1">HYPERLINK("#"&amp;일위대가목록표!J2&amp;"!A"&amp;ROW(일위대가목록표!A275),"B01414 →")</f>
        <v>B01414 →</v>
      </c>
    </row>
    <row r="2209" spans="1:26" ht="33.200000000000003" customHeight="1">
      <c r="A2209" s="452" t="s">
        <v>2298</v>
      </c>
      <c r="B2209" s="452" t="s">
        <v>2299</v>
      </c>
      <c r="C2209" s="489">
        <v>0.315</v>
      </c>
      <c r="D2209" s="480" t="s">
        <v>8</v>
      </c>
      <c r="E2209" s="490">
        <f t="shared" si="362"/>
        <v>24089</v>
      </c>
      <c r="F2209" s="493">
        <f t="shared" si="362"/>
        <v>7588</v>
      </c>
      <c r="G2209" s="494">
        <f>일위대가목록표!F37</f>
        <v>24089</v>
      </c>
      <c r="H2209" s="498">
        <f t="shared" si="363"/>
        <v>7588</v>
      </c>
      <c r="I2209" s="494">
        <f>일위대가목록표!G37</f>
        <v>0</v>
      </c>
      <c r="J2209" s="498">
        <f t="shared" si="364"/>
        <v>0</v>
      </c>
      <c r="K2209" s="494">
        <f>일위대가목록표!H37</f>
        <v>0</v>
      </c>
      <c r="L2209" s="498">
        <f t="shared" si="365"/>
        <v>0</v>
      </c>
      <c r="M2209" s="463" t="s">
        <v>2492</v>
      </c>
      <c r="N2209" s="451" t="s">
        <v>2493</v>
      </c>
      <c r="O2209" s="468" t="s">
        <v>2494</v>
      </c>
      <c r="P2209" s="468" t="s">
        <v>2354</v>
      </c>
      <c r="Q2209" s="468" t="s">
        <v>2355</v>
      </c>
      <c r="Z2209" s="433" t="str">
        <f ca="1">HYPERLINK("#"&amp;일위대가목록표!J2&amp;"!A"&amp;ROW(일위대가목록표!A37),"B01447 →")</f>
        <v>B01447 →</v>
      </c>
    </row>
    <row r="2210" spans="1:26" ht="33.200000000000003" customHeight="1">
      <c r="A2210" s="452" t="s">
        <v>2342</v>
      </c>
      <c r="B2210" s="452" t="s">
        <v>2343</v>
      </c>
      <c r="C2210" s="489">
        <v>0.125</v>
      </c>
      <c r="D2210" s="480" t="s">
        <v>8</v>
      </c>
      <c r="E2210" s="490">
        <f t="shared" si="362"/>
        <v>477254</v>
      </c>
      <c r="F2210" s="493">
        <f t="shared" si="362"/>
        <v>59656.7</v>
      </c>
      <c r="G2210" s="494">
        <f>일위대가목록표!F330</f>
        <v>373604</v>
      </c>
      <c r="H2210" s="498">
        <f t="shared" si="363"/>
        <v>46700.5</v>
      </c>
      <c r="I2210" s="494">
        <f>일위대가목록표!G330</f>
        <v>103650</v>
      </c>
      <c r="J2210" s="498">
        <f t="shared" si="364"/>
        <v>12956.2</v>
      </c>
      <c r="K2210" s="494">
        <f>일위대가목록표!H330</f>
        <v>0</v>
      </c>
      <c r="L2210" s="498">
        <f t="shared" si="365"/>
        <v>0</v>
      </c>
      <c r="M2210" s="463" t="s">
        <v>2500</v>
      </c>
      <c r="N2210" s="451" t="s">
        <v>2501</v>
      </c>
      <c r="O2210" s="468" t="s">
        <v>2502</v>
      </c>
      <c r="P2210" s="468" t="s">
        <v>2354</v>
      </c>
      <c r="Q2210" s="468" t="s">
        <v>2355</v>
      </c>
      <c r="Z2210" s="433" t="str">
        <f ca="1">HYPERLINK("#"&amp;일위대가목록표!J2&amp;"!A"&amp;ROW(일위대가목록표!A330),"B01936 →")</f>
        <v>B01936 →</v>
      </c>
    </row>
    <row r="2211" spans="1:26" ht="33.200000000000003" customHeight="1">
      <c r="A2211" s="452" t="s">
        <v>2495</v>
      </c>
      <c r="B2211" s="452" t="s">
        <v>2496</v>
      </c>
      <c r="C2211" s="489">
        <v>1.28</v>
      </c>
      <c r="D2211" s="480" t="s">
        <v>595</v>
      </c>
      <c r="E2211" s="490">
        <f t="shared" si="362"/>
        <v>46533</v>
      </c>
      <c r="F2211" s="493">
        <f t="shared" si="362"/>
        <v>59562.100000000006</v>
      </c>
      <c r="G2211" s="494">
        <f>단가산출근거목록표!F169</f>
        <v>34461</v>
      </c>
      <c r="H2211" s="498">
        <f t="shared" si="363"/>
        <v>44110</v>
      </c>
      <c r="I2211" s="494">
        <f>단가산출근거목록표!G169</f>
        <v>11728</v>
      </c>
      <c r="J2211" s="498">
        <f t="shared" si="364"/>
        <v>15011.8</v>
      </c>
      <c r="K2211" s="494">
        <f>단가산출근거목록표!H169</f>
        <v>344</v>
      </c>
      <c r="L2211" s="498">
        <f t="shared" si="365"/>
        <v>440.3</v>
      </c>
      <c r="M2211" s="463" t="s">
        <v>2497</v>
      </c>
      <c r="N2211" s="451" t="s">
        <v>2498</v>
      </c>
      <c r="O2211" s="468" t="s">
        <v>2499</v>
      </c>
      <c r="P2211" s="468" t="s">
        <v>2354</v>
      </c>
      <c r="Q2211" s="468" t="s">
        <v>2355</v>
      </c>
      <c r="Z2211" s="433" t="str">
        <f ca="1">HYPERLINK("#"&amp;단가산출근거목록표!J2&amp;"!A"&amp;ROW(단가산출근거목록표!A169),"D01231 →")</f>
        <v>D01231 →</v>
      </c>
    </row>
    <row r="2212" spans="1:26" ht="33.200000000000003" customHeight="1">
      <c r="A2212" s="452" t="s">
        <v>2922</v>
      </c>
      <c r="B2212" s="452" t="s">
        <v>2923</v>
      </c>
      <c r="C2212" s="489">
        <v>60.585999999999999</v>
      </c>
      <c r="D2212" s="480" t="s">
        <v>605</v>
      </c>
      <c r="E2212" s="490">
        <f t="shared" si="362"/>
        <v>7400</v>
      </c>
      <c r="F2212" s="491">
        <f t="shared" si="362"/>
        <v>448336.4</v>
      </c>
      <c r="G2212" s="492">
        <v>0</v>
      </c>
      <c r="H2212" s="493">
        <f t="shared" si="363"/>
        <v>0</v>
      </c>
      <c r="I2212" s="494">
        <f>재료비목록표!E76</f>
        <v>7400</v>
      </c>
      <c r="J2212" s="495">
        <f t="shared" si="364"/>
        <v>448336.4</v>
      </c>
      <c r="K2212" s="492">
        <v>0</v>
      </c>
      <c r="L2212" s="493">
        <f t="shared" si="365"/>
        <v>0</v>
      </c>
      <c r="M2212" s="463" t="s">
        <v>2924</v>
      </c>
      <c r="N2212" s="451" t="s">
        <v>2925</v>
      </c>
      <c r="O2212" s="468" t="s">
        <v>2926</v>
      </c>
      <c r="P2212" s="468" t="s">
        <v>2354</v>
      </c>
      <c r="Z2212" s="433" t="str">
        <f ca="1">HYPERLINK("#"&amp;재료비목록표!G2&amp;"!A"&amp;ROW(재료비목록표!A76),"M00960 →")</f>
        <v>M00960 →</v>
      </c>
    </row>
    <row r="2213" spans="1:26" ht="33.200000000000003" customHeight="1">
      <c r="A2213" s="452" t="s">
        <v>1461</v>
      </c>
      <c r="B2213" s="452" t="s">
        <v>1462</v>
      </c>
      <c r="C2213" s="489">
        <v>0.192</v>
      </c>
      <c r="D2213" s="480" t="s">
        <v>8</v>
      </c>
      <c r="E2213" s="490">
        <f t="shared" si="362"/>
        <v>915052</v>
      </c>
      <c r="F2213" s="493">
        <f t="shared" si="362"/>
        <v>175689.9</v>
      </c>
      <c r="G2213" s="494">
        <f>일위대가목록표!F72</f>
        <v>915052</v>
      </c>
      <c r="H2213" s="498">
        <f t="shared" si="363"/>
        <v>175689.9</v>
      </c>
      <c r="I2213" s="494">
        <f>일위대가목록표!G72</f>
        <v>0</v>
      </c>
      <c r="J2213" s="498">
        <f t="shared" si="364"/>
        <v>0</v>
      </c>
      <c r="K2213" s="494">
        <f>일위대가목록표!H72</f>
        <v>0</v>
      </c>
      <c r="L2213" s="498">
        <f t="shared" si="365"/>
        <v>0</v>
      </c>
      <c r="M2213" s="463" t="s">
        <v>2471</v>
      </c>
      <c r="N2213" s="451" t="s">
        <v>2472</v>
      </c>
      <c r="O2213" s="468" t="s">
        <v>1465</v>
      </c>
      <c r="P2213" s="468" t="s">
        <v>2354</v>
      </c>
      <c r="Q2213" s="468" t="s">
        <v>2355</v>
      </c>
      <c r="Z2213" s="433" t="str">
        <f ca="1">HYPERLINK("#"&amp;일위대가목록표!J2&amp;"!A"&amp;ROW(일위대가목록표!A72),"B01822 →")</f>
        <v>B01822 →</v>
      </c>
    </row>
    <row r="2214" spans="1:26" ht="33.200000000000003" customHeight="1">
      <c r="A2214" s="452" t="s">
        <v>1532</v>
      </c>
      <c r="B2214" s="452" t="s">
        <v>1537</v>
      </c>
      <c r="C2214" s="489">
        <v>6.2590000000000003</v>
      </c>
      <c r="D2214" s="480" t="s">
        <v>595</v>
      </c>
      <c r="E2214" s="490">
        <f t="shared" si="362"/>
        <v>12642</v>
      </c>
      <c r="F2214" s="493">
        <f t="shared" si="362"/>
        <v>79126.099999999991</v>
      </c>
      <c r="G2214" s="494">
        <f>일위대가목록표!F224</f>
        <v>11027</v>
      </c>
      <c r="H2214" s="498">
        <f t="shared" si="363"/>
        <v>69017.899999999994</v>
      </c>
      <c r="I2214" s="494">
        <f>일위대가목록표!G224</f>
        <v>1395</v>
      </c>
      <c r="J2214" s="498">
        <f t="shared" si="364"/>
        <v>8731.2999999999993</v>
      </c>
      <c r="K2214" s="494">
        <f>일위대가목록표!H224</f>
        <v>220</v>
      </c>
      <c r="L2214" s="498">
        <f t="shared" si="365"/>
        <v>1376.9</v>
      </c>
      <c r="M2214" s="463" t="s">
        <v>2473</v>
      </c>
      <c r="N2214" s="451" t="s">
        <v>2474</v>
      </c>
      <c r="O2214" s="468" t="s">
        <v>1540</v>
      </c>
      <c r="P2214" s="468" t="s">
        <v>2354</v>
      </c>
      <c r="Q2214" s="468" t="s">
        <v>2355</v>
      </c>
      <c r="Z2214" s="433" t="str">
        <f ca="1">HYPERLINK("#"&amp;일위대가목록표!J2&amp;"!A"&amp;ROW(일위대가목록표!A224),"B01814 →")</f>
        <v>B01814 →</v>
      </c>
    </row>
    <row r="2215" spans="1:26" ht="33.200000000000003" customHeight="1">
      <c r="A2215" s="452" t="s">
        <v>2911</v>
      </c>
      <c r="B2215" s="452" t="s">
        <v>3264</v>
      </c>
      <c r="C2215" s="489">
        <v>0.84</v>
      </c>
      <c r="D2215" s="480" t="s">
        <v>911</v>
      </c>
      <c r="E2215" s="490">
        <f t="shared" si="362"/>
        <v>18310</v>
      </c>
      <c r="F2215" s="491">
        <f t="shared" si="362"/>
        <v>15380.4</v>
      </c>
      <c r="G2215" s="492">
        <v>0</v>
      </c>
      <c r="H2215" s="493">
        <f t="shared" si="363"/>
        <v>0</v>
      </c>
      <c r="I2215" s="494">
        <f>재료비목록표!E22</f>
        <v>18310</v>
      </c>
      <c r="J2215" s="495">
        <f t="shared" si="364"/>
        <v>15380.4</v>
      </c>
      <c r="K2215" s="492">
        <v>0</v>
      </c>
      <c r="L2215" s="493">
        <f t="shared" si="365"/>
        <v>0</v>
      </c>
      <c r="M2215" s="463" t="s">
        <v>3265</v>
      </c>
      <c r="N2215" s="451" t="s">
        <v>3266</v>
      </c>
      <c r="O2215" s="468" t="s">
        <v>3267</v>
      </c>
      <c r="P2215" s="468" t="s">
        <v>2354</v>
      </c>
      <c r="Z2215" s="433" t="str">
        <f ca="1">HYPERLINK("#"&amp;재료비목록표!G2&amp;"!A"&amp;ROW(재료비목록표!A22),"M01578 →")</f>
        <v>M01578 →</v>
      </c>
    </row>
    <row r="2216" spans="1:26" ht="33.200000000000003" customHeight="1">
      <c r="A2216" s="452" t="s">
        <v>2325</v>
      </c>
      <c r="B2216" s="452" t="s">
        <v>2326</v>
      </c>
      <c r="C2216" s="489">
        <v>8.6E-3</v>
      </c>
      <c r="D2216" s="480" t="s">
        <v>2132</v>
      </c>
      <c r="E2216" s="490">
        <f t="shared" si="362"/>
        <v>3316857</v>
      </c>
      <c r="F2216" s="493">
        <f t="shared" si="362"/>
        <v>28524.799999999999</v>
      </c>
      <c r="G2216" s="494">
        <f>일위대가목록표!F276</f>
        <v>3071165</v>
      </c>
      <c r="H2216" s="498">
        <f t="shared" si="363"/>
        <v>26412</v>
      </c>
      <c r="I2216" s="494">
        <f>일위대가목록표!G276</f>
        <v>92134</v>
      </c>
      <c r="J2216" s="498">
        <f t="shared" si="364"/>
        <v>792.3</v>
      </c>
      <c r="K2216" s="494">
        <f>일위대가목록표!H276</f>
        <v>153558</v>
      </c>
      <c r="L2216" s="498">
        <f t="shared" si="365"/>
        <v>1320.5</v>
      </c>
      <c r="M2216" s="463" t="s">
        <v>3268</v>
      </c>
      <c r="N2216" s="451" t="s">
        <v>3283</v>
      </c>
      <c r="O2216" s="468" t="s">
        <v>3270</v>
      </c>
      <c r="P2216" s="468" t="s">
        <v>2354</v>
      </c>
      <c r="Q2216" s="468" t="s">
        <v>2355</v>
      </c>
      <c r="Z2216" s="433" t="str">
        <f ca="1">HYPERLINK("#"&amp;일위대가목록표!J2&amp;"!A"&amp;ROW(일위대가목록표!A276),"B02691 →")</f>
        <v>B02691 →</v>
      </c>
    </row>
    <row r="2217" spans="1:26" ht="33.200000000000003" customHeight="1">
      <c r="A2217" s="452" t="s">
        <v>3271</v>
      </c>
      <c r="B2217" s="452" t="s">
        <v>3272</v>
      </c>
      <c r="C2217" s="489">
        <v>4.57</v>
      </c>
      <c r="D2217" s="480" t="s">
        <v>911</v>
      </c>
      <c r="E2217" s="490">
        <f t="shared" si="362"/>
        <v>5990</v>
      </c>
      <c r="F2217" s="491">
        <f t="shared" si="362"/>
        <v>27374.3</v>
      </c>
      <c r="G2217" s="492">
        <v>0</v>
      </c>
      <c r="H2217" s="493">
        <f t="shared" si="363"/>
        <v>0</v>
      </c>
      <c r="I2217" s="494">
        <f>재료비목록표!E88</f>
        <v>5990</v>
      </c>
      <c r="J2217" s="495">
        <f t="shared" si="364"/>
        <v>27374.3</v>
      </c>
      <c r="K2217" s="492">
        <v>0</v>
      </c>
      <c r="L2217" s="493">
        <f t="shared" si="365"/>
        <v>0</v>
      </c>
      <c r="M2217" s="463" t="s">
        <v>3273</v>
      </c>
      <c r="N2217" s="451" t="s">
        <v>3274</v>
      </c>
      <c r="O2217" s="468" t="s">
        <v>3275</v>
      </c>
      <c r="P2217" s="468" t="s">
        <v>2354</v>
      </c>
      <c r="Z2217" s="433" t="str">
        <f ca="1">HYPERLINK("#"&amp;재료비목록표!G2&amp;"!A"&amp;ROW(재료비목록표!A88),"M01158 →")</f>
        <v>M01158 →</v>
      </c>
    </row>
    <row r="2218" spans="1:26" ht="33.200000000000003" customHeight="1">
      <c r="A2218" s="452" t="s">
        <v>2927</v>
      </c>
      <c r="B2218" s="452" t="s">
        <v>3276</v>
      </c>
      <c r="C2218" s="489">
        <v>4.2</v>
      </c>
      <c r="D2218" s="480" t="s">
        <v>2377</v>
      </c>
      <c r="E2218" s="490">
        <f t="shared" si="362"/>
        <v>1246</v>
      </c>
      <c r="F2218" s="491">
        <f t="shared" si="362"/>
        <v>5233.2</v>
      </c>
      <c r="G2218" s="492">
        <v>0</v>
      </c>
      <c r="H2218" s="493">
        <f t="shared" si="363"/>
        <v>0</v>
      </c>
      <c r="I2218" s="494">
        <f>재료비목록표!E55</f>
        <v>1246</v>
      </c>
      <c r="J2218" s="495">
        <f t="shared" si="364"/>
        <v>5233.2</v>
      </c>
      <c r="K2218" s="492">
        <v>0</v>
      </c>
      <c r="L2218" s="493">
        <f t="shared" si="365"/>
        <v>0</v>
      </c>
      <c r="M2218" s="463" t="s">
        <v>3277</v>
      </c>
      <c r="N2218" s="451" t="s">
        <v>3278</v>
      </c>
      <c r="O2218" s="468" t="s">
        <v>3279</v>
      </c>
      <c r="P2218" s="468" t="s">
        <v>2354</v>
      </c>
      <c r="Z2218" s="433" t="str">
        <f ca="1">HYPERLINK("#"&amp;재료비목록표!G2&amp;"!A"&amp;ROW(재료비목록표!A55),"M01455 →")</f>
        <v>M01455 →</v>
      </c>
    </row>
    <row r="2219" spans="1:26" ht="33.200000000000003" customHeight="1">
      <c r="A2219" s="452" t="s">
        <v>2932</v>
      </c>
      <c r="B2219" s="452" t="s">
        <v>2933</v>
      </c>
      <c r="C2219" s="489">
        <v>4.2</v>
      </c>
      <c r="D2219" s="480" t="s">
        <v>2377</v>
      </c>
      <c r="E2219" s="490">
        <f t="shared" si="362"/>
        <v>157.30000000000001</v>
      </c>
      <c r="F2219" s="491">
        <f t="shared" si="362"/>
        <v>660.6</v>
      </c>
      <c r="G2219" s="492">
        <v>0</v>
      </c>
      <c r="H2219" s="493">
        <f t="shared" si="363"/>
        <v>0</v>
      </c>
      <c r="I2219" s="494">
        <f>재료비목록표!E26</f>
        <v>157.30000000000001</v>
      </c>
      <c r="J2219" s="495">
        <f t="shared" si="364"/>
        <v>660.6</v>
      </c>
      <c r="K2219" s="492">
        <v>0</v>
      </c>
      <c r="L2219" s="493">
        <f t="shared" si="365"/>
        <v>0</v>
      </c>
      <c r="M2219" s="463" t="s">
        <v>2934</v>
      </c>
      <c r="N2219" s="451" t="s">
        <v>2935</v>
      </c>
      <c r="O2219" s="468" t="s">
        <v>2936</v>
      </c>
      <c r="P2219" s="468" t="s">
        <v>2354</v>
      </c>
      <c r="Z2219" s="433" t="str">
        <f ca="1">HYPERLINK("#"&amp;재료비목록표!G2&amp;"!A"&amp;ROW(재료비목록표!A26),"M00958 →")</f>
        <v>M00958 →</v>
      </c>
    </row>
    <row r="2220" spans="1:26" ht="33.200000000000003" customHeight="1">
      <c r="A2220" s="452" t="s">
        <v>2937</v>
      </c>
      <c r="B2220" s="452" t="s">
        <v>2933</v>
      </c>
      <c r="C2220" s="489">
        <v>8.4</v>
      </c>
      <c r="D2220" s="480" t="s">
        <v>2377</v>
      </c>
      <c r="E2220" s="490">
        <f t="shared" si="362"/>
        <v>53.7</v>
      </c>
      <c r="F2220" s="491">
        <f t="shared" si="362"/>
        <v>451</v>
      </c>
      <c r="G2220" s="492">
        <v>0</v>
      </c>
      <c r="H2220" s="493">
        <f t="shared" si="363"/>
        <v>0</v>
      </c>
      <c r="I2220" s="494">
        <f>재료비목록표!E74</f>
        <v>53.7</v>
      </c>
      <c r="J2220" s="495">
        <f t="shared" si="364"/>
        <v>451</v>
      </c>
      <c r="K2220" s="492">
        <v>0</v>
      </c>
      <c r="L2220" s="493">
        <f t="shared" si="365"/>
        <v>0</v>
      </c>
      <c r="M2220" s="463" t="s">
        <v>2938</v>
      </c>
      <c r="N2220" s="451" t="s">
        <v>2939</v>
      </c>
      <c r="O2220" s="468" t="s">
        <v>2940</v>
      </c>
      <c r="P2220" s="468" t="s">
        <v>2354</v>
      </c>
      <c r="Z2220" s="433" t="str">
        <f ca="1">HYPERLINK("#"&amp;재료비목록표!G2&amp;"!A"&amp;ROW(재료비목록표!A74),"M00648 →")</f>
        <v>M00648 →</v>
      </c>
    </row>
    <row r="2221" spans="1:26" ht="33.200000000000003" customHeight="1">
      <c r="A2221" s="452" t="s">
        <v>2574</v>
      </c>
      <c r="B2221" s="452" t="s">
        <v>2575</v>
      </c>
      <c r="C2221" s="489">
        <v>1.2290000000000001E-3</v>
      </c>
      <c r="D2221" s="480" t="s">
        <v>2576</v>
      </c>
      <c r="E2221" s="490">
        <f t="shared" si="362"/>
        <v>765000</v>
      </c>
      <c r="F2221" s="491">
        <f t="shared" si="362"/>
        <v>940.1</v>
      </c>
      <c r="G2221" s="492">
        <v>0</v>
      </c>
      <c r="H2221" s="493">
        <f t="shared" si="363"/>
        <v>0</v>
      </c>
      <c r="I2221" s="494">
        <f>재료비목록표!E81</f>
        <v>765000</v>
      </c>
      <c r="J2221" s="495">
        <f t="shared" si="364"/>
        <v>940.1</v>
      </c>
      <c r="K2221" s="492">
        <v>0</v>
      </c>
      <c r="L2221" s="493">
        <f t="shared" si="365"/>
        <v>0</v>
      </c>
      <c r="M2221" s="463" t="s">
        <v>2577</v>
      </c>
      <c r="N2221" s="451" t="s">
        <v>2578</v>
      </c>
      <c r="O2221" s="468" t="s">
        <v>2579</v>
      </c>
      <c r="P2221" s="468" t="s">
        <v>2354</v>
      </c>
      <c r="Z2221" s="433" t="str">
        <f ca="1">HYPERLINK("#"&amp;재료비목록표!G2&amp;"!A"&amp;ROW(재료비목록표!A81),"M00150 →")</f>
        <v>M00150 →</v>
      </c>
    </row>
    <row r="2222" spans="1:26" ht="33.200000000000003" customHeight="1">
      <c r="A2222" s="452" t="s">
        <v>2580</v>
      </c>
      <c r="B2222" s="452" t="s">
        <v>2581</v>
      </c>
      <c r="C2222" s="489">
        <v>1.194E-3</v>
      </c>
      <c r="D2222" s="480" t="s">
        <v>2132</v>
      </c>
      <c r="E2222" s="490">
        <f t="shared" si="362"/>
        <v>1386016</v>
      </c>
      <c r="F2222" s="493">
        <f t="shared" si="362"/>
        <v>1654.8</v>
      </c>
      <c r="G2222" s="494">
        <f>단가산출근거목록표!F141</f>
        <v>1375031</v>
      </c>
      <c r="H2222" s="498">
        <f t="shared" si="363"/>
        <v>1641.7</v>
      </c>
      <c r="I2222" s="494">
        <f>단가산출근거목록표!G141</f>
        <v>10985</v>
      </c>
      <c r="J2222" s="498">
        <f t="shared" si="364"/>
        <v>13.1</v>
      </c>
      <c r="K2222" s="494">
        <f>단가산출근거목록표!H141</f>
        <v>0</v>
      </c>
      <c r="L2222" s="498">
        <f t="shared" si="365"/>
        <v>0</v>
      </c>
      <c r="M2222" s="463" t="s">
        <v>2582</v>
      </c>
      <c r="N2222" s="451" t="s">
        <v>2588</v>
      </c>
      <c r="O2222" s="468" t="s">
        <v>2584</v>
      </c>
      <c r="P2222" s="468" t="s">
        <v>2354</v>
      </c>
      <c r="Q2222" s="468" t="s">
        <v>2355</v>
      </c>
      <c r="Z2222" s="433" t="str">
        <f ca="1">HYPERLINK("#"&amp;단가산출근거목록표!J2&amp;"!A"&amp;ROW(단가산출근거목록표!A141),"D00950 →")</f>
        <v>D00950 →</v>
      </c>
    </row>
    <row r="2223" spans="1:26" ht="33.200000000000003" customHeight="1">
      <c r="A2223" s="452" t="s">
        <v>2507</v>
      </c>
      <c r="B2223" s="452" t="s">
        <v>2441</v>
      </c>
      <c r="C2223" s="489">
        <v>15</v>
      </c>
      <c r="D2223" s="480" t="s">
        <v>2371</v>
      </c>
      <c r="E2223" s="490">
        <f t="shared" si="362"/>
        <v>403681.8</v>
      </c>
      <c r="F2223" s="491">
        <f t="shared" si="362"/>
        <v>60552.2</v>
      </c>
      <c r="G2223" s="496">
        <f>H2207+H2208+H2209+H2210+H2211+H2213+H2214+H2216+H2222</f>
        <v>403681.8</v>
      </c>
      <c r="H2223" s="491">
        <f>IF(C2223=0,0,ROUNDDOWN(G2223*C2223/100,1))</f>
        <v>60552.2</v>
      </c>
      <c r="I2223" s="465">
        <v>0</v>
      </c>
      <c r="J2223" s="493">
        <f>IF(C2223=0,0,ROUNDDOWN(I2223*C2223/100,1))</f>
        <v>0</v>
      </c>
      <c r="K2223" s="467">
        <v>0</v>
      </c>
      <c r="L2223" s="493">
        <f>IF(C2223=0,0,ROUNDDOWN(K2223*C2223/100,1))</f>
        <v>0</v>
      </c>
      <c r="M2223" s="463"/>
      <c r="N2223" s="451" t="s">
        <v>2508</v>
      </c>
      <c r="O2223" s="468" t="s">
        <v>2373</v>
      </c>
      <c r="P2223" s="468" t="s">
        <v>2354</v>
      </c>
    </row>
    <row r="2224" spans="1:26" ht="33.200000000000003" customHeight="1">
      <c r="A2224" s="463" t="s">
        <v>842</v>
      </c>
      <c r="B2224" s="497"/>
      <c r="C2224" s="497"/>
      <c r="D2224" s="497"/>
      <c r="E2224" s="497"/>
      <c r="F2224" s="446">
        <f>J2224+H2224+L2224</f>
        <v>1003251</v>
      </c>
      <c r="G2224" s="497"/>
      <c r="H2224" s="446">
        <f>ROUNDDOWN(SUMIF(P2207:P2223,O2224,H2207:H2223),0)</f>
        <v>464234</v>
      </c>
      <c r="I2224" s="497"/>
      <c r="J2224" s="446">
        <f>ROUNDDOWN(SUMIF(P2207:P2223,O2224,J2207:J2223),0)</f>
        <v>535880</v>
      </c>
      <c r="K2224" s="497"/>
      <c r="L2224" s="446">
        <f>ROUNDDOWN(SUMIF(P2207:P2223,O2224,L2207:L2223),0)</f>
        <v>3137</v>
      </c>
      <c r="M2224" s="497"/>
      <c r="O2224" s="468" t="s">
        <v>2354</v>
      </c>
    </row>
    <row r="2225" spans="1:26" ht="33.200000000000003" customHeight="1">
      <c r="A2225" s="484" t="s">
        <v>5538</v>
      </c>
      <c r="B2225" s="484"/>
      <c r="C2225" s="485"/>
      <c r="D2225" s="485"/>
      <c r="E2225" s="485"/>
      <c r="F2225" s="485"/>
      <c r="G2225" s="485"/>
      <c r="H2225" s="485"/>
      <c r="I2225" s="485"/>
      <c r="J2225" s="485"/>
      <c r="K2225" s="485"/>
      <c r="L2225" s="485"/>
      <c r="M2225" s="485"/>
      <c r="N2225" s="486" t="str">
        <f>HYPERLINK("#N"&amp;ROW(N2243),"_x0005_`BDCOD|B02858_x0007_`POSS|"&amp;ROW(N2227)&amp;"_x0007_`POSE|"&amp;ROW(N2243)&amp;"_x0007_`")</f>
        <v>_x0005_`BDCOD|B02858_x0007_`POSS|2227_x0007_`POSE|2243_x0007_`</v>
      </c>
    </row>
    <row r="2226" spans="1:26" ht="33.200000000000003" customHeight="1">
      <c r="A2226" s="469" t="s">
        <v>5163</v>
      </c>
      <c r="B2226" s="469" t="s">
        <v>1163</v>
      </c>
      <c r="C2226" s="487"/>
      <c r="D2226" s="488" t="s">
        <v>966</v>
      </c>
      <c r="E2226" s="487"/>
      <c r="F2226" s="487"/>
      <c r="G2226" s="487"/>
      <c r="H2226" s="487"/>
      <c r="I2226" s="487"/>
      <c r="J2226" s="487"/>
      <c r="K2226" s="487"/>
      <c r="L2226" s="487"/>
      <c r="M2226" s="488" t="s">
        <v>5167</v>
      </c>
      <c r="O2226" s="468" t="s">
        <v>5167</v>
      </c>
    </row>
    <row r="2227" spans="1:26" ht="33.200000000000003" customHeight="1">
      <c r="A2227" s="452" t="s">
        <v>2484</v>
      </c>
      <c r="B2227" s="452" t="s">
        <v>2485</v>
      </c>
      <c r="C2227" s="489">
        <v>0.47199999999999998</v>
      </c>
      <c r="D2227" s="480" t="s">
        <v>8</v>
      </c>
      <c r="E2227" s="490">
        <f t="shared" ref="E2227:F2243" si="366">I2227+G2227+K2227</f>
        <v>62811</v>
      </c>
      <c r="F2227" s="493">
        <f t="shared" si="366"/>
        <v>29646.7</v>
      </c>
      <c r="G2227" s="494">
        <f>단가산출근거목록표!F157</f>
        <v>62811</v>
      </c>
      <c r="H2227" s="498">
        <f t="shared" ref="H2227:H2242" si="367">IF(C2227=0,0,ROUNDDOWN(G2227*C2227,1))</f>
        <v>29646.7</v>
      </c>
      <c r="I2227" s="494">
        <f>단가산출근거목록표!G157</f>
        <v>0</v>
      </c>
      <c r="J2227" s="498">
        <f t="shared" ref="J2227:J2242" si="368">IF(C2227=0,0,ROUNDDOWN(I2227*C2227,1))</f>
        <v>0</v>
      </c>
      <c r="K2227" s="494">
        <f>단가산출근거목록표!H157</f>
        <v>0</v>
      </c>
      <c r="L2227" s="498">
        <f t="shared" ref="L2227:L2242" si="369">IF(C2227=0,0,ROUNDDOWN(K2227*C2227,1))</f>
        <v>0</v>
      </c>
      <c r="M2227" s="463" t="s">
        <v>2486</v>
      </c>
      <c r="N2227" s="451" t="s">
        <v>2487</v>
      </c>
      <c r="O2227" s="468" t="s">
        <v>2488</v>
      </c>
      <c r="P2227" s="468" t="s">
        <v>2354</v>
      </c>
      <c r="Q2227" s="468" t="s">
        <v>2355</v>
      </c>
      <c r="Z2227" s="433" t="str">
        <f ca="1">HYPERLINK("#"&amp;단가산출근거목록표!J2&amp;"!A"&amp;ROW(단가산출근거목록표!A157),"D01241 →")</f>
        <v>D01241 →</v>
      </c>
    </row>
    <row r="2228" spans="1:26" ht="33.200000000000003" customHeight="1">
      <c r="A2228" s="452" t="s">
        <v>2321</v>
      </c>
      <c r="B2228" s="452" t="s">
        <v>2322</v>
      </c>
      <c r="C2228" s="489">
        <v>0.13100000000000001</v>
      </c>
      <c r="D2228" s="480" t="s">
        <v>8</v>
      </c>
      <c r="E2228" s="490">
        <f t="shared" si="366"/>
        <v>34413</v>
      </c>
      <c r="F2228" s="493">
        <f t="shared" si="366"/>
        <v>4508.1000000000004</v>
      </c>
      <c r="G2228" s="494">
        <f>일위대가목록표!F275</f>
        <v>34413</v>
      </c>
      <c r="H2228" s="498">
        <f t="shared" si="367"/>
        <v>4508.1000000000004</v>
      </c>
      <c r="I2228" s="494">
        <f>일위대가목록표!G275</f>
        <v>0</v>
      </c>
      <c r="J2228" s="498">
        <f t="shared" si="368"/>
        <v>0</v>
      </c>
      <c r="K2228" s="494">
        <f>일위대가목록표!H275</f>
        <v>0</v>
      </c>
      <c r="L2228" s="498">
        <f t="shared" si="369"/>
        <v>0</v>
      </c>
      <c r="M2228" s="463" t="s">
        <v>2489</v>
      </c>
      <c r="N2228" s="451" t="s">
        <v>2490</v>
      </c>
      <c r="O2228" s="468" t="s">
        <v>2491</v>
      </c>
      <c r="P2228" s="468" t="s">
        <v>2354</v>
      </c>
      <c r="Q2228" s="468" t="s">
        <v>2355</v>
      </c>
      <c r="Z2228" s="433" t="str">
        <f ca="1">HYPERLINK("#"&amp;일위대가목록표!J2&amp;"!A"&amp;ROW(일위대가목록표!A275),"B01414 →")</f>
        <v>B01414 →</v>
      </c>
    </row>
    <row r="2229" spans="1:26" ht="33.200000000000003" customHeight="1">
      <c r="A2229" s="452" t="s">
        <v>2298</v>
      </c>
      <c r="B2229" s="452" t="s">
        <v>2299</v>
      </c>
      <c r="C2229" s="489">
        <v>0.34100000000000003</v>
      </c>
      <c r="D2229" s="480" t="s">
        <v>8</v>
      </c>
      <c r="E2229" s="490">
        <f t="shared" si="366"/>
        <v>24089</v>
      </c>
      <c r="F2229" s="493">
        <f t="shared" si="366"/>
        <v>8214.2999999999993</v>
      </c>
      <c r="G2229" s="494">
        <f>일위대가목록표!F37</f>
        <v>24089</v>
      </c>
      <c r="H2229" s="498">
        <f t="shared" si="367"/>
        <v>8214.2999999999993</v>
      </c>
      <c r="I2229" s="494">
        <f>일위대가목록표!G37</f>
        <v>0</v>
      </c>
      <c r="J2229" s="498">
        <f t="shared" si="368"/>
        <v>0</v>
      </c>
      <c r="K2229" s="494">
        <f>일위대가목록표!H37</f>
        <v>0</v>
      </c>
      <c r="L2229" s="498">
        <f t="shared" si="369"/>
        <v>0</v>
      </c>
      <c r="M2229" s="463" t="s">
        <v>2492</v>
      </c>
      <c r="N2229" s="451" t="s">
        <v>2493</v>
      </c>
      <c r="O2229" s="468" t="s">
        <v>2494</v>
      </c>
      <c r="P2229" s="468" t="s">
        <v>2354</v>
      </c>
      <c r="Q2229" s="468" t="s">
        <v>2355</v>
      </c>
      <c r="Z2229" s="433" t="str">
        <f ca="1">HYPERLINK("#"&amp;일위대가목록표!J2&amp;"!A"&amp;ROW(일위대가목록표!A37),"B01447 →")</f>
        <v>B01447 →</v>
      </c>
    </row>
    <row r="2230" spans="1:26" ht="33.200000000000003" customHeight="1">
      <c r="A2230" s="452" t="s">
        <v>2342</v>
      </c>
      <c r="B2230" s="452" t="s">
        <v>2343</v>
      </c>
      <c r="C2230" s="489">
        <v>0.11899999999999999</v>
      </c>
      <c r="D2230" s="480" t="s">
        <v>8</v>
      </c>
      <c r="E2230" s="490">
        <f t="shared" si="366"/>
        <v>477254</v>
      </c>
      <c r="F2230" s="493">
        <f t="shared" si="366"/>
        <v>56793.100000000006</v>
      </c>
      <c r="G2230" s="494">
        <f>일위대가목록표!F330</f>
        <v>373604</v>
      </c>
      <c r="H2230" s="498">
        <f t="shared" si="367"/>
        <v>44458.8</v>
      </c>
      <c r="I2230" s="494">
        <f>일위대가목록표!G330</f>
        <v>103650</v>
      </c>
      <c r="J2230" s="498">
        <f t="shared" si="368"/>
        <v>12334.3</v>
      </c>
      <c r="K2230" s="494">
        <f>일위대가목록표!H330</f>
        <v>0</v>
      </c>
      <c r="L2230" s="498">
        <f t="shared" si="369"/>
        <v>0</v>
      </c>
      <c r="M2230" s="463" t="s">
        <v>2500</v>
      </c>
      <c r="N2230" s="451" t="s">
        <v>2501</v>
      </c>
      <c r="O2230" s="468" t="s">
        <v>2502</v>
      </c>
      <c r="P2230" s="468" t="s">
        <v>2354</v>
      </c>
      <c r="Q2230" s="468" t="s">
        <v>2355</v>
      </c>
      <c r="Z2230" s="433" t="str">
        <f ca="1">HYPERLINK("#"&amp;일위대가목록표!J2&amp;"!A"&amp;ROW(일위대가목록표!A330),"B01936 →")</f>
        <v>B01936 →</v>
      </c>
    </row>
    <row r="2231" spans="1:26" ht="33.200000000000003" customHeight="1">
      <c r="A2231" s="452" t="s">
        <v>2495</v>
      </c>
      <c r="B2231" s="452" t="s">
        <v>2496</v>
      </c>
      <c r="C2231" s="489">
        <v>1.28</v>
      </c>
      <c r="D2231" s="480" t="s">
        <v>595</v>
      </c>
      <c r="E2231" s="490">
        <f t="shared" si="366"/>
        <v>46533</v>
      </c>
      <c r="F2231" s="493">
        <f t="shared" si="366"/>
        <v>59562.100000000006</v>
      </c>
      <c r="G2231" s="494">
        <f>단가산출근거목록표!F169</f>
        <v>34461</v>
      </c>
      <c r="H2231" s="498">
        <f t="shared" si="367"/>
        <v>44110</v>
      </c>
      <c r="I2231" s="494">
        <f>단가산출근거목록표!G169</f>
        <v>11728</v>
      </c>
      <c r="J2231" s="498">
        <f t="shared" si="368"/>
        <v>15011.8</v>
      </c>
      <c r="K2231" s="494">
        <f>단가산출근거목록표!H169</f>
        <v>344</v>
      </c>
      <c r="L2231" s="498">
        <f t="shared" si="369"/>
        <v>440.3</v>
      </c>
      <c r="M2231" s="463" t="s">
        <v>2497</v>
      </c>
      <c r="N2231" s="451" t="s">
        <v>2498</v>
      </c>
      <c r="O2231" s="468" t="s">
        <v>2499</v>
      </c>
      <c r="P2231" s="468" t="s">
        <v>2354</v>
      </c>
      <c r="Q2231" s="468" t="s">
        <v>2355</v>
      </c>
      <c r="Z2231" s="433" t="str">
        <f ca="1">HYPERLINK("#"&amp;단가산출근거목록표!J2&amp;"!A"&amp;ROW(단가산출근거목록표!A169),"D01231 →")</f>
        <v>D01231 →</v>
      </c>
    </row>
    <row r="2232" spans="1:26" ht="33.200000000000003" customHeight="1">
      <c r="A2232" s="452" t="s">
        <v>2922</v>
      </c>
      <c r="B2232" s="452" t="s">
        <v>2923</v>
      </c>
      <c r="C2232" s="489">
        <v>62.203000000000003</v>
      </c>
      <c r="D2232" s="480" t="s">
        <v>605</v>
      </c>
      <c r="E2232" s="490">
        <f t="shared" si="366"/>
        <v>7400</v>
      </c>
      <c r="F2232" s="491">
        <f t="shared" si="366"/>
        <v>460302.2</v>
      </c>
      <c r="G2232" s="492">
        <v>0</v>
      </c>
      <c r="H2232" s="493">
        <f t="shared" si="367"/>
        <v>0</v>
      </c>
      <c r="I2232" s="494">
        <f>재료비목록표!E76</f>
        <v>7400</v>
      </c>
      <c r="J2232" s="495">
        <f t="shared" si="368"/>
        <v>460302.2</v>
      </c>
      <c r="K2232" s="492">
        <v>0</v>
      </c>
      <c r="L2232" s="493">
        <f t="shared" si="369"/>
        <v>0</v>
      </c>
      <c r="M2232" s="463" t="s">
        <v>2924</v>
      </c>
      <c r="N2232" s="451" t="s">
        <v>2925</v>
      </c>
      <c r="O2232" s="468" t="s">
        <v>2926</v>
      </c>
      <c r="P2232" s="468" t="s">
        <v>2354</v>
      </c>
      <c r="Z2232" s="433" t="str">
        <f ca="1">HYPERLINK("#"&amp;재료비목록표!G2&amp;"!A"&amp;ROW(재료비목록표!A76),"M00960 →")</f>
        <v>M00960 →</v>
      </c>
    </row>
    <row r="2233" spans="1:26" ht="33.200000000000003" customHeight="1">
      <c r="A2233" s="452" t="s">
        <v>1461</v>
      </c>
      <c r="B2233" s="452" t="s">
        <v>1462</v>
      </c>
      <c r="C2233" s="489">
        <v>0.19700000000000001</v>
      </c>
      <c r="D2233" s="480" t="s">
        <v>8</v>
      </c>
      <c r="E2233" s="490">
        <f t="shared" si="366"/>
        <v>915052</v>
      </c>
      <c r="F2233" s="493">
        <f t="shared" si="366"/>
        <v>180265.2</v>
      </c>
      <c r="G2233" s="494">
        <f>일위대가목록표!F72</f>
        <v>915052</v>
      </c>
      <c r="H2233" s="498">
        <f t="shared" si="367"/>
        <v>180265.2</v>
      </c>
      <c r="I2233" s="494">
        <f>일위대가목록표!G72</f>
        <v>0</v>
      </c>
      <c r="J2233" s="498">
        <f t="shared" si="368"/>
        <v>0</v>
      </c>
      <c r="K2233" s="494">
        <f>일위대가목록표!H72</f>
        <v>0</v>
      </c>
      <c r="L2233" s="498">
        <f t="shared" si="369"/>
        <v>0</v>
      </c>
      <c r="M2233" s="463" t="s">
        <v>2471</v>
      </c>
      <c r="N2233" s="451" t="s">
        <v>2472</v>
      </c>
      <c r="O2233" s="468" t="s">
        <v>1465</v>
      </c>
      <c r="P2233" s="468" t="s">
        <v>2354</v>
      </c>
      <c r="Q2233" s="468" t="s">
        <v>2355</v>
      </c>
      <c r="Z2233" s="433" t="str">
        <f ca="1">HYPERLINK("#"&amp;일위대가목록표!J2&amp;"!A"&amp;ROW(일위대가목록표!A72),"B01822 →")</f>
        <v>B01822 →</v>
      </c>
    </row>
    <row r="2234" spans="1:26" ht="33.200000000000003" customHeight="1">
      <c r="A2234" s="452" t="s">
        <v>1532</v>
      </c>
      <c r="B2234" s="452" t="s">
        <v>1537</v>
      </c>
      <c r="C2234" s="489">
        <v>6.46</v>
      </c>
      <c r="D2234" s="480" t="s">
        <v>595</v>
      </c>
      <c r="E2234" s="490">
        <f t="shared" si="366"/>
        <v>12642</v>
      </c>
      <c r="F2234" s="493">
        <f t="shared" si="366"/>
        <v>81667.299999999988</v>
      </c>
      <c r="G2234" s="494">
        <f>일위대가목록표!F224</f>
        <v>11027</v>
      </c>
      <c r="H2234" s="498">
        <f t="shared" si="367"/>
        <v>71234.399999999994</v>
      </c>
      <c r="I2234" s="494">
        <f>일위대가목록표!G224</f>
        <v>1395</v>
      </c>
      <c r="J2234" s="498">
        <f t="shared" si="368"/>
        <v>9011.7000000000007</v>
      </c>
      <c r="K2234" s="494">
        <f>일위대가목록표!H224</f>
        <v>220</v>
      </c>
      <c r="L2234" s="498">
        <f t="shared" si="369"/>
        <v>1421.2</v>
      </c>
      <c r="M2234" s="463" t="s">
        <v>2473</v>
      </c>
      <c r="N2234" s="451" t="s">
        <v>2474</v>
      </c>
      <c r="O2234" s="468" t="s">
        <v>1540</v>
      </c>
      <c r="P2234" s="468" t="s">
        <v>2354</v>
      </c>
      <c r="Q2234" s="468" t="s">
        <v>2355</v>
      </c>
      <c r="Z2234" s="433" t="str">
        <f ca="1">HYPERLINK("#"&amp;일위대가목록표!J2&amp;"!A"&amp;ROW(일위대가목록표!A224),"B01814 →")</f>
        <v>B01814 →</v>
      </c>
    </row>
    <row r="2235" spans="1:26" ht="33.200000000000003" customHeight="1">
      <c r="A2235" s="452" t="s">
        <v>2911</v>
      </c>
      <c r="B2235" s="452" t="s">
        <v>3264</v>
      </c>
      <c r="C2235" s="489">
        <v>0.84</v>
      </c>
      <c r="D2235" s="480" t="s">
        <v>911</v>
      </c>
      <c r="E2235" s="490">
        <f t="shared" si="366"/>
        <v>18310</v>
      </c>
      <c r="F2235" s="491">
        <f t="shared" si="366"/>
        <v>15380.4</v>
      </c>
      <c r="G2235" s="492">
        <v>0</v>
      </c>
      <c r="H2235" s="493">
        <f t="shared" si="367"/>
        <v>0</v>
      </c>
      <c r="I2235" s="494">
        <f>재료비목록표!E22</f>
        <v>18310</v>
      </c>
      <c r="J2235" s="495">
        <f t="shared" si="368"/>
        <v>15380.4</v>
      </c>
      <c r="K2235" s="492">
        <v>0</v>
      </c>
      <c r="L2235" s="493">
        <f t="shared" si="369"/>
        <v>0</v>
      </c>
      <c r="M2235" s="463" t="s">
        <v>3265</v>
      </c>
      <c r="N2235" s="451" t="s">
        <v>3266</v>
      </c>
      <c r="O2235" s="468" t="s">
        <v>3267</v>
      </c>
      <c r="P2235" s="468" t="s">
        <v>2354</v>
      </c>
      <c r="Z2235" s="433" t="str">
        <f ca="1">HYPERLINK("#"&amp;재료비목록표!G2&amp;"!A"&amp;ROW(재료비목록표!A22),"M01578 →")</f>
        <v>M01578 →</v>
      </c>
    </row>
    <row r="2236" spans="1:26" ht="33.200000000000003" customHeight="1">
      <c r="A2236" s="452" t="s">
        <v>2325</v>
      </c>
      <c r="B2236" s="452" t="s">
        <v>2326</v>
      </c>
      <c r="C2236" s="489">
        <v>8.6E-3</v>
      </c>
      <c r="D2236" s="480" t="s">
        <v>2132</v>
      </c>
      <c r="E2236" s="490">
        <f t="shared" si="366"/>
        <v>3316857</v>
      </c>
      <c r="F2236" s="493">
        <f t="shared" si="366"/>
        <v>28524.799999999999</v>
      </c>
      <c r="G2236" s="494">
        <f>일위대가목록표!F276</f>
        <v>3071165</v>
      </c>
      <c r="H2236" s="498">
        <f t="shared" si="367"/>
        <v>26412</v>
      </c>
      <c r="I2236" s="494">
        <f>일위대가목록표!G276</f>
        <v>92134</v>
      </c>
      <c r="J2236" s="498">
        <f t="shared" si="368"/>
        <v>792.3</v>
      </c>
      <c r="K2236" s="494">
        <f>일위대가목록표!H276</f>
        <v>153558</v>
      </c>
      <c r="L2236" s="498">
        <f t="shared" si="369"/>
        <v>1320.5</v>
      </c>
      <c r="M2236" s="463" t="s">
        <v>3268</v>
      </c>
      <c r="N2236" s="451" t="s">
        <v>3283</v>
      </c>
      <c r="O2236" s="468" t="s">
        <v>3270</v>
      </c>
      <c r="P2236" s="468" t="s">
        <v>2354</v>
      </c>
      <c r="Q2236" s="468" t="s">
        <v>2355</v>
      </c>
      <c r="Z2236" s="433" t="str">
        <f ca="1">HYPERLINK("#"&amp;일위대가목록표!J2&amp;"!A"&amp;ROW(일위대가목록표!A276),"B02691 →")</f>
        <v>B02691 →</v>
      </c>
    </row>
    <row r="2237" spans="1:26" ht="33.200000000000003" customHeight="1">
      <c r="A2237" s="452" t="s">
        <v>3271</v>
      </c>
      <c r="B2237" s="452" t="s">
        <v>3272</v>
      </c>
      <c r="C2237" s="489">
        <v>3.27</v>
      </c>
      <c r="D2237" s="480" t="s">
        <v>911</v>
      </c>
      <c r="E2237" s="490">
        <f t="shared" si="366"/>
        <v>5990</v>
      </c>
      <c r="F2237" s="491">
        <f t="shared" si="366"/>
        <v>19587.3</v>
      </c>
      <c r="G2237" s="492">
        <v>0</v>
      </c>
      <c r="H2237" s="493">
        <f t="shared" si="367"/>
        <v>0</v>
      </c>
      <c r="I2237" s="494">
        <f>재료비목록표!E88</f>
        <v>5990</v>
      </c>
      <c r="J2237" s="495">
        <f t="shared" si="368"/>
        <v>19587.3</v>
      </c>
      <c r="K2237" s="492">
        <v>0</v>
      </c>
      <c r="L2237" s="493">
        <f t="shared" si="369"/>
        <v>0</v>
      </c>
      <c r="M2237" s="463" t="s">
        <v>3273</v>
      </c>
      <c r="N2237" s="451" t="s">
        <v>3274</v>
      </c>
      <c r="O2237" s="468" t="s">
        <v>3275</v>
      </c>
      <c r="P2237" s="468" t="s">
        <v>2354</v>
      </c>
      <c r="Z2237" s="433" t="str">
        <f ca="1">HYPERLINK("#"&amp;재료비목록표!G2&amp;"!A"&amp;ROW(재료비목록표!A88),"M01158 →")</f>
        <v>M01158 →</v>
      </c>
    </row>
    <row r="2238" spans="1:26" ht="33.200000000000003" customHeight="1">
      <c r="A2238" s="452" t="s">
        <v>2927</v>
      </c>
      <c r="B2238" s="452" t="s">
        <v>3276</v>
      </c>
      <c r="C2238" s="489">
        <v>4.2</v>
      </c>
      <c r="D2238" s="480" t="s">
        <v>2377</v>
      </c>
      <c r="E2238" s="490">
        <f t="shared" si="366"/>
        <v>1246</v>
      </c>
      <c r="F2238" s="491">
        <f t="shared" si="366"/>
        <v>5233.2</v>
      </c>
      <c r="G2238" s="492">
        <v>0</v>
      </c>
      <c r="H2238" s="493">
        <f t="shared" si="367"/>
        <v>0</v>
      </c>
      <c r="I2238" s="494">
        <f>재료비목록표!E55</f>
        <v>1246</v>
      </c>
      <c r="J2238" s="495">
        <f t="shared" si="368"/>
        <v>5233.2</v>
      </c>
      <c r="K2238" s="492">
        <v>0</v>
      </c>
      <c r="L2238" s="493">
        <f t="shared" si="369"/>
        <v>0</v>
      </c>
      <c r="M2238" s="463" t="s">
        <v>3277</v>
      </c>
      <c r="N2238" s="451" t="s">
        <v>3278</v>
      </c>
      <c r="O2238" s="468" t="s">
        <v>3279</v>
      </c>
      <c r="P2238" s="468" t="s">
        <v>2354</v>
      </c>
      <c r="Z2238" s="433" t="str">
        <f ca="1">HYPERLINK("#"&amp;재료비목록표!G2&amp;"!A"&amp;ROW(재료비목록표!A55),"M01455 →")</f>
        <v>M01455 →</v>
      </c>
    </row>
    <row r="2239" spans="1:26" ht="33.200000000000003" customHeight="1">
      <c r="A2239" s="452" t="s">
        <v>2932</v>
      </c>
      <c r="B2239" s="452" t="s">
        <v>2933</v>
      </c>
      <c r="C2239" s="489">
        <v>4.2</v>
      </c>
      <c r="D2239" s="480" t="s">
        <v>2377</v>
      </c>
      <c r="E2239" s="490">
        <f t="shared" si="366"/>
        <v>157.30000000000001</v>
      </c>
      <c r="F2239" s="491">
        <f t="shared" si="366"/>
        <v>660.6</v>
      </c>
      <c r="G2239" s="492">
        <v>0</v>
      </c>
      <c r="H2239" s="493">
        <f t="shared" si="367"/>
        <v>0</v>
      </c>
      <c r="I2239" s="494">
        <f>재료비목록표!E26</f>
        <v>157.30000000000001</v>
      </c>
      <c r="J2239" s="495">
        <f t="shared" si="368"/>
        <v>660.6</v>
      </c>
      <c r="K2239" s="492">
        <v>0</v>
      </c>
      <c r="L2239" s="493">
        <f t="shared" si="369"/>
        <v>0</v>
      </c>
      <c r="M2239" s="463" t="s">
        <v>2934</v>
      </c>
      <c r="N2239" s="451" t="s">
        <v>2935</v>
      </c>
      <c r="O2239" s="468" t="s">
        <v>2936</v>
      </c>
      <c r="P2239" s="468" t="s">
        <v>2354</v>
      </c>
      <c r="Z2239" s="433" t="str">
        <f ca="1">HYPERLINK("#"&amp;재료비목록표!G2&amp;"!A"&amp;ROW(재료비목록표!A26),"M00958 →")</f>
        <v>M00958 →</v>
      </c>
    </row>
    <row r="2240" spans="1:26" ht="33.200000000000003" customHeight="1">
      <c r="A2240" s="452" t="s">
        <v>2937</v>
      </c>
      <c r="B2240" s="452" t="s">
        <v>2933</v>
      </c>
      <c r="C2240" s="489">
        <v>8.4</v>
      </c>
      <c r="D2240" s="480" t="s">
        <v>2377</v>
      </c>
      <c r="E2240" s="490">
        <f t="shared" si="366"/>
        <v>53.7</v>
      </c>
      <c r="F2240" s="491">
        <f t="shared" si="366"/>
        <v>451</v>
      </c>
      <c r="G2240" s="492">
        <v>0</v>
      </c>
      <c r="H2240" s="493">
        <f t="shared" si="367"/>
        <v>0</v>
      </c>
      <c r="I2240" s="494">
        <f>재료비목록표!E74</f>
        <v>53.7</v>
      </c>
      <c r="J2240" s="495">
        <f t="shared" si="368"/>
        <v>451</v>
      </c>
      <c r="K2240" s="492">
        <v>0</v>
      </c>
      <c r="L2240" s="493">
        <f t="shared" si="369"/>
        <v>0</v>
      </c>
      <c r="M2240" s="463" t="s">
        <v>2938</v>
      </c>
      <c r="N2240" s="451" t="s">
        <v>2939</v>
      </c>
      <c r="O2240" s="468" t="s">
        <v>2940</v>
      </c>
      <c r="P2240" s="468" t="s">
        <v>2354</v>
      </c>
      <c r="Z2240" s="433" t="str">
        <f ca="1">HYPERLINK("#"&amp;재료비목록표!G2&amp;"!A"&amp;ROW(재료비목록표!A74),"M00648 →")</f>
        <v>M00648 →</v>
      </c>
    </row>
    <row r="2241" spans="1:26" ht="33.200000000000003" customHeight="1">
      <c r="A2241" s="452" t="s">
        <v>2574</v>
      </c>
      <c r="B2241" s="452" t="s">
        <v>2575</v>
      </c>
      <c r="C2241" s="489">
        <v>1.2290000000000001E-3</v>
      </c>
      <c r="D2241" s="480" t="s">
        <v>2576</v>
      </c>
      <c r="E2241" s="490">
        <f t="shared" si="366"/>
        <v>765000</v>
      </c>
      <c r="F2241" s="491">
        <f t="shared" si="366"/>
        <v>940.1</v>
      </c>
      <c r="G2241" s="492">
        <v>0</v>
      </c>
      <c r="H2241" s="493">
        <f t="shared" si="367"/>
        <v>0</v>
      </c>
      <c r="I2241" s="494">
        <f>재료비목록표!E81</f>
        <v>765000</v>
      </c>
      <c r="J2241" s="495">
        <f t="shared" si="368"/>
        <v>940.1</v>
      </c>
      <c r="K2241" s="492">
        <v>0</v>
      </c>
      <c r="L2241" s="493">
        <f t="shared" si="369"/>
        <v>0</v>
      </c>
      <c r="M2241" s="463" t="s">
        <v>2577</v>
      </c>
      <c r="N2241" s="451" t="s">
        <v>2578</v>
      </c>
      <c r="O2241" s="468" t="s">
        <v>2579</v>
      </c>
      <c r="P2241" s="468" t="s">
        <v>2354</v>
      </c>
      <c r="Z2241" s="433" t="str">
        <f ca="1">HYPERLINK("#"&amp;재료비목록표!G2&amp;"!A"&amp;ROW(재료비목록표!A81),"M00150 →")</f>
        <v>M00150 →</v>
      </c>
    </row>
    <row r="2242" spans="1:26" ht="33.200000000000003" customHeight="1">
      <c r="A2242" s="452" t="s">
        <v>2580</v>
      </c>
      <c r="B2242" s="452" t="s">
        <v>2581</v>
      </c>
      <c r="C2242" s="489">
        <v>1.194E-3</v>
      </c>
      <c r="D2242" s="480" t="s">
        <v>2132</v>
      </c>
      <c r="E2242" s="490">
        <f t="shared" si="366"/>
        <v>1386016</v>
      </c>
      <c r="F2242" s="493">
        <f t="shared" si="366"/>
        <v>1654.8</v>
      </c>
      <c r="G2242" s="494">
        <f>단가산출근거목록표!F141</f>
        <v>1375031</v>
      </c>
      <c r="H2242" s="498">
        <f t="shared" si="367"/>
        <v>1641.7</v>
      </c>
      <c r="I2242" s="494">
        <f>단가산출근거목록표!G141</f>
        <v>10985</v>
      </c>
      <c r="J2242" s="498">
        <f t="shared" si="368"/>
        <v>13.1</v>
      </c>
      <c r="K2242" s="494">
        <f>단가산출근거목록표!H141</f>
        <v>0</v>
      </c>
      <c r="L2242" s="498">
        <f t="shared" si="369"/>
        <v>0</v>
      </c>
      <c r="M2242" s="463" t="s">
        <v>2582</v>
      </c>
      <c r="N2242" s="451" t="s">
        <v>2588</v>
      </c>
      <c r="O2242" s="468" t="s">
        <v>2584</v>
      </c>
      <c r="P2242" s="468" t="s">
        <v>2354</v>
      </c>
      <c r="Q2242" s="468" t="s">
        <v>2355</v>
      </c>
      <c r="Z2242" s="433" t="str">
        <f ca="1">HYPERLINK("#"&amp;단가산출근거목록표!J2&amp;"!A"&amp;ROW(단가산출근거목록표!A141),"D00950 →")</f>
        <v>D00950 →</v>
      </c>
    </row>
    <row r="2243" spans="1:26" ht="33.200000000000003" customHeight="1">
      <c r="A2243" s="452" t="s">
        <v>2507</v>
      </c>
      <c r="B2243" s="452" t="s">
        <v>2441</v>
      </c>
      <c r="C2243" s="489">
        <v>15</v>
      </c>
      <c r="D2243" s="480" t="s">
        <v>2371</v>
      </c>
      <c r="E2243" s="490">
        <f t="shared" si="366"/>
        <v>410491.2</v>
      </c>
      <c r="F2243" s="491">
        <f t="shared" si="366"/>
        <v>61573.599999999999</v>
      </c>
      <c r="G2243" s="496">
        <f>H2227+H2228+H2229+H2230+H2231+H2233+H2234+H2236+H2242</f>
        <v>410491.2</v>
      </c>
      <c r="H2243" s="491">
        <f>IF(C2243=0,0,ROUNDDOWN(G2243*C2243/100,1))</f>
        <v>61573.599999999999</v>
      </c>
      <c r="I2243" s="465">
        <v>0</v>
      </c>
      <c r="J2243" s="493">
        <f>IF(C2243=0,0,ROUNDDOWN(I2243*C2243/100,1))</f>
        <v>0</v>
      </c>
      <c r="K2243" s="467">
        <v>0</v>
      </c>
      <c r="L2243" s="493">
        <f>IF(C2243=0,0,ROUNDDOWN(K2243*C2243/100,1))</f>
        <v>0</v>
      </c>
      <c r="M2243" s="463"/>
      <c r="N2243" s="451" t="s">
        <v>2508</v>
      </c>
      <c r="O2243" s="468" t="s">
        <v>2373</v>
      </c>
      <c r="P2243" s="468" t="s">
        <v>2354</v>
      </c>
    </row>
    <row r="2244" spans="1:26" ht="33.200000000000003" customHeight="1">
      <c r="A2244" s="463" t="s">
        <v>842</v>
      </c>
      <c r="B2244" s="497"/>
      <c r="C2244" s="497"/>
      <c r="D2244" s="497"/>
      <c r="E2244" s="497"/>
      <c r="F2244" s="446">
        <f>J2244+H2244+L2244</f>
        <v>1014964</v>
      </c>
      <c r="G2244" s="497"/>
      <c r="H2244" s="446">
        <f>ROUNDDOWN(SUMIF(P2227:P2243,O2244,H2227:H2243),0)</f>
        <v>472064</v>
      </c>
      <c r="I2244" s="497"/>
      <c r="J2244" s="446">
        <f>ROUNDDOWN(SUMIF(P2227:P2243,O2244,J2227:J2243),0)</f>
        <v>539718</v>
      </c>
      <c r="K2244" s="497"/>
      <c r="L2244" s="446">
        <f>ROUNDDOWN(SUMIF(P2227:P2243,O2244,L2227:L2243),0)</f>
        <v>3182</v>
      </c>
      <c r="M2244" s="497"/>
      <c r="O2244" s="468" t="s">
        <v>2354</v>
      </c>
    </row>
    <row r="2245" spans="1:26" ht="33.200000000000003" customHeight="1">
      <c r="A2245" s="484" t="s">
        <v>5539</v>
      </c>
      <c r="B2245" s="484"/>
      <c r="C2245" s="485"/>
      <c r="D2245" s="485"/>
      <c r="E2245" s="485"/>
      <c r="F2245" s="485"/>
      <c r="G2245" s="485"/>
      <c r="H2245" s="485"/>
      <c r="I2245" s="485"/>
      <c r="J2245" s="485"/>
      <c r="K2245" s="485"/>
      <c r="L2245" s="485"/>
      <c r="M2245" s="485"/>
      <c r="N2245" s="486" t="str">
        <f>HYPERLINK("#N"&amp;ROW(N2263),"_x0005_`BDCOD|B02859_x0007_`POSS|"&amp;ROW(N2247)&amp;"_x0007_`POSE|"&amp;ROW(N2263)&amp;"_x0007_`")</f>
        <v>_x0005_`BDCOD|B02859_x0007_`POSS|2247_x0007_`POSE|2263_x0007_`</v>
      </c>
    </row>
    <row r="2246" spans="1:26" ht="33.200000000000003" customHeight="1">
      <c r="A2246" s="469" t="s">
        <v>5163</v>
      </c>
      <c r="B2246" s="469" t="s">
        <v>1167</v>
      </c>
      <c r="C2246" s="487"/>
      <c r="D2246" s="488" t="s">
        <v>966</v>
      </c>
      <c r="E2246" s="487"/>
      <c r="F2246" s="487"/>
      <c r="G2246" s="487"/>
      <c r="H2246" s="487"/>
      <c r="I2246" s="487"/>
      <c r="J2246" s="487"/>
      <c r="K2246" s="487"/>
      <c r="L2246" s="487"/>
      <c r="M2246" s="488" t="s">
        <v>5170</v>
      </c>
      <c r="O2246" s="468" t="s">
        <v>5170</v>
      </c>
    </row>
    <row r="2247" spans="1:26" ht="33.200000000000003" customHeight="1">
      <c r="A2247" s="452" t="s">
        <v>2484</v>
      </c>
      <c r="B2247" s="452" t="s">
        <v>2485</v>
      </c>
      <c r="C2247" s="489">
        <v>0.47199999999999998</v>
      </c>
      <c r="D2247" s="480" t="s">
        <v>8</v>
      </c>
      <c r="E2247" s="490">
        <f t="shared" ref="E2247:F2263" si="370">I2247+G2247+K2247</f>
        <v>62811</v>
      </c>
      <c r="F2247" s="493">
        <f t="shared" si="370"/>
        <v>29646.7</v>
      </c>
      <c r="G2247" s="494">
        <f>단가산출근거목록표!F157</f>
        <v>62811</v>
      </c>
      <c r="H2247" s="498">
        <f t="shared" ref="H2247:H2262" si="371">IF(C2247=0,0,ROUNDDOWN(G2247*C2247,1))</f>
        <v>29646.7</v>
      </c>
      <c r="I2247" s="494">
        <f>단가산출근거목록표!G157</f>
        <v>0</v>
      </c>
      <c r="J2247" s="498">
        <f t="shared" ref="J2247:J2262" si="372">IF(C2247=0,0,ROUNDDOWN(I2247*C2247,1))</f>
        <v>0</v>
      </c>
      <c r="K2247" s="494">
        <f>단가산출근거목록표!H157</f>
        <v>0</v>
      </c>
      <c r="L2247" s="498">
        <f t="shared" ref="L2247:L2262" si="373">IF(C2247=0,0,ROUNDDOWN(K2247*C2247,1))</f>
        <v>0</v>
      </c>
      <c r="M2247" s="463" t="s">
        <v>2486</v>
      </c>
      <c r="N2247" s="451" t="s">
        <v>2487</v>
      </c>
      <c r="O2247" s="468" t="s">
        <v>2488</v>
      </c>
      <c r="P2247" s="468" t="s">
        <v>2354</v>
      </c>
      <c r="Q2247" s="468" t="s">
        <v>2355</v>
      </c>
      <c r="Z2247" s="433" t="str">
        <f ca="1">HYPERLINK("#"&amp;단가산출근거목록표!J2&amp;"!A"&amp;ROW(단가산출근거목록표!A157),"D01241 →")</f>
        <v>D01241 →</v>
      </c>
    </row>
    <row r="2248" spans="1:26" ht="33.200000000000003" customHeight="1">
      <c r="A2248" s="452" t="s">
        <v>2321</v>
      </c>
      <c r="B2248" s="452" t="s">
        <v>2322</v>
      </c>
      <c r="C2248" s="489">
        <v>0.13100000000000001</v>
      </c>
      <c r="D2248" s="480" t="s">
        <v>8</v>
      </c>
      <c r="E2248" s="490">
        <f t="shared" si="370"/>
        <v>34413</v>
      </c>
      <c r="F2248" s="493">
        <f t="shared" si="370"/>
        <v>4508.1000000000004</v>
      </c>
      <c r="G2248" s="494">
        <f>일위대가목록표!F275</f>
        <v>34413</v>
      </c>
      <c r="H2248" s="498">
        <f t="shared" si="371"/>
        <v>4508.1000000000004</v>
      </c>
      <c r="I2248" s="494">
        <f>일위대가목록표!G275</f>
        <v>0</v>
      </c>
      <c r="J2248" s="498">
        <f t="shared" si="372"/>
        <v>0</v>
      </c>
      <c r="K2248" s="494">
        <f>일위대가목록표!H275</f>
        <v>0</v>
      </c>
      <c r="L2248" s="498">
        <f t="shared" si="373"/>
        <v>0</v>
      </c>
      <c r="M2248" s="463" t="s">
        <v>2489</v>
      </c>
      <c r="N2248" s="451" t="s">
        <v>2490</v>
      </c>
      <c r="O2248" s="468" t="s">
        <v>2491</v>
      </c>
      <c r="P2248" s="468" t="s">
        <v>2354</v>
      </c>
      <c r="Q2248" s="468" t="s">
        <v>2355</v>
      </c>
      <c r="Z2248" s="433" t="str">
        <f ca="1">HYPERLINK("#"&amp;일위대가목록표!J2&amp;"!A"&amp;ROW(일위대가목록표!A275),"B01414 →")</f>
        <v>B01414 →</v>
      </c>
    </row>
    <row r="2249" spans="1:26" ht="33.200000000000003" customHeight="1">
      <c r="A2249" s="452" t="s">
        <v>2298</v>
      </c>
      <c r="B2249" s="452" t="s">
        <v>2299</v>
      </c>
      <c r="C2249" s="489">
        <v>0.34100000000000003</v>
      </c>
      <c r="D2249" s="480" t="s">
        <v>8</v>
      </c>
      <c r="E2249" s="490">
        <f t="shared" si="370"/>
        <v>24089</v>
      </c>
      <c r="F2249" s="493">
        <f t="shared" si="370"/>
        <v>8214.2999999999993</v>
      </c>
      <c r="G2249" s="494">
        <f>일위대가목록표!F37</f>
        <v>24089</v>
      </c>
      <c r="H2249" s="498">
        <f t="shared" si="371"/>
        <v>8214.2999999999993</v>
      </c>
      <c r="I2249" s="494">
        <f>일위대가목록표!G37</f>
        <v>0</v>
      </c>
      <c r="J2249" s="498">
        <f t="shared" si="372"/>
        <v>0</v>
      </c>
      <c r="K2249" s="494">
        <f>일위대가목록표!H37</f>
        <v>0</v>
      </c>
      <c r="L2249" s="498">
        <f t="shared" si="373"/>
        <v>0</v>
      </c>
      <c r="M2249" s="463" t="s">
        <v>2492</v>
      </c>
      <c r="N2249" s="451" t="s">
        <v>2493</v>
      </c>
      <c r="O2249" s="468" t="s">
        <v>2494</v>
      </c>
      <c r="P2249" s="468" t="s">
        <v>2354</v>
      </c>
      <c r="Q2249" s="468" t="s">
        <v>2355</v>
      </c>
      <c r="Z2249" s="433" t="str">
        <f ca="1">HYPERLINK("#"&amp;일위대가목록표!J2&amp;"!A"&amp;ROW(일위대가목록표!A37),"B01447 →")</f>
        <v>B01447 →</v>
      </c>
    </row>
    <row r="2250" spans="1:26" ht="33.200000000000003" customHeight="1">
      <c r="A2250" s="452" t="s">
        <v>2342</v>
      </c>
      <c r="B2250" s="452" t="s">
        <v>2343</v>
      </c>
      <c r="C2250" s="489">
        <v>0.11899999999999999</v>
      </c>
      <c r="D2250" s="480" t="s">
        <v>8</v>
      </c>
      <c r="E2250" s="490">
        <f t="shared" si="370"/>
        <v>477254</v>
      </c>
      <c r="F2250" s="493">
        <f t="shared" si="370"/>
        <v>56793.100000000006</v>
      </c>
      <c r="G2250" s="494">
        <f>일위대가목록표!F330</f>
        <v>373604</v>
      </c>
      <c r="H2250" s="498">
        <f t="shared" si="371"/>
        <v>44458.8</v>
      </c>
      <c r="I2250" s="494">
        <f>일위대가목록표!G330</f>
        <v>103650</v>
      </c>
      <c r="J2250" s="498">
        <f t="shared" si="372"/>
        <v>12334.3</v>
      </c>
      <c r="K2250" s="494">
        <f>일위대가목록표!H330</f>
        <v>0</v>
      </c>
      <c r="L2250" s="498">
        <f t="shared" si="373"/>
        <v>0</v>
      </c>
      <c r="M2250" s="463" t="s">
        <v>2500</v>
      </c>
      <c r="N2250" s="451" t="s">
        <v>2501</v>
      </c>
      <c r="O2250" s="468" t="s">
        <v>2502</v>
      </c>
      <c r="P2250" s="468" t="s">
        <v>2354</v>
      </c>
      <c r="Q2250" s="468" t="s">
        <v>2355</v>
      </c>
      <c r="Z2250" s="433" t="str">
        <f ca="1">HYPERLINK("#"&amp;일위대가목록표!J2&amp;"!A"&amp;ROW(일위대가목록표!A330),"B01936 →")</f>
        <v>B01936 →</v>
      </c>
    </row>
    <row r="2251" spans="1:26" ht="33.200000000000003" customHeight="1">
      <c r="A2251" s="452" t="s">
        <v>2495</v>
      </c>
      <c r="B2251" s="452" t="s">
        <v>2496</v>
      </c>
      <c r="C2251" s="489">
        <v>1.28</v>
      </c>
      <c r="D2251" s="480" t="s">
        <v>595</v>
      </c>
      <c r="E2251" s="490">
        <f t="shared" si="370"/>
        <v>46533</v>
      </c>
      <c r="F2251" s="493">
        <f t="shared" si="370"/>
        <v>59562.100000000006</v>
      </c>
      <c r="G2251" s="494">
        <f>단가산출근거목록표!F169</f>
        <v>34461</v>
      </c>
      <c r="H2251" s="498">
        <f t="shared" si="371"/>
        <v>44110</v>
      </c>
      <c r="I2251" s="494">
        <f>단가산출근거목록표!G169</f>
        <v>11728</v>
      </c>
      <c r="J2251" s="498">
        <f t="shared" si="372"/>
        <v>15011.8</v>
      </c>
      <c r="K2251" s="494">
        <f>단가산출근거목록표!H169</f>
        <v>344</v>
      </c>
      <c r="L2251" s="498">
        <f t="shared" si="373"/>
        <v>440.3</v>
      </c>
      <c r="M2251" s="463" t="s">
        <v>2497</v>
      </c>
      <c r="N2251" s="451" t="s">
        <v>2498</v>
      </c>
      <c r="O2251" s="468" t="s">
        <v>2499</v>
      </c>
      <c r="P2251" s="468" t="s">
        <v>2354</v>
      </c>
      <c r="Q2251" s="468" t="s">
        <v>2355</v>
      </c>
      <c r="Z2251" s="433" t="str">
        <f ca="1">HYPERLINK("#"&amp;단가산출근거목록표!J2&amp;"!A"&amp;ROW(단가산출근거목록표!A169),"D01231 →")</f>
        <v>D01231 →</v>
      </c>
    </row>
    <row r="2252" spans="1:26" ht="33.200000000000003" customHeight="1">
      <c r="A2252" s="452" t="s">
        <v>2922</v>
      </c>
      <c r="B2252" s="452" t="s">
        <v>2923</v>
      </c>
      <c r="C2252" s="489">
        <v>85.46</v>
      </c>
      <c r="D2252" s="480" t="s">
        <v>605</v>
      </c>
      <c r="E2252" s="490">
        <f t="shared" si="370"/>
        <v>7400</v>
      </c>
      <c r="F2252" s="491">
        <f t="shared" si="370"/>
        <v>632404</v>
      </c>
      <c r="G2252" s="492">
        <v>0</v>
      </c>
      <c r="H2252" s="493">
        <f t="shared" si="371"/>
        <v>0</v>
      </c>
      <c r="I2252" s="494">
        <f>재료비목록표!E76</f>
        <v>7400</v>
      </c>
      <c r="J2252" s="495">
        <f t="shared" si="372"/>
        <v>632404</v>
      </c>
      <c r="K2252" s="492">
        <v>0</v>
      </c>
      <c r="L2252" s="493">
        <f t="shared" si="373"/>
        <v>0</v>
      </c>
      <c r="M2252" s="463" t="s">
        <v>2924</v>
      </c>
      <c r="N2252" s="451" t="s">
        <v>2925</v>
      </c>
      <c r="O2252" s="468" t="s">
        <v>2926</v>
      </c>
      <c r="P2252" s="468" t="s">
        <v>2354</v>
      </c>
      <c r="Z2252" s="433" t="str">
        <f ca="1">HYPERLINK("#"&amp;재료비목록표!G2&amp;"!A"&amp;ROW(재료비목록표!A76),"M00960 →")</f>
        <v>M00960 →</v>
      </c>
    </row>
    <row r="2253" spans="1:26" ht="33.200000000000003" customHeight="1">
      <c r="A2253" s="452" t="s">
        <v>1461</v>
      </c>
      <c r="B2253" s="452" t="s">
        <v>1462</v>
      </c>
      <c r="C2253" s="489">
        <v>0.27100000000000002</v>
      </c>
      <c r="D2253" s="480" t="s">
        <v>8</v>
      </c>
      <c r="E2253" s="490">
        <f t="shared" si="370"/>
        <v>915052</v>
      </c>
      <c r="F2253" s="493">
        <f t="shared" si="370"/>
        <v>247979</v>
      </c>
      <c r="G2253" s="494">
        <f>일위대가목록표!F72</f>
        <v>915052</v>
      </c>
      <c r="H2253" s="498">
        <f t="shared" si="371"/>
        <v>247979</v>
      </c>
      <c r="I2253" s="494">
        <f>일위대가목록표!G72</f>
        <v>0</v>
      </c>
      <c r="J2253" s="498">
        <f t="shared" si="372"/>
        <v>0</v>
      </c>
      <c r="K2253" s="494">
        <f>일위대가목록표!H72</f>
        <v>0</v>
      </c>
      <c r="L2253" s="498">
        <f t="shared" si="373"/>
        <v>0</v>
      </c>
      <c r="M2253" s="463" t="s">
        <v>2471</v>
      </c>
      <c r="N2253" s="451" t="s">
        <v>2472</v>
      </c>
      <c r="O2253" s="468" t="s">
        <v>1465</v>
      </c>
      <c r="P2253" s="468" t="s">
        <v>2354</v>
      </c>
      <c r="Q2253" s="468" t="s">
        <v>2355</v>
      </c>
      <c r="Z2253" s="433" t="str">
        <f ca="1">HYPERLINK("#"&amp;일위대가목록표!J2&amp;"!A"&amp;ROW(일위대가목록표!A72),"B01822 →")</f>
        <v>B01822 →</v>
      </c>
    </row>
    <row r="2254" spans="1:26" ht="33.200000000000003" customHeight="1">
      <c r="A2254" s="452" t="s">
        <v>1532</v>
      </c>
      <c r="B2254" s="452" t="s">
        <v>1537</v>
      </c>
      <c r="C2254" s="489">
        <v>8.8960000000000008</v>
      </c>
      <c r="D2254" s="480" t="s">
        <v>595</v>
      </c>
      <c r="E2254" s="490">
        <f t="shared" si="370"/>
        <v>12642</v>
      </c>
      <c r="F2254" s="493">
        <f t="shared" si="370"/>
        <v>112463.1</v>
      </c>
      <c r="G2254" s="494">
        <f>일위대가목록표!F224</f>
        <v>11027</v>
      </c>
      <c r="H2254" s="498">
        <f t="shared" si="371"/>
        <v>98096.1</v>
      </c>
      <c r="I2254" s="494">
        <f>일위대가목록표!G224</f>
        <v>1395</v>
      </c>
      <c r="J2254" s="498">
        <f t="shared" si="372"/>
        <v>12409.9</v>
      </c>
      <c r="K2254" s="494">
        <f>일위대가목록표!H224</f>
        <v>220</v>
      </c>
      <c r="L2254" s="498">
        <f t="shared" si="373"/>
        <v>1957.1</v>
      </c>
      <c r="M2254" s="463" t="s">
        <v>2473</v>
      </c>
      <c r="N2254" s="451" t="s">
        <v>2474</v>
      </c>
      <c r="O2254" s="468" t="s">
        <v>1540</v>
      </c>
      <c r="P2254" s="468" t="s">
        <v>2354</v>
      </c>
      <c r="Q2254" s="468" t="s">
        <v>2355</v>
      </c>
      <c r="Z2254" s="433" t="str">
        <f ca="1">HYPERLINK("#"&amp;일위대가목록표!J2&amp;"!A"&amp;ROW(일위대가목록표!A224),"B01814 →")</f>
        <v>B01814 →</v>
      </c>
    </row>
    <row r="2255" spans="1:26" ht="33.200000000000003" customHeight="1">
      <c r="A2255" s="452" t="s">
        <v>2911</v>
      </c>
      <c r="B2255" s="452" t="s">
        <v>3264</v>
      </c>
      <c r="C2255" s="489">
        <v>0.84</v>
      </c>
      <c r="D2255" s="480" t="s">
        <v>911</v>
      </c>
      <c r="E2255" s="490">
        <f t="shared" si="370"/>
        <v>18310</v>
      </c>
      <c r="F2255" s="491">
        <f t="shared" si="370"/>
        <v>15380.4</v>
      </c>
      <c r="G2255" s="492">
        <v>0</v>
      </c>
      <c r="H2255" s="493">
        <f t="shared" si="371"/>
        <v>0</v>
      </c>
      <c r="I2255" s="494">
        <f>재료비목록표!E22</f>
        <v>18310</v>
      </c>
      <c r="J2255" s="495">
        <f t="shared" si="372"/>
        <v>15380.4</v>
      </c>
      <c r="K2255" s="492">
        <v>0</v>
      </c>
      <c r="L2255" s="493">
        <f t="shared" si="373"/>
        <v>0</v>
      </c>
      <c r="M2255" s="463" t="s">
        <v>3265</v>
      </c>
      <c r="N2255" s="451" t="s">
        <v>3266</v>
      </c>
      <c r="O2255" s="468" t="s">
        <v>3267</v>
      </c>
      <c r="P2255" s="468" t="s">
        <v>2354</v>
      </c>
      <c r="Z2255" s="433" t="str">
        <f ca="1">HYPERLINK("#"&amp;재료비목록표!G2&amp;"!A"&amp;ROW(재료비목록표!A22),"M01578 →")</f>
        <v>M01578 →</v>
      </c>
    </row>
    <row r="2256" spans="1:26" ht="33.200000000000003" customHeight="1">
      <c r="A2256" s="452" t="s">
        <v>2325</v>
      </c>
      <c r="B2256" s="452" t="s">
        <v>2326</v>
      </c>
      <c r="C2256" s="489">
        <v>8.6E-3</v>
      </c>
      <c r="D2256" s="480" t="s">
        <v>2132</v>
      </c>
      <c r="E2256" s="490">
        <f t="shared" si="370"/>
        <v>3316857</v>
      </c>
      <c r="F2256" s="493">
        <f t="shared" si="370"/>
        <v>28524.799999999999</v>
      </c>
      <c r="G2256" s="494">
        <f>일위대가목록표!F276</f>
        <v>3071165</v>
      </c>
      <c r="H2256" s="498">
        <f t="shared" si="371"/>
        <v>26412</v>
      </c>
      <c r="I2256" s="494">
        <f>일위대가목록표!G276</f>
        <v>92134</v>
      </c>
      <c r="J2256" s="498">
        <f t="shared" si="372"/>
        <v>792.3</v>
      </c>
      <c r="K2256" s="494">
        <f>일위대가목록표!H276</f>
        <v>153558</v>
      </c>
      <c r="L2256" s="498">
        <f t="shared" si="373"/>
        <v>1320.5</v>
      </c>
      <c r="M2256" s="463" t="s">
        <v>3268</v>
      </c>
      <c r="N2256" s="451" t="s">
        <v>3283</v>
      </c>
      <c r="O2256" s="468" t="s">
        <v>3270</v>
      </c>
      <c r="P2256" s="468" t="s">
        <v>2354</v>
      </c>
      <c r="Q2256" s="468" t="s">
        <v>2355</v>
      </c>
      <c r="Z2256" s="433" t="str">
        <f ca="1">HYPERLINK("#"&amp;일위대가목록표!J2&amp;"!A"&amp;ROW(일위대가목록표!A276),"B02691 →")</f>
        <v>B02691 →</v>
      </c>
    </row>
    <row r="2257" spans="1:26" ht="33.200000000000003" customHeight="1">
      <c r="A2257" s="452" t="s">
        <v>3271</v>
      </c>
      <c r="B2257" s="452" t="s">
        <v>3272</v>
      </c>
      <c r="C2257" s="489">
        <v>4.57</v>
      </c>
      <c r="D2257" s="480" t="s">
        <v>911</v>
      </c>
      <c r="E2257" s="490">
        <f t="shared" si="370"/>
        <v>5990</v>
      </c>
      <c r="F2257" s="491">
        <f t="shared" si="370"/>
        <v>27374.3</v>
      </c>
      <c r="G2257" s="492">
        <v>0</v>
      </c>
      <c r="H2257" s="493">
        <f t="shared" si="371"/>
        <v>0</v>
      </c>
      <c r="I2257" s="494">
        <f>재료비목록표!E88</f>
        <v>5990</v>
      </c>
      <c r="J2257" s="495">
        <f t="shared" si="372"/>
        <v>27374.3</v>
      </c>
      <c r="K2257" s="492">
        <v>0</v>
      </c>
      <c r="L2257" s="493">
        <f t="shared" si="373"/>
        <v>0</v>
      </c>
      <c r="M2257" s="463" t="s">
        <v>3273</v>
      </c>
      <c r="N2257" s="451" t="s">
        <v>3274</v>
      </c>
      <c r="O2257" s="468" t="s">
        <v>3275</v>
      </c>
      <c r="P2257" s="468" t="s">
        <v>2354</v>
      </c>
      <c r="Z2257" s="433" t="str">
        <f ca="1">HYPERLINK("#"&amp;재료비목록표!G2&amp;"!A"&amp;ROW(재료비목록표!A88),"M01158 →")</f>
        <v>M01158 →</v>
      </c>
    </row>
    <row r="2258" spans="1:26" ht="33.200000000000003" customHeight="1">
      <c r="A2258" s="452" t="s">
        <v>2927</v>
      </c>
      <c r="B2258" s="452" t="s">
        <v>3276</v>
      </c>
      <c r="C2258" s="489">
        <v>4.2</v>
      </c>
      <c r="D2258" s="480" t="s">
        <v>2377</v>
      </c>
      <c r="E2258" s="490">
        <f t="shared" si="370"/>
        <v>1246</v>
      </c>
      <c r="F2258" s="491">
        <f t="shared" si="370"/>
        <v>5233.2</v>
      </c>
      <c r="G2258" s="492">
        <v>0</v>
      </c>
      <c r="H2258" s="493">
        <f t="shared" si="371"/>
        <v>0</v>
      </c>
      <c r="I2258" s="494">
        <f>재료비목록표!E55</f>
        <v>1246</v>
      </c>
      <c r="J2258" s="495">
        <f t="shared" si="372"/>
        <v>5233.2</v>
      </c>
      <c r="K2258" s="492">
        <v>0</v>
      </c>
      <c r="L2258" s="493">
        <f t="shared" si="373"/>
        <v>0</v>
      </c>
      <c r="M2258" s="463" t="s">
        <v>3277</v>
      </c>
      <c r="N2258" s="451" t="s">
        <v>3278</v>
      </c>
      <c r="O2258" s="468" t="s">
        <v>3279</v>
      </c>
      <c r="P2258" s="468" t="s">
        <v>2354</v>
      </c>
      <c r="Z2258" s="433" t="str">
        <f ca="1">HYPERLINK("#"&amp;재료비목록표!G2&amp;"!A"&amp;ROW(재료비목록표!A55),"M01455 →")</f>
        <v>M01455 →</v>
      </c>
    </row>
    <row r="2259" spans="1:26" ht="33.200000000000003" customHeight="1">
      <c r="A2259" s="452" t="s">
        <v>2932</v>
      </c>
      <c r="B2259" s="452" t="s">
        <v>2933</v>
      </c>
      <c r="C2259" s="489">
        <v>4.2</v>
      </c>
      <c r="D2259" s="480" t="s">
        <v>2377</v>
      </c>
      <c r="E2259" s="490">
        <f t="shared" si="370"/>
        <v>157.30000000000001</v>
      </c>
      <c r="F2259" s="491">
        <f t="shared" si="370"/>
        <v>660.6</v>
      </c>
      <c r="G2259" s="492">
        <v>0</v>
      </c>
      <c r="H2259" s="493">
        <f t="shared" si="371"/>
        <v>0</v>
      </c>
      <c r="I2259" s="494">
        <f>재료비목록표!E26</f>
        <v>157.30000000000001</v>
      </c>
      <c r="J2259" s="495">
        <f t="shared" si="372"/>
        <v>660.6</v>
      </c>
      <c r="K2259" s="492">
        <v>0</v>
      </c>
      <c r="L2259" s="493">
        <f t="shared" si="373"/>
        <v>0</v>
      </c>
      <c r="M2259" s="463" t="s">
        <v>2934</v>
      </c>
      <c r="N2259" s="451" t="s">
        <v>2935</v>
      </c>
      <c r="O2259" s="468" t="s">
        <v>2936</v>
      </c>
      <c r="P2259" s="468" t="s">
        <v>2354</v>
      </c>
      <c r="Z2259" s="433" t="str">
        <f ca="1">HYPERLINK("#"&amp;재료비목록표!G2&amp;"!A"&amp;ROW(재료비목록표!A26),"M00958 →")</f>
        <v>M00958 →</v>
      </c>
    </row>
    <row r="2260" spans="1:26" ht="33.200000000000003" customHeight="1">
      <c r="A2260" s="452" t="s">
        <v>2937</v>
      </c>
      <c r="B2260" s="452" t="s">
        <v>2933</v>
      </c>
      <c r="C2260" s="489">
        <v>8.4</v>
      </c>
      <c r="D2260" s="480" t="s">
        <v>2377</v>
      </c>
      <c r="E2260" s="490">
        <f t="shared" si="370"/>
        <v>53.7</v>
      </c>
      <c r="F2260" s="491">
        <f t="shared" si="370"/>
        <v>451</v>
      </c>
      <c r="G2260" s="492">
        <v>0</v>
      </c>
      <c r="H2260" s="493">
        <f t="shared" si="371"/>
        <v>0</v>
      </c>
      <c r="I2260" s="494">
        <f>재료비목록표!E74</f>
        <v>53.7</v>
      </c>
      <c r="J2260" s="495">
        <f t="shared" si="372"/>
        <v>451</v>
      </c>
      <c r="K2260" s="492">
        <v>0</v>
      </c>
      <c r="L2260" s="493">
        <f t="shared" si="373"/>
        <v>0</v>
      </c>
      <c r="M2260" s="463" t="s">
        <v>2938</v>
      </c>
      <c r="N2260" s="451" t="s">
        <v>2939</v>
      </c>
      <c r="O2260" s="468" t="s">
        <v>2940</v>
      </c>
      <c r="P2260" s="468" t="s">
        <v>2354</v>
      </c>
      <c r="Z2260" s="433" t="str">
        <f ca="1">HYPERLINK("#"&amp;재료비목록표!G2&amp;"!A"&amp;ROW(재료비목록표!A74),"M00648 →")</f>
        <v>M00648 →</v>
      </c>
    </row>
    <row r="2261" spans="1:26" ht="33.200000000000003" customHeight="1">
      <c r="A2261" s="452" t="s">
        <v>2574</v>
      </c>
      <c r="B2261" s="452" t="s">
        <v>2575</v>
      </c>
      <c r="C2261" s="489">
        <v>1.2290000000000001E-3</v>
      </c>
      <c r="D2261" s="480" t="s">
        <v>2576</v>
      </c>
      <c r="E2261" s="490">
        <f t="shared" si="370"/>
        <v>765000</v>
      </c>
      <c r="F2261" s="491">
        <f t="shared" si="370"/>
        <v>940.1</v>
      </c>
      <c r="G2261" s="492">
        <v>0</v>
      </c>
      <c r="H2261" s="493">
        <f t="shared" si="371"/>
        <v>0</v>
      </c>
      <c r="I2261" s="494">
        <f>재료비목록표!E81</f>
        <v>765000</v>
      </c>
      <c r="J2261" s="495">
        <f t="shared" si="372"/>
        <v>940.1</v>
      </c>
      <c r="K2261" s="492">
        <v>0</v>
      </c>
      <c r="L2261" s="493">
        <f t="shared" si="373"/>
        <v>0</v>
      </c>
      <c r="M2261" s="463" t="s">
        <v>2577</v>
      </c>
      <c r="N2261" s="451" t="s">
        <v>2578</v>
      </c>
      <c r="O2261" s="468" t="s">
        <v>2579</v>
      </c>
      <c r="P2261" s="468" t="s">
        <v>2354</v>
      </c>
      <c r="Z2261" s="433" t="str">
        <f ca="1">HYPERLINK("#"&amp;재료비목록표!G2&amp;"!A"&amp;ROW(재료비목록표!A81),"M00150 →")</f>
        <v>M00150 →</v>
      </c>
    </row>
    <row r="2262" spans="1:26" ht="33.200000000000003" customHeight="1">
      <c r="A2262" s="452" t="s">
        <v>2580</v>
      </c>
      <c r="B2262" s="452" t="s">
        <v>2581</v>
      </c>
      <c r="C2262" s="489">
        <v>1.194E-3</v>
      </c>
      <c r="D2262" s="480" t="s">
        <v>2132</v>
      </c>
      <c r="E2262" s="490">
        <f t="shared" si="370"/>
        <v>1386016</v>
      </c>
      <c r="F2262" s="493">
        <f t="shared" si="370"/>
        <v>1654.8</v>
      </c>
      <c r="G2262" s="494">
        <f>단가산출근거목록표!F141</f>
        <v>1375031</v>
      </c>
      <c r="H2262" s="498">
        <f t="shared" si="371"/>
        <v>1641.7</v>
      </c>
      <c r="I2262" s="494">
        <f>단가산출근거목록표!G141</f>
        <v>10985</v>
      </c>
      <c r="J2262" s="498">
        <f t="shared" si="372"/>
        <v>13.1</v>
      </c>
      <c r="K2262" s="494">
        <f>단가산출근거목록표!H141</f>
        <v>0</v>
      </c>
      <c r="L2262" s="498">
        <f t="shared" si="373"/>
        <v>0</v>
      </c>
      <c r="M2262" s="463" t="s">
        <v>2582</v>
      </c>
      <c r="N2262" s="451" t="s">
        <v>2588</v>
      </c>
      <c r="O2262" s="468" t="s">
        <v>2584</v>
      </c>
      <c r="P2262" s="468" t="s">
        <v>2354</v>
      </c>
      <c r="Q2262" s="468" t="s">
        <v>2355</v>
      </c>
      <c r="Z2262" s="433" t="str">
        <f ca="1">HYPERLINK("#"&amp;단가산출근거목록표!J2&amp;"!A"&amp;ROW(단가산출근거목록표!A141),"D00950 →")</f>
        <v>D00950 →</v>
      </c>
    </row>
    <row r="2263" spans="1:26" ht="33.200000000000003" customHeight="1">
      <c r="A2263" s="452" t="s">
        <v>2507</v>
      </c>
      <c r="B2263" s="452" t="s">
        <v>2441</v>
      </c>
      <c r="C2263" s="489">
        <v>15</v>
      </c>
      <c r="D2263" s="480" t="s">
        <v>2371</v>
      </c>
      <c r="E2263" s="490">
        <f t="shared" si="370"/>
        <v>505066.7</v>
      </c>
      <c r="F2263" s="491">
        <f t="shared" si="370"/>
        <v>75760</v>
      </c>
      <c r="G2263" s="496">
        <f>H2247+H2248+H2249+H2250+H2251+H2253+H2254+H2256+H2262</f>
        <v>505066.7</v>
      </c>
      <c r="H2263" s="491">
        <f>IF(C2263=0,0,ROUNDDOWN(G2263*C2263/100,1))</f>
        <v>75760</v>
      </c>
      <c r="I2263" s="465">
        <v>0</v>
      </c>
      <c r="J2263" s="493">
        <f>IF(C2263=0,0,ROUNDDOWN(I2263*C2263/100,1))</f>
        <v>0</v>
      </c>
      <c r="K2263" s="467">
        <v>0</v>
      </c>
      <c r="L2263" s="493">
        <f>IF(C2263=0,0,ROUNDDOWN(K2263*C2263/100,1))</f>
        <v>0</v>
      </c>
      <c r="M2263" s="463"/>
      <c r="N2263" s="451" t="s">
        <v>2508</v>
      </c>
      <c r="O2263" s="468" t="s">
        <v>2373</v>
      </c>
      <c r="P2263" s="468" t="s">
        <v>2354</v>
      </c>
    </row>
    <row r="2264" spans="1:26" ht="33.200000000000003" customHeight="1">
      <c r="A2264" s="463" t="s">
        <v>842</v>
      </c>
      <c r="B2264" s="497"/>
      <c r="C2264" s="497"/>
      <c r="D2264" s="497"/>
      <c r="E2264" s="497"/>
      <c r="F2264" s="446">
        <f>J2264+H2264+L2264</f>
        <v>1307548</v>
      </c>
      <c r="G2264" s="497"/>
      <c r="H2264" s="446">
        <f>ROUNDDOWN(SUMIF(P2247:P2263,O2264,H2247:H2263),0)</f>
        <v>580826</v>
      </c>
      <c r="I2264" s="497"/>
      <c r="J2264" s="446">
        <f>ROUNDDOWN(SUMIF(P2247:P2263,O2264,J2247:J2263),0)</f>
        <v>723005</v>
      </c>
      <c r="K2264" s="497"/>
      <c r="L2264" s="446">
        <f>ROUNDDOWN(SUMIF(P2247:P2263,O2264,L2247:L2263),0)</f>
        <v>3717</v>
      </c>
      <c r="M2264" s="497"/>
      <c r="O2264" s="468" t="s">
        <v>2354</v>
      </c>
    </row>
    <row r="2265" spans="1:26" ht="33.200000000000003" customHeight="1">
      <c r="A2265" s="484" t="s">
        <v>5540</v>
      </c>
      <c r="B2265" s="484"/>
      <c r="C2265" s="485"/>
      <c r="D2265" s="485"/>
      <c r="E2265" s="485"/>
      <c r="F2265" s="485"/>
      <c r="G2265" s="485"/>
      <c r="H2265" s="485"/>
      <c r="I2265" s="485"/>
      <c r="J2265" s="485"/>
      <c r="K2265" s="485"/>
      <c r="L2265" s="485"/>
      <c r="M2265" s="485"/>
      <c r="N2265" s="486" t="str">
        <f>HYPERLINK("#N"&amp;ROW(N2283),"_x0005_`BDCOD|B02650_x0007_`POSS|"&amp;ROW(N2267)&amp;"_x0007_`POSE|"&amp;ROW(N2283)&amp;"_x0007_`")</f>
        <v>_x0005_`BDCOD|B02650_x0007_`POSS|2267_x0007_`POSE|2283_x0007_`</v>
      </c>
    </row>
    <row r="2266" spans="1:26" ht="33.200000000000003" customHeight="1">
      <c r="A2266" s="469" t="s">
        <v>5173</v>
      </c>
      <c r="B2266" s="469" t="s">
        <v>1159</v>
      </c>
      <c r="C2266" s="487"/>
      <c r="D2266" s="488" t="s">
        <v>966</v>
      </c>
      <c r="E2266" s="487"/>
      <c r="F2266" s="487"/>
      <c r="G2266" s="487"/>
      <c r="H2266" s="487"/>
      <c r="I2266" s="487"/>
      <c r="J2266" s="487"/>
      <c r="K2266" s="487"/>
      <c r="L2266" s="487"/>
      <c r="M2266" s="488" t="s">
        <v>1160</v>
      </c>
      <c r="O2266" s="468" t="s">
        <v>1160</v>
      </c>
    </row>
    <row r="2267" spans="1:26" ht="33.200000000000003" customHeight="1">
      <c r="A2267" s="452" t="s">
        <v>2484</v>
      </c>
      <c r="B2267" s="452" t="s">
        <v>2485</v>
      </c>
      <c r="C2267" s="489">
        <v>0.44600000000000001</v>
      </c>
      <c r="D2267" s="480" t="s">
        <v>8</v>
      </c>
      <c r="E2267" s="490">
        <f t="shared" ref="E2267:F2283" si="374">I2267+G2267+K2267</f>
        <v>62811</v>
      </c>
      <c r="F2267" s="493">
        <f t="shared" si="374"/>
        <v>28013.7</v>
      </c>
      <c r="G2267" s="494">
        <f>단가산출근거목록표!F157</f>
        <v>62811</v>
      </c>
      <c r="H2267" s="498">
        <f t="shared" ref="H2267:H2282" si="375">IF(C2267=0,0,ROUNDDOWN(G2267*C2267,1))</f>
        <v>28013.7</v>
      </c>
      <c r="I2267" s="494">
        <f>단가산출근거목록표!G157</f>
        <v>0</v>
      </c>
      <c r="J2267" s="498">
        <f t="shared" ref="J2267:J2282" si="376">IF(C2267=0,0,ROUNDDOWN(I2267*C2267,1))</f>
        <v>0</v>
      </c>
      <c r="K2267" s="494">
        <f>단가산출근거목록표!H157</f>
        <v>0</v>
      </c>
      <c r="L2267" s="498">
        <f t="shared" ref="L2267:L2282" si="377">IF(C2267=0,0,ROUNDDOWN(K2267*C2267,1))</f>
        <v>0</v>
      </c>
      <c r="M2267" s="463" t="s">
        <v>2486</v>
      </c>
      <c r="N2267" s="451" t="s">
        <v>2487</v>
      </c>
      <c r="O2267" s="468" t="s">
        <v>2488</v>
      </c>
      <c r="P2267" s="468" t="s">
        <v>2354</v>
      </c>
      <c r="Q2267" s="468" t="s">
        <v>2355</v>
      </c>
      <c r="Z2267" s="433" t="str">
        <f ca="1">HYPERLINK("#"&amp;단가산출근거목록표!J2&amp;"!A"&amp;ROW(단가산출근거목록표!A157),"D01241 →")</f>
        <v>D01241 →</v>
      </c>
    </row>
    <row r="2268" spans="1:26" ht="33.200000000000003" customHeight="1">
      <c r="A2268" s="452" t="s">
        <v>2321</v>
      </c>
      <c r="B2268" s="452" t="s">
        <v>2322</v>
      </c>
      <c r="C2268" s="489">
        <v>0.13100000000000001</v>
      </c>
      <c r="D2268" s="480" t="s">
        <v>8</v>
      </c>
      <c r="E2268" s="490">
        <f t="shared" si="374"/>
        <v>34413</v>
      </c>
      <c r="F2268" s="493">
        <f t="shared" si="374"/>
        <v>4508.1000000000004</v>
      </c>
      <c r="G2268" s="494">
        <f>일위대가목록표!F275</f>
        <v>34413</v>
      </c>
      <c r="H2268" s="498">
        <f t="shared" si="375"/>
        <v>4508.1000000000004</v>
      </c>
      <c r="I2268" s="494">
        <f>일위대가목록표!G275</f>
        <v>0</v>
      </c>
      <c r="J2268" s="498">
        <f t="shared" si="376"/>
        <v>0</v>
      </c>
      <c r="K2268" s="494">
        <f>일위대가목록표!H275</f>
        <v>0</v>
      </c>
      <c r="L2268" s="498">
        <f t="shared" si="377"/>
        <v>0</v>
      </c>
      <c r="M2268" s="463" t="s">
        <v>2489</v>
      </c>
      <c r="N2268" s="451" t="s">
        <v>2490</v>
      </c>
      <c r="O2268" s="468" t="s">
        <v>2491</v>
      </c>
      <c r="P2268" s="468" t="s">
        <v>2354</v>
      </c>
      <c r="Q2268" s="468" t="s">
        <v>2355</v>
      </c>
      <c r="Z2268" s="433" t="str">
        <f ca="1">HYPERLINK("#"&amp;일위대가목록표!J2&amp;"!A"&amp;ROW(일위대가목록표!A275),"B01414 →")</f>
        <v>B01414 →</v>
      </c>
    </row>
    <row r="2269" spans="1:26" ht="33.200000000000003" customHeight="1">
      <c r="A2269" s="452" t="s">
        <v>2298</v>
      </c>
      <c r="B2269" s="452" t="s">
        <v>2299</v>
      </c>
      <c r="C2269" s="489">
        <v>0.315</v>
      </c>
      <c r="D2269" s="480" t="s">
        <v>8</v>
      </c>
      <c r="E2269" s="490">
        <f t="shared" si="374"/>
        <v>24089</v>
      </c>
      <c r="F2269" s="493">
        <f t="shared" si="374"/>
        <v>7588</v>
      </c>
      <c r="G2269" s="494">
        <f>일위대가목록표!F37</f>
        <v>24089</v>
      </c>
      <c r="H2269" s="498">
        <f t="shared" si="375"/>
        <v>7588</v>
      </c>
      <c r="I2269" s="494">
        <f>일위대가목록표!G37</f>
        <v>0</v>
      </c>
      <c r="J2269" s="498">
        <f t="shared" si="376"/>
        <v>0</v>
      </c>
      <c r="K2269" s="494">
        <f>일위대가목록표!H37</f>
        <v>0</v>
      </c>
      <c r="L2269" s="498">
        <f t="shared" si="377"/>
        <v>0</v>
      </c>
      <c r="M2269" s="463" t="s">
        <v>2492</v>
      </c>
      <c r="N2269" s="451" t="s">
        <v>2493</v>
      </c>
      <c r="O2269" s="468" t="s">
        <v>2494</v>
      </c>
      <c r="P2269" s="468" t="s">
        <v>2354</v>
      </c>
      <c r="Q2269" s="468" t="s">
        <v>2355</v>
      </c>
      <c r="Z2269" s="433" t="str">
        <f ca="1">HYPERLINK("#"&amp;일위대가목록표!J2&amp;"!A"&amp;ROW(일위대가목록표!A37),"B01447 →")</f>
        <v>B01447 →</v>
      </c>
    </row>
    <row r="2270" spans="1:26" ht="33.200000000000003" customHeight="1">
      <c r="A2270" s="452" t="s">
        <v>2342</v>
      </c>
      <c r="B2270" s="452" t="s">
        <v>2343</v>
      </c>
      <c r="C2270" s="489">
        <v>0.125</v>
      </c>
      <c r="D2270" s="480" t="s">
        <v>8</v>
      </c>
      <c r="E2270" s="490">
        <f t="shared" si="374"/>
        <v>477254</v>
      </c>
      <c r="F2270" s="493">
        <f t="shared" si="374"/>
        <v>59656.7</v>
      </c>
      <c r="G2270" s="494">
        <f>일위대가목록표!F330</f>
        <v>373604</v>
      </c>
      <c r="H2270" s="498">
        <f t="shared" si="375"/>
        <v>46700.5</v>
      </c>
      <c r="I2270" s="494">
        <f>일위대가목록표!G330</f>
        <v>103650</v>
      </c>
      <c r="J2270" s="498">
        <f t="shared" si="376"/>
        <v>12956.2</v>
      </c>
      <c r="K2270" s="494">
        <f>일위대가목록표!H330</f>
        <v>0</v>
      </c>
      <c r="L2270" s="498">
        <f t="shared" si="377"/>
        <v>0</v>
      </c>
      <c r="M2270" s="463" t="s">
        <v>2500</v>
      </c>
      <c r="N2270" s="451" t="s">
        <v>2501</v>
      </c>
      <c r="O2270" s="468" t="s">
        <v>2502</v>
      </c>
      <c r="P2270" s="468" t="s">
        <v>2354</v>
      </c>
      <c r="Q2270" s="468" t="s">
        <v>2355</v>
      </c>
      <c r="Z2270" s="433" t="str">
        <f ca="1">HYPERLINK("#"&amp;일위대가목록표!J2&amp;"!A"&amp;ROW(일위대가목록표!A330),"B01936 →")</f>
        <v>B01936 →</v>
      </c>
    </row>
    <row r="2271" spans="1:26" ht="33.200000000000003" customHeight="1">
      <c r="A2271" s="452" t="s">
        <v>2495</v>
      </c>
      <c r="B2271" s="452" t="s">
        <v>2496</v>
      </c>
      <c r="C2271" s="489">
        <v>1.28</v>
      </c>
      <c r="D2271" s="480" t="s">
        <v>595</v>
      </c>
      <c r="E2271" s="490">
        <f t="shared" si="374"/>
        <v>46533</v>
      </c>
      <c r="F2271" s="493">
        <f t="shared" si="374"/>
        <v>59562.100000000006</v>
      </c>
      <c r="G2271" s="494">
        <f>단가산출근거목록표!F169</f>
        <v>34461</v>
      </c>
      <c r="H2271" s="498">
        <f t="shared" si="375"/>
        <v>44110</v>
      </c>
      <c r="I2271" s="494">
        <f>단가산출근거목록표!G169</f>
        <v>11728</v>
      </c>
      <c r="J2271" s="498">
        <f t="shared" si="376"/>
        <v>15011.8</v>
      </c>
      <c r="K2271" s="494">
        <f>단가산출근거목록표!H169</f>
        <v>344</v>
      </c>
      <c r="L2271" s="498">
        <f t="shared" si="377"/>
        <v>440.3</v>
      </c>
      <c r="M2271" s="463" t="s">
        <v>2497</v>
      </c>
      <c r="N2271" s="451" t="s">
        <v>2498</v>
      </c>
      <c r="O2271" s="468" t="s">
        <v>2499</v>
      </c>
      <c r="P2271" s="468" t="s">
        <v>2354</v>
      </c>
      <c r="Q2271" s="468" t="s">
        <v>2355</v>
      </c>
      <c r="Z2271" s="433" t="str">
        <f ca="1">HYPERLINK("#"&amp;단가산출근거목록표!J2&amp;"!A"&amp;ROW(단가산출근거목록표!A169),"D01231 →")</f>
        <v>D01231 →</v>
      </c>
    </row>
    <row r="2272" spans="1:26" ht="33.200000000000003" customHeight="1">
      <c r="A2272" s="452" t="s">
        <v>2922</v>
      </c>
      <c r="B2272" s="452" t="s">
        <v>2923</v>
      </c>
      <c r="C2272" s="489">
        <v>60.585999999999999</v>
      </c>
      <c r="D2272" s="480" t="s">
        <v>605</v>
      </c>
      <c r="E2272" s="490">
        <f t="shared" si="374"/>
        <v>7400</v>
      </c>
      <c r="F2272" s="491">
        <f t="shared" si="374"/>
        <v>448336.4</v>
      </c>
      <c r="G2272" s="492">
        <v>0</v>
      </c>
      <c r="H2272" s="493">
        <f t="shared" si="375"/>
        <v>0</v>
      </c>
      <c r="I2272" s="494">
        <f>재료비목록표!E76</f>
        <v>7400</v>
      </c>
      <c r="J2272" s="495">
        <f t="shared" si="376"/>
        <v>448336.4</v>
      </c>
      <c r="K2272" s="492">
        <v>0</v>
      </c>
      <c r="L2272" s="493">
        <f t="shared" si="377"/>
        <v>0</v>
      </c>
      <c r="M2272" s="463" t="s">
        <v>2924</v>
      </c>
      <c r="N2272" s="451" t="s">
        <v>2925</v>
      </c>
      <c r="O2272" s="468" t="s">
        <v>2926</v>
      </c>
      <c r="P2272" s="468" t="s">
        <v>2354</v>
      </c>
      <c r="Z2272" s="433" t="str">
        <f ca="1">HYPERLINK("#"&amp;재료비목록표!G2&amp;"!A"&amp;ROW(재료비목록표!A76),"M00960 →")</f>
        <v>M00960 →</v>
      </c>
    </row>
    <row r="2273" spans="1:26" ht="33.200000000000003" customHeight="1">
      <c r="A2273" s="452" t="s">
        <v>1461</v>
      </c>
      <c r="B2273" s="452" t="s">
        <v>1462</v>
      </c>
      <c r="C2273" s="489">
        <v>0.192</v>
      </c>
      <c r="D2273" s="480" t="s">
        <v>8</v>
      </c>
      <c r="E2273" s="490">
        <f t="shared" si="374"/>
        <v>915052</v>
      </c>
      <c r="F2273" s="493">
        <f t="shared" si="374"/>
        <v>175689.9</v>
      </c>
      <c r="G2273" s="494">
        <f>일위대가목록표!F72</f>
        <v>915052</v>
      </c>
      <c r="H2273" s="498">
        <f t="shared" si="375"/>
        <v>175689.9</v>
      </c>
      <c r="I2273" s="494">
        <f>일위대가목록표!G72</f>
        <v>0</v>
      </c>
      <c r="J2273" s="498">
        <f t="shared" si="376"/>
        <v>0</v>
      </c>
      <c r="K2273" s="494">
        <f>일위대가목록표!H72</f>
        <v>0</v>
      </c>
      <c r="L2273" s="498">
        <f t="shared" si="377"/>
        <v>0</v>
      </c>
      <c r="M2273" s="463" t="s">
        <v>2471</v>
      </c>
      <c r="N2273" s="451" t="s">
        <v>2472</v>
      </c>
      <c r="O2273" s="468" t="s">
        <v>1465</v>
      </c>
      <c r="P2273" s="468" t="s">
        <v>2354</v>
      </c>
      <c r="Q2273" s="468" t="s">
        <v>2355</v>
      </c>
      <c r="Z2273" s="433" t="str">
        <f ca="1">HYPERLINK("#"&amp;일위대가목록표!J2&amp;"!A"&amp;ROW(일위대가목록표!A72),"B01822 →")</f>
        <v>B01822 →</v>
      </c>
    </row>
    <row r="2274" spans="1:26" ht="33.200000000000003" customHeight="1">
      <c r="A2274" s="452" t="s">
        <v>1532</v>
      </c>
      <c r="B2274" s="452" t="s">
        <v>1537</v>
      </c>
      <c r="C2274" s="489">
        <v>6.2590000000000003</v>
      </c>
      <c r="D2274" s="480" t="s">
        <v>595</v>
      </c>
      <c r="E2274" s="490">
        <f t="shared" si="374"/>
        <v>12642</v>
      </c>
      <c r="F2274" s="493">
        <f t="shared" si="374"/>
        <v>79126.099999999991</v>
      </c>
      <c r="G2274" s="494">
        <f>일위대가목록표!F224</f>
        <v>11027</v>
      </c>
      <c r="H2274" s="498">
        <f t="shared" si="375"/>
        <v>69017.899999999994</v>
      </c>
      <c r="I2274" s="494">
        <f>일위대가목록표!G224</f>
        <v>1395</v>
      </c>
      <c r="J2274" s="498">
        <f t="shared" si="376"/>
        <v>8731.2999999999993</v>
      </c>
      <c r="K2274" s="494">
        <f>일위대가목록표!H224</f>
        <v>220</v>
      </c>
      <c r="L2274" s="498">
        <f t="shared" si="377"/>
        <v>1376.9</v>
      </c>
      <c r="M2274" s="463" t="s">
        <v>2473</v>
      </c>
      <c r="N2274" s="451" t="s">
        <v>2474</v>
      </c>
      <c r="O2274" s="468" t="s">
        <v>1540</v>
      </c>
      <c r="P2274" s="468" t="s">
        <v>2354</v>
      </c>
      <c r="Q2274" s="468" t="s">
        <v>2355</v>
      </c>
      <c r="Z2274" s="433" t="str">
        <f ca="1">HYPERLINK("#"&amp;일위대가목록표!J2&amp;"!A"&amp;ROW(일위대가목록표!A224),"B01814 →")</f>
        <v>B01814 →</v>
      </c>
    </row>
    <row r="2275" spans="1:26" ht="33.200000000000003" customHeight="1">
      <c r="A2275" s="452" t="s">
        <v>2911</v>
      </c>
      <c r="B2275" s="452" t="s">
        <v>3264</v>
      </c>
      <c r="C2275" s="489">
        <v>0.84</v>
      </c>
      <c r="D2275" s="480" t="s">
        <v>911</v>
      </c>
      <c r="E2275" s="490">
        <f t="shared" si="374"/>
        <v>18310</v>
      </c>
      <c r="F2275" s="491">
        <f t="shared" si="374"/>
        <v>15380.4</v>
      </c>
      <c r="G2275" s="492">
        <v>0</v>
      </c>
      <c r="H2275" s="493">
        <f t="shared" si="375"/>
        <v>0</v>
      </c>
      <c r="I2275" s="494">
        <f>재료비목록표!E22</f>
        <v>18310</v>
      </c>
      <c r="J2275" s="495">
        <f t="shared" si="376"/>
        <v>15380.4</v>
      </c>
      <c r="K2275" s="492">
        <v>0</v>
      </c>
      <c r="L2275" s="493">
        <f t="shared" si="377"/>
        <v>0</v>
      </c>
      <c r="M2275" s="463" t="s">
        <v>3265</v>
      </c>
      <c r="N2275" s="451" t="s">
        <v>3266</v>
      </c>
      <c r="O2275" s="468" t="s">
        <v>3267</v>
      </c>
      <c r="P2275" s="468" t="s">
        <v>2354</v>
      </c>
      <c r="Z2275" s="433" t="str">
        <f ca="1">HYPERLINK("#"&amp;재료비목록표!G2&amp;"!A"&amp;ROW(재료비목록표!A22),"M01578 →")</f>
        <v>M01578 →</v>
      </c>
    </row>
    <row r="2276" spans="1:26" ht="33.200000000000003" customHeight="1">
      <c r="A2276" s="452" t="s">
        <v>2325</v>
      </c>
      <c r="B2276" s="452" t="s">
        <v>2326</v>
      </c>
      <c r="C2276" s="489">
        <v>8.6E-3</v>
      </c>
      <c r="D2276" s="480" t="s">
        <v>2132</v>
      </c>
      <c r="E2276" s="490">
        <f t="shared" si="374"/>
        <v>3316857</v>
      </c>
      <c r="F2276" s="493">
        <f t="shared" si="374"/>
        <v>28524.799999999999</v>
      </c>
      <c r="G2276" s="494">
        <f>일위대가목록표!F276</f>
        <v>3071165</v>
      </c>
      <c r="H2276" s="498">
        <f t="shared" si="375"/>
        <v>26412</v>
      </c>
      <c r="I2276" s="494">
        <f>일위대가목록표!G276</f>
        <v>92134</v>
      </c>
      <c r="J2276" s="498">
        <f t="shared" si="376"/>
        <v>792.3</v>
      </c>
      <c r="K2276" s="494">
        <f>일위대가목록표!H276</f>
        <v>153558</v>
      </c>
      <c r="L2276" s="498">
        <f t="shared" si="377"/>
        <v>1320.5</v>
      </c>
      <c r="M2276" s="463" t="s">
        <v>3268</v>
      </c>
      <c r="N2276" s="451" t="s">
        <v>3283</v>
      </c>
      <c r="O2276" s="468" t="s">
        <v>3270</v>
      </c>
      <c r="P2276" s="468" t="s">
        <v>2354</v>
      </c>
      <c r="Q2276" s="468" t="s">
        <v>2355</v>
      </c>
      <c r="Z2276" s="433" t="str">
        <f ca="1">HYPERLINK("#"&amp;일위대가목록표!J2&amp;"!A"&amp;ROW(일위대가목록표!A276),"B02691 →")</f>
        <v>B02691 →</v>
      </c>
    </row>
    <row r="2277" spans="1:26" ht="33.200000000000003" customHeight="1">
      <c r="A2277" s="452" t="s">
        <v>3271</v>
      </c>
      <c r="B2277" s="452" t="s">
        <v>3272</v>
      </c>
      <c r="C2277" s="489">
        <v>4.57</v>
      </c>
      <c r="D2277" s="480" t="s">
        <v>911</v>
      </c>
      <c r="E2277" s="490">
        <f t="shared" si="374"/>
        <v>5990</v>
      </c>
      <c r="F2277" s="491">
        <f t="shared" si="374"/>
        <v>27374.3</v>
      </c>
      <c r="G2277" s="492">
        <v>0</v>
      </c>
      <c r="H2277" s="493">
        <f t="shared" si="375"/>
        <v>0</v>
      </c>
      <c r="I2277" s="494">
        <f>재료비목록표!E88</f>
        <v>5990</v>
      </c>
      <c r="J2277" s="495">
        <f t="shared" si="376"/>
        <v>27374.3</v>
      </c>
      <c r="K2277" s="492">
        <v>0</v>
      </c>
      <c r="L2277" s="493">
        <f t="shared" si="377"/>
        <v>0</v>
      </c>
      <c r="M2277" s="463" t="s">
        <v>3273</v>
      </c>
      <c r="N2277" s="451" t="s">
        <v>3274</v>
      </c>
      <c r="O2277" s="468" t="s">
        <v>3275</v>
      </c>
      <c r="P2277" s="468" t="s">
        <v>2354</v>
      </c>
      <c r="Z2277" s="433" t="str">
        <f ca="1">HYPERLINK("#"&amp;재료비목록표!G2&amp;"!A"&amp;ROW(재료비목록표!A88),"M01158 →")</f>
        <v>M01158 →</v>
      </c>
    </row>
    <row r="2278" spans="1:26" ht="33.200000000000003" customHeight="1">
      <c r="A2278" s="452" t="s">
        <v>2927</v>
      </c>
      <c r="B2278" s="452" t="s">
        <v>3276</v>
      </c>
      <c r="C2278" s="489">
        <v>4.2</v>
      </c>
      <c r="D2278" s="480" t="s">
        <v>2377</v>
      </c>
      <c r="E2278" s="490">
        <f t="shared" si="374"/>
        <v>1246</v>
      </c>
      <c r="F2278" s="491">
        <f t="shared" si="374"/>
        <v>5233.2</v>
      </c>
      <c r="G2278" s="492">
        <v>0</v>
      </c>
      <c r="H2278" s="493">
        <f t="shared" si="375"/>
        <v>0</v>
      </c>
      <c r="I2278" s="494">
        <f>재료비목록표!E55</f>
        <v>1246</v>
      </c>
      <c r="J2278" s="495">
        <f t="shared" si="376"/>
        <v>5233.2</v>
      </c>
      <c r="K2278" s="492">
        <v>0</v>
      </c>
      <c r="L2278" s="493">
        <f t="shared" si="377"/>
        <v>0</v>
      </c>
      <c r="M2278" s="463" t="s">
        <v>3277</v>
      </c>
      <c r="N2278" s="451" t="s">
        <v>3278</v>
      </c>
      <c r="O2278" s="468" t="s">
        <v>3279</v>
      </c>
      <c r="P2278" s="468" t="s">
        <v>2354</v>
      </c>
      <c r="Z2278" s="433" t="str">
        <f ca="1">HYPERLINK("#"&amp;재료비목록표!G2&amp;"!A"&amp;ROW(재료비목록표!A55),"M01455 →")</f>
        <v>M01455 →</v>
      </c>
    </row>
    <row r="2279" spans="1:26" ht="33.200000000000003" customHeight="1">
      <c r="A2279" s="452" t="s">
        <v>2932</v>
      </c>
      <c r="B2279" s="452" t="s">
        <v>2933</v>
      </c>
      <c r="C2279" s="489">
        <v>4.2</v>
      </c>
      <c r="D2279" s="480" t="s">
        <v>2377</v>
      </c>
      <c r="E2279" s="490">
        <f t="shared" si="374"/>
        <v>157.30000000000001</v>
      </c>
      <c r="F2279" s="491">
        <f t="shared" si="374"/>
        <v>660.6</v>
      </c>
      <c r="G2279" s="492">
        <v>0</v>
      </c>
      <c r="H2279" s="493">
        <f t="shared" si="375"/>
        <v>0</v>
      </c>
      <c r="I2279" s="494">
        <f>재료비목록표!E26</f>
        <v>157.30000000000001</v>
      </c>
      <c r="J2279" s="495">
        <f t="shared" si="376"/>
        <v>660.6</v>
      </c>
      <c r="K2279" s="492">
        <v>0</v>
      </c>
      <c r="L2279" s="493">
        <f t="shared" si="377"/>
        <v>0</v>
      </c>
      <c r="M2279" s="463" t="s">
        <v>2934</v>
      </c>
      <c r="N2279" s="451" t="s">
        <v>2935</v>
      </c>
      <c r="O2279" s="468" t="s">
        <v>2936</v>
      </c>
      <c r="P2279" s="468" t="s">
        <v>2354</v>
      </c>
      <c r="Z2279" s="433" t="str">
        <f ca="1">HYPERLINK("#"&amp;재료비목록표!G2&amp;"!A"&amp;ROW(재료비목록표!A26),"M00958 →")</f>
        <v>M00958 →</v>
      </c>
    </row>
    <row r="2280" spans="1:26" ht="33.200000000000003" customHeight="1">
      <c r="A2280" s="452" t="s">
        <v>2937</v>
      </c>
      <c r="B2280" s="452" t="s">
        <v>2933</v>
      </c>
      <c r="C2280" s="489">
        <v>8.4</v>
      </c>
      <c r="D2280" s="480" t="s">
        <v>2377</v>
      </c>
      <c r="E2280" s="490">
        <f t="shared" si="374"/>
        <v>53.7</v>
      </c>
      <c r="F2280" s="491">
        <f t="shared" si="374"/>
        <v>451</v>
      </c>
      <c r="G2280" s="492">
        <v>0</v>
      </c>
      <c r="H2280" s="493">
        <f t="shared" si="375"/>
        <v>0</v>
      </c>
      <c r="I2280" s="494">
        <f>재료비목록표!E74</f>
        <v>53.7</v>
      </c>
      <c r="J2280" s="495">
        <f t="shared" si="376"/>
        <v>451</v>
      </c>
      <c r="K2280" s="492">
        <v>0</v>
      </c>
      <c r="L2280" s="493">
        <f t="shared" si="377"/>
        <v>0</v>
      </c>
      <c r="M2280" s="463" t="s">
        <v>2938</v>
      </c>
      <c r="N2280" s="451" t="s">
        <v>2939</v>
      </c>
      <c r="O2280" s="468" t="s">
        <v>2940</v>
      </c>
      <c r="P2280" s="468" t="s">
        <v>2354</v>
      </c>
      <c r="Z2280" s="433" t="str">
        <f ca="1">HYPERLINK("#"&amp;재료비목록표!G2&amp;"!A"&amp;ROW(재료비목록표!A74),"M00648 →")</f>
        <v>M00648 →</v>
      </c>
    </row>
    <row r="2281" spans="1:26" ht="33.200000000000003" customHeight="1">
      <c r="A2281" s="452" t="s">
        <v>2574</v>
      </c>
      <c r="B2281" s="452" t="s">
        <v>2575</v>
      </c>
      <c r="C2281" s="489">
        <v>1.2290000000000001E-3</v>
      </c>
      <c r="D2281" s="480" t="s">
        <v>2576</v>
      </c>
      <c r="E2281" s="490">
        <f t="shared" si="374"/>
        <v>765000</v>
      </c>
      <c r="F2281" s="491">
        <f t="shared" si="374"/>
        <v>940.1</v>
      </c>
      <c r="G2281" s="492">
        <v>0</v>
      </c>
      <c r="H2281" s="493">
        <f t="shared" si="375"/>
        <v>0</v>
      </c>
      <c r="I2281" s="494">
        <f>재료비목록표!E81</f>
        <v>765000</v>
      </c>
      <c r="J2281" s="495">
        <f t="shared" si="376"/>
        <v>940.1</v>
      </c>
      <c r="K2281" s="492">
        <v>0</v>
      </c>
      <c r="L2281" s="493">
        <f t="shared" si="377"/>
        <v>0</v>
      </c>
      <c r="M2281" s="463" t="s">
        <v>2577</v>
      </c>
      <c r="N2281" s="451" t="s">
        <v>2578</v>
      </c>
      <c r="O2281" s="468" t="s">
        <v>2579</v>
      </c>
      <c r="P2281" s="468" t="s">
        <v>2354</v>
      </c>
      <c r="Z2281" s="433" t="str">
        <f ca="1">HYPERLINK("#"&amp;재료비목록표!G2&amp;"!A"&amp;ROW(재료비목록표!A81),"M00150 →")</f>
        <v>M00150 →</v>
      </c>
    </row>
    <row r="2282" spans="1:26" ht="33.200000000000003" customHeight="1">
      <c r="A2282" s="452" t="s">
        <v>2580</v>
      </c>
      <c r="B2282" s="452" t="s">
        <v>2581</v>
      </c>
      <c r="C2282" s="489">
        <v>1.194E-3</v>
      </c>
      <c r="D2282" s="480" t="s">
        <v>2132</v>
      </c>
      <c r="E2282" s="490">
        <f t="shared" si="374"/>
        <v>1386016</v>
      </c>
      <c r="F2282" s="493">
        <f t="shared" si="374"/>
        <v>1654.8</v>
      </c>
      <c r="G2282" s="494">
        <f>단가산출근거목록표!F141</f>
        <v>1375031</v>
      </c>
      <c r="H2282" s="498">
        <f t="shared" si="375"/>
        <v>1641.7</v>
      </c>
      <c r="I2282" s="494">
        <f>단가산출근거목록표!G141</f>
        <v>10985</v>
      </c>
      <c r="J2282" s="498">
        <f t="shared" si="376"/>
        <v>13.1</v>
      </c>
      <c r="K2282" s="494">
        <f>단가산출근거목록표!H141</f>
        <v>0</v>
      </c>
      <c r="L2282" s="498">
        <f t="shared" si="377"/>
        <v>0</v>
      </c>
      <c r="M2282" s="463" t="s">
        <v>2582</v>
      </c>
      <c r="N2282" s="451" t="s">
        <v>2588</v>
      </c>
      <c r="O2282" s="468" t="s">
        <v>2584</v>
      </c>
      <c r="P2282" s="468" t="s">
        <v>2354</v>
      </c>
      <c r="Q2282" s="468" t="s">
        <v>2355</v>
      </c>
      <c r="Z2282" s="433" t="str">
        <f ca="1">HYPERLINK("#"&amp;단가산출근거목록표!J2&amp;"!A"&amp;ROW(단가산출근거목록표!A141),"D00950 →")</f>
        <v>D00950 →</v>
      </c>
    </row>
    <row r="2283" spans="1:26" ht="33.200000000000003" customHeight="1">
      <c r="A2283" s="452" t="s">
        <v>2507</v>
      </c>
      <c r="B2283" s="452" t="s">
        <v>2441</v>
      </c>
      <c r="C2283" s="489">
        <v>25</v>
      </c>
      <c r="D2283" s="480" t="s">
        <v>2371</v>
      </c>
      <c r="E2283" s="490">
        <f t="shared" si="374"/>
        <v>403681.8</v>
      </c>
      <c r="F2283" s="491">
        <f t="shared" si="374"/>
        <v>100920.4</v>
      </c>
      <c r="G2283" s="496">
        <f>H2267+H2268+H2269+H2270+H2271+H2273+H2274+H2276+H2282</f>
        <v>403681.8</v>
      </c>
      <c r="H2283" s="491">
        <f>IF(C2283=0,0,ROUNDDOWN(G2283*C2283/100,1))</f>
        <v>100920.4</v>
      </c>
      <c r="I2283" s="465">
        <v>0</v>
      </c>
      <c r="J2283" s="493">
        <f>IF(C2283=0,0,ROUNDDOWN(I2283*C2283/100,1))</f>
        <v>0</v>
      </c>
      <c r="K2283" s="467">
        <v>0</v>
      </c>
      <c r="L2283" s="493">
        <f>IF(C2283=0,0,ROUNDDOWN(K2283*C2283/100,1))</f>
        <v>0</v>
      </c>
      <c r="M2283" s="463"/>
      <c r="N2283" s="451" t="s">
        <v>2508</v>
      </c>
      <c r="O2283" s="468" t="s">
        <v>2373</v>
      </c>
      <c r="P2283" s="468" t="s">
        <v>2354</v>
      </c>
    </row>
    <row r="2284" spans="1:26" ht="33.200000000000003" customHeight="1">
      <c r="A2284" s="463" t="s">
        <v>842</v>
      </c>
      <c r="B2284" s="497"/>
      <c r="C2284" s="497"/>
      <c r="D2284" s="497"/>
      <c r="E2284" s="497"/>
      <c r="F2284" s="446">
        <f>J2284+H2284+L2284</f>
        <v>1043619</v>
      </c>
      <c r="G2284" s="497"/>
      <c r="H2284" s="446">
        <f>ROUNDDOWN(SUMIF(P2267:P2283,O2284,H2267:H2283),0)</f>
        <v>504602</v>
      </c>
      <c r="I2284" s="497"/>
      <c r="J2284" s="446">
        <f>ROUNDDOWN(SUMIF(P2267:P2283,O2284,J2267:J2283),0)</f>
        <v>535880</v>
      </c>
      <c r="K2284" s="497"/>
      <c r="L2284" s="446">
        <f>ROUNDDOWN(SUMIF(P2267:P2283,O2284,L2267:L2283),0)</f>
        <v>3137</v>
      </c>
      <c r="M2284" s="497"/>
      <c r="O2284" s="468" t="s">
        <v>2354</v>
      </c>
    </row>
    <row r="2285" spans="1:26" ht="33.200000000000003" customHeight="1">
      <c r="A2285" s="484" t="s">
        <v>5541</v>
      </c>
      <c r="B2285" s="484"/>
      <c r="C2285" s="485"/>
      <c r="D2285" s="485"/>
      <c r="E2285" s="485"/>
      <c r="F2285" s="485"/>
      <c r="G2285" s="485"/>
      <c r="H2285" s="485"/>
      <c r="I2285" s="485"/>
      <c r="J2285" s="485"/>
      <c r="K2285" s="485"/>
      <c r="L2285" s="485"/>
      <c r="M2285" s="485"/>
      <c r="N2285" s="486" t="str">
        <f>HYPERLINK("#N"&amp;ROW(N2303),"_x0005_`BDCOD|B02729_x0007_`POSS|"&amp;ROW(N2287)&amp;"_x0007_`POSE|"&amp;ROW(N2303)&amp;"_x0007_`")</f>
        <v>_x0005_`BDCOD|B02729_x0007_`POSS|2287_x0007_`POSE|2303_x0007_`</v>
      </c>
    </row>
    <row r="2286" spans="1:26" ht="33.200000000000003" customHeight="1">
      <c r="A2286" s="469" t="s">
        <v>5173</v>
      </c>
      <c r="B2286" s="469" t="s">
        <v>1163</v>
      </c>
      <c r="C2286" s="487"/>
      <c r="D2286" s="488" t="s">
        <v>966</v>
      </c>
      <c r="E2286" s="487"/>
      <c r="F2286" s="487"/>
      <c r="G2286" s="487"/>
      <c r="H2286" s="487"/>
      <c r="I2286" s="487"/>
      <c r="J2286" s="487"/>
      <c r="K2286" s="487"/>
      <c r="L2286" s="487"/>
      <c r="M2286" s="488" t="s">
        <v>1164</v>
      </c>
      <c r="O2286" s="468" t="s">
        <v>1164</v>
      </c>
    </row>
    <row r="2287" spans="1:26" ht="33.200000000000003" customHeight="1">
      <c r="A2287" s="452" t="s">
        <v>2484</v>
      </c>
      <c r="B2287" s="452" t="s">
        <v>2485</v>
      </c>
      <c r="C2287" s="489">
        <v>0.47199999999999998</v>
      </c>
      <c r="D2287" s="480" t="s">
        <v>8</v>
      </c>
      <c r="E2287" s="490">
        <f t="shared" ref="E2287:F2303" si="378">I2287+G2287+K2287</f>
        <v>62811</v>
      </c>
      <c r="F2287" s="493">
        <f t="shared" si="378"/>
        <v>29646.7</v>
      </c>
      <c r="G2287" s="494">
        <f>단가산출근거목록표!F157</f>
        <v>62811</v>
      </c>
      <c r="H2287" s="498">
        <f t="shared" ref="H2287:H2302" si="379">IF(C2287=0,0,ROUNDDOWN(G2287*C2287,1))</f>
        <v>29646.7</v>
      </c>
      <c r="I2287" s="494">
        <f>단가산출근거목록표!G157</f>
        <v>0</v>
      </c>
      <c r="J2287" s="498">
        <f t="shared" ref="J2287:J2302" si="380">IF(C2287=0,0,ROUNDDOWN(I2287*C2287,1))</f>
        <v>0</v>
      </c>
      <c r="K2287" s="494">
        <f>단가산출근거목록표!H157</f>
        <v>0</v>
      </c>
      <c r="L2287" s="498">
        <f t="shared" ref="L2287:L2302" si="381">IF(C2287=0,0,ROUNDDOWN(K2287*C2287,1))</f>
        <v>0</v>
      </c>
      <c r="M2287" s="463" t="s">
        <v>2486</v>
      </c>
      <c r="N2287" s="451" t="s">
        <v>2487</v>
      </c>
      <c r="O2287" s="468" t="s">
        <v>2488</v>
      </c>
      <c r="P2287" s="468" t="s">
        <v>2354</v>
      </c>
      <c r="Q2287" s="468" t="s">
        <v>2355</v>
      </c>
      <c r="Z2287" s="433" t="str">
        <f ca="1">HYPERLINK("#"&amp;단가산출근거목록표!J2&amp;"!A"&amp;ROW(단가산출근거목록표!A157),"D01241 →")</f>
        <v>D01241 →</v>
      </c>
    </row>
    <row r="2288" spans="1:26" ht="33.200000000000003" customHeight="1">
      <c r="A2288" s="452" t="s">
        <v>2321</v>
      </c>
      <c r="B2288" s="452" t="s">
        <v>2322</v>
      </c>
      <c r="C2288" s="489">
        <v>0.13100000000000001</v>
      </c>
      <c r="D2288" s="480" t="s">
        <v>8</v>
      </c>
      <c r="E2288" s="490">
        <f t="shared" si="378"/>
        <v>34413</v>
      </c>
      <c r="F2288" s="493">
        <f t="shared" si="378"/>
        <v>4508.1000000000004</v>
      </c>
      <c r="G2288" s="494">
        <f>일위대가목록표!F275</f>
        <v>34413</v>
      </c>
      <c r="H2288" s="498">
        <f t="shared" si="379"/>
        <v>4508.1000000000004</v>
      </c>
      <c r="I2288" s="494">
        <f>일위대가목록표!G275</f>
        <v>0</v>
      </c>
      <c r="J2288" s="498">
        <f t="shared" si="380"/>
        <v>0</v>
      </c>
      <c r="K2288" s="494">
        <f>일위대가목록표!H275</f>
        <v>0</v>
      </c>
      <c r="L2288" s="498">
        <f t="shared" si="381"/>
        <v>0</v>
      </c>
      <c r="M2288" s="463" t="s">
        <v>2489</v>
      </c>
      <c r="N2288" s="451" t="s">
        <v>2490</v>
      </c>
      <c r="O2288" s="468" t="s">
        <v>2491</v>
      </c>
      <c r="P2288" s="468" t="s">
        <v>2354</v>
      </c>
      <c r="Q2288" s="468" t="s">
        <v>2355</v>
      </c>
      <c r="Z2288" s="433" t="str">
        <f ca="1">HYPERLINK("#"&amp;일위대가목록표!J2&amp;"!A"&amp;ROW(일위대가목록표!A275),"B01414 →")</f>
        <v>B01414 →</v>
      </c>
    </row>
    <row r="2289" spans="1:26" ht="33.200000000000003" customHeight="1">
      <c r="A2289" s="452" t="s">
        <v>2298</v>
      </c>
      <c r="B2289" s="452" t="s">
        <v>2299</v>
      </c>
      <c r="C2289" s="489">
        <v>0.34100000000000003</v>
      </c>
      <c r="D2289" s="480" t="s">
        <v>8</v>
      </c>
      <c r="E2289" s="490">
        <f t="shared" si="378"/>
        <v>24089</v>
      </c>
      <c r="F2289" s="493">
        <f t="shared" si="378"/>
        <v>8214.2999999999993</v>
      </c>
      <c r="G2289" s="494">
        <f>일위대가목록표!F37</f>
        <v>24089</v>
      </c>
      <c r="H2289" s="498">
        <f t="shared" si="379"/>
        <v>8214.2999999999993</v>
      </c>
      <c r="I2289" s="494">
        <f>일위대가목록표!G37</f>
        <v>0</v>
      </c>
      <c r="J2289" s="498">
        <f t="shared" si="380"/>
        <v>0</v>
      </c>
      <c r="K2289" s="494">
        <f>일위대가목록표!H37</f>
        <v>0</v>
      </c>
      <c r="L2289" s="498">
        <f t="shared" si="381"/>
        <v>0</v>
      </c>
      <c r="M2289" s="463" t="s">
        <v>2492</v>
      </c>
      <c r="N2289" s="451" t="s">
        <v>2493</v>
      </c>
      <c r="O2289" s="468" t="s">
        <v>2494</v>
      </c>
      <c r="P2289" s="468" t="s">
        <v>2354</v>
      </c>
      <c r="Q2289" s="468" t="s">
        <v>2355</v>
      </c>
      <c r="Z2289" s="433" t="str">
        <f ca="1">HYPERLINK("#"&amp;일위대가목록표!J2&amp;"!A"&amp;ROW(일위대가목록표!A37),"B01447 →")</f>
        <v>B01447 →</v>
      </c>
    </row>
    <row r="2290" spans="1:26" ht="33.200000000000003" customHeight="1">
      <c r="A2290" s="452" t="s">
        <v>2342</v>
      </c>
      <c r="B2290" s="452" t="s">
        <v>2343</v>
      </c>
      <c r="C2290" s="489">
        <v>0.11899999999999999</v>
      </c>
      <c r="D2290" s="480" t="s">
        <v>8</v>
      </c>
      <c r="E2290" s="490">
        <f t="shared" si="378"/>
        <v>477254</v>
      </c>
      <c r="F2290" s="493">
        <f t="shared" si="378"/>
        <v>56793.100000000006</v>
      </c>
      <c r="G2290" s="494">
        <f>일위대가목록표!F330</f>
        <v>373604</v>
      </c>
      <c r="H2290" s="498">
        <f t="shared" si="379"/>
        <v>44458.8</v>
      </c>
      <c r="I2290" s="494">
        <f>일위대가목록표!G330</f>
        <v>103650</v>
      </c>
      <c r="J2290" s="498">
        <f t="shared" si="380"/>
        <v>12334.3</v>
      </c>
      <c r="K2290" s="494">
        <f>일위대가목록표!H330</f>
        <v>0</v>
      </c>
      <c r="L2290" s="498">
        <f t="shared" si="381"/>
        <v>0</v>
      </c>
      <c r="M2290" s="463" t="s">
        <v>2500</v>
      </c>
      <c r="N2290" s="451" t="s">
        <v>2501</v>
      </c>
      <c r="O2290" s="468" t="s">
        <v>2502</v>
      </c>
      <c r="P2290" s="468" t="s">
        <v>2354</v>
      </c>
      <c r="Q2290" s="468" t="s">
        <v>2355</v>
      </c>
      <c r="Z2290" s="433" t="str">
        <f ca="1">HYPERLINK("#"&amp;일위대가목록표!J2&amp;"!A"&amp;ROW(일위대가목록표!A330),"B01936 →")</f>
        <v>B01936 →</v>
      </c>
    </row>
    <row r="2291" spans="1:26" ht="33.200000000000003" customHeight="1">
      <c r="A2291" s="452" t="s">
        <v>2495</v>
      </c>
      <c r="B2291" s="452" t="s">
        <v>2496</v>
      </c>
      <c r="C2291" s="489">
        <v>1.28</v>
      </c>
      <c r="D2291" s="480" t="s">
        <v>595</v>
      </c>
      <c r="E2291" s="490">
        <f t="shared" si="378"/>
        <v>46533</v>
      </c>
      <c r="F2291" s="493">
        <f t="shared" si="378"/>
        <v>59562.100000000006</v>
      </c>
      <c r="G2291" s="494">
        <f>단가산출근거목록표!F169</f>
        <v>34461</v>
      </c>
      <c r="H2291" s="498">
        <f t="shared" si="379"/>
        <v>44110</v>
      </c>
      <c r="I2291" s="494">
        <f>단가산출근거목록표!G169</f>
        <v>11728</v>
      </c>
      <c r="J2291" s="498">
        <f t="shared" si="380"/>
        <v>15011.8</v>
      </c>
      <c r="K2291" s="494">
        <f>단가산출근거목록표!H169</f>
        <v>344</v>
      </c>
      <c r="L2291" s="498">
        <f t="shared" si="381"/>
        <v>440.3</v>
      </c>
      <c r="M2291" s="463" t="s">
        <v>2497</v>
      </c>
      <c r="N2291" s="451" t="s">
        <v>2498</v>
      </c>
      <c r="O2291" s="468" t="s">
        <v>2499</v>
      </c>
      <c r="P2291" s="468" t="s">
        <v>2354</v>
      </c>
      <c r="Q2291" s="468" t="s">
        <v>2355</v>
      </c>
      <c r="Z2291" s="433" t="str">
        <f ca="1">HYPERLINK("#"&amp;단가산출근거목록표!J2&amp;"!A"&amp;ROW(단가산출근거목록표!A169),"D01231 →")</f>
        <v>D01231 →</v>
      </c>
    </row>
    <row r="2292" spans="1:26" ht="33.200000000000003" customHeight="1">
      <c r="A2292" s="452" t="s">
        <v>2922</v>
      </c>
      <c r="B2292" s="452" t="s">
        <v>2923</v>
      </c>
      <c r="C2292" s="489">
        <v>62.203000000000003</v>
      </c>
      <c r="D2292" s="480" t="s">
        <v>605</v>
      </c>
      <c r="E2292" s="490">
        <f t="shared" si="378"/>
        <v>7400</v>
      </c>
      <c r="F2292" s="491">
        <f t="shared" si="378"/>
        <v>460302.2</v>
      </c>
      <c r="G2292" s="492">
        <v>0</v>
      </c>
      <c r="H2292" s="493">
        <f t="shared" si="379"/>
        <v>0</v>
      </c>
      <c r="I2292" s="494">
        <f>재료비목록표!E76</f>
        <v>7400</v>
      </c>
      <c r="J2292" s="495">
        <f t="shared" si="380"/>
        <v>460302.2</v>
      </c>
      <c r="K2292" s="492">
        <v>0</v>
      </c>
      <c r="L2292" s="493">
        <f t="shared" si="381"/>
        <v>0</v>
      </c>
      <c r="M2292" s="463" t="s">
        <v>2924</v>
      </c>
      <c r="N2292" s="451" t="s">
        <v>2925</v>
      </c>
      <c r="O2292" s="468" t="s">
        <v>2926</v>
      </c>
      <c r="P2292" s="468" t="s">
        <v>2354</v>
      </c>
      <c r="Z2292" s="433" t="str">
        <f ca="1">HYPERLINK("#"&amp;재료비목록표!G2&amp;"!A"&amp;ROW(재료비목록표!A76),"M00960 →")</f>
        <v>M00960 →</v>
      </c>
    </row>
    <row r="2293" spans="1:26" ht="33.200000000000003" customHeight="1">
      <c r="A2293" s="452" t="s">
        <v>1461</v>
      </c>
      <c r="B2293" s="452" t="s">
        <v>1462</v>
      </c>
      <c r="C2293" s="489">
        <v>0.19700000000000001</v>
      </c>
      <c r="D2293" s="480" t="s">
        <v>8</v>
      </c>
      <c r="E2293" s="490">
        <f t="shared" si="378"/>
        <v>915052</v>
      </c>
      <c r="F2293" s="493">
        <f t="shared" si="378"/>
        <v>180265.2</v>
      </c>
      <c r="G2293" s="494">
        <f>일위대가목록표!F72</f>
        <v>915052</v>
      </c>
      <c r="H2293" s="498">
        <f t="shared" si="379"/>
        <v>180265.2</v>
      </c>
      <c r="I2293" s="494">
        <f>일위대가목록표!G72</f>
        <v>0</v>
      </c>
      <c r="J2293" s="498">
        <f t="shared" si="380"/>
        <v>0</v>
      </c>
      <c r="K2293" s="494">
        <f>일위대가목록표!H72</f>
        <v>0</v>
      </c>
      <c r="L2293" s="498">
        <f t="shared" si="381"/>
        <v>0</v>
      </c>
      <c r="M2293" s="463" t="s">
        <v>2471</v>
      </c>
      <c r="N2293" s="451" t="s">
        <v>2472</v>
      </c>
      <c r="O2293" s="468" t="s">
        <v>1465</v>
      </c>
      <c r="P2293" s="468" t="s">
        <v>2354</v>
      </c>
      <c r="Q2293" s="468" t="s">
        <v>2355</v>
      </c>
      <c r="Z2293" s="433" t="str">
        <f ca="1">HYPERLINK("#"&amp;일위대가목록표!J2&amp;"!A"&amp;ROW(일위대가목록표!A72),"B01822 →")</f>
        <v>B01822 →</v>
      </c>
    </row>
    <row r="2294" spans="1:26" ht="33.200000000000003" customHeight="1">
      <c r="A2294" s="452" t="s">
        <v>1532</v>
      </c>
      <c r="B2294" s="452" t="s">
        <v>1537</v>
      </c>
      <c r="C2294" s="489">
        <v>6.46</v>
      </c>
      <c r="D2294" s="480" t="s">
        <v>595</v>
      </c>
      <c r="E2294" s="490">
        <f t="shared" si="378"/>
        <v>12642</v>
      </c>
      <c r="F2294" s="493">
        <f t="shared" si="378"/>
        <v>81667.299999999988</v>
      </c>
      <c r="G2294" s="494">
        <f>일위대가목록표!F224</f>
        <v>11027</v>
      </c>
      <c r="H2294" s="498">
        <f t="shared" si="379"/>
        <v>71234.399999999994</v>
      </c>
      <c r="I2294" s="494">
        <f>일위대가목록표!G224</f>
        <v>1395</v>
      </c>
      <c r="J2294" s="498">
        <f t="shared" si="380"/>
        <v>9011.7000000000007</v>
      </c>
      <c r="K2294" s="494">
        <f>일위대가목록표!H224</f>
        <v>220</v>
      </c>
      <c r="L2294" s="498">
        <f t="shared" si="381"/>
        <v>1421.2</v>
      </c>
      <c r="M2294" s="463" t="s">
        <v>2473</v>
      </c>
      <c r="N2294" s="451" t="s">
        <v>2474</v>
      </c>
      <c r="O2294" s="468" t="s">
        <v>1540</v>
      </c>
      <c r="P2294" s="468" t="s">
        <v>2354</v>
      </c>
      <c r="Q2294" s="468" t="s">
        <v>2355</v>
      </c>
      <c r="Z2294" s="433" t="str">
        <f ca="1">HYPERLINK("#"&amp;일위대가목록표!J2&amp;"!A"&amp;ROW(일위대가목록표!A224),"B01814 →")</f>
        <v>B01814 →</v>
      </c>
    </row>
    <row r="2295" spans="1:26" ht="33.200000000000003" customHeight="1">
      <c r="A2295" s="452" t="s">
        <v>2911</v>
      </c>
      <c r="B2295" s="452" t="s">
        <v>3264</v>
      </c>
      <c r="C2295" s="489">
        <v>0.84</v>
      </c>
      <c r="D2295" s="480" t="s">
        <v>911</v>
      </c>
      <c r="E2295" s="490">
        <f t="shared" si="378"/>
        <v>18310</v>
      </c>
      <c r="F2295" s="491">
        <f t="shared" si="378"/>
        <v>15380.4</v>
      </c>
      <c r="G2295" s="492">
        <v>0</v>
      </c>
      <c r="H2295" s="493">
        <f t="shared" si="379"/>
        <v>0</v>
      </c>
      <c r="I2295" s="494">
        <f>재료비목록표!E22</f>
        <v>18310</v>
      </c>
      <c r="J2295" s="495">
        <f t="shared" si="380"/>
        <v>15380.4</v>
      </c>
      <c r="K2295" s="492">
        <v>0</v>
      </c>
      <c r="L2295" s="493">
        <f t="shared" si="381"/>
        <v>0</v>
      </c>
      <c r="M2295" s="463" t="s">
        <v>3265</v>
      </c>
      <c r="N2295" s="451" t="s">
        <v>3266</v>
      </c>
      <c r="O2295" s="468" t="s">
        <v>3267</v>
      </c>
      <c r="P2295" s="468" t="s">
        <v>2354</v>
      </c>
      <c r="Z2295" s="433" t="str">
        <f ca="1">HYPERLINK("#"&amp;재료비목록표!G2&amp;"!A"&amp;ROW(재료비목록표!A22),"M01578 →")</f>
        <v>M01578 →</v>
      </c>
    </row>
    <row r="2296" spans="1:26" ht="33.200000000000003" customHeight="1">
      <c r="A2296" s="452" t="s">
        <v>2325</v>
      </c>
      <c r="B2296" s="452" t="s">
        <v>2326</v>
      </c>
      <c r="C2296" s="489">
        <v>8.6E-3</v>
      </c>
      <c r="D2296" s="480" t="s">
        <v>2132</v>
      </c>
      <c r="E2296" s="490">
        <f t="shared" si="378"/>
        <v>3316857</v>
      </c>
      <c r="F2296" s="493">
        <f t="shared" si="378"/>
        <v>28524.799999999999</v>
      </c>
      <c r="G2296" s="494">
        <f>일위대가목록표!F276</f>
        <v>3071165</v>
      </c>
      <c r="H2296" s="498">
        <f t="shared" si="379"/>
        <v>26412</v>
      </c>
      <c r="I2296" s="494">
        <f>일위대가목록표!G276</f>
        <v>92134</v>
      </c>
      <c r="J2296" s="498">
        <f t="shared" si="380"/>
        <v>792.3</v>
      </c>
      <c r="K2296" s="494">
        <f>일위대가목록표!H276</f>
        <v>153558</v>
      </c>
      <c r="L2296" s="498">
        <f t="shared" si="381"/>
        <v>1320.5</v>
      </c>
      <c r="M2296" s="463" t="s">
        <v>3268</v>
      </c>
      <c r="N2296" s="451" t="s">
        <v>3283</v>
      </c>
      <c r="O2296" s="468" t="s">
        <v>3270</v>
      </c>
      <c r="P2296" s="468" t="s">
        <v>2354</v>
      </c>
      <c r="Q2296" s="468" t="s">
        <v>2355</v>
      </c>
      <c r="Z2296" s="433" t="str">
        <f ca="1">HYPERLINK("#"&amp;일위대가목록표!J2&amp;"!A"&amp;ROW(일위대가목록표!A276),"B02691 →")</f>
        <v>B02691 →</v>
      </c>
    </row>
    <row r="2297" spans="1:26" ht="33.200000000000003" customHeight="1">
      <c r="A2297" s="452" t="s">
        <v>3271</v>
      </c>
      <c r="B2297" s="452" t="s">
        <v>3272</v>
      </c>
      <c r="C2297" s="489">
        <v>3.27</v>
      </c>
      <c r="D2297" s="480" t="s">
        <v>911</v>
      </c>
      <c r="E2297" s="490">
        <f t="shared" si="378"/>
        <v>5990</v>
      </c>
      <c r="F2297" s="491">
        <f t="shared" si="378"/>
        <v>19587.3</v>
      </c>
      <c r="G2297" s="492">
        <v>0</v>
      </c>
      <c r="H2297" s="493">
        <f t="shared" si="379"/>
        <v>0</v>
      </c>
      <c r="I2297" s="494">
        <f>재료비목록표!E88</f>
        <v>5990</v>
      </c>
      <c r="J2297" s="495">
        <f t="shared" si="380"/>
        <v>19587.3</v>
      </c>
      <c r="K2297" s="492">
        <v>0</v>
      </c>
      <c r="L2297" s="493">
        <f t="shared" si="381"/>
        <v>0</v>
      </c>
      <c r="M2297" s="463" t="s">
        <v>3273</v>
      </c>
      <c r="N2297" s="451" t="s">
        <v>3274</v>
      </c>
      <c r="O2297" s="468" t="s">
        <v>3275</v>
      </c>
      <c r="P2297" s="468" t="s">
        <v>2354</v>
      </c>
      <c r="Z2297" s="433" t="str">
        <f ca="1">HYPERLINK("#"&amp;재료비목록표!G2&amp;"!A"&amp;ROW(재료비목록표!A88),"M01158 →")</f>
        <v>M01158 →</v>
      </c>
    </row>
    <row r="2298" spans="1:26" ht="33.200000000000003" customHeight="1">
      <c r="A2298" s="452" t="s">
        <v>2927</v>
      </c>
      <c r="B2298" s="452" t="s">
        <v>3276</v>
      </c>
      <c r="C2298" s="489">
        <v>4.2</v>
      </c>
      <c r="D2298" s="480" t="s">
        <v>2377</v>
      </c>
      <c r="E2298" s="490">
        <f t="shared" si="378"/>
        <v>1246</v>
      </c>
      <c r="F2298" s="491">
        <f t="shared" si="378"/>
        <v>5233.2</v>
      </c>
      <c r="G2298" s="492">
        <v>0</v>
      </c>
      <c r="H2298" s="493">
        <f t="shared" si="379"/>
        <v>0</v>
      </c>
      <c r="I2298" s="494">
        <f>재료비목록표!E55</f>
        <v>1246</v>
      </c>
      <c r="J2298" s="495">
        <f t="shared" si="380"/>
        <v>5233.2</v>
      </c>
      <c r="K2298" s="492">
        <v>0</v>
      </c>
      <c r="L2298" s="493">
        <f t="shared" si="381"/>
        <v>0</v>
      </c>
      <c r="M2298" s="463" t="s">
        <v>3277</v>
      </c>
      <c r="N2298" s="451" t="s">
        <v>3278</v>
      </c>
      <c r="O2298" s="468" t="s">
        <v>3279</v>
      </c>
      <c r="P2298" s="468" t="s">
        <v>2354</v>
      </c>
      <c r="Z2298" s="433" t="str">
        <f ca="1">HYPERLINK("#"&amp;재료비목록표!G2&amp;"!A"&amp;ROW(재료비목록표!A55),"M01455 →")</f>
        <v>M01455 →</v>
      </c>
    </row>
    <row r="2299" spans="1:26" ht="33.200000000000003" customHeight="1">
      <c r="A2299" s="452" t="s">
        <v>2932</v>
      </c>
      <c r="B2299" s="452" t="s">
        <v>2933</v>
      </c>
      <c r="C2299" s="489">
        <v>4.2</v>
      </c>
      <c r="D2299" s="480" t="s">
        <v>2377</v>
      </c>
      <c r="E2299" s="490">
        <f t="shared" si="378"/>
        <v>157.30000000000001</v>
      </c>
      <c r="F2299" s="491">
        <f t="shared" si="378"/>
        <v>660.6</v>
      </c>
      <c r="G2299" s="492">
        <v>0</v>
      </c>
      <c r="H2299" s="493">
        <f t="shared" si="379"/>
        <v>0</v>
      </c>
      <c r="I2299" s="494">
        <f>재료비목록표!E26</f>
        <v>157.30000000000001</v>
      </c>
      <c r="J2299" s="495">
        <f t="shared" si="380"/>
        <v>660.6</v>
      </c>
      <c r="K2299" s="492">
        <v>0</v>
      </c>
      <c r="L2299" s="493">
        <f t="shared" si="381"/>
        <v>0</v>
      </c>
      <c r="M2299" s="463" t="s">
        <v>2934</v>
      </c>
      <c r="N2299" s="451" t="s">
        <v>2935</v>
      </c>
      <c r="O2299" s="468" t="s">
        <v>2936</v>
      </c>
      <c r="P2299" s="468" t="s">
        <v>2354</v>
      </c>
      <c r="Z2299" s="433" t="str">
        <f ca="1">HYPERLINK("#"&amp;재료비목록표!G2&amp;"!A"&amp;ROW(재료비목록표!A26),"M00958 →")</f>
        <v>M00958 →</v>
      </c>
    </row>
    <row r="2300" spans="1:26" ht="33.200000000000003" customHeight="1">
      <c r="A2300" s="452" t="s">
        <v>2937</v>
      </c>
      <c r="B2300" s="452" t="s">
        <v>2933</v>
      </c>
      <c r="C2300" s="489">
        <v>8.4</v>
      </c>
      <c r="D2300" s="480" t="s">
        <v>2377</v>
      </c>
      <c r="E2300" s="490">
        <f t="shared" si="378"/>
        <v>53.7</v>
      </c>
      <c r="F2300" s="491">
        <f t="shared" si="378"/>
        <v>451</v>
      </c>
      <c r="G2300" s="492">
        <v>0</v>
      </c>
      <c r="H2300" s="493">
        <f t="shared" si="379"/>
        <v>0</v>
      </c>
      <c r="I2300" s="494">
        <f>재료비목록표!E74</f>
        <v>53.7</v>
      </c>
      <c r="J2300" s="495">
        <f t="shared" si="380"/>
        <v>451</v>
      </c>
      <c r="K2300" s="492">
        <v>0</v>
      </c>
      <c r="L2300" s="493">
        <f t="shared" si="381"/>
        <v>0</v>
      </c>
      <c r="M2300" s="463" t="s">
        <v>2938</v>
      </c>
      <c r="N2300" s="451" t="s">
        <v>2939</v>
      </c>
      <c r="O2300" s="468" t="s">
        <v>2940</v>
      </c>
      <c r="P2300" s="468" t="s">
        <v>2354</v>
      </c>
      <c r="Z2300" s="433" t="str">
        <f ca="1">HYPERLINK("#"&amp;재료비목록표!G2&amp;"!A"&amp;ROW(재료비목록표!A74),"M00648 →")</f>
        <v>M00648 →</v>
      </c>
    </row>
    <row r="2301" spans="1:26" ht="33.200000000000003" customHeight="1">
      <c r="A2301" s="452" t="s">
        <v>2574</v>
      </c>
      <c r="B2301" s="452" t="s">
        <v>2575</v>
      </c>
      <c r="C2301" s="489">
        <v>1.2290000000000001E-3</v>
      </c>
      <c r="D2301" s="480" t="s">
        <v>2576</v>
      </c>
      <c r="E2301" s="490">
        <f t="shared" si="378"/>
        <v>765000</v>
      </c>
      <c r="F2301" s="491">
        <f t="shared" si="378"/>
        <v>940.1</v>
      </c>
      <c r="G2301" s="492">
        <v>0</v>
      </c>
      <c r="H2301" s="493">
        <f t="shared" si="379"/>
        <v>0</v>
      </c>
      <c r="I2301" s="494">
        <f>재료비목록표!E81</f>
        <v>765000</v>
      </c>
      <c r="J2301" s="495">
        <f t="shared" si="380"/>
        <v>940.1</v>
      </c>
      <c r="K2301" s="492">
        <v>0</v>
      </c>
      <c r="L2301" s="493">
        <f t="shared" si="381"/>
        <v>0</v>
      </c>
      <c r="M2301" s="463" t="s">
        <v>2577</v>
      </c>
      <c r="N2301" s="451" t="s">
        <v>2578</v>
      </c>
      <c r="O2301" s="468" t="s">
        <v>2579</v>
      </c>
      <c r="P2301" s="468" t="s">
        <v>2354</v>
      </c>
      <c r="Z2301" s="433" t="str">
        <f ca="1">HYPERLINK("#"&amp;재료비목록표!G2&amp;"!A"&amp;ROW(재료비목록표!A81),"M00150 →")</f>
        <v>M00150 →</v>
      </c>
    </row>
    <row r="2302" spans="1:26" ht="33.200000000000003" customHeight="1">
      <c r="A2302" s="452" t="s">
        <v>2580</v>
      </c>
      <c r="B2302" s="452" t="s">
        <v>2581</v>
      </c>
      <c r="C2302" s="489">
        <v>1.194E-3</v>
      </c>
      <c r="D2302" s="480" t="s">
        <v>2132</v>
      </c>
      <c r="E2302" s="490">
        <f t="shared" si="378"/>
        <v>1386016</v>
      </c>
      <c r="F2302" s="493">
        <f t="shared" si="378"/>
        <v>1654.8</v>
      </c>
      <c r="G2302" s="494">
        <f>단가산출근거목록표!F141</f>
        <v>1375031</v>
      </c>
      <c r="H2302" s="498">
        <f t="shared" si="379"/>
        <v>1641.7</v>
      </c>
      <c r="I2302" s="494">
        <f>단가산출근거목록표!G141</f>
        <v>10985</v>
      </c>
      <c r="J2302" s="498">
        <f t="shared" si="380"/>
        <v>13.1</v>
      </c>
      <c r="K2302" s="494">
        <f>단가산출근거목록표!H141</f>
        <v>0</v>
      </c>
      <c r="L2302" s="498">
        <f t="shared" si="381"/>
        <v>0</v>
      </c>
      <c r="M2302" s="463" t="s">
        <v>2582</v>
      </c>
      <c r="N2302" s="451" t="s">
        <v>2588</v>
      </c>
      <c r="O2302" s="468" t="s">
        <v>2584</v>
      </c>
      <c r="P2302" s="468" t="s">
        <v>2354</v>
      </c>
      <c r="Q2302" s="468" t="s">
        <v>2355</v>
      </c>
      <c r="Z2302" s="433" t="str">
        <f ca="1">HYPERLINK("#"&amp;단가산출근거목록표!J2&amp;"!A"&amp;ROW(단가산출근거목록표!A141),"D00950 →")</f>
        <v>D00950 →</v>
      </c>
    </row>
    <row r="2303" spans="1:26" ht="33.200000000000003" customHeight="1">
      <c r="A2303" s="452" t="s">
        <v>2507</v>
      </c>
      <c r="B2303" s="452" t="s">
        <v>2441</v>
      </c>
      <c r="C2303" s="489">
        <v>25</v>
      </c>
      <c r="D2303" s="480" t="s">
        <v>2371</v>
      </c>
      <c r="E2303" s="490">
        <f t="shared" si="378"/>
        <v>410491.2</v>
      </c>
      <c r="F2303" s="491">
        <f t="shared" si="378"/>
        <v>102622.8</v>
      </c>
      <c r="G2303" s="496">
        <f>H2287+H2288+H2289+H2290+H2291+H2293+H2294+H2296+H2302</f>
        <v>410491.2</v>
      </c>
      <c r="H2303" s="491">
        <f>IF(C2303=0,0,ROUNDDOWN(G2303*C2303/100,1))</f>
        <v>102622.8</v>
      </c>
      <c r="I2303" s="465">
        <v>0</v>
      </c>
      <c r="J2303" s="493">
        <f>IF(C2303=0,0,ROUNDDOWN(I2303*C2303/100,1))</f>
        <v>0</v>
      </c>
      <c r="K2303" s="467">
        <v>0</v>
      </c>
      <c r="L2303" s="493">
        <f>IF(C2303=0,0,ROUNDDOWN(K2303*C2303/100,1))</f>
        <v>0</v>
      </c>
      <c r="M2303" s="463"/>
      <c r="N2303" s="451" t="s">
        <v>2508</v>
      </c>
      <c r="O2303" s="468" t="s">
        <v>2373</v>
      </c>
      <c r="P2303" s="468" t="s">
        <v>2354</v>
      </c>
    </row>
    <row r="2304" spans="1:26" ht="33.200000000000003" customHeight="1">
      <c r="A2304" s="463" t="s">
        <v>842</v>
      </c>
      <c r="B2304" s="497"/>
      <c r="C2304" s="497"/>
      <c r="D2304" s="497"/>
      <c r="E2304" s="497"/>
      <c r="F2304" s="446">
        <f>J2304+H2304+L2304</f>
        <v>1056014</v>
      </c>
      <c r="G2304" s="497"/>
      <c r="H2304" s="446">
        <f>ROUNDDOWN(SUMIF(P2287:P2303,O2304,H2287:H2303),0)</f>
        <v>513114</v>
      </c>
      <c r="I2304" s="497"/>
      <c r="J2304" s="446">
        <f>ROUNDDOWN(SUMIF(P2287:P2303,O2304,J2287:J2303),0)</f>
        <v>539718</v>
      </c>
      <c r="K2304" s="497"/>
      <c r="L2304" s="446">
        <f>ROUNDDOWN(SUMIF(P2287:P2303,O2304,L2287:L2303),0)</f>
        <v>3182</v>
      </c>
      <c r="M2304" s="497"/>
      <c r="O2304" s="468" t="s">
        <v>2354</v>
      </c>
    </row>
    <row r="2305" spans="1:26" ht="33.200000000000003" customHeight="1">
      <c r="A2305" s="484" t="s">
        <v>5542</v>
      </c>
      <c r="B2305" s="484"/>
      <c r="C2305" s="485"/>
      <c r="D2305" s="485"/>
      <c r="E2305" s="485"/>
      <c r="F2305" s="485"/>
      <c r="G2305" s="485"/>
      <c r="H2305" s="485"/>
      <c r="I2305" s="485"/>
      <c r="J2305" s="485"/>
      <c r="K2305" s="485"/>
      <c r="L2305" s="485"/>
      <c r="M2305" s="485"/>
      <c r="N2305" s="486" t="str">
        <f>HYPERLINK("#N"&amp;ROW(N2323),"_x0005_`BDCOD|B02730_x0007_`POSS|"&amp;ROW(N2307)&amp;"_x0007_`POSE|"&amp;ROW(N2323)&amp;"_x0007_`")</f>
        <v>_x0005_`BDCOD|B02730_x0007_`POSS|2307_x0007_`POSE|2323_x0007_`</v>
      </c>
    </row>
    <row r="2306" spans="1:26" ht="33.200000000000003" customHeight="1">
      <c r="A2306" s="469" t="s">
        <v>5173</v>
      </c>
      <c r="B2306" s="469" t="s">
        <v>1167</v>
      </c>
      <c r="C2306" s="487"/>
      <c r="D2306" s="488" t="s">
        <v>966</v>
      </c>
      <c r="E2306" s="487"/>
      <c r="F2306" s="487"/>
      <c r="G2306" s="487"/>
      <c r="H2306" s="487"/>
      <c r="I2306" s="487"/>
      <c r="J2306" s="487"/>
      <c r="K2306" s="487"/>
      <c r="L2306" s="487"/>
      <c r="M2306" s="488" t="s">
        <v>1168</v>
      </c>
      <c r="O2306" s="468" t="s">
        <v>1168</v>
      </c>
    </row>
    <row r="2307" spans="1:26" ht="33.200000000000003" customHeight="1">
      <c r="A2307" s="452" t="s">
        <v>2484</v>
      </c>
      <c r="B2307" s="452" t="s">
        <v>2485</v>
      </c>
      <c r="C2307" s="489">
        <v>0.47199999999999998</v>
      </c>
      <c r="D2307" s="480" t="s">
        <v>8</v>
      </c>
      <c r="E2307" s="490">
        <f t="shared" ref="E2307:F2323" si="382">I2307+G2307+K2307</f>
        <v>62811</v>
      </c>
      <c r="F2307" s="493">
        <f t="shared" si="382"/>
        <v>29646.7</v>
      </c>
      <c r="G2307" s="494">
        <f>단가산출근거목록표!F157</f>
        <v>62811</v>
      </c>
      <c r="H2307" s="498">
        <f t="shared" ref="H2307:H2322" si="383">IF(C2307=0,0,ROUNDDOWN(G2307*C2307,1))</f>
        <v>29646.7</v>
      </c>
      <c r="I2307" s="494">
        <f>단가산출근거목록표!G157</f>
        <v>0</v>
      </c>
      <c r="J2307" s="498">
        <f t="shared" ref="J2307:J2322" si="384">IF(C2307=0,0,ROUNDDOWN(I2307*C2307,1))</f>
        <v>0</v>
      </c>
      <c r="K2307" s="494">
        <f>단가산출근거목록표!H157</f>
        <v>0</v>
      </c>
      <c r="L2307" s="498">
        <f t="shared" ref="L2307:L2322" si="385">IF(C2307=0,0,ROUNDDOWN(K2307*C2307,1))</f>
        <v>0</v>
      </c>
      <c r="M2307" s="463" t="s">
        <v>2486</v>
      </c>
      <c r="N2307" s="451" t="s">
        <v>2487</v>
      </c>
      <c r="O2307" s="468" t="s">
        <v>2488</v>
      </c>
      <c r="P2307" s="468" t="s">
        <v>2354</v>
      </c>
      <c r="Q2307" s="468" t="s">
        <v>2355</v>
      </c>
      <c r="Z2307" s="433" t="str">
        <f ca="1">HYPERLINK("#"&amp;단가산출근거목록표!J2&amp;"!A"&amp;ROW(단가산출근거목록표!A157),"D01241 →")</f>
        <v>D01241 →</v>
      </c>
    </row>
    <row r="2308" spans="1:26" ht="33.200000000000003" customHeight="1">
      <c r="A2308" s="452" t="s">
        <v>2321</v>
      </c>
      <c r="B2308" s="452" t="s">
        <v>2322</v>
      </c>
      <c r="C2308" s="489">
        <v>0.13100000000000001</v>
      </c>
      <c r="D2308" s="480" t="s">
        <v>8</v>
      </c>
      <c r="E2308" s="490">
        <f t="shared" si="382"/>
        <v>34413</v>
      </c>
      <c r="F2308" s="493">
        <f t="shared" si="382"/>
        <v>4508.1000000000004</v>
      </c>
      <c r="G2308" s="494">
        <f>일위대가목록표!F275</f>
        <v>34413</v>
      </c>
      <c r="H2308" s="498">
        <f t="shared" si="383"/>
        <v>4508.1000000000004</v>
      </c>
      <c r="I2308" s="494">
        <f>일위대가목록표!G275</f>
        <v>0</v>
      </c>
      <c r="J2308" s="498">
        <f t="shared" si="384"/>
        <v>0</v>
      </c>
      <c r="K2308" s="494">
        <f>일위대가목록표!H275</f>
        <v>0</v>
      </c>
      <c r="L2308" s="498">
        <f t="shared" si="385"/>
        <v>0</v>
      </c>
      <c r="M2308" s="463" t="s">
        <v>2489</v>
      </c>
      <c r="N2308" s="451" t="s">
        <v>2490</v>
      </c>
      <c r="O2308" s="468" t="s">
        <v>2491</v>
      </c>
      <c r="P2308" s="468" t="s">
        <v>2354</v>
      </c>
      <c r="Q2308" s="468" t="s">
        <v>2355</v>
      </c>
      <c r="Z2308" s="433" t="str">
        <f ca="1">HYPERLINK("#"&amp;일위대가목록표!J2&amp;"!A"&amp;ROW(일위대가목록표!A275),"B01414 →")</f>
        <v>B01414 →</v>
      </c>
    </row>
    <row r="2309" spans="1:26" ht="33.200000000000003" customHeight="1">
      <c r="A2309" s="452" t="s">
        <v>2298</v>
      </c>
      <c r="B2309" s="452" t="s">
        <v>2299</v>
      </c>
      <c r="C2309" s="489">
        <v>0.34100000000000003</v>
      </c>
      <c r="D2309" s="480" t="s">
        <v>8</v>
      </c>
      <c r="E2309" s="490">
        <f t="shared" si="382"/>
        <v>24089</v>
      </c>
      <c r="F2309" s="493">
        <f t="shared" si="382"/>
        <v>8214.2999999999993</v>
      </c>
      <c r="G2309" s="494">
        <f>일위대가목록표!F37</f>
        <v>24089</v>
      </c>
      <c r="H2309" s="498">
        <f t="shared" si="383"/>
        <v>8214.2999999999993</v>
      </c>
      <c r="I2309" s="494">
        <f>일위대가목록표!G37</f>
        <v>0</v>
      </c>
      <c r="J2309" s="498">
        <f t="shared" si="384"/>
        <v>0</v>
      </c>
      <c r="K2309" s="494">
        <f>일위대가목록표!H37</f>
        <v>0</v>
      </c>
      <c r="L2309" s="498">
        <f t="shared" si="385"/>
        <v>0</v>
      </c>
      <c r="M2309" s="463" t="s">
        <v>2492</v>
      </c>
      <c r="N2309" s="451" t="s">
        <v>2493</v>
      </c>
      <c r="O2309" s="468" t="s">
        <v>2494</v>
      </c>
      <c r="P2309" s="468" t="s">
        <v>2354</v>
      </c>
      <c r="Q2309" s="468" t="s">
        <v>2355</v>
      </c>
      <c r="Z2309" s="433" t="str">
        <f ca="1">HYPERLINK("#"&amp;일위대가목록표!J2&amp;"!A"&amp;ROW(일위대가목록표!A37),"B01447 →")</f>
        <v>B01447 →</v>
      </c>
    </row>
    <row r="2310" spans="1:26" ht="33.200000000000003" customHeight="1">
      <c r="A2310" s="452" t="s">
        <v>2342</v>
      </c>
      <c r="B2310" s="452" t="s">
        <v>2343</v>
      </c>
      <c r="C2310" s="489">
        <v>0.11899999999999999</v>
      </c>
      <c r="D2310" s="480" t="s">
        <v>8</v>
      </c>
      <c r="E2310" s="490">
        <f t="shared" si="382"/>
        <v>477254</v>
      </c>
      <c r="F2310" s="493">
        <f t="shared" si="382"/>
        <v>56793.100000000006</v>
      </c>
      <c r="G2310" s="494">
        <f>일위대가목록표!F330</f>
        <v>373604</v>
      </c>
      <c r="H2310" s="498">
        <f t="shared" si="383"/>
        <v>44458.8</v>
      </c>
      <c r="I2310" s="494">
        <f>일위대가목록표!G330</f>
        <v>103650</v>
      </c>
      <c r="J2310" s="498">
        <f t="shared" si="384"/>
        <v>12334.3</v>
      </c>
      <c r="K2310" s="494">
        <f>일위대가목록표!H330</f>
        <v>0</v>
      </c>
      <c r="L2310" s="498">
        <f t="shared" si="385"/>
        <v>0</v>
      </c>
      <c r="M2310" s="463" t="s">
        <v>2500</v>
      </c>
      <c r="N2310" s="451" t="s">
        <v>2501</v>
      </c>
      <c r="O2310" s="468" t="s">
        <v>2502</v>
      </c>
      <c r="P2310" s="468" t="s">
        <v>2354</v>
      </c>
      <c r="Q2310" s="468" t="s">
        <v>2355</v>
      </c>
      <c r="Z2310" s="433" t="str">
        <f ca="1">HYPERLINK("#"&amp;일위대가목록표!J2&amp;"!A"&amp;ROW(일위대가목록표!A330),"B01936 →")</f>
        <v>B01936 →</v>
      </c>
    </row>
    <row r="2311" spans="1:26" ht="33.200000000000003" customHeight="1">
      <c r="A2311" s="452" t="s">
        <v>2495</v>
      </c>
      <c r="B2311" s="452" t="s">
        <v>2496</v>
      </c>
      <c r="C2311" s="489">
        <v>1.28</v>
      </c>
      <c r="D2311" s="480" t="s">
        <v>595</v>
      </c>
      <c r="E2311" s="490">
        <f t="shared" si="382"/>
        <v>46533</v>
      </c>
      <c r="F2311" s="493">
        <f t="shared" si="382"/>
        <v>59562.100000000006</v>
      </c>
      <c r="G2311" s="494">
        <f>단가산출근거목록표!F169</f>
        <v>34461</v>
      </c>
      <c r="H2311" s="498">
        <f t="shared" si="383"/>
        <v>44110</v>
      </c>
      <c r="I2311" s="494">
        <f>단가산출근거목록표!G169</f>
        <v>11728</v>
      </c>
      <c r="J2311" s="498">
        <f t="shared" si="384"/>
        <v>15011.8</v>
      </c>
      <c r="K2311" s="494">
        <f>단가산출근거목록표!H169</f>
        <v>344</v>
      </c>
      <c r="L2311" s="498">
        <f t="shared" si="385"/>
        <v>440.3</v>
      </c>
      <c r="M2311" s="463" t="s">
        <v>2497</v>
      </c>
      <c r="N2311" s="451" t="s">
        <v>2498</v>
      </c>
      <c r="O2311" s="468" t="s">
        <v>2499</v>
      </c>
      <c r="P2311" s="468" t="s">
        <v>2354</v>
      </c>
      <c r="Q2311" s="468" t="s">
        <v>2355</v>
      </c>
      <c r="Z2311" s="433" t="str">
        <f ca="1">HYPERLINK("#"&amp;단가산출근거목록표!J2&amp;"!A"&amp;ROW(단가산출근거목록표!A169),"D01231 →")</f>
        <v>D01231 →</v>
      </c>
    </row>
    <row r="2312" spans="1:26" ht="33.200000000000003" customHeight="1">
      <c r="A2312" s="452" t="s">
        <v>2922</v>
      </c>
      <c r="B2312" s="452" t="s">
        <v>2923</v>
      </c>
      <c r="C2312" s="489">
        <v>85.46</v>
      </c>
      <c r="D2312" s="480" t="s">
        <v>605</v>
      </c>
      <c r="E2312" s="490">
        <f t="shared" si="382"/>
        <v>7400</v>
      </c>
      <c r="F2312" s="491">
        <f t="shared" si="382"/>
        <v>632404</v>
      </c>
      <c r="G2312" s="492">
        <v>0</v>
      </c>
      <c r="H2312" s="493">
        <f t="shared" si="383"/>
        <v>0</v>
      </c>
      <c r="I2312" s="494">
        <f>재료비목록표!E76</f>
        <v>7400</v>
      </c>
      <c r="J2312" s="495">
        <f t="shared" si="384"/>
        <v>632404</v>
      </c>
      <c r="K2312" s="492">
        <v>0</v>
      </c>
      <c r="L2312" s="493">
        <f t="shared" si="385"/>
        <v>0</v>
      </c>
      <c r="M2312" s="463" t="s">
        <v>2924</v>
      </c>
      <c r="N2312" s="451" t="s">
        <v>2925</v>
      </c>
      <c r="O2312" s="468" t="s">
        <v>2926</v>
      </c>
      <c r="P2312" s="468" t="s">
        <v>2354</v>
      </c>
      <c r="Z2312" s="433" t="str">
        <f ca="1">HYPERLINK("#"&amp;재료비목록표!G2&amp;"!A"&amp;ROW(재료비목록표!A76),"M00960 →")</f>
        <v>M00960 →</v>
      </c>
    </row>
    <row r="2313" spans="1:26" ht="33.200000000000003" customHeight="1">
      <c r="A2313" s="452" t="s">
        <v>1461</v>
      </c>
      <c r="B2313" s="452" t="s">
        <v>1462</v>
      </c>
      <c r="C2313" s="489">
        <v>0.27100000000000002</v>
      </c>
      <c r="D2313" s="480" t="s">
        <v>8</v>
      </c>
      <c r="E2313" s="490">
        <f t="shared" si="382"/>
        <v>915052</v>
      </c>
      <c r="F2313" s="493">
        <f t="shared" si="382"/>
        <v>247979</v>
      </c>
      <c r="G2313" s="494">
        <f>일위대가목록표!F72</f>
        <v>915052</v>
      </c>
      <c r="H2313" s="498">
        <f t="shared" si="383"/>
        <v>247979</v>
      </c>
      <c r="I2313" s="494">
        <f>일위대가목록표!G72</f>
        <v>0</v>
      </c>
      <c r="J2313" s="498">
        <f t="shared" si="384"/>
        <v>0</v>
      </c>
      <c r="K2313" s="494">
        <f>일위대가목록표!H72</f>
        <v>0</v>
      </c>
      <c r="L2313" s="498">
        <f t="shared" si="385"/>
        <v>0</v>
      </c>
      <c r="M2313" s="463" t="s">
        <v>2471</v>
      </c>
      <c r="N2313" s="451" t="s">
        <v>2472</v>
      </c>
      <c r="O2313" s="468" t="s">
        <v>1465</v>
      </c>
      <c r="P2313" s="468" t="s">
        <v>2354</v>
      </c>
      <c r="Q2313" s="468" t="s">
        <v>2355</v>
      </c>
      <c r="Z2313" s="433" t="str">
        <f ca="1">HYPERLINK("#"&amp;일위대가목록표!J2&amp;"!A"&amp;ROW(일위대가목록표!A72),"B01822 →")</f>
        <v>B01822 →</v>
      </c>
    </row>
    <row r="2314" spans="1:26" ht="33.200000000000003" customHeight="1">
      <c r="A2314" s="452" t="s">
        <v>1532</v>
      </c>
      <c r="B2314" s="452" t="s">
        <v>1537</v>
      </c>
      <c r="C2314" s="489">
        <v>8.8960000000000008</v>
      </c>
      <c r="D2314" s="480" t="s">
        <v>595</v>
      </c>
      <c r="E2314" s="490">
        <f t="shared" si="382"/>
        <v>12642</v>
      </c>
      <c r="F2314" s="493">
        <f t="shared" si="382"/>
        <v>112463.1</v>
      </c>
      <c r="G2314" s="494">
        <f>일위대가목록표!F224</f>
        <v>11027</v>
      </c>
      <c r="H2314" s="498">
        <f t="shared" si="383"/>
        <v>98096.1</v>
      </c>
      <c r="I2314" s="494">
        <f>일위대가목록표!G224</f>
        <v>1395</v>
      </c>
      <c r="J2314" s="498">
        <f t="shared" si="384"/>
        <v>12409.9</v>
      </c>
      <c r="K2314" s="494">
        <f>일위대가목록표!H224</f>
        <v>220</v>
      </c>
      <c r="L2314" s="498">
        <f t="shared" si="385"/>
        <v>1957.1</v>
      </c>
      <c r="M2314" s="463" t="s">
        <v>2473</v>
      </c>
      <c r="N2314" s="451" t="s">
        <v>2474</v>
      </c>
      <c r="O2314" s="468" t="s">
        <v>1540</v>
      </c>
      <c r="P2314" s="468" t="s">
        <v>2354</v>
      </c>
      <c r="Q2314" s="468" t="s">
        <v>2355</v>
      </c>
      <c r="Z2314" s="433" t="str">
        <f ca="1">HYPERLINK("#"&amp;일위대가목록표!J2&amp;"!A"&amp;ROW(일위대가목록표!A224),"B01814 →")</f>
        <v>B01814 →</v>
      </c>
    </row>
    <row r="2315" spans="1:26" ht="33.200000000000003" customHeight="1">
      <c r="A2315" s="452" t="s">
        <v>2911</v>
      </c>
      <c r="B2315" s="452" t="s">
        <v>3264</v>
      </c>
      <c r="C2315" s="489">
        <v>0.84</v>
      </c>
      <c r="D2315" s="480" t="s">
        <v>911</v>
      </c>
      <c r="E2315" s="490">
        <f t="shared" si="382"/>
        <v>18310</v>
      </c>
      <c r="F2315" s="491">
        <f t="shared" si="382"/>
        <v>15380.4</v>
      </c>
      <c r="G2315" s="492">
        <v>0</v>
      </c>
      <c r="H2315" s="493">
        <f t="shared" si="383"/>
        <v>0</v>
      </c>
      <c r="I2315" s="494">
        <f>재료비목록표!E22</f>
        <v>18310</v>
      </c>
      <c r="J2315" s="495">
        <f t="shared" si="384"/>
        <v>15380.4</v>
      </c>
      <c r="K2315" s="492">
        <v>0</v>
      </c>
      <c r="L2315" s="493">
        <f t="shared" si="385"/>
        <v>0</v>
      </c>
      <c r="M2315" s="463" t="s">
        <v>3265</v>
      </c>
      <c r="N2315" s="451" t="s">
        <v>3266</v>
      </c>
      <c r="O2315" s="468" t="s">
        <v>3267</v>
      </c>
      <c r="P2315" s="468" t="s">
        <v>2354</v>
      </c>
      <c r="Z2315" s="433" t="str">
        <f ca="1">HYPERLINK("#"&amp;재료비목록표!G2&amp;"!A"&amp;ROW(재료비목록표!A22),"M01578 →")</f>
        <v>M01578 →</v>
      </c>
    </row>
    <row r="2316" spans="1:26" ht="33.200000000000003" customHeight="1">
      <c r="A2316" s="452" t="s">
        <v>2325</v>
      </c>
      <c r="B2316" s="452" t="s">
        <v>2326</v>
      </c>
      <c r="C2316" s="489">
        <v>8.6E-3</v>
      </c>
      <c r="D2316" s="480" t="s">
        <v>2132</v>
      </c>
      <c r="E2316" s="490">
        <f t="shared" si="382"/>
        <v>3316857</v>
      </c>
      <c r="F2316" s="493">
        <f t="shared" si="382"/>
        <v>28524.799999999999</v>
      </c>
      <c r="G2316" s="494">
        <f>일위대가목록표!F276</f>
        <v>3071165</v>
      </c>
      <c r="H2316" s="498">
        <f t="shared" si="383"/>
        <v>26412</v>
      </c>
      <c r="I2316" s="494">
        <f>일위대가목록표!G276</f>
        <v>92134</v>
      </c>
      <c r="J2316" s="498">
        <f t="shared" si="384"/>
        <v>792.3</v>
      </c>
      <c r="K2316" s="494">
        <f>일위대가목록표!H276</f>
        <v>153558</v>
      </c>
      <c r="L2316" s="498">
        <f t="shared" si="385"/>
        <v>1320.5</v>
      </c>
      <c r="M2316" s="463" t="s">
        <v>3268</v>
      </c>
      <c r="N2316" s="451" t="s">
        <v>3283</v>
      </c>
      <c r="O2316" s="468" t="s">
        <v>3270</v>
      </c>
      <c r="P2316" s="468" t="s">
        <v>2354</v>
      </c>
      <c r="Q2316" s="468" t="s">
        <v>2355</v>
      </c>
      <c r="Z2316" s="433" t="str">
        <f ca="1">HYPERLINK("#"&amp;일위대가목록표!J2&amp;"!A"&amp;ROW(일위대가목록표!A276),"B02691 →")</f>
        <v>B02691 →</v>
      </c>
    </row>
    <row r="2317" spans="1:26" ht="33.200000000000003" customHeight="1">
      <c r="A2317" s="452" t="s">
        <v>3271</v>
      </c>
      <c r="B2317" s="452" t="s">
        <v>3272</v>
      </c>
      <c r="C2317" s="489">
        <v>4.57</v>
      </c>
      <c r="D2317" s="480" t="s">
        <v>911</v>
      </c>
      <c r="E2317" s="490">
        <f t="shared" si="382"/>
        <v>5990</v>
      </c>
      <c r="F2317" s="491">
        <f t="shared" si="382"/>
        <v>27374.3</v>
      </c>
      <c r="G2317" s="492">
        <v>0</v>
      </c>
      <c r="H2317" s="493">
        <f t="shared" si="383"/>
        <v>0</v>
      </c>
      <c r="I2317" s="494">
        <f>재료비목록표!E88</f>
        <v>5990</v>
      </c>
      <c r="J2317" s="495">
        <f t="shared" si="384"/>
        <v>27374.3</v>
      </c>
      <c r="K2317" s="492">
        <v>0</v>
      </c>
      <c r="L2317" s="493">
        <f t="shared" si="385"/>
        <v>0</v>
      </c>
      <c r="M2317" s="463" t="s">
        <v>3273</v>
      </c>
      <c r="N2317" s="451" t="s">
        <v>3274</v>
      </c>
      <c r="O2317" s="468" t="s">
        <v>3275</v>
      </c>
      <c r="P2317" s="468" t="s">
        <v>2354</v>
      </c>
      <c r="Z2317" s="433" t="str">
        <f ca="1">HYPERLINK("#"&amp;재료비목록표!G2&amp;"!A"&amp;ROW(재료비목록표!A88),"M01158 →")</f>
        <v>M01158 →</v>
      </c>
    </row>
    <row r="2318" spans="1:26" ht="33.200000000000003" customHeight="1">
      <c r="A2318" s="452" t="s">
        <v>2927</v>
      </c>
      <c r="B2318" s="452" t="s">
        <v>3276</v>
      </c>
      <c r="C2318" s="489">
        <v>4.2</v>
      </c>
      <c r="D2318" s="480" t="s">
        <v>2377</v>
      </c>
      <c r="E2318" s="490">
        <f t="shared" si="382"/>
        <v>1246</v>
      </c>
      <c r="F2318" s="491">
        <f t="shared" si="382"/>
        <v>5233.2</v>
      </c>
      <c r="G2318" s="492">
        <v>0</v>
      </c>
      <c r="H2318" s="493">
        <f t="shared" si="383"/>
        <v>0</v>
      </c>
      <c r="I2318" s="494">
        <f>재료비목록표!E55</f>
        <v>1246</v>
      </c>
      <c r="J2318" s="495">
        <f t="shared" si="384"/>
        <v>5233.2</v>
      </c>
      <c r="K2318" s="492">
        <v>0</v>
      </c>
      <c r="L2318" s="493">
        <f t="shared" si="385"/>
        <v>0</v>
      </c>
      <c r="M2318" s="463" t="s">
        <v>3277</v>
      </c>
      <c r="N2318" s="451" t="s">
        <v>3278</v>
      </c>
      <c r="O2318" s="468" t="s">
        <v>3279</v>
      </c>
      <c r="P2318" s="468" t="s">
        <v>2354</v>
      </c>
      <c r="Z2318" s="433" t="str">
        <f ca="1">HYPERLINK("#"&amp;재료비목록표!G2&amp;"!A"&amp;ROW(재료비목록표!A55),"M01455 →")</f>
        <v>M01455 →</v>
      </c>
    </row>
    <row r="2319" spans="1:26" ht="33.200000000000003" customHeight="1">
      <c r="A2319" s="452" t="s">
        <v>2932</v>
      </c>
      <c r="B2319" s="452" t="s">
        <v>2933</v>
      </c>
      <c r="C2319" s="489">
        <v>4.2</v>
      </c>
      <c r="D2319" s="480" t="s">
        <v>2377</v>
      </c>
      <c r="E2319" s="490">
        <f t="shared" si="382"/>
        <v>157.30000000000001</v>
      </c>
      <c r="F2319" s="491">
        <f t="shared" si="382"/>
        <v>660.6</v>
      </c>
      <c r="G2319" s="492">
        <v>0</v>
      </c>
      <c r="H2319" s="493">
        <f t="shared" si="383"/>
        <v>0</v>
      </c>
      <c r="I2319" s="494">
        <f>재료비목록표!E26</f>
        <v>157.30000000000001</v>
      </c>
      <c r="J2319" s="495">
        <f t="shared" si="384"/>
        <v>660.6</v>
      </c>
      <c r="K2319" s="492">
        <v>0</v>
      </c>
      <c r="L2319" s="493">
        <f t="shared" si="385"/>
        <v>0</v>
      </c>
      <c r="M2319" s="463" t="s">
        <v>2934</v>
      </c>
      <c r="N2319" s="451" t="s">
        <v>2935</v>
      </c>
      <c r="O2319" s="468" t="s">
        <v>2936</v>
      </c>
      <c r="P2319" s="468" t="s">
        <v>2354</v>
      </c>
      <c r="Z2319" s="433" t="str">
        <f ca="1">HYPERLINK("#"&amp;재료비목록표!G2&amp;"!A"&amp;ROW(재료비목록표!A26),"M00958 →")</f>
        <v>M00958 →</v>
      </c>
    </row>
    <row r="2320" spans="1:26" ht="33.200000000000003" customHeight="1">
      <c r="A2320" s="452" t="s">
        <v>2937</v>
      </c>
      <c r="B2320" s="452" t="s">
        <v>2933</v>
      </c>
      <c r="C2320" s="489">
        <v>8.4</v>
      </c>
      <c r="D2320" s="480" t="s">
        <v>2377</v>
      </c>
      <c r="E2320" s="490">
        <f t="shared" si="382"/>
        <v>53.7</v>
      </c>
      <c r="F2320" s="491">
        <f t="shared" si="382"/>
        <v>451</v>
      </c>
      <c r="G2320" s="492">
        <v>0</v>
      </c>
      <c r="H2320" s="493">
        <f t="shared" si="383"/>
        <v>0</v>
      </c>
      <c r="I2320" s="494">
        <f>재료비목록표!E74</f>
        <v>53.7</v>
      </c>
      <c r="J2320" s="495">
        <f t="shared" si="384"/>
        <v>451</v>
      </c>
      <c r="K2320" s="492">
        <v>0</v>
      </c>
      <c r="L2320" s="493">
        <f t="shared" si="385"/>
        <v>0</v>
      </c>
      <c r="M2320" s="463" t="s">
        <v>2938</v>
      </c>
      <c r="N2320" s="451" t="s">
        <v>2939</v>
      </c>
      <c r="O2320" s="468" t="s">
        <v>2940</v>
      </c>
      <c r="P2320" s="468" t="s">
        <v>2354</v>
      </c>
      <c r="Z2320" s="433" t="str">
        <f ca="1">HYPERLINK("#"&amp;재료비목록표!G2&amp;"!A"&amp;ROW(재료비목록표!A74),"M00648 →")</f>
        <v>M00648 →</v>
      </c>
    </row>
    <row r="2321" spans="1:26" ht="33.200000000000003" customHeight="1">
      <c r="A2321" s="452" t="s">
        <v>2574</v>
      </c>
      <c r="B2321" s="452" t="s">
        <v>2575</v>
      </c>
      <c r="C2321" s="489">
        <v>1.2290000000000001E-3</v>
      </c>
      <c r="D2321" s="480" t="s">
        <v>2576</v>
      </c>
      <c r="E2321" s="490">
        <f t="shared" si="382"/>
        <v>765000</v>
      </c>
      <c r="F2321" s="491">
        <f t="shared" si="382"/>
        <v>940.1</v>
      </c>
      <c r="G2321" s="492">
        <v>0</v>
      </c>
      <c r="H2321" s="493">
        <f t="shared" si="383"/>
        <v>0</v>
      </c>
      <c r="I2321" s="494">
        <f>재료비목록표!E81</f>
        <v>765000</v>
      </c>
      <c r="J2321" s="495">
        <f t="shared" si="384"/>
        <v>940.1</v>
      </c>
      <c r="K2321" s="492">
        <v>0</v>
      </c>
      <c r="L2321" s="493">
        <f t="shared" si="385"/>
        <v>0</v>
      </c>
      <c r="M2321" s="463" t="s">
        <v>2577</v>
      </c>
      <c r="N2321" s="451" t="s">
        <v>2578</v>
      </c>
      <c r="O2321" s="468" t="s">
        <v>2579</v>
      </c>
      <c r="P2321" s="468" t="s">
        <v>2354</v>
      </c>
      <c r="Z2321" s="433" t="str">
        <f ca="1">HYPERLINK("#"&amp;재료비목록표!G2&amp;"!A"&amp;ROW(재료비목록표!A81),"M00150 →")</f>
        <v>M00150 →</v>
      </c>
    </row>
    <row r="2322" spans="1:26" ht="33.200000000000003" customHeight="1">
      <c r="A2322" s="452" t="s">
        <v>2580</v>
      </c>
      <c r="B2322" s="452" t="s">
        <v>2581</v>
      </c>
      <c r="C2322" s="489">
        <v>1.194E-3</v>
      </c>
      <c r="D2322" s="480" t="s">
        <v>2132</v>
      </c>
      <c r="E2322" s="490">
        <f t="shared" si="382"/>
        <v>1386016</v>
      </c>
      <c r="F2322" s="493">
        <f t="shared" si="382"/>
        <v>1654.8</v>
      </c>
      <c r="G2322" s="494">
        <f>단가산출근거목록표!F141</f>
        <v>1375031</v>
      </c>
      <c r="H2322" s="498">
        <f t="shared" si="383"/>
        <v>1641.7</v>
      </c>
      <c r="I2322" s="494">
        <f>단가산출근거목록표!G141</f>
        <v>10985</v>
      </c>
      <c r="J2322" s="498">
        <f t="shared" si="384"/>
        <v>13.1</v>
      </c>
      <c r="K2322" s="494">
        <f>단가산출근거목록표!H141</f>
        <v>0</v>
      </c>
      <c r="L2322" s="498">
        <f t="shared" si="385"/>
        <v>0</v>
      </c>
      <c r="M2322" s="463" t="s">
        <v>2582</v>
      </c>
      <c r="N2322" s="451" t="s">
        <v>2588</v>
      </c>
      <c r="O2322" s="468" t="s">
        <v>2584</v>
      </c>
      <c r="P2322" s="468" t="s">
        <v>2354</v>
      </c>
      <c r="Q2322" s="468" t="s">
        <v>2355</v>
      </c>
      <c r="Z2322" s="433" t="str">
        <f ca="1">HYPERLINK("#"&amp;단가산출근거목록표!J2&amp;"!A"&amp;ROW(단가산출근거목록표!A141),"D00950 →")</f>
        <v>D00950 →</v>
      </c>
    </row>
    <row r="2323" spans="1:26" ht="33.200000000000003" customHeight="1">
      <c r="A2323" s="452" t="s">
        <v>2507</v>
      </c>
      <c r="B2323" s="452" t="s">
        <v>2441</v>
      </c>
      <c r="C2323" s="489">
        <v>25</v>
      </c>
      <c r="D2323" s="480" t="s">
        <v>2371</v>
      </c>
      <c r="E2323" s="490">
        <f t="shared" si="382"/>
        <v>505066.7</v>
      </c>
      <c r="F2323" s="491">
        <f t="shared" si="382"/>
        <v>126266.6</v>
      </c>
      <c r="G2323" s="496">
        <f>H2307+H2308+H2309+H2310+H2311+H2313+H2314+H2316+H2322</f>
        <v>505066.7</v>
      </c>
      <c r="H2323" s="491">
        <f>IF(C2323=0,0,ROUNDDOWN(G2323*C2323/100,1))</f>
        <v>126266.6</v>
      </c>
      <c r="I2323" s="465">
        <v>0</v>
      </c>
      <c r="J2323" s="493">
        <f>IF(C2323=0,0,ROUNDDOWN(I2323*C2323/100,1))</f>
        <v>0</v>
      </c>
      <c r="K2323" s="467">
        <v>0</v>
      </c>
      <c r="L2323" s="493">
        <f>IF(C2323=0,0,ROUNDDOWN(K2323*C2323/100,1))</f>
        <v>0</v>
      </c>
      <c r="M2323" s="463"/>
      <c r="N2323" s="451" t="s">
        <v>2508</v>
      </c>
      <c r="O2323" s="468" t="s">
        <v>2373</v>
      </c>
      <c r="P2323" s="468" t="s">
        <v>2354</v>
      </c>
    </row>
    <row r="2324" spans="1:26" ht="33.200000000000003" customHeight="1">
      <c r="A2324" s="463" t="s">
        <v>842</v>
      </c>
      <c r="B2324" s="497"/>
      <c r="C2324" s="497"/>
      <c r="D2324" s="497"/>
      <c r="E2324" s="497"/>
      <c r="F2324" s="446">
        <f>J2324+H2324+L2324</f>
        <v>1358055</v>
      </c>
      <c r="G2324" s="497"/>
      <c r="H2324" s="446">
        <f>ROUNDDOWN(SUMIF(P2307:P2323,O2324,H2307:H2323),0)</f>
        <v>631333</v>
      </c>
      <c r="I2324" s="497"/>
      <c r="J2324" s="446">
        <f>ROUNDDOWN(SUMIF(P2307:P2323,O2324,J2307:J2323),0)</f>
        <v>723005</v>
      </c>
      <c r="K2324" s="497"/>
      <c r="L2324" s="446">
        <f>ROUNDDOWN(SUMIF(P2307:P2323,O2324,L2307:L2323),0)</f>
        <v>3717</v>
      </c>
      <c r="M2324" s="497"/>
      <c r="O2324" s="468" t="s">
        <v>2354</v>
      </c>
    </row>
    <row r="2325" spans="1:26" ht="33.200000000000003" customHeight="1">
      <c r="A2325" s="484" t="s">
        <v>5543</v>
      </c>
      <c r="B2325" s="484"/>
      <c r="C2325" s="485"/>
      <c r="D2325" s="485"/>
      <c r="E2325" s="485"/>
      <c r="F2325" s="485"/>
      <c r="G2325" s="485"/>
      <c r="H2325" s="485"/>
      <c r="I2325" s="485"/>
      <c r="J2325" s="485"/>
      <c r="K2325" s="485"/>
      <c r="L2325" s="485"/>
      <c r="M2325" s="485"/>
      <c r="N2325" s="486" t="str">
        <f>HYPERLINK("#N"&amp;ROW(N2332),"_x0005_`BDCOD|B02496_x0007_`POSS|"&amp;ROW(N2327)&amp;"_x0007_`POSE|"&amp;ROW(N2332)&amp;"_x0007_`")</f>
        <v>_x0005_`BDCOD|B02496_x0007_`POSS|2327_x0007_`POSE|2332_x0007_`</v>
      </c>
    </row>
    <row r="2326" spans="1:26" ht="33.200000000000003" customHeight="1">
      <c r="A2326" s="469" t="s">
        <v>1087</v>
      </c>
      <c r="B2326" s="469" t="s">
        <v>1067</v>
      </c>
      <c r="C2326" s="487"/>
      <c r="D2326" s="488" t="s">
        <v>975</v>
      </c>
      <c r="E2326" s="487"/>
      <c r="F2326" s="487"/>
      <c r="G2326" s="487"/>
      <c r="H2326" s="487"/>
      <c r="I2326" s="487"/>
      <c r="J2326" s="487"/>
      <c r="K2326" s="487"/>
      <c r="L2326" s="487"/>
      <c r="M2326" s="488" t="s">
        <v>1088</v>
      </c>
      <c r="O2326" s="468" t="s">
        <v>1088</v>
      </c>
    </row>
    <row r="2327" spans="1:26" ht="33.200000000000003" customHeight="1">
      <c r="A2327" s="452" t="s">
        <v>2484</v>
      </c>
      <c r="B2327" s="452" t="s">
        <v>2485</v>
      </c>
      <c r="C2327" s="489">
        <v>2.3E-2</v>
      </c>
      <c r="D2327" s="480" t="s">
        <v>8</v>
      </c>
      <c r="E2327" s="490">
        <f t="shared" ref="E2327:F2332" si="386">I2327+G2327+K2327</f>
        <v>62811</v>
      </c>
      <c r="F2327" s="493">
        <f t="shared" si="386"/>
        <v>1444.6</v>
      </c>
      <c r="G2327" s="494">
        <f>단가산출근거목록표!F157</f>
        <v>62811</v>
      </c>
      <c r="H2327" s="498">
        <f t="shared" ref="H2327:H2332" si="387">IF(C2327=0,0,ROUNDDOWN(G2327*C2327,1))</f>
        <v>1444.6</v>
      </c>
      <c r="I2327" s="494">
        <f>단가산출근거목록표!G157</f>
        <v>0</v>
      </c>
      <c r="J2327" s="498">
        <f t="shared" ref="J2327:J2332" si="388">IF(C2327=0,0,ROUNDDOWN(I2327*C2327,1))</f>
        <v>0</v>
      </c>
      <c r="K2327" s="494">
        <f>단가산출근거목록표!H157</f>
        <v>0</v>
      </c>
      <c r="L2327" s="498">
        <f t="shared" ref="L2327:L2332" si="389">IF(C2327=0,0,ROUNDDOWN(K2327*C2327,1))</f>
        <v>0</v>
      </c>
      <c r="M2327" s="463" t="s">
        <v>2486</v>
      </c>
      <c r="N2327" s="451" t="s">
        <v>2487</v>
      </c>
      <c r="O2327" s="468" t="s">
        <v>2488</v>
      </c>
      <c r="P2327" s="468" t="s">
        <v>2354</v>
      </c>
      <c r="Q2327" s="468" t="s">
        <v>2355</v>
      </c>
      <c r="Z2327" s="433" t="str">
        <f ca="1">HYPERLINK("#"&amp;단가산출근거목록표!J2&amp;"!A"&amp;ROW(단가산출근거목록표!A157),"D01241 →")</f>
        <v>D01241 →</v>
      </c>
    </row>
    <row r="2328" spans="1:26" ht="33.200000000000003" customHeight="1">
      <c r="A2328" s="452" t="s">
        <v>2321</v>
      </c>
      <c r="B2328" s="452" t="s">
        <v>2322</v>
      </c>
      <c r="C2328" s="489">
        <v>1.7999999999999999E-2</v>
      </c>
      <c r="D2328" s="480" t="s">
        <v>8</v>
      </c>
      <c r="E2328" s="490">
        <f t="shared" si="386"/>
        <v>34413</v>
      </c>
      <c r="F2328" s="493">
        <f t="shared" si="386"/>
        <v>619.4</v>
      </c>
      <c r="G2328" s="494">
        <f>일위대가목록표!F275</f>
        <v>34413</v>
      </c>
      <c r="H2328" s="498">
        <f t="shared" si="387"/>
        <v>619.4</v>
      </c>
      <c r="I2328" s="494">
        <f>일위대가목록표!G275</f>
        <v>0</v>
      </c>
      <c r="J2328" s="498">
        <f t="shared" si="388"/>
        <v>0</v>
      </c>
      <c r="K2328" s="494">
        <f>일위대가목록표!H275</f>
        <v>0</v>
      </c>
      <c r="L2328" s="498">
        <f t="shared" si="389"/>
        <v>0</v>
      </c>
      <c r="M2328" s="463" t="s">
        <v>2489</v>
      </c>
      <c r="N2328" s="451" t="s">
        <v>2490</v>
      </c>
      <c r="O2328" s="468" t="s">
        <v>2491</v>
      </c>
      <c r="P2328" s="468" t="s">
        <v>2354</v>
      </c>
      <c r="Q2328" s="468" t="s">
        <v>2355</v>
      </c>
      <c r="Z2328" s="433" t="str">
        <f ca="1">HYPERLINK("#"&amp;일위대가목록표!J2&amp;"!A"&amp;ROW(일위대가목록표!A275),"B01414 →")</f>
        <v>B01414 →</v>
      </c>
    </row>
    <row r="2329" spans="1:26" ht="33.200000000000003" customHeight="1">
      <c r="A2329" s="452" t="s">
        <v>2298</v>
      </c>
      <c r="B2329" s="452" t="s">
        <v>2299</v>
      </c>
      <c r="C2329" s="489">
        <v>5.0000000000000001E-3</v>
      </c>
      <c r="D2329" s="480" t="s">
        <v>8</v>
      </c>
      <c r="E2329" s="490">
        <f t="shared" si="386"/>
        <v>24089</v>
      </c>
      <c r="F2329" s="493">
        <f t="shared" si="386"/>
        <v>120.4</v>
      </c>
      <c r="G2329" s="494">
        <f>일위대가목록표!F37</f>
        <v>24089</v>
      </c>
      <c r="H2329" s="498">
        <f t="shared" si="387"/>
        <v>120.4</v>
      </c>
      <c r="I2329" s="494">
        <f>일위대가목록표!G37</f>
        <v>0</v>
      </c>
      <c r="J2329" s="498">
        <f t="shared" si="388"/>
        <v>0</v>
      </c>
      <c r="K2329" s="494">
        <f>일위대가목록표!H37</f>
        <v>0</v>
      </c>
      <c r="L2329" s="498">
        <f t="shared" si="389"/>
        <v>0</v>
      </c>
      <c r="M2329" s="463" t="s">
        <v>2492</v>
      </c>
      <c r="N2329" s="451" t="s">
        <v>2493</v>
      </c>
      <c r="O2329" s="468" t="s">
        <v>2494</v>
      </c>
      <c r="P2329" s="468" t="s">
        <v>2354</v>
      </c>
      <c r="Q2329" s="468" t="s">
        <v>2355</v>
      </c>
      <c r="Z2329" s="433" t="str">
        <f ca="1">HYPERLINK("#"&amp;일위대가목록표!J2&amp;"!A"&amp;ROW(일위대가목록표!A37),"B01447 →")</f>
        <v>B01447 →</v>
      </c>
    </row>
    <row r="2330" spans="1:26" ht="33.200000000000003" customHeight="1">
      <c r="A2330" s="452" t="s">
        <v>2922</v>
      </c>
      <c r="B2330" s="452" t="s">
        <v>2923</v>
      </c>
      <c r="C2330" s="489">
        <v>7.9320000000000004</v>
      </c>
      <c r="D2330" s="480" t="s">
        <v>605</v>
      </c>
      <c r="E2330" s="490">
        <f t="shared" si="386"/>
        <v>7400</v>
      </c>
      <c r="F2330" s="491">
        <f t="shared" si="386"/>
        <v>58696.800000000003</v>
      </c>
      <c r="G2330" s="492">
        <v>0</v>
      </c>
      <c r="H2330" s="493">
        <f t="shared" si="387"/>
        <v>0</v>
      </c>
      <c r="I2330" s="494">
        <f>재료비목록표!E76</f>
        <v>7400</v>
      </c>
      <c r="J2330" s="495">
        <f t="shared" si="388"/>
        <v>58696.800000000003</v>
      </c>
      <c r="K2330" s="492">
        <v>0</v>
      </c>
      <c r="L2330" s="493">
        <f t="shared" si="389"/>
        <v>0</v>
      </c>
      <c r="M2330" s="463" t="s">
        <v>2924</v>
      </c>
      <c r="N2330" s="451" t="s">
        <v>2925</v>
      </c>
      <c r="O2330" s="468" t="s">
        <v>2926</v>
      </c>
      <c r="P2330" s="468" t="s">
        <v>2354</v>
      </c>
      <c r="Z2330" s="433" t="str">
        <f ca="1">HYPERLINK("#"&amp;재료비목록표!G2&amp;"!A"&amp;ROW(재료비목록표!A76),"M00960 →")</f>
        <v>M00960 →</v>
      </c>
    </row>
    <row r="2331" spans="1:26" ht="33.200000000000003" customHeight="1">
      <c r="A2331" s="452" t="s">
        <v>1461</v>
      </c>
      <c r="B2331" s="452" t="s">
        <v>1462</v>
      </c>
      <c r="C2331" s="489">
        <v>2.8000000000000001E-2</v>
      </c>
      <c r="D2331" s="480" t="s">
        <v>8</v>
      </c>
      <c r="E2331" s="490">
        <f t="shared" si="386"/>
        <v>915052</v>
      </c>
      <c r="F2331" s="493">
        <f t="shared" si="386"/>
        <v>25621.4</v>
      </c>
      <c r="G2331" s="494">
        <f>일위대가목록표!F72</f>
        <v>915052</v>
      </c>
      <c r="H2331" s="498">
        <f t="shared" si="387"/>
        <v>25621.4</v>
      </c>
      <c r="I2331" s="494">
        <f>일위대가목록표!G72</f>
        <v>0</v>
      </c>
      <c r="J2331" s="498">
        <f t="shared" si="388"/>
        <v>0</v>
      </c>
      <c r="K2331" s="494">
        <f>일위대가목록표!H72</f>
        <v>0</v>
      </c>
      <c r="L2331" s="498">
        <f t="shared" si="389"/>
        <v>0</v>
      </c>
      <c r="M2331" s="463" t="s">
        <v>2471</v>
      </c>
      <c r="N2331" s="451" t="s">
        <v>2472</v>
      </c>
      <c r="O2331" s="468" t="s">
        <v>1465</v>
      </c>
      <c r="P2331" s="468" t="s">
        <v>2354</v>
      </c>
      <c r="Q2331" s="468" t="s">
        <v>2355</v>
      </c>
      <c r="Z2331" s="433" t="str">
        <f ca="1">HYPERLINK("#"&amp;일위대가목록표!J2&amp;"!A"&amp;ROW(일위대가목록표!A72),"B01822 →")</f>
        <v>B01822 →</v>
      </c>
    </row>
    <row r="2332" spans="1:26" ht="33.200000000000003" customHeight="1">
      <c r="A2332" s="452" t="s">
        <v>2574</v>
      </c>
      <c r="B2332" s="452" t="s">
        <v>3287</v>
      </c>
      <c r="C2332" s="489">
        <v>3.7000000000000002E-3</v>
      </c>
      <c r="D2332" s="480" t="s">
        <v>2576</v>
      </c>
      <c r="E2332" s="490">
        <f t="shared" si="386"/>
        <v>760000</v>
      </c>
      <c r="F2332" s="491">
        <f t="shared" si="386"/>
        <v>2812</v>
      </c>
      <c r="G2332" s="492">
        <v>0</v>
      </c>
      <c r="H2332" s="493">
        <f t="shared" si="387"/>
        <v>0</v>
      </c>
      <c r="I2332" s="494">
        <f>재료비목록표!E82</f>
        <v>760000</v>
      </c>
      <c r="J2332" s="495">
        <f t="shared" si="388"/>
        <v>2812</v>
      </c>
      <c r="K2332" s="492">
        <v>0</v>
      </c>
      <c r="L2332" s="493">
        <f t="shared" si="389"/>
        <v>0</v>
      </c>
      <c r="M2332" s="463" t="s">
        <v>3288</v>
      </c>
      <c r="N2332" s="451" t="s">
        <v>3289</v>
      </c>
      <c r="O2332" s="468" t="s">
        <v>3290</v>
      </c>
      <c r="P2332" s="468" t="s">
        <v>2354</v>
      </c>
      <c r="Z2332" s="433" t="str">
        <f ca="1">HYPERLINK("#"&amp;재료비목록표!G2&amp;"!A"&amp;ROW(재료비목록표!A82),"M00691 →")</f>
        <v>M00691 →</v>
      </c>
    </row>
    <row r="2333" spans="1:26" ht="33.200000000000003" customHeight="1">
      <c r="A2333" s="463" t="s">
        <v>842</v>
      </c>
      <c r="B2333" s="497"/>
      <c r="C2333" s="497"/>
      <c r="D2333" s="497"/>
      <c r="E2333" s="497"/>
      <c r="F2333" s="446">
        <f>J2333+H2333+L2333</f>
        <v>89313</v>
      </c>
      <c r="G2333" s="497"/>
      <c r="H2333" s="446">
        <f>ROUNDDOWN(SUMIF(P2327:P2332,O2333,H2327:H2332),0)</f>
        <v>27805</v>
      </c>
      <c r="I2333" s="497"/>
      <c r="J2333" s="446">
        <f>ROUNDDOWN(SUMIF(P2327:P2332,O2333,J2327:J2332),0)</f>
        <v>61508</v>
      </c>
      <c r="K2333" s="497"/>
      <c r="L2333" s="446">
        <f>ROUNDDOWN(SUMIF(P2327:P2332,O2333,L2327:L2332),0)</f>
        <v>0</v>
      </c>
      <c r="M2333" s="497"/>
      <c r="O2333" s="468" t="s">
        <v>2354</v>
      </c>
    </row>
    <row r="2334" spans="1:26" ht="33.200000000000003" customHeight="1">
      <c r="A2334" s="484" t="s">
        <v>5544</v>
      </c>
      <c r="B2334" s="484"/>
      <c r="C2334" s="485"/>
      <c r="D2334" s="485"/>
      <c r="E2334" s="485"/>
      <c r="F2334" s="485"/>
      <c r="G2334" s="485"/>
      <c r="H2334" s="485"/>
      <c r="I2334" s="485"/>
      <c r="J2334" s="485"/>
      <c r="K2334" s="485"/>
      <c r="L2334" s="485"/>
      <c r="M2334" s="485"/>
      <c r="N2334" s="486" t="str">
        <f>HYPERLINK("#N"&amp;ROW(N2341),"_x0005_`BDCOD|B02497_x0007_`POSS|"&amp;ROW(N2336)&amp;"_x0007_`POSE|"&amp;ROW(N2341)&amp;"_x0007_`")</f>
        <v>_x0005_`BDCOD|B02497_x0007_`POSS|2336_x0007_`POSE|2341_x0007_`</v>
      </c>
    </row>
    <row r="2335" spans="1:26" ht="33.200000000000003" customHeight="1">
      <c r="A2335" s="469" t="s">
        <v>1087</v>
      </c>
      <c r="B2335" s="469" t="s">
        <v>1071</v>
      </c>
      <c r="C2335" s="487"/>
      <c r="D2335" s="488" t="s">
        <v>975</v>
      </c>
      <c r="E2335" s="487"/>
      <c r="F2335" s="487"/>
      <c r="G2335" s="487"/>
      <c r="H2335" s="487"/>
      <c r="I2335" s="487"/>
      <c r="J2335" s="487"/>
      <c r="K2335" s="487"/>
      <c r="L2335" s="487"/>
      <c r="M2335" s="488" t="s">
        <v>1091</v>
      </c>
      <c r="O2335" s="468" t="s">
        <v>1091</v>
      </c>
    </row>
    <row r="2336" spans="1:26" ht="33.200000000000003" customHeight="1">
      <c r="A2336" s="452" t="s">
        <v>2484</v>
      </c>
      <c r="B2336" s="452" t="s">
        <v>2485</v>
      </c>
      <c r="C2336" s="489">
        <v>2.7E-2</v>
      </c>
      <c r="D2336" s="480" t="s">
        <v>8</v>
      </c>
      <c r="E2336" s="490">
        <f t="shared" ref="E2336:F2341" si="390">I2336+G2336+K2336</f>
        <v>62811</v>
      </c>
      <c r="F2336" s="493">
        <f t="shared" si="390"/>
        <v>1695.8</v>
      </c>
      <c r="G2336" s="494">
        <f>단가산출근거목록표!F157</f>
        <v>62811</v>
      </c>
      <c r="H2336" s="498">
        <f t="shared" ref="H2336:H2341" si="391">IF(C2336=0,0,ROUNDDOWN(G2336*C2336,1))</f>
        <v>1695.8</v>
      </c>
      <c r="I2336" s="494">
        <f>단가산출근거목록표!G157</f>
        <v>0</v>
      </c>
      <c r="J2336" s="498">
        <f t="shared" ref="J2336:J2341" si="392">IF(C2336=0,0,ROUNDDOWN(I2336*C2336,1))</f>
        <v>0</v>
      </c>
      <c r="K2336" s="494">
        <f>단가산출근거목록표!H157</f>
        <v>0</v>
      </c>
      <c r="L2336" s="498">
        <f t="shared" ref="L2336:L2341" si="393">IF(C2336=0,0,ROUNDDOWN(K2336*C2336,1))</f>
        <v>0</v>
      </c>
      <c r="M2336" s="463" t="s">
        <v>2486</v>
      </c>
      <c r="N2336" s="451" t="s">
        <v>2487</v>
      </c>
      <c r="O2336" s="468" t="s">
        <v>2488</v>
      </c>
      <c r="P2336" s="468" t="s">
        <v>2354</v>
      </c>
      <c r="Q2336" s="468" t="s">
        <v>2355</v>
      </c>
      <c r="Z2336" s="433" t="str">
        <f ca="1">HYPERLINK("#"&amp;단가산출근거목록표!J2&amp;"!A"&amp;ROW(단가산출근거목록표!A157),"D01241 →")</f>
        <v>D01241 →</v>
      </c>
    </row>
    <row r="2337" spans="1:26" ht="33.200000000000003" customHeight="1">
      <c r="A2337" s="452" t="s">
        <v>2321</v>
      </c>
      <c r="B2337" s="452" t="s">
        <v>2322</v>
      </c>
      <c r="C2337" s="489">
        <v>2.1000000000000001E-2</v>
      </c>
      <c r="D2337" s="480" t="s">
        <v>8</v>
      </c>
      <c r="E2337" s="490">
        <f t="shared" si="390"/>
        <v>34413</v>
      </c>
      <c r="F2337" s="493">
        <f t="shared" si="390"/>
        <v>722.6</v>
      </c>
      <c r="G2337" s="494">
        <f>일위대가목록표!F275</f>
        <v>34413</v>
      </c>
      <c r="H2337" s="498">
        <f t="shared" si="391"/>
        <v>722.6</v>
      </c>
      <c r="I2337" s="494">
        <f>일위대가목록표!G275</f>
        <v>0</v>
      </c>
      <c r="J2337" s="498">
        <f t="shared" si="392"/>
        <v>0</v>
      </c>
      <c r="K2337" s="494">
        <f>일위대가목록표!H275</f>
        <v>0</v>
      </c>
      <c r="L2337" s="498">
        <f t="shared" si="393"/>
        <v>0</v>
      </c>
      <c r="M2337" s="463" t="s">
        <v>2489</v>
      </c>
      <c r="N2337" s="451" t="s">
        <v>2490</v>
      </c>
      <c r="O2337" s="468" t="s">
        <v>2491</v>
      </c>
      <c r="P2337" s="468" t="s">
        <v>2354</v>
      </c>
      <c r="Q2337" s="468" t="s">
        <v>2355</v>
      </c>
      <c r="Z2337" s="433" t="str">
        <f ca="1">HYPERLINK("#"&amp;일위대가목록표!J2&amp;"!A"&amp;ROW(일위대가목록표!A275),"B01414 →")</f>
        <v>B01414 →</v>
      </c>
    </row>
    <row r="2338" spans="1:26" ht="33.200000000000003" customHeight="1">
      <c r="A2338" s="452" t="s">
        <v>2298</v>
      </c>
      <c r="B2338" s="452" t="s">
        <v>2299</v>
      </c>
      <c r="C2338" s="489">
        <v>6.0000000000000001E-3</v>
      </c>
      <c r="D2338" s="480" t="s">
        <v>8</v>
      </c>
      <c r="E2338" s="490">
        <f t="shared" si="390"/>
        <v>24089</v>
      </c>
      <c r="F2338" s="493">
        <f t="shared" si="390"/>
        <v>144.5</v>
      </c>
      <c r="G2338" s="494">
        <f>일위대가목록표!F37</f>
        <v>24089</v>
      </c>
      <c r="H2338" s="498">
        <f t="shared" si="391"/>
        <v>144.5</v>
      </c>
      <c r="I2338" s="494">
        <f>일위대가목록표!G37</f>
        <v>0</v>
      </c>
      <c r="J2338" s="498">
        <f t="shared" si="392"/>
        <v>0</v>
      </c>
      <c r="K2338" s="494">
        <f>일위대가목록표!H37</f>
        <v>0</v>
      </c>
      <c r="L2338" s="498">
        <f t="shared" si="393"/>
        <v>0</v>
      </c>
      <c r="M2338" s="463" t="s">
        <v>2492</v>
      </c>
      <c r="N2338" s="451" t="s">
        <v>2493</v>
      </c>
      <c r="O2338" s="468" t="s">
        <v>2494</v>
      </c>
      <c r="P2338" s="468" t="s">
        <v>2354</v>
      </c>
      <c r="Q2338" s="468" t="s">
        <v>2355</v>
      </c>
      <c r="Z2338" s="433" t="str">
        <f ca="1">HYPERLINK("#"&amp;일위대가목록표!J2&amp;"!A"&amp;ROW(일위대가목록표!A37),"B01447 →")</f>
        <v>B01447 →</v>
      </c>
    </row>
    <row r="2339" spans="1:26" ht="33.200000000000003" customHeight="1">
      <c r="A2339" s="452" t="s">
        <v>2922</v>
      </c>
      <c r="B2339" s="452" t="s">
        <v>2923</v>
      </c>
      <c r="C2339" s="489">
        <v>9.5190000000000001</v>
      </c>
      <c r="D2339" s="480" t="s">
        <v>605</v>
      </c>
      <c r="E2339" s="490">
        <f t="shared" si="390"/>
        <v>7400</v>
      </c>
      <c r="F2339" s="491">
        <f t="shared" si="390"/>
        <v>70440.600000000006</v>
      </c>
      <c r="G2339" s="492">
        <v>0</v>
      </c>
      <c r="H2339" s="493">
        <f t="shared" si="391"/>
        <v>0</v>
      </c>
      <c r="I2339" s="494">
        <f>재료비목록표!E76</f>
        <v>7400</v>
      </c>
      <c r="J2339" s="495">
        <f t="shared" si="392"/>
        <v>70440.600000000006</v>
      </c>
      <c r="K2339" s="492">
        <v>0</v>
      </c>
      <c r="L2339" s="493">
        <f t="shared" si="393"/>
        <v>0</v>
      </c>
      <c r="M2339" s="463" t="s">
        <v>2924</v>
      </c>
      <c r="N2339" s="451" t="s">
        <v>2925</v>
      </c>
      <c r="O2339" s="468" t="s">
        <v>2926</v>
      </c>
      <c r="P2339" s="468" t="s">
        <v>2354</v>
      </c>
      <c r="Z2339" s="433" t="str">
        <f ca="1">HYPERLINK("#"&amp;재료비목록표!G2&amp;"!A"&amp;ROW(재료비목록표!A76),"M00960 →")</f>
        <v>M00960 →</v>
      </c>
    </row>
    <row r="2340" spans="1:26" ht="33.200000000000003" customHeight="1">
      <c r="A2340" s="452" t="s">
        <v>1461</v>
      </c>
      <c r="B2340" s="452" t="s">
        <v>1462</v>
      </c>
      <c r="C2340" s="489">
        <v>3.3000000000000002E-2</v>
      </c>
      <c r="D2340" s="480" t="s">
        <v>8</v>
      </c>
      <c r="E2340" s="490">
        <f t="shared" si="390"/>
        <v>915052</v>
      </c>
      <c r="F2340" s="493">
        <f t="shared" si="390"/>
        <v>30196.7</v>
      </c>
      <c r="G2340" s="494">
        <f>일위대가목록표!F72</f>
        <v>915052</v>
      </c>
      <c r="H2340" s="498">
        <f t="shared" si="391"/>
        <v>30196.7</v>
      </c>
      <c r="I2340" s="494">
        <f>일위대가목록표!G72</f>
        <v>0</v>
      </c>
      <c r="J2340" s="498">
        <f t="shared" si="392"/>
        <v>0</v>
      </c>
      <c r="K2340" s="494">
        <f>일위대가목록표!H72</f>
        <v>0</v>
      </c>
      <c r="L2340" s="498">
        <f t="shared" si="393"/>
        <v>0</v>
      </c>
      <c r="M2340" s="463" t="s">
        <v>2471</v>
      </c>
      <c r="N2340" s="451" t="s">
        <v>2472</v>
      </c>
      <c r="O2340" s="468" t="s">
        <v>1465</v>
      </c>
      <c r="P2340" s="468" t="s">
        <v>2354</v>
      </c>
      <c r="Q2340" s="468" t="s">
        <v>2355</v>
      </c>
      <c r="Z2340" s="433" t="str">
        <f ca="1">HYPERLINK("#"&amp;일위대가목록표!J2&amp;"!A"&amp;ROW(일위대가목록표!A72),"B01822 →")</f>
        <v>B01822 →</v>
      </c>
    </row>
    <row r="2341" spans="1:26" ht="33.200000000000003" customHeight="1">
      <c r="A2341" s="452" t="s">
        <v>2574</v>
      </c>
      <c r="B2341" s="452" t="s">
        <v>3287</v>
      </c>
      <c r="C2341" s="489">
        <v>3.7569999999999999E-3</v>
      </c>
      <c r="D2341" s="480" t="s">
        <v>2576</v>
      </c>
      <c r="E2341" s="490">
        <f t="shared" si="390"/>
        <v>760000</v>
      </c>
      <c r="F2341" s="491">
        <f t="shared" si="390"/>
        <v>2855.3</v>
      </c>
      <c r="G2341" s="492">
        <v>0</v>
      </c>
      <c r="H2341" s="493">
        <f t="shared" si="391"/>
        <v>0</v>
      </c>
      <c r="I2341" s="494">
        <f>재료비목록표!E82</f>
        <v>760000</v>
      </c>
      <c r="J2341" s="495">
        <f t="shared" si="392"/>
        <v>2855.3</v>
      </c>
      <c r="K2341" s="492">
        <v>0</v>
      </c>
      <c r="L2341" s="493">
        <f t="shared" si="393"/>
        <v>0</v>
      </c>
      <c r="M2341" s="463" t="s">
        <v>3288</v>
      </c>
      <c r="N2341" s="451" t="s">
        <v>3289</v>
      </c>
      <c r="O2341" s="468" t="s">
        <v>3290</v>
      </c>
      <c r="P2341" s="468" t="s">
        <v>2354</v>
      </c>
      <c r="Z2341" s="433" t="str">
        <f ca="1">HYPERLINK("#"&amp;재료비목록표!G2&amp;"!A"&amp;ROW(재료비목록표!A82),"M00691 →")</f>
        <v>M00691 →</v>
      </c>
    </row>
    <row r="2342" spans="1:26" ht="33.200000000000003" customHeight="1">
      <c r="A2342" s="463" t="s">
        <v>842</v>
      </c>
      <c r="B2342" s="497"/>
      <c r="C2342" s="497"/>
      <c r="D2342" s="497"/>
      <c r="E2342" s="497"/>
      <c r="F2342" s="446">
        <f>J2342+H2342+L2342</f>
        <v>106054</v>
      </c>
      <c r="G2342" s="497"/>
      <c r="H2342" s="446">
        <f>ROUNDDOWN(SUMIF(P2336:P2341,O2342,H2336:H2341),0)</f>
        <v>32759</v>
      </c>
      <c r="I2342" s="497"/>
      <c r="J2342" s="446">
        <f>ROUNDDOWN(SUMIF(P2336:P2341,O2342,J2336:J2341),0)</f>
        <v>73295</v>
      </c>
      <c r="K2342" s="497"/>
      <c r="L2342" s="446">
        <f>ROUNDDOWN(SUMIF(P2336:P2341,O2342,L2336:L2341),0)</f>
        <v>0</v>
      </c>
      <c r="M2342" s="497"/>
      <c r="O2342" s="468" t="s">
        <v>2354</v>
      </c>
    </row>
    <row r="2343" spans="1:26" ht="33.200000000000003" customHeight="1">
      <c r="A2343" s="484" t="s">
        <v>5545</v>
      </c>
      <c r="B2343" s="484"/>
      <c r="C2343" s="485"/>
      <c r="D2343" s="485"/>
      <c r="E2343" s="485"/>
      <c r="F2343" s="485"/>
      <c r="G2343" s="485"/>
      <c r="H2343" s="485"/>
      <c r="I2343" s="485"/>
      <c r="J2343" s="485"/>
      <c r="K2343" s="485"/>
      <c r="L2343" s="485"/>
      <c r="M2343" s="485"/>
      <c r="N2343" s="486" t="str">
        <f>HYPERLINK("#N"&amp;ROW(N2350),"_x0005_`BDCOD|B02498_x0007_`POSS|"&amp;ROW(N2345)&amp;"_x0007_`POSE|"&amp;ROW(N2350)&amp;"_x0007_`")</f>
        <v>_x0005_`BDCOD|B02498_x0007_`POSS|2345_x0007_`POSE|2350_x0007_`</v>
      </c>
    </row>
    <row r="2344" spans="1:26" ht="33.200000000000003" customHeight="1">
      <c r="A2344" s="469" t="s">
        <v>1087</v>
      </c>
      <c r="B2344" s="469" t="s">
        <v>1075</v>
      </c>
      <c r="C2344" s="487"/>
      <c r="D2344" s="488" t="s">
        <v>975</v>
      </c>
      <c r="E2344" s="487"/>
      <c r="F2344" s="487"/>
      <c r="G2344" s="487"/>
      <c r="H2344" s="487"/>
      <c r="I2344" s="487"/>
      <c r="J2344" s="487"/>
      <c r="K2344" s="487"/>
      <c r="L2344" s="487"/>
      <c r="M2344" s="488" t="s">
        <v>1094</v>
      </c>
      <c r="O2344" s="468" t="s">
        <v>1094</v>
      </c>
    </row>
    <row r="2345" spans="1:26" ht="33.200000000000003" customHeight="1">
      <c r="A2345" s="452" t="s">
        <v>2484</v>
      </c>
      <c r="B2345" s="452" t="s">
        <v>2485</v>
      </c>
      <c r="C2345" s="489">
        <v>3.5999999999999997E-2</v>
      </c>
      <c r="D2345" s="480" t="s">
        <v>8</v>
      </c>
      <c r="E2345" s="490">
        <f t="shared" ref="E2345:F2350" si="394">I2345+G2345+K2345</f>
        <v>62811</v>
      </c>
      <c r="F2345" s="493">
        <f t="shared" si="394"/>
        <v>2261.1</v>
      </c>
      <c r="G2345" s="494">
        <f>단가산출근거목록표!F157</f>
        <v>62811</v>
      </c>
      <c r="H2345" s="498">
        <f t="shared" ref="H2345:H2350" si="395">IF(C2345=0,0,ROUNDDOWN(G2345*C2345,1))</f>
        <v>2261.1</v>
      </c>
      <c r="I2345" s="494">
        <f>단가산출근거목록표!G157</f>
        <v>0</v>
      </c>
      <c r="J2345" s="498">
        <f t="shared" ref="J2345:J2350" si="396">IF(C2345=0,0,ROUNDDOWN(I2345*C2345,1))</f>
        <v>0</v>
      </c>
      <c r="K2345" s="494">
        <f>단가산출근거목록표!H157</f>
        <v>0</v>
      </c>
      <c r="L2345" s="498">
        <f t="shared" ref="L2345:L2350" si="397">IF(C2345=0,0,ROUNDDOWN(K2345*C2345,1))</f>
        <v>0</v>
      </c>
      <c r="M2345" s="463" t="s">
        <v>2486</v>
      </c>
      <c r="N2345" s="451" t="s">
        <v>2487</v>
      </c>
      <c r="O2345" s="468" t="s">
        <v>2488</v>
      </c>
      <c r="P2345" s="468" t="s">
        <v>2354</v>
      </c>
      <c r="Q2345" s="468" t="s">
        <v>2355</v>
      </c>
      <c r="Z2345" s="433" t="str">
        <f ca="1">HYPERLINK("#"&amp;단가산출근거목록표!J2&amp;"!A"&amp;ROW(단가산출근거목록표!A157),"D01241 →")</f>
        <v>D01241 →</v>
      </c>
    </row>
    <row r="2346" spans="1:26" ht="33.200000000000003" customHeight="1">
      <c r="A2346" s="452" t="s">
        <v>2321</v>
      </c>
      <c r="B2346" s="452" t="s">
        <v>2322</v>
      </c>
      <c r="C2346" s="489">
        <v>2.8000000000000001E-2</v>
      </c>
      <c r="D2346" s="480" t="s">
        <v>8</v>
      </c>
      <c r="E2346" s="490">
        <f t="shared" si="394"/>
        <v>34413</v>
      </c>
      <c r="F2346" s="493">
        <f t="shared" si="394"/>
        <v>963.5</v>
      </c>
      <c r="G2346" s="494">
        <f>일위대가목록표!F275</f>
        <v>34413</v>
      </c>
      <c r="H2346" s="498">
        <f t="shared" si="395"/>
        <v>963.5</v>
      </c>
      <c r="I2346" s="494">
        <f>일위대가목록표!G275</f>
        <v>0</v>
      </c>
      <c r="J2346" s="498">
        <f t="shared" si="396"/>
        <v>0</v>
      </c>
      <c r="K2346" s="494">
        <f>일위대가목록표!H275</f>
        <v>0</v>
      </c>
      <c r="L2346" s="498">
        <f t="shared" si="397"/>
        <v>0</v>
      </c>
      <c r="M2346" s="463" t="s">
        <v>2489</v>
      </c>
      <c r="N2346" s="451" t="s">
        <v>2490</v>
      </c>
      <c r="O2346" s="468" t="s">
        <v>2491</v>
      </c>
      <c r="P2346" s="468" t="s">
        <v>2354</v>
      </c>
      <c r="Q2346" s="468" t="s">
        <v>2355</v>
      </c>
      <c r="Z2346" s="433" t="str">
        <f ca="1">HYPERLINK("#"&amp;일위대가목록표!J2&amp;"!A"&amp;ROW(일위대가목록표!A275),"B01414 →")</f>
        <v>B01414 →</v>
      </c>
    </row>
    <row r="2347" spans="1:26" ht="33.200000000000003" customHeight="1">
      <c r="A2347" s="452" t="s">
        <v>2298</v>
      </c>
      <c r="B2347" s="452" t="s">
        <v>2299</v>
      </c>
      <c r="C2347" s="489">
        <v>8.0000000000000002E-3</v>
      </c>
      <c r="D2347" s="480" t="s">
        <v>8</v>
      </c>
      <c r="E2347" s="490">
        <f t="shared" si="394"/>
        <v>24089</v>
      </c>
      <c r="F2347" s="493">
        <f t="shared" si="394"/>
        <v>192.7</v>
      </c>
      <c r="G2347" s="494">
        <f>일위대가목록표!F37</f>
        <v>24089</v>
      </c>
      <c r="H2347" s="498">
        <f t="shared" si="395"/>
        <v>192.7</v>
      </c>
      <c r="I2347" s="494">
        <f>일위대가목록표!G37</f>
        <v>0</v>
      </c>
      <c r="J2347" s="498">
        <f t="shared" si="396"/>
        <v>0</v>
      </c>
      <c r="K2347" s="494">
        <f>일위대가목록표!H37</f>
        <v>0</v>
      </c>
      <c r="L2347" s="498">
        <f t="shared" si="397"/>
        <v>0</v>
      </c>
      <c r="M2347" s="463" t="s">
        <v>2492</v>
      </c>
      <c r="N2347" s="451" t="s">
        <v>2493</v>
      </c>
      <c r="O2347" s="468" t="s">
        <v>2494</v>
      </c>
      <c r="P2347" s="468" t="s">
        <v>2354</v>
      </c>
      <c r="Q2347" s="468" t="s">
        <v>2355</v>
      </c>
      <c r="Z2347" s="433" t="str">
        <f ca="1">HYPERLINK("#"&amp;일위대가목록표!J2&amp;"!A"&amp;ROW(일위대가목록표!A37),"B01447 →")</f>
        <v>B01447 →</v>
      </c>
    </row>
    <row r="2348" spans="1:26" ht="33.200000000000003" customHeight="1">
      <c r="A2348" s="452" t="s">
        <v>2922</v>
      </c>
      <c r="B2348" s="452" t="s">
        <v>2923</v>
      </c>
      <c r="C2348" s="489">
        <v>12.692</v>
      </c>
      <c r="D2348" s="480" t="s">
        <v>605</v>
      </c>
      <c r="E2348" s="490">
        <f t="shared" si="394"/>
        <v>7400</v>
      </c>
      <c r="F2348" s="491">
        <f t="shared" si="394"/>
        <v>93920.8</v>
      </c>
      <c r="G2348" s="492">
        <v>0</v>
      </c>
      <c r="H2348" s="493">
        <f t="shared" si="395"/>
        <v>0</v>
      </c>
      <c r="I2348" s="494">
        <f>재료비목록표!E76</f>
        <v>7400</v>
      </c>
      <c r="J2348" s="495">
        <f t="shared" si="396"/>
        <v>93920.8</v>
      </c>
      <c r="K2348" s="492">
        <v>0</v>
      </c>
      <c r="L2348" s="493">
        <f t="shared" si="397"/>
        <v>0</v>
      </c>
      <c r="M2348" s="463" t="s">
        <v>2924</v>
      </c>
      <c r="N2348" s="451" t="s">
        <v>2925</v>
      </c>
      <c r="O2348" s="468" t="s">
        <v>2926</v>
      </c>
      <c r="P2348" s="468" t="s">
        <v>2354</v>
      </c>
      <c r="Z2348" s="433" t="str">
        <f ca="1">HYPERLINK("#"&amp;재료비목록표!G2&amp;"!A"&amp;ROW(재료비목록표!A76),"M00960 →")</f>
        <v>M00960 →</v>
      </c>
    </row>
    <row r="2349" spans="1:26" ht="33.200000000000003" customHeight="1">
      <c r="A2349" s="452" t="s">
        <v>1461</v>
      </c>
      <c r="B2349" s="452" t="s">
        <v>1462</v>
      </c>
      <c r="C2349" s="489">
        <v>4.4999999999999998E-2</v>
      </c>
      <c r="D2349" s="480" t="s">
        <v>8</v>
      </c>
      <c r="E2349" s="490">
        <f t="shared" si="394"/>
        <v>915052</v>
      </c>
      <c r="F2349" s="493">
        <f t="shared" si="394"/>
        <v>41177.300000000003</v>
      </c>
      <c r="G2349" s="494">
        <f>일위대가목록표!F72</f>
        <v>915052</v>
      </c>
      <c r="H2349" s="498">
        <f t="shared" si="395"/>
        <v>41177.300000000003</v>
      </c>
      <c r="I2349" s="494">
        <f>일위대가목록표!G72</f>
        <v>0</v>
      </c>
      <c r="J2349" s="498">
        <f t="shared" si="396"/>
        <v>0</v>
      </c>
      <c r="K2349" s="494">
        <f>일위대가목록표!H72</f>
        <v>0</v>
      </c>
      <c r="L2349" s="498">
        <f t="shared" si="397"/>
        <v>0</v>
      </c>
      <c r="M2349" s="463" t="s">
        <v>2471</v>
      </c>
      <c r="N2349" s="451" t="s">
        <v>2472</v>
      </c>
      <c r="O2349" s="468" t="s">
        <v>1465</v>
      </c>
      <c r="P2349" s="468" t="s">
        <v>2354</v>
      </c>
      <c r="Q2349" s="468" t="s">
        <v>2355</v>
      </c>
      <c r="Z2349" s="433" t="str">
        <f ca="1">HYPERLINK("#"&amp;일위대가목록표!J2&amp;"!A"&amp;ROW(일위대가목록표!A72),"B01822 →")</f>
        <v>B01822 →</v>
      </c>
    </row>
    <row r="2350" spans="1:26" ht="33.200000000000003" customHeight="1">
      <c r="A2350" s="452" t="s">
        <v>2574</v>
      </c>
      <c r="B2350" s="452" t="s">
        <v>3287</v>
      </c>
      <c r="C2350" s="489">
        <v>5.4999999999999997E-3</v>
      </c>
      <c r="D2350" s="480" t="s">
        <v>2576</v>
      </c>
      <c r="E2350" s="490">
        <f t="shared" si="394"/>
        <v>760000</v>
      </c>
      <c r="F2350" s="491">
        <f t="shared" si="394"/>
        <v>4180</v>
      </c>
      <c r="G2350" s="492">
        <v>0</v>
      </c>
      <c r="H2350" s="493">
        <f t="shared" si="395"/>
        <v>0</v>
      </c>
      <c r="I2350" s="494">
        <f>재료비목록표!E82</f>
        <v>760000</v>
      </c>
      <c r="J2350" s="495">
        <f t="shared" si="396"/>
        <v>4180</v>
      </c>
      <c r="K2350" s="492">
        <v>0</v>
      </c>
      <c r="L2350" s="493">
        <f t="shared" si="397"/>
        <v>0</v>
      </c>
      <c r="M2350" s="463" t="s">
        <v>3288</v>
      </c>
      <c r="N2350" s="451" t="s">
        <v>3289</v>
      </c>
      <c r="O2350" s="468" t="s">
        <v>3290</v>
      </c>
      <c r="P2350" s="468" t="s">
        <v>2354</v>
      </c>
      <c r="Z2350" s="433" t="str">
        <f ca="1">HYPERLINK("#"&amp;재료비목록표!G2&amp;"!A"&amp;ROW(재료비목록표!A82),"M00691 →")</f>
        <v>M00691 →</v>
      </c>
    </row>
    <row r="2351" spans="1:26" ht="33.200000000000003" customHeight="1">
      <c r="A2351" s="463" t="s">
        <v>842</v>
      </c>
      <c r="B2351" s="497"/>
      <c r="C2351" s="497"/>
      <c r="D2351" s="497"/>
      <c r="E2351" s="497"/>
      <c r="F2351" s="446">
        <f>J2351+H2351+L2351</f>
        <v>142694</v>
      </c>
      <c r="G2351" s="497"/>
      <c r="H2351" s="446">
        <f>ROUNDDOWN(SUMIF(P2345:P2350,O2351,H2345:H2350),0)</f>
        <v>44594</v>
      </c>
      <c r="I2351" s="497"/>
      <c r="J2351" s="446">
        <f>ROUNDDOWN(SUMIF(P2345:P2350,O2351,J2345:J2350),0)</f>
        <v>98100</v>
      </c>
      <c r="K2351" s="497"/>
      <c r="L2351" s="446">
        <f>ROUNDDOWN(SUMIF(P2345:P2350,O2351,L2345:L2350),0)</f>
        <v>0</v>
      </c>
      <c r="M2351" s="497"/>
      <c r="O2351" s="468" t="s">
        <v>2354</v>
      </c>
    </row>
    <row r="2352" spans="1:26" ht="33.200000000000003" customHeight="1">
      <c r="A2352" s="484" t="s">
        <v>5546</v>
      </c>
      <c r="B2352" s="484"/>
      <c r="C2352" s="485"/>
      <c r="D2352" s="485"/>
      <c r="E2352" s="485"/>
      <c r="F2352" s="485"/>
      <c r="G2352" s="485"/>
      <c r="H2352" s="485"/>
      <c r="I2352" s="485"/>
      <c r="J2352" s="485"/>
      <c r="K2352" s="485"/>
      <c r="L2352" s="485"/>
      <c r="M2352" s="485"/>
      <c r="N2352" s="486" t="str">
        <f>HYPERLINK("#N"&amp;ROW(N2359),"_x0005_`BDCOD|B02499_x0007_`POSS|"&amp;ROW(N2354)&amp;"_x0007_`POSE|"&amp;ROW(N2359)&amp;"_x0007_`")</f>
        <v>_x0005_`BDCOD|B02499_x0007_`POSS|2354_x0007_`POSE|2359_x0007_`</v>
      </c>
    </row>
    <row r="2353" spans="1:26" ht="33.200000000000003" customHeight="1">
      <c r="A2353" s="469" t="s">
        <v>1087</v>
      </c>
      <c r="B2353" s="469" t="s">
        <v>1079</v>
      </c>
      <c r="C2353" s="487"/>
      <c r="D2353" s="488" t="s">
        <v>975</v>
      </c>
      <c r="E2353" s="487"/>
      <c r="F2353" s="487"/>
      <c r="G2353" s="487"/>
      <c r="H2353" s="487"/>
      <c r="I2353" s="487"/>
      <c r="J2353" s="487"/>
      <c r="K2353" s="487"/>
      <c r="L2353" s="487"/>
      <c r="M2353" s="488" t="s">
        <v>1097</v>
      </c>
      <c r="O2353" s="468" t="s">
        <v>1097</v>
      </c>
    </row>
    <row r="2354" spans="1:26" ht="33.200000000000003" customHeight="1">
      <c r="A2354" s="452" t="s">
        <v>2484</v>
      </c>
      <c r="B2354" s="452" t="s">
        <v>2485</v>
      </c>
      <c r="C2354" s="489">
        <v>4.4999999999999998E-2</v>
      </c>
      <c r="D2354" s="480" t="s">
        <v>8</v>
      </c>
      <c r="E2354" s="490">
        <f t="shared" ref="E2354:F2359" si="398">I2354+G2354+K2354</f>
        <v>62811</v>
      </c>
      <c r="F2354" s="493">
        <f t="shared" si="398"/>
        <v>2826.4</v>
      </c>
      <c r="G2354" s="494">
        <f>단가산출근거목록표!F157</f>
        <v>62811</v>
      </c>
      <c r="H2354" s="498">
        <f t="shared" ref="H2354:H2359" si="399">IF(C2354=0,0,ROUNDDOWN(G2354*C2354,1))</f>
        <v>2826.4</v>
      </c>
      <c r="I2354" s="494">
        <f>단가산출근거목록표!G157</f>
        <v>0</v>
      </c>
      <c r="J2354" s="498">
        <f t="shared" ref="J2354:J2359" si="400">IF(C2354=0,0,ROUNDDOWN(I2354*C2354,1))</f>
        <v>0</v>
      </c>
      <c r="K2354" s="494">
        <f>단가산출근거목록표!H157</f>
        <v>0</v>
      </c>
      <c r="L2354" s="498">
        <f t="shared" ref="L2354:L2359" si="401">IF(C2354=0,0,ROUNDDOWN(K2354*C2354,1))</f>
        <v>0</v>
      </c>
      <c r="M2354" s="463" t="s">
        <v>2486</v>
      </c>
      <c r="N2354" s="451" t="s">
        <v>2487</v>
      </c>
      <c r="O2354" s="468" t="s">
        <v>2488</v>
      </c>
      <c r="P2354" s="468" t="s">
        <v>2354</v>
      </c>
      <c r="Q2354" s="468" t="s">
        <v>2355</v>
      </c>
      <c r="Z2354" s="433" t="str">
        <f ca="1">HYPERLINK("#"&amp;단가산출근거목록표!J2&amp;"!A"&amp;ROW(단가산출근거목록표!A157),"D01241 →")</f>
        <v>D01241 →</v>
      </c>
    </row>
    <row r="2355" spans="1:26" ht="33.200000000000003" customHeight="1">
      <c r="A2355" s="452" t="s">
        <v>2321</v>
      </c>
      <c r="B2355" s="452" t="s">
        <v>2322</v>
      </c>
      <c r="C2355" s="489">
        <v>3.5000000000000003E-2</v>
      </c>
      <c r="D2355" s="480" t="s">
        <v>8</v>
      </c>
      <c r="E2355" s="490">
        <f t="shared" si="398"/>
        <v>34413</v>
      </c>
      <c r="F2355" s="493">
        <f t="shared" si="398"/>
        <v>1204.4000000000001</v>
      </c>
      <c r="G2355" s="494">
        <f>일위대가목록표!F275</f>
        <v>34413</v>
      </c>
      <c r="H2355" s="498">
        <f t="shared" si="399"/>
        <v>1204.4000000000001</v>
      </c>
      <c r="I2355" s="494">
        <f>일위대가목록표!G275</f>
        <v>0</v>
      </c>
      <c r="J2355" s="498">
        <f t="shared" si="400"/>
        <v>0</v>
      </c>
      <c r="K2355" s="494">
        <f>일위대가목록표!H275</f>
        <v>0</v>
      </c>
      <c r="L2355" s="498">
        <f t="shared" si="401"/>
        <v>0</v>
      </c>
      <c r="M2355" s="463" t="s">
        <v>2489</v>
      </c>
      <c r="N2355" s="451" t="s">
        <v>2490</v>
      </c>
      <c r="O2355" s="468" t="s">
        <v>2491</v>
      </c>
      <c r="P2355" s="468" t="s">
        <v>2354</v>
      </c>
      <c r="Q2355" s="468" t="s">
        <v>2355</v>
      </c>
      <c r="Z2355" s="433" t="str">
        <f ca="1">HYPERLINK("#"&amp;일위대가목록표!J2&amp;"!A"&amp;ROW(일위대가목록표!A275),"B01414 →")</f>
        <v>B01414 →</v>
      </c>
    </row>
    <row r="2356" spans="1:26" ht="33.200000000000003" customHeight="1">
      <c r="A2356" s="452" t="s">
        <v>2298</v>
      </c>
      <c r="B2356" s="452" t="s">
        <v>2299</v>
      </c>
      <c r="C2356" s="489">
        <v>0.01</v>
      </c>
      <c r="D2356" s="480" t="s">
        <v>8</v>
      </c>
      <c r="E2356" s="490">
        <f t="shared" si="398"/>
        <v>24089</v>
      </c>
      <c r="F2356" s="493">
        <f t="shared" si="398"/>
        <v>240.8</v>
      </c>
      <c r="G2356" s="494">
        <f>일위대가목록표!F37</f>
        <v>24089</v>
      </c>
      <c r="H2356" s="498">
        <f t="shared" si="399"/>
        <v>240.8</v>
      </c>
      <c r="I2356" s="494">
        <f>일위대가목록표!G37</f>
        <v>0</v>
      </c>
      <c r="J2356" s="498">
        <f t="shared" si="400"/>
        <v>0</v>
      </c>
      <c r="K2356" s="494">
        <f>일위대가목록표!H37</f>
        <v>0</v>
      </c>
      <c r="L2356" s="498">
        <f t="shared" si="401"/>
        <v>0</v>
      </c>
      <c r="M2356" s="463" t="s">
        <v>2492</v>
      </c>
      <c r="N2356" s="451" t="s">
        <v>2493</v>
      </c>
      <c r="O2356" s="468" t="s">
        <v>2494</v>
      </c>
      <c r="P2356" s="468" t="s">
        <v>2354</v>
      </c>
      <c r="Q2356" s="468" t="s">
        <v>2355</v>
      </c>
      <c r="Z2356" s="433" t="str">
        <f ca="1">HYPERLINK("#"&amp;일위대가목록표!J2&amp;"!A"&amp;ROW(일위대가목록표!A37),"B01447 →")</f>
        <v>B01447 →</v>
      </c>
    </row>
    <row r="2357" spans="1:26" ht="33.200000000000003" customHeight="1">
      <c r="A2357" s="452" t="s">
        <v>2922</v>
      </c>
      <c r="B2357" s="452" t="s">
        <v>2923</v>
      </c>
      <c r="C2357" s="489">
        <v>15.865</v>
      </c>
      <c r="D2357" s="480" t="s">
        <v>605</v>
      </c>
      <c r="E2357" s="490">
        <f t="shared" si="398"/>
        <v>7400</v>
      </c>
      <c r="F2357" s="491">
        <f t="shared" si="398"/>
        <v>117401</v>
      </c>
      <c r="G2357" s="492">
        <v>0</v>
      </c>
      <c r="H2357" s="493">
        <f t="shared" si="399"/>
        <v>0</v>
      </c>
      <c r="I2357" s="494">
        <f>재료비목록표!E76</f>
        <v>7400</v>
      </c>
      <c r="J2357" s="495">
        <f t="shared" si="400"/>
        <v>117401</v>
      </c>
      <c r="K2357" s="492">
        <v>0</v>
      </c>
      <c r="L2357" s="493">
        <f t="shared" si="401"/>
        <v>0</v>
      </c>
      <c r="M2357" s="463" t="s">
        <v>2924</v>
      </c>
      <c r="N2357" s="451" t="s">
        <v>2925</v>
      </c>
      <c r="O2357" s="468" t="s">
        <v>2926</v>
      </c>
      <c r="P2357" s="468" t="s">
        <v>2354</v>
      </c>
      <c r="Z2357" s="433" t="str">
        <f ca="1">HYPERLINK("#"&amp;재료비목록표!G2&amp;"!A"&amp;ROW(재료비목록표!A76),"M00960 →")</f>
        <v>M00960 →</v>
      </c>
    </row>
    <row r="2358" spans="1:26" ht="33.200000000000003" customHeight="1">
      <c r="A2358" s="452" t="s">
        <v>1461</v>
      </c>
      <c r="B2358" s="452" t="s">
        <v>1462</v>
      </c>
      <c r="C2358" s="489">
        <v>5.6000000000000001E-2</v>
      </c>
      <c r="D2358" s="480" t="s">
        <v>8</v>
      </c>
      <c r="E2358" s="490">
        <f t="shared" si="398"/>
        <v>915052</v>
      </c>
      <c r="F2358" s="493">
        <f t="shared" si="398"/>
        <v>51242.9</v>
      </c>
      <c r="G2358" s="494">
        <f>일위대가목록표!F72</f>
        <v>915052</v>
      </c>
      <c r="H2358" s="498">
        <f t="shared" si="399"/>
        <v>51242.9</v>
      </c>
      <c r="I2358" s="494">
        <f>일위대가목록표!G72</f>
        <v>0</v>
      </c>
      <c r="J2358" s="498">
        <f t="shared" si="400"/>
        <v>0</v>
      </c>
      <c r="K2358" s="494">
        <f>일위대가목록표!H72</f>
        <v>0</v>
      </c>
      <c r="L2358" s="498">
        <f t="shared" si="401"/>
        <v>0</v>
      </c>
      <c r="M2358" s="463" t="s">
        <v>2471</v>
      </c>
      <c r="N2358" s="451" t="s">
        <v>2472</v>
      </c>
      <c r="O2358" s="468" t="s">
        <v>1465</v>
      </c>
      <c r="P2358" s="468" t="s">
        <v>2354</v>
      </c>
      <c r="Q2358" s="468" t="s">
        <v>2355</v>
      </c>
      <c r="Z2358" s="433" t="str">
        <f ca="1">HYPERLINK("#"&amp;일위대가목록표!J2&amp;"!A"&amp;ROW(일위대가목록표!A72),"B01822 →")</f>
        <v>B01822 →</v>
      </c>
    </row>
    <row r="2359" spans="1:26" ht="33.200000000000003" customHeight="1">
      <c r="A2359" s="452" t="s">
        <v>2574</v>
      </c>
      <c r="B2359" s="452" t="s">
        <v>3287</v>
      </c>
      <c r="C2359" s="489">
        <v>5.4999999999999997E-3</v>
      </c>
      <c r="D2359" s="480" t="s">
        <v>2576</v>
      </c>
      <c r="E2359" s="490">
        <f t="shared" si="398"/>
        <v>760000</v>
      </c>
      <c r="F2359" s="491">
        <f t="shared" si="398"/>
        <v>4180</v>
      </c>
      <c r="G2359" s="492">
        <v>0</v>
      </c>
      <c r="H2359" s="493">
        <f t="shared" si="399"/>
        <v>0</v>
      </c>
      <c r="I2359" s="494">
        <f>재료비목록표!E82</f>
        <v>760000</v>
      </c>
      <c r="J2359" s="495">
        <f t="shared" si="400"/>
        <v>4180</v>
      </c>
      <c r="K2359" s="492">
        <v>0</v>
      </c>
      <c r="L2359" s="493">
        <f t="shared" si="401"/>
        <v>0</v>
      </c>
      <c r="M2359" s="463" t="s">
        <v>3288</v>
      </c>
      <c r="N2359" s="451" t="s">
        <v>3289</v>
      </c>
      <c r="O2359" s="468" t="s">
        <v>3290</v>
      </c>
      <c r="P2359" s="468" t="s">
        <v>2354</v>
      </c>
      <c r="Z2359" s="433" t="str">
        <f ca="1">HYPERLINK("#"&amp;재료비목록표!G2&amp;"!A"&amp;ROW(재료비목록표!A82),"M00691 →")</f>
        <v>M00691 →</v>
      </c>
    </row>
    <row r="2360" spans="1:26" ht="33.200000000000003" customHeight="1">
      <c r="A2360" s="463" t="s">
        <v>842</v>
      </c>
      <c r="B2360" s="497"/>
      <c r="C2360" s="497"/>
      <c r="D2360" s="497"/>
      <c r="E2360" s="497"/>
      <c r="F2360" s="446">
        <f>J2360+H2360+L2360</f>
        <v>177095</v>
      </c>
      <c r="G2360" s="497"/>
      <c r="H2360" s="446">
        <f>ROUNDDOWN(SUMIF(P2354:P2359,O2360,H2354:H2359),0)</f>
        <v>55514</v>
      </c>
      <c r="I2360" s="497"/>
      <c r="J2360" s="446">
        <f>ROUNDDOWN(SUMIF(P2354:P2359,O2360,J2354:J2359),0)</f>
        <v>121581</v>
      </c>
      <c r="K2360" s="497"/>
      <c r="L2360" s="446">
        <f>ROUNDDOWN(SUMIF(P2354:P2359,O2360,L2354:L2359),0)</f>
        <v>0</v>
      </c>
      <c r="M2360" s="497"/>
      <c r="O2360" s="468" t="s">
        <v>2354</v>
      </c>
    </row>
    <row r="2361" spans="1:26" ht="33.200000000000003" customHeight="1">
      <c r="A2361" s="484" t="s">
        <v>5547</v>
      </c>
      <c r="B2361" s="484"/>
      <c r="C2361" s="485"/>
      <c r="D2361" s="485"/>
      <c r="E2361" s="485"/>
      <c r="F2361" s="485"/>
      <c r="G2361" s="485"/>
      <c r="H2361" s="485"/>
      <c r="I2361" s="485"/>
      <c r="J2361" s="485"/>
      <c r="K2361" s="485"/>
      <c r="L2361" s="485"/>
      <c r="M2361" s="485"/>
      <c r="N2361" s="486" t="str">
        <f>HYPERLINK("#N"&amp;ROW(N2368),"_x0005_`BDCOD|B02500_x0007_`POSS|"&amp;ROW(N2363)&amp;"_x0007_`POSE|"&amp;ROW(N2368)&amp;"_x0007_`")</f>
        <v>_x0005_`BDCOD|B02500_x0007_`POSS|2363_x0007_`POSE|2368_x0007_`</v>
      </c>
    </row>
    <row r="2362" spans="1:26" ht="33.200000000000003" customHeight="1">
      <c r="A2362" s="469" t="s">
        <v>1087</v>
      </c>
      <c r="B2362" s="469" t="s">
        <v>1083</v>
      </c>
      <c r="C2362" s="487"/>
      <c r="D2362" s="488" t="s">
        <v>975</v>
      </c>
      <c r="E2362" s="487"/>
      <c r="F2362" s="487"/>
      <c r="G2362" s="487"/>
      <c r="H2362" s="487"/>
      <c r="I2362" s="487"/>
      <c r="J2362" s="487"/>
      <c r="K2362" s="487"/>
      <c r="L2362" s="487"/>
      <c r="M2362" s="488" t="s">
        <v>1100</v>
      </c>
      <c r="O2362" s="468" t="s">
        <v>1100</v>
      </c>
    </row>
    <row r="2363" spans="1:26" ht="33.200000000000003" customHeight="1">
      <c r="A2363" s="452" t="s">
        <v>2484</v>
      </c>
      <c r="B2363" s="452" t="s">
        <v>2485</v>
      </c>
      <c r="C2363" s="489">
        <v>5.3999999999999999E-2</v>
      </c>
      <c r="D2363" s="480" t="s">
        <v>8</v>
      </c>
      <c r="E2363" s="490">
        <f t="shared" ref="E2363:F2368" si="402">I2363+G2363+K2363</f>
        <v>62811</v>
      </c>
      <c r="F2363" s="493">
        <f t="shared" si="402"/>
        <v>3391.7</v>
      </c>
      <c r="G2363" s="494">
        <f>단가산출근거목록표!F157</f>
        <v>62811</v>
      </c>
      <c r="H2363" s="498">
        <f t="shared" ref="H2363:H2368" si="403">IF(C2363=0,0,ROUNDDOWN(G2363*C2363,1))</f>
        <v>3391.7</v>
      </c>
      <c r="I2363" s="494">
        <f>단가산출근거목록표!G157</f>
        <v>0</v>
      </c>
      <c r="J2363" s="498">
        <f t="shared" ref="J2363:J2368" si="404">IF(C2363=0,0,ROUNDDOWN(I2363*C2363,1))</f>
        <v>0</v>
      </c>
      <c r="K2363" s="494">
        <f>단가산출근거목록표!H157</f>
        <v>0</v>
      </c>
      <c r="L2363" s="498">
        <f t="shared" ref="L2363:L2368" si="405">IF(C2363=0,0,ROUNDDOWN(K2363*C2363,1))</f>
        <v>0</v>
      </c>
      <c r="M2363" s="463" t="s">
        <v>2486</v>
      </c>
      <c r="N2363" s="451" t="s">
        <v>2487</v>
      </c>
      <c r="O2363" s="468" t="s">
        <v>2488</v>
      </c>
      <c r="P2363" s="468" t="s">
        <v>2354</v>
      </c>
      <c r="Q2363" s="468" t="s">
        <v>2355</v>
      </c>
      <c r="Z2363" s="433" t="str">
        <f ca="1">HYPERLINK("#"&amp;단가산출근거목록표!J2&amp;"!A"&amp;ROW(단가산출근거목록표!A157),"D01241 →")</f>
        <v>D01241 →</v>
      </c>
    </row>
    <row r="2364" spans="1:26" ht="33.200000000000003" customHeight="1">
      <c r="A2364" s="452" t="s">
        <v>2321</v>
      </c>
      <c r="B2364" s="452" t="s">
        <v>2322</v>
      </c>
      <c r="C2364" s="489">
        <v>4.2000000000000003E-2</v>
      </c>
      <c r="D2364" s="480" t="s">
        <v>8</v>
      </c>
      <c r="E2364" s="490">
        <f t="shared" si="402"/>
        <v>34413</v>
      </c>
      <c r="F2364" s="493">
        <f t="shared" si="402"/>
        <v>1445.3</v>
      </c>
      <c r="G2364" s="494">
        <f>일위대가목록표!F275</f>
        <v>34413</v>
      </c>
      <c r="H2364" s="498">
        <f t="shared" si="403"/>
        <v>1445.3</v>
      </c>
      <c r="I2364" s="494">
        <f>일위대가목록표!G275</f>
        <v>0</v>
      </c>
      <c r="J2364" s="498">
        <f t="shared" si="404"/>
        <v>0</v>
      </c>
      <c r="K2364" s="494">
        <f>일위대가목록표!H275</f>
        <v>0</v>
      </c>
      <c r="L2364" s="498">
        <f t="shared" si="405"/>
        <v>0</v>
      </c>
      <c r="M2364" s="463" t="s">
        <v>2489</v>
      </c>
      <c r="N2364" s="451" t="s">
        <v>2490</v>
      </c>
      <c r="O2364" s="468" t="s">
        <v>2491</v>
      </c>
      <c r="P2364" s="468" t="s">
        <v>2354</v>
      </c>
      <c r="Q2364" s="468" t="s">
        <v>2355</v>
      </c>
      <c r="Z2364" s="433" t="str">
        <f ca="1">HYPERLINK("#"&amp;일위대가목록표!J2&amp;"!A"&amp;ROW(일위대가목록표!A275),"B01414 →")</f>
        <v>B01414 →</v>
      </c>
    </row>
    <row r="2365" spans="1:26" ht="33.200000000000003" customHeight="1">
      <c r="A2365" s="452" t="s">
        <v>2298</v>
      </c>
      <c r="B2365" s="452" t="s">
        <v>2299</v>
      </c>
      <c r="C2365" s="489">
        <v>1.2E-2</v>
      </c>
      <c r="D2365" s="480" t="s">
        <v>8</v>
      </c>
      <c r="E2365" s="490">
        <f t="shared" si="402"/>
        <v>24089</v>
      </c>
      <c r="F2365" s="493">
        <f t="shared" si="402"/>
        <v>289</v>
      </c>
      <c r="G2365" s="494">
        <f>일위대가목록표!F37</f>
        <v>24089</v>
      </c>
      <c r="H2365" s="498">
        <f t="shared" si="403"/>
        <v>289</v>
      </c>
      <c r="I2365" s="494">
        <f>일위대가목록표!G37</f>
        <v>0</v>
      </c>
      <c r="J2365" s="498">
        <f t="shared" si="404"/>
        <v>0</v>
      </c>
      <c r="K2365" s="494">
        <f>일위대가목록표!H37</f>
        <v>0</v>
      </c>
      <c r="L2365" s="498">
        <f t="shared" si="405"/>
        <v>0</v>
      </c>
      <c r="M2365" s="463" t="s">
        <v>2492</v>
      </c>
      <c r="N2365" s="451" t="s">
        <v>2493</v>
      </c>
      <c r="O2365" s="468" t="s">
        <v>2494</v>
      </c>
      <c r="P2365" s="468" t="s">
        <v>2354</v>
      </c>
      <c r="Q2365" s="468" t="s">
        <v>2355</v>
      </c>
      <c r="Z2365" s="433" t="str">
        <f ca="1">HYPERLINK("#"&amp;일위대가목록표!J2&amp;"!A"&amp;ROW(일위대가목록표!A37),"B01447 →")</f>
        <v>B01447 →</v>
      </c>
    </row>
    <row r="2366" spans="1:26" ht="33.200000000000003" customHeight="1">
      <c r="A2366" s="452" t="s">
        <v>2922</v>
      </c>
      <c r="B2366" s="452" t="s">
        <v>2923</v>
      </c>
      <c r="C2366" s="489">
        <v>19.036999999999999</v>
      </c>
      <c r="D2366" s="480" t="s">
        <v>605</v>
      </c>
      <c r="E2366" s="490">
        <f t="shared" si="402"/>
        <v>7400</v>
      </c>
      <c r="F2366" s="491">
        <f t="shared" si="402"/>
        <v>140873.79999999999</v>
      </c>
      <c r="G2366" s="492">
        <v>0</v>
      </c>
      <c r="H2366" s="493">
        <f t="shared" si="403"/>
        <v>0</v>
      </c>
      <c r="I2366" s="494">
        <f>재료비목록표!E76</f>
        <v>7400</v>
      </c>
      <c r="J2366" s="495">
        <f t="shared" si="404"/>
        <v>140873.79999999999</v>
      </c>
      <c r="K2366" s="492">
        <v>0</v>
      </c>
      <c r="L2366" s="493">
        <f t="shared" si="405"/>
        <v>0</v>
      </c>
      <c r="M2366" s="463" t="s">
        <v>2924</v>
      </c>
      <c r="N2366" s="451" t="s">
        <v>2925</v>
      </c>
      <c r="O2366" s="468" t="s">
        <v>2926</v>
      </c>
      <c r="P2366" s="468" t="s">
        <v>2354</v>
      </c>
      <c r="Z2366" s="433" t="str">
        <f ca="1">HYPERLINK("#"&amp;재료비목록표!G2&amp;"!A"&amp;ROW(재료비목록표!A76),"M00960 →")</f>
        <v>M00960 →</v>
      </c>
    </row>
    <row r="2367" spans="1:26" ht="33.200000000000003" customHeight="1">
      <c r="A2367" s="452" t="s">
        <v>1461</v>
      </c>
      <c r="B2367" s="452" t="s">
        <v>1462</v>
      </c>
      <c r="C2367" s="489">
        <v>6.7000000000000004E-2</v>
      </c>
      <c r="D2367" s="480" t="s">
        <v>8</v>
      </c>
      <c r="E2367" s="490">
        <f t="shared" si="402"/>
        <v>915052</v>
      </c>
      <c r="F2367" s="493">
        <f t="shared" si="402"/>
        <v>61308.4</v>
      </c>
      <c r="G2367" s="494">
        <f>일위대가목록표!F72</f>
        <v>915052</v>
      </c>
      <c r="H2367" s="498">
        <f t="shared" si="403"/>
        <v>61308.4</v>
      </c>
      <c r="I2367" s="494">
        <f>일위대가목록표!G72</f>
        <v>0</v>
      </c>
      <c r="J2367" s="498">
        <f t="shared" si="404"/>
        <v>0</v>
      </c>
      <c r="K2367" s="494">
        <f>일위대가목록표!H72</f>
        <v>0</v>
      </c>
      <c r="L2367" s="498">
        <f t="shared" si="405"/>
        <v>0</v>
      </c>
      <c r="M2367" s="463" t="s">
        <v>2471</v>
      </c>
      <c r="N2367" s="451" t="s">
        <v>2472</v>
      </c>
      <c r="O2367" s="468" t="s">
        <v>1465</v>
      </c>
      <c r="P2367" s="468" t="s">
        <v>2354</v>
      </c>
      <c r="Q2367" s="468" t="s">
        <v>2355</v>
      </c>
      <c r="Z2367" s="433" t="str">
        <f ca="1">HYPERLINK("#"&amp;일위대가목록표!J2&amp;"!A"&amp;ROW(일위대가목록표!A72),"B01822 →")</f>
        <v>B01822 →</v>
      </c>
    </row>
    <row r="2368" spans="1:26" ht="33.200000000000003" customHeight="1">
      <c r="A2368" s="452" t="s">
        <v>2574</v>
      </c>
      <c r="B2368" s="452" t="s">
        <v>3287</v>
      </c>
      <c r="C2368" s="489">
        <v>5.4999999999999997E-3</v>
      </c>
      <c r="D2368" s="480" t="s">
        <v>2576</v>
      </c>
      <c r="E2368" s="490">
        <f t="shared" si="402"/>
        <v>760000</v>
      </c>
      <c r="F2368" s="491">
        <f t="shared" si="402"/>
        <v>4180</v>
      </c>
      <c r="G2368" s="492">
        <v>0</v>
      </c>
      <c r="H2368" s="493">
        <f t="shared" si="403"/>
        <v>0</v>
      </c>
      <c r="I2368" s="494">
        <f>재료비목록표!E82</f>
        <v>760000</v>
      </c>
      <c r="J2368" s="495">
        <f t="shared" si="404"/>
        <v>4180</v>
      </c>
      <c r="K2368" s="492">
        <v>0</v>
      </c>
      <c r="L2368" s="493">
        <f t="shared" si="405"/>
        <v>0</v>
      </c>
      <c r="M2368" s="463" t="s">
        <v>3288</v>
      </c>
      <c r="N2368" s="451" t="s">
        <v>3289</v>
      </c>
      <c r="O2368" s="468" t="s">
        <v>3290</v>
      </c>
      <c r="P2368" s="468" t="s">
        <v>2354</v>
      </c>
      <c r="Z2368" s="433" t="str">
        <f ca="1">HYPERLINK("#"&amp;재료비목록표!G2&amp;"!A"&amp;ROW(재료비목록표!A82),"M00691 →")</f>
        <v>M00691 →</v>
      </c>
    </row>
    <row r="2369" spans="1:26" ht="33.200000000000003" customHeight="1">
      <c r="A2369" s="463" t="s">
        <v>842</v>
      </c>
      <c r="B2369" s="497"/>
      <c r="C2369" s="497"/>
      <c r="D2369" s="497"/>
      <c r="E2369" s="497"/>
      <c r="F2369" s="446">
        <f>J2369+H2369+L2369</f>
        <v>211487</v>
      </c>
      <c r="G2369" s="497"/>
      <c r="H2369" s="446">
        <f>ROUNDDOWN(SUMIF(P2363:P2368,O2369,H2363:H2368),0)</f>
        <v>66434</v>
      </c>
      <c r="I2369" s="497"/>
      <c r="J2369" s="446">
        <f>ROUNDDOWN(SUMIF(P2363:P2368,O2369,J2363:J2368),0)</f>
        <v>145053</v>
      </c>
      <c r="K2369" s="497"/>
      <c r="L2369" s="446">
        <f>ROUNDDOWN(SUMIF(P2363:P2368,O2369,L2363:L2368),0)</f>
        <v>0</v>
      </c>
      <c r="M2369" s="497"/>
      <c r="O2369" s="468" t="s">
        <v>2354</v>
      </c>
    </row>
    <row r="2370" spans="1:26" ht="33.200000000000003" customHeight="1">
      <c r="A2370" s="484" t="s">
        <v>5548</v>
      </c>
      <c r="B2370" s="484"/>
      <c r="C2370" s="485"/>
      <c r="D2370" s="485"/>
      <c r="E2370" s="485"/>
      <c r="F2370" s="485"/>
      <c r="G2370" s="485"/>
      <c r="H2370" s="485"/>
      <c r="I2370" s="485"/>
      <c r="J2370" s="485"/>
      <c r="K2370" s="485"/>
      <c r="L2370" s="485"/>
      <c r="M2370" s="485"/>
      <c r="N2370" s="486" t="str">
        <f>HYPERLINK("#N"&amp;ROW(N2378),"_x0005_`BDCOD|B02845_x0007_`POSS|"&amp;ROW(N2372)&amp;"_x0007_`POSE|"&amp;ROW(N2378)&amp;"_x0007_`")</f>
        <v>_x0005_`BDCOD|B02845_x0007_`POSS|2372_x0007_`POSE|2378_x0007_`</v>
      </c>
    </row>
    <row r="2371" spans="1:26" ht="33.200000000000003" customHeight="1">
      <c r="A2371" s="469" t="s">
        <v>5121</v>
      </c>
      <c r="B2371" s="469" t="s">
        <v>1067</v>
      </c>
      <c r="C2371" s="487"/>
      <c r="D2371" s="488" t="s">
        <v>975</v>
      </c>
      <c r="E2371" s="487"/>
      <c r="F2371" s="487"/>
      <c r="G2371" s="487"/>
      <c r="H2371" s="487"/>
      <c r="I2371" s="487"/>
      <c r="J2371" s="487"/>
      <c r="K2371" s="487"/>
      <c r="L2371" s="487"/>
      <c r="M2371" s="488" t="s">
        <v>5122</v>
      </c>
      <c r="O2371" s="468" t="s">
        <v>5122</v>
      </c>
    </row>
    <row r="2372" spans="1:26" ht="33.200000000000003" customHeight="1">
      <c r="A2372" s="452" t="s">
        <v>2484</v>
      </c>
      <c r="B2372" s="452" t="s">
        <v>2485</v>
      </c>
      <c r="C2372" s="489">
        <v>2.3E-2</v>
      </c>
      <c r="D2372" s="480" t="s">
        <v>8</v>
      </c>
      <c r="E2372" s="490">
        <f t="shared" ref="E2372:F2378" si="406">I2372+G2372+K2372</f>
        <v>62811</v>
      </c>
      <c r="F2372" s="493">
        <f t="shared" si="406"/>
        <v>1444.6</v>
      </c>
      <c r="G2372" s="494">
        <f>단가산출근거목록표!F157</f>
        <v>62811</v>
      </c>
      <c r="H2372" s="498">
        <f t="shared" ref="H2372:H2377" si="407">IF(C2372=0,0,ROUNDDOWN(G2372*C2372,1))</f>
        <v>1444.6</v>
      </c>
      <c r="I2372" s="494">
        <f>단가산출근거목록표!G157</f>
        <v>0</v>
      </c>
      <c r="J2372" s="498">
        <f t="shared" ref="J2372:J2377" si="408">IF(C2372=0,0,ROUNDDOWN(I2372*C2372,1))</f>
        <v>0</v>
      </c>
      <c r="K2372" s="494">
        <f>단가산출근거목록표!H157</f>
        <v>0</v>
      </c>
      <c r="L2372" s="498">
        <f t="shared" ref="L2372:L2377" si="409">IF(C2372=0,0,ROUNDDOWN(K2372*C2372,1))</f>
        <v>0</v>
      </c>
      <c r="M2372" s="463" t="s">
        <v>2486</v>
      </c>
      <c r="N2372" s="451" t="s">
        <v>2487</v>
      </c>
      <c r="O2372" s="468" t="s">
        <v>2488</v>
      </c>
      <c r="P2372" s="468" t="s">
        <v>2354</v>
      </c>
      <c r="Q2372" s="468" t="s">
        <v>2355</v>
      </c>
      <c r="Z2372" s="433" t="str">
        <f ca="1">HYPERLINK("#"&amp;단가산출근거목록표!J2&amp;"!A"&amp;ROW(단가산출근거목록표!A157),"D01241 →")</f>
        <v>D01241 →</v>
      </c>
    </row>
    <row r="2373" spans="1:26" ht="33.200000000000003" customHeight="1">
      <c r="A2373" s="452" t="s">
        <v>2321</v>
      </c>
      <c r="B2373" s="452" t="s">
        <v>2322</v>
      </c>
      <c r="C2373" s="489">
        <v>1.7999999999999999E-2</v>
      </c>
      <c r="D2373" s="480" t="s">
        <v>8</v>
      </c>
      <c r="E2373" s="490">
        <f t="shared" si="406"/>
        <v>34413</v>
      </c>
      <c r="F2373" s="493">
        <f t="shared" si="406"/>
        <v>619.4</v>
      </c>
      <c r="G2373" s="494">
        <f>일위대가목록표!F275</f>
        <v>34413</v>
      </c>
      <c r="H2373" s="498">
        <f t="shared" si="407"/>
        <v>619.4</v>
      </c>
      <c r="I2373" s="494">
        <f>일위대가목록표!G275</f>
        <v>0</v>
      </c>
      <c r="J2373" s="498">
        <f t="shared" si="408"/>
        <v>0</v>
      </c>
      <c r="K2373" s="494">
        <f>일위대가목록표!H275</f>
        <v>0</v>
      </c>
      <c r="L2373" s="498">
        <f t="shared" si="409"/>
        <v>0</v>
      </c>
      <c r="M2373" s="463" t="s">
        <v>2489</v>
      </c>
      <c r="N2373" s="451" t="s">
        <v>2490</v>
      </c>
      <c r="O2373" s="468" t="s">
        <v>2491</v>
      </c>
      <c r="P2373" s="468" t="s">
        <v>2354</v>
      </c>
      <c r="Q2373" s="468" t="s">
        <v>2355</v>
      </c>
      <c r="Z2373" s="433" t="str">
        <f ca="1">HYPERLINK("#"&amp;일위대가목록표!J2&amp;"!A"&amp;ROW(일위대가목록표!A275),"B01414 →")</f>
        <v>B01414 →</v>
      </c>
    </row>
    <row r="2374" spans="1:26" ht="33.200000000000003" customHeight="1">
      <c r="A2374" s="452" t="s">
        <v>2298</v>
      </c>
      <c r="B2374" s="452" t="s">
        <v>2299</v>
      </c>
      <c r="C2374" s="489">
        <v>5.0000000000000001E-3</v>
      </c>
      <c r="D2374" s="480" t="s">
        <v>8</v>
      </c>
      <c r="E2374" s="490">
        <f t="shared" si="406"/>
        <v>24089</v>
      </c>
      <c r="F2374" s="493">
        <f t="shared" si="406"/>
        <v>120.4</v>
      </c>
      <c r="G2374" s="494">
        <f>일위대가목록표!F37</f>
        <v>24089</v>
      </c>
      <c r="H2374" s="498">
        <f t="shared" si="407"/>
        <v>120.4</v>
      </c>
      <c r="I2374" s="494">
        <f>일위대가목록표!G37</f>
        <v>0</v>
      </c>
      <c r="J2374" s="498">
        <f t="shared" si="408"/>
        <v>0</v>
      </c>
      <c r="K2374" s="494">
        <f>일위대가목록표!H37</f>
        <v>0</v>
      </c>
      <c r="L2374" s="498">
        <f t="shared" si="409"/>
        <v>0</v>
      </c>
      <c r="M2374" s="463" t="s">
        <v>2492</v>
      </c>
      <c r="N2374" s="451" t="s">
        <v>2493</v>
      </c>
      <c r="O2374" s="468" t="s">
        <v>2494</v>
      </c>
      <c r="P2374" s="468" t="s">
        <v>2354</v>
      </c>
      <c r="Q2374" s="468" t="s">
        <v>2355</v>
      </c>
      <c r="Z2374" s="433" t="str">
        <f ca="1">HYPERLINK("#"&amp;일위대가목록표!J2&amp;"!A"&amp;ROW(일위대가목록표!A37),"B01447 →")</f>
        <v>B01447 →</v>
      </c>
    </row>
    <row r="2375" spans="1:26" ht="33.200000000000003" customHeight="1">
      <c r="A2375" s="452" t="s">
        <v>2922</v>
      </c>
      <c r="B2375" s="452" t="s">
        <v>2923</v>
      </c>
      <c r="C2375" s="489">
        <v>7.9320000000000004</v>
      </c>
      <c r="D2375" s="480" t="s">
        <v>605</v>
      </c>
      <c r="E2375" s="490">
        <f t="shared" si="406"/>
        <v>7400</v>
      </c>
      <c r="F2375" s="491">
        <f t="shared" si="406"/>
        <v>58696.800000000003</v>
      </c>
      <c r="G2375" s="492">
        <v>0</v>
      </c>
      <c r="H2375" s="493">
        <f t="shared" si="407"/>
        <v>0</v>
      </c>
      <c r="I2375" s="494">
        <f>재료비목록표!E76</f>
        <v>7400</v>
      </c>
      <c r="J2375" s="495">
        <f t="shared" si="408"/>
        <v>58696.800000000003</v>
      </c>
      <c r="K2375" s="492">
        <v>0</v>
      </c>
      <c r="L2375" s="493">
        <f t="shared" si="409"/>
        <v>0</v>
      </c>
      <c r="M2375" s="463" t="s">
        <v>2924</v>
      </c>
      <c r="N2375" s="451" t="s">
        <v>2925</v>
      </c>
      <c r="O2375" s="468" t="s">
        <v>2926</v>
      </c>
      <c r="P2375" s="468" t="s">
        <v>2354</v>
      </c>
      <c r="Z2375" s="433" t="str">
        <f ca="1">HYPERLINK("#"&amp;재료비목록표!G2&amp;"!A"&amp;ROW(재료비목록표!A76),"M00960 →")</f>
        <v>M00960 →</v>
      </c>
    </row>
    <row r="2376" spans="1:26" ht="33.200000000000003" customHeight="1">
      <c r="A2376" s="452" t="s">
        <v>1461</v>
      </c>
      <c r="B2376" s="452" t="s">
        <v>1462</v>
      </c>
      <c r="C2376" s="489">
        <v>2.8000000000000001E-2</v>
      </c>
      <c r="D2376" s="480" t="s">
        <v>8</v>
      </c>
      <c r="E2376" s="490">
        <f t="shared" si="406"/>
        <v>915052</v>
      </c>
      <c r="F2376" s="493">
        <f t="shared" si="406"/>
        <v>25621.4</v>
      </c>
      <c r="G2376" s="494">
        <f>일위대가목록표!F72</f>
        <v>915052</v>
      </c>
      <c r="H2376" s="498">
        <f t="shared" si="407"/>
        <v>25621.4</v>
      </c>
      <c r="I2376" s="494">
        <f>일위대가목록표!G72</f>
        <v>0</v>
      </c>
      <c r="J2376" s="498">
        <f t="shared" si="408"/>
        <v>0</v>
      </c>
      <c r="K2376" s="494">
        <f>일위대가목록표!H72</f>
        <v>0</v>
      </c>
      <c r="L2376" s="498">
        <f t="shared" si="409"/>
        <v>0</v>
      </c>
      <c r="M2376" s="463" t="s">
        <v>2471</v>
      </c>
      <c r="N2376" s="451" t="s">
        <v>2472</v>
      </c>
      <c r="O2376" s="468" t="s">
        <v>1465</v>
      </c>
      <c r="P2376" s="468" t="s">
        <v>2354</v>
      </c>
      <c r="Q2376" s="468" t="s">
        <v>2355</v>
      </c>
      <c r="Z2376" s="433" t="str">
        <f ca="1">HYPERLINK("#"&amp;일위대가목록표!J2&amp;"!A"&amp;ROW(일위대가목록표!A72),"B01822 →")</f>
        <v>B01822 →</v>
      </c>
    </row>
    <row r="2377" spans="1:26" ht="33.200000000000003" customHeight="1">
      <c r="A2377" s="452" t="s">
        <v>2574</v>
      </c>
      <c r="B2377" s="452" t="s">
        <v>3287</v>
      </c>
      <c r="C2377" s="489">
        <v>3.7000000000000002E-3</v>
      </c>
      <c r="D2377" s="480" t="s">
        <v>2576</v>
      </c>
      <c r="E2377" s="490">
        <f t="shared" si="406"/>
        <v>760000</v>
      </c>
      <c r="F2377" s="491">
        <f t="shared" si="406"/>
        <v>2812</v>
      </c>
      <c r="G2377" s="492">
        <v>0</v>
      </c>
      <c r="H2377" s="493">
        <f t="shared" si="407"/>
        <v>0</v>
      </c>
      <c r="I2377" s="494">
        <f>재료비목록표!E82</f>
        <v>760000</v>
      </c>
      <c r="J2377" s="495">
        <f t="shared" si="408"/>
        <v>2812</v>
      </c>
      <c r="K2377" s="492">
        <v>0</v>
      </c>
      <c r="L2377" s="493">
        <f t="shared" si="409"/>
        <v>0</v>
      </c>
      <c r="M2377" s="463" t="s">
        <v>3288</v>
      </c>
      <c r="N2377" s="451" t="s">
        <v>3289</v>
      </c>
      <c r="O2377" s="468" t="s">
        <v>3290</v>
      </c>
      <c r="P2377" s="468" t="s">
        <v>2354</v>
      </c>
      <c r="Z2377" s="433" t="str">
        <f ca="1">HYPERLINK("#"&amp;재료비목록표!G2&amp;"!A"&amp;ROW(재료비목록표!A82),"M00691 →")</f>
        <v>M00691 →</v>
      </c>
    </row>
    <row r="2378" spans="1:26" ht="33.200000000000003" customHeight="1">
      <c r="A2378" s="452" t="s">
        <v>2507</v>
      </c>
      <c r="B2378" s="452" t="s">
        <v>2441</v>
      </c>
      <c r="C2378" s="489">
        <v>15</v>
      </c>
      <c r="D2378" s="480" t="s">
        <v>2371</v>
      </c>
      <c r="E2378" s="490">
        <f t="shared" si="406"/>
        <v>27805.800000000003</v>
      </c>
      <c r="F2378" s="491">
        <f t="shared" si="406"/>
        <v>4170.8</v>
      </c>
      <c r="G2378" s="496">
        <f>H2372+H2373+H2374+H2376</f>
        <v>27805.800000000003</v>
      </c>
      <c r="H2378" s="491">
        <f>IF(C2378=0,0,ROUNDDOWN(G2378*C2378/100,1))</f>
        <v>4170.8</v>
      </c>
      <c r="I2378" s="465">
        <v>0</v>
      </c>
      <c r="J2378" s="493">
        <f>IF(C2378=0,0,ROUNDDOWN(I2378*C2378/100,1))</f>
        <v>0</v>
      </c>
      <c r="K2378" s="467">
        <v>0</v>
      </c>
      <c r="L2378" s="493">
        <f>IF(C2378=0,0,ROUNDDOWN(K2378*C2378/100,1))</f>
        <v>0</v>
      </c>
      <c r="M2378" s="463"/>
      <c r="N2378" s="451" t="s">
        <v>2508</v>
      </c>
      <c r="O2378" s="468" t="s">
        <v>2373</v>
      </c>
      <c r="P2378" s="468" t="s">
        <v>2354</v>
      </c>
    </row>
    <row r="2379" spans="1:26" ht="33.200000000000003" customHeight="1">
      <c r="A2379" s="463" t="s">
        <v>842</v>
      </c>
      <c r="B2379" s="497"/>
      <c r="C2379" s="497"/>
      <c r="D2379" s="497"/>
      <c r="E2379" s="497"/>
      <c r="F2379" s="446">
        <f>J2379+H2379+L2379</f>
        <v>93484</v>
      </c>
      <c r="G2379" s="497"/>
      <c r="H2379" s="446">
        <f>ROUNDDOWN(SUMIF(P2372:P2378,O2379,H2372:H2378),0)</f>
        <v>31976</v>
      </c>
      <c r="I2379" s="497"/>
      <c r="J2379" s="446">
        <f>ROUNDDOWN(SUMIF(P2372:P2378,O2379,J2372:J2378),0)</f>
        <v>61508</v>
      </c>
      <c r="K2379" s="497"/>
      <c r="L2379" s="446">
        <f>ROUNDDOWN(SUMIF(P2372:P2378,O2379,L2372:L2378),0)</f>
        <v>0</v>
      </c>
      <c r="M2379" s="497"/>
      <c r="O2379" s="468" t="s">
        <v>2354</v>
      </c>
    </row>
    <row r="2380" spans="1:26" ht="33.200000000000003" customHeight="1">
      <c r="A2380" s="484" t="s">
        <v>5549</v>
      </c>
      <c r="B2380" s="484"/>
      <c r="C2380" s="485"/>
      <c r="D2380" s="485"/>
      <c r="E2380" s="485"/>
      <c r="F2380" s="485"/>
      <c r="G2380" s="485"/>
      <c r="H2380" s="485"/>
      <c r="I2380" s="485"/>
      <c r="J2380" s="485"/>
      <c r="K2380" s="485"/>
      <c r="L2380" s="485"/>
      <c r="M2380" s="485"/>
      <c r="N2380" s="486" t="str">
        <f>HYPERLINK("#N"&amp;ROW(N2388),"_x0005_`BDCOD|B02847_x0007_`POSS|"&amp;ROW(N2382)&amp;"_x0007_`POSE|"&amp;ROW(N2388)&amp;"_x0007_`")</f>
        <v>_x0005_`BDCOD|B02847_x0007_`POSS|2382_x0007_`POSE|2388_x0007_`</v>
      </c>
    </row>
    <row r="2381" spans="1:26" ht="33.200000000000003" customHeight="1">
      <c r="A2381" s="469" t="s">
        <v>5121</v>
      </c>
      <c r="B2381" s="469" t="s">
        <v>1071</v>
      </c>
      <c r="C2381" s="487"/>
      <c r="D2381" s="488" t="s">
        <v>975</v>
      </c>
      <c r="E2381" s="487"/>
      <c r="F2381" s="487"/>
      <c r="G2381" s="487"/>
      <c r="H2381" s="487"/>
      <c r="I2381" s="487"/>
      <c r="J2381" s="487"/>
      <c r="K2381" s="487"/>
      <c r="L2381" s="487"/>
      <c r="M2381" s="488" t="s">
        <v>5125</v>
      </c>
      <c r="O2381" s="468" t="s">
        <v>5125</v>
      </c>
    </row>
    <row r="2382" spans="1:26" ht="33.200000000000003" customHeight="1">
      <c r="A2382" s="452" t="s">
        <v>2484</v>
      </c>
      <c r="B2382" s="452" t="s">
        <v>2485</v>
      </c>
      <c r="C2382" s="489">
        <v>2.7E-2</v>
      </c>
      <c r="D2382" s="480" t="s">
        <v>8</v>
      </c>
      <c r="E2382" s="490">
        <f t="shared" ref="E2382:F2388" si="410">I2382+G2382+K2382</f>
        <v>62811</v>
      </c>
      <c r="F2382" s="493">
        <f t="shared" si="410"/>
        <v>1695.8</v>
      </c>
      <c r="G2382" s="494">
        <f>단가산출근거목록표!F157</f>
        <v>62811</v>
      </c>
      <c r="H2382" s="498">
        <f t="shared" ref="H2382:H2387" si="411">IF(C2382=0,0,ROUNDDOWN(G2382*C2382,1))</f>
        <v>1695.8</v>
      </c>
      <c r="I2382" s="494">
        <f>단가산출근거목록표!G157</f>
        <v>0</v>
      </c>
      <c r="J2382" s="498">
        <f t="shared" ref="J2382:J2387" si="412">IF(C2382=0,0,ROUNDDOWN(I2382*C2382,1))</f>
        <v>0</v>
      </c>
      <c r="K2382" s="494">
        <f>단가산출근거목록표!H157</f>
        <v>0</v>
      </c>
      <c r="L2382" s="498">
        <f t="shared" ref="L2382:L2387" si="413">IF(C2382=0,0,ROUNDDOWN(K2382*C2382,1))</f>
        <v>0</v>
      </c>
      <c r="M2382" s="463" t="s">
        <v>2486</v>
      </c>
      <c r="N2382" s="451" t="s">
        <v>2487</v>
      </c>
      <c r="O2382" s="468" t="s">
        <v>2488</v>
      </c>
      <c r="P2382" s="468" t="s">
        <v>2354</v>
      </c>
      <c r="Q2382" s="468" t="s">
        <v>2355</v>
      </c>
      <c r="Z2382" s="433" t="str">
        <f ca="1">HYPERLINK("#"&amp;단가산출근거목록표!J2&amp;"!A"&amp;ROW(단가산출근거목록표!A157),"D01241 →")</f>
        <v>D01241 →</v>
      </c>
    </row>
    <row r="2383" spans="1:26" ht="33.200000000000003" customHeight="1">
      <c r="A2383" s="452" t="s">
        <v>2321</v>
      </c>
      <c r="B2383" s="452" t="s">
        <v>2322</v>
      </c>
      <c r="C2383" s="489">
        <v>2.1000000000000001E-2</v>
      </c>
      <c r="D2383" s="480" t="s">
        <v>8</v>
      </c>
      <c r="E2383" s="490">
        <f t="shared" si="410"/>
        <v>34413</v>
      </c>
      <c r="F2383" s="493">
        <f t="shared" si="410"/>
        <v>722.6</v>
      </c>
      <c r="G2383" s="494">
        <f>일위대가목록표!F275</f>
        <v>34413</v>
      </c>
      <c r="H2383" s="498">
        <f t="shared" si="411"/>
        <v>722.6</v>
      </c>
      <c r="I2383" s="494">
        <f>일위대가목록표!G275</f>
        <v>0</v>
      </c>
      <c r="J2383" s="498">
        <f t="shared" si="412"/>
        <v>0</v>
      </c>
      <c r="K2383" s="494">
        <f>일위대가목록표!H275</f>
        <v>0</v>
      </c>
      <c r="L2383" s="498">
        <f t="shared" si="413"/>
        <v>0</v>
      </c>
      <c r="M2383" s="463" t="s">
        <v>2489</v>
      </c>
      <c r="N2383" s="451" t="s">
        <v>2490</v>
      </c>
      <c r="O2383" s="468" t="s">
        <v>2491</v>
      </c>
      <c r="P2383" s="468" t="s">
        <v>2354</v>
      </c>
      <c r="Q2383" s="468" t="s">
        <v>2355</v>
      </c>
      <c r="Z2383" s="433" t="str">
        <f ca="1">HYPERLINK("#"&amp;일위대가목록표!J2&amp;"!A"&amp;ROW(일위대가목록표!A275),"B01414 →")</f>
        <v>B01414 →</v>
      </c>
    </row>
    <row r="2384" spans="1:26" ht="33.200000000000003" customHeight="1">
      <c r="A2384" s="452" t="s">
        <v>2298</v>
      </c>
      <c r="B2384" s="452" t="s">
        <v>2299</v>
      </c>
      <c r="C2384" s="489">
        <v>6.0000000000000001E-3</v>
      </c>
      <c r="D2384" s="480" t="s">
        <v>8</v>
      </c>
      <c r="E2384" s="490">
        <f t="shared" si="410"/>
        <v>24089</v>
      </c>
      <c r="F2384" s="493">
        <f t="shared" si="410"/>
        <v>144.5</v>
      </c>
      <c r="G2384" s="494">
        <f>일위대가목록표!F37</f>
        <v>24089</v>
      </c>
      <c r="H2384" s="498">
        <f t="shared" si="411"/>
        <v>144.5</v>
      </c>
      <c r="I2384" s="494">
        <f>일위대가목록표!G37</f>
        <v>0</v>
      </c>
      <c r="J2384" s="498">
        <f t="shared" si="412"/>
        <v>0</v>
      </c>
      <c r="K2384" s="494">
        <f>일위대가목록표!H37</f>
        <v>0</v>
      </c>
      <c r="L2384" s="498">
        <f t="shared" si="413"/>
        <v>0</v>
      </c>
      <c r="M2384" s="463" t="s">
        <v>2492</v>
      </c>
      <c r="N2384" s="451" t="s">
        <v>2493</v>
      </c>
      <c r="O2384" s="468" t="s">
        <v>2494</v>
      </c>
      <c r="P2384" s="468" t="s">
        <v>2354</v>
      </c>
      <c r="Q2384" s="468" t="s">
        <v>2355</v>
      </c>
      <c r="Z2384" s="433" t="str">
        <f ca="1">HYPERLINK("#"&amp;일위대가목록표!J2&amp;"!A"&amp;ROW(일위대가목록표!A37),"B01447 →")</f>
        <v>B01447 →</v>
      </c>
    </row>
    <row r="2385" spans="1:26" ht="33.200000000000003" customHeight="1">
      <c r="A2385" s="452" t="s">
        <v>2922</v>
      </c>
      <c r="B2385" s="452" t="s">
        <v>2923</v>
      </c>
      <c r="C2385" s="489">
        <v>9.5190000000000001</v>
      </c>
      <c r="D2385" s="480" t="s">
        <v>605</v>
      </c>
      <c r="E2385" s="490">
        <f t="shared" si="410"/>
        <v>7400</v>
      </c>
      <c r="F2385" s="491">
        <f t="shared" si="410"/>
        <v>70440.600000000006</v>
      </c>
      <c r="G2385" s="492">
        <v>0</v>
      </c>
      <c r="H2385" s="493">
        <f t="shared" si="411"/>
        <v>0</v>
      </c>
      <c r="I2385" s="494">
        <f>재료비목록표!E76</f>
        <v>7400</v>
      </c>
      <c r="J2385" s="495">
        <f t="shared" si="412"/>
        <v>70440.600000000006</v>
      </c>
      <c r="K2385" s="492">
        <v>0</v>
      </c>
      <c r="L2385" s="493">
        <f t="shared" si="413"/>
        <v>0</v>
      </c>
      <c r="M2385" s="463" t="s">
        <v>2924</v>
      </c>
      <c r="N2385" s="451" t="s">
        <v>2925</v>
      </c>
      <c r="O2385" s="468" t="s">
        <v>2926</v>
      </c>
      <c r="P2385" s="468" t="s">
        <v>2354</v>
      </c>
      <c r="Z2385" s="433" t="str">
        <f ca="1">HYPERLINK("#"&amp;재료비목록표!G2&amp;"!A"&amp;ROW(재료비목록표!A76),"M00960 →")</f>
        <v>M00960 →</v>
      </c>
    </row>
    <row r="2386" spans="1:26" ht="33.200000000000003" customHeight="1">
      <c r="A2386" s="452" t="s">
        <v>1461</v>
      </c>
      <c r="B2386" s="452" t="s">
        <v>1462</v>
      </c>
      <c r="C2386" s="489">
        <v>3.3000000000000002E-2</v>
      </c>
      <c r="D2386" s="480" t="s">
        <v>8</v>
      </c>
      <c r="E2386" s="490">
        <f t="shared" si="410"/>
        <v>915052</v>
      </c>
      <c r="F2386" s="493">
        <f t="shared" si="410"/>
        <v>30196.7</v>
      </c>
      <c r="G2386" s="494">
        <f>일위대가목록표!F72</f>
        <v>915052</v>
      </c>
      <c r="H2386" s="498">
        <f t="shared" si="411"/>
        <v>30196.7</v>
      </c>
      <c r="I2386" s="494">
        <f>일위대가목록표!G72</f>
        <v>0</v>
      </c>
      <c r="J2386" s="498">
        <f t="shared" si="412"/>
        <v>0</v>
      </c>
      <c r="K2386" s="494">
        <f>일위대가목록표!H72</f>
        <v>0</v>
      </c>
      <c r="L2386" s="498">
        <f t="shared" si="413"/>
        <v>0</v>
      </c>
      <c r="M2386" s="463" t="s">
        <v>2471</v>
      </c>
      <c r="N2386" s="451" t="s">
        <v>2472</v>
      </c>
      <c r="O2386" s="468" t="s">
        <v>1465</v>
      </c>
      <c r="P2386" s="468" t="s">
        <v>2354</v>
      </c>
      <c r="Q2386" s="468" t="s">
        <v>2355</v>
      </c>
      <c r="Z2386" s="433" t="str">
        <f ca="1">HYPERLINK("#"&amp;일위대가목록표!J2&amp;"!A"&amp;ROW(일위대가목록표!A72),"B01822 →")</f>
        <v>B01822 →</v>
      </c>
    </row>
    <row r="2387" spans="1:26" ht="33.200000000000003" customHeight="1">
      <c r="A2387" s="452" t="s">
        <v>2574</v>
      </c>
      <c r="B2387" s="452" t="s">
        <v>3287</v>
      </c>
      <c r="C2387" s="489">
        <v>3.6480000000000002E-3</v>
      </c>
      <c r="D2387" s="480" t="s">
        <v>2576</v>
      </c>
      <c r="E2387" s="490">
        <f t="shared" si="410"/>
        <v>760000</v>
      </c>
      <c r="F2387" s="491">
        <f t="shared" si="410"/>
        <v>2772.4</v>
      </c>
      <c r="G2387" s="492">
        <v>0</v>
      </c>
      <c r="H2387" s="493">
        <f t="shared" si="411"/>
        <v>0</v>
      </c>
      <c r="I2387" s="494">
        <f>재료비목록표!E82</f>
        <v>760000</v>
      </c>
      <c r="J2387" s="495">
        <f t="shared" si="412"/>
        <v>2772.4</v>
      </c>
      <c r="K2387" s="492">
        <v>0</v>
      </c>
      <c r="L2387" s="493">
        <f t="shared" si="413"/>
        <v>0</v>
      </c>
      <c r="M2387" s="463" t="s">
        <v>3288</v>
      </c>
      <c r="N2387" s="451" t="s">
        <v>3289</v>
      </c>
      <c r="O2387" s="468" t="s">
        <v>3290</v>
      </c>
      <c r="P2387" s="468" t="s">
        <v>2354</v>
      </c>
      <c r="Z2387" s="433" t="str">
        <f ca="1">HYPERLINK("#"&amp;재료비목록표!G2&amp;"!A"&amp;ROW(재료비목록표!A82),"M00691 →")</f>
        <v>M00691 →</v>
      </c>
    </row>
    <row r="2388" spans="1:26" ht="33.200000000000003" customHeight="1">
      <c r="A2388" s="452" t="s">
        <v>2507</v>
      </c>
      <c r="B2388" s="452" t="s">
        <v>2441</v>
      </c>
      <c r="C2388" s="489">
        <v>15</v>
      </c>
      <c r="D2388" s="480" t="s">
        <v>2371</v>
      </c>
      <c r="E2388" s="490">
        <f t="shared" si="410"/>
        <v>32759.600000000002</v>
      </c>
      <c r="F2388" s="491">
        <f t="shared" si="410"/>
        <v>4913.8999999999996</v>
      </c>
      <c r="G2388" s="496">
        <f>H2382+H2383+H2384+H2386</f>
        <v>32759.600000000002</v>
      </c>
      <c r="H2388" s="491">
        <f>IF(C2388=0,0,ROUNDDOWN(G2388*C2388/100,1))</f>
        <v>4913.8999999999996</v>
      </c>
      <c r="I2388" s="465">
        <v>0</v>
      </c>
      <c r="J2388" s="493">
        <f>IF(C2388=0,0,ROUNDDOWN(I2388*C2388/100,1))</f>
        <v>0</v>
      </c>
      <c r="K2388" s="467">
        <v>0</v>
      </c>
      <c r="L2388" s="493">
        <f>IF(C2388=0,0,ROUNDDOWN(K2388*C2388/100,1))</f>
        <v>0</v>
      </c>
      <c r="M2388" s="463"/>
      <c r="N2388" s="451" t="s">
        <v>2508</v>
      </c>
      <c r="O2388" s="468" t="s">
        <v>2373</v>
      </c>
      <c r="P2388" s="468" t="s">
        <v>2354</v>
      </c>
    </row>
    <row r="2389" spans="1:26" ht="33.200000000000003" customHeight="1">
      <c r="A2389" s="463" t="s">
        <v>842</v>
      </c>
      <c r="B2389" s="497"/>
      <c r="C2389" s="497"/>
      <c r="D2389" s="497"/>
      <c r="E2389" s="497"/>
      <c r="F2389" s="446">
        <f>J2389+H2389+L2389</f>
        <v>110886</v>
      </c>
      <c r="G2389" s="497"/>
      <c r="H2389" s="446">
        <f>ROUNDDOWN(SUMIF(P2382:P2388,O2389,H2382:H2388),0)</f>
        <v>37673</v>
      </c>
      <c r="I2389" s="497"/>
      <c r="J2389" s="446">
        <f>ROUNDDOWN(SUMIF(P2382:P2388,O2389,J2382:J2388),0)</f>
        <v>73213</v>
      </c>
      <c r="K2389" s="497"/>
      <c r="L2389" s="446">
        <f>ROUNDDOWN(SUMIF(P2382:P2388,O2389,L2382:L2388),0)</f>
        <v>0</v>
      </c>
      <c r="M2389" s="497"/>
      <c r="O2389" s="468" t="s">
        <v>2354</v>
      </c>
    </row>
    <row r="2390" spans="1:26" ht="33.200000000000003" customHeight="1">
      <c r="A2390" s="484" t="s">
        <v>5550</v>
      </c>
      <c r="B2390" s="484"/>
      <c r="C2390" s="485"/>
      <c r="D2390" s="485"/>
      <c r="E2390" s="485"/>
      <c r="F2390" s="485"/>
      <c r="G2390" s="485"/>
      <c r="H2390" s="485"/>
      <c r="I2390" s="485"/>
      <c r="J2390" s="485"/>
      <c r="K2390" s="485"/>
      <c r="L2390" s="485"/>
      <c r="M2390" s="485"/>
      <c r="N2390" s="486" t="str">
        <f>HYPERLINK("#N"&amp;ROW(N2398),"_x0005_`BDCOD|B02846_x0007_`POSS|"&amp;ROW(N2392)&amp;"_x0007_`POSE|"&amp;ROW(N2398)&amp;"_x0007_`")</f>
        <v>_x0005_`BDCOD|B02846_x0007_`POSS|2392_x0007_`POSE|2398_x0007_`</v>
      </c>
    </row>
    <row r="2391" spans="1:26" ht="33.200000000000003" customHeight="1">
      <c r="A2391" s="469" t="s">
        <v>5121</v>
      </c>
      <c r="B2391" s="469" t="s">
        <v>1075</v>
      </c>
      <c r="C2391" s="487"/>
      <c r="D2391" s="488" t="s">
        <v>975</v>
      </c>
      <c r="E2391" s="487"/>
      <c r="F2391" s="487"/>
      <c r="G2391" s="487"/>
      <c r="H2391" s="487"/>
      <c r="I2391" s="487"/>
      <c r="J2391" s="487"/>
      <c r="K2391" s="487"/>
      <c r="L2391" s="487"/>
      <c r="M2391" s="488" t="s">
        <v>5128</v>
      </c>
      <c r="O2391" s="468" t="s">
        <v>5128</v>
      </c>
    </row>
    <row r="2392" spans="1:26" ht="33.200000000000003" customHeight="1">
      <c r="A2392" s="452" t="s">
        <v>2484</v>
      </c>
      <c r="B2392" s="452" t="s">
        <v>2485</v>
      </c>
      <c r="C2392" s="489">
        <v>3.5999999999999997E-2</v>
      </c>
      <c r="D2392" s="480" t="s">
        <v>8</v>
      </c>
      <c r="E2392" s="490">
        <f t="shared" ref="E2392:F2398" si="414">I2392+G2392+K2392</f>
        <v>62811</v>
      </c>
      <c r="F2392" s="493">
        <f t="shared" si="414"/>
        <v>2261.1</v>
      </c>
      <c r="G2392" s="494">
        <f>단가산출근거목록표!F157</f>
        <v>62811</v>
      </c>
      <c r="H2392" s="498">
        <f t="shared" ref="H2392:H2397" si="415">IF(C2392=0,0,ROUNDDOWN(G2392*C2392,1))</f>
        <v>2261.1</v>
      </c>
      <c r="I2392" s="494">
        <f>단가산출근거목록표!G157</f>
        <v>0</v>
      </c>
      <c r="J2392" s="498">
        <f t="shared" ref="J2392:J2397" si="416">IF(C2392=0,0,ROUNDDOWN(I2392*C2392,1))</f>
        <v>0</v>
      </c>
      <c r="K2392" s="494">
        <f>단가산출근거목록표!H157</f>
        <v>0</v>
      </c>
      <c r="L2392" s="498">
        <f t="shared" ref="L2392:L2397" si="417">IF(C2392=0,0,ROUNDDOWN(K2392*C2392,1))</f>
        <v>0</v>
      </c>
      <c r="M2392" s="463" t="s">
        <v>2486</v>
      </c>
      <c r="N2392" s="451" t="s">
        <v>2487</v>
      </c>
      <c r="O2392" s="468" t="s">
        <v>2488</v>
      </c>
      <c r="P2392" s="468" t="s">
        <v>2354</v>
      </c>
      <c r="Q2392" s="468" t="s">
        <v>2355</v>
      </c>
      <c r="Z2392" s="433" t="str">
        <f ca="1">HYPERLINK("#"&amp;단가산출근거목록표!J2&amp;"!A"&amp;ROW(단가산출근거목록표!A157),"D01241 →")</f>
        <v>D01241 →</v>
      </c>
    </row>
    <row r="2393" spans="1:26" ht="33.200000000000003" customHeight="1">
      <c r="A2393" s="452" t="s">
        <v>2321</v>
      </c>
      <c r="B2393" s="452" t="s">
        <v>2322</v>
      </c>
      <c r="C2393" s="489">
        <v>2.8000000000000001E-2</v>
      </c>
      <c r="D2393" s="480" t="s">
        <v>8</v>
      </c>
      <c r="E2393" s="490">
        <f t="shared" si="414"/>
        <v>34413</v>
      </c>
      <c r="F2393" s="493">
        <f t="shared" si="414"/>
        <v>963.5</v>
      </c>
      <c r="G2393" s="494">
        <f>일위대가목록표!F275</f>
        <v>34413</v>
      </c>
      <c r="H2393" s="498">
        <f t="shared" si="415"/>
        <v>963.5</v>
      </c>
      <c r="I2393" s="494">
        <f>일위대가목록표!G275</f>
        <v>0</v>
      </c>
      <c r="J2393" s="498">
        <f t="shared" si="416"/>
        <v>0</v>
      </c>
      <c r="K2393" s="494">
        <f>일위대가목록표!H275</f>
        <v>0</v>
      </c>
      <c r="L2393" s="498">
        <f t="shared" si="417"/>
        <v>0</v>
      </c>
      <c r="M2393" s="463" t="s">
        <v>2489</v>
      </c>
      <c r="N2393" s="451" t="s">
        <v>2490</v>
      </c>
      <c r="O2393" s="468" t="s">
        <v>2491</v>
      </c>
      <c r="P2393" s="468" t="s">
        <v>2354</v>
      </c>
      <c r="Q2393" s="468" t="s">
        <v>2355</v>
      </c>
      <c r="Z2393" s="433" t="str">
        <f ca="1">HYPERLINK("#"&amp;일위대가목록표!J2&amp;"!A"&amp;ROW(일위대가목록표!A275),"B01414 →")</f>
        <v>B01414 →</v>
      </c>
    </row>
    <row r="2394" spans="1:26" ht="33.200000000000003" customHeight="1">
      <c r="A2394" s="452" t="s">
        <v>2298</v>
      </c>
      <c r="B2394" s="452" t="s">
        <v>2299</v>
      </c>
      <c r="C2394" s="489">
        <v>8.0000000000000002E-3</v>
      </c>
      <c r="D2394" s="480" t="s">
        <v>8</v>
      </c>
      <c r="E2394" s="490">
        <f t="shared" si="414"/>
        <v>24089</v>
      </c>
      <c r="F2394" s="493">
        <f t="shared" si="414"/>
        <v>192.7</v>
      </c>
      <c r="G2394" s="494">
        <f>일위대가목록표!F37</f>
        <v>24089</v>
      </c>
      <c r="H2394" s="498">
        <f t="shared" si="415"/>
        <v>192.7</v>
      </c>
      <c r="I2394" s="494">
        <f>일위대가목록표!G37</f>
        <v>0</v>
      </c>
      <c r="J2394" s="498">
        <f t="shared" si="416"/>
        <v>0</v>
      </c>
      <c r="K2394" s="494">
        <f>일위대가목록표!H37</f>
        <v>0</v>
      </c>
      <c r="L2394" s="498">
        <f t="shared" si="417"/>
        <v>0</v>
      </c>
      <c r="M2394" s="463" t="s">
        <v>2492</v>
      </c>
      <c r="N2394" s="451" t="s">
        <v>2493</v>
      </c>
      <c r="O2394" s="468" t="s">
        <v>2494</v>
      </c>
      <c r="P2394" s="468" t="s">
        <v>2354</v>
      </c>
      <c r="Q2394" s="468" t="s">
        <v>2355</v>
      </c>
      <c r="Z2394" s="433" t="str">
        <f ca="1">HYPERLINK("#"&amp;일위대가목록표!J2&amp;"!A"&amp;ROW(일위대가목록표!A37),"B01447 →")</f>
        <v>B01447 →</v>
      </c>
    </row>
    <row r="2395" spans="1:26" ht="33.200000000000003" customHeight="1">
      <c r="A2395" s="452" t="s">
        <v>2922</v>
      </c>
      <c r="B2395" s="452" t="s">
        <v>2923</v>
      </c>
      <c r="C2395" s="489">
        <v>12.692</v>
      </c>
      <c r="D2395" s="480" t="s">
        <v>605</v>
      </c>
      <c r="E2395" s="490">
        <f t="shared" si="414"/>
        <v>7400</v>
      </c>
      <c r="F2395" s="491">
        <f t="shared" si="414"/>
        <v>93920.8</v>
      </c>
      <c r="G2395" s="492">
        <v>0</v>
      </c>
      <c r="H2395" s="493">
        <f t="shared" si="415"/>
        <v>0</v>
      </c>
      <c r="I2395" s="494">
        <f>재료비목록표!E76</f>
        <v>7400</v>
      </c>
      <c r="J2395" s="495">
        <f t="shared" si="416"/>
        <v>93920.8</v>
      </c>
      <c r="K2395" s="492">
        <v>0</v>
      </c>
      <c r="L2395" s="493">
        <f t="shared" si="417"/>
        <v>0</v>
      </c>
      <c r="M2395" s="463" t="s">
        <v>2924</v>
      </c>
      <c r="N2395" s="451" t="s">
        <v>2925</v>
      </c>
      <c r="O2395" s="468" t="s">
        <v>2926</v>
      </c>
      <c r="P2395" s="468" t="s">
        <v>2354</v>
      </c>
      <c r="Z2395" s="433" t="str">
        <f ca="1">HYPERLINK("#"&amp;재료비목록표!G2&amp;"!A"&amp;ROW(재료비목록표!A76),"M00960 →")</f>
        <v>M00960 →</v>
      </c>
    </row>
    <row r="2396" spans="1:26" ht="33.200000000000003" customHeight="1">
      <c r="A2396" s="452" t="s">
        <v>1461</v>
      </c>
      <c r="B2396" s="452" t="s">
        <v>1462</v>
      </c>
      <c r="C2396" s="489">
        <v>4.4999999999999998E-2</v>
      </c>
      <c r="D2396" s="480" t="s">
        <v>8</v>
      </c>
      <c r="E2396" s="490">
        <f t="shared" si="414"/>
        <v>915052</v>
      </c>
      <c r="F2396" s="493">
        <f t="shared" si="414"/>
        <v>41177.300000000003</v>
      </c>
      <c r="G2396" s="494">
        <f>일위대가목록표!F72</f>
        <v>915052</v>
      </c>
      <c r="H2396" s="498">
        <f t="shared" si="415"/>
        <v>41177.300000000003</v>
      </c>
      <c r="I2396" s="494">
        <f>일위대가목록표!G72</f>
        <v>0</v>
      </c>
      <c r="J2396" s="498">
        <f t="shared" si="416"/>
        <v>0</v>
      </c>
      <c r="K2396" s="494">
        <f>일위대가목록표!H72</f>
        <v>0</v>
      </c>
      <c r="L2396" s="498">
        <f t="shared" si="417"/>
        <v>0</v>
      </c>
      <c r="M2396" s="463" t="s">
        <v>2471</v>
      </c>
      <c r="N2396" s="451" t="s">
        <v>2472</v>
      </c>
      <c r="O2396" s="468" t="s">
        <v>1465</v>
      </c>
      <c r="P2396" s="468" t="s">
        <v>2354</v>
      </c>
      <c r="Q2396" s="468" t="s">
        <v>2355</v>
      </c>
      <c r="Z2396" s="433" t="str">
        <f ca="1">HYPERLINK("#"&amp;일위대가목록표!J2&amp;"!A"&amp;ROW(일위대가목록표!A72),"B01822 →")</f>
        <v>B01822 →</v>
      </c>
    </row>
    <row r="2397" spans="1:26" ht="33.200000000000003" customHeight="1">
      <c r="A2397" s="452" t="s">
        <v>2574</v>
      </c>
      <c r="B2397" s="452" t="s">
        <v>3287</v>
      </c>
      <c r="C2397" s="489">
        <v>5.4999999999999997E-3</v>
      </c>
      <c r="D2397" s="480" t="s">
        <v>2576</v>
      </c>
      <c r="E2397" s="490">
        <f t="shared" si="414"/>
        <v>760000</v>
      </c>
      <c r="F2397" s="491">
        <f t="shared" si="414"/>
        <v>4180</v>
      </c>
      <c r="G2397" s="492">
        <v>0</v>
      </c>
      <c r="H2397" s="493">
        <f t="shared" si="415"/>
        <v>0</v>
      </c>
      <c r="I2397" s="494">
        <f>재료비목록표!E82</f>
        <v>760000</v>
      </c>
      <c r="J2397" s="495">
        <f t="shared" si="416"/>
        <v>4180</v>
      </c>
      <c r="K2397" s="492">
        <v>0</v>
      </c>
      <c r="L2397" s="493">
        <f t="shared" si="417"/>
        <v>0</v>
      </c>
      <c r="M2397" s="463" t="s">
        <v>3288</v>
      </c>
      <c r="N2397" s="451" t="s">
        <v>3289</v>
      </c>
      <c r="O2397" s="468" t="s">
        <v>3290</v>
      </c>
      <c r="P2397" s="468" t="s">
        <v>2354</v>
      </c>
      <c r="Z2397" s="433" t="str">
        <f ca="1">HYPERLINK("#"&amp;재료비목록표!G2&amp;"!A"&amp;ROW(재료비목록표!A82),"M00691 →")</f>
        <v>M00691 →</v>
      </c>
    </row>
    <row r="2398" spans="1:26" ht="33.200000000000003" customHeight="1">
      <c r="A2398" s="452" t="s">
        <v>2507</v>
      </c>
      <c r="B2398" s="452" t="s">
        <v>2441</v>
      </c>
      <c r="C2398" s="489">
        <v>15</v>
      </c>
      <c r="D2398" s="480" t="s">
        <v>2371</v>
      </c>
      <c r="E2398" s="490">
        <f t="shared" si="414"/>
        <v>44594.600000000006</v>
      </c>
      <c r="F2398" s="491">
        <f t="shared" si="414"/>
        <v>6689.1</v>
      </c>
      <c r="G2398" s="496">
        <f>H2392+H2393+H2394+H2396</f>
        <v>44594.600000000006</v>
      </c>
      <c r="H2398" s="491">
        <f>IF(C2398=0,0,ROUNDDOWN(G2398*C2398/100,1))</f>
        <v>6689.1</v>
      </c>
      <c r="I2398" s="465">
        <v>0</v>
      </c>
      <c r="J2398" s="493">
        <f>IF(C2398=0,0,ROUNDDOWN(I2398*C2398/100,1))</f>
        <v>0</v>
      </c>
      <c r="K2398" s="467">
        <v>0</v>
      </c>
      <c r="L2398" s="493">
        <f>IF(C2398=0,0,ROUNDDOWN(K2398*C2398/100,1))</f>
        <v>0</v>
      </c>
      <c r="M2398" s="463"/>
      <c r="N2398" s="451" t="s">
        <v>2644</v>
      </c>
      <c r="O2398" s="468" t="s">
        <v>2373</v>
      </c>
      <c r="P2398" s="468" t="s">
        <v>2354</v>
      </c>
      <c r="Q2398" s="468" t="s">
        <v>2355</v>
      </c>
    </row>
    <row r="2399" spans="1:26" ht="33.200000000000003" customHeight="1">
      <c r="A2399" s="463" t="s">
        <v>842</v>
      </c>
      <c r="B2399" s="497"/>
      <c r="C2399" s="497"/>
      <c r="D2399" s="497"/>
      <c r="E2399" s="497"/>
      <c r="F2399" s="446">
        <f>J2399+H2399+L2399</f>
        <v>149383</v>
      </c>
      <c r="G2399" s="497"/>
      <c r="H2399" s="446">
        <f>ROUNDDOWN(SUMIF(P2392:P2398,O2399,H2392:H2398),0)</f>
        <v>51283</v>
      </c>
      <c r="I2399" s="497"/>
      <c r="J2399" s="446">
        <f>ROUNDDOWN(SUMIF(P2392:P2398,O2399,J2392:J2398),0)</f>
        <v>98100</v>
      </c>
      <c r="K2399" s="497"/>
      <c r="L2399" s="446">
        <f>ROUNDDOWN(SUMIF(P2392:P2398,O2399,L2392:L2398),0)</f>
        <v>0</v>
      </c>
      <c r="M2399" s="497"/>
      <c r="O2399" s="468" t="s">
        <v>2354</v>
      </c>
    </row>
    <row r="2400" spans="1:26" ht="33.200000000000003" customHeight="1">
      <c r="A2400" s="484" t="s">
        <v>5551</v>
      </c>
      <c r="B2400" s="484"/>
      <c r="C2400" s="485"/>
      <c r="D2400" s="485"/>
      <c r="E2400" s="485"/>
      <c r="F2400" s="485"/>
      <c r="G2400" s="485"/>
      <c r="H2400" s="485"/>
      <c r="I2400" s="485"/>
      <c r="J2400" s="485"/>
      <c r="K2400" s="485"/>
      <c r="L2400" s="485"/>
      <c r="M2400" s="485"/>
      <c r="N2400" s="486" t="str">
        <f>HYPERLINK("#N"&amp;ROW(N2408),"_x0005_`BDCOD|B02848_x0007_`POSS|"&amp;ROW(N2402)&amp;"_x0007_`POSE|"&amp;ROW(N2408)&amp;"_x0007_`")</f>
        <v>_x0005_`BDCOD|B02848_x0007_`POSS|2402_x0007_`POSE|2408_x0007_`</v>
      </c>
    </row>
    <row r="2401" spans="1:26" ht="33.200000000000003" customHeight="1">
      <c r="A2401" s="469" t="s">
        <v>5121</v>
      </c>
      <c r="B2401" s="469" t="s">
        <v>1079</v>
      </c>
      <c r="C2401" s="487"/>
      <c r="D2401" s="488" t="s">
        <v>975</v>
      </c>
      <c r="E2401" s="487"/>
      <c r="F2401" s="487"/>
      <c r="G2401" s="487"/>
      <c r="H2401" s="487"/>
      <c r="I2401" s="487"/>
      <c r="J2401" s="487"/>
      <c r="K2401" s="487"/>
      <c r="L2401" s="487"/>
      <c r="M2401" s="488" t="s">
        <v>5131</v>
      </c>
      <c r="O2401" s="468" t="s">
        <v>5131</v>
      </c>
    </row>
    <row r="2402" spans="1:26" ht="33.200000000000003" customHeight="1">
      <c r="A2402" s="452" t="s">
        <v>2484</v>
      </c>
      <c r="B2402" s="452" t="s">
        <v>2485</v>
      </c>
      <c r="C2402" s="489">
        <v>4.4999999999999998E-2</v>
      </c>
      <c r="D2402" s="480" t="s">
        <v>8</v>
      </c>
      <c r="E2402" s="490">
        <f t="shared" ref="E2402:F2408" si="418">I2402+G2402+K2402</f>
        <v>62811</v>
      </c>
      <c r="F2402" s="493">
        <f t="shared" si="418"/>
        <v>2826.4</v>
      </c>
      <c r="G2402" s="494">
        <f>단가산출근거목록표!F157</f>
        <v>62811</v>
      </c>
      <c r="H2402" s="498">
        <f t="shared" ref="H2402:H2407" si="419">IF(C2402=0,0,ROUNDDOWN(G2402*C2402,1))</f>
        <v>2826.4</v>
      </c>
      <c r="I2402" s="494">
        <f>단가산출근거목록표!G157</f>
        <v>0</v>
      </c>
      <c r="J2402" s="498">
        <f t="shared" ref="J2402:J2407" si="420">IF(C2402=0,0,ROUNDDOWN(I2402*C2402,1))</f>
        <v>0</v>
      </c>
      <c r="K2402" s="494">
        <f>단가산출근거목록표!H157</f>
        <v>0</v>
      </c>
      <c r="L2402" s="498">
        <f t="shared" ref="L2402:L2407" si="421">IF(C2402=0,0,ROUNDDOWN(K2402*C2402,1))</f>
        <v>0</v>
      </c>
      <c r="M2402" s="463" t="s">
        <v>2486</v>
      </c>
      <c r="N2402" s="451" t="s">
        <v>2487</v>
      </c>
      <c r="O2402" s="468" t="s">
        <v>2488</v>
      </c>
      <c r="P2402" s="468" t="s">
        <v>2354</v>
      </c>
      <c r="Q2402" s="468" t="s">
        <v>2355</v>
      </c>
      <c r="Z2402" s="433" t="str">
        <f ca="1">HYPERLINK("#"&amp;단가산출근거목록표!J2&amp;"!A"&amp;ROW(단가산출근거목록표!A157),"D01241 →")</f>
        <v>D01241 →</v>
      </c>
    </row>
    <row r="2403" spans="1:26" ht="33.200000000000003" customHeight="1">
      <c r="A2403" s="452" t="s">
        <v>2321</v>
      </c>
      <c r="B2403" s="452" t="s">
        <v>2322</v>
      </c>
      <c r="C2403" s="489">
        <v>3.5000000000000003E-2</v>
      </c>
      <c r="D2403" s="480" t="s">
        <v>8</v>
      </c>
      <c r="E2403" s="490">
        <f t="shared" si="418"/>
        <v>34413</v>
      </c>
      <c r="F2403" s="493">
        <f t="shared" si="418"/>
        <v>1204.4000000000001</v>
      </c>
      <c r="G2403" s="494">
        <f>일위대가목록표!F275</f>
        <v>34413</v>
      </c>
      <c r="H2403" s="498">
        <f t="shared" si="419"/>
        <v>1204.4000000000001</v>
      </c>
      <c r="I2403" s="494">
        <f>일위대가목록표!G275</f>
        <v>0</v>
      </c>
      <c r="J2403" s="498">
        <f t="shared" si="420"/>
        <v>0</v>
      </c>
      <c r="K2403" s="494">
        <f>일위대가목록표!H275</f>
        <v>0</v>
      </c>
      <c r="L2403" s="498">
        <f t="shared" si="421"/>
        <v>0</v>
      </c>
      <c r="M2403" s="463" t="s">
        <v>2489</v>
      </c>
      <c r="N2403" s="451" t="s">
        <v>2490</v>
      </c>
      <c r="O2403" s="468" t="s">
        <v>2491</v>
      </c>
      <c r="P2403" s="468" t="s">
        <v>2354</v>
      </c>
      <c r="Q2403" s="468" t="s">
        <v>2355</v>
      </c>
      <c r="Z2403" s="433" t="str">
        <f ca="1">HYPERLINK("#"&amp;일위대가목록표!J2&amp;"!A"&amp;ROW(일위대가목록표!A275),"B01414 →")</f>
        <v>B01414 →</v>
      </c>
    </row>
    <row r="2404" spans="1:26" ht="33.200000000000003" customHeight="1">
      <c r="A2404" s="452" t="s">
        <v>2298</v>
      </c>
      <c r="B2404" s="452" t="s">
        <v>2299</v>
      </c>
      <c r="C2404" s="489">
        <v>0.01</v>
      </c>
      <c r="D2404" s="480" t="s">
        <v>8</v>
      </c>
      <c r="E2404" s="490">
        <f t="shared" si="418"/>
        <v>24089</v>
      </c>
      <c r="F2404" s="493">
        <f t="shared" si="418"/>
        <v>240.8</v>
      </c>
      <c r="G2404" s="494">
        <f>일위대가목록표!F37</f>
        <v>24089</v>
      </c>
      <c r="H2404" s="498">
        <f t="shared" si="419"/>
        <v>240.8</v>
      </c>
      <c r="I2404" s="494">
        <f>일위대가목록표!G37</f>
        <v>0</v>
      </c>
      <c r="J2404" s="498">
        <f t="shared" si="420"/>
        <v>0</v>
      </c>
      <c r="K2404" s="494">
        <f>일위대가목록표!H37</f>
        <v>0</v>
      </c>
      <c r="L2404" s="498">
        <f t="shared" si="421"/>
        <v>0</v>
      </c>
      <c r="M2404" s="463" t="s">
        <v>2492</v>
      </c>
      <c r="N2404" s="451" t="s">
        <v>2493</v>
      </c>
      <c r="O2404" s="468" t="s">
        <v>2494</v>
      </c>
      <c r="P2404" s="468" t="s">
        <v>2354</v>
      </c>
      <c r="Q2404" s="468" t="s">
        <v>2355</v>
      </c>
      <c r="Z2404" s="433" t="str">
        <f ca="1">HYPERLINK("#"&amp;일위대가목록표!J2&amp;"!A"&amp;ROW(일위대가목록표!A37),"B01447 →")</f>
        <v>B01447 →</v>
      </c>
    </row>
    <row r="2405" spans="1:26" ht="33.200000000000003" customHeight="1">
      <c r="A2405" s="452" t="s">
        <v>2922</v>
      </c>
      <c r="B2405" s="452" t="s">
        <v>2923</v>
      </c>
      <c r="C2405" s="489">
        <v>15.865</v>
      </c>
      <c r="D2405" s="480" t="s">
        <v>605</v>
      </c>
      <c r="E2405" s="490">
        <f t="shared" si="418"/>
        <v>7400</v>
      </c>
      <c r="F2405" s="491">
        <f t="shared" si="418"/>
        <v>117401</v>
      </c>
      <c r="G2405" s="492">
        <v>0</v>
      </c>
      <c r="H2405" s="493">
        <f t="shared" si="419"/>
        <v>0</v>
      </c>
      <c r="I2405" s="494">
        <f>재료비목록표!E76</f>
        <v>7400</v>
      </c>
      <c r="J2405" s="495">
        <f t="shared" si="420"/>
        <v>117401</v>
      </c>
      <c r="K2405" s="492">
        <v>0</v>
      </c>
      <c r="L2405" s="493">
        <f t="shared" si="421"/>
        <v>0</v>
      </c>
      <c r="M2405" s="463" t="s">
        <v>2924</v>
      </c>
      <c r="N2405" s="451" t="s">
        <v>2925</v>
      </c>
      <c r="O2405" s="468" t="s">
        <v>2926</v>
      </c>
      <c r="P2405" s="468" t="s">
        <v>2354</v>
      </c>
      <c r="Z2405" s="433" t="str">
        <f ca="1">HYPERLINK("#"&amp;재료비목록표!G2&amp;"!A"&amp;ROW(재료비목록표!A76),"M00960 →")</f>
        <v>M00960 →</v>
      </c>
    </row>
    <row r="2406" spans="1:26" ht="33.200000000000003" customHeight="1">
      <c r="A2406" s="452" t="s">
        <v>1461</v>
      </c>
      <c r="B2406" s="452" t="s">
        <v>1462</v>
      </c>
      <c r="C2406" s="489">
        <v>5.6000000000000001E-2</v>
      </c>
      <c r="D2406" s="480" t="s">
        <v>8</v>
      </c>
      <c r="E2406" s="490">
        <f t="shared" si="418"/>
        <v>915052</v>
      </c>
      <c r="F2406" s="493">
        <f t="shared" si="418"/>
        <v>51242.9</v>
      </c>
      <c r="G2406" s="494">
        <f>일위대가목록표!F72</f>
        <v>915052</v>
      </c>
      <c r="H2406" s="498">
        <f t="shared" si="419"/>
        <v>51242.9</v>
      </c>
      <c r="I2406" s="494">
        <f>일위대가목록표!G72</f>
        <v>0</v>
      </c>
      <c r="J2406" s="498">
        <f t="shared" si="420"/>
        <v>0</v>
      </c>
      <c r="K2406" s="494">
        <f>일위대가목록표!H72</f>
        <v>0</v>
      </c>
      <c r="L2406" s="498">
        <f t="shared" si="421"/>
        <v>0</v>
      </c>
      <c r="M2406" s="463" t="s">
        <v>2471</v>
      </c>
      <c r="N2406" s="451" t="s">
        <v>2472</v>
      </c>
      <c r="O2406" s="468" t="s">
        <v>1465</v>
      </c>
      <c r="P2406" s="468" t="s">
        <v>2354</v>
      </c>
      <c r="Q2406" s="468" t="s">
        <v>2355</v>
      </c>
      <c r="Z2406" s="433" t="str">
        <f ca="1">HYPERLINK("#"&amp;일위대가목록표!J2&amp;"!A"&amp;ROW(일위대가목록표!A72),"B01822 →")</f>
        <v>B01822 →</v>
      </c>
    </row>
    <row r="2407" spans="1:26" ht="33.200000000000003" customHeight="1">
      <c r="A2407" s="452" t="s">
        <v>2574</v>
      </c>
      <c r="B2407" s="452" t="s">
        <v>3287</v>
      </c>
      <c r="C2407" s="489">
        <v>5.4999999999999997E-3</v>
      </c>
      <c r="D2407" s="480" t="s">
        <v>2576</v>
      </c>
      <c r="E2407" s="490">
        <f t="shared" si="418"/>
        <v>760000</v>
      </c>
      <c r="F2407" s="491">
        <f t="shared" si="418"/>
        <v>4180</v>
      </c>
      <c r="G2407" s="492">
        <v>0</v>
      </c>
      <c r="H2407" s="493">
        <f t="shared" si="419"/>
        <v>0</v>
      </c>
      <c r="I2407" s="494">
        <f>재료비목록표!E82</f>
        <v>760000</v>
      </c>
      <c r="J2407" s="495">
        <f t="shared" si="420"/>
        <v>4180</v>
      </c>
      <c r="K2407" s="492">
        <v>0</v>
      </c>
      <c r="L2407" s="493">
        <f t="shared" si="421"/>
        <v>0</v>
      </c>
      <c r="M2407" s="463" t="s">
        <v>3288</v>
      </c>
      <c r="N2407" s="451" t="s">
        <v>3289</v>
      </c>
      <c r="O2407" s="468" t="s">
        <v>3290</v>
      </c>
      <c r="P2407" s="468" t="s">
        <v>2354</v>
      </c>
      <c r="Z2407" s="433" t="str">
        <f ca="1">HYPERLINK("#"&amp;재료비목록표!G2&amp;"!A"&amp;ROW(재료비목록표!A82),"M00691 →")</f>
        <v>M00691 →</v>
      </c>
    </row>
    <row r="2408" spans="1:26" ht="33.200000000000003" customHeight="1">
      <c r="A2408" s="452" t="s">
        <v>2507</v>
      </c>
      <c r="B2408" s="452" t="s">
        <v>2441</v>
      </c>
      <c r="C2408" s="489">
        <v>15</v>
      </c>
      <c r="D2408" s="480" t="s">
        <v>2371</v>
      </c>
      <c r="E2408" s="490">
        <f t="shared" si="418"/>
        <v>55514.5</v>
      </c>
      <c r="F2408" s="491">
        <f t="shared" si="418"/>
        <v>8327.1</v>
      </c>
      <c r="G2408" s="496">
        <f>H2402+H2403+H2404+H2406</f>
        <v>55514.5</v>
      </c>
      <c r="H2408" s="491">
        <f>IF(C2408=0,0,ROUNDDOWN(G2408*C2408/100,1))</f>
        <v>8327.1</v>
      </c>
      <c r="I2408" s="465">
        <v>0</v>
      </c>
      <c r="J2408" s="493">
        <f>IF(C2408=0,0,ROUNDDOWN(I2408*C2408/100,1))</f>
        <v>0</v>
      </c>
      <c r="K2408" s="467">
        <v>0</v>
      </c>
      <c r="L2408" s="493">
        <f>IF(C2408=0,0,ROUNDDOWN(K2408*C2408/100,1))</f>
        <v>0</v>
      </c>
      <c r="M2408" s="463"/>
      <c r="N2408" s="451" t="s">
        <v>2644</v>
      </c>
      <c r="O2408" s="468" t="s">
        <v>2373</v>
      </c>
      <c r="P2408" s="468" t="s">
        <v>2354</v>
      </c>
      <c r="Q2408" s="468" t="s">
        <v>2355</v>
      </c>
    </row>
    <row r="2409" spans="1:26" ht="33.200000000000003" customHeight="1">
      <c r="A2409" s="463" t="s">
        <v>842</v>
      </c>
      <c r="B2409" s="497"/>
      <c r="C2409" s="497"/>
      <c r="D2409" s="497"/>
      <c r="E2409" s="497"/>
      <c r="F2409" s="446">
        <f>J2409+H2409+L2409</f>
        <v>185422</v>
      </c>
      <c r="G2409" s="497"/>
      <c r="H2409" s="446">
        <f>ROUNDDOWN(SUMIF(P2402:P2408,O2409,H2402:H2408),0)</f>
        <v>63841</v>
      </c>
      <c r="I2409" s="497"/>
      <c r="J2409" s="446">
        <f>ROUNDDOWN(SUMIF(P2402:P2408,O2409,J2402:J2408),0)</f>
        <v>121581</v>
      </c>
      <c r="K2409" s="497"/>
      <c r="L2409" s="446">
        <f>ROUNDDOWN(SUMIF(P2402:P2408,O2409,L2402:L2408),0)</f>
        <v>0</v>
      </c>
      <c r="M2409" s="497"/>
      <c r="O2409" s="468" t="s">
        <v>2354</v>
      </c>
    </row>
    <row r="2410" spans="1:26" ht="33.200000000000003" customHeight="1">
      <c r="A2410" s="484" t="s">
        <v>5552</v>
      </c>
      <c r="B2410" s="484"/>
      <c r="C2410" s="485"/>
      <c r="D2410" s="485"/>
      <c r="E2410" s="485"/>
      <c r="F2410" s="485"/>
      <c r="G2410" s="485"/>
      <c r="H2410" s="485"/>
      <c r="I2410" s="485"/>
      <c r="J2410" s="485"/>
      <c r="K2410" s="485"/>
      <c r="L2410" s="485"/>
      <c r="M2410" s="485"/>
      <c r="N2410" s="486" t="str">
        <f>HYPERLINK("#N"&amp;ROW(N2418),"_x0005_`BDCOD|B02849_x0007_`POSS|"&amp;ROW(N2412)&amp;"_x0007_`POSE|"&amp;ROW(N2418)&amp;"_x0007_`")</f>
        <v>_x0005_`BDCOD|B02849_x0007_`POSS|2412_x0007_`POSE|2418_x0007_`</v>
      </c>
    </row>
    <row r="2411" spans="1:26" ht="33.200000000000003" customHeight="1">
      <c r="A2411" s="469" t="s">
        <v>5121</v>
      </c>
      <c r="B2411" s="469" t="s">
        <v>1083</v>
      </c>
      <c r="C2411" s="487"/>
      <c r="D2411" s="488" t="s">
        <v>975</v>
      </c>
      <c r="E2411" s="487"/>
      <c r="F2411" s="487"/>
      <c r="G2411" s="487"/>
      <c r="H2411" s="487"/>
      <c r="I2411" s="487"/>
      <c r="J2411" s="487"/>
      <c r="K2411" s="487"/>
      <c r="L2411" s="487"/>
      <c r="M2411" s="488" t="s">
        <v>5134</v>
      </c>
      <c r="O2411" s="468" t="s">
        <v>5134</v>
      </c>
    </row>
    <row r="2412" spans="1:26" ht="33.200000000000003" customHeight="1">
      <c r="A2412" s="452" t="s">
        <v>2484</v>
      </c>
      <c r="B2412" s="452" t="s">
        <v>2485</v>
      </c>
      <c r="C2412" s="489">
        <v>5.3999999999999999E-2</v>
      </c>
      <c r="D2412" s="480" t="s">
        <v>8</v>
      </c>
      <c r="E2412" s="490">
        <f t="shared" ref="E2412:F2418" si="422">I2412+G2412+K2412</f>
        <v>62811</v>
      </c>
      <c r="F2412" s="493">
        <f t="shared" si="422"/>
        <v>3391.7</v>
      </c>
      <c r="G2412" s="494">
        <f>단가산출근거목록표!F157</f>
        <v>62811</v>
      </c>
      <c r="H2412" s="498">
        <f t="shared" ref="H2412:H2417" si="423">IF(C2412=0,0,ROUNDDOWN(G2412*C2412,1))</f>
        <v>3391.7</v>
      </c>
      <c r="I2412" s="494">
        <f>단가산출근거목록표!G157</f>
        <v>0</v>
      </c>
      <c r="J2412" s="498">
        <f t="shared" ref="J2412:J2417" si="424">IF(C2412=0,0,ROUNDDOWN(I2412*C2412,1))</f>
        <v>0</v>
      </c>
      <c r="K2412" s="494">
        <f>단가산출근거목록표!H157</f>
        <v>0</v>
      </c>
      <c r="L2412" s="498">
        <f t="shared" ref="L2412:L2417" si="425">IF(C2412=0,0,ROUNDDOWN(K2412*C2412,1))</f>
        <v>0</v>
      </c>
      <c r="M2412" s="463" t="s">
        <v>2486</v>
      </c>
      <c r="N2412" s="451" t="s">
        <v>2487</v>
      </c>
      <c r="O2412" s="468" t="s">
        <v>2488</v>
      </c>
      <c r="P2412" s="468" t="s">
        <v>2354</v>
      </c>
      <c r="Q2412" s="468" t="s">
        <v>2355</v>
      </c>
      <c r="Z2412" s="433" t="str">
        <f ca="1">HYPERLINK("#"&amp;단가산출근거목록표!J2&amp;"!A"&amp;ROW(단가산출근거목록표!A157),"D01241 →")</f>
        <v>D01241 →</v>
      </c>
    </row>
    <row r="2413" spans="1:26" ht="33.200000000000003" customHeight="1">
      <c r="A2413" s="452" t="s">
        <v>2321</v>
      </c>
      <c r="B2413" s="452" t="s">
        <v>2322</v>
      </c>
      <c r="C2413" s="489">
        <v>4.2000000000000003E-2</v>
      </c>
      <c r="D2413" s="480" t="s">
        <v>8</v>
      </c>
      <c r="E2413" s="490">
        <f t="shared" si="422"/>
        <v>34413</v>
      </c>
      <c r="F2413" s="493">
        <f t="shared" si="422"/>
        <v>1445.3</v>
      </c>
      <c r="G2413" s="494">
        <f>일위대가목록표!F275</f>
        <v>34413</v>
      </c>
      <c r="H2413" s="498">
        <f t="shared" si="423"/>
        <v>1445.3</v>
      </c>
      <c r="I2413" s="494">
        <f>일위대가목록표!G275</f>
        <v>0</v>
      </c>
      <c r="J2413" s="498">
        <f t="shared" si="424"/>
        <v>0</v>
      </c>
      <c r="K2413" s="494">
        <f>일위대가목록표!H275</f>
        <v>0</v>
      </c>
      <c r="L2413" s="498">
        <f t="shared" si="425"/>
        <v>0</v>
      </c>
      <c r="M2413" s="463" t="s">
        <v>2489</v>
      </c>
      <c r="N2413" s="451" t="s">
        <v>2490</v>
      </c>
      <c r="O2413" s="468" t="s">
        <v>2491</v>
      </c>
      <c r="P2413" s="468" t="s">
        <v>2354</v>
      </c>
      <c r="Q2413" s="468" t="s">
        <v>2355</v>
      </c>
      <c r="Z2413" s="433" t="str">
        <f ca="1">HYPERLINK("#"&amp;일위대가목록표!J2&amp;"!A"&amp;ROW(일위대가목록표!A275),"B01414 →")</f>
        <v>B01414 →</v>
      </c>
    </row>
    <row r="2414" spans="1:26" ht="33.200000000000003" customHeight="1">
      <c r="A2414" s="452" t="s">
        <v>2298</v>
      </c>
      <c r="B2414" s="452" t="s">
        <v>2299</v>
      </c>
      <c r="C2414" s="489">
        <v>1.2E-2</v>
      </c>
      <c r="D2414" s="480" t="s">
        <v>8</v>
      </c>
      <c r="E2414" s="490">
        <f t="shared" si="422"/>
        <v>24089</v>
      </c>
      <c r="F2414" s="493">
        <f t="shared" si="422"/>
        <v>289</v>
      </c>
      <c r="G2414" s="494">
        <f>일위대가목록표!F37</f>
        <v>24089</v>
      </c>
      <c r="H2414" s="498">
        <f t="shared" si="423"/>
        <v>289</v>
      </c>
      <c r="I2414" s="494">
        <f>일위대가목록표!G37</f>
        <v>0</v>
      </c>
      <c r="J2414" s="498">
        <f t="shared" si="424"/>
        <v>0</v>
      </c>
      <c r="K2414" s="494">
        <f>일위대가목록표!H37</f>
        <v>0</v>
      </c>
      <c r="L2414" s="498">
        <f t="shared" si="425"/>
        <v>0</v>
      </c>
      <c r="M2414" s="463" t="s">
        <v>2492</v>
      </c>
      <c r="N2414" s="451" t="s">
        <v>2493</v>
      </c>
      <c r="O2414" s="468" t="s">
        <v>2494</v>
      </c>
      <c r="P2414" s="468" t="s">
        <v>2354</v>
      </c>
      <c r="Q2414" s="468" t="s">
        <v>2355</v>
      </c>
      <c r="Z2414" s="433" t="str">
        <f ca="1">HYPERLINK("#"&amp;일위대가목록표!J2&amp;"!A"&amp;ROW(일위대가목록표!A37),"B01447 →")</f>
        <v>B01447 →</v>
      </c>
    </row>
    <row r="2415" spans="1:26" ht="33.200000000000003" customHeight="1">
      <c r="A2415" s="452" t="s">
        <v>2922</v>
      </c>
      <c r="B2415" s="452" t="s">
        <v>2923</v>
      </c>
      <c r="C2415" s="489">
        <v>19.036999999999999</v>
      </c>
      <c r="D2415" s="480" t="s">
        <v>605</v>
      </c>
      <c r="E2415" s="490">
        <f t="shared" si="422"/>
        <v>7400</v>
      </c>
      <c r="F2415" s="491">
        <f t="shared" si="422"/>
        <v>140873.79999999999</v>
      </c>
      <c r="G2415" s="492">
        <v>0</v>
      </c>
      <c r="H2415" s="493">
        <f t="shared" si="423"/>
        <v>0</v>
      </c>
      <c r="I2415" s="494">
        <f>재료비목록표!E76</f>
        <v>7400</v>
      </c>
      <c r="J2415" s="495">
        <f t="shared" si="424"/>
        <v>140873.79999999999</v>
      </c>
      <c r="K2415" s="492">
        <v>0</v>
      </c>
      <c r="L2415" s="493">
        <f t="shared" si="425"/>
        <v>0</v>
      </c>
      <c r="M2415" s="463" t="s">
        <v>2924</v>
      </c>
      <c r="N2415" s="451" t="s">
        <v>2925</v>
      </c>
      <c r="O2415" s="468" t="s">
        <v>2926</v>
      </c>
      <c r="P2415" s="468" t="s">
        <v>2354</v>
      </c>
      <c r="Z2415" s="433" t="str">
        <f ca="1">HYPERLINK("#"&amp;재료비목록표!G2&amp;"!A"&amp;ROW(재료비목록표!A76),"M00960 →")</f>
        <v>M00960 →</v>
      </c>
    </row>
    <row r="2416" spans="1:26" ht="33.200000000000003" customHeight="1">
      <c r="A2416" s="452" t="s">
        <v>1461</v>
      </c>
      <c r="B2416" s="452" t="s">
        <v>1462</v>
      </c>
      <c r="C2416" s="489">
        <v>6.7000000000000004E-2</v>
      </c>
      <c r="D2416" s="480" t="s">
        <v>8</v>
      </c>
      <c r="E2416" s="490">
        <f t="shared" si="422"/>
        <v>915052</v>
      </c>
      <c r="F2416" s="493">
        <f t="shared" si="422"/>
        <v>61308.4</v>
      </c>
      <c r="G2416" s="494">
        <f>일위대가목록표!F72</f>
        <v>915052</v>
      </c>
      <c r="H2416" s="498">
        <f t="shared" si="423"/>
        <v>61308.4</v>
      </c>
      <c r="I2416" s="494">
        <f>일위대가목록표!G72</f>
        <v>0</v>
      </c>
      <c r="J2416" s="498">
        <f t="shared" si="424"/>
        <v>0</v>
      </c>
      <c r="K2416" s="494">
        <f>일위대가목록표!H72</f>
        <v>0</v>
      </c>
      <c r="L2416" s="498">
        <f t="shared" si="425"/>
        <v>0</v>
      </c>
      <c r="M2416" s="463" t="s">
        <v>2471</v>
      </c>
      <c r="N2416" s="451" t="s">
        <v>2472</v>
      </c>
      <c r="O2416" s="468" t="s">
        <v>1465</v>
      </c>
      <c r="P2416" s="468" t="s">
        <v>2354</v>
      </c>
      <c r="Q2416" s="468" t="s">
        <v>2355</v>
      </c>
      <c r="Z2416" s="433" t="str">
        <f ca="1">HYPERLINK("#"&amp;일위대가목록표!J2&amp;"!A"&amp;ROW(일위대가목록표!A72),"B01822 →")</f>
        <v>B01822 →</v>
      </c>
    </row>
    <row r="2417" spans="1:26" ht="33.200000000000003" customHeight="1">
      <c r="A2417" s="452" t="s">
        <v>2574</v>
      </c>
      <c r="B2417" s="452" t="s">
        <v>3287</v>
      </c>
      <c r="C2417" s="489">
        <v>5.4999999999999997E-3</v>
      </c>
      <c r="D2417" s="480" t="s">
        <v>2576</v>
      </c>
      <c r="E2417" s="490">
        <f t="shared" si="422"/>
        <v>760000</v>
      </c>
      <c r="F2417" s="491">
        <f t="shared" si="422"/>
        <v>4180</v>
      </c>
      <c r="G2417" s="492">
        <v>0</v>
      </c>
      <c r="H2417" s="493">
        <f t="shared" si="423"/>
        <v>0</v>
      </c>
      <c r="I2417" s="494">
        <f>재료비목록표!E82</f>
        <v>760000</v>
      </c>
      <c r="J2417" s="495">
        <f t="shared" si="424"/>
        <v>4180</v>
      </c>
      <c r="K2417" s="492">
        <v>0</v>
      </c>
      <c r="L2417" s="493">
        <f t="shared" si="425"/>
        <v>0</v>
      </c>
      <c r="M2417" s="463" t="s">
        <v>3288</v>
      </c>
      <c r="N2417" s="451" t="s">
        <v>3289</v>
      </c>
      <c r="O2417" s="468" t="s">
        <v>3290</v>
      </c>
      <c r="P2417" s="468" t="s">
        <v>2354</v>
      </c>
      <c r="Z2417" s="433" t="str">
        <f ca="1">HYPERLINK("#"&amp;재료비목록표!G2&amp;"!A"&amp;ROW(재료비목록표!A82),"M00691 →")</f>
        <v>M00691 →</v>
      </c>
    </row>
    <row r="2418" spans="1:26" ht="33.200000000000003" customHeight="1">
      <c r="A2418" s="452" t="s">
        <v>2507</v>
      </c>
      <c r="B2418" s="452" t="s">
        <v>2441</v>
      </c>
      <c r="C2418" s="489">
        <v>15</v>
      </c>
      <c r="D2418" s="480" t="s">
        <v>2371</v>
      </c>
      <c r="E2418" s="490">
        <f t="shared" si="422"/>
        <v>66434.399999999994</v>
      </c>
      <c r="F2418" s="491">
        <f t="shared" si="422"/>
        <v>9965.1</v>
      </c>
      <c r="G2418" s="496">
        <f>H2412+H2413+H2414+H2416</f>
        <v>66434.399999999994</v>
      </c>
      <c r="H2418" s="491">
        <f>IF(C2418=0,0,ROUNDDOWN(G2418*C2418/100,1))</f>
        <v>9965.1</v>
      </c>
      <c r="I2418" s="465">
        <v>0</v>
      </c>
      <c r="J2418" s="493">
        <f>IF(C2418=0,0,ROUNDDOWN(I2418*C2418/100,1))</f>
        <v>0</v>
      </c>
      <c r="K2418" s="467">
        <v>0</v>
      </c>
      <c r="L2418" s="493">
        <f>IF(C2418=0,0,ROUNDDOWN(K2418*C2418/100,1))</f>
        <v>0</v>
      </c>
      <c r="M2418" s="463"/>
      <c r="N2418" s="451" t="s">
        <v>2644</v>
      </c>
      <c r="O2418" s="468" t="s">
        <v>2373</v>
      </c>
      <c r="P2418" s="468" t="s">
        <v>2354</v>
      </c>
      <c r="Q2418" s="468" t="s">
        <v>2355</v>
      </c>
    </row>
    <row r="2419" spans="1:26" ht="33.200000000000003" customHeight="1">
      <c r="A2419" s="463" t="s">
        <v>842</v>
      </c>
      <c r="B2419" s="497"/>
      <c r="C2419" s="497"/>
      <c r="D2419" s="497"/>
      <c r="E2419" s="497"/>
      <c r="F2419" s="446">
        <f>J2419+H2419+L2419</f>
        <v>221452</v>
      </c>
      <c r="G2419" s="497"/>
      <c r="H2419" s="446">
        <f>ROUNDDOWN(SUMIF(P2412:P2418,O2419,H2412:H2418),0)</f>
        <v>76399</v>
      </c>
      <c r="I2419" s="497"/>
      <c r="J2419" s="446">
        <f>ROUNDDOWN(SUMIF(P2412:P2418,O2419,J2412:J2418),0)</f>
        <v>145053</v>
      </c>
      <c r="K2419" s="497"/>
      <c r="L2419" s="446">
        <f>ROUNDDOWN(SUMIF(P2412:P2418,O2419,L2412:L2418),0)</f>
        <v>0</v>
      </c>
      <c r="M2419" s="497"/>
      <c r="O2419" s="468" t="s">
        <v>2354</v>
      </c>
    </row>
    <row r="2420" spans="1:26" ht="33.200000000000003" customHeight="1">
      <c r="A2420" s="484" t="s">
        <v>5553</v>
      </c>
      <c r="B2420" s="484"/>
      <c r="C2420" s="485"/>
      <c r="D2420" s="485"/>
      <c r="E2420" s="485"/>
      <c r="F2420" s="485"/>
      <c r="G2420" s="485"/>
      <c r="H2420" s="485"/>
      <c r="I2420" s="485"/>
      <c r="J2420" s="485"/>
      <c r="K2420" s="485"/>
      <c r="L2420" s="485"/>
      <c r="M2420" s="485"/>
      <c r="N2420" s="486" t="str">
        <f>HYPERLINK("#N"&amp;ROW(N2428),"_x0005_`BDCOD|B01839_x0007_`POSS|"&amp;ROW(N2422)&amp;"_x0007_`POSE|"&amp;ROW(N2428)&amp;"_x0007_`")</f>
        <v>_x0005_`BDCOD|B01839_x0007_`POSS|2422_x0007_`POSE|2428_x0007_`</v>
      </c>
    </row>
    <row r="2421" spans="1:26" ht="33.200000000000003" customHeight="1">
      <c r="A2421" s="469" t="s">
        <v>5137</v>
      </c>
      <c r="B2421" s="469" t="s">
        <v>1067</v>
      </c>
      <c r="C2421" s="487"/>
      <c r="D2421" s="488" t="s">
        <v>975</v>
      </c>
      <c r="E2421" s="487"/>
      <c r="F2421" s="487"/>
      <c r="G2421" s="487"/>
      <c r="H2421" s="487"/>
      <c r="I2421" s="487"/>
      <c r="J2421" s="487"/>
      <c r="K2421" s="487"/>
      <c r="L2421" s="487"/>
      <c r="M2421" s="488" t="s">
        <v>1068</v>
      </c>
      <c r="O2421" s="468" t="s">
        <v>1068</v>
      </c>
    </row>
    <row r="2422" spans="1:26" ht="33.200000000000003" customHeight="1">
      <c r="A2422" s="452" t="s">
        <v>2484</v>
      </c>
      <c r="B2422" s="452" t="s">
        <v>2485</v>
      </c>
      <c r="C2422" s="489">
        <v>2.3E-2</v>
      </c>
      <c r="D2422" s="480" t="s">
        <v>8</v>
      </c>
      <c r="E2422" s="490">
        <f t="shared" ref="E2422:F2428" si="426">I2422+G2422+K2422</f>
        <v>62811</v>
      </c>
      <c r="F2422" s="493">
        <f t="shared" si="426"/>
        <v>1444.6</v>
      </c>
      <c r="G2422" s="494">
        <f>단가산출근거목록표!F157</f>
        <v>62811</v>
      </c>
      <c r="H2422" s="498">
        <f t="shared" ref="H2422:H2427" si="427">IF(C2422=0,0,ROUNDDOWN(G2422*C2422,1))</f>
        <v>1444.6</v>
      </c>
      <c r="I2422" s="494">
        <f>단가산출근거목록표!G157</f>
        <v>0</v>
      </c>
      <c r="J2422" s="498">
        <f t="shared" ref="J2422:J2427" si="428">IF(C2422=0,0,ROUNDDOWN(I2422*C2422,1))</f>
        <v>0</v>
      </c>
      <c r="K2422" s="494">
        <f>단가산출근거목록표!H157</f>
        <v>0</v>
      </c>
      <c r="L2422" s="498">
        <f t="shared" ref="L2422:L2427" si="429">IF(C2422=0,0,ROUNDDOWN(K2422*C2422,1))</f>
        <v>0</v>
      </c>
      <c r="M2422" s="463" t="s">
        <v>2486</v>
      </c>
      <c r="N2422" s="451" t="s">
        <v>2487</v>
      </c>
      <c r="O2422" s="468" t="s">
        <v>2488</v>
      </c>
      <c r="P2422" s="468" t="s">
        <v>2354</v>
      </c>
      <c r="Q2422" s="468" t="s">
        <v>2355</v>
      </c>
      <c r="Z2422" s="433" t="str">
        <f ca="1">HYPERLINK("#"&amp;단가산출근거목록표!J2&amp;"!A"&amp;ROW(단가산출근거목록표!A157),"D01241 →")</f>
        <v>D01241 →</v>
      </c>
    </row>
    <row r="2423" spans="1:26" ht="33.200000000000003" customHeight="1">
      <c r="A2423" s="452" t="s">
        <v>2321</v>
      </c>
      <c r="B2423" s="452" t="s">
        <v>2322</v>
      </c>
      <c r="C2423" s="489">
        <v>1.7999999999999999E-2</v>
      </c>
      <c r="D2423" s="480" t="s">
        <v>8</v>
      </c>
      <c r="E2423" s="490">
        <f t="shared" si="426"/>
        <v>34413</v>
      </c>
      <c r="F2423" s="493">
        <f t="shared" si="426"/>
        <v>619.4</v>
      </c>
      <c r="G2423" s="494">
        <f>일위대가목록표!F275</f>
        <v>34413</v>
      </c>
      <c r="H2423" s="498">
        <f t="shared" si="427"/>
        <v>619.4</v>
      </c>
      <c r="I2423" s="494">
        <f>일위대가목록표!G275</f>
        <v>0</v>
      </c>
      <c r="J2423" s="498">
        <f t="shared" si="428"/>
        <v>0</v>
      </c>
      <c r="K2423" s="494">
        <f>일위대가목록표!H275</f>
        <v>0</v>
      </c>
      <c r="L2423" s="498">
        <f t="shared" si="429"/>
        <v>0</v>
      </c>
      <c r="M2423" s="463" t="s">
        <v>2489</v>
      </c>
      <c r="N2423" s="451" t="s">
        <v>2490</v>
      </c>
      <c r="O2423" s="468" t="s">
        <v>2491</v>
      </c>
      <c r="P2423" s="468" t="s">
        <v>2354</v>
      </c>
      <c r="Q2423" s="468" t="s">
        <v>2355</v>
      </c>
      <c r="Z2423" s="433" t="str">
        <f ca="1">HYPERLINK("#"&amp;일위대가목록표!J2&amp;"!A"&amp;ROW(일위대가목록표!A275),"B01414 →")</f>
        <v>B01414 →</v>
      </c>
    </row>
    <row r="2424" spans="1:26" ht="33.200000000000003" customHeight="1">
      <c r="A2424" s="452" t="s">
        <v>2298</v>
      </c>
      <c r="B2424" s="452" t="s">
        <v>2299</v>
      </c>
      <c r="C2424" s="489">
        <v>5.0000000000000001E-3</v>
      </c>
      <c r="D2424" s="480" t="s">
        <v>8</v>
      </c>
      <c r="E2424" s="490">
        <f t="shared" si="426"/>
        <v>24089</v>
      </c>
      <c r="F2424" s="493">
        <f t="shared" si="426"/>
        <v>120.4</v>
      </c>
      <c r="G2424" s="494">
        <f>일위대가목록표!F37</f>
        <v>24089</v>
      </c>
      <c r="H2424" s="498">
        <f t="shared" si="427"/>
        <v>120.4</v>
      </c>
      <c r="I2424" s="494">
        <f>일위대가목록표!G37</f>
        <v>0</v>
      </c>
      <c r="J2424" s="498">
        <f t="shared" si="428"/>
        <v>0</v>
      </c>
      <c r="K2424" s="494">
        <f>일위대가목록표!H37</f>
        <v>0</v>
      </c>
      <c r="L2424" s="498">
        <f t="shared" si="429"/>
        <v>0</v>
      </c>
      <c r="M2424" s="463" t="s">
        <v>2492</v>
      </c>
      <c r="N2424" s="451" t="s">
        <v>2493</v>
      </c>
      <c r="O2424" s="468" t="s">
        <v>2494</v>
      </c>
      <c r="P2424" s="468" t="s">
        <v>2354</v>
      </c>
      <c r="Q2424" s="468" t="s">
        <v>2355</v>
      </c>
      <c r="Z2424" s="433" t="str">
        <f ca="1">HYPERLINK("#"&amp;일위대가목록표!J2&amp;"!A"&amp;ROW(일위대가목록표!A37),"B01447 →")</f>
        <v>B01447 →</v>
      </c>
    </row>
    <row r="2425" spans="1:26" ht="33.200000000000003" customHeight="1">
      <c r="A2425" s="452" t="s">
        <v>2922</v>
      </c>
      <c r="B2425" s="452" t="s">
        <v>2923</v>
      </c>
      <c r="C2425" s="489">
        <v>7.9320000000000004</v>
      </c>
      <c r="D2425" s="480" t="s">
        <v>605</v>
      </c>
      <c r="E2425" s="490">
        <f t="shared" si="426"/>
        <v>7400</v>
      </c>
      <c r="F2425" s="491">
        <f t="shared" si="426"/>
        <v>58696.800000000003</v>
      </c>
      <c r="G2425" s="492">
        <v>0</v>
      </c>
      <c r="H2425" s="493">
        <f t="shared" si="427"/>
        <v>0</v>
      </c>
      <c r="I2425" s="494">
        <f>재료비목록표!E76</f>
        <v>7400</v>
      </c>
      <c r="J2425" s="495">
        <f t="shared" si="428"/>
        <v>58696.800000000003</v>
      </c>
      <c r="K2425" s="492">
        <v>0</v>
      </c>
      <c r="L2425" s="493">
        <f t="shared" si="429"/>
        <v>0</v>
      </c>
      <c r="M2425" s="463" t="s">
        <v>2924</v>
      </c>
      <c r="N2425" s="451" t="s">
        <v>2925</v>
      </c>
      <c r="O2425" s="468" t="s">
        <v>2926</v>
      </c>
      <c r="P2425" s="468" t="s">
        <v>2354</v>
      </c>
      <c r="Z2425" s="433" t="str">
        <f ca="1">HYPERLINK("#"&amp;재료비목록표!G2&amp;"!A"&amp;ROW(재료비목록표!A76),"M00960 →")</f>
        <v>M00960 →</v>
      </c>
    </row>
    <row r="2426" spans="1:26" ht="33.200000000000003" customHeight="1">
      <c r="A2426" s="452" t="s">
        <v>1461</v>
      </c>
      <c r="B2426" s="452" t="s">
        <v>1462</v>
      </c>
      <c r="C2426" s="489">
        <v>2.8000000000000001E-2</v>
      </c>
      <c r="D2426" s="480" t="s">
        <v>8</v>
      </c>
      <c r="E2426" s="490">
        <f t="shared" si="426"/>
        <v>915052</v>
      </c>
      <c r="F2426" s="493">
        <f t="shared" si="426"/>
        <v>25621.4</v>
      </c>
      <c r="G2426" s="494">
        <f>일위대가목록표!F72</f>
        <v>915052</v>
      </c>
      <c r="H2426" s="498">
        <f t="shared" si="427"/>
        <v>25621.4</v>
      </c>
      <c r="I2426" s="494">
        <f>일위대가목록표!G72</f>
        <v>0</v>
      </c>
      <c r="J2426" s="498">
        <f t="shared" si="428"/>
        <v>0</v>
      </c>
      <c r="K2426" s="494">
        <f>일위대가목록표!H72</f>
        <v>0</v>
      </c>
      <c r="L2426" s="498">
        <f t="shared" si="429"/>
        <v>0</v>
      </c>
      <c r="M2426" s="463" t="s">
        <v>2471</v>
      </c>
      <c r="N2426" s="451" t="s">
        <v>2472</v>
      </c>
      <c r="O2426" s="468" t="s">
        <v>1465</v>
      </c>
      <c r="P2426" s="468" t="s">
        <v>2354</v>
      </c>
      <c r="Q2426" s="468" t="s">
        <v>2355</v>
      </c>
      <c r="Z2426" s="433" t="str">
        <f ca="1">HYPERLINK("#"&amp;일위대가목록표!J2&amp;"!A"&amp;ROW(일위대가목록표!A72),"B01822 →")</f>
        <v>B01822 →</v>
      </c>
    </row>
    <row r="2427" spans="1:26" ht="33.200000000000003" customHeight="1">
      <c r="A2427" s="452" t="s">
        <v>2574</v>
      </c>
      <c r="B2427" s="452" t="s">
        <v>3287</v>
      </c>
      <c r="C2427" s="489">
        <v>3.7000000000000002E-3</v>
      </c>
      <c r="D2427" s="480" t="s">
        <v>2576</v>
      </c>
      <c r="E2427" s="490">
        <f t="shared" si="426"/>
        <v>760000</v>
      </c>
      <c r="F2427" s="491">
        <f t="shared" si="426"/>
        <v>2812</v>
      </c>
      <c r="G2427" s="492">
        <v>0</v>
      </c>
      <c r="H2427" s="493">
        <f t="shared" si="427"/>
        <v>0</v>
      </c>
      <c r="I2427" s="494">
        <f>재료비목록표!E82</f>
        <v>760000</v>
      </c>
      <c r="J2427" s="495">
        <f t="shared" si="428"/>
        <v>2812</v>
      </c>
      <c r="K2427" s="492">
        <v>0</v>
      </c>
      <c r="L2427" s="493">
        <f t="shared" si="429"/>
        <v>0</v>
      </c>
      <c r="M2427" s="463" t="s">
        <v>3288</v>
      </c>
      <c r="N2427" s="451" t="s">
        <v>3289</v>
      </c>
      <c r="O2427" s="468" t="s">
        <v>3290</v>
      </c>
      <c r="P2427" s="468" t="s">
        <v>2354</v>
      </c>
      <c r="Z2427" s="433" t="str">
        <f ca="1">HYPERLINK("#"&amp;재료비목록표!G2&amp;"!A"&amp;ROW(재료비목록표!A82),"M00691 →")</f>
        <v>M00691 →</v>
      </c>
    </row>
    <row r="2428" spans="1:26" ht="33.200000000000003" customHeight="1">
      <c r="A2428" s="452" t="s">
        <v>2507</v>
      </c>
      <c r="B2428" s="452" t="s">
        <v>2441</v>
      </c>
      <c r="C2428" s="489">
        <v>25</v>
      </c>
      <c r="D2428" s="480" t="s">
        <v>2371</v>
      </c>
      <c r="E2428" s="490">
        <f t="shared" si="426"/>
        <v>27805.800000000003</v>
      </c>
      <c r="F2428" s="491">
        <f t="shared" si="426"/>
        <v>6951.4</v>
      </c>
      <c r="G2428" s="496">
        <f>H2422+H2423+H2424+H2426</f>
        <v>27805.800000000003</v>
      </c>
      <c r="H2428" s="491">
        <f>IF(C2428=0,0,ROUNDDOWN(G2428*C2428/100,1))</f>
        <v>6951.4</v>
      </c>
      <c r="I2428" s="465">
        <v>0</v>
      </c>
      <c r="J2428" s="493">
        <f>IF(C2428=0,0,ROUNDDOWN(I2428*C2428/100,1))</f>
        <v>0</v>
      </c>
      <c r="K2428" s="467">
        <v>0</v>
      </c>
      <c r="L2428" s="493">
        <f>IF(C2428=0,0,ROUNDDOWN(K2428*C2428/100,1))</f>
        <v>0</v>
      </c>
      <c r="M2428" s="463"/>
      <c r="N2428" s="451" t="s">
        <v>2508</v>
      </c>
      <c r="O2428" s="468" t="s">
        <v>2373</v>
      </c>
      <c r="P2428" s="468" t="s">
        <v>2354</v>
      </c>
    </row>
    <row r="2429" spans="1:26" ht="33.200000000000003" customHeight="1">
      <c r="A2429" s="463" t="s">
        <v>842</v>
      </c>
      <c r="B2429" s="497"/>
      <c r="C2429" s="497"/>
      <c r="D2429" s="497"/>
      <c r="E2429" s="497"/>
      <c r="F2429" s="446">
        <f>J2429+H2429+L2429</f>
        <v>96265</v>
      </c>
      <c r="G2429" s="497"/>
      <c r="H2429" s="446">
        <f>ROUNDDOWN(SUMIF(P2422:P2428,O2429,H2422:H2428),0)</f>
        <v>34757</v>
      </c>
      <c r="I2429" s="497"/>
      <c r="J2429" s="446">
        <f>ROUNDDOWN(SUMIF(P2422:P2428,O2429,J2422:J2428),0)</f>
        <v>61508</v>
      </c>
      <c r="K2429" s="497"/>
      <c r="L2429" s="446">
        <f>ROUNDDOWN(SUMIF(P2422:P2428,O2429,L2422:L2428),0)</f>
        <v>0</v>
      </c>
      <c r="M2429" s="497"/>
      <c r="O2429" s="468" t="s">
        <v>2354</v>
      </c>
    </row>
    <row r="2430" spans="1:26" ht="33.200000000000003" customHeight="1">
      <c r="A2430" s="484" t="s">
        <v>5554</v>
      </c>
      <c r="B2430" s="484"/>
      <c r="C2430" s="485"/>
      <c r="D2430" s="485"/>
      <c r="E2430" s="485"/>
      <c r="F2430" s="485"/>
      <c r="G2430" s="485"/>
      <c r="H2430" s="485"/>
      <c r="I2430" s="485"/>
      <c r="J2430" s="485"/>
      <c r="K2430" s="485"/>
      <c r="L2430" s="485"/>
      <c r="M2430" s="485"/>
      <c r="N2430" s="486" t="str">
        <f>HYPERLINK("#N"&amp;ROW(N2438),"_x0005_`BDCOD|B01840_x0007_`POSS|"&amp;ROW(N2432)&amp;"_x0007_`POSE|"&amp;ROW(N2438)&amp;"_x0007_`")</f>
        <v>_x0005_`BDCOD|B01840_x0007_`POSS|2432_x0007_`POSE|2438_x0007_`</v>
      </c>
    </row>
    <row r="2431" spans="1:26" ht="33.200000000000003" customHeight="1">
      <c r="A2431" s="469" t="s">
        <v>5137</v>
      </c>
      <c r="B2431" s="469" t="s">
        <v>1071</v>
      </c>
      <c r="C2431" s="487"/>
      <c r="D2431" s="488" t="s">
        <v>975</v>
      </c>
      <c r="E2431" s="487"/>
      <c r="F2431" s="487"/>
      <c r="G2431" s="487"/>
      <c r="H2431" s="487"/>
      <c r="I2431" s="487"/>
      <c r="J2431" s="487"/>
      <c r="K2431" s="487"/>
      <c r="L2431" s="487"/>
      <c r="M2431" s="488" t="s">
        <v>1072</v>
      </c>
      <c r="O2431" s="468" t="s">
        <v>1072</v>
      </c>
    </row>
    <row r="2432" spans="1:26" ht="33.200000000000003" customHeight="1">
      <c r="A2432" s="452" t="s">
        <v>2484</v>
      </c>
      <c r="B2432" s="452" t="s">
        <v>2485</v>
      </c>
      <c r="C2432" s="489">
        <v>2.7E-2</v>
      </c>
      <c r="D2432" s="480" t="s">
        <v>8</v>
      </c>
      <c r="E2432" s="490">
        <f t="shared" ref="E2432:F2438" si="430">I2432+G2432+K2432</f>
        <v>62811</v>
      </c>
      <c r="F2432" s="493">
        <f t="shared" si="430"/>
        <v>1695.8</v>
      </c>
      <c r="G2432" s="494">
        <f>단가산출근거목록표!F157</f>
        <v>62811</v>
      </c>
      <c r="H2432" s="498">
        <f t="shared" ref="H2432:H2437" si="431">IF(C2432=0,0,ROUNDDOWN(G2432*C2432,1))</f>
        <v>1695.8</v>
      </c>
      <c r="I2432" s="494">
        <f>단가산출근거목록표!G157</f>
        <v>0</v>
      </c>
      <c r="J2432" s="498">
        <f t="shared" ref="J2432:J2437" si="432">IF(C2432=0,0,ROUNDDOWN(I2432*C2432,1))</f>
        <v>0</v>
      </c>
      <c r="K2432" s="494">
        <f>단가산출근거목록표!H157</f>
        <v>0</v>
      </c>
      <c r="L2432" s="498">
        <f t="shared" ref="L2432:L2437" si="433">IF(C2432=0,0,ROUNDDOWN(K2432*C2432,1))</f>
        <v>0</v>
      </c>
      <c r="M2432" s="463" t="s">
        <v>2486</v>
      </c>
      <c r="N2432" s="451" t="s">
        <v>2487</v>
      </c>
      <c r="O2432" s="468" t="s">
        <v>2488</v>
      </c>
      <c r="P2432" s="468" t="s">
        <v>2354</v>
      </c>
      <c r="Q2432" s="468" t="s">
        <v>2355</v>
      </c>
      <c r="Z2432" s="433" t="str">
        <f ca="1">HYPERLINK("#"&amp;단가산출근거목록표!J2&amp;"!A"&amp;ROW(단가산출근거목록표!A157),"D01241 →")</f>
        <v>D01241 →</v>
      </c>
    </row>
    <row r="2433" spans="1:26" ht="33.200000000000003" customHeight="1">
      <c r="A2433" s="452" t="s">
        <v>2321</v>
      </c>
      <c r="B2433" s="452" t="s">
        <v>2322</v>
      </c>
      <c r="C2433" s="489">
        <v>2.1000000000000001E-2</v>
      </c>
      <c r="D2433" s="480" t="s">
        <v>8</v>
      </c>
      <c r="E2433" s="490">
        <f t="shared" si="430"/>
        <v>34413</v>
      </c>
      <c r="F2433" s="493">
        <f t="shared" si="430"/>
        <v>722.6</v>
      </c>
      <c r="G2433" s="494">
        <f>일위대가목록표!F275</f>
        <v>34413</v>
      </c>
      <c r="H2433" s="498">
        <f t="shared" si="431"/>
        <v>722.6</v>
      </c>
      <c r="I2433" s="494">
        <f>일위대가목록표!G275</f>
        <v>0</v>
      </c>
      <c r="J2433" s="498">
        <f t="shared" si="432"/>
        <v>0</v>
      </c>
      <c r="K2433" s="494">
        <f>일위대가목록표!H275</f>
        <v>0</v>
      </c>
      <c r="L2433" s="498">
        <f t="shared" si="433"/>
        <v>0</v>
      </c>
      <c r="M2433" s="463" t="s">
        <v>2489</v>
      </c>
      <c r="N2433" s="451" t="s">
        <v>2490</v>
      </c>
      <c r="O2433" s="468" t="s">
        <v>2491</v>
      </c>
      <c r="P2433" s="468" t="s">
        <v>2354</v>
      </c>
      <c r="Q2433" s="468" t="s">
        <v>2355</v>
      </c>
      <c r="Z2433" s="433" t="str">
        <f ca="1">HYPERLINK("#"&amp;일위대가목록표!J2&amp;"!A"&amp;ROW(일위대가목록표!A275),"B01414 →")</f>
        <v>B01414 →</v>
      </c>
    </row>
    <row r="2434" spans="1:26" ht="33.200000000000003" customHeight="1">
      <c r="A2434" s="452" t="s">
        <v>2298</v>
      </c>
      <c r="B2434" s="452" t="s">
        <v>2299</v>
      </c>
      <c r="C2434" s="489">
        <v>6.0000000000000001E-3</v>
      </c>
      <c r="D2434" s="480" t="s">
        <v>8</v>
      </c>
      <c r="E2434" s="490">
        <f t="shared" si="430"/>
        <v>24089</v>
      </c>
      <c r="F2434" s="493">
        <f t="shared" si="430"/>
        <v>144.5</v>
      </c>
      <c r="G2434" s="494">
        <f>일위대가목록표!F37</f>
        <v>24089</v>
      </c>
      <c r="H2434" s="498">
        <f t="shared" si="431"/>
        <v>144.5</v>
      </c>
      <c r="I2434" s="494">
        <f>일위대가목록표!G37</f>
        <v>0</v>
      </c>
      <c r="J2434" s="498">
        <f t="shared" si="432"/>
        <v>0</v>
      </c>
      <c r="K2434" s="494">
        <f>일위대가목록표!H37</f>
        <v>0</v>
      </c>
      <c r="L2434" s="498">
        <f t="shared" si="433"/>
        <v>0</v>
      </c>
      <c r="M2434" s="463" t="s">
        <v>2492</v>
      </c>
      <c r="N2434" s="451" t="s">
        <v>2493</v>
      </c>
      <c r="O2434" s="468" t="s">
        <v>2494</v>
      </c>
      <c r="P2434" s="468" t="s">
        <v>2354</v>
      </c>
      <c r="Q2434" s="468" t="s">
        <v>2355</v>
      </c>
      <c r="Z2434" s="433" t="str">
        <f ca="1">HYPERLINK("#"&amp;일위대가목록표!J2&amp;"!A"&amp;ROW(일위대가목록표!A37),"B01447 →")</f>
        <v>B01447 →</v>
      </c>
    </row>
    <row r="2435" spans="1:26" ht="33.200000000000003" customHeight="1">
      <c r="A2435" s="452" t="s">
        <v>2922</v>
      </c>
      <c r="B2435" s="452" t="s">
        <v>2923</v>
      </c>
      <c r="C2435" s="489">
        <v>9.5190000000000001</v>
      </c>
      <c r="D2435" s="480" t="s">
        <v>605</v>
      </c>
      <c r="E2435" s="490">
        <f t="shared" si="430"/>
        <v>7400</v>
      </c>
      <c r="F2435" s="491">
        <f t="shared" si="430"/>
        <v>70440.600000000006</v>
      </c>
      <c r="G2435" s="492">
        <v>0</v>
      </c>
      <c r="H2435" s="493">
        <f t="shared" si="431"/>
        <v>0</v>
      </c>
      <c r="I2435" s="494">
        <f>재료비목록표!E76</f>
        <v>7400</v>
      </c>
      <c r="J2435" s="495">
        <f t="shared" si="432"/>
        <v>70440.600000000006</v>
      </c>
      <c r="K2435" s="492">
        <v>0</v>
      </c>
      <c r="L2435" s="493">
        <f t="shared" si="433"/>
        <v>0</v>
      </c>
      <c r="M2435" s="463" t="s">
        <v>2924</v>
      </c>
      <c r="N2435" s="451" t="s">
        <v>2925</v>
      </c>
      <c r="O2435" s="468" t="s">
        <v>2926</v>
      </c>
      <c r="P2435" s="468" t="s">
        <v>2354</v>
      </c>
      <c r="Z2435" s="433" t="str">
        <f ca="1">HYPERLINK("#"&amp;재료비목록표!G2&amp;"!A"&amp;ROW(재료비목록표!A76),"M00960 →")</f>
        <v>M00960 →</v>
      </c>
    </row>
    <row r="2436" spans="1:26" ht="33.200000000000003" customHeight="1">
      <c r="A2436" s="452" t="s">
        <v>1461</v>
      </c>
      <c r="B2436" s="452" t="s">
        <v>1462</v>
      </c>
      <c r="C2436" s="489">
        <v>3.3000000000000002E-2</v>
      </c>
      <c r="D2436" s="480" t="s">
        <v>8</v>
      </c>
      <c r="E2436" s="490">
        <f t="shared" si="430"/>
        <v>915052</v>
      </c>
      <c r="F2436" s="493">
        <f t="shared" si="430"/>
        <v>30196.7</v>
      </c>
      <c r="G2436" s="494">
        <f>일위대가목록표!F72</f>
        <v>915052</v>
      </c>
      <c r="H2436" s="498">
        <f t="shared" si="431"/>
        <v>30196.7</v>
      </c>
      <c r="I2436" s="494">
        <f>일위대가목록표!G72</f>
        <v>0</v>
      </c>
      <c r="J2436" s="498">
        <f t="shared" si="432"/>
        <v>0</v>
      </c>
      <c r="K2436" s="494">
        <f>일위대가목록표!H72</f>
        <v>0</v>
      </c>
      <c r="L2436" s="498">
        <f t="shared" si="433"/>
        <v>0</v>
      </c>
      <c r="M2436" s="463" t="s">
        <v>2471</v>
      </c>
      <c r="N2436" s="451" t="s">
        <v>2472</v>
      </c>
      <c r="O2436" s="468" t="s">
        <v>1465</v>
      </c>
      <c r="P2436" s="468" t="s">
        <v>2354</v>
      </c>
      <c r="Q2436" s="468" t="s">
        <v>2355</v>
      </c>
      <c r="Z2436" s="433" t="str">
        <f ca="1">HYPERLINK("#"&amp;일위대가목록표!J2&amp;"!A"&amp;ROW(일위대가목록표!A72),"B01822 →")</f>
        <v>B01822 →</v>
      </c>
    </row>
    <row r="2437" spans="1:26" ht="33.200000000000003" customHeight="1">
      <c r="A2437" s="452" t="s">
        <v>2574</v>
      </c>
      <c r="B2437" s="452" t="s">
        <v>3287</v>
      </c>
      <c r="C2437" s="489">
        <v>3.6480000000000002E-3</v>
      </c>
      <c r="D2437" s="480" t="s">
        <v>2576</v>
      </c>
      <c r="E2437" s="490">
        <f t="shared" si="430"/>
        <v>760000</v>
      </c>
      <c r="F2437" s="491">
        <f t="shared" si="430"/>
        <v>2772.4</v>
      </c>
      <c r="G2437" s="492">
        <v>0</v>
      </c>
      <c r="H2437" s="493">
        <f t="shared" si="431"/>
        <v>0</v>
      </c>
      <c r="I2437" s="494">
        <f>재료비목록표!E82</f>
        <v>760000</v>
      </c>
      <c r="J2437" s="495">
        <f t="shared" si="432"/>
        <v>2772.4</v>
      </c>
      <c r="K2437" s="492">
        <v>0</v>
      </c>
      <c r="L2437" s="493">
        <f t="shared" si="433"/>
        <v>0</v>
      </c>
      <c r="M2437" s="463" t="s">
        <v>3288</v>
      </c>
      <c r="N2437" s="451" t="s">
        <v>3289</v>
      </c>
      <c r="O2437" s="468" t="s">
        <v>3290</v>
      </c>
      <c r="P2437" s="468" t="s">
        <v>2354</v>
      </c>
      <c r="Z2437" s="433" t="str">
        <f ca="1">HYPERLINK("#"&amp;재료비목록표!G2&amp;"!A"&amp;ROW(재료비목록표!A82),"M00691 →")</f>
        <v>M00691 →</v>
      </c>
    </row>
    <row r="2438" spans="1:26" ht="33.200000000000003" customHeight="1">
      <c r="A2438" s="452" t="s">
        <v>2507</v>
      </c>
      <c r="B2438" s="452" t="s">
        <v>2441</v>
      </c>
      <c r="C2438" s="489">
        <v>25</v>
      </c>
      <c r="D2438" s="480" t="s">
        <v>2371</v>
      </c>
      <c r="E2438" s="490">
        <f t="shared" si="430"/>
        <v>32759.600000000002</v>
      </c>
      <c r="F2438" s="491">
        <f t="shared" si="430"/>
        <v>8189.9</v>
      </c>
      <c r="G2438" s="496">
        <f>H2432+H2433+H2434+H2436</f>
        <v>32759.600000000002</v>
      </c>
      <c r="H2438" s="491">
        <f>IF(C2438=0,0,ROUNDDOWN(G2438*C2438/100,1))</f>
        <v>8189.9</v>
      </c>
      <c r="I2438" s="465">
        <v>0</v>
      </c>
      <c r="J2438" s="493">
        <f>IF(C2438=0,0,ROUNDDOWN(I2438*C2438/100,1))</f>
        <v>0</v>
      </c>
      <c r="K2438" s="467">
        <v>0</v>
      </c>
      <c r="L2438" s="493">
        <f>IF(C2438=0,0,ROUNDDOWN(K2438*C2438/100,1))</f>
        <v>0</v>
      </c>
      <c r="M2438" s="463"/>
      <c r="N2438" s="451" t="s">
        <v>2508</v>
      </c>
      <c r="O2438" s="468" t="s">
        <v>2373</v>
      </c>
      <c r="P2438" s="468" t="s">
        <v>2354</v>
      </c>
    </row>
    <row r="2439" spans="1:26" ht="33.200000000000003" customHeight="1">
      <c r="A2439" s="463" t="s">
        <v>842</v>
      </c>
      <c r="B2439" s="497"/>
      <c r="C2439" s="497"/>
      <c r="D2439" s="497"/>
      <c r="E2439" s="497"/>
      <c r="F2439" s="446">
        <f>J2439+H2439+L2439</f>
        <v>114162</v>
      </c>
      <c r="G2439" s="497"/>
      <c r="H2439" s="446">
        <f>ROUNDDOWN(SUMIF(P2432:P2438,O2439,H2432:H2438),0)</f>
        <v>40949</v>
      </c>
      <c r="I2439" s="497"/>
      <c r="J2439" s="446">
        <f>ROUNDDOWN(SUMIF(P2432:P2438,O2439,J2432:J2438),0)</f>
        <v>73213</v>
      </c>
      <c r="K2439" s="497"/>
      <c r="L2439" s="446">
        <f>ROUNDDOWN(SUMIF(P2432:P2438,O2439,L2432:L2438),0)</f>
        <v>0</v>
      </c>
      <c r="M2439" s="497"/>
      <c r="O2439" s="468" t="s">
        <v>2354</v>
      </c>
    </row>
    <row r="2440" spans="1:26" ht="33.200000000000003" customHeight="1">
      <c r="A2440" s="484" t="s">
        <v>5555</v>
      </c>
      <c r="B2440" s="484"/>
      <c r="C2440" s="485"/>
      <c r="D2440" s="485"/>
      <c r="E2440" s="485"/>
      <c r="F2440" s="485"/>
      <c r="G2440" s="485"/>
      <c r="H2440" s="485"/>
      <c r="I2440" s="485"/>
      <c r="J2440" s="485"/>
      <c r="K2440" s="485"/>
      <c r="L2440" s="485"/>
      <c r="M2440" s="485"/>
      <c r="N2440" s="486" t="str">
        <f>HYPERLINK("#N"&amp;ROW(N2448),"_x0005_`BDCOD|B02243_x0007_`POSS|"&amp;ROW(N2442)&amp;"_x0007_`POSE|"&amp;ROW(N2448)&amp;"_x0007_`")</f>
        <v>_x0005_`BDCOD|B02243_x0007_`POSS|2442_x0007_`POSE|2448_x0007_`</v>
      </c>
    </row>
    <row r="2441" spans="1:26" ht="33.200000000000003" customHeight="1">
      <c r="A2441" s="469" t="s">
        <v>5137</v>
      </c>
      <c r="B2441" s="469" t="s">
        <v>1075</v>
      </c>
      <c r="C2441" s="487"/>
      <c r="D2441" s="488" t="s">
        <v>975</v>
      </c>
      <c r="E2441" s="487"/>
      <c r="F2441" s="487"/>
      <c r="G2441" s="487"/>
      <c r="H2441" s="487"/>
      <c r="I2441" s="487"/>
      <c r="J2441" s="487"/>
      <c r="K2441" s="487"/>
      <c r="L2441" s="487"/>
      <c r="M2441" s="488" t="s">
        <v>1076</v>
      </c>
      <c r="O2441" s="468" t="s">
        <v>1076</v>
      </c>
    </row>
    <row r="2442" spans="1:26" ht="33.200000000000003" customHeight="1">
      <c r="A2442" s="452" t="s">
        <v>2484</v>
      </c>
      <c r="B2442" s="452" t="s">
        <v>2485</v>
      </c>
      <c r="C2442" s="489">
        <v>3.5999999999999997E-2</v>
      </c>
      <c r="D2442" s="480" t="s">
        <v>8</v>
      </c>
      <c r="E2442" s="490">
        <f t="shared" ref="E2442:F2448" si="434">I2442+G2442+K2442</f>
        <v>62811</v>
      </c>
      <c r="F2442" s="493">
        <f t="shared" si="434"/>
        <v>2261.1</v>
      </c>
      <c r="G2442" s="494">
        <f>단가산출근거목록표!F157</f>
        <v>62811</v>
      </c>
      <c r="H2442" s="498">
        <f t="shared" ref="H2442:H2447" si="435">IF(C2442=0,0,ROUNDDOWN(G2442*C2442,1))</f>
        <v>2261.1</v>
      </c>
      <c r="I2442" s="494">
        <f>단가산출근거목록표!G157</f>
        <v>0</v>
      </c>
      <c r="J2442" s="498">
        <f t="shared" ref="J2442:J2447" si="436">IF(C2442=0,0,ROUNDDOWN(I2442*C2442,1))</f>
        <v>0</v>
      </c>
      <c r="K2442" s="494">
        <f>단가산출근거목록표!H157</f>
        <v>0</v>
      </c>
      <c r="L2442" s="498">
        <f t="shared" ref="L2442:L2447" si="437">IF(C2442=0,0,ROUNDDOWN(K2442*C2442,1))</f>
        <v>0</v>
      </c>
      <c r="M2442" s="463" t="s">
        <v>2486</v>
      </c>
      <c r="N2442" s="451" t="s">
        <v>2487</v>
      </c>
      <c r="O2442" s="468" t="s">
        <v>2488</v>
      </c>
      <c r="P2442" s="468" t="s">
        <v>2354</v>
      </c>
      <c r="Q2442" s="468" t="s">
        <v>2355</v>
      </c>
      <c r="Z2442" s="433" t="str">
        <f ca="1">HYPERLINK("#"&amp;단가산출근거목록표!J2&amp;"!A"&amp;ROW(단가산출근거목록표!A157),"D01241 →")</f>
        <v>D01241 →</v>
      </c>
    </row>
    <row r="2443" spans="1:26" ht="33.200000000000003" customHeight="1">
      <c r="A2443" s="452" t="s">
        <v>2321</v>
      </c>
      <c r="B2443" s="452" t="s">
        <v>2322</v>
      </c>
      <c r="C2443" s="489">
        <v>2.8000000000000001E-2</v>
      </c>
      <c r="D2443" s="480" t="s">
        <v>8</v>
      </c>
      <c r="E2443" s="490">
        <f t="shared" si="434"/>
        <v>34413</v>
      </c>
      <c r="F2443" s="493">
        <f t="shared" si="434"/>
        <v>963.5</v>
      </c>
      <c r="G2443" s="494">
        <f>일위대가목록표!F275</f>
        <v>34413</v>
      </c>
      <c r="H2443" s="498">
        <f t="shared" si="435"/>
        <v>963.5</v>
      </c>
      <c r="I2443" s="494">
        <f>일위대가목록표!G275</f>
        <v>0</v>
      </c>
      <c r="J2443" s="498">
        <f t="shared" si="436"/>
        <v>0</v>
      </c>
      <c r="K2443" s="494">
        <f>일위대가목록표!H275</f>
        <v>0</v>
      </c>
      <c r="L2443" s="498">
        <f t="shared" si="437"/>
        <v>0</v>
      </c>
      <c r="M2443" s="463" t="s">
        <v>2489</v>
      </c>
      <c r="N2443" s="451" t="s">
        <v>2490</v>
      </c>
      <c r="O2443" s="468" t="s">
        <v>2491</v>
      </c>
      <c r="P2443" s="468" t="s">
        <v>2354</v>
      </c>
      <c r="Q2443" s="468" t="s">
        <v>2355</v>
      </c>
      <c r="Z2443" s="433" t="str">
        <f ca="1">HYPERLINK("#"&amp;일위대가목록표!J2&amp;"!A"&amp;ROW(일위대가목록표!A275),"B01414 →")</f>
        <v>B01414 →</v>
      </c>
    </row>
    <row r="2444" spans="1:26" ht="33.200000000000003" customHeight="1">
      <c r="A2444" s="452" t="s">
        <v>2298</v>
      </c>
      <c r="B2444" s="452" t="s">
        <v>2299</v>
      </c>
      <c r="C2444" s="489">
        <v>8.0000000000000002E-3</v>
      </c>
      <c r="D2444" s="480" t="s">
        <v>8</v>
      </c>
      <c r="E2444" s="490">
        <f t="shared" si="434"/>
        <v>24089</v>
      </c>
      <c r="F2444" s="493">
        <f t="shared" si="434"/>
        <v>192.7</v>
      </c>
      <c r="G2444" s="494">
        <f>일위대가목록표!F37</f>
        <v>24089</v>
      </c>
      <c r="H2444" s="498">
        <f t="shared" si="435"/>
        <v>192.7</v>
      </c>
      <c r="I2444" s="494">
        <f>일위대가목록표!G37</f>
        <v>0</v>
      </c>
      <c r="J2444" s="498">
        <f t="shared" si="436"/>
        <v>0</v>
      </c>
      <c r="K2444" s="494">
        <f>일위대가목록표!H37</f>
        <v>0</v>
      </c>
      <c r="L2444" s="498">
        <f t="shared" si="437"/>
        <v>0</v>
      </c>
      <c r="M2444" s="463" t="s">
        <v>2492</v>
      </c>
      <c r="N2444" s="451" t="s">
        <v>2493</v>
      </c>
      <c r="O2444" s="468" t="s">
        <v>2494</v>
      </c>
      <c r="P2444" s="468" t="s">
        <v>2354</v>
      </c>
      <c r="Q2444" s="468" t="s">
        <v>2355</v>
      </c>
      <c r="Z2444" s="433" t="str">
        <f ca="1">HYPERLINK("#"&amp;일위대가목록표!J2&amp;"!A"&amp;ROW(일위대가목록표!A37),"B01447 →")</f>
        <v>B01447 →</v>
      </c>
    </row>
    <row r="2445" spans="1:26" ht="33.200000000000003" customHeight="1">
      <c r="A2445" s="452" t="s">
        <v>2922</v>
      </c>
      <c r="B2445" s="452" t="s">
        <v>2923</v>
      </c>
      <c r="C2445" s="489">
        <v>12.692</v>
      </c>
      <c r="D2445" s="480" t="s">
        <v>605</v>
      </c>
      <c r="E2445" s="490">
        <f t="shared" si="434"/>
        <v>7400</v>
      </c>
      <c r="F2445" s="491">
        <f t="shared" si="434"/>
        <v>93920.8</v>
      </c>
      <c r="G2445" s="492">
        <v>0</v>
      </c>
      <c r="H2445" s="493">
        <f t="shared" si="435"/>
        <v>0</v>
      </c>
      <c r="I2445" s="494">
        <f>재료비목록표!E76</f>
        <v>7400</v>
      </c>
      <c r="J2445" s="495">
        <f t="shared" si="436"/>
        <v>93920.8</v>
      </c>
      <c r="K2445" s="492">
        <v>0</v>
      </c>
      <c r="L2445" s="493">
        <f t="shared" si="437"/>
        <v>0</v>
      </c>
      <c r="M2445" s="463" t="s">
        <v>2924</v>
      </c>
      <c r="N2445" s="451" t="s">
        <v>2925</v>
      </c>
      <c r="O2445" s="468" t="s">
        <v>2926</v>
      </c>
      <c r="P2445" s="468" t="s">
        <v>2354</v>
      </c>
      <c r="Z2445" s="433" t="str">
        <f ca="1">HYPERLINK("#"&amp;재료비목록표!G2&amp;"!A"&amp;ROW(재료비목록표!A76),"M00960 →")</f>
        <v>M00960 →</v>
      </c>
    </row>
    <row r="2446" spans="1:26" ht="33.200000000000003" customHeight="1">
      <c r="A2446" s="452" t="s">
        <v>1461</v>
      </c>
      <c r="B2446" s="452" t="s">
        <v>1462</v>
      </c>
      <c r="C2446" s="489">
        <v>4.4999999999999998E-2</v>
      </c>
      <c r="D2446" s="480" t="s">
        <v>8</v>
      </c>
      <c r="E2446" s="490">
        <f t="shared" si="434"/>
        <v>915052</v>
      </c>
      <c r="F2446" s="493">
        <f t="shared" si="434"/>
        <v>41177.300000000003</v>
      </c>
      <c r="G2446" s="494">
        <f>일위대가목록표!F72</f>
        <v>915052</v>
      </c>
      <c r="H2446" s="498">
        <f t="shared" si="435"/>
        <v>41177.300000000003</v>
      </c>
      <c r="I2446" s="494">
        <f>일위대가목록표!G72</f>
        <v>0</v>
      </c>
      <c r="J2446" s="498">
        <f t="shared" si="436"/>
        <v>0</v>
      </c>
      <c r="K2446" s="494">
        <f>일위대가목록표!H72</f>
        <v>0</v>
      </c>
      <c r="L2446" s="498">
        <f t="shared" si="437"/>
        <v>0</v>
      </c>
      <c r="M2446" s="463" t="s">
        <v>2471</v>
      </c>
      <c r="N2446" s="451" t="s">
        <v>2472</v>
      </c>
      <c r="O2446" s="468" t="s">
        <v>1465</v>
      </c>
      <c r="P2446" s="468" t="s">
        <v>2354</v>
      </c>
      <c r="Q2446" s="468" t="s">
        <v>2355</v>
      </c>
      <c r="Z2446" s="433" t="str">
        <f ca="1">HYPERLINK("#"&amp;일위대가목록표!J2&amp;"!A"&amp;ROW(일위대가목록표!A72),"B01822 →")</f>
        <v>B01822 →</v>
      </c>
    </row>
    <row r="2447" spans="1:26" ht="33.200000000000003" customHeight="1">
      <c r="A2447" s="452" t="s">
        <v>2574</v>
      </c>
      <c r="B2447" s="452" t="s">
        <v>3287</v>
      </c>
      <c r="C2447" s="489">
        <v>5.4999999999999997E-3</v>
      </c>
      <c r="D2447" s="480" t="s">
        <v>2576</v>
      </c>
      <c r="E2447" s="490">
        <f t="shared" si="434"/>
        <v>760000</v>
      </c>
      <c r="F2447" s="491">
        <f t="shared" si="434"/>
        <v>4180</v>
      </c>
      <c r="G2447" s="492">
        <v>0</v>
      </c>
      <c r="H2447" s="493">
        <f t="shared" si="435"/>
        <v>0</v>
      </c>
      <c r="I2447" s="494">
        <f>재료비목록표!E82</f>
        <v>760000</v>
      </c>
      <c r="J2447" s="495">
        <f t="shared" si="436"/>
        <v>4180</v>
      </c>
      <c r="K2447" s="492">
        <v>0</v>
      </c>
      <c r="L2447" s="493">
        <f t="shared" si="437"/>
        <v>0</v>
      </c>
      <c r="M2447" s="463" t="s">
        <v>3288</v>
      </c>
      <c r="N2447" s="451" t="s">
        <v>3289</v>
      </c>
      <c r="O2447" s="468" t="s">
        <v>3290</v>
      </c>
      <c r="P2447" s="468" t="s">
        <v>2354</v>
      </c>
      <c r="Z2447" s="433" t="str">
        <f ca="1">HYPERLINK("#"&amp;재료비목록표!G2&amp;"!A"&amp;ROW(재료비목록표!A82),"M00691 →")</f>
        <v>M00691 →</v>
      </c>
    </row>
    <row r="2448" spans="1:26" ht="33.200000000000003" customHeight="1">
      <c r="A2448" s="452" t="s">
        <v>2507</v>
      </c>
      <c r="B2448" s="452" t="s">
        <v>2441</v>
      </c>
      <c r="C2448" s="489">
        <v>25</v>
      </c>
      <c r="D2448" s="480" t="s">
        <v>2371</v>
      </c>
      <c r="E2448" s="490">
        <f t="shared" si="434"/>
        <v>44594.600000000006</v>
      </c>
      <c r="F2448" s="491">
        <f t="shared" si="434"/>
        <v>11148.6</v>
      </c>
      <c r="G2448" s="496">
        <f>H2442+H2443+H2444+H2446</f>
        <v>44594.600000000006</v>
      </c>
      <c r="H2448" s="491">
        <f>IF(C2448=0,0,ROUNDDOWN(G2448*C2448/100,1))</f>
        <v>11148.6</v>
      </c>
      <c r="I2448" s="465">
        <v>0</v>
      </c>
      <c r="J2448" s="493">
        <f>IF(C2448=0,0,ROUNDDOWN(I2448*C2448/100,1))</f>
        <v>0</v>
      </c>
      <c r="K2448" s="467">
        <v>0</v>
      </c>
      <c r="L2448" s="493">
        <f>IF(C2448=0,0,ROUNDDOWN(K2448*C2448/100,1))</f>
        <v>0</v>
      </c>
      <c r="M2448" s="463"/>
      <c r="N2448" s="451" t="s">
        <v>2644</v>
      </c>
      <c r="O2448" s="468" t="s">
        <v>2373</v>
      </c>
      <c r="P2448" s="468" t="s">
        <v>2354</v>
      </c>
      <c r="Q2448" s="468" t="s">
        <v>2355</v>
      </c>
    </row>
    <row r="2449" spans="1:26" ht="33.200000000000003" customHeight="1">
      <c r="A2449" s="463" t="s">
        <v>842</v>
      </c>
      <c r="B2449" s="497"/>
      <c r="C2449" s="497"/>
      <c r="D2449" s="497"/>
      <c r="E2449" s="497"/>
      <c r="F2449" s="446">
        <f>J2449+H2449+L2449</f>
        <v>153843</v>
      </c>
      <c r="G2449" s="497"/>
      <c r="H2449" s="446">
        <f>ROUNDDOWN(SUMIF(P2442:P2448,O2449,H2442:H2448),0)</f>
        <v>55743</v>
      </c>
      <c r="I2449" s="497"/>
      <c r="J2449" s="446">
        <f>ROUNDDOWN(SUMIF(P2442:P2448,O2449,J2442:J2448),0)</f>
        <v>98100</v>
      </c>
      <c r="K2449" s="497"/>
      <c r="L2449" s="446">
        <f>ROUNDDOWN(SUMIF(P2442:P2448,O2449,L2442:L2448),0)</f>
        <v>0</v>
      </c>
      <c r="M2449" s="497"/>
      <c r="O2449" s="468" t="s">
        <v>2354</v>
      </c>
    </row>
    <row r="2450" spans="1:26" ht="33.200000000000003" customHeight="1">
      <c r="A2450" s="484" t="s">
        <v>5556</v>
      </c>
      <c r="B2450" s="484"/>
      <c r="C2450" s="485"/>
      <c r="D2450" s="485"/>
      <c r="E2450" s="485"/>
      <c r="F2450" s="485"/>
      <c r="G2450" s="485"/>
      <c r="H2450" s="485"/>
      <c r="I2450" s="485"/>
      <c r="J2450" s="485"/>
      <c r="K2450" s="485"/>
      <c r="L2450" s="485"/>
      <c r="M2450" s="485"/>
      <c r="N2450" s="486" t="str">
        <f>HYPERLINK("#N"&amp;ROW(N2458),"_x0005_`BDCOD|B02244_x0007_`POSS|"&amp;ROW(N2452)&amp;"_x0007_`POSE|"&amp;ROW(N2458)&amp;"_x0007_`")</f>
        <v>_x0005_`BDCOD|B02244_x0007_`POSS|2452_x0007_`POSE|2458_x0007_`</v>
      </c>
    </row>
    <row r="2451" spans="1:26" ht="33.200000000000003" customHeight="1">
      <c r="A2451" s="469" t="s">
        <v>5137</v>
      </c>
      <c r="B2451" s="469" t="s">
        <v>1079</v>
      </c>
      <c r="C2451" s="487"/>
      <c r="D2451" s="488" t="s">
        <v>975</v>
      </c>
      <c r="E2451" s="487"/>
      <c r="F2451" s="487"/>
      <c r="G2451" s="487"/>
      <c r="H2451" s="487"/>
      <c r="I2451" s="487"/>
      <c r="J2451" s="487"/>
      <c r="K2451" s="487"/>
      <c r="L2451" s="487"/>
      <c r="M2451" s="488" t="s">
        <v>1080</v>
      </c>
      <c r="O2451" s="468" t="s">
        <v>1080</v>
      </c>
    </row>
    <row r="2452" spans="1:26" ht="33.200000000000003" customHeight="1">
      <c r="A2452" s="452" t="s">
        <v>2484</v>
      </c>
      <c r="B2452" s="452" t="s">
        <v>2485</v>
      </c>
      <c r="C2452" s="489">
        <v>4.4999999999999998E-2</v>
      </c>
      <c r="D2452" s="480" t="s">
        <v>8</v>
      </c>
      <c r="E2452" s="490">
        <f t="shared" ref="E2452:F2458" si="438">I2452+G2452+K2452</f>
        <v>62811</v>
      </c>
      <c r="F2452" s="493">
        <f t="shared" si="438"/>
        <v>2826.4</v>
      </c>
      <c r="G2452" s="494">
        <f>단가산출근거목록표!F157</f>
        <v>62811</v>
      </c>
      <c r="H2452" s="498">
        <f t="shared" ref="H2452:H2457" si="439">IF(C2452=0,0,ROUNDDOWN(G2452*C2452,1))</f>
        <v>2826.4</v>
      </c>
      <c r="I2452" s="494">
        <f>단가산출근거목록표!G157</f>
        <v>0</v>
      </c>
      <c r="J2452" s="498">
        <f t="shared" ref="J2452:J2457" si="440">IF(C2452=0,0,ROUNDDOWN(I2452*C2452,1))</f>
        <v>0</v>
      </c>
      <c r="K2452" s="494">
        <f>단가산출근거목록표!H157</f>
        <v>0</v>
      </c>
      <c r="L2452" s="498">
        <f t="shared" ref="L2452:L2457" si="441">IF(C2452=0,0,ROUNDDOWN(K2452*C2452,1))</f>
        <v>0</v>
      </c>
      <c r="M2452" s="463" t="s">
        <v>2486</v>
      </c>
      <c r="N2452" s="451" t="s">
        <v>2487</v>
      </c>
      <c r="O2452" s="468" t="s">
        <v>2488</v>
      </c>
      <c r="P2452" s="468" t="s">
        <v>2354</v>
      </c>
      <c r="Q2452" s="468" t="s">
        <v>2355</v>
      </c>
      <c r="Z2452" s="433" t="str">
        <f ca="1">HYPERLINK("#"&amp;단가산출근거목록표!J2&amp;"!A"&amp;ROW(단가산출근거목록표!A157),"D01241 →")</f>
        <v>D01241 →</v>
      </c>
    </row>
    <row r="2453" spans="1:26" ht="33.200000000000003" customHeight="1">
      <c r="A2453" s="452" t="s">
        <v>2321</v>
      </c>
      <c r="B2453" s="452" t="s">
        <v>2322</v>
      </c>
      <c r="C2453" s="489">
        <v>3.5000000000000003E-2</v>
      </c>
      <c r="D2453" s="480" t="s">
        <v>8</v>
      </c>
      <c r="E2453" s="490">
        <f t="shared" si="438"/>
        <v>34413</v>
      </c>
      <c r="F2453" s="493">
        <f t="shared" si="438"/>
        <v>1204.4000000000001</v>
      </c>
      <c r="G2453" s="494">
        <f>일위대가목록표!F275</f>
        <v>34413</v>
      </c>
      <c r="H2453" s="498">
        <f t="shared" si="439"/>
        <v>1204.4000000000001</v>
      </c>
      <c r="I2453" s="494">
        <f>일위대가목록표!G275</f>
        <v>0</v>
      </c>
      <c r="J2453" s="498">
        <f t="shared" si="440"/>
        <v>0</v>
      </c>
      <c r="K2453" s="494">
        <f>일위대가목록표!H275</f>
        <v>0</v>
      </c>
      <c r="L2453" s="498">
        <f t="shared" si="441"/>
        <v>0</v>
      </c>
      <c r="M2453" s="463" t="s">
        <v>2489</v>
      </c>
      <c r="N2453" s="451" t="s">
        <v>2490</v>
      </c>
      <c r="O2453" s="468" t="s">
        <v>2491</v>
      </c>
      <c r="P2453" s="468" t="s">
        <v>2354</v>
      </c>
      <c r="Q2453" s="468" t="s">
        <v>2355</v>
      </c>
      <c r="Z2453" s="433" t="str">
        <f ca="1">HYPERLINK("#"&amp;일위대가목록표!J2&amp;"!A"&amp;ROW(일위대가목록표!A275),"B01414 →")</f>
        <v>B01414 →</v>
      </c>
    </row>
    <row r="2454" spans="1:26" ht="33.200000000000003" customHeight="1">
      <c r="A2454" s="452" t="s">
        <v>2298</v>
      </c>
      <c r="B2454" s="452" t="s">
        <v>2299</v>
      </c>
      <c r="C2454" s="489">
        <v>0.01</v>
      </c>
      <c r="D2454" s="480" t="s">
        <v>8</v>
      </c>
      <c r="E2454" s="490">
        <f t="shared" si="438"/>
        <v>24089</v>
      </c>
      <c r="F2454" s="493">
        <f t="shared" si="438"/>
        <v>240.8</v>
      </c>
      <c r="G2454" s="494">
        <f>일위대가목록표!F37</f>
        <v>24089</v>
      </c>
      <c r="H2454" s="498">
        <f t="shared" si="439"/>
        <v>240.8</v>
      </c>
      <c r="I2454" s="494">
        <f>일위대가목록표!G37</f>
        <v>0</v>
      </c>
      <c r="J2454" s="498">
        <f t="shared" si="440"/>
        <v>0</v>
      </c>
      <c r="K2454" s="494">
        <f>일위대가목록표!H37</f>
        <v>0</v>
      </c>
      <c r="L2454" s="498">
        <f t="shared" si="441"/>
        <v>0</v>
      </c>
      <c r="M2454" s="463" t="s">
        <v>2492</v>
      </c>
      <c r="N2454" s="451" t="s">
        <v>2493</v>
      </c>
      <c r="O2454" s="468" t="s">
        <v>2494</v>
      </c>
      <c r="P2454" s="468" t="s">
        <v>2354</v>
      </c>
      <c r="Q2454" s="468" t="s">
        <v>2355</v>
      </c>
      <c r="Z2454" s="433" t="str">
        <f ca="1">HYPERLINK("#"&amp;일위대가목록표!J2&amp;"!A"&amp;ROW(일위대가목록표!A37),"B01447 →")</f>
        <v>B01447 →</v>
      </c>
    </row>
    <row r="2455" spans="1:26" ht="33.200000000000003" customHeight="1">
      <c r="A2455" s="452" t="s">
        <v>2922</v>
      </c>
      <c r="B2455" s="452" t="s">
        <v>2923</v>
      </c>
      <c r="C2455" s="489">
        <v>15.865</v>
      </c>
      <c r="D2455" s="480" t="s">
        <v>605</v>
      </c>
      <c r="E2455" s="490">
        <f t="shared" si="438"/>
        <v>7400</v>
      </c>
      <c r="F2455" s="491">
        <f t="shared" si="438"/>
        <v>117401</v>
      </c>
      <c r="G2455" s="492">
        <v>0</v>
      </c>
      <c r="H2455" s="493">
        <f t="shared" si="439"/>
        <v>0</v>
      </c>
      <c r="I2455" s="494">
        <f>재료비목록표!E76</f>
        <v>7400</v>
      </c>
      <c r="J2455" s="495">
        <f t="shared" si="440"/>
        <v>117401</v>
      </c>
      <c r="K2455" s="492">
        <v>0</v>
      </c>
      <c r="L2455" s="493">
        <f t="shared" si="441"/>
        <v>0</v>
      </c>
      <c r="M2455" s="463" t="s">
        <v>2924</v>
      </c>
      <c r="N2455" s="451" t="s">
        <v>2925</v>
      </c>
      <c r="O2455" s="468" t="s">
        <v>2926</v>
      </c>
      <c r="P2455" s="468" t="s">
        <v>2354</v>
      </c>
      <c r="Z2455" s="433" t="str">
        <f ca="1">HYPERLINK("#"&amp;재료비목록표!G2&amp;"!A"&amp;ROW(재료비목록표!A76),"M00960 →")</f>
        <v>M00960 →</v>
      </c>
    </row>
    <row r="2456" spans="1:26" ht="33.200000000000003" customHeight="1">
      <c r="A2456" s="452" t="s">
        <v>1461</v>
      </c>
      <c r="B2456" s="452" t="s">
        <v>1462</v>
      </c>
      <c r="C2456" s="489">
        <v>5.6000000000000001E-2</v>
      </c>
      <c r="D2456" s="480" t="s">
        <v>8</v>
      </c>
      <c r="E2456" s="490">
        <f t="shared" si="438"/>
        <v>915052</v>
      </c>
      <c r="F2456" s="493">
        <f t="shared" si="438"/>
        <v>51242.9</v>
      </c>
      <c r="G2456" s="494">
        <f>일위대가목록표!F72</f>
        <v>915052</v>
      </c>
      <c r="H2456" s="498">
        <f t="shared" si="439"/>
        <v>51242.9</v>
      </c>
      <c r="I2456" s="494">
        <f>일위대가목록표!G72</f>
        <v>0</v>
      </c>
      <c r="J2456" s="498">
        <f t="shared" si="440"/>
        <v>0</v>
      </c>
      <c r="K2456" s="494">
        <f>일위대가목록표!H72</f>
        <v>0</v>
      </c>
      <c r="L2456" s="498">
        <f t="shared" si="441"/>
        <v>0</v>
      </c>
      <c r="M2456" s="463" t="s">
        <v>2471</v>
      </c>
      <c r="N2456" s="451" t="s">
        <v>2472</v>
      </c>
      <c r="O2456" s="468" t="s">
        <v>1465</v>
      </c>
      <c r="P2456" s="468" t="s">
        <v>2354</v>
      </c>
      <c r="Q2456" s="468" t="s">
        <v>2355</v>
      </c>
      <c r="Z2456" s="433" t="str">
        <f ca="1">HYPERLINK("#"&amp;일위대가목록표!J2&amp;"!A"&amp;ROW(일위대가목록표!A72),"B01822 →")</f>
        <v>B01822 →</v>
      </c>
    </row>
    <row r="2457" spans="1:26" ht="33.200000000000003" customHeight="1">
      <c r="A2457" s="452" t="s">
        <v>2574</v>
      </c>
      <c r="B2457" s="452" t="s">
        <v>3287</v>
      </c>
      <c r="C2457" s="489">
        <v>5.4999999999999997E-3</v>
      </c>
      <c r="D2457" s="480" t="s">
        <v>2576</v>
      </c>
      <c r="E2457" s="490">
        <f t="shared" si="438"/>
        <v>760000</v>
      </c>
      <c r="F2457" s="491">
        <f t="shared" si="438"/>
        <v>4180</v>
      </c>
      <c r="G2457" s="492">
        <v>0</v>
      </c>
      <c r="H2457" s="493">
        <f t="shared" si="439"/>
        <v>0</v>
      </c>
      <c r="I2457" s="494">
        <f>재료비목록표!E82</f>
        <v>760000</v>
      </c>
      <c r="J2457" s="495">
        <f t="shared" si="440"/>
        <v>4180</v>
      </c>
      <c r="K2457" s="492">
        <v>0</v>
      </c>
      <c r="L2457" s="493">
        <f t="shared" si="441"/>
        <v>0</v>
      </c>
      <c r="M2457" s="463" t="s">
        <v>3288</v>
      </c>
      <c r="N2457" s="451" t="s">
        <v>3289</v>
      </c>
      <c r="O2457" s="468" t="s">
        <v>3290</v>
      </c>
      <c r="P2457" s="468" t="s">
        <v>2354</v>
      </c>
      <c r="Z2457" s="433" t="str">
        <f ca="1">HYPERLINK("#"&amp;재료비목록표!G2&amp;"!A"&amp;ROW(재료비목록표!A82),"M00691 →")</f>
        <v>M00691 →</v>
      </c>
    </row>
    <row r="2458" spans="1:26" ht="33.200000000000003" customHeight="1">
      <c r="A2458" s="452" t="s">
        <v>2507</v>
      </c>
      <c r="B2458" s="452" t="s">
        <v>2441</v>
      </c>
      <c r="C2458" s="489">
        <v>25</v>
      </c>
      <c r="D2458" s="480" t="s">
        <v>2371</v>
      </c>
      <c r="E2458" s="490">
        <f t="shared" si="438"/>
        <v>55514.5</v>
      </c>
      <c r="F2458" s="491">
        <f t="shared" si="438"/>
        <v>13878.6</v>
      </c>
      <c r="G2458" s="496">
        <f>H2452+H2453+H2454+H2456</f>
        <v>55514.5</v>
      </c>
      <c r="H2458" s="491">
        <f>IF(C2458=0,0,ROUNDDOWN(G2458*C2458/100,1))</f>
        <v>13878.6</v>
      </c>
      <c r="I2458" s="465">
        <v>0</v>
      </c>
      <c r="J2458" s="493">
        <f>IF(C2458=0,0,ROUNDDOWN(I2458*C2458/100,1))</f>
        <v>0</v>
      </c>
      <c r="K2458" s="467">
        <v>0</v>
      </c>
      <c r="L2458" s="493">
        <f>IF(C2458=0,0,ROUNDDOWN(K2458*C2458/100,1))</f>
        <v>0</v>
      </c>
      <c r="M2458" s="463"/>
      <c r="N2458" s="451" t="s">
        <v>2644</v>
      </c>
      <c r="O2458" s="468" t="s">
        <v>2373</v>
      </c>
      <c r="P2458" s="468" t="s">
        <v>2354</v>
      </c>
      <c r="Q2458" s="468" t="s">
        <v>2355</v>
      </c>
    </row>
    <row r="2459" spans="1:26" ht="33.200000000000003" customHeight="1">
      <c r="A2459" s="463" t="s">
        <v>842</v>
      </c>
      <c r="B2459" s="497"/>
      <c r="C2459" s="497"/>
      <c r="D2459" s="497"/>
      <c r="E2459" s="497"/>
      <c r="F2459" s="446">
        <f>J2459+H2459+L2459</f>
        <v>190974</v>
      </c>
      <c r="G2459" s="497"/>
      <c r="H2459" s="446">
        <f>ROUNDDOWN(SUMIF(P2452:P2458,O2459,H2452:H2458),0)</f>
        <v>69393</v>
      </c>
      <c r="I2459" s="497"/>
      <c r="J2459" s="446">
        <f>ROUNDDOWN(SUMIF(P2452:P2458,O2459,J2452:J2458),0)</f>
        <v>121581</v>
      </c>
      <c r="K2459" s="497"/>
      <c r="L2459" s="446">
        <f>ROUNDDOWN(SUMIF(P2452:P2458,O2459,L2452:L2458),0)</f>
        <v>0</v>
      </c>
      <c r="M2459" s="497"/>
      <c r="O2459" s="468" t="s">
        <v>2354</v>
      </c>
    </row>
    <row r="2460" spans="1:26" ht="33.200000000000003" customHeight="1">
      <c r="A2460" s="484" t="s">
        <v>5557</v>
      </c>
      <c r="B2460" s="484"/>
      <c r="C2460" s="485"/>
      <c r="D2460" s="485"/>
      <c r="E2460" s="485"/>
      <c r="F2460" s="485"/>
      <c r="G2460" s="485"/>
      <c r="H2460" s="485"/>
      <c r="I2460" s="485"/>
      <c r="J2460" s="485"/>
      <c r="K2460" s="485"/>
      <c r="L2460" s="485"/>
      <c r="M2460" s="485"/>
      <c r="N2460" s="486" t="str">
        <f>HYPERLINK("#N"&amp;ROW(N2468),"_x0005_`BDCOD|B02245_x0007_`POSS|"&amp;ROW(N2462)&amp;"_x0007_`POSE|"&amp;ROW(N2468)&amp;"_x0007_`")</f>
        <v>_x0005_`BDCOD|B02245_x0007_`POSS|2462_x0007_`POSE|2468_x0007_`</v>
      </c>
    </row>
    <row r="2461" spans="1:26" ht="33.200000000000003" customHeight="1">
      <c r="A2461" s="469" t="s">
        <v>5137</v>
      </c>
      <c r="B2461" s="469" t="s">
        <v>1083</v>
      </c>
      <c r="C2461" s="487"/>
      <c r="D2461" s="488" t="s">
        <v>975</v>
      </c>
      <c r="E2461" s="487"/>
      <c r="F2461" s="487"/>
      <c r="G2461" s="487"/>
      <c r="H2461" s="487"/>
      <c r="I2461" s="487"/>
      <c r="J2461" s="487"/>
      <c r="K2461" s="487"/>
      <c r="L2461" s="487"/>
      <c r="M2461" s="488" t="s">
        <v>1084</v>
      </c>
      <c r="O2461" s="468" t="s">
        <v>1084</v>
      </c>
    </row>
    <row r="2462" spans="1:26" ht="33.200000000000003" customHeight="1">
      <c r="A2462" s="452" t="s">
        <v>2484</v>
      </c>
      <c r="B2462" s="452" t="s">
        <v>2485</v>
      </c>
      <c r="C2462" s="489">
        <v>5.3999999999999999E-2</v>
      </c>
      <c r="D2462" s="480" t="s">
        <v>8</v>
      </c>
      <c r="E2462" s="490">
        <f t="shared" ref="E2462:F2468" si="442">I2462+G2462+K2462</f>
        <v>62811</v>
      </c>
      <c r="F2462" s="493">
        <f t="shared" si="442"/>
        <v>3391.7</v>
      </c>
      <c r="G2462" s="494">
        <f>단가산출근거목록표!F157</f>
        <v>62811</v>
      </c>
      <c r="H2462" s="498">
        <f t="shared" ref="H2462:H2467" si="443">IF(C2462=0,0,ROUNDDOWN(G2462*C2462,1))</f>
        <v>3391.7</v>
      </c>
      <c r="I2462" s="494">
        <f>단가산출근거목록표!G157</f>
        <v>0</v>
      </c>
      <c r="J2462" s="498">
        <f t="shared" ref="J2462:J2467" si="444">IF(C2462=0,0,ROUNDDOWN(I2462*C2462,1))</f>
        <v>0</v>
      </c>
      <c r="K2462" s="494">
        <f>단가산출근거목록표!H157</f>
        <v>0</v>
      </c>
      <c r="L2462" s="498">
        <f t="shared" ref="L2462:L2467" si="445">IF(C2462=0,0,ROUNDDOWN(K2462*C2462,1))</f>
        <v>0</v>
      </c>
      <c r="M2462" s="463" t="s">
        <v>2486</v>
      </c>
      <c r="N2462" s="451" t="s">
        <v>2487</v>
      </c>
      <c r="O2462" s="468" t="s">
        <v>2488</v>
      </c>
      <c r="P2462" s="468" t="s">
        <v>2354</v>
      </c>
      <c r="Q2462" s="468" t="s">
        <v>2355</v>
      </c>
      <c r="Z2462" s="433" t="str">
        <f ca="1">HYPERLINK("#"&amp;단가산출근거목록표!J2&amp;"!A"&amp;ROW(단가산출근거목록표!A157),"D01241 →")</f>
        <v>D01241 →</v>
      </c>
    </row>
    <row r="2463" spans="1:26" ht="33.200000000000003" customHeight="1">
      <c r="A2463" s="452" t="s">
        <v>2321</v>
      </c>
      <c r="B2463" s="452" t="s">
        <v>2322</v>
      </c>
      <c r="C2463" s="489">
        <v>4.2000000000000003E-2</v>
      </c>
      <c r="D2463" s="480" t="s">
        <v>8</v>
      </c>
      <c r="E2463" s="490">
        <f t="shared" si="442"/>
        <v>34413</v>
      </c>
      <c r="F2463" s="493">
        <f t="shared" si="442"/>
        <v>1445.3</v>
      </c>
      <c r="G2463" s="494">
        <f>일위대가목록표!F275</f>
        <v>34413</v>
      </c>
      <c r="H2463" s="498">
        <f t="shared" si="443"/>
        <v>1445.3</v>
      </c>
      <c r="I2463" s="494">
        <f>일위대가목록표!G275</f>
        <v>0</v>
      </c>
      <c r="J2463" s="498">
        <f t="shared" si="444"/>
        <v>0</v>
      </c>
      <c r="K2463" s="494">
        <f>일위대가목록표!H275</f>
        <v>0</v>
      </c>
      <c r="L2463" s="498">
        <f t="shared" si="445"/>
        <v>0</v>
      </c>
      <c r="M2463" s="463" t="s">
        <v>2489</v>
      </c>
      <c r="N2463" s="451" t="s">
        <v>2490</v>
      </c>
      <c r="O2463" s="468" t="s">
        <v>2491</v>
      </c>
      <c r="P2463" s="468" t="s">
        <v>2354</v>
      </c>
      <c r="Q2463" s="468" t="s">
        <v>2355</v>
      </c>
      <c r="Z2463" s="433" t="str">
        <f ca="1">HYPERLINK("#"&amp;일위대가목록표!J2&amp;"!A"&amp;ROW(일위대가목록표!A275),"B01414 →")</f>
        <v>B01414 →</v>
      </c>
    </row>
    <row r="2464" spans="1:26" ht="33.200000000000003" customHeight="1">
      <c r="A2464" s="452" t="s">
        <v>2298</v>
      </c>
      <c r="B2464" s="452" t="s">
        <v>2299</v>
      </c>
      <c r="C2464" s="489">
        <v>1.2E-2</v>
      </c>
      <c r="D2464" s="480" t="s">
        <v>8</v>
      </c>
      <c r="E2464" s="490">
        <f t="shared" si="442"/>
        <v>24089</v>
      </c>
      <c r="F2464" s="493">
        <f t="shared" si="442"/>
        <v>289</v>
      </c>
      <c r="G2464" s="494">
        <f>일위대가목록표!F37</f>
        <v>24089</v>
      </c>
      <c r="H2464" s="498">
        <f t="shared" si="443"/>
        <v>289</v>
      </c>
      <c r="I2464" s="494">
        <f>일위대가목록표!G37</f>
        <v>0</v>
      </c>
      <c r="J2464" s="498">
        <f t="shared" si="444"/>
        <v>0</v>
      </c>
      <c r="K2464" s="494">
        <f>일위대가목록표!H37</f>
        <v>0</v>
      </c>
      <c r="L2464" s="498">
        <f t="shared" si="445"/>
        <v>0</v>
      </c>
      <c r="M2464" s="463" t="s">
        <v>2492</v>
      </c>
      <c r="N2464" s="451" t="s">
        <v>2493</v>
      </c>
      <c r="O2464" s="468" t="s">
        <v>2494</v>
      </c>
      <c r="P2464" s="468" t="s">
        <v>2354</v>
      </c>
      <c r="Q2464" s="468" t="s">
        <v>2355</v>
      </c>
      <c r="Z2464" s="433" t="str">
        <f ca="1">HYPERLINK("#"&amp;일위대가목록표!J2&amp;"!A"&amp;ROW(일위대가목록표!A37),"B01447 →")</f>
        <v>B01447 →</v>
      </c>
    </row>
    <row r="2465" spans="1:26" ht="33.200000000000003" customHeight="1">
      <c r="A2465" s="452" t="s">
        <v>2922</v>
      </c>
      <c r="B2465" s="452" t="s">
        <v>2923</v>
      </c>
      <c r="C2465" s="489">
        <v>19.036999999999999</v>
      </c>
      <c r="D2465" s="480" t="s">
        <v>605</v>
      </c>
      <c r="E2465" s="490">
        <f t="shared" si="442"/>
        <v>7400</v>
      </c>
      <c r="F2465" s="491">
        <f t="shared" si="442"/>
        <v>140873.79999999999</v>
      </c>
      <c r="G2465" s="492">
        <v>0</v>
      </c>
      <c r="H2465" s="493">
        <f t="shared" si="443"/>
        <v>0</v>
      </c>
      <c r="I2465" s="494">
        <f>재료비목록표!E76</f>
        <v>7400</v>
      </c>
      <c r="J2465" s="495">
        <f t="shared" si="444"/>
        <v>140873.79999999999</v>
      </c>
      <c r="K2465" s="492">
        <v>0</v>
      </c>
      <c r="L2465" s="493">
        <f t="shared" si="445"/>
        <v>0</v>
      </c>
      <c r="M2465" s="463" t="s">
        <v>2924</v>
      </c>
      <c r="N2465" s="451" t="s">
        <v>2925</v>
      </c>
      <c r="O2465" s="468" t="s">
        <v>2926</v>
      </c>
      <c r="P2465" s="468" t="s">
        <v>2354</v>
      </c>
      <c r="Z2465" s="433" t="str">
        <f ca="1">HYPERLINK("#"&amp;재료비목록표!G2&amp;"!A"&amp;ROW(재료비목록표!A76),"M00960 →")</f>
        <v>M00960 →</v>
      </c>
    </row>
    <row r="2466" spans="1:26" ht="33.200000000000003" customHeight="1">
      <c r="A2466" s="452" t="s">
        <v>1461</v>
      </c>
      <c r="B2466" s="452" t="s">
        <v>1462</v>
      </c>
      <c r="C2466" s="489">
        <v>6.7000000000000004E-2</v>
      </c>
      <c r="D2466" s="480" t="s">
        <v>8</v>
      </c>
      <c r="E2466" s="490">
        <f t="shared" si="442"/>
        <v>915052</v>
      </c>
      <c r="F2466" s="493">
        <f t="shared" si="442"/>
        <v>61308.4</v>
      </c>
      <c r="G2466" s="494">
        <f>일위대가목록표!F72</f>
        <v>915052</v>
      </c>
      <c r="H2466" s="498">
        <f t="shared" si="443"/>
        <v>61308.4</v>
      </c>
      <c r="I2466" s="494">
        <f>일위대가목록표!G72</f>
        <v>0</v>
      </c>
      <c r="J2466" s="498">
        <f t="shared" si="444"/>
        <v>0</v>
      </c>
      <c r="K2466" s="494">
        <f>일위대가목록표!H72</f>
        <v>0</v>
      </c>
      <c r="L2466" s="498">
        <f t="shared" si="445"/>
        <v>0</v>
      </c>
      <c r="M2466" s="463" t="s">
        <v>2471</v>
      </c>
      <c r="N2466" s="451" t="s">
        <v>2472</v>
      </c>
      <c r="O2466" s="468" t="s">
        <v>1465</v>
      </c>
      <c r="P2466" s="468" t="s">
        <v>2354</v>
      </c>
      <c r="Q2466" s="468" t="s">
        <v>2355</v>
      </c>
      <c r="Z2466" s="433" t="str">
        <f ca="1">HYPERLINK("#"&amp;일위대가목록표!J2&amp;"!A"&amp;ROW(일위대가목록표!A72),"B01822 →")</f>
        <v>B01822 →</v>
      </c>
    </row>
    <row r="2467" spans="1:26" ht="33.200000000000003" customHeight="1">
      <c r="A2467" s="452" t="s">
        <v>2574</v>
      </c>
      <c r="B2467" s="452" t="s">
        <v>3287</v>
      </c>
      <c r="C2467" s="489">
        <v>5.4999999999999997E-3</v>
      </c>
      <c r="D2467" s="480" t="s">
        <v>2576</v>
      </c>
      <c r="E2467" s="490">
        <f t="shared" si="442"/>
        <v>760000</v>
      </c>
      <c r="F2467" s="491">
        <f t="shared" si="442"/>
        <v>4180</v>
      </c>
      <c r="G2467" s="492">
        <v>0</v>
      </c>
      <c r="H2467" s="493">
        <f t="shared" si="443"/>
        <v>0</v>
      </c>
      <c r="I2467" s="494">
        <f>재료비목록표!E82</f>
        <v>760000</v>
      </c>
      <c r="J2467" s="495">
        <f t="shared" si="444"/>
        <v>4180</v>
      </c>
      <c r="K2467" s="492">
        <v>0</v>
      </c>
      <c r="L2467" s="493">
        <f t="shared" si="445"/>
        <v>0</v>
      </c>
      <c r="M2467" s="463" t="s">
        <v>3288</v>
      </c>
      <c r="N2467" s="451" t="s">
        <v>3289</v>
      </c>
      <c r="O2467" s="468" t="s">
        <v>3290</v>
      </c>
      <c r="P2467" s="468" t="s">
        <v>2354</v>
      </c>
      <c r="Z2467" s="433" t="str">
        <f ca="1">HYPERLINK("#"&amp;재료비목록표!G2&amp;"!A"&amp;ROW(재료비목록표!A82),"M00691 →")</f>
        <v>M00691 →</v>
      </c>
    </row>
    <row r="2468" spans="1:26" ht="33.200000000000003" customHeight="1">
      <c r="A2468" s="452" t="s">
        <v>2507</v>
      </c>
      <c r="B2468" s="452" t="s">
        <v>2441</v>
      </c>
      <c r="C2468" s="489">
        <v>25</v>
      </c>
      <c r="D2468" s="480" t="s">
        <v>2371</v>
      </c>
      <c r="E2468" s="490">
        <f t="shared" si="442"/>
        <v>66434.399999999994</v>
      </c>
      <c r="F2468" s="491">
        <f t="shared" si="442"/>
        <v>16608.599999999999</v>
      </c>
      <c r="G2468" s="496">
        <f>H2462+H2463+H2464+H2466</f>
        <v>66434.399999999994</v>
      </c>
      <c r="H2468" s="491">
        <f>IF(C2468=0,0,ROUNDDOWN(G2468*C2468/100,1))</f>
        <v>16608.599999999999</v>
      </c>
      <c r="I2468" s="465">
        <v>0</v>
      </c>
      <c r="J2468" s="493">
        <f>IF(C2468=0,0,ROUNDDOWN(I2468*C2468/100,1))</f>
        <v>0</v>
      </c>
      <c r="K2468" s="467">
        <v>0</v>
      </c>
      <c r="L2468" s="493">
        <f>IF(C2468=0,0,ROUNDDOWN(K2468*C2468/100,1))</f>
        <v>0</v>
      </c>
      <c r="M2468" s="463"/>
      <c r="N2468" s="451" t="s">
        <v>2644</v>
      </c>
      <c r="O2468" s="468" t="s">
        <v>2373</v>
      </c>
      <c r="P2468" s="468" t="s">
        <v>2354</v>
      </c>
      <c r="Q2468" s="468" t="s">
        <v>2355</v>
      </c>
    </row>
    <row r="2469" spans="1:26" ht="33.200000000000003" customHeight="1">
      <c r="A2469" s="463" t="s">
        <v>842</v>
      </c>
      <c r="B2469" s="497"/>
      <c r="C2469" s="497"/>
      <c r="D2469" s="497"/>
      <c r="E2469" s="497"/>
      <c r="F2469" s="446">
        <f>J2469+H2469+L2469</f>
        <v>228096</v>
      </c>
      <c r="G2469" s="497"/>
      <c r="H2469" s="446">
        <f>ROUNDDOWN(SUMIF(P2462:P2468,O2469,H2462:H2468),0)</f>
        <v>83043</v>
      </c>
      <c r="I2469" s="497"/>
      <c r="J2469" s="446">
        <f>ROUNDDOWN(SUMIF(P2462:P2468,O2469,J2462:J2468),0)</f>
        <v>145053</v>
      </c>
      <c r="K2469" s="497"/>
      <c r="L2469" s="446">
        <f>ROUNDDOWN(SUMIF(P2462:P2468,O2469,L2462:L2468),0)</f>
        <v>0</v>
      </c>
      <c r="M2469" s="497"/>
      <c r="O2469" s="468" t="s">
        <v>2354</v>
      </c>
    </row>
    <row r="2470" spans="1:26" ht="33.200000000000003" customHeight="1">
      <c r="A2470" s="484" t="s">
        <v>5558</v>
      </c>
      <c r="B2470" s="484"/>
      <c r="C2470" s="485"/>
      <c r="D2470" s="485"/>
      <c r="E2470" s="485"/>
      <c r="F2470" s="485"/>
      <c r="G2470" s="485"/>
      <c r="H2470" s="485"/>
      <c r="I2470" s="485"/>
      <c r="J2470" s="485"/>
      <c r="K2470" s="485"/>
      <c r="L2470" s="485"/>
      <c r="M2470" s="485"/>
      <c r="N2470" s="486" t="str">
        <f>HYPERLINK("#N"&amp;ROW(N2474),"_x0005_`BDCOD|B02653_x0007_`POSS|"&amp;ROW(N2472)&amp;"_x0007_`POSE|"&amp;ROW(N2474)&amp;"_x0007_`")</f>
        <v>_x0005_`BDCOD|B02653_x0007_`POSS|2472_x0007_`POSE|2474_x0007_`</v>
      </c>
    </row>
    <row r="2471" spans="1:26" ht="33.200000000000003" customHeight="1">
      <c r="A2471" s="469" t="s">
        <v>1783</v>
      </c>
      <c r="B2471" s="469" t="s">
        <v>1784</v>
      </c>
      <c r="C2471" s="487"/>
      <c r="D2471" s="488" t="s">
        <v>1785</v>
      </c>
      <c r="E2471" s="487"/>
      <c r="F2471" s="487"/>
      <c r="G2471" s="487"/>
      <c r="H2471" s="487"/>
      <c r="I2471" s="487"/>
      <c r="J2471" s="487"/>
      <c r="K2471" s="487"/>
      <c r="L2471" s="487"/>
      <c r="M2471" s="488" t="s">
        <v>1786</v>
      </c>
      <c r="O2471" s="468" t="s">
        <v>1786</v>
      </c>
    </row>
    <row r="2472" spans="1:26" ht="33.200000000000003" customHeight="1">
      <c r="A2472" s="452" t="s">
        <v>2484</v>
      </c>
      <c r="B2472" s="452" t="s">
        <v>2485</v>
      </c>
      <c r="C2472" s="489">
        <v>0.75</v>
      </c>
      <c r="D2472" s="480" t="s">
        <v>8</v>
      </c>
      <c r="E2472" s="490">
        <f t="shared" ref="E2472:F2474" si="446">I2472+G2472+K2472</f>
        <v>62811</v>
      </c>
      <c r="F2472" s="493">
        <f t="shared" si="446"/>
        <v>47108.2</v>
      </c>
      <c r="G2472" s="494">
        <f>단가산출근거목록표!F157</f>
        <v>62811</v>
      </c>
      <c r="H2472" s="498">
        <f>IF(C2472=0,0,ROUNDDOWN(G2472*C2472,1))</f>
        <v>47108.2</v>
      </c>
      <c r="I2472" s="494">
        <f>단가산출근거목록표!G157</f>
        <v>0</v>
      </c>
      <c r="J2472" s="498">
        <f>IF(C2472=0,0,ROUNDDOWN(I2472*C2472,1))</f>
        <v>0</v>
      </c>
      <c r="K2472" s="494">
        <f>단가산출근거목록표!H157</f>
        <v>0</v>
      </c>
      <c r="L2472" s="498">
        <f>IF(C2472=0,0,ROUNDDOWN(K2472*C2472,1))</f>
        <v>0</v>
      </c>
      <c r="M2472" s="463" t="s">
        <v>2486</v>
      </c>
      <c r="N2472" s="451" t="s">
        <v>2504</v>
      </c>
      <c r="O2472" s="468" t="s">
        <v>2488</v>
      </c>
      <c r="P2472" s="468" t="s">
        <v>2354</v>
      </c>
      <c r="Z2472" s="433" t="str">
        <f ca="1">HYPERLINK("#"&amp;단가산출근거목록표!J2&amp;"!A"&amp;ROW(단가산출근거목록표!A157),"D01241 →")</f>
        <v>D01241 →</v>
      </c>
    </row>
    <row r="2473" spans="1:26" ht="33.200000000000003" customHeight="1">
      <c r="A2473" s="452" t="s">
        <v>1793</v>
      </c>
      <c r="B2473" s="452" t="s">
        <v>1789</v>
      </c>
      <c r="C2473" s="489">
        <v>0.11</v>
      </c>
      <c r="D2473" s="480" t="s">
        <v>8</v>
      </c>
      <c r="E2473" s="490">
        <f t="shared" si="446"/>
        <v>233588</v>
      </c>
      <c r="F2473" s="493">
        <f t="shared" si="446"/>
        <v>25694.5</v>
      </c>
      <c r="G2473" s="494">
        <f>단가산출근거목록표!F152</f>
        <v>228399</v>
      </c>
      <c r="H2473" s="498">
        <f>IF(C2473=0,0,ROUNDDOWN(G2473*C2473,1))</f>
        <v>25123.8</v>
      </c>
      <c r="I2473" s="494">
        <f>단가산출근거목록표!G152</f>
        <v>0</v>
      </c>
      <c r="J2473" s="498">
        <f>IF(C2473=0,0,ROUNDDOWN(I2473*C2473,1))</f>
        <v>0</v>
      </c>
      <c r="K2473" s="494">
        <f>단가산출근거목록표!H152</f>
        <v>5189</v>
      </c>
      <c r="L2473" s="498">
        <f>IF(C2473=0,0,ROUNDDOWN(K2473*C2473,1))</f>
        <v>570.70000000000005</v>
      </c>
      <c r="M2473" s="463" t="s">
        <v>2594</v>
      </c>
      <c r="N2473" s="451" t="s">
        <v>2901</v>
      </c>
      <c r="O2473" s="468" t="s">
        <v>1796</v>
      </c>
      <c r="P2473" s="468" t="s">
        <v>2354</v>
      </c>
      <c r="Z2473" s="433" t="str">
        <f ca="1">HYPERLINK("#"&amp;단가산출근거목록표!J2&amp;"!A"&amp;ROW(단가산출근거목록표!A152),"D01242 →")</f>
        <v>D01242 →</v>
      </c>
    </row>
    <row r="2474" spans="1:26" ht="33.200000000000003" customHeight="1">
      <c r="A2474" s="452" t="s">
        <v>1466</v>
      </c>
      <c r="B2474" s="452" t="s">
        <v>1467</v>
      </c>
      <c r="C2474" s="489">
        <v>0.63500000000000001</v>
      </c>
      <c r="D2474" s="480" t="s">
        <v>8</v>
      </c>
      <c r="E2474" s="490">
        <f t="shared" si="446"/>
        <v>274515</v>
      </c>
      <c r="F2474" s="493">
        <f t="shared" si="446"/>
        <v>174317</v>
      </c>
      <c r="G2474" s="494">
        <f>일위대가목록표!F73</f>
        <v>274515</v>
      </c>
      <c r="H2474" s="498">
        <f>IF(C2474=0,0,ROUNDDOWN(G2474*C2474,1))</f>
        <v>174317</v>
      </c>
      <c r="I2474" s="494">
        <f>일위대가목록표!G73</f>
        <v>0</v>
      </c>
      <c r="J2474" s="498">
        <f>IF(C2474=0,0,ROUNDDOWN(I2474*C2474,1))</f>
        <v>0</v>
      </c>
      <c r="K2474" s="494">
        <f>일위대가목록표!H73</f>
        <v>0</v>
      </c>
      <c r="L2474" s="498">
        <f>IF(C2474=0,0,ROUNDDOWN(K2474*C2474,1))</f>
        <v>0</v>
      </c>
      <c r="M2474" s="463" t="s">
        <v>2596</v>
      </c>
      <c r="N2474" s="451" t="s">
        <v>2671</v>
      </c>
      <c r="O2474" s="468" t="s">
        <v>1470</v>
      </c>
      <c r="P2474" s="468" t="s">
        <v>2354</v>
      </c>
      <c r="Z2474" s="433" t="str">
        <f ca="1">HYPERLINK("#"&amp;일위대가목록표!J2&amp;"!A"&amp;ROW(일위대가목록표!A73),"B02396 →")</f>
        <v>B02396 →</v>
      </c>
    </row>
    <row r="2475" spans="1:26" ht="33.200000000000003" customHeight="1">
      <c r="A2475" s="463" t="s">
        <v>842</v>
      </c>
      <c r="B2475" s="497"/>
      <c r="C2475" s="497"/>
      <c r="D2475" s="497"/>
      <c r="E2475" s="497"/>
      <c r="F2475" s="446">
        <f>J2475+H2475+L2475</f>
        <v>247119</v>
      </c>
      <c r="G2475" s="497"/>
      <c r="H2475" s="446">
        <f>ROUNDDOWN(SUMIF(P2472:P2474,O2475,H2472:H2474),0)</f>
        <v>246549</v>
      </c>
      <c r="I2475" s="497"/>
      <c r="J2475" s="446">
        <f>ROUNDDOWN(SUMIF(P2472:P2474,O2475,J2472:J2474),0)</f>
        <v>0</v>
      </c>
      <c r="K2475" s="497"/>
      <c r="L2475" s="446">
        <f>ROUNDDOWN(SUMIF(P2472:P2474,O2475,L2472:L2474),0)</f>
        <v>570</v>
      </c>
      <c r="M2475" s="497"/>
      <c r="O2475" s="468" t="s">
        <v>2354</v>
      </c>
    </row>
    <row r="2476" spans="1:26" ht="33.200000000000003" customHeight="1">
      <c r="A2476" s="484" t="s">
        <v>5559</v>
      </c>
      <c r="B2476" s="484"/>
      <c r="C2476" s="485"/>
      <c r="D2476" s="485"/>
      <c r="E2476" s="485"/>
      <c r="F2476" s="485"/>
      <c r="G2476" s="485"/>
      <c r="H2476" s="485"/>
      <c r="I2476" s="485"/>
      <c r="J2476" s="485"/>
      <c r="K2476" s="485"/>
      <c r="L2476" s="485"/>
      <c r="M2476" s="485"/>
      <c r="N2476" s="486" t="str">
        <f>HYPERLINK("#N"&amp;ROW(N2481),"_x0005_`BDCOD|B02888_x0007_`POSS|"&amp;ROW(N2478)&amp;"_x0007_`POSE|"&amp;ROW(N2481)&amp;"_x0007_`")</f>
        <v>_x0005_`BDCOD|B02888_x0007_`POSS|2478_x0007_`POSE|2481_x0007_`</v>
      </c>
    </row>
    <row r="2477" spans="1:26" ht="33.200000000000003" customHeight="1">
      <c r="A2477" s="469" t="s">
        <v>5292</v>
      </c>
      <c r="B2477" s="469" t="s">
        <v>1784</v>
      </c>
      <c r="C2477" s="487"/>
      <c r="D2477" s="488" t="s">
        <v>1785</v>
      </c>
      <c r="E2477" s="487"/>
      <c r="F2477" s="487"/>
      <c r="G2477" s="487"/>
      <c r="H2477" s="487"/>
      <c r="I2477" s="487"/>
      <c r="J2477" s="487"/>
      <c r="K2477" s="487"/>
      <c r="L2477" s="487"/>
      <c r="M2477" s="488" t="s">
        <v>5293</v>
      </c>
      <c r="O2477" s="468" t="s">
        <v>5293</v>
      </c>
    </row>
    <row r="2478" spans="1:26" ht="33.200000000000003" customHeight="1">
      <c r="A2478" s="452" t="s">
        <v>2484</v>
      </c>
      <c r="B2478" s="452" t="s">
        <v>2485</v>
      </c>
      <c r="C2478" s="489">
        <v>0.75</v>
      </c>
      <c r="D2478" s="480" t="s">
        <v>8</v>
      </c>
      <c r="E2478" s="490">
        <f t="shared" ref="E2478:F2481" si="447">I2478+G2478+K2478</f>
        <v>62811</v>
      </c>
      <c r="F2478" s="493">
        <f t="shared" si="447"/>
        <v>47108.2</v>
      </c>
      <c r="G2478" s="494">
        <f>단가산출근거목록표!F157</f>
        <v>62811</v>
      </c>
      <c r="H2478" s="498">
        <f>IF(C2478=0,0,ROUNDDOWN(G2478*C2478,1))</f>
        <v>47108.2</v>
      </c>
      <c r="I2478" s="494">
        <f>단가산출근거목록표!G157</f>
        <v>0</v>
      </c>
      <c r="J2478" s="498">
        <f>IF(C2478=0,0,ROUNDDOWN(I2478*C2478,1))</f>
        <v>0</v>
      </c>
      <c r="K2478" s="494">
        <f>단가산출근거목록표!H157</f>
        <v>0</v>
      </c>
      <c r="L2478" s="498">
        <f>IF(C2478=0,0,ROUNDDOWN(K2478*C2478,1))</f>
        <v>0</v>
      </c>
      <c r="M2478" s="463" t="s">
        <v>2486</v>
      </c>
      <c r="N2478" s="451" t="s">
        <v>2487</v>
      </c>
      <c r="O2478" s="468" t="s">
        <v>2488</v>
      </c>
      <c r="P2478" s="468" t="s">
        <v>2354</v>
      </c>
      <c r="Q2478" s="468" t="s">
        <v>2355</v>
      </c>
      <c r="Z2478" s="433" t="str">
        <f ca="1">HYPERLINK("#"&amp;단가산출근거목록표!J2&amp;"!A"&amp;ROW(단가산출근거목록표!A157),"D01241 →")</f>
        <v>D01241 →</v>
      </c>
    </row>
    <row r="2479" spans="1:26" ht="33.200000000000003" customHeight="1">
      <c r="A2479" s="452" t="s">
        <v>1793</v>
      </c>
      <c r="B2479" s="452" t="s">
        <v>1789</v>
      </c>
      <c r="C2479" s="489">
        <v>0.11</v>
      </c>
      <c r="D2479" s="480" t="s">
        <v>8</v>
      </c>
      <c r="E2479" s="490">
        <f t="shared" si="447"/>
        <v>233588</v>
      </c>
      <c r="F2479" s="493">
        <f t="shared" si="447"/>
        <v>25694.5</v>
      </c>
      <c r="G2479" s="494">
        <f>단가산출근거목록표!F152</f>
        <v>228399</v>
      </c>
      <c r="H2479" s="498">
        <f>IF(C2479=0,0,ROUNDDOWN(G2479*C2479,1))</f>
        <v>25123.8</v>
      </c>
      <c r="I2479" s="494">
        <f>단가산출근거목록표!G152</f>
        <v>0</v>
      </c>
      <c r="J2479" s="498">
        <f>IF(C2479=0,0,ROUNDDOWN(I2479*C2479,1))</f>
        <v>0</v>
      </c>
      <c r="K2479" s="494">
        <f>단가산출근거목록표!H152</f>
        <v>5189</v>
      </c>
      <c r="L2479" s="498">
        <f>IF(C2479=0,0,ROUNDDOWN(K2479*C2479,1))</f>
        <v>570.70000000000005</v>
      </c>
      <c r="M2479" s="463" t="s">
        <v>2594</v>
      </c>
      <c r="N2479" s="451" t="s">
        <v>2595</v>
      </c>
      <c r="O2479" s="468" t="s">
        <v>1796</v>
      </c>
      <c r="P2479" s="468" t="s">
        <v>2354</v>
      </c>
      <c r="Q2479" s="468" t="s">
        <v>2355</v>
      </c>
      <c r="Z2479" s="433" t="str">
        <f ca="1">HYPERLINK("#"&amp;단가산출근거목록표!J2&amp;"!A"&amp;ROW(단가산출근거목록표!A152),"D01242 →")</f>
        <v>D01242 →</v>
      </c>
    </row>
    <row r="2480" spans="1:26" ht="33.200000000000003" customHeight="1">
      <c r="A2480" s="452" t="s">
        <v>1466</v>
      </c>
      <c r="B2480" s="452" t="s">
        <v>1467</v>
      </c>
      <c r="C2480" s="489">
        <v>0.63500000000000001</v>
      </c>
      <c r="D2480" s="480" t="s">
        <v>8</v>
      </c>
      <c r="E2480" s="490">
        <f t="shared" si="447"/>
        <v>274515</v>
      </c>
      <c r="F2480" s="493">
        <f t="shared" si="447"/>
        <v>174317</v>
      </c>
      <c r="G2480" s="494">
        <f>일위대가목록표!F73</f>
        <v>274515</v>
      </c>
      <c r="H2480" s="498">
        <f>IF(C2480=0,0,ROUNDDOWN(G2480*C2480,1))</f>
        <v>174317</v>
      </c>
      <c r="I2480" s="494">
        <f>일위대가목록표!G73</f>
        <v>0</v>
      </c>
      <c r="J2480" s="498">
        <f>IF(C2480=0,0,ROUNDDOWN(I2480*C2480,1))</f>
        <v>0</v>
      </c>
      <c r="K2480" s="494">
        <f>일위대가목록표!H73</f>
        <v>0</v>
      </c>
      <c r="L2480" s="498">
        <f>IF(C2480=0,0,ROUNDDOWN(K2480*C2480,1))</f>
        <v>0</v>
      </c>
      <c r="M2480" s="463" t="s">
        <v>2596</v>
      </c>
      <c r="N2480" s="451" t="s">
        <v>2597</v>
      </c>
      <c r="O2480" s="468" t="s">
        <v>1470</v>
      </c>
      <c r="P2480" s="468" t="s">
        <v>2354</v>
      </c>
      <c r="Q2480" s="468" t="s">
        <v>2355</v>
      </c>
      <c r="Z2480" s="433" t="str">
        <f ca="1">HYPERLINK("#"&amp;일위대가목록표!J2&amp;"!A"&amp;ROW(일위대가목록표!A73),"B02396 →")</f>
        <v>B02396 →</v>
      </c>
    </row>
    <row r="2481" spans="1:26" ht="33.200000000000003" customHeight="1">
      <c r="A2481" s="452" t="s">
        <v>2507</v>
      </c>
      <c r="B2481" s="452" t="s">
        <v>2441</v>
      </c>
      <c r="C2481" s="489">
        <v>15</v>
      </c>
      <c r="D2481" s="480" t="s">
        <v>2371</v>
      </c>
      <c r="E2481" s="490">
        <f t="shared" si="447"/>
        <v>246549</v>
      </c>
      <c r="F2481" s="491">
        <f t="shared" si="447"/>
        <v>36982.300000000003</v>
      </c>
      <c r="G2481" s="496">
        <f>H2478+H2479+H2480</f>
        <v>246549</v>
      </c>
      <c r="H2481" s="491">
        <f>IF(C2481=0,0,ROUNDDOWN(G2481*C2481/100,1))</f>
        <v>36982.300000000003</v>
      </c>
      <c r="I2481" s="465">
        <v>0</v>
      </c>
      <c r="J2481" s="493">
        <f>IF(C2481=0,0,ROUNDDOWN(I2481*C2481/100,1))</f>
        <v>0</v>
      </c>
      <c r="K2481" s="467">
        <v>0</v>
      </c>
      <c r="L2481" s="493">
        <f>IF(C2481=0,0,ROUNDDOWN(K2481*C2481/100,1))</f>
        <v>0</v>
      </c>
      <c r="M2481" s="463"/>
      <c r="N2481" s="451" t="s">
        <v>2508</v>
      </c>
      <c r="O2481" s="468" t="s">
        <v>2373</v>
      </c>
      <c r="P2481" s="468" t="s">
        <v>2354</v>
      </c>
    </row>
    <row r="2482" spans="1:26" ht="33.200000000000003" customHeight="1">
      <c r="A2482" s="463" t="s">
        <v>842</v>
      </c>
      <c r="B2482" s="497"/>
      <c r="C2482" s="497"/>
      <c r="D2482" s="497"/>
      <c r="E2482" s="497"/>
      <c r="F2482" s="446">
        <f>J2482+H2482+L2482</f>
        <v>284101</v>
      </c>
      <c r="G2482" s="497"/>
      <c r="H2482" s="446">
        <f>ROUNDDOWN(SUMIF(P2478:P2481,O2482,H2478:H2481),0)</f>
        <v>283531</v>
      </c>
      <c r="I2482" s="497"/>
      <c r="J2482" s="446">
        <f>ROUNDDOWN(SUMIF(P2478:P2481,O2482,J2478:J2481),0)</f>
        <v>0</v>
      </c>
      <c r="K2482" s="497"/>
      <c r="L2482" s="446">
        <f>ROUNDDOWN(SUMIF(P2478:P2481,O2482,L2478:L2481),0)</f>
        <v>570</v>
      </c>
      <c r="M2482" s="497"/>
      <c r="O2482" s="468" t="s">
        <v>2354</v>
      </c>
    </row>
    <row r="2483" spans="1:26" ht="33.200000000000003" customHeight="1">
      <c r="A2483" s="484" t="s">
        <v>5560</v>
      </c>
      <c r="B2483" s="484"/>
      <c r="C2483" s="485"/>
      <c r="D2483" s="485"/>
      <c r="E2483" s="485"/>
      <c r="F2483" s="485"/>
      <c r="G2483" s="485"/>
      <c r="H2483" s="485"/>
      <c r="I2483" s="485"/>
      <c r="J2483" s="485"/>
      <c r="K2483" s="485"/>
      <c r="L2483" s="485"/>
      <c r="M2483" s="485"/>
      <c r="N2483" s="486" t="str">
        <f>HYPERLINK("#N"&amp;ROW(N2488),"_x0005_`BDCOD|B02819_x0007_`POSS|"&amp;ROW(N2485)&amp;"_x0007_`POSE|"&amp;ROW(N2488)&amp;"_x0007_`")</f>
        <v>_x0005_`BDCOD|B02819_x0007_`POSS|2485_x0007_`POSE|2488_x0007_`</v>
      </c>
    </row>
    <row r="2484" spans="1:26" ht="33.200000000000003" customHeight="1">
      <c r="A2484" s="469" t="s">
        <v>5296</v>
      </c>
      <c r="B2484" s="469" t="s">
        <v>1784</v>
      </c>
      <c r="C2484" s="487"/>
      <c r="D2484" s="488" t="s">
        <v>1785</v>
      </c>
      <c r="E2484" s="487"/>
      <c r="F2484" s="487"/>
      <c r="G2484" s="487"/>
      <c r="H2484" s="487"/>
      <c r="I2484" s="487"/>
      <c r="J2484" s="487"/>
      <c r="K2484" s="487"/>
      <c r="L2484" s="487"/>
      <c r="M2484" s="488" t="s">
        <v>5297</v>
      </c>
      <c r="O2484" s="468" t="s">
        <v>5297</v>
      </c>
    </row>
    <row r="2485" spans="1:26" ht="33.200000000000003" customHeight="1">
      <c r="A2485" s="452" t="s">
        <v>2484</v>
      </c>
      <c r="B2485" s="452" t="s">
        <v>2485</v>
      </c>
      <c r="C2485" s="489">
        <v>0.75</v>
      </c>
      <c r="D2485" s="480" t="s">
        <v>8</v>
      </c>
      <c r="E2485" s="490">
        <f t="shared" ref="E2485:F2488" si="448">I2485+G2485+K2485</f>
        <v>62811</v>
      </c>
      <c r="F2485" s="493">
        <f t="shared" si="448"/>
        <v>47108.2</v>
      </c>
      <c r="G2485" s="494">
        <f>단가산출근거목록표!F157</f>
        <v>62811</v>
      </c>
      <c r="H2485" s="498">
        <f>IF(C2485=0,0,ROUNDDOWN(G2485*C2485,1))</f>
        <v>47108.2</v>
      </c>
      <c r="I2485" s="494">
        <f>단가산출근거목록표!G157</f>
        <v>0</v>
      </c>
      <c r="J2485" s="498">
        <f>IF(C2485=0,0,ROUNDDOWN(I2485*C2485,1))</f>
        <v>0</v>
      </c>
      <c r="K2485" s="494">
        <f>단가산출근거목록표!H157</f>
        <v>0</v>
      </c>
      <c r="L2485" s="498">
        <f>IF(C2485=0,0,ROUNDDOWN(K2485*C2485,1))</f>
        <v>0</v>
      </c>
      <c r="M2485" s="463" t="s">
        <v>2486</v>
      </c>
      <c r="N2485" s="451" t="s">
        <v>2487</v>
      </c>
      <c r="O2485" s="468" t="s">
        <v>2488</v>
      </c>
      <c r="P2485" s="468" t="s">
        <v>2354</v>
      </c>
      <c r="Q2485" s="468" t="s">
        <v>2355</v>
      </c>
      <c r="Z2485" s="433" t="str">
        <f ca="1">HYPERLINK("#"&amp;단가산출근거목록표!J2&amp;"!A"&amp;ROW(단가산출근거목록표!A157),"D01241 →")</f>
        <v>D01241 →</v>
      </c>
    </row>
    <row r="2486" spans="1:26" ht="33.200000000000003" customHeight="1">
      <c r="A2486" s="452" t="s">
        <v>1793</v>
      </c>
      <c r="B2486" s="452" t="s">
        <v>1789</v>
      </c>
      <c r="C2486" s="489">
        <v>0.11</v>
      </c>
      <c r="D2486" s="480" t="s">
        <v>8</v>
      </c>
      <c r="E2486" s="490">
        <f t="shared" si="448"/>
        <v>233588</v>
      </c>
      <c r="F2486" s="493">
        <f t="shared" si="448"/>
        <v>25694.5</v>
      </c>
      <c r="G2486" s="494">
        <f>단가산출근거목록표!F152</f>
        <v>228399</v>
      </c>
      <c r="H2486" s="498">
        <f>IF(C2486=0,0,ROUNDDOWN(G2486*C2486,1))</f>
        <v>25123.8</v>
      </c>
      <c r="I2486" s="494">
        <f>단가산출근거목록표!G152</f>
        <v>0</v>
      </c>
      <c r="J2486" s="498">
        <f>IF(C2486=0,0,ROUNDDOWN(I2486*C2486,1))</f>
        <v>0</v>
      </c>
      <c r="K2486" s="494">
        <f>단가산출근거목록표!H152</f>
        <v>5189</v>
      </c>
      <c r="L2486" s="498">
        <f>IF(C2486=0,0,ROUNDDOWN(K2486*C2486,1))</f>
        <v>570.70000000000005</v>
      </c>
      <c r="M2486" s="463" t="s">
        <v>2594</v>
      </c>
      <c r="N2486" s="451" t="s">
        <v>2595</v>
      </c>
      <c r="O2486" s="468" t="s">
        <v>1796</v>
      </c>
      <c r="P2486" s="468" t="s">
        <v>2354</v>
      </c>
      <c r="Q2486" s="468" t="s">
        <v>2355</v>
      </c>
      <c r="Z2486" s="433" t="str">
        <f ca="1">HYPERLINK("#"&amp;단가산출근거목록표!J2&amp;"!A"&amp;ROW(단가산출근거목록표!A152),"D01242 →")</f>
        <v>D01242 →</v>
      </c>
    </row>
    <row r="2487" spans="1:26" ht="33.200000000000003" customHeight="1">
      <c r="A2487" s="452" t="s">
        <v>1466</v>
      </c>
      <c r="B2487" s="452" t="s">
        <v>1467</v>
      </c>
      <c r="C2487" s="489">
        <v>0.63500000000000001</v>
      </c>
      <c r="D2487" s="480" t="s">
        <v>8</v>
      </c>
      <c r="E2487" s="490">
        <f t="shared" si="448"/>
        <v>274515</v>
      </c>
      <c r="F2487" s="493">
        <f t="shared" si="448"/>
        <v>174317</v>
      </c>
      <c r="G2487" s="494">
        <f>일위대가목록표!F73</f>
        <v>274515</v>
      </c>
      <c r="H2487" s="498">
        <f>IF(C2487=0,0,ROUNDDOWN(G2487*C2487,1))</f>
        <v>174317</v>
      </c>
      <c r="I2487" s="494">
        <f>일위대가목록표!G73</f>
        <v>0</v>
      </c>
      <c r="J2487" s="498">
        <f>IF(C2487=0,0,ROUNDDOWN(I2487*C2487,1))</f>
        <v>0</v>
      </c>
      <c r="K2487" s="494">
        <f>일위대가목록표!H73</f>
        <v>0</v>
      </c>
      <c r="L2487" s="498">
        <f>IF(C2487=0,0,ROUNDDOWN(K2487*C2487,1))</f>
        <v>0</v>
      </c>
      <c r="M2487" s="463" t="s">
        <v>2596</v>
      </c>
      <c r="N2487" s="451" t="s">
        <v>2597</v>
      </c>
      <c r="O2487" s="468" t="s">
        <v>1470</v>
      </c>
      <c r="P2487" s="468" t="s">
        <v>2354</v>
      </c>
      <c r="Q2487" s="468" t="s">
        <v>2355</v>
      </c>
      <c r="Z2487" s="433" t="str">
        <f ca="1">HYPERLINK("#"&amp;일위대가목록표!J2&amp;"!A"&amp;ROW(일위대가목록표!A73),"B02396 →")</f>
        <v>B02396 →</v>
      </c>
    </row>
    <row r="2488" spans="1:26" ht="33.200000000000003" customHeight="1">
      <c r="A2488" s="452" t="s">
        <v>2507</v>
      </c>
      <c r="B2488" s="452" t="s">
        <v>2441</v>
      </c>
      <c r="C2488" s="489">
        <v>25</v>
      </c>
      <c r="D2488" s="480" t="s">
        <v>2371</v>
      </c>
      <c r="E2488" s="490">
        <f t="shared" si="448"/>
        <v>246549</v>
      </c>
      <c r="F2488" s="491">
        <f t="shared" si="448"/>
        <v>61637.2</v>
      </c>
      <c r="G2488" s="496">
        <f>H2485+H2486+H2487</f>
        <v>246549</v>
      </c>
      <c r="H2488" s="491">
        <f>IF(C2488=0,0,ROUNDDOWN(G2488*C2488/100,1))</f>
        <v>61637.2</v>
      </c>
      <c r="I2488" s="465">
        <v>0</v>
      </c>
      <c r="J2488" s="493">
        <f>IF(C2488=0,0,ROUNDDOWN(I2488*C2488/100,1))</f>
        <v>0</v>
      </c>
      <c r="K2488" s="467">
        <v>0</v>
      </c>
      <c r="L2488" s="493">
        <f>IF(C2488=0,0,ROUNDDOWN(K2488*C2488/100,1))</f>
        <v>0</v>
      </c>
      <c r="M2488" s="463"/>
      <c r="N2488" s="451" t="s">
        <v>2508</v>
      </c>
      <c r="O2488" s="468" t="s">
        <v>2373</v>
      </c>
      <c r="P2488" s="468" t="s">
        <v>2354</v>
      </c>
    </row>
    <row r="2489" spans="1:26" ht="33.200000000000003" customHeight="1">
      <c r="A2489" s="463" t="s">
        <v>842</v>
      </c>
      <c r="B2489" s="497"/>
      <c r="C2489" s="497"/>
      <c r="D2489" s="497"/>
      <c r="E2489" s="497"/>
      <c r="F2489" s="446">
        <f>J2489+H2489+L2489</f>
        <v>308756</v>
      </c>
      <c r="G2489" s="497"/>
      <c r="H2489" s="446">
        <f>ROUNDDOWN(SUMIF(P2485:P2488,O2489,H2485:H2488),0)</f>
        <v>308186</v>
      </c>
      <c r="I2489" s="497"/>
      <c r="J2489" s="446">
        <f>ROUNDDOWN(SUMIF(P2485:P2488,O2489,J2485:J2488),0)</f>
        <v>0</v>
      </c>
      <c r="K2489" s="497"/>
      <c r="L2489" s="446">
        <f>ROUNDDOWN(SUMIF(P2485:P2488,O2489,L2485:L2488),0)</f>
        <v>570</v>
      </c>
      <c r="M2489" s="497"/>
      <c r="O2489" s="468" t="s">
        <v>2354</v>
      </c>
    </row>
    <row r="2490" spans="1:26" ht="33.200000000000003" customHeight="1">
      <c r="A2490" s="484" t="s">
        <v>5561</v>
      </c>
      <c r="B2490" s="484"/>
      <c r="C2490" s="485"/>
      <c r="D2490" s="485"/>
      <c r="E2490" s="485"/>
      <c r="F2490" s="485"/>
      <c r="G2490" s="485"/>
      <c r="H2490" s="485"/>
      <c r="I2490" s="485"/>
      <c r="J2490" s="485"/>
      <c r="K2490" s="485"/>
      <c r="L2490" s="485"/>
      <c r="M2490" s="485"/>
      <c r="N2490" s="486" t="str">
        <f>HYPERLINK("#N"&amp;ROW(N2499),"_x0005_`BDCOD|B01853_x0007_`POSS|"&amp;ROW(N2492)&amp;"_x0007_`POSE|"&amp;ROW(N2499)&amp;"_x0007_`")</f>
        <v>_x0005_`BDCOD|B01853_x0007_`POSS|2492_x0007_`POSE|2499_x0007_`</v>
      </c>
    </row>
    <row r="2491" spans="1:26" ht="33.200000000000003" customHeight="1">
      <c r="A2491" s="469" t="s">
        <v>1309</v>
      </c>
      <c r="B2491" s="469" t="s">
        <v>1305</v>
      </c>
      <c r="C2491" s="487"/>
      <c r="D2491" s="488" t="s">
        <v>975</v>
      </c>
      <c r="E2491" s="487"/>
      <c r="F2491" s="487"/>
      <c r="G2491" s="487"/>
      <c r="H2491" s="487"/>
      <c r="I2491" s="487"/>
      <c r="J2491" s="487"/>
      <c r="K2491" s="487"/>
      <c r="L2491" s="487"/>
      <c r="M2491" s="488" t="s">
        <v>1310</v>
      </c>
      <c r="O2491" s="468" t="s">
        <v>1310</v>
      </c>
    </row>
    <row r="2492" spans="1:26" ht="33.200000000000003" customHeight="1">
      <c r="A2492" s="452" t="s">
        <v>2484</v>
      </c>
      <c r="B2492" s="452" t="s">
        <v>2485</v>
      </c>
      <c r="C2492" s="489">
        <v>0.25</v>
      </c>
      <c r="D2492" s="480" t="s">
        <v>8</v>
      </c>
      <c r="E2492" s="490">
        <f t="shared" ref="E2492:F2499" si="449">I2492+G2492+K2492</f>
        <v>62811</v>
      </c>
      <c r="F2492" s="493">
        <f t="shared" si="449"/>
        <v>15702.7</v>
      </c>
      <c r="G2492" s="494">
        <f>단가산출근거목록표!F157</f>
        <v>62811</v>
      </c>
      <c r="H2492" s="498">
        <f t="shared" ref="H2492:H2499" si="450">IF(C2492=0,0,ROUNDDOWN(G2492*C2492,1))</f>
        <v>15702.7</v>
      </c>
      <c r="I2492" s="494">
        <f>단가산출근거목록표!G157</f>
        <v>0</v>
      </c>
      <c r="J2492" s="498">
        <f t="shared" ref="J2492:J2499" si="451">IF(C2492=0,0,ROUNDDOWN(I2492*C2492,1))</f>
        <v>0</v>
      </c>
      <c r="K2492" s="494">
        <f>단가산출근거목록표!H157</f>
        <v>0</v>
      </c>
      <c r="L2492" s="498">
        <f t="shared" ref="L2492:L2499" si="452">IF(C2492=0,0,ROUNDDOWN(K2492*C2492,1))</f>
        <v>0</v>
      </c>
      <c r="M2492" s="463" t="s">
        <v>2486</v>
      </c>
      <c r="N2492" s="451" t="s">
        <v>2504</v>
      </c>
      <c r="O2492" s="468" t="s">
        <v>2488</v>
      </c>
      <c r="P2492" s="468" t="s">
        <v>2354</v>
      </c>
      <c r="Z2492" s="433" t="str">
        <f ca="1">HYPERLINK("#"&amp;단가산출근거목록표!J2&amp;"!A"&amp;ROW(단가산출근거목록표!A157),"D01241 →")</f>
        <v>D01241 →</v>
      </c>
    </row>
    <row r="2493" spans="1:26" ht="33.200000000000003" customHeight="1">
      <c r="A2493" s="452" t="s">
        <v>2298</v>
      </c>
      <c r="B2493" s="452" t="s">
        <v>2299</v>
      </c>
      <c r="C2493" s="489">
        <v>0.19600000000000001</v>
      </c>
      <c r="D2493" s="480" t="s">
        <v>8</v>
      </c>
      <c r="E2493" s="490">
        <f t="shared" si="449"/>
        <v>24089</v>
      </c>
      <c r="F2493" s="493">
        <f t="shared" si="449"/>
        <v>4721.3999999999996</v>
      </c>
      <c r="G2493" s="494">
        <f>일위대가목록표!F37</f>
        <v>24089</v>
      </c>
      <c r="H2493" s="498">
        <f t="shared" si="450"/>
        <v>4721.3999999999996</v>
      </c>
      <c r="I2493" s="494">
        <f>일위대가목록표!G37</f>
        <v>0</v>
      </c>
      <c r="J2493" s="498">
        <f t="shared" si="451"/>
        <v>0</v>
      </c>
      <c r="K2493" s="494">
        <f>일위대가목록표!H37</f>
        <v>0</v>
      </c>
      <c r="L2493" s="498">
        <f t="shared" si="452"/>
        <v>0</v>
      </c>
      <c r="M2493" s="463" t="s">
        <v>2492</v>
      </c>
      <c r="N2493" s="451" t="s">
        <v>2537</v>
      </c>
      <c r="O2493" s="468" t="s">
        <v>2494</v>
      </c>
      <c r="P2493" s="468" t="s">
        <v>2354</v>
      </c>
      <c r="Z2493" s="433" t="str">
        <f ca="1">HYPERLINK("#"&amp;일위대가목록표!J2&amp;"!A"&amp;ROW(일위대가목록표!A37),"B01447 →")</f>
        <v>B01447 →</v>
      </c>
    </row>
    <row r="2494" spans="1:26" ht="33.200000000000003" customHeight="1">
      <c r="A2494" s="452" t="s">
        <v>2321</v>
      </c>
      <c r="B2494" s="452" t="s">
        <v>2322</v>
      </c>
      <c r="C2494" s="489">
        <v>5.3999999999999999E-2</v>
      </c>
      <c r="D2494" s="480" t="s">
        <v>8</v>
      </c>
      <c r="E2494" s="490">
        <f t="shared" si="449"/>
        <v>34413</v>
      </c>
      <c r="F2494" s="493">
        <f t="shared" si="449"/>
        <v>1858.3</v>
      </c>
      <c r="G2494" s="494">
        <f>일위대가목록표!F275</f>
        <v>34413</v>
      </c>
      <c r="H2494" s="498">
        <f t="shared" si="450"/>
        <v>1858.3</v>
      </c>
      <c r="I2494" s="494">
        <f>일위대가목록표!G275</f>
        <v>0</v>
      </c>
      <c r="J2494" s="498">
        <f t="shared" si="451"/>
        <v>0</v>
      </c>
      <c r="K2494" s="494">
        <f>일위대가목록표!H275</f>
        <v>0</v>
      </c>
      <c r="L2494" s="498">
        <f t="shared" si="452"/>
        <v>0</v>
      </c>
      <c r="M2494" s="463" t="s">
        <v>2489</v>
      </c>
      <c r="N2494" s="451" t="s">
        <v>2538</v>
      </c>
      <c r="O2494" s="468" t="s">
        <v>2491</v>
      </c>
      <c r="P2494" s="468" t="s">
        <v>2354</v>
      </c>
      <c r="Z2494" s="433" t="str">
        <f ca="1">HYPERLINK("#"&amp;일위대가목록표!J2&amp;"!A"&amp;ROW(일위대가목록표!A275),"B01414 →")</f>
        <v>B01414 →</v>
      </c>
    </row>
    <row r="2495" spans="1:26" ht="33.200000000000003" customHeight="1">
      <c r="A2495" s="452" t="s">
        <v>2495</v>
      </c>
      <c r="B2495" s="452" t="s">
        <v>2496</v>
      </c>
      <c r="C2495" s="489">
        <v>0.72</v>
      </c>
      <c r="D2495" s="480" t="s">
        <v>595</v>
      </c>
      <c r="E2495" s="490">
        <f t="shared" si="449"/>
        <v>46533</v>
      </c>
      <c r="F2495" s="493">
        <f t="shared" si="449"/>
        <v>33503.599999999999</v>
      </c>
      <c r="G2495" s="494">
        <f>단가산출근거목록표!F169</f>
        <v>34461</v>
      </c>
      <c r="H2495" s="498">
        <f t="shared" si="450"/>
        <v>24811.9</v>
      </c>
      <c r="I2495" s="494">
        <f>단가산출근거목록표!G169</f>
        <v>11728</v>
      </c>
      <c r="J2495" s="498">
        <f t="shared" si="451"/>
        <v>8444.1</v>
      </c>
      <c r="K2495" s="494">
        <f>단가산출근거목록표!H169</f>
        <v>344</v>
      </c>
      <c r="L2495" s="498">
        <f t="shared" si="452"/>
        <v>247.6</v>
      </c>
      <c r="M2495" s="463" t="s">
        <v>2497</v>
      </c>
      <c r="N2495" s="451" t="s">
        <v>2565</v>
      </c>
      <c r="O2495" s="468" t="s">
        <v>2499</v>
      </c>
      <c r="P2495" s="468" t="s">
        <v>2354</v>
      </c>
      <c r="Z2495" s="433" t="str">
        <f ca="1">HYPERLINK("#"&amp;단가산출근거목록표!J2&amp;"!A"&amp;ROW(단가산출근거목록표!A169),"D01231 →")</f>
        <v>D01231 →</v>
      </c>
    </row>
    <row r="2496" spans="1:26" ht="33.200000000000003" customHeight="1">
      <c r="A2496" s="452" t="s">
        <v>2342</v>
      </c>
      <c r="B2496" s="452" t="s">
        <v>2346</v>
      </c>
      <c r="C2496" s="489">
        <v>5.67E-2</v>
      </c>
      <c r="D2496" s="480" t="s">
        <v>8</v>
      </c>
      <c r="E2496" s="490">
        <f t="shared" si="449"/>
        <v>690529</v>
      </c>
      <c r="F2496" s="493">
        <f t="shared" si="449"/>
        <v>39152.9</v>
      </c>
      <c r="G2496" s="494">
        <f>일위대가목록표!F331</f>
        <v>586879</v>
      </c>
      <c r="H2496" s="498">
        <f t="shared" si="450"/>
        <v>33276</v>
      </c>
      <c r="I2496" s="494">
        <f>일위대가목록표!G331</f>
        <v>103650</v>
      </c>
      <c r="J2496" s="498">
        <f t="shared" si="451"/>
        <v>5876.9</v>
      </c>
      <c r="K2496" s="494">
        <f>일위대가목록표!H331</f>
        <v>0</v>
      </c>
      <c r="L2496" s="498">
        <f t="shared" si="452"/>
        <v>0</v>
      </c>
      <c r="M2496" s="463" t="s">
        <v>2566</v>
      </c>
      <c r="N2496" s="451" t="s">
        <v>2567</v>
      </c>
      <c r="O2496" s="468" t="s">
        <v>2568</v>
      </c>
      <c r="P2496" s="468" t="s">
        <v>2354</v>
      </c>
      <c r="Z2496" s="433" t="str">
        <f ca="1">HYPERLINK("#"&amp;일위대가목록표!J2&amp;"!A"&amp;ROW(일위대가목록표!A331),"B01758 →")</f>
        <v>B01758 →</v>
      </c>
    </row>
    <row r="2497" spans="1:26" ht="33.200000000000003" customHeight="1">
      <c r="A2497" s="452" t="s">
        <v>3302</v>
      </c>
      <c r="B2497" s="452" t="s">
        <v>3303</v>
      </c>
      <c r="C2497" s="489">
        <v>1</v>
      </c>
      <c r="D2497" s="480" t="s">
        <v>1589</v>
      </c>
      <c r="E2497" s="490">
        <f t="shared" si="449"/>
        <v>338000</v>
      </c>
      <c r="F2497" s="491">
        <f t="shared" si="449"/>
        <v>338000</v>
      </c>
      <c r="G2497" s="492">
        <v>0</v>
      </c>
      <c r="H2497" s="493">
        <f t="shared" si="450"/>
        <v>0</v>
      </c>
      <c r="I2497" s="494">
        <f>재료비목록표!E101</f>
        <v>338000</v>
      </c>
      <c r="J2497" s="495">
        <f t="shared" si="451"/>
        <v>338000</v>
      </c>
      <c r="K2497" s="492">
        <v>0</v>
      </c>
      <c r="L2497" s="493">
        <f t="shared" si="452"/>
        <v>0</v>
      </c>
      <c r="M2497" s="463" t="s">
        <v>3304</v>
      </c>
      <c r="N2497" s="451" t="s">
        <v>3305</v>
      </c>
      <c r="O2497" s="468" t="s">
        <v>3306</v>
      </c>
      <c r="P2497" s="468" t="s">
        <v>2354</v>
      </c>
      <c r="Z2497" s="433" t="str">
        <f ca="1">HYPERLINK("#"&amp;재료비목록표!G2&amp;"!A"&amp;ROW(재료비목록표!A101),"M01055 →")</f>
        <v>M01055 →</v>
      </c>
    </row>
    <row r="2498" spans="1:26" ht="33.200000000000003" customHeight="1">
      <c r="A2498" s="452" t="s">
        <v>2574</v>
      </c>
      <c r="B2498" s="452" t="s">
        <v>2575</v>
      </c>
      <c r="C2498" s="489">
        <v>8.1999999999999998E-4</v>
      </c>
      <c r="D2498" s="480" t="s">
        <v>2576</v>
      </c>
      <c r="E2498" s="490">
        <f t="shared" si="449"/>
        <v>765000</v>
      </c>
      <c r="F2498" s="491">
        <f t="shared" si="449"/>
        <v>627.29999999999995</v>
      </c>
      <c r="G2498" s="492">
        <v>0</v>
      </c>
      <c r="H2498" s="493">
        <f t="shared" si="450"/>
        <v>0</v>
      </c>
      <c r="I2498" s="494">
        <f>재료비목록표!E81</f>
        <v>765000</v>
      </c>
      <c r="J2498" s="495">
        <f t="shared" si="451"/>
        <v>627.29999999999995</v>
      </c>
      <c r="K2498" s="492">
        <v>0</v>
      </c>
      <c r="L2498" s="493">
        <f t="shared" si="452"/>
        <v>0</v>
      </c>
      <c r="M2498" s="463" t="s">
        <v>2577</v>
      </c>
      <c r="N2498" s="451" t="s">
        <v>2578</v>
      </c>
      <c r="O2498" s="468" t="s">
        <v>2579</v>
      </c>
      <c r="P2498" s="468" t="s">
        <v>2354</v>
      </c>
      <c r="Z2498" s="433" t="str">
        <f ca="1">HYPERLINK("#"&amp;재료비목록표!G2&amp;"!A"&amp;ROW(재료비목록표!A81),"M00150 →")</f>
        <v>M00150 →</v>
      </c>
    </row>
    <row r="2499" spans="1:26" ht="33.200000000000003" customHeight="1">
      <c r="A2499" s="452" t="s">
        <v>2580</v>
      </c>
      <c r="B2499" s="452" t="s">
        <v>2581</v>
      </c>
      <c r="C2499" s="489">
        <v>8.1999999999999998E-4</v>
      </c>
      <c r="D2499" s="480" t="s">
        <v>2132</v>
      </c>
      <c r="E2499" s="490">
        <f t="shared" si="449"/>
        <v>1386016</v>
      </c>
      <c r="F2499" s="493">
        <f t="shared" si="449"/>
        <v>1136.5</v>
      </c>
      <c r="G2499" s="494">
        <f>단가산출근거목록표!F141</f>
        <v>1375031</v>
      </c>
      <c r="H2499" s="498">
        <f t="shared" si="450"/>
        <v>1127.5</v>
      </c>
      <c r="I2499" s="494">
        <f>단가산출근거목록표!G141</f>
        <v>10985</v>
      </c>
      <c r="J2499" s="498">
        <f t="shared" si="451"/>
        <v>9</v>
      </c>
      <c r="K2499" s="494">
        <f>단가산출근거목록표!H141</f>
        <v>0</v>
      </c>
      <c r="L2499" s="498">
        <f t="shared" si="452"/>
        <v>0</v>
      </c>
      <c r="M2499" s="463" t="s">
        <v>2582</v>
      </c>
      <c r="N2499" s="451" t="s">
        <v>2583</v>
      </c>
      <c r="O2499" s="468" t="s">
        <v>2584</v>
      </c>
      <c r="P2499" s="468" t="s">
        <v>2354</v>
      </c>
      <c r="Z2499" s="433" t="str">
        <f ca="1">HYPERLINK("#"&amp;단가산출근거목록표!J2&amp;"!A"&amp;ROW(단가산출근거목록표!A141),"D00950 →")</f>
        <v>D00950 →</v>
      </c>
    </row>
    <row r="2500" spans="1:26" ht="33.200000000000003" customHeight="1">
      <c r="A2500" s="463" t="s">
        <v>842</v>
      </c>
      <c r="B2500" s="497"/>
      <c r="C2500" s="497"/>
      <c r="D2500" s="497"/>
      <c r="E2500" s="497"/>
      <c r="F2500" s="446">
        <f>J2500+H2500+L2500</f>
        <v>434701</v>
      </c>
      <c r="G2500" s="497"/>
      <c r="H2500" s="446">
        <f>ROUNDDOWN(SUMIF(P2492:P2499,O2500,H2492:H2499),0)</f>
        <v>81497</v>
      </c>
      <c r="I2500" s="497"/>
      <c r="J2500" s="446">
        <f>ROUNDDOWN(SUMIF(P2492:P2499,O2500,J2492:J2499),0)</f>
        <v>352957</v>
      </c>
      <c r="K2500" s="497"/>
      <c r="L2500" s="446">
        <f>ROUNDDOWN(SUMIF(P2492:P2499,O2500,L2492:L2499),0)</f>
        <v>247</v>
      </c>
      <c r="M2500" s="497"/>
      <c r="O2500" s="468" t="s">
        <v>2354</v>
      </c>
    </row>
    <row r="2501" spans="1:26" ht="33.200000000000003" customHeight="1">
      <c r="A2501" s="484" t="s">
        <v>5562</v>
      </c>
      <c r="B2501" s="484"/>
      <c r="C2501" s="485"/>
      <c r="D2501" s="485"/>
      <c r="E2501" s="485"/>
      <c r="F2501" s="485"/>
      <c r="G2501" s="485"/>
      <c r="H2501" s="485"/>
      <c r="I2501" s="485"/>
      <c r="J2501" s="485"/>
      <c r="K2501" s="485"/>
      <c r="L2501" s="485"/>
      <c r="M2501" s="485"/>
      <c r="N2501" s="486" t="str">
        <f>HYPERLINK("#N"&amp;ROW(N2511),"_x0005_`BDCOD|B02864_x0007_`POSS|"&amp;ROW(N2503)&amp;"_x0007_`POSE|"&amp;ROW(N2511)&amp;"_x0007_`")</f>
        <v>_x0005_`BDCOD|B02864_x0007_`POSS|2503_x0007_`POSE|2511_x0007_`</v>
      </c>
    </row>
    <row r="2502" spans="1:26" ht="33.200000000000003" customHeight="1">
      <c r="A2502" s="469" t="s">
        <v>5188</v>
      </c>
      <c r="B2502" s="469" t="s">
        <v>1305</v>
      </c>
      <c r="C2502" s="487"/>
      <c r="D2502" s="488" t="s">
        <v>975</v>
      </c>
      <c r="E2502" s="487"/>
      <c r="F2502" s="487"/>
      <c r="G2502" s="487"/>
      <c r="H2502" s="487"/>
      <c r="I2502" s="487"/>
      <c r="J2502" s="487"/>
      <c r="K2502" s="487"/>
      <c r="L2502" s="487"/>
      <c r="M2502" s="488" t="s">
        <v>5189</v>
      </c>
      <c r="O2502" s="468" t="s">
        <v>5189</v>
      </c>
    </row>
    <row r="2503" spans="1:26" ht="33.200000000000003" customHeight="1">
      <c r="A2503" s="452" t="s">
        <v>2484</v>
      </c>
      <c r="B2503" s="452" t="s">
        <v>2485</v>
      </c>
      <c r="C2503" s="489">
        <v>0.25</v>
      </c>
      <c r="D2503" s="480" t="s">
        <v>8</v>
      </c>
      <c r="E2503" s="490">
        <f t="shared" ref="E2503:F2511" si="453">I2503+G2503+K2503</f>
        <v>62811</v>
      </c>
      <c r="F2503" s="493">
        <f t="shared" si="453"/>
        <v>15702.7</v>
      </c>
      <c r="G2503" s="494">
        <f>단가산출근거목록표!F157</f>
        <v>62811</v>
      </c>
      <c r="H2503" s="498">
        <f t="shared" ref="H2503:H2510" si="454">IF(C2503=0,0,ROUNDDOWN(G2503*C2503,1))</f>
        <v>15702.7</v>
      </c>
      <c r="I2503" s="494">
        <f>단가산출근거목록표!G157</f>
        <v>0</v>
      </c>
      <c r="J2503" s="498">
        <f t="shared" ref="J2503:J2510" si="455">IF(C2503=0,0,ROUNDDOWN(I2503*C2503,1))</f>
        <v>0</v>
      </c>
      <c r="K2503" s="494">
        <f>단가산출근거목록표!H157</f>
        <v>0</v>
      </c>
      <c r="L2503" s="498">
        <f t="shared" ref="L2503:L2510" si="456">IF(C2503=0,0,ROUNDDOWN(K2503*C2503,1))</f>
        <v>0</v>
      </c>
      <c r="M2503" s="463" t="s">
        <v>2486</v>
      </c>
      <c r="N2503" s="451" t="s">
        <v>2487</v>
      </c>
      <c r="O2503" s="468" t="s">
        <v>2488</v>
      </c>
      <c r="P2503" s="468" t="s">
        <v>2354</v>
      </c>
      <c r="Q2503" s="468" t="s">
        <v>2355</v>
      </c>
      <c r="Z2503" s="433" t="str">
        <f ca="1">HYPERLINK("#"&amp;단가산출근거목록표!J2&amp;"!A"&amp;ROW(단가산출근거목록표!A157),"D01241 →")</f>
        <v>D01241 →</v>
      </c>
    </row>
    <row r="2504" spans="1:26" ht="33.200000000000003" customHeight="1">
      <c r="A2504" s="452" t="s">
        <v>2321</v>
      </c>
      <c r="B2504" s="452" t="s">
        <v>2322</v>
      </c>
      <c r="C2504" s="489">
        <v>5.3999999999999999E-2</v>
      </c>
      <c r="D2504" s="480" t="s">
        <v>8</v>
      </c>
      <c r="E2504" s="490">
        <f t="shared" si="453"/>
        <v>34413</v>
      </c>
      <c r="F2504" s="493">
        <f t="shared" si="453"/>
        <v>1858.3</v>
      </c>
      <c r="G2504" s="494">
        <f>일위대가목록표!F275</f>
        <v>34413</v>
      </c>
      <c r="H2504" s="498">
        <f t="shared" si="454"/>
        <v>1858.3</v>
      </c>
      <c r="I2504" s="494">
        <f>일위대가목록표!G275</f>
        <v>0</v>
      </c>
      <c r="J2504" s="498">
        <f t="shared" si="455"/>
        <v>0</v>
      </c>
      <c r="K2504" s="494">
        <f>일위대가목록표!H275</f>
        <v>0</v>
      </c>
      <c r="L2504" s="498">
        <f t="shared" si="456"/>
        <v>0</v>
      </c>
      <c r="M2504" s="463" t="s">
        <v>2489</v>
      </c>
      <c r="N2504" s="451" t="s">
        <v>2490</v>
      </c>
      <c r="O2504" s="468" t="s">
        <v>2491</v>
      </c>
      <c r="P2504" s="468" t="s">
        <v>2354</v>
      </c>
      <c r="Q2504" s="468" t="s">
        <v>2355</v>
      </c>
      <c r="Z2504" s="433" t="str">
        <f ca="1">HYPERLINK("#"&amp;일위대가목록표!J2&amp;"!A"&amp;ROW(일위대가목록표!A275),"B01414 →")</f>
        <v>B01414 →</v>
      </c>
    </row>
    <row r="2505" spans="1:26" ht="33.200000000000003" customHeight="1">
      <c r="A2505" s="452" t="s">
        <v>2298</v>
      </c>
      <c r="B2505" s="452" t="s">
        <v>2299</v>
      </c>
      <c r="C2505" s="489">
        <v>0.19600000000000001</v>
      </c>
      <c r="D2505" s="480" t="s">
        <v>8</v>
      </c>
      <c r="E2505" s="490">
        <f t="shared" si="453"/>
        <v>24089</v>
      </c>
      <c r="F2505" s="493">
        <f t="shared" si="453"/>
        <v>4721.3999999999996</v>
      </c>
      <c r="G2505" s="494">
        <f>일위대가목록표!F37</f>
        <v>24089</v>
      </c>
      <c r="H2505" s="498">
        <f t="shared" si="454"/>
        <v>4721.3999999999996</v>
      </c>
      <c r="I2505" s="494">
        <f>일위대가목록표!G37</f>
        <v>0</v>
      </c>
      <c r="J2505" s="498">
        <f t="shared" si="455"/>
        <v>0</v>
      </c>
      <c r="K2505" s="494">
        <f>일위대가목록표!H37</f>
        <v>0</v>
      </c>
      <c r="L2505" s="498">
        <f t="shared" si="456"/>
        <v>0</v>
      </c>
      <c r="M2505" s="463" t="s">
        <v>2492</v>
      </c>
      <c r="N2505" s="451" t="s">
        <v>2493</v>
      </c>
      <c r="O2505" s="468" t="s">
        <v>2494</v>
      </c>
      <c r="P2505" s="468" t="s">
        <v>2354</v>
      </c>
      <c r="Q2505" s="468" t="s">
        <v>2355</v>
      </c>
      <c r="Z2505" s="433" t="str">
        <f ca="1">HYPERLINK("#"&amp;일위대가목록표!J2&amp;"!A"&amp;ROW(일위대가목록표!A37),"B01447 →")</f>
        <v>B01447 →</v>
      </c>
    </row>
    <row r="2506" spans="1:26" ht="33.200000000000003" customHeight="1">
      <c r="A2506" s="452" t="s">
        <v>2342</v>
      </c>
      <c r="B2506" s="452" t="s">
        <v>2346</v>
      </c>
      <c r="C2506" s="489">
        <v>5.67E-2</v>
      </c>
      <c r="D2506" s="480" t="s">
        <v>8</v>
      </c>
      <c r="E2506" s="490">
        <f t="shared" si="453"/>
        <v>690529</v>
      </c>
      <c r="F2506" s="493">
        <f t="shared" si="453"/>
        <v>39152.9</v>
      </c>
      <c r="G2506" s="494">
        <f>일위대가목록표!F331</f>
        <v>586879</v>
      </c>
      <c r="H2506" s="498">
        <f t="shared" si="454"/>
        <v>33276</v>
      </c>
      <c r="I2506" s="494">
        <f>일위대가목록표!G331</f>
        <v>103650</v>
      </c>
      <c r="J2506" s="498">
        <f t="shared" si="455"/>
        <v>5876.9</v>
      </c>
      <c r="K2506" s="494">
        <f>일위대가목록표!H331</f>
        <v>0</v>
      </c>
      <c r="L2506" s="498">
        <f t="shared" si="456"/>
        <v>0</v>
      </c>
      <c r="M2506" s="463" t="s">
        <v>2566</v>
      </c>
      <c r="N2506" s="451" t="s">
        <v>2587</v>
      </c>
      <c r="O2506" s="468" t="s">
        <v>2568</v>
      </c>
      <c r="P2506" s="468" t="s">
        <v>2354</v>
      </c>
      <c r="Q2506" s="468" t="s">
        <v>2355</v>
      </c>
      <c r="Z2506" s="433" t="str">
        <f ca="1">HYPERLINK("#"&amp;일위대가목록표!J2&amp;"!A"&amp;ROW(일위대가목록표!A331),"B01758 →")</f>
        <v>B01758 →</v>
      </c>
    </row>
    <row r="2507" spans="1:26" ht="33.200000000000003" customHeight="1">
      <c r="A2507" s="452" t="s">
        <v>2495</v>
      </c>
      <c r="B2507" s="452" t="s">
        <v>2496</v>
      </c>
      <c r="C2507" s="489">
        <v>0.72</v>
      </c>
      <c r="D2507" s="480" t="s">
        <v>595</v>
      </c>
      <c r="E2507" s="490">
        <f t="shared" si="453"/>
        <v>46533</v>
      </c>
      <c r="F2507" s="493">
        <f t="shared" si="453"/>
        <v>33503.599999999999</v>
      </c>
      <c r="G2507" s="494">
        <f>단가산출근거목록표!F169</f>
        <v>34461</v>
      </c>
      <c r="H2507" s="498">
        <f t="shared" si="454"/>
        <v>24811.9</v>
      </c>
      <c r="I2507" s="494">
        <f>단가산출근거목록표!G169</f>
        <v>11728</v>
      </c>
      <c r="J2507" s="498">
        <f t="shared" si="455"/>
        <v>8444.1</v>
      </c>
      <c r="K2507" s="494">
        <f>단가산출근거목록표!H169</f>
        <v>344</v>
      </c>
      <c r="L2507" s="498">
        <f t="shared" si="456"/>
        <v>247.6</v>
      </c>
      <c r="M2507" s="463" t="s">
        <v>2497</v>
      </c>
      <c r="N2507" s="451" t="s">
        <v>2498</v>
      </c>
      <c r="O2507" s="468" t="s">
        <v>2499</v>
      </c>
      <c r="P2507" s="468" t="s">
        <v>2354</v>
      </c>
      <c r="Q2507" s="468" t="s">
        <v>2355</v>
      </c>
      <c r="Z2507" s="433" t="str">
        <f ca="1">HYPERLINK("#"&amp;단가산출근거목록표!J2&amp;"!A"&amp;ROW(단가산출근거목록표!A169),"D01231 →")</f>
        <v>D01231 →</v>
      </c>
    </row>
    <row r="2508" spans="1:26" ht="33.200000000000003" customHeight="1">
      <c r="A2508" s="452" t="s">
        <v>3302</v>
      </c>
      <c r="B2508" s="452" t="s">
        <v>3303</v>
      </c>
      <c r="C2508" s="489">
        <v>1</v>
      </c>
      <c r="D2508" s="480" t="s">
        <v>1589</v>
      </c>
      <c r="E2508" s="490">
        <f t="shared" si="453"/>
        <v>338000</v>
      </c>
      <c r="F2508" s="491">
        <f t="shared" si="453"/>
        <v>338000</v>
      </c>
      <c r="G2508" s="492">
        <v>0</v>
      </c>
      <c r="H2508" s="493">
        <f t="shared" si="454"/>
        <v>0</v>
      </c>
      <c r="I2508" s="494">
        <f>재료비목록표!E101</f>
        <v>338000</v>
      </c>
      <c r="J2508" s="495">
        <f t="shared" si="455"/>
        <v>338000</v>
      </c>
      <c r="K2508" s="492">
        <v>0</v>
      </c>
      <c r="L2508" s="493">
        <f t="shared" si="456"/>
        <v>0</v>
      </c>
      <c r="M2508" s="463" t="s">
        <v>3304</v>
      </c>
      <c r="N2508" s="451" t="s">
        <v>3305</v>
      </c>
      <c r="O2508" s="468" t="s">
        <v>3306</v>
      </c>
      <c r="P2508" s="468" t="s">
        <v>2354</v>
      </c>
      <c r="Z2508" s="433" t="str">
        <f ca="1">HYPERLINK("#"&amp;재료비목록표!G2&amp;"!A"&amp;ROW(재료비목록표!A101),"M01055 →")</f>
        <v>M01055 →</v>
      </c>
    </row>
    <row r="2509" spans="1:26" ht="33.200000000000003" customHeight="1">
      <c r="A2509" s="452" t="s">
        <v>2574</v>
      </c>
      <c r="B2509" s="452" t="s">
        <v>2575</v>
      </c>
      <c r="C2509" s="489">
        <v>8.1999999999999998E-4</v>
      </c>
      <c r="D2509" s="480" t="s">
        <v>2576</v>
      </c>
      <c r="E2509" s="490">
        <f t="shared" si="453"/>
        <v>765000</v>
      </c>
      <c r="F2509" s="491">
        <f t="shared" si="453"/>
        <v>627.29999999999995</v>
      </c>
      <c r="G2509" s="492">
        <v>0</v>
      </c>
      <c r="H2509" s="493">
        <f t="shared" si="454"/>
        <v>0</v>
      </c>
      <c r="I2509" s="494">
        <f>재료비목록표!E81</f>
        <v>765000</v>
      </c>
      <c r="J2509" s="495">
        <f t="shared" si="455"/>
        <v>627.29999999999995</v>
      </c>
      <c r="K2509" s="492">
        <v>0</v>
      </c>
      <c r="L2509" s="493">
        <f t="shared" si="456"/>
        <v>0</v>
      </c>
      <c r="M2509" s="463" t="s">
        <v>2577</v>
      </c>
      <c r="N2509" s="451" t="s">
        <v>2578</v>
      </c>
      <c r="O2509" s="468" t="s">
        <v>2579</v>
      </c>
      <c r="P2509" s="468" t="s">
        <v>2354</v>
      </c>
      <c r="Z2509" s="433" t="str">
        <f ca="1">HYPERLINK("#"&amp;재료비목록표!G2&amp;"!A"&amp;ROW(재료비목록표!A81),"M00150 →")</f>
        <v>M00150 →</v>
      </c>
    </row>
    <row r="2510" spans="1:26" ht="33.200000000000003" customHeight="1">
      <c r="A2510" s="452" t="s">
        <v>2580</v>
      </c>
      <c r="B2510" s="452" t="s">
        <v>2581</v>
      </c>
      <c r="C2510" s="489">
        <v>8.1999999999999998E-4</v>
      </c>
      <c r="D2510" s="480" t="s">
        <v>2132</v>
      </c>
      <c r="E2510" s="490">
        <f t="shared" si="453"/>
        <v>1386016</v>
      </c>
      <c r="F2510" s="493">
        <f t="shared" si="453"/>
        <v>1136.5</v>
      </c>
      <c r="G2510" s="494">
        <f>단가산출근거목록표!F141</f>
        <v>1375031</v>
      </c>
      <c r="H2510" s="498">
        <f t="shared" si="454"/>
        <v>1127.5</v>
      </c>
      <c r="I2510" s="494">
        <f>단가산출근거목록표!G141</f>
        <v>10985</v>
      </c>
      <c r="J2510" s="498">
        <f t="shared" si="455"/>
        <v>9</v>
      </c>
      <c r="K2510" s="494">
        <f>단가산출근거목록표!H141</f>
        <v>0</v>
      </c>
      <c r="L2510" s="498">
        <f t="shared" si="456"/>
        <v>0</v>
      </c>
      <c r="M2510" s="463" t="s">
        <v>2582</v>
      </c>
      <c r="N2510" s="451" t="s">
        <v>2588</v>
      </c>
      <c r="O2510" s="468" t="s">
        <v>2584</v>
      </c>
      <c r="P2510" s="468" t="s">
        <v>2354</v>
      </c>
      <c r="Q2510" s="468" t="s">
        <v>2355</v>
      </c>
      <c r="Z2510" s="433" t="str">
        <f ca="1">HYPERLINK("#"&amp;단가산출근거목록표!J2&amp;"!A"&amp;ROW(단가산출근거목록표!A141),"D00950 →")</f>
        <v>D00950 →</v>
      </c>
    </row>
    <row r="2511" spans="1:26" ht="33.200000000000003" customHeight="1">
      <c r="A2511" s="452" t="s">
        <v>2507</v>
      </c>
      <c r="B2511" s="452" t="s">
        <v>2441</v>
      </c>
      <c r="C2511" s="489">
        <v>15</v>
      </c>
      <c r="D2511" s="480" t="s">
        <v>2371</v>
      </c>
      <c r="E2511" s="490">
        <f t="shared" si="453"/>
        <v>81497.8</v>
      </c>
      <c r="F2511" s="491">
        <f t="shared" si="453"/>
        <v>12224.6</v>
      </c>
      <c r="G2511" s="496">
        <f>H2503+H2504+H2505+H2506+H2507+H2510</f>
        <v>81497.8</v>
      </c>
      <c r="H2511" s="491">
        <f>IF(C2511=0,0,ROUNDDOWN(G2511*C2511/100,1))</f>
        <v>12224.6</v>
      </c>
      <c r="I2511" s="465">
        <v>0</v>
      </c>
      <c r="J2511" s="493">
        <f>IF(C2511=0,0,ROUNDDOWN(I2511*C2511/100,1))</f>
        <v>0</v>
      </c>
      <c r="K2511" s="467">
        <v>0</v>
      </c>
      <c r="L2511" s="493">
        <f>IF(C2511=0,0,ROUNDDOWN(K2511*C2511/100,1))</f>
        <v>0</v>
      </c>
      <c r="M2511" s="463"/>
      <c r="N2511" s="451" t="s">
        <v>2508</v>
      </c>
      <c r="O2511" s="468" t="s">
        <v>2373</v>
      </c>
      <c r="P2511" s="468" t="s">
        <v>2354</v>
      </c>
    </row>
    <row r="2512" spans="1:26" ht="33.200000000000003" customHeight="1">
      <c r="A2512" s="463" t="s">
        <v>842</v>
      </c>
      <c r="B2512" s="497"/>
      <c r="C2512" s="497"/>
      <c r="D2512" s="497"/>
      <c r="E2512" s="497"/>
      <c r="F2512" s="446">
        <f>J2512+H2512+L2512</f>
        <v>446926</v>
      </c>
      <c r="G2512" s="497"/>
      <c r="H2512" s="446">
        <f>ROUNDDOWN(SUMIF(P2503:P2511,O2512,H2503:H2511),0)</f>
        <v>93722</v>
      </c>
      <c r="I2512" s="497"/>
      <c r="J2512" s="446">
        <f>ROUNDDOWN(SUMIF(P2503:P2511,O2512,J2503:J2511),0)</f>
        <v>352957</v>
      </c>
      <c r="K2512" s="497"/>
      <c r="L2512" s="446">
        <f>ROUNDDOWN(SUMIF(P2503:P2511,O2512,L2503:L2511),0)</f>
        <v>247</v>
      </c>
      <c r="M2512" s="497"/>
      <c r="O2512" s="468" t="s">
        <v>2354</v>
      </c>
    </row>
    <row r="2513" spans="1:26" ht="33.200000000000003" customHeight="1">
      <c r="A2513" s="484" t="s">
        <v>5563</v>
      </c>
      <c r="B2513" s="484"/>
      <c r="C2513" s="485"/>
      <c r="D2513" s="485"/>
      <c r="E2513" s="485"/>
      <c r="F2513" s="485"/>
      <c r="G2513" s="485"/>
      <c r="H2513" s="485"/>
      <c r="I2513" s="485"/>
      <c r="J2513" s="485"/>
      <c r="K2513" s="485"/>
      <c r="L2513" s="485"/>
      <c r="M2513" s="485"/>
      <c r="N2513" s="486" t="str">
        <f>HYPERLINK("#N"&amp;ROW(N2523),"_x0005_`BDCOD|B02623_x0007_`POSS|"&amp;ROW(N2515)&amp;"_x0007_`POSE|"&amp;ROW(N2523)&amp;"_x0007_`")</f>
        <v>_x0005_`BDCOD|B02623_x0007_`POSS|2515_x0007_`POSE|2523_x0007_`</v>
      </c>
    </row>
    <row r="2514" spans="1:26" ht="33.200000000000003" customHeight="1">
      <c r="A2514" s="469" t="s">
        <v>5192</v>
      </c>
      <c r="B2514" s="469" t="s">
        <v>1305</v>
      </c>
      <c r="C2514" s="487"/>
      <c r="D2514" s="488" t="s">
        <v>975</v>
      </c>
      <c r="E2514" s="487"/>
      <c r="F2514" s="487"/>
      <c r="G2514" s="487"/>
      <c r="H2514" s="487"/>
      <c r="I2514" s="487"/>
      <c r="J2514" s="487"/>
      <c r="K2514" s="487"/>
      <c r="L2514" s="487"/>
      <c r="M2514" s="488" t="s">
        <v>1306</v>
      </c>
      <c r="O2514" s="468" t="s">
        <v>1306</v>
      </c>
    </row>
    <row r="2515" spans="1:26" ht="33.200000000000003" customHeight="1">
      <c r="A2515" s="452" t="s">
        <v>2484</v>
      </c>
      <c r="B2515" s="452" t="s">
        <v>2485</v>
      </c>
      <c r="C2515" s="489">
        <v>0.25</v>
      </c>
      <c r="D2515" s="480" t="s">
        <v>8</v>
      </c>
      <c r="E2515" s="490">
        <f t="shared" ref="E2515:F2523" si="457">I2515+G2515+K2515</f>
        <v>62811</v>
      </c>
      <c r="F2515" s="493">
        <f t="shared" si="457"/>
        <v>15702.7</v>
      </c>
      <c r="G2515" s="494">
        <f>단가산출근거목록표!F157</f>
        <v>62811</v>
      </c>
      <c r="H2515" s="498">
        <f t="shared" ref="H2515:H2522" si="458">IF(C2515=0,0,ROUNDDOWN(G2515*C2515,1))</f>
        <v>15702.7</v>
      </c>
      <c r="I2515" s="494">
        <f>단가산출근거목록표!G157</f>
        <v>0</v>
      </c>
      <c r="J2515" s="498">
        <f t="shared" ref="J2515:J2522" si="459">IF(C2515=0,0,ROUNDDOWN(I2515*C2515,1))</f>
        <v>0</v>
      </c>
      <c r="K2515" s="494">
        <f>단가산출근거목록표!H157</f>
        <v>0</v>
      </c>
      <c r="L2515" s="498">
        <f t="shared" ref="L2515:L2522" si="460">IF(C2515=0,0,ROUNDDOWN(K2515*C2515,1))</f>
        <v>0</v>
      </c>
      <c r="M2515" s="463" t="s">
        <v>2486</v>
      </c>
      <c r="N2515" s="451" t="s">
        <v>2487</v>
      </c>
      <c r="O2515" s="468" t="s">
        <v>2488</v>
      </c>
      <c r="P2515" s="468" t="s">
        <v>2354</v>
      </c>
      <c r="Q2515" s="468" t="s">
        <v>2355</v>
      </c>
      <c r="Z2515" s="433" t="str">
        <f ca="1">HYPERLINK("#"&amp;단가산출근거목록표!J2&amp;"!A"&amp;ROW(단가산출근거목록표!A157),"D01241 →")</f>
        <v>D01241 →</v>
      </c>
    </row>
    <row r="2516" spans="1:26" ht="33.200000000000003" customHeight="1">
      <c r="A2516" s="452" t="s">
        <v>2321</v>
      </c>
      <c r="B2516" s="452" t="s">
        <v>2322</v>
      </c>
      <c r="C2516" s="489">
        <v>5.3999999999999999E-2</v>
      </c>
      <c r="D2516" s="480" t="s">
        <v>8</v>
      </c>
      <c r="E2516" s="490">
        <f t="shared" si="457"/>
        <v>34413</v>
      </c>
      <c r="F2516" s="493">
        <f t="shared" si="457"/>
        <v>1858.3</v>
      </c>
      <c r="G2516" s="494">
        <f>일위대가목록표!F275</f>
        <v>34413</v>
      </c>
      <c r="H2516" s="498">
        <f t="shared" si="458"/>
        <v>1858.3</v>
      </c>
      <c r="I2516" s="494">
        <f>일위대가목록표!G275</f>
        <v>0</v>
      </c>
      <c r="J2516" s="498">
        <f t="shared" si="459"/>
        <v>0</v>
      </c>
      <c r="K2516" s="494">
        <f>일위대가목록표!H275</f>
        <v>0</v>
      </c>
      <c r="L2516" s="498">
        <f t="shared" si="460"/>
        <v>0</v>
      </c>
      <c r="M2516" s="463" t="s">
        <v>2489</v>
      </c>
      <c r="N2516" s="451" t="s">
        <v>2490</v>
      </c>
      <c r="O2516" s="468" t="s">
        <v>2491</v>
      </c>
      <c r="P2516" s="468" t="s">
        <v>2354</v>
      </c>
      <c r="Q2516" s="468" t="s">
        <v>2355</v>
      </c>
      <c r="Z2516" s="433" t="str">
        <f ca="1">HYPERLINK("#"&amp;일위대가목록표!J2&amp;"!A"&amp;ROW(일위대가목록표!A275),"B01414 →")</f>
        <v>B01414 →</v>
      </c>
    </row>
    <row r="2517" spans="1:26" ht="33.200000000000003" customHeight="1">
      <c r="A2517" s="452" t="s">
        <v>2298</v>
      </c>
      <c r="B2517" s="452" t="s">
        <v>2299</v>
      </c>
      <c r="C2517" s="489">
        <v>0.19600000000000001</v>
      </c>
      <c r="D2517" s="480" t="s">
        <v>8</v>
      </c>
      <c r="E2517" s="490">
        <f t="shared" si="457"/>
        <v>24089</v>
      </c>
      <c r="F2517" s="493">
        <f t="shared" si="457"/>
        <v>4721.3999999999996</v>
      </c>
      <c r="G2517" s="494">
        <f>일위대가목록표!F37</f>
        <v>24089</v>
      </c>
      <c r="H2517" s="498">
        <f t="shared" si="458"/>
        <v>4721.3999999999996</v>
      </c>
      <c r="I2517" s="494">
        <f>일위대가목록표!G37</f>
        <v>0</v>
      </c>
      <c r="J2517" s="498">
        <f t="shared" si="459"/>
        <v>0</v>
      </c>
      <c r="K2517" s="494">
        <f>일위대가목록표!H37</f>
        <v>0</v>
      </c>
      <c r="L2517" s="498">
        <f t="shared" si="460"/>
        <v>0</v>
      </c>
      <c r="M2517" s="463" t="s">
        <v>2492</v>
      </c>
      <c r="N2517" s="451" t="s">
        <v>2493</v>
      </c>
      <c r="O2517" s="468" t="s">
        <v>2494</v>
      </c>
      <c r="P2517" s="468" t="s">
        <v>2354</v>
      </c>
      <c r="Q2517" s="468" t="s">
        <v>2355</v>
      </c>
      <c r="Z2517" s="433" t="str">
        <f ca="1">HYPERLINK("#"&amp;일위대가목록표!J2&amp;"!A"&amp;ROW(일위대가목록표!A37),"B01447 →")</f>
        <v>B01447 →</v>
      </c>
    </row>
    <row r="2518" spans="1:26" ht="33.200000000000003" customHeight="1">
      <c r="A2518" s="452" t="s">
        <v>2342</v>
      </c>
      <c r="B2518" s="452" t="s">
        <v>2346</v>
      </c>
      <c r="C2518" s="489">
        <v>5.67E-2</v>
      </c>
      <c r="D2518" s="480" t="s">
        <v>8</v>
      </c>
      <c r="E2518" s="490">
        <f t="shared" si="457"/>
        <v>690529</v>
      </c>
      <c r="F2518" s="493">
        <f t="shared" si="457"/>
        <v>39152.9</v>
      </c>
      <c r="G2518" s="494">
        <f>일위대가목록표!F331</f>
        <v>586879</v>
      </c>
      <c r="H2518" s="498">
        <f t="shared" si="458"/>
        <v>33276</v>
      </c>
      <c r="I2518" s="494">
        <f>일위대가목록표!G331</f>
        <v>103650</v>
      </c>
      <c r="J2518" s="498">
        <f t="shared" si="459"/>
        <v>5876.9</v>
      </c>
      <c r="K2518" s="494">
        <f>일위대가목록표!H331</f>
        <v>0</v>
      </c>
      <c r="L2518" s="498">
        <f t="shared" si="460"/>
        <v>0</v>
      </c>
      <c r="M2518" s="463" t="s">
        <v>2566</v>
      </c>
      <c r="N2518" s="451" t="s">
        <v>2587</v>
      </c>
      <c r="O2518" s="468" t="s">
        <v>2568</v>
      </c>
      <c r="P2518" s="468" t="s">
        <v>2354</v>
      </c>
      <c r="Q2518" s="468" t="s">
        <v>2355</v>
      </c>
      <c r="Z2518" s="433" t="str">
        <f ca="1">HYPERLINK("#"&amp;일위대가목록표!J2&amp;"!A"&amp;ROW(일위대가목록표!A331),"B01758 →")</f>
        <v>B01758 →</v>
      </c>
    </row>
    <row r="2519" spans="1:26" ht="33.200000000000003" customHeight="1">
      <c r="A2519" s="452" t="s">
        <v>2495</v>
      </c>
      <c r="B2519" s="452" t="s">
        <v>2496</v>
      </c>
      <c r="C2519" s="489">
        <v>0.72</v>
      </c>
      <c r="D2519" s="480" t="s">
        <v>595</v>
      </c>
      <c r="E2519" s="490">
        <f t="shared" si="457"/>
        <v>46533</v>
      </c>
      <c r="F2519" s="493">
        <f t="shared" si="457"/>
        <v>33503.599999999999</v>
      </c>
      <c r="G2519" s="494">
        <f>단가산출근거목록표!F169</f>
        <v>34461</v>
      </c>
      <c r="H2519" s="498">
        <f t="shared" si="458"/>
        <v>24811.9</v>
      </c>
      <c r="I2519" s="494">
        <f>단가산출근거목록표!G169</f>
        <v>11728</v>
      </c>
      <c r="J2519" s="498">
        <f t="shared" si="459"/>
        <v>8444.1</v>
      </c>
      <c r="K2519" s="494">
        <f>단가산출근거목록표!H169</f>
        <v>344</v>
      </c>
      <c r="L2519" s="498">
        <f t="shared" si="460"/>
        <v>247.6</v>
      </c>
      <c r="M2519" s="463" t="s">
        <v>2497</v>
      </c>
      <c r="N2519" s="451" t="s">
        <v>2498</v>
      </c>
      <c r="O2519" s="468" t="s">
        <v>2499</v>
      </c>
      <c r="P2519" s="468" t="s">
        <v>2354</v>
      </c>
      <c r="Q2519" s="468" t="s">
        <v>2355</v>
      </c>
      <c r="Z2519" s="433" t="str">
        <f ca="1">HYPERLINK("#"&amp;단가산출근거목록표!J2&amp;"!A"&amp;ROW(단가산출근거목록표!A169),"D01231 →")</f>
        <v>D01231 →</v>
      </c>
    </row>
    <row r="2520" spans="1:26" ht="33.200000000000003" customHeight="1">
      <c r="A2520" s="452" t="s">
        <v>3302</v>
      </c>
      <c r="B2520" s="452" t="s">
        <v>3303</v>
      </c>
      <c r="C2520" s="489">
        <v>1</v>
      </c>
      <c r="D2520" s="480" t="s">
        <v>1589</v>
      </c>
      <c r="E2520" s="490">
        <f t="shared" si="457"/>
        <v>338000</v>
      </c>
      <c r="F2520" s="491">
        <f t="shared" si="457"/>
        <v>338000</v>
      </c>
      <c r="G2520" s="492">
        <v>0</v>
      </c>
      <c r="H2520" s="493">
        <f t="shared" si="458"/>
        <v>0</v>
      </c>
      <c r="I2520" s="494">
        <f>재료비목록표!E101</f>
        <v>338000</v>
      </c>
      <c r="J2520" s="495">
        <f t="shared" si="459"/>
        <v>338000</v>
      </c>
      <c r="K2520" s="492">
        <v>0</v>
      </c>
      <c r="L2520" s="493">
        <f t="shared" si="460"/>
        <v>0</v>
      </c>
      <c r="M2520" s="463" t="s">
        <v>3304</v>
      </c>
      <c r="N2520" s="451" t="s">
        <v>3305</v>
      </c>
      <c r="O2520" s="468" t="s">
        <v>3306</v>
      </c>
      <c r="P2520" s="468" t="s">
        <v>2354</v>
      </c>
      <c r="Z2520" s="433" t="str">
        <f ca="1">HYPERLINK("#"&amp;재료비목록표!G2&amp;"!A"&amp;ROW(재료비목록표!A101),"M01055 →")</f>
        <v>M01055 →</v>
      </c>
    </row>
    <row r="2521" spans="1:26" ht="33.200000000000003" customHeight="1">
      <c r="A2521" s="452" t="s">
        <v>2574</v>
      </c>
      <c r="B2521" s="452" t="s">
        <v>2575</v>
      </c>
      <c r="C2521" s="489">
        <v>8.1999999999999998E-4</v>
      </c>
      <c r="D2521" s="480" t="s">
        <v>2576</v>
      </c>
      <c r="E2521" s="490">
        <f t="shared" si="457"/>
        <v>765000</v>
      </c>
      <c r="F2521" s="491">
        <f t="shared" si="457"/>
        <v>627.29999999999995</v>
      </c>
      <c r="G2521" s="492">
        <v>0</v>
      </c>
      <c r="H2521" s="493">
        <f t="shared" si="458"/>
        <v>0</v>
      </c>
      <c r="I2521" s="494">
        <f>재료비목록표!E81</f>
        <v>765000</v>
      </c>
      <c r="J2521" s="495">
        <f t="shared" si="459"/>
        <v>627.29999999999995</v>
      </c>
      <c r="K2521" s="492">
        <v>0</v>
      </c>
      <c r="L2521" s="493">
        <f t="shared" si="460"/>
        <v>0</v>
      </c>
      <c r="M2521" s="463" t="s">
        <v>2577</v>
      </c>
      <c r="N2521" s="451" t="s">
        <v>2578</v>
      </c>
      <c r="O2521" s="468" t="s">
        <v>2579</v>
      </c>
      <c r="P2521" s="468" t="s">
        <v>2354</v>
      </c>
      <c r="Z2521" s="433" t="str">
        <f ca="1">HYPERLINK("#"&amp;재료비목록표!G2&amp;"!A"&amp;ROW(재료비목록표!A81),"M00150 →")</f>
        <v>M00150 →</v>
      </c>
    </row>
    <row r="2522" spans="1:26" ht="33.200000000000003" customHeight="1">
      <c r="A2522" s="452" t="s">
        <v>2580</v>
      </c>
      <c r="B2522" s="452" t="s">
        <v>2581</v>
      </c>
      <c r="C2522" s="489">
        <v>8.1999999999999998E-4</v>
      </c>
      <c r="D2522" s="480" t="s">
        <v>2132</v>
      </c>
      <c r="E2522" s="490">
        <f t="shared" si="457"/>
        <v>1386016</v>
      </c>
      <c r="F2522" s="493">
        <f t="shared" si="457"/>
        <v>1136.5</v>
      </c>
      <c r="G2522" s="494">
        <f>단가산출근거목록표!F141</f>
        <v>1375031</v>
      </c>
      <c r="H2522" s="498">
        <f t="shared" si="458"/>
        <v>1127.5</v>
      </c>
      <c r="I2522" s="494">
        <f>단가산출근거목록표!G141</f>
        <v>10985</v>
      </c>
      <c r="J2522" s="498">
        <f t="shared" si="459"/>
        <v>9</v>
      </c>
      <c r="K2522" s="494">
        <f>단가산출근거목록표!H141</f>
        <v>0</v>
      </c>
      <c r="L2522" s="498">
        <f t="shared" si="460"/>
        <v>0</v>
      </c>
      <c r="M2522" s="463" t="s">
        <v>2582</v>
      </c>
      <c r="N2522" s="451" t="s">
        <v>2588</v>
      </c>
      <c r="O2522" s="468" t="s">
        <v>2584</v>
      </c>
      <c r="P2522" s="468" t="s">
        <v>2354</v>
      </c>
      <c r="Q2522" s="468" t="s">
        <v>2355</v>
      </c>
      <c r="Z2522" s="433" t="str">
        <f ca="1">HYPERLINK("#"&amp;단가산출근거목록표!J2&amp;"!A"&amp;ROW(단가산출근거목록표!A141),"D00950 →")</f>
        <v>D00950 →</v>
      </c>
    </row>
    <row r="2523" spans="1:26" ht="33.200000000000003" customHeight="1">
      <c r="A2523" s="452" t="s">
        <v>2507</v>
      </c>
      <c r="B2523" s="452" t="s">
        <v>2441</v>
      </c>
      <c r="C2523" s="489">
        <v>25</v>
      </c>
      <c r="D2523" s="480" t="s">
        <v>2371</v>
      </c>
      <c r="E2523" s="490">
        <f t="shared" si="457"/>
        <v>81497.8</v>
      </c>
      <c r="F2523" s="491">
        <f t="shared" si="457"/>
        <v>20374.400000000001</v>
      </c>
      <c r="G2523" s="496">
        <f>H2515+H2516+H2517+H2518+H2519+H2522</f>
        <v>81497.8</v>
      </c>
      <c r="H2523" s="491">
        <f>IF(C2523=0,0,ROUNDDOWN(G2523*C2523/100,1))</f>
        <v>20374.400000000001</v>
      </c>
      <c r="I2523" s="465">
        <v>0</v>
      </c>
      <c r="J2523" s="493">
        <f>IF(C2523=0,0,ROUNDDOWN(I2523*C2523/100,1))</f>
        <v>0</v>
      </c>
      <c r="K2523" s="467">
        <v>0</v>
      </c>
      <c r="L2523" s="493">
        <f>IF(C2523=0,0,ROUNDDOWN(K2523*C2523/100,1))</f>
        <v>0</v>
      </c>
      <c r="M2523" s="463"/>
      <c r="N2523" s="451" t="s">
        <v>2508</v>
      </c>
      <c r="O2523" s="468" t="s">
        <v>2373</v>
      </c>
      <c r="P2523" s="468" t="s">
        <v>2354</v>
      </c>
    </row>
    <row r="2524" spans="1:26" ht="33.200000000000003" customHeight="1">
      <c r="A2524" s="463" t="s">
        <v>842</v>
      </c>
      <c r="B2524" s="497"/>
      <c r="C2524" s="497"/>
      <c r="D2524" s="497"/>
      <c r="E2524" s="497"/>
      <c r="F2524" s="446">
        <f>J2524+H2524+L2524</f>
        <v>455076</v>
      </c>
      <c r="G2524" s="497"/>
      <c r="H2524" s="446">
        <f>ROUNDDOWN(SUMIF(P2515:P2523,O2524,H2515:H2523),0)</f>
        <v>101872</v>
      </c>
      <c r="I2524" s="497"/>
      <c r="J2524" s="446">
        <f>ROUNDDOWN(SUMIF(P2515:P2523,O2524,J2515:J2523),0)</f>
        <v>352957</v>
      </c>
      <c r="K2524" s="497"/>
      <c r="L2524" s="446">
        <f>ROUNDDOWN(SUMIF(P2515:P2523,O2524,L2515:L2523),0)</f>
        <v>247</v>
      </c>
      <c r="M2524" s="497"/>
      <c r="O2524" s="468" t="s">
        <v>2354</v>
      </c>
    </row>
    <row r="2525" spans="1:26" ht="33.200000000000003" customHeight="1">
      <c r="A2525" s="484" t="s">
        <v>5564</v>
      </c>
      <c r="B2525" s="484"/>
      <c r="C2525" s="485"/>
      <c r="D2525" s="485"/>
      <c r="E2525" s="485"/>
      <c r="F2525" s="485"/>
      <c r="G2525" s="485"/>
      <c r="H2525" s="485"/>
      <c r="I2525" s="485"/>
      <c r="J2525" s="485"/>
      <c r="K2525" s="485"/>
      <c r="L2525" s="485"/>
      <c r="M2525" s="485"/>
      <c r="N2525" s="486" t="str">
        <f>HYPERLINK("#N"&amp;ROW(N2529),"_x0005_`BDCOD|B02635_x0007_`POSS|"&amp;ROW(N2527)&amp;"_x0007_`POSE|"&amp;ROW(N2529)&amp;"_x0007_`")</f>
        <v>_x0005_`BDCOD|B02635_x0007_`POSS|2527_x0007_`POSE|2529_x0007_`</v>
      </c>
    </row>
    <row r="2526" spans="1:26" ht="33.200000000000003" customHeight="1">
      <c r="A2526" s="469" t="s">
        <v>1757</v>
      </c>
      <c r="B2526" s="469" t="s">
        <v>1753</v>
      </c>
      <c r="C2526" s="487"/>
      <c r="D2526" s="488" t="s">
        <v>975</v>
      </c>
      <c r="E2526" s="487"/>
      <c r="F2526" s="487"/>
      <c r="G2526" s="487"/>
      <c r="H2526" s="487"/>
      <c r="I2526" s="487"/>
      <c r="J2526" s="487"/>
      <c r="K2526" s="487"/>
      <c r="L2526" s="487"/>
      <c r="M2526" s="488" t="s">
        <v>1758</v>
      </c>
      <c r="O2526" s="468" t="s">
        <v>1758</v>
      </c>
    </row>
    <row r="2527" spans="1:26" ht="33.200000000000003" customHeight="1">
      <c r="A2527" s="452" t="s">
        <v>2484</v>
      </c>
      <c r="B2527" s="452" t="s">
        <v>2485</v>
      </c>
      <c r="C2527" s="489">
        <v>4.8000000000000001E-2</v>
      </c>
      <c r="D2527" s="480" t="s">
        <v>8</v>
      </c>
      <c r="E2527" s="490">
        <f t="shared" ref="E2527:F2529" si="461">I2527+G2527+K2527</f>
        <v>62811</v>
      </c>
      <c r="F2527" s="493">
        <f t="shared" si="461"/>
        <v>3014.9</v>
      </c>
      <c r="G2527" s="494">
        <f>단가산출근거목록표!F157</f>
        <v>62811</v>
      </c>
      <c r="H2527" s="498">
        <f>IF(C2527=0,0,ROUNDDOWN(G2527*C2527,1))</f>
        <v>3014.9</v>
      </c>
      <c r="I2527" s="494">
        <f>단가산출근거목록표!G157</f>
        <v>0</v>
      </c>
      <c r="J2527" s="498">
        <f>IF(C2527=0,0,ROUNDDOWN(I2527*C2527,1))</f>
        <v>0</v>
      </c>
      <c r="K2527" s="494">
        <f>단가산출근거목록표!H157</f>
        <v>0</v>
      </c>
      <c r="L2527" s="498">
        <f>IF(C2527=0,0,ROUNDDOWN(K2527*C2527,1))</f>
        <v>0</v>
      </c>
      <c r="M2527" s="463" t="s">
        <v>2486</v>
      </c>
      <c r="N2527" s="451" t="s">
        <v>2487</v>
      </c>
      <c r="O2527" s="468" t="s">
        <v>2488</v>
      </c>
      <c r="P2527" s="468" t="s">
        <v>2354</v>
      </c>
      <c r="Q2527" s="468" t="s">
        <v>2355</v>
      </c>
      <c r="Z2527" s="433" t="str">
        <f ca="1">HYPERLINK("#"&amp;단가산출근거목록표!J2&amp;"!A"&amp;ROW(단가산출근거목록표!A157),"D01241 →")</f>
        <v>D01241 →</v>
      </c>
    </row>
    <row r="2528" spans="1:26" ht="33.200000000000003" customHeight="1">
      <c r="A2528" s="452" t="s">
        <v>1793</v>
      </c>
      <c r="B2528" s="452" t="s">
        <v>1789</v>
      </c>
      <c r="C2528" s="489">
        <v>2.4E-2</v>
      </c>
      <c r="D2528" s="480" t="s">
        <v>8</v>
      </c>
      <c r="E2528" s="490">
        <f t="shared" si="461"/>
        <v>233588</v>
      </c>
      <c r="F2528" s="493">
        <f t="shared" si="461"/>
        <v>5606</v>
      </c>
      <c r="G2528" s="494">
        <f>단가산출근거목록표!F152</f>
        <v>228399</v>
      </c>
      <c r="H2528" s="498">
        <f>IF(C2528=0,0,ROUNDDOWN(G2528*C2528,1))</f>
        <v>5481.5</v>
      </c>
      <c r="I2528" s="494">
        <f>단가산출근거목록표!G152</f>
        <v>0</v>
      </c>
      <c r="J2528" s="498">
        <f>IF(C2528=0,0,ROUNDDOWN(I2528*C2528,1))</f>
        <v>0</v>
      </c>
      <c r="K2528" s="494">
        <f>단가산출근거목록표!H152</f>
        <v>5189</v>
      </c>
      <c r="L2528" s="498">
        <f>IF(C2528=0,0,ROUNDDOWN(K2528*C2528,1))</f>
        <v>124.5</v>
      </c>
      <c r="M2528" s="463" t="s">
        <v>2594</v>
      </c>
      <c r="N2528" s="451" t="s">
        <v>2595</v>
      </c>
      <c r="O2528" s="468" t="s">
        <v>1796</v>
      </c>
      <c r="P2528" s="468" t="s">
        <v>2354</v>
      </c>
      <c r="Q2528" s="468" t="s">
        <v>2355</v>
      </c>
      <c r="Z2528" s="433" t="str">
        <f ca="1">HYPERLINK("#"&amp;단가산출근거목록표!J2&amp;"!A"&amp;ROW(단가산출근거목록표!A152),"D01242 →")</f>
        <v>D01242 →</v>
      </c>
    </row>
    <row r="2529" spans="1:26" ht="33.200000000000003" customHeight="1">
      <c r="A2529" s="452" t="s">
        <v>1466</v>
      </c>
      <c r="B2529" s="452" t="s">
        <v>1467</v>
      </c>
      <c r="C2529" s="489">
        <v>0.109</v>
      </c>
      <c r="D2529" s="480" t="s">
        <v>8</v>
      </c>
      <c r="E2529" s="490">
        <f t="shared" si="461"/>
        <v>274515</v>
      </c>
      <c r="F2529" s="493">
        <f t="shared" si="461"/>
        <v>29922.1</v>
      </c>
      <c r="G2529" s="494">
        <f>일위대가목록표!F73</f>
        <v>274515</v>
      </c>
      <c r="H2529" s="498">
        <f>IF(C2529=0,0,ROUNDDOWN(G2529*C2529,1))</f>
        <v>29922.1</v>
      </c>
      <c r="I2529" s="494">
        <f>일위대가목록표!G73</f>
        <v>0</v>
      </c>
      <c r="J2529" s="498">
        <f>IF(C2529=0,0,ROUNDDOWN(I2529*C2529,1))</f>
        <v>0</v>
      </c>
      <c r="K2529" s="494">
        <f>일위대가목록표!H73</f>
        <v>0</v>
      </c>
      <c r="L2529" s="498">
        <f>IF(C2529=0,0,ROUNDDOWN(K2529*C2529,1))</f>
        <v>0</v>
      </c>
      <c r="M2529" s="463" t="s">
        <v>2596</v>
      </c>
      <c r="N2529" s="451" t="s">
        <v>2597</v>
      </c>
      <c r="O2529" s="468" t="s">
        <v>1470</v>
      </c>
      <c r="P2529" s="468" t="s">
        <v>2354</v>
      </c>
      <c r="Q2529" s="468" t="s">
        <v>2355</v>
      </c>
      <c r="Z2529" s="433" t="str">
        <f ca="1">HYPERLINK("#"&amp;일위대가목록표!J2&amp;"!A"&amp;ROW(일위대가목록표!A73),"B02396 →")</f>
        <v>B02396 →</v>
      </c>
    </row>
    <row r="2530" spans="1:26" ht="33.200000000000003" customHeight="1">
      <c r="A2530" s="463" t="s">
        <v>842</v>
      </c>
      <c r="B2530" s="497"/>
      <c r="C2530" s="497"/>
      <c r="D2530" s="497"/>
      <c r="E2530" s="497"/>
      <c r="F2530" s="446">
        <f>J2530+H2530+L2530</f>
        <v>38542</v>
      </c>
      <c r="G2530" s="497"/>
      <c r="H2530" s="446">
        <f>ROUNDDOWN(SUMIF(P2527:P2529,O2530,H2527:H2529),0)</f>
        <v>38418</v>
      </c>
      <c r="I2530" s="497"/>
      <c r="J2530" s="446">
        <f>ROUNDDOWN(SUMIF(P2527:P2529,O2530,J2527:J2529),0)</f>
        <v>0</v>
      </c>
      <c r="K2530" s="497"/>
      <c r="L2530" s="446">
        <f>ROUNDDOWN(SUMIF(P2527:P2529,O2530,L2527:L2529),0)</f>
        <v>124</v>
      </c>
      <c r="M2530" s="497"/>
      <c r="O2530" s="468" t="s">
        <v>2354</v>
      </c>
    </row>
    <row r="2531" spans="1:26" ht="33.200000000000003" customHeight="1">
      <c r="A2531" s="484" t="s">
        <v>5565</v>
      </c>
      <c r="B2531" s="484"/>
      <c r="C2531" s="485"/>
      <c r="D2531" s="485"/>
      <c r="E2531" s="485"/>
      <c r="F2531" s="485"/>
      <c r="G2531" s="485"/>
      <c r="H2531" s="485"/>
      <c r="I2531" s="485"/>
      <c r="J2531" s="485"/>
      <c r="K2531" s="485"/>
      <c r="L2531" s="485"/>
      <c r="M2531" s="485"/>
      <c r="N2531" s="486" t="str">
        <f>HYPERLINK("#N"&amp;ROW(N2536),"_x0005_`BDCOD|B02884_x0007_`POSS|"&amp;ROW(N2533)&amp;"_x0007_`POSE|"&amp;ROW(N2536)&amp;"_x0007_`")</f>
        <v>_x0005_`BDCOD|B02884_x0007_`POSS|2533_x0007_`POSE|2536_x0007_`</v>
      </c>
    </row>
    <row r="2532" spans="1:26" ht="33.200000000000003" customHeight="1">
      <c r="A2532" s="469" t="s">
        <v>5272</v>
      </c>
      <c r="B2532" s="469" t="s">
        <v>1753</v>
      </c>
      <c r="C2532" s="487"/>
      <c r="D2532" s="488" t="s">
        <v>975</v>
      </c>
      <c r="E2532" s="487"/>
      <c r="F2532" s="487"/>
      <c r="G2532" s="487"/>
      <c r="H2532" s="487"/>
      <c r="I2532" s="487"/>
      <c r="J2532" s="487"/>
      <c r="K2532" s="487"/>
      <c r="L2532" s="487"/>
      <c r="M2532" s="488" t="s">
        <v>5273</v>
      </c>
      <c r="O2532" s="468" t="s">
        <v>5273</v>
      </c>
    </row>
    <row r="2533" spans="1:26" ht="33.200000000000003" customHeight="1">
      <c r="A2533" s="452" t="s">
        <v>2484</v>
      </c>
      <c r="B2533" s="452" t="s">
        <v>2485</v>
      </c>
      <c r="C2533" s="489">
        <v>4.8000000000000001E-2</v>
      </c>
      <c r="D2533" s="480" t="s">
        <v>8</v>
      </c>
      <c r="E2533" s="490">
        <f t="shared" ref="E2533:F2536" si="462">I2533+G2533+K2533</f>
        <v>62811</v>
      </c>
      <c r="F2533" s="493">
        <f t="shared" si="462"/>
        <v>3014.9</v>
      </c>
      <c r="G2533" s="494">
        <f>단가산출근거목록표!F157</f>
        <v>62811</v>
      </c>
      <c r="H2533" s="498">
        <f>IF(C2533=0,0,ROUNDDOWN(G2533*C2533,1))</f>
        <v>3014.9</v>
      </c>
      <c r="I2533" s="494">
        <f>단가산출근거목록표!G157</f>
        <v>0</v>
      </c>
      <c r="J2533" s="498">
        <f>IF(C2533=0,0,ROUNDDOWN(I2533*C2533,1))</f>
        <v>0</v>
      </c>
      <c r="K2533" s="494">
        <f>단가산출근거목록표!H157</f>
        <v>0</v>
      </c>
      <c r="L2533" s="498">
        <f>IF(C2533=0,0,ROUNDDOWN(K2533*C2533,1))</f>
        <v>0</v>
      </c>
      <c r="M2533" s="463" t="s">
        <v>2486</v>
      </c>
      <c r="N2533" s="451" t="s">
        <v>2487</v>
      </c>
      <c r="O2533" s="468" t="s">
        <v>2488</v>
      </c>
      <c r="P2533" s="468" t="s">
        <v>2354</v>
      </c>
      <c r="Q2533" s="468" t="s">
        <v>2355</v>
      </c>
      <c r="Z2533" s="433" t="str">
        <f ca="1">HYPERLINK("#"&amp;단가산출근거목록표!J2&amp;"!A"&amp;ROW(단가산출근거목록표!A157),"D01241 →")</f>
        <v>D01241 →</v>
      </c>
    </row>
    <row r="2534" spans="1:26" ht="33.200000000000003" customHeight="1">
      <c r="A2534" s="452" t="s">
        <v>1793</v>
      </c>
      <c r="B2534" s="452" t="s">
        <v>1789</v>
      </c>
      <c r="C2534" s="489">
        <v>2.4E-2</v>
      </c>
      <c r="D2534" s="480" t="s">
        <v>8</v>
      </c>
      <c r="E2534" s="490">
        <f t="shared" si="462"/>
        <v>233588</v>
      </c>
      <c r="F2534" s="493">
        <f t="shared" si="462"/>
        <v>5606</v>
      </c>
      <c r="G2534" s="494">
        <f>단가산출근거목록표!F152</f>
        <v>228399</v>
      </c>
      <c r="H2534" s="498">
        <f>IF(C2534=0,0,ROUNDDOWN(G2534*C2534,1))</f>
        <v>5481.5</v>
      </c>
      <c r="I2534" s="494">
        <f>단가산출근거목록표!G152</f>
        <v>0</v>
      </c>
      <c r="J2534" s="498">
        <f>IF(C2534=0,0,ROUNDDOWN(I2534*C2534,1))</f>
        <v>0</v>
      </c>
      <c r="K2534" s="494">
        <f>단가산출근거목록표!H152</f>
        <v>5189</v>
      </c>
      <c r="L2534" s="498">
        <f>IF(C2534=0,0,ROUNDDOWN(K2534*C2534,1))</f>
        <v>124.5</v>
      </c>
      <c r="M2534" s="463" t="s">
        <v>2594</v>
      </c>
      <c r="N2534" s="451" t="s">
        <v>2595</v>
      </c>
      <c r="O2534" s="468" t="s">
        <v>1796</v>
      </c>
      <c r="P2534" s="468" t="s">
        <v>2354</v>
      </c>
      <c r="Q2534" s="468" t="s">
        <v>2355</v>
      </c>
      <c r="Z2534" s="433" t="str">
        <f ca="1">HYPERLINK("#"&amp;단가산출근거목록표!J2&amp;"!A"&amp;ROW(단가산출근거목록표!A152),"D01242 →")</f>
        <v>D01242 →</v>
      </c>
    </row>
    <row r="2535" spans="1:26" ht="33.200000000000003" customHeight="1">
      <c r="A2535" s="452" t="s">
        <v>1466</v>
      </c>
      <c r="B2535" s="452" t="s">
        <v>1467</v>
      </c>
      <c r="C2535" s="489">
        <v>0.109</v>
      </c>
      <c r="D2535" s="480" t="s">
        <v>8</v>
      </c>
      <c r="E2535" s="490">
        <f t="shared" si="462"/>
        <v>274515</v>
      </c>
      <c r="F2535" s="493">
        <f t="shared" si="462"/>
        <v>29922.1</v>
      </c>
      <c r="G2535" s="494">
        <f>일위대가목록표!F73</f>
        <v>274515</v>
      </c>
      <c r="H2535" s="498">
        <f>IF(C2535=0,0,ROUNDDOWN(G2535*C2535,1))</f>
        <v>29922.1</v>
      </c>
      <c r="I2535" s="494">
        <f>일위대가목록표!G73</f>
        <v>0</v>
      </c>
      <c r="J2535" s="498">
        <f>IF(C2535=0,0,ROUNDDOWN(I2535*C2535,1))</f>
        <v>0</v>
      </c>
      <c r="K2535" s="494">
        <f>일위대가목록표!H73</f>
        <v>0</v>
      </c>
      <c r="L2535" s="498">
        <f>IF(C2535=0,0,ROUNDDOWN(K2535*C2535,1))</f>
        <v>0</v>
      </c>
      <c r="M2535" s="463" t="s">
        <v>2596</v>
      </c>
      <c r="N2535" s="451" t="s">
        <v>2597</v>
      </c>
      <c r="O2535" s="468" t="s">
        <v>1470</v>
      </c>
      <c r="P2535" s="468" t="s">
        <v>2354</v>
      </c>
      <c r="Q2535" s="468" t="s">
        <v>2355</v>
      </c>
      <c r="Z2535" s="433" t="str">
        <f ca="1">HYPERLINK("#"&amp;일위대가목록표!J2&amp;"!A"&amp;ROW(일위대가목록표!A73),"B02396 →")</f>
        <v>B02396 →</v>
      </c>
    </row>
    <row r="2536" spans="1:26" ht="33.200000000000003" customHeight="1">
      <c r="A2536" s="452" t="s">
        <v>2507</v>
      </c>
      <c r="B2536" s="452" t="s">
        <v>2441</v>
      </c>
      <c r="C2536" s="489">
        <v>15</v>
      </c>
      <c r="D2536" s="480" t="s">
        <v>2371</v>
      </c>
      <c r="E2536" s="490">
        <f t="shared" si="462"/>
        <v>38418.5</v>
      </c>
      <c r="F2536" s="491">
        <f t="shared" si="462"/>
        <v>5762.7</v>
      </c>
      <c r="G2536" s="496">
        <f>H2533+H2534+H2535</f>
        <v>38418.5</v>
      </c>
      <c r="H2536" s="491">
        <f>IF(C2536=0,0,ROUNDDOWN(G2536*C2536/100,1))</f>
        <v>5762.7</v>
      </c>
      <c r="I2536" s="465">
        <v>0</v>
      </c>
      <c r="J2536" s="493">
        <f>IF(C2536=0,0,ROUNDDOWN(I2536*C2536/100,1))</f>
        <v>0</v>
      </c>
      <c r="K2536" s="467">
        <v>0</v>
      </c>
      <c r="L2536" s="493">
        <f>IF(C2536=0,0,ROUNDDOWN(K2536*C2536/100,1))</f>
        <v>0</v>
      </c>
      <c r="M2536" s="463"/>
      <c r="N2536" s="451" t="s">
        <v>2508</v>
      </c>
      <c r="O2536" s="468" t="s">
        <v>2373</v>
      </c>
      <c r="P2536" s="468" t="s">
        <v>2354</v>
      </c>
    </row>
    <row r="2537" spans="1:26" ht="33.200000000000003" customHeight="1">
      <c r="A2537" s="463" t="s">
        <v>842</v>
      </c>
      <c r="B2537" s="497"/>
      <c r="C2537" s="497"/>
      <c r="D2537" s="497"/>
      <c r="E2537" s="497"/>
      <c r="F2537" s="446">
        <f>J2537+H2537+L2537</f>
        <v>44305</v>
      </c>
      <c r="G2537" s="497"/>
      <c r="H2537" s="446">
        <f>ROUNDDOWN(SUMIF(P2533:P2536,O2537,H2533:H2536),0)</f>
        <v>44181</v>
      </c>
      <c r="I2537" s="497"/>
      <c r="J2537" s="446">
        <f>ROUNDDOWN(SUMIF(P2533:P2536,O2537,J2533:J2536),0)</f>
        <v>0</v>
      </c>
      <c r="K2537" s="497"/>
      <c r="L2537" s="446">
        <f>ROUNDDOWN(SUMIF(P2533:P2536,O2537,L2533:L2536),0)</f>
        <v>124</v>
      </c>
      <c r="M2537" s="497"/>
      <c r="O2537" s="468" t="s">
        <v>2354</v>
      </c>
    </row>
    <row r="2538" spans="1:26" ht="33.200000000000003" customHeight="1">
      <c r="A2538" s="484" t="s">
        <v>5566</v>
      </c>
      <c r="B2538" s="484"/>
      <c r="C2538" s="485"/>
      <c r="D2538" s="485"/>
      <c r="E2538" s="485"/>
      <c r="F2538" s="485"/>
      <c r="G2538" s="485"/>
      <c r="H2538" s="485"/>
      <c r="I2538" s="485"/>
      <c r="J2538" s="485"/>
      <c r="K2538" s="485"/>
      <c r="L2538" s="485"/>
      <c r="M2538" s="485"/>
      <c r="N2538" s="486" t="str">
        <f>HYPERLINK("#N"&amp;ROW(N2543),"_x0005_`BDCOD|B02615_x0007_`POSS|"&amp;ROW(N2540)&amp;"_x0007_`POSE|"&amp;ROW(N2543)&amp;"_x0007_`")</f>
        <v>_x0005_`BDCOD|B02615_x0007_`POSS|2540_x0007_`POSE|2543_x0007_`</v>
      </c>
    </row>
    <row r="2539" spans="1:26" ht="33.200000000000003" customHeight="1">
      <c r="A2539" s="469" t="s">
        <v>5276</v>
      </c>
      <c r="B2539" s="469" t="s">
        <v>1753</v>
      </c>
      <c r="C2539" s="487"/>
      <c r="D2539" s="488" t="s">
        <v>975</v>
      </c>
      <c r="E2539" s="487"/>
      <c r="F2539" s="487"/>
      <c r="G2539" s="487"/>
      <c r="H2539" s="487"/>
      <c r="I2539" s="487"/>
      <c r="J2539" s="487"/>
      <c r="K2539" s="487"/>
      <c r="L2539" s="487"/>
      <c r="M2539" s="488" t="s">
        <v>1754</v>
      </c>
      <c r="O2539" s="468" t="s">
        <v>1754</v>
      </c>
    </row>
    <row r="2540" spans="1:26" ht="33.200000000000003" customHeight="1">
      <c r="A2540" s="452" t="s">
        <v>2484</v>
      </c>
      <c r="B2540" s="452" t="s">
        <v>2485</v>
      </c>
      <c r="C2540" s="489">
        <v>4.8000000000000001E-2</v>
      </c>
      <c r="D2540" s="480" t="s">
        <v>8</v>
      </c>
      <c r="E2540" s="490">
        <f t="shared" ref="E2540:F2543" si="463">I2540+G2540+K2540</f>
        <v>62811</v>
      </c>
      <c r="F2540" s="493">
        <f t="shared" si="463"/>
        <v>3014.9</v>
      </c>
      <c r="G2540" s="494">
        <f>단가산출근거목록표!F157</f>
        <v>62811</v>
      </c>
      <c r="H2540" s="498">
        <f>IF(C2540=0,0,ROUNDDOWN(G2540*C2540,1))</f>
        <v>3014.9</v>
      </c>
      <c r="I2540" s="494">
        <f>단가산출근거목록표!G157</f>
        <v>0</v>
      </c>
      <c r="J2540" s="498">
        <f>IF(C2540=0,0,ROUNDDOWN(I2540*C2540,1))</f>
        <v>0</v>
      </c>
      <c r="K2540" s="494">
        <f>단가산출근거목록표!H157</f>
        <v>0</v>
      </c>
      <c r="L2540" s="498">
        <f>IF(C2540=0,0,ROUNDDOWN(K2540*C2540,1))</f>
        <v>0</v>
      </c>
      <c r="M2540" s="463" t="s">
        <v>2486</v>
      </c>
      <c r="N2540" s="451" t="s">
        <v>2487</v>
      </c>
      <c r="O2540" s="468" t="s">
        <v>2488</v>
      </c>
      <c r="P2540" s="468" t="s">
        <v>2354</v>
      </c>
      <c r="Q2540" s="468" t="s">
        <v>2355</v>
      </c>
      <c r="Z2540" s="433" t="str">
        <f ca="1">HYPERLINK("#"&amp;단가산출근거목록표!J2&amp;"!A"&amp;ROW(단가산출근거목록표!A157),"D01241 →")</f>
        <v>D01241 →</v>
      </c>
    </row>
    <row r="2541" spans="1:26" ht="33.200000000000003" customHeight="1">
      <c r="A2541" s="452" t="s">
        <v>1793</v>
      </c>
      <c r="B2541" s="452" t="s">
        <v>1789</v>
      </c>
      <c r="C2541" s="489">
        <v>2.4E-2</v>
      </c>
      <c r="D2541" s="480" t="s">
        <v>8</v>
      </c>
      <c r="E2541" s="490">
        <f t="shared" si="463"/>
        <v>233588</v>
      </c>
      <c r="F2541" s="493">
        <f t="shared" si="463"/>
        <v>5606</v>
      </c>
      <c r="G2541" s="494">
        <f>단가산출근거목록표!F152</f>
        <v>228399</v>
      </c>
      <c r="H2541" s="498">
        <f>IF(C2541=0,0,ROUNDDOWN(G2541*C2541,1))</f>
        <v>5481.5</v>
      </c>
      <c r="I2541" s="494">
        <f>단가산출근거목록표!G152</f>
        <v>0</v>
      </c>
      <c r="J2541" s="498">
        <f>IF(C2541=0,0,ROUNDDOWN(I2541*C2541,1))</f>
        <v>0</v>
      </c>
      <c r="K2541" s="494">
        <f>단가산출근거목록표!H152</f>
        <v>5189</v>
      </c>
      <c r="L2541" s="498">
        <f>IF(C2541=0,0,ROUNDDOWN(K2541*C2541,1))</f>
        <v>124.5</v>
      </c>
      <c r="M2541" s="463" t="s">
        <v>2594</v>
      </c>
      <c r="N2541" s="451" t="s">
        <v>2595</v>
      </c>
      <c r="O2541" s="468" t="s">
        <v>1796</v>
      </c>
      <c r="P2541" s="468" t="s">
        <v>2354</v>
      </c>
      <c r="Q2541" s="468" t="s">
        <v>2355</v>
      </c>
      <c r="Z2541" s="433" t="str">
        <f ca="1">HYPERLINK("#"&amp;단가산출근거목록표!J2&amp;"!A"&amp;ROW(단가산출근거목록표!A152),"D01242 →")</f>
        <v>D01242 →</v>
      </c>
    </row>
    <row r="2542" spans="1:26" ht="33.200000000000003" customHeight="1">
      <c r="A2542" s="452" t="s">
        <v>1466</v>
      </c>
      <c r="B2542" s="452" t="s">
        <v>1467</v>
      </c>
      <c r="C2542" s="489">
        <v>0.109</v>
      </c>
      <c r="D2542" s="480" t="s">
        <v>8</v>
      </c>
      <c r="E2542" s="490">
        <f t="shared" si="463"/>
        <v>274515</v>
      </c>
      <c r="F2542" s="493">
        <f t="shared" si="463"/>
        <v>29922.1</v>
      </c>
      <c r="G2542" s="494">
        <f>일위대가목록표!F73</f>
        <v>274515</v>
      </c>
      <c r="H2542" s="498">
        <f>IF(C2542=0,0,ROUNDDOWN(G2542*C2542,1))</f>
        <v>29922.1</v>
      </c>
      <c r="I2542" s="494">
        <f>일위대가목록표!G73</f>
        <v>0</v>
      </c>
      <c r="J2542" s="498">
        <f>IF(C2542=0,0,ROUNDDOWN(I2542*C2542,1))</f>
        <v>0</v>
      </c>
      <c r="K2542" s="494">
        <f>일위대가목록표!H73</f>
        <v>0</v>
      </c>
      <c r="L2542" s="498">
        <f>IF(C2542=0,0,ROUNDDOWN(K2542*C2542,1))</f>
        <v>0</v>
      </c>
      <c r="M2542" s="463" t="s">
        <v>2596</v>
      </c>
      <c r="N2542" s="451" t="s">
        <v>2597</v>
      </c>
      <c r="O2542" s="468" t="s">
        <v>1470</v>
      </c>
      <c r="P2542" s="468" t="s">
        <v>2354</v>
      </c>
      <c r="Q2542" s="468" t="s">
        <v>2355</v>
      </c>
      <c r="Z2542" s="433" t="str">
        <f ca="1">HYPERLINK("#"&amp;일위대가목록표!J2&amp;"!A"&amp;ROW(일위대가목록표!A73),"B02396 →")</f>
        <v>B02396 →</v>
      </c>
    </row>
    <row r="2543" spans="1:26" ht="33.200000000000003" customHeight="1">
      <c r="A2543" s="452" t="s">
        <v>2507</v>
      </c>
      <c r="B2543" s="452" t="s">
        <v>2441</v>
      </c>
      <c r="C2543" s="489">
        <v>25</v>
      </c>
      <c r="D2543" s="480" t="s">
        <v>2371</v>
      </c>
      <c r="E2543" s="490">
        <f t="shared" si="463"/>
        <v>38418.5</v>
      </c>
      <c r="F2543" s="491">
        <f t="shared" si="463"/>
        <v>9604.6</v>
      </c>
      <c r="G2543" s="496">
        <f>H2540+H2541+H2542</f>
        <v>38418.5</v>
      </c>
      <c r="H2543" s="491">
        <f>IF(C2543=0,0,ROUNDDOWN(G2543*C2543/100,1))</f>
        <v>9604.6</v>
      </c>
      <c r="I2543" s="465">
        <v>0</v>
      </c>
      <c r="J2543" s="493">
        <f>IF(C2543=0,0,ROUNDDOWN(I2543*C2543/100,1))</f>
        <v>0</v>
      </c>
      <c r="K2543" s="467">
        <v>0</v>
      </c>
      <c r="L2543" s="493">
        <f>IF(C2543=0,0,ROUNDDOWN(K2543*C2543/100,1))</f>
        <v>0</v>
      </c>
      <c r="M2543" s="463"/>
      <c r="N2543" s="451" t="s">
        <v>2508</v>
      </c>
      <c r="O2543" s="468" t="s">
        <v>2373</v>
      </c>
      <c r="P2543" s="468" t="s">
        <v>2354</v>
      </c>
    </row>
    <row r="2544" spans="1:26" ht="33.200000000000003" customHeight="1">
      <c r="A2544" s="463" t="s">
        <v>842</v>
      </c>
      <c r="B2544" s="497"/>
      <c r="C2544" s="497"/>
      <c r="D2544" s="497"/>
      <c r="E2544" s="497"/>
      <c r="F2544" s="446">
        <f>J2544+H2544+L2544</f>
        <v>48147</v>
      </c>
      <c r="G2544" s="497"/>
      <c r="H2544" s="446">
        <f>ROUNDDOWN(SUMIF(P2540:P2543,O2544,H2540:H2543),0)</f>
        <v>48023</v>
      </c>
      <c r="I2544" s="497"/>
      <c r="J2544" s="446">
        <f>ROUNDDOWN(SUMIF(P2540:P2543,O2544,J2540:J2543),0)</f>
        <v>0</v>
      </c>
      <c r="K2544" s="497"/>
      <c r="L2544" s="446">
        <f>ROUNDDOWN(SUMIF(P2540:P2543,O2544,L2540:L2543),0)</f>
        <v>124</v>
      </c>
      <c r="M2544" s="497"/>
      <c r="O2544" s="468" t="s">
        <v>2354</v>
      </c>
    </row>
    <row r="2545" spans="1:26" ht="33.200000000000003" customHeight="1">
      <c r="A2545" s="484" t="s">
        <v>5567</v>
      </c>
      <c r="B2545" s="484"/>
      <c r="C2545" s="485"/>
      <c r="D2545" s="485"/>
      <c r="E2545" s="485"/>
      <c r="F2545" s="485"/>
      <c r="G2545" s="485"/>
      <c r="H2545" s="485"/>
      <c r="I2545" s="485"/>
      <c r="J2545" s="485"/>
      <c r="K2545" s="485"/>
      <c r="L2545" s="485"/>
      <c r="M2545" s="485"/>
      <c r="N2545" s="486" t="str">
        <f>HYPERLINK("#N"&amp;ROW(N2548),"_x0005_`BDCOD|B02552_x0007_`POSS|"&amp;ROW(N2547)&amp;"_x0007_`POSE|"&amp;ROW(N2548)&amp;"_x0007_`")</f>
        <v>_x0005_`BDCOD|B02552_x0007_`POSS|2547_x0007_`POSE|2548_x0007_`</v>
      </c>
    </row>
    <row r="2546" spans="1:26" ht="33.200000000000003" customHeight="1">
      <c r="A2546" s="469" t="s">
        <v>1486</v>
      </c>
      <c r="B2546" s="469" t="s">
        <v>1487</v>
      </c>
      <c r="C2546" s="487"/>
      <c r="D2546" s="488" t="s">
        <v>975</v>
      </c>
      <c r="E2546" s="487"/>
      <c r="F2546" s="487"/>
      <c r="G2546" s="487"/>
      <c r="H2546" s="487"/>
      <c r="I2546" s="487"/>
      <c r="J2546" s="487"/>
      <c r="K2546" s="487"/>
      <c r="L2546" s="487"/>
      <c r="M2546" s="488" t="s">
        <v>1488</v>
      </c>
      <c r="O2546" s="468" t="s">
        <v>1488</v>
      </c>
    </row>
    <row r="2547" spans="1:26" ht="33.200000000000003" customHeight="1">
      <c r="A2547" s="452" t="s">
        <v>1507</v>
      </c>
      <c r="B2547" s="452" t="s">
        <v>1512</v>
      </c>
      <c r="C2547" s="489">
        <v>0.64</v>
      </c>
      <c r="D2547" s="480" t="s">
        <v>595</v>
      </c>
      <c r="E2547" s="490">
        <f>I2547+G2547+K2547</f>
        <v>2658</v>
      </c>
      <c r="F2547" s="493">
        <f>J2547+H2547+L2547</f>
        <v>1701</v>
      </c>
      <c r="G2547" s="494">
        <f>일위대가목록표!F115</f>
        <v>2539</v>
      </c>
      <c r="H2547" s="498">
        <f>IF(C2547=0,0,ROUNDDOWN(G2547*C2547,1))</f>
        <v>1624.9</v>
      </c>
      <c r="I2547" s="494">
        <f>일위대가목록표!G115</f>
        <v>43</v>
      </c>
      <c r="J2547" s="498">
        <f>IF(C2547=0,0,ROUNDDOWN(I2547*C2547,1))</f>
        <v>27.5</v>
      </c>
      <c r="K2547" s="494">
        <f>일위대가목록표!H115</f>
        <v>76</v>
      </c>
      <c r="L2547" s="498">
        <f>IF(C2547=0,0,ROUNDDOWN(K2547*C2547,1))</f>
        <v>48.6</v>
      </c>
      <c r="M2547" s="463" t="s">
        <v>2600</v>
      </c>
      <c r="N2547" s="451" t="s">
        <v>2601</v>
      </c>
      <c r="O2547" s="468" t="s">
        <v>1515</v>
      </c>
      <c r="P2547" s="468" t="s">
        <v>2354</v>
      </c>
      <c r="Q2547" s="468" t="s">
        <v>2355</v>
      </c>
      <c r="Z2547" s="433" t="str">
        <f ca="1">HYPERLINK("#"&amp;일위대가목록표!J2&amp;"!A"&amp;ROW(일위대가목록표!A115),"B02110 →")</f>
        <v>B02110 →</v>
      </c>
    </row>
    <row r="2548" spans="1:26" ht="33.200000000000003" customHeight="1">
      <c r="A2548" s="452" t="s">
        <v>1532</v>
      </c>
      <c r="B2548" s="452" t="s">
        <v>1537</v>
      </c>
      <c r="C2548" s="489">
        <v>0.64</v>
      </c>
      <c r="D2548" s="480" t="s">
        <v>595</v>
      </c>
      <c r="E2548" s="490">
        <f>I2548+G2548+K2548</f>
        <v>12642</v>
      </c>
      <c r="F2548" s="493">
        <f>J2548+H2548+L2548</f>
        <v>8090.8</v>
      </c>
      <c r="G2548" s="494">
        <f>일위대가목록표!F224</f>
        <v>11027</v>
      </c>
      <c r="H2548" s="498">
        <f>IF(C2548=0,0,ROUNDDOWN(G2548*C2548,1))</f>
        <v>7057.2</v>
      </c>
      <c r="I2548" s="494">
        <f>일위대가목록표!G224</f>
        <v>1395</v>
      </c>
      <c r="J2548" s="498">
        <f>IF(C2548=0,0,ROUNDDOWN(I2548*C2548,1))</f>
        <v>892.8</v>
      </c>
      <c r="K2548" s="494">
        <f>일위대가목록표!H224</f>
        <v>220</v>
      </c>
      <c r="L2548" s="498">
        <f>IF(C2548=0,0,ROUNDDOWN(K2548*C2548,1))</f>
        <v>140.80000000000001</v>
      </c>
      <c r="M2548" s="463" t="s">
        <v>2473</v>
      </c>
      <c r="N2548" s="451" t="s">
        <v>2474</v>
      </c>
      <c r="O2548" s="468" t="s">
        <v>1540</v>
      </c>
      <c r="P2548" s="468" t="s">
        <v>2354</v>
      </c>
      <c r="Q2548" s="468" t="s">
        <v>2355</v>
      </c>
      <c r="Z2548" s="433" t="str">
        <f ca="1">HYPERLINK("#"&amp;일위대가목록표!J2&amp;"!A"&amp;ROW(일위대가목록표!A224),"B01814 →")</f>
        <v>B01814 →</v>
      </c>
    </row>
    <row r="2549" spans="1:26" ht="33.200000000000003" customHeight="1">
      <c r="A2549" s="463" t="s">
        <v>842</v>
      </c>
      <c r="B2549" s="497"/>
      <c r="C2549" s="497"/>
      <c r="D2549" s="497"/>
      <c r="E2549" s="497"/>
      <c r="F2549" s="446">
        <f>J2549+H2549+L2549</f>
        <v>9791</v>
      </c>
      <c r="G2549" s="497"/>
      <c r="H2549" s="446">
        <f>ROUNDDOWN(SUMIF(P2547:P2548,O2549,H2547:H2548),0)</f>
        <v>8682</v>
      </c>
      <c r="I2549" s="497"/>
      <c r="J2549" s="446">
        <f>ROUNDDOWN(SUMIF(P2547:P2548,O2549,J2547:J2548),0)</f>
        <v>920</v>
      </c>
      <c r="K2549" s="497"/>
      <c r="L2549" s="446">
        <f>ROUNDDOWN(SUMIF(P2547:P2548,O2549,L2547:L2548),0)</f>
        <v>189</v>
      </c>
      <c r="M2549" s="497"/>
      <c r="O2549" s="468" t="s">
        <v>2354</v>
      </c>
    </row>
    <row r="2550" spans="1:26" ht="33.200000000000003" customHeight="1">
      <c r="A2550" s="484" t="s">
        <v>5568</v>
      </c>
      <c r="B2550" s="484"/>
      <c r="C2550" s="485"/>
      <c r="D2550" s="485"/>
      <c r="E2550" s="485"/>
      <c r="F2550" s="485"/>
      <c r="G2550" s="485"/>
      <c r="H2550" s="485"/>
      <c r="I2550" s="485"/>
      <c r="J2550" s="485"/>
      <c r="K2550" s="485"/>
      <c r="L2550" s="485"/>
      <c r="M2550" s="485"/>
      <c r="N2550" s="486" t="str">
        <f>HYPERLINK("#N"&amp;ROW(N2553),"_x0005_`BDCOD|B02553_x0007_`POSS|"&amp;ROW(N2552)&amp;"_x0007_`POSE|"&amp;ROW(N2553)&amp;"_x0007_`")</f>
        <v>_x0005_`BDCOD|B02553_x0007_`POSS|2552_x0007_`POSE|2553_x0007_`</v>
      </c>
    </row>
    <row r="2551" spans="1:26" ht="33.200000000000003" customHeight="1">
      <c r="A2551" s="469" t="s">
        <v>1486</v>
      </c>
      <c r="B2551" s="469" t="s">
        <v>1491</v>
      </c>
      <c r="C2551" s="487"/>
      <c r="D2551" s="488" t="s">
        <v>975</v>
      </c>
      <c r="E2551" s="487"/>
      <c r="F2551" s="487"/>
      <c r="G2551" s="487"/>
      <c r="H2551" s="487"/>
      <c r="I2551" s="487"/>
      <c r="J2551" s="487"/>
      <c r="K2551" s="487"/>
      <c r="L2551" s="487"/>
      <c r="M2551" s="488" t="s">
        <v>1492</v>
      </c>
      <c r="O2551" s="468" t="s">
        <v>1492</v>
      </c>
    </row>
    <row r="2552" spans="1:26" ht="33.200000000000003" customHeight="1">
      <c r="A2552" s="452" t="s">
        <v>1507</v>
      </c>
      <c r="B2552" s="452" t="s">
        <v>1512</v>
      </c>
      <c r="C2552" s="489">
        <v>0.72</v>
      </c>
      <c r="D2552" s="480" t="s">
        <v>595</v>
      </c>
      <c r="E2552" s="490">
        <f>I2552+G2552+K2552</f>
        <v>2658</v>
      </c>
      <c r="F2552" s="493">
        <f>J2552+H2552+L2552</f>
        <v>1913.6000000000001</v>
      </c>
      <c r="G2552" s="494">
        <f>일위대가목록표!F115</f>
        <v>2539</v>
      </c>
      <c r="H2552" s="498">
        <f>IF(C2552=0,0,ROUNDDOWN(G2552*C2552,1))</f>
        <v>1828</v>
      </c>
      <c r="I2552" s="494">
        <f>일위대가목록표!G115</f>
        <v>43</v>
      </c>
      <c r="J2552" s="498">
        <f>IF(C2552=0,0,ROUNDDOWN(I2552*C2552,1))</f>
        <v>30.9</v>
      </c>
      <c r="K2552" s="494">
        <f>일위대가목록표!H115</f>
        <v>76</v>
      </c>
      <c r="L2552" s="498">
        <f>IF(C2552=0,0,ROUNDDOWN(K2552*C2552,1))</f>
        <v>54.7</v>
      </c>
      <c r="M2552" s="463" t="s">
        <v>2600</v>
      </c>
      <c r="N2552" s="451" t="s">
        <v>2601</v>
      </c>
      <c r="O2552" s="468" t="s">
        <v>1515</v>
      </c>
      <c r="P2552" s="468" t="s">
        <v>2354</v>
      </c>
      <c r="Q2552" s="468" t="s">
        <v>2355</v>
      </c>
      <c r="Z2552" s="433" t="str">
        <f ca="1">HYPERLINK("#"&amp;일위대가목록표!J2&amp;"!A"&amp;ROW(일위대가목록표!A115),"B02110 →")</f>
        <v>B02110 →</v>
      </c>
    </row>
    <row r="2553" spans="1:26" ht="33.200000000000003" customHeight="1">
      <c r="A2553" s="452" t="s">
        <v>1532</v>
      </c>
      <c r="B2553" s="452" t="s">
        <v>1537</v>
      </c>
      <c r="C2553" s="489">
        <v>0.72</v>
      </c>
      <c r="D2553" s="480" t="s">
        <v>595</v>
      </c>
      <c r="E2553" s="490">
        <f>I2553+G2553+K2553</f>
        <v>12642</v>
      </c>
      <c r="F2553" s="493">
        <f>J2553+H2553+L2553</f>
        <v>9102.1999999999989</v>
      </c>
      <c r="G2553" s="494">
        <f>일위대가목록표!F224</f>
        <v>11027</v>
      </c>
      <c r="H2553" s="498">
        <f>IF(C2553=0,0,ROUNDDOWN(G2553*C2553,1))</f>
        <v>7939.4</v>
      </c>
      <c r="I2553" s="494">
        <f>일위대가목록표!G224</f>
        <v>1395</v>
      </c>
      <c r="J2553" s="498">
        <f>IF(C2553=0,0,ROUNDDOWN(I2553*C2553,1))</f>
        <v>1004.4</v>
      </c>
      <c r="K2553" s="494">
        <f>일위대가목록표!H224</f>
        <v>220</v>
      </c>
      <c r="L2553" s="498">
        <f>IF(C2553=0,0,ROUNDDOWN(K2553*C2553,1))</f>
        <v>158.4</v>
      </c>
      <c r="M2553" s="463" t="s">
        <v>2473</v>
      </c>
      <c r="N2553" s="451" t="s">
        <v>2474</v>
      </c>
      <c r="O2553" s="468" t="s">
        <v>1540</v>
      </c>
      <c r="P2553" s="468" t="s">
        <v>2354</v>
      </c>
      <c r="Q2553" s="468" t="s">
        <v>2355</v>
      </c>
      <c r="Z2553" s="433" t="str">
        <f ca="1">HYPERLINK("#"&amp;일위대가목록표!J2&amp;"!A"&amp;ROW(일위대가목록표!A224),"B01814 →")</f>
        <v>B01814 →</v>
      </c>
    </row>
    <row r="2554" spans="1:26" ht="33.200000000000003" customHeight="1">
      <c r="A2554" s="463" t="s">
        <v>842</v>
      </c>
      <c r="B2554" s="497"/>
      <c r="C2554" s="497"/>
      <c r="D2554" s="497"/>
      <c r="E2554" s="497"/>
      <c r="F2554" s="446">
        <f>J2554+H2554+L2554</f>
        <v>11015</v>
      </c>
      <c r="G2554" s="497"/>
      <c r="H2554" s="446">
        <f>ROUNDDOWN(SUMIF(P2552:P2553,O2554,H2552:H2553),0)</f>
        <v>9767</v>
      </c>
      <c r="I2554" s="497"/>
      <c r="J2554" s="446">
        <f>ROUNDDOWN(SUMIF(P2552:P2553,O2554,J2552:J2553),0)</f>
        <v>1035</v>
      </c>
      <c r="K2554" s="497"/>
      <c r="L2554" s="446">
        <f>ROUNDDOWN(SUMIF(P2552:P2553,O2554,L2552:L2553),0)</f>
        <v>213</v>
      </c>
      <c r="M2554" s="497"/>
      <c r="O2554" s="468" t="s">
        <v>2354</v>
      </c>
    </row>
    <row r="2555" spans="1:26" ht="33.200000000000003" customHeight="1">
      <c r="A2555" s="484" t="s">
        <v>5569</v>
      </c>
      <c r="B2555" s="484"/>
      <c r="C2555" s="485"/>
      <c r="D2555" s="485"/>
      <c r="E2555" s="485"/>
      <c r="F2555" s="485"/>
      <c r="G2555" s="485"/>
      <c r="H2555" s="485"/>
      <c r="I2555" s="485"/>
      <c r="J2555" s="485"/>
      <c r="K2555" s="485"/>
      <c r="L2555" s="485"/>
      <c r="M2555" s="485"/>
      <c r="N2555" s="486" t="str">
        <f>HYPERLINK("#N"&amp;ROW(N2560),"_x0005_`BDCOD|B01452_x0007_`POSS|"&amp;ROW(N2557)&amp;"_x0007_`POSE|"&amp;ROW(N2560)&amp;"_x0007_`")</f>
        <v>_x0005_`BDCOD|B01452_x0007_`POSS|2557_x0007_`POSE|2560_x0007_`</v>
      </c>
    </row>
    <row r="2556" spans="1:26" ht="33.200000000000003" customHeight="1">
      <c r="A2556" s="469" t="s">
        <v>2339</v>
      </c>
      <c r="B2556" s="469" t="s">
        <v>2340</v>
      </c>
      <c r="C2556" s="487"/>
      <c r="D2556" s="488" t="s">
        <v>595</v>
      </c>
      <c r="E2556" s="487"/>
      <c r="F2556" s="487"/>
      <c r="G2556" s="487"/>
      <c r="H2556" s="487"/>
      <c r="I2556" s="487"/>
      <c r="J2556" s="487"/>
      <c r="K2556" s="487"/>
      <c r="L2556" s="487"/>
      <c r="M2556" s="488" t="s">
        <v>2338</v>
      </c>
      <c r="O2556" s="468" t="s">
        <v>2338</v>
      </c>
    </row>
    <row r="2557" spans="1:26" ht="33.200000000000003" customHeight="1">
      <c r="A2557" s="452" t="s">
        <v>2424</v>
      </c>
      <c r="B2557" s="452"/>
      <c r="C2557" s="489">
        <v>0.02</v>
      </c>
      <c r="D2557" s="480" t="s">
        <v>585</v>
      </c>
      <c r="E2557" s="490">
        <f t="shared" ref="E2557:F2560" si="464">I2557+G2557+K2557</f>
        <v>263017</v>
      </c>
      <c r="F2557" s="493">
        <f t="shared" si="464"/>
        <v>5260.3</v>
      </c>
      <c r="G2557" s="494">
        <f>노무비목록표!E7</f>
        <v>263017</v>
      </c>
      <c r="H2557" s="495">
        <f>IF(C2557=0,0,ROUNDDOWN(G2557*C2557,1))</f>
        <v>5260.3</v>
      </c>
      <c r="I2557" s="492">
        <v>0</v>
      </c>
      <c r="J2557" s="491">
        <f>IF(C2557=0,0,ROUNDDOWN(I2557*C2557,1))</f>
        <v>0</v>
      </c>
      <c r="K2557" s="492">
        <v>0</v>
      </c>
      <c r="L2557" s="493">
        <f>IF(C2557=0,0,ROUNDDOWN(K2557*C2557,1))</f>
        <v>0</v>
      </c>
      <c r="M2557" s="463" t="s">
        <v>2425</v>
      </c>
      <c r="N2557" s="451" t="s">
        <v>2426</v>
      </c>
      <c r="O2557" s="468" t="s">
        <v>2427</v>
      </c>
      <c r="P2557" s="468" t="s">
        <v>2354</v>
      </c>
      <c r="Q2557" s="468" t="s">
        <v>2355</v>
      </c>
      <c r="Z2557" s="433" t="str">
        <f ca="1">HYPERLINK("#"&amp;노무비목록표!G2&amp;"!A"&amp;ROW(노무비목록표!A7),"L00010 →")</f>
        <v>L00010 →</v>
      </c>
    </row>
    <row r="2558" spans="1:26" ht="33.200000000000003" customHeight="1">
      <c r="A2558" s="452" t="s">
        <v>2360</v>
      </c>
      <c r="B2558" s="452"/>
      <c r="C2558" s="489">
        <v>4.0000000000000001E-3</v>
      </c>
      <c r="D2558" s="480" t="s">
        <v>585</v>
      </c>
      <c r="E2558" s="490">
        <f t="shared" si="464"/>
        <v>172068</v>
      </c>
      <c r="F2558" s="493">
        <f t="shared" si="464"/>
        <v>688.2</v>
      </c>
      <c r="G2558" s="494">
        <f>노무비목록표!E10</f>
        <v>172068</v>
      </c>
      <c r="H2558" s="495">
        <f>IF(C2558=0,0,ROUNDDOWN(G2558*C2558,1))</f>
        <v>688.2</v>
      </c>
      <c r="I2558" s="492">
        <v>0</v>
      </c>
      <c r="J2558" s="491">
        <f>IF(C2558=0,0,ROUNDDOWN(I2558*C2558,1))</f>
        <v>0</v>
      </c>
      <c r="K2558" s="492">
        <v>0</v>
      </c>
      <c r="L2558" s="493">
        <f>IF(C2558=0,0,ROUNDDOWN(K2558*C2558,1))</f>
        <v>0</v>
      </c>
      <c r="M2558" s="463" t="s">
        <v>2361</v>
      </c>
      <c r="N2558" s="451" t="s">
        <v>2428</v>
      </c>
      <c r="O2558" s="468" t="s">
        <v>2363</v>
      </c>
      <c r="P2558" s="468" t="s">
        <v>2354</v>
      </c>
      <c r="Q2558" s="468" t="s">
        <v>2355</v>
      </c>
      <c r="Z2558" s="433" t="str">
        <f ca="1">HYPERLINK("#"&amp;노무비목록표!G2&amp;"!A"&amp;ROW(노무비목록표!A10),"L00017 →")</f>
        <v>L00017 →</v>
      </c>
    </row>
    <row r="2559" spans="1:26" ht="33.200000000000003" customHeight="1">
      <c r="A2559" s="452" t="s">
        <v>3313</v>
      </c>
      <c r="B2559" s="452"/>
      <c r="C2559" s="489">
        <v>0.02</v>
      </c>
      <c r="D2559" s="480" t="s">
        <v>2431</v>
      </c>
      <c r="E2559" s="490">
        <f t="shared" si="464"/>
        <v>6200</v>
      </c>
      <c r="F2559" s="491">
        <f t="shared" si="464"/>
        <v>124</v>
      </c>
      <c r="G2559" s="492">
        <v>0</v>
      </c>
      <c r="H2559" s="493">
        <f>IF(C2559=0,0,ROUNDDOWN(G2559*C2559,1))</f>
        <v>0</v>
      </c>
      <c r="I2559" s="494">
        <f>재료비목록표!E75</f>
        <v>6200</v>
      </c>
      <c r="J2559" s="495">
        <f>IF(C2559=0,0,ROUNDDOWN(I2559*C2559,1))</f>
        <v>124</v>
      </c>
      <c r="K2559" s="492">
        <v>0</v>
      </c>
      <c r="L2559" s="493">
        <f>IF(C2559=0,0,ROUNDDOWN(K2559*C2559,1))</f>
        <v>0</v>
      </c>
      <c r="M2559" s="463" t="s">
        <v>3314</v>
      </c>
      <c r="N2559" s="451" t="s">
        <v>3315</v>
      </c>
      <c r="O2559" s="468" t="s">
        <v>3316</v>
      </c>
      <c r="P2559" s="468" t="s">
        <v>2354</v>
      </c>
      <c r="Z2559" s="433" t="str">
        <f ca="1">HYPERLINK("#"&amp;재료비목록표!G2&amp;"!A"&amp;ROW(재료비목록표!A75),"M00743 →")</f>
        <v>M00743 →</v>
      </c>
    </row>
    <row r="2560" spans="1:26" ht="33.200000000000003" customHeight="1">
      <c r="A2560" s="452" t="s">
        <v>3317</v>
      </c>
      <c r="B2560" s="452" t="s">
        <v>2441</v>
      </c>
      <c r="C2560" s="489">
        <v>2</v>
      </c>
      <c r="D2560" s="480" t="s">
        <v>2371</v>
      </c>
      <c r="E2560" s="490">
        <f t="shared" si="464"/>
        <v>5948.5</v>
      </c>
      <c r="F2560" s="491">
        <f t="shared" si="464"/>
        <v>118.9</v>
      </c>
      <c r="G2560" s="465">
        <v>0</v>
      </c>
      <c r="H2560" s="491">
        <f>IF(C2560=0,0,ROUNDDOWN(G2560*C2560/100,1))</f>
        <v>0</v>
      </c>
      <c r="I2560" s="465">
        <v>0</v>
      </c>
      <c r="J2560" s="493">
        <f>IF(C2560=0,0,ROUNDDOWN(I2560*C2560/100,1))</f>
        <v>0</v>
      </c>
      <c r="K2560" s="499">
        <f>H2557+H2558</f>
        <v>5948.5</v>
      </c>
      <c r="L2560" s="493">
        <f>IF(C2560=0,0,ROUNDDOWN(K2560*C2560/100,1))</f>
        <v>118.9</v>
      </c>
      <c r="M2560" s="463"/>
      <c r="N2560" s="451" t="s">
        <v>2442</v>
      </c>
      <c r="O2560" s="468" t="s">
        <v>2373</v>
      </c>
      <c r="P2560" s="468" t="s">
        <v>2354</v>
      </c>
    </row>
    <row r="2561" spans="1:26" ht="33.200000000000003" customHeight="1">
      <c r="A2561" s="463" t="s">
        <v>842</v>
      </c>
      <c r="B2561" s="497"/>
      <c r="C2561" s="497"/>
      <c r="D2561" s="497"/>
      <c r="E2561" s="497"/>
      <c r="F2561" s="446">
        <f>J2561+H2561+L2561</f>
        <v>6190</v>
      </c>
      <c r="G2561" s="497"/>
      <c r="H2561" s="446">
        <f>ROUNDDOWN(SUMIF(P2557:P2560,O2561,H2557:H2560),0)</f>
        <v>5948</v>
      </c>
      <c r="I2561" s="497"/>
      <c r="J2561" s="446">
        <f>ROUNDDOWN(SUMIF(P2557:P2560,O2561,J2557:J2560),0)</f>
        <v>124</v>
      </c>
      <c r="K2561" s="497"/>
      <c r="L2561" s="446">
        <f>ROUNDDOWN(SUMIF(P2557:P2560,O2561,L2557:L2560),0)</f>
        <v>118</v>
      </c>
      <c r="M2561" s="497"/>
      <c r="O2561" s="468" t="s">
        <v>2354</v>
      </c>
    </row>
    <row r="2562" spans="1:26" ht="33.200000000000003" customHeight="1">
      <c r="A2562" s="484" t="s">
        <v>5570</v>
      </c>
      <c r="B2562" s="484"/>
      <c r="C2562" s="485"/>
      <c r="D2562" s="485"/>
      <c r="E2562" s="485"/>
      <c r="F2562" s="485"/>
      <c r="G2562" s="485"/>
      <c r="H2562" s="485"/>
      <c r="I2562" s="485"/>
      <c r="J2562" s="485"/>
      <c r="K2562" s="485"/>
      <c r="L2562" s="485"/>
      <c r="M2562" s="485"/>
      <c r="N2562" s="486" t="str">
        <f>HYPERLINK("#N"&amp;ROW(N2564),"_x0005_`BDCOD|B02525_x0007_`POSS|"&amp;ROW(N2564)&amp;"_x0007_`POSE|"&amp;ROW(N2564)&amp;"_x0007_`")</f>
        <v>_x0005_`BDCOD|B02525_x0007_`POSS|2564_x0007_`POSE|2564_x0007_`</v>
      </c>
    </row>
    <row r="2563" spans="1:26" ht="33.200000000000003" customHeight="1">
      <c r="A2563" s="469" t="s">
        <v>1409</v>
      </c>
      <c r="B2563" s="469" t="s">
        <v>1410</v>
      </c>
      <c r="C2563" s="487"/>
      <c r="D2563" s="488" t="s">
        <v>975</v>
      </c>
      <c r="E2563" s="487"/>
      <c r="F2563" s="487"/>
      <c r="G2563" s="487"/>
      <c r="H2563" s="487"/>
      <c r="I2563" s="487"/>
      <c r="J2563" s="487"/>
      <c r="K2563" s="487"/>
      <c r="L2563" s="487"/>
      <c r="M2563" s="488" t="s">
        <v>1411</v>
      </c>
      <c r="O2563" s="468" t="s">
        <v>1411</v>
      </c>
    </row>
    <row r="2564" spans="1:26" ht="33.200000000000003" customHeight="1">
      <c r="A2564" s="452" t="s">
        <v>1409</v>
      </c>
      <c r="B2564" s="452" t="s">
        <v>3319</v>
      </c>
      <c r="C2564" s="489">
        <v>1</v>
      </c>
      <c r="D2564" s="480" t="s">
        <v>1589</v>
      </c>
      <c r="E2564" s="490">
        <f>I2564+G2564+K2564</f>
        <v>3415000</v>
      </c>
      <c r="F2564" s="491">
        <f>J2564+H2564+L2564</f>
        <v>3415000</v>
      </c>
      <c r="G2564" s="492">
        <v>0</v>
      </c>
      <c r="H2564" s="493">
        <f>IF(C2564=0,0,ROUNDDOWN(G2564*C2564,1))</f>
        <v>0</v>
      </c>
      <c r="I2564" s="494">
        <f>재료비목록표!E109</f>
        <v>3415000</v>
      </c>
      <c r="J2564" s="495">
        <f>IF(C2564=0,0,ROUNDDOWN(I2564*C2564,1))</f>
        <v>3415000</v>
      </c>
      <c r="K2564" s="492">
        <v>0</v>
      </c>
      <c r="L2564" s="493">
        <f>IF(C2564=0,0,ROUNDDOWN(K2564*C2564,1))</f>
        <v>0</v>
      </c>
      <c r="M2564" s="463" t="s">
        <v>3320</v>
      </c>
      <c r="N2564" s="451" t="s">
        <v>3321</v>
      </c>
      <c r="O2564" s="468" t="s">
        <v>3322</v>
      </c>
      <c r="P2564" s="468" t="s">
        <v>2354</v>
      </c>
      <c r="Z2564" s="433" t="str">
        <f ca="1">HYPERLINK("#"&amp;재료비목록표!G2&amp;"!A"&amp;ROW(재료비목록표!A109),"M01532 →")</f>
        <v>M01532 →</v>
      </c>
    </row>
    <row r="2565" spans="1:26" ht="33.200000000000003" customHeight="1">
      <c r="A2565" s="463" t="s">
        <v>842</v>
      </c>
      <c r="B2565" s="497"/>
      <c r="C2565" s="497"/>
      <c r="D2565" s="497"/>
      <c r="E2565" s="497"/>
      <c r="F2565" s="446">
        <f>J2565+H2565+L2565</f>
        <v>3415000</v>
      </c>
      <c r="G2565" s="497"/>
      <c r="H2565" s="446">
        <f>ROUNDDOWN(SUMIF(P2564:P2564,O2565,H2564:H2564),0)</f>
        <v>0</v>
      </c>
      <c r="I2565" s="497"/>
      <c r="J2565" s="446">
        <f>ROUNDDOWN(SUMIF(P2564:P2564,O2565,J2564:J2564),0)</f>
        <v>3415000</v>
      </c>
      <c r="K2565" s="497"/>
      <c r="L2565" s="446">
        <f>ROUNDDOWN(SUMIF(P2564:P2564,O2565,L2564:L2564),0)</f>
        <v>0</v>
      </c>
      <c r="M2565" s="497"/>
      <c r="O2565" s="468" t="s">
        <v>2354</v>
      </c>
    </row>
    <row r="2566" spans="1:26" ht="33.200000000000003" customHeight="1">
      <c r="A2566" s="484" t="s">
        <v>5571</v>
      </c>
      <c r="B2566" s="484"/>
      <c r="C2566" s="485"/>
      <c r="D2566" s="485"/>
      <c r="E2566" s="485"/>
      <c r="F2566" s="485"/>
      <c r="G2566" s="485"/>
      <c r="H2566" s="485"/>
      <c r="I2566" s="485"/>
      <c r="J2566" s="485"/>
      <c r="K2566" s="485"/>
      <c r="L2566" s="485"/>
      <c r="M2566" s="485"/>
      <c r="N2566" s="486" t="str">
        <f>HYPERLINK("#N"&amp;ROW(N2572),"_x0005_`BDCOD|B01936_x0007_`POSS|"&amp;ROW(N2568)&amp;"_x0007_`POSE|"&amp;ROW(N2572)&amp;"_x0007_`")</f>
        <v>_x0005_`BDCOD|B01936_x0007_`POSS|2568_x0007_`POSE|2572_x0007_`</v>
      </c>
    </row>
    <row r="2567" spans="1:26" ht="33.200000000000003" customHeight="1">
      <c r="A2567" s="469" t="s">
        <v>2342</v>
      </c>
      <c r="B2567" s="469" t="s">
        <v>2343</v>
      </c>
      <c r="C2567" s="487"/>
      <c r="D2567" s="488" t="s">
        <v>8</v>
      </c>
      <c r="E2567" s="487"/>
      <c r="F2567" s="487"/>
      <c r="G2567" s="487"/>
      <c r="H2567" s="487"/>
      <c r="I2567" s="487"/>
      <c r="J2567" s="487"/>
      <c r="K2567" s="487"/>
      <c r="L2567" s="487"/>
      <c r="M2567" s="488" t="s">
        <v>2341</v>
      </c>
      <c r="O2567" s="468" t="s">
        <v>2341</v>
      </c>
    </row>
    <row r="2568" spans="1:26" ht="33.200000000000003" customHeight="1">
      <c r="A2568" s="452" t="s">
        <v>2609</v>
      </c>
      <c r="B2568" s="452" t="s">
        <v>2610</v>
      </c>
      <c r="C2568" s="489">
        <v>345</v>
      </c>
      <c r="D2568" s="480" t="s">
        <v>2611</v>
      </c>
      <c r="E2568" s="490">
        <f t="shared" ref="E2568:F2572" si="465">I2568+G2568+K2568</f>
        <v>208</v>
      </c>
      <c r="F2568" s="491">
        <f t="shared" si="465"/>
        <v>71760</v>
      </c>
      <c r="G2568" s="492">
        <v>0</v>
      </c>
      <c r="H2568" s="493">
        <f>IF(C2568=0,0,ROUNDDOWN(G2568*C2568,1))</f>
        <v>0</v>
      </c>
      <c r="I2568" s="494">
        <f>재료비목록표!E57</f>
        <v>208</v>
      </c>
      <c r="J2568" s="495">
        <f>IF(C2568=0,0,ROUNDDOWN(I2568*C2568,1))</f>
        <v>71760</v>
      </c>
      <c r="K2568" s="492">
        <v>0</v>
      </c>
      <c r="L2568" s="493">
        <f>IF(C2568=0,0,ROUNDDOWN(K2568*C2568,1))</f>
        <v>0</v>
      </c>
      <c r="M2568" s="463" t="s">
        <v>2612</v>
      </c>
      <c r="N2568" s="451" t="s">
        <v>2613</v>
      </c>
      <c r="O2568" s="468" t="s">
        <v>2614</v>
      </c>
      <c r="P2568" s="468" t="s">
        <v>2354</v>
      </c>
      <c r="Z2568" s="433" t="str">
        <f ca="1">HYPERLINK("#"&amp;재료비목록표!G2&amp;"!A"&amp;ROW(재료비목록표!A57),"M00634 →")</f>
        <v>M00634 →</v>
      </c>
    </row>
    <row r="2569" spans="1:26" ht="33.200000000000003" customHeight="1">
      <c r="A2569" s="452" t="s">
        <v>2615</v>
      </c>
      <c r="B2569" s="452" t="s">
        <v>2616</v>
      </c>
      <c r="C2569" s="489">
        <v>0.47</v>
      </c>
      <c r="D2569" s="480" t="s">
        <v>8</v>
      </c>
      <c r="E2569" s="490">
        <f t="shared" si="465"/>
        <v>37000</v>
      </c>
      <c r="F2569" s="491">
        <f t="shared" si="465"/>
        <v>17390</v>
      </c>
      <c r="G2569" s="492">
        <v>0</v>
      </c>
      <c r="H2569" s="493">
        <f>IF(C2569=0,0,ROUNDDOWN(G2569*C2569,1))</f>
        <v>0</v>
      </c>
      <c r="I2569" s="494">
        <f>재료비목록표!E33</f>
        <v>37000</v>
      </c>
      <c r="J2569" s="495">
        <f>IF(C2569=0,0,ROUNDDOWN(I2569*C2569,1))</f>
        <v>17390</v>
      </c>
      <c r="K2569" s="492">
        <v>0</v>
      </c>
      <c r="L2569" s="493">
        <f>IF(C2569=0,0,ROUNDDOWN(K2569*C2569,1))</f>
        <v>0</v>
      </c>
      <c r="M2569" s="463" t="s">
        <v>2617</v>
      </c>
      <c r="N2569" s="451" t="s">
        <v>2618</v>
      </c>
      <c r="O2569" s="468" t="s">
        <v>2619</v>
      </c>
      <c r="P2569" s="468" t="s">
        <v>2354</v>
      </c>
      <c r="Z2569" s="433" t="str">
        <f ca="1">HYPERLINK("#"&amp;재료비목록표!G2&amp;"!A"&amp;ROW(재료비목록표!A33),"M00956 →")</f>
        <v>M00956 →</v>
      </c>
    </row>
    <row r="2570" spans="1:26" ht="33.200000000000003" customHeight="1">
      <c r="A2570" s="452" t="s">
        <v>3324</v>
      </c>
      <c r="B2570" s="452" t="s">
        <v>3325</v>
      </c>
      <c r="C2570" s="489">
        <v>0.57999999999999996</v>
      </c>
      <c r="D2570" s="480" t="s">
        <v>8</v>
      </c>
      <c r="E2570" s="490">
        <f t="shared" si="465"/>
        <v>25000</v>
      </c>
      <c r="F2570" s="491">
        <f t="shared" si="465"/>
        <v>14500</v>
      </c>
      <c r="G2570" s="492">
        <v>0</v>
      </c>
      <c r="H2570" s="493">
        <f>IF(C2570=0,0,ROUNDDOWN(G2570*C2570,1))</f>
        <v>0</v>
      </c>
      <c r="I2570" s="494">
        <f>재료비목록표!E83</f>
        <v>25000</v>
      </c>
      <c r="J2570" s="495">
        <f>IF(C2570=0,0,ROUNDDOWN(I2570*C2570,1))</f>
        <v>14500</v>
      </c>
      <c r="K2570" s="492">
        <v>0</v>
      </c>
      <c r="L2570" s="493">
        <f>IF(C2570=0,0,ROUNDDOWN(K2570*C2570,1))</f>
        <v>0</v>
      </c>
      <c r="M2570" s="463" t="s">
        <v>3326</v>
      </c>
      <c r="N2570" s="451" t="s">
        <v>3327</v>
      </c>
      <c r="O2570" s="468" t="s">
        <v>3328</v>
      </c>
      <c r="P2570" s="468" t="s">
        <v>2354</v>
      </c>
      <c r="Z2570" s="433" t="str">
        <f ca="1">HYPERLINK("#"&amp;재료비목록표!G2&amp;"!A"&amp;ROW(재료비목록표!A83),"M00957 →")</f>
        <v>M00957 →</v>
      </c>
    </row>
    <row r="2571" spans="1:26" ht="33.200000000000003" customHeight="1">
      <c r="A2571" s="452" t="s">
        <v>3329</v>
      </c>
      <c r="B2571" s="452"/>
      <c r="C2571" s="489">
        <v>0.85</v>
      </c>
      <c r="D2571" s="480" t="s">
        <v>585</v>
      </c>
      <c r="E2571" s="490">
        <f t="shared" si="465"/>
        <v>273540</v>
      </c>
      <c r="F2571" s="493">
        <f t="shared" si="465"/>
        <v>232509</v>
      </c>
      <c r="G2571" s="494">
        <f>노무비목록표!E20</f>
        <v>273540</v>
      </c>
      <c r="H2571" s="495">
        <f>IF(C2571=0,0,ROUNDDOWN(G2571*C2571,1))</f>
        <v>232509</v>
      </c>
      <c r="I2571" s="492">
        <v>0</v>
      </c>
      <c r="J2571" s="491">
        <f>IF(C2571=0,0,ROUNDDOWN(I2571*C2571,1))</f>
        <v>0</v>
      </c>
      <c r="K2571" s="492">
        <v>0</v>
      </c>
      <c r="L2571" s="493">
        <f>IF(C2571=0,0,ROUNDDOWN(K2571*C2571,1))</f>
        <v>0</v>
      </c>
      <c r="M2571" s="463" t="s">
        <v>3330</v>
      </c>
      <c r="N2571" s="451" t="s">
        <v>3331</v>
      </c>
      <c r="O2571" s="468" t="s">
        <v>3332</v>
      </c>
      <c r="P2571" s="468" t="s">
        <v>2354</v>
      </c>
      <c r="Z2571" s="433" t="str">
        <f ca="1">HYPERLINK("#"&amp;노무비목록표!G2&amp;"!A"&amp;ROW(노무비목록표!A20),"L00008 →")</f>
        <v>L00008 →</v>
      </c>
    </row>
    <row r="2572" spans="1:26" ht="33.200000000000003" customHeight="1">
      <c r="A2572" s="452" t="s">
        <v>2360</v>
      </c>
      <c r="B2572" s="452"/>
      <c r="C2572" s="489">
        <v>0.82</v>
      </c>
      <c r="D2572" s="480" t="s">
        <v>585</v>
      </c>
      <c r="E2572" s="490">
        <f t="shared" si="465"/>
        <v>172068</v>
      </c>
      <c r="F2572" s="493">
        <f t="shared" si="465"/>
        <v>141095.70000000001</v>
      </c>
      <c r="G2572" s="494">
        <f>노무비목록표!E10</f>
        <v>172068</v>
      </c>
      <c r="H2572" s="495">
        <f>IF(C2572=0,0,ROUNDDOWN(G2572*C2572,1))</f>
        <v>141095.70000000001</v>
      </c>
      <c r="I2572" s="492">
        <v>0</v>
      </c>
      <c r="J2572" s="491">
        <f>IF(C2572=0,0,ROUNDDOWN(I2572*C2572,1))</f>
        <v>0</v>
      </c>
      <c r="K2572" s="492">
        <v>0</v>
      </c>
      <c r="L2572" s="493">
        <f>IF(C2572=0,0,ROUNDDOWN(K2572*C2572,1))</f>
        <v>0</v>
      </c>
      <c r="M2572" s="463" t="s">
        <v>2361</v>
      </c>
      <c r="N2572" s="451" t="s">
        <v>2362</v>
      </c>
      <c r="O2572" s="468" t="s">
        <v>2363</v>
      </c>
      <c r="P2572" s="468" t="s">
        <v>2354</v>
      </c>
      <c r="Z2572" s="433" t="str">
        <f ca="1">HYPERLINK("#"&amp;노무비목록표!G2&amp;"!A"&amp;ROW(노무비목록표!A10),"L00017 →")</f>
        <v>L00017 →</v>
      </c>
    </row>
    <row r="2573" spans="1:26" ht="33.200000000000003" customHeight="1">
      <c r="A2573" s="463" t="s">
        <v>842</v>
      </c>
      <c r="B2573" s="497"/>
      <c r="C2573" s="497"/>
      <c r="D2573" s="497"/>
      <c r="E2573" s="497"/>
      <c r="F2573" s="446">
        <f>J2573+H2573+L2573</f>
        <v>477254</v>
      </c>
      <c r="G2573" s="497"/>
      <c r="H2573" s="446">
        <f>ROUNDDOWN(SUMIF(P2568:P2572,O2573,H2568:H2572),0)</f>
        <v>373604</v>
      </c>
      <c r="I2573" s="497"/>
      <c r="J2573" s="446">
        <f>ROUNDDOWN(SUMIF(P2568:P2572,O2573,J2568:J2572),0)</f>
        <v>103650</v>
      </c>
      <c r="K2573" s="497"/>
      <c r="L2573" s="446">
        <f>ROUNDDOWN(SUMIF(P2568:P2572,O2573,L2568:L2572),0)</f>
        <v>0</v>
      </c>
      <c r="M2573" s="497"/>
      <c r="O2573" s="468" t="s">
        <v>2354</v>
      </c>
    </row>
    <row r="2574" spans="1:26" ht="33.200000000000003" customHeight="1">
      <c r="A2574" s="484" t="s">
        <v>5572</v>
      </c>
      <c r="B2574" s="484"/>
      <c r="C2574" s="485"/>
      <c r="D2574" s="485"/>
      <c r="E2574" s="485"/>
      <c r="F2574" s="485"/>
      <c r="G2574" s="485"/>
      <c r="H2574" s="485"/>
      <c r="I2574" s="485"/>
      <c r="J2574" s="485"/>
      <c r="K2574" s="485"/>
      <c r="L2574" s="485"/>
      <c r="M2574" s="485"/>
      <c r="N2574" s="486" t="str">
        <f>HYPERLINK("#N"&amp;ROW(N2580),"_x0005_`BDCOD|B01758_x0007_`POSS|"&amp;ROW(N2576)&amp;"_x0007_`POSE|"&amp;ROW(N2580)&amp;"_x0007_`")</f>
        <v>_x0005_`BDCOD|B01758_x0007_`POSS|2576_x0007_`POSE|2580_x0007_`</v>
      </c>
    </row>
    <row r="2575" spans="1:26" ht="33.200000000000003" customHeight="1">
      <c r="A2575" s="469" t="s">
        <v>2342</v>
      </c>
      <c r="B2575" s="469" t="s">
        <v>2346</v>
      </c>
      <c r="C2575" s="487"/>
      <c r="D2575" s="488" t="s">
        <v>8</v>
      </c>
      <c r="E2575" s="487"/>
      <c r="F2575" s="487"/>
      <c r="G2575" s="487"/>
      <c r="H2575" s="487"/>
      <c r="I2575" s="487"/>
      <c r="J2575" s="487"/>
      <c r="K2575" s="487"/>
      <c r="L2575" s="487"/>
      <c r="M2575" s="488" t="s">
        <v>2345</v>
      </c>
      <c r="O2575" s="468" t="s">
        <v>2345</v>
      </c>
    </row>
    <row r="2576" spans="1:26" ht="33.200000000000003" customHeight="1">
      <c r="A2576" s="452" t="s">
        <v>2609</v>
      </c>
      <c r="B2576" s="452" t="s">
        <v>2610</v>
      </c>
      <c r="C2576" s="489">
        <v>345</v>
      </c>
      <c r="D2576" s="480" t="s">
        <v>2611</v>
      </c>
      <c r="E2576" s="490">
        <f t="shared" ref="E2576:F2580" si="466">I2576+G2576+K2576</f>
        <v>208</v>
      </c>
      <c r="F2576" s="491">
        <f t="shared" si="466"/>
        <v>71760</v>
      </c>
      <c r="G2576" s="492">
        <v>0</v>
      </c>
      <c r="H2576" s="493">
        <f>IF(C2576=0,0,ROUNDDOWN(G2576*C2576,1))</f>
        <v>0</v>
      </c>
      <c r="I2576" s="494">
        <f>재료비목록표!E57</f>
        <v>208</v>
      </c>
      <c r="J2576" s="495">
        <f>IF(C2576=0,0,ROUNDDOWN(I2576*C2576,1))</f>
        <v>71760</v>
      </c>
      <c r="K2576" s="492">
        <v>0</v>
      </c>
      <c r="L2576" s="493">
        <f>IF(C2576=0,0,ROUNDDOWN(K2576*C2576,1))</f>
        <v>0</v>
      </c>
      <c r="M2576" s="463" t="s">
        <v>2612</v>
      </c>
      <c r="N2576" s="451" t="s">
        <v>2613</v>
      </c>
      <c r="O2576" s="468" t="s">
        <v>2614</v>
      </c>
      <c r="P2576" s="468" t="s">
        <v>2354</v>
      </c>
      <c r="Z2576" s="433" t="str">
        <f ca="1">HYPERLINK("#"&amp;재료비목록표!G2&amp;"!A"&amp;ROW(재료비목록표!A57),"M00634 →")</f>
        <v>M00634 →</v>
      </c>
    </row>
    <row r="2577" spans="1:26" ht="33.200000000000003" customHeight="1">
      <c r="A2577" s="452" t="s">
        <v>2615</v>
      </c>
      <c r="B2577" s="452" t="s">
        <v>2616</v>
      </c>
      <c r="C2577" s="489">
        <v>0.47</v>
      </c>
      <c r="D2577" s="480" t="s">
        <v>8</v>
      </c>
      <c r="E2577" s="490">
        <f t="shared" si="466"/>
        <v>37000</v>
      </c>
      <c r="F2577" s="491">
        <f t="shared" si="466"/>
        <v>17390</v>
      </c>
      <c r="G2577" s="492">
        <v>0</v>
      </c>
      <c r="H2577" s="493">
        <f>IF(C2577=0,0,ROUNDDOWN(G2577*C2577,1))</f>
        <v>0</v>
      </c>
      <c r="I2577" s="494">
        <f>재료비목록표!E33</f>
        <v>37000</v>
      </c>
      <c r="J2577" s="495">
        <f>IF(C2577=0,0,ROUNDDOWN(I2577*C2577,1))</f>
        <v>17390</v>
      </c>
      <c r="K2577" s="492">
        <v>0</v>
      </c>
      <c r="L2577" s="493">
        <f>IF(C2577=0,0,ROUNDDOWN(K2577*C2577,1))</f>
        <v>0</v>
      </c>
      <c r="M2577" s="463" t="s">
        <v>2617</v>
      </c>
      <c r="N2577" s="451" t="s">
        <v>2618</v>
      </c>
      <c r="O2577" s="468" t="s">
        <v>2619</v>
      </c>
      <c r="P2577" s="468" t="s">
        <v>2354</v>
      </c>
      <c r="Z2577" s="433" t="str">
        <f ca="1">HYPERLINK("#"&amp;재료비목록표!G2&amp;"!A"&amp;ROW(재료비목록표!A33),"M00956 →")</f>
        <v>M00956 →</v>
      </c>
    </row>
    <row r="2578" spans="1:26" ht="33.200000000000003" customHeight="1">
      <c r="A2578" s="452" t="s">
        <v>3324</v>
      </c>
      <c r="B2578" s="452" t="s">
        <v>3325</v>
      </c>
      <c r="C2578" s="489">
        <v>0.57999999999999996</v>
      </c>
      <c r="D2578" s="480" t="s">
        <v>8</v>
      </c>
      <c r="E2578" s="490">
        <f t="shared" si="466"/>
        <v>25000</v>
      </c>
      <c r="F2578" s="491">
        <f t="shared" si="466"/>
        <v>14500</v>
      </c>
      <c r="G2578" s="492">
        <v>0</v>
      </c>
      <c r="H2578" s="493">
        <f>IF(C2578=0,0,ROUNDDOWN(G2578*C2578,1))</f>
        <v>0</v>
      </c>
      <c r="I2578" s="494">
        <f>재료비목록표!E83</f>
        <v>25000</v>
      </c>
      <c r="J2578" s="495">
        <f>IF(C2578=0,0,ROUNDDOWN(I2578*C2578,1))</f>
        <v>14500</v>
      </c>
      <c r="K2578" s="492">
        <v>0</v>
      </c>
      <c r="L2578" s="493">
        <f>IF(C2578=0,0,ROUNDDOWN(K2578*C2578,1))</f>
        <v>0</v>
      </c>
      <c r="M2578" s="463" t="s">
        <v>3326</v>
      </c>
      <c r="N2578" s="451" t="s">
        <v>3327</v>
      </c>
      <c r="O2578" s="468" t="s">
        <v>3328</v>
      </c>
      <c r="P2578" s="468" t="s">
        <v>2354</v>
      </c>
      <c r="Z2578" s="433" t="str">
        <f ca="1">HYPERLINK("#"&amp;재료비목록표!G2&amp;"!A"&amp;ROW(재료비목록표!A83),"M00957 →")</f>
        <v>M00957 →</v>
      </c>
    </row>
    <row r="2579" spans="1:26" ht="33.200000000000003" customHeight="1">
      <c r="A2579" s="452" t="s">
        <v>3329</v>
      </c>
      <c r="B2579" s="452"/>
      <c r="C2579" s="489">
        <v>1.29</v>
      </c>
      <c r="D2579" s="480" t="s">
        <v>585</v>
      </c>
      <c r="E2579" s="490">
        <f t="shared" si="466"/>
        <v>273540</v>
      </c>
      <c r="F2579" s="493">
        <f t="shared" si="466"/>
        <v>352866.6</v>
      </c>
      <c r="G2579" s="494">
        <f>노무비목록표!E20</f>
        <v>273540</v>
      </c>
      <c r="H2579" s="495">
        <f>IF(C2579=0,0,ROUNDDOWN(G2579*C2579,1))</f>
        <v>352866.6</v>
      </c>
      <c r="I2579" s="492">
        <v>0</v>
      </c>
      <c r="J2579" s="491">
        <f>IF(C2579=0,0,ROUNDDOWN(I2579*C2579,1))</f>
        <v>0</v>
      </c>
      <c r="K2579" s="492">
        <v>0</v>
      </c>
      <c r="L2579" s="493">
        <f>IF(C2579=0,0,ROUNDDOWN(K2579*C2579,1))</f>
        <v>0</v>
      </c>
      <c r="M2579" s="463" t="s">
        <v>3330</v>
      </c>
      <c r="N2579" s="451" t="s">
        <v>3331</v>
      </c>
      <c r="O2579" s="468" t="s">
        <v>3332</v>
      </c>
      <c r="P2579" s="468" t="s">
        <v>2354</v>
      </c>
      <c r="Z2579" s="433" t="str">
        <f ca="1">HYPERLINK("#"&amp;노무비목록표!G2&amp;"!A"&amp;ROW(노무비목록표!A20),"L00008 →")</f>
        <v>L00008 →</v>
      </c>
    </row>
    <row r="2580" spans="1:26" ht="33.200000000000003" customHeight="1">
      <c r="A2580" s="452" t="s">
        <v>2360</v>
      </c>
      <c r="B2580" s="452"/>
      <c r="C2580" s="489">
        <v>1.36</v>
      </c>
      <c r="D2580" s="480" t="s">
        <v>585</v>
      </c>
      <c r="E2580" s="490">
        <f t="shared" si="466"/>
        <v>172068</v>
      </c>
      <c r="F2580" s="493">
        <f t="shared" si="466"/>
        <v>234012.4</v>
      </c>
      <c r="G2580" s="494">
        <f>노무비목록표!E10</f>
        <v>172068</v>
      </c>
      <c r="H2580" s="495">
        <f>IF(C2580=0,0,ROUNDDOWN(G2580*C2580,1))</f>
        <v>234012.4</v>
      </c>
      <c r="I2580" s="492">
        <v>0</v>
      </c>
      <c r="J2580" s="491">
        <f>IF(C2580=0,0,ROUNDDOWN(I2580*C2580,1))</f>
        <v>0</v>
      </c>
      <c r="K2580" s="492">
        <v>0</v>
      </c>
      <c r="L2580" s="493">
        <f>IF(C2580=0,0,ROUNDDOWN(K2580*C2580,1))</f>
        <v>0</v>
      </c>
      <c r="M2580" s="463" t="s">
        <v>2361</v>
      </c>
      <c r="N2580" s="451" t="s">
        <v>2362</v>
      </c>
      <c r="O2580" s="468" t="s">
        <v>2363</v>
      </c>
      <c r="P2580" s="468" t="s">
        <v>2354</v>
      </c>
      <c r="Z2580" s="433" t="str">
        <f ca="1">HYPERLINK("#"&amp;노무비목록표!G2&amp;"!A"&amp;ROW(노무비목록표!A10),"L00017 →")</f>
        <v>L00017 →</v>
      </c>
    </row>
    <row r="2581" spans="1:26" ht="33.200000000000003" customHeight="1">
      <c r="A2581" s="463" t="s">
        <v>842</v>
      </c>
      <c r="B2581" s="497"/>
      <c r="C2581" s="497"/>
      <c r="D2581" s="497"/>
      <c r="E2581" s="497"/>
      <c r="F2581" s="446">
        <f>J2581+H2581+L2581</f>
        <v>690529</v>
      </c>
      <c r="G2581" s="497"/>
      <c r="H2581" s="446">
        <f>ROUNDDOWN(SUMIF(P2576:P2580,O2581,H2576:H2580),0)</f>
        <v>586879</v>
      </c>
      <c r="I2581" s="497"/>
      <c r="J2581" s="446">
        <f>ROUNDDOWN(SUMIF(P2576:P2580,O2581,J2576:J2580),0)</f>
        <v>103650</v>
      </c>
      <c r="K2581" s="497"/>
      <c r="L2581" s="446">
        <f>ROUNDDOWN(SUMIF(P2576:P2580,O2581,L2576:L2580),0)</f>
        <v>0</v>
      </c>
      <c r="M2581" s="497"/>
      <c r="O2581" s="468" t="s">
        <v>2354</v>
      </c>
    </row>
    <row r="2582" spans="1:26" ht="33.200000000000003" customHeight="1">
      <c r="A2582" s="484" t="s">
        <v>5573</v>
      </c>
      <c r="B2582" s="484"/>
      <c r="C2582" s="485"/>
      <c r="D2582" s="485"/>
      <c r="E2582" s="485"/>
      <c r="F2582" s="485"/>
      <c r="G2582" s="485"/>
      <c r="H2582" s="485"/>
      <c r="I2582" s="485"/>
      <c r="J2582" s="485"/>
      <c r="K2582" s="485"/>
      <c r="L2582" s="485"/>
      <c r="M2582" s="485"/>
      <c r="N2582" s="486" t="str">
        <f>HYPERLINK("#N"&amp;ROW(N2588),"_x0005_`BDCOD|B02508_x0007_`POSS|"&amp;ROW(N2584)&amp;"_x0007_`POSE|"&amp;ROW(N2588)&amp;"_x0007_`")</f>
        <v>_x0005_`BDCOD|B02508_x0007_`POSS|2584_x0007_`POSE|2588_x0007_`</v>
      </c>
    </row>
    <row r="2583" spans="1:26" ht="33.200000000000003" customHeight="1">
      <c r="A2583" s="469" t="s">
        <v>1119</v>
      </c>
      <c r="B2583" s="469" t="s">
        <v>1103</v>
      </c>
      <c r="C2583" s="487"/>
      <c r="D2583" s="488" t="s">
        <v>975</v>
      </c>
      <c r="E2583" s="487"/>
      <c r="F2583" s="487"/>
      <c r="G2583" s="487"/>
      <c r="H2583" s="487"/>
      <c r="I2583" s="487"/>
      <c r="J2583" s="487"/>
      <c r="K2583" s="487"/>
      <c r="L2583" s="487"/>
      <c r="M2583" s="488" t="s">
        <v>1120</v>
      </c>
      <c r="O2583" s="468" t="s">
        <v>1120</v>
      </c>
    </row>
    <row r="2584" spans="1:26" ht="33.200000000000003" customHeight="1">
      <c r="A2584" s="452" t="s">
        <v>2484</v>
      </c>
      <c r="B2584" s="452" t="s">
        <v>2485</v>
      </c>
      <c r="C2584" s="489">
        <v>0.24</v>
      </c>
      <c r="D2584" s="480" t="s">
        <v>8</v>
      </c>
      <c r="E2584" s="490">
        <f t="shared" ref="E2584:F2588" si="467">I2584+G2584+K2584</f>
        <v>62811</v>
      </c>
      <c r="F2584" s="493">
        <f t="shared" si="467"/>
        <v>15074.6</v>
      </c>
      <c r="G2584" s="494">
        <f>단가산출근거목록표!F157</f>
        <v>62811</v>
      </c>
      <c r="H2584" s="498">
        <f>IF(C2584=0,0,ROUNDDOWN(G2584*C2584,1))</f>
        <v>15074.6</v>
      </c>
      <c r="I2584" s="494">
        <f>단가산출근거목록표!G157</f>
        <v>0</v>
      </c>
      <c r="J2584" s="498">
        <f>IF(C2584=0,0,ROUNDDOWN(I2584*C2584,1))</f>
        <v>0</v>
      </c>
      <c r="K2584" s="494">
        <f>단가산출근거목록표!H157</f>
        <v>0</v>
      </c>
      <c r="L2584" s="498">
        <f>IF(C2584=0,0,ROUNDDOWN(K2584*C2584,1))</f>
        <v>0</v>
      </c>
      <c r="M2584" s="463" t="s">
        <v>2486</v>
      </c>
      <c r="N2584" s="451" t="s">
        <v>2487</v>
      </c>
      <c r="O2584" s="468" t="s">
        <v>2488</v>
      </c>
      <c r="P2584" s="468" t="s">
        <v>2354</v>
      </c>
      <c r="Q2584" s="468" t="s">
        <v>2355</v>
      </c>
      <c r="Z2584" s="433" t="str">
        <f ca="1">HYPERLINK("#"&amp;단가산출근거목록표!J2&amp;"!A"&amp;ROW(단가산출근거목록표!A157),"D01241 →")</f>
        <v>D01241 →</v>
      </c>
    </row>
    <row r="2585" spans="1:26" ht="33.200000000000003" customHeight="1">
      <c r="A2585" s="452" t="s">
        <v>2321</v>
      </c>
      <c r="B2585" s="452" t="s">
        <v>2322</v>
      </c>
      <c r="C2585" s="489">
        <v>0.24</v>
      </c>
      <c r="D2585" s="480" t="s">
        <v>8</v>
      </c>
      <c r="E2585" s="490">
        <f t="shared" si="467"/>
        <v>34413</v>
      </c>
      <c r="F2585" s="493">
        <f t="shared" si="467"/>
        <v>8259.1</v>
      </c>
      <c r="G2585" s="494">
        <f>일위대가목록표!F275</f>
        <v>34413</v>
      </c>
      <c r="H2585" s="498">
        <f>IF(C2585=0,0,ROUNDDOWN(G2585*C2585,1))</f>
        <v>8259.1</v>
      </c>
      <c r="I2585" s="494">
        <f>일위대가목록표!G275</f>
        <v>0</v>
      </c>
      <c r="J2585" s="498">
        <f>IF(C2585=0,0,ROUNDDOWN(I2585*C2585,1))</f>
        <v>0</v>
      </c>
      <c r="K2585" s="494">
        <f>일위대가목록표!H275</f>
        <v>0</v>
      </c>
      <c r="L2585" s="498">
        <f>IF(C2585=0,0,ROUNDDOWN(K2585*C2585,1))</f>
        <v>0</v>
      </c>
      <c r="M2585" s="463" t="s">
        <v>2489</v>
      </c>
      <c r="N2585" s="451" t="s">
        <v>2490</v>
      </c>
      <c r="O2585" s="468" t="s">
        <v>2491</v>
      </c>
      <c r="P2585" s="468" t="s">
        <v>2354</v>
      </c>
      <c r="Q2585" s="468" t="s">
        <v>2355</v>
      </c>
      <c r="Z2585" s="433" t="str">
        <f ca="1">HYPERLINK("#"&amp;일위대가목록표!J2&amp;"!A"&amp;ROW(일위대가목록표!A275),"B01414 →")</f>
        <v>B01414 →</v>
      </c>
    </row>
    <row r="2586" spans="1:26" ht="33.200000000000003" customHeight="1">
      <c r="A2586" s="452" t="s">
        <v>2627</v>
      </c>
      <c r="B2586" s="452" t="s">
        <v>2628</v>
      </c>
      <c r="C2586" s="489">
        <v>56.587000000099998</v>
      </c>
      <c r="D2586" s="480" t="s">
        <v>605</v>
      </c>
      <c r="E2586" s="490">
        <f t="shared" si="467"/>
        <v>6200</v>
      </c>
      <c r="F2586" s="491">
        <f t="shared" si="467"/>
        <v>350839.4</v>
      </c>
      <c r="G2586" s="492">
        <v>0</v>
      </c>
      <c r="H2586" s="493">
        <f>IF(C2586=0,0,ROUNDDOWN(G2586*C2586,1))</f>
        <v>0</v>
      </c>
      <c r="I2586" s="494">
        <f>재료비목록표!E8</f>
        <v>6200</v>
      </c>
      <c r="J2586" s="495">
        <f>IF(C2586=0,0,ROUNDDOWN(I2586*C2586,1))</f>
        <v>350839.4</v>
      </c>
      <c r="K2586" s="492">
        <v>0</v>
      </c>
      <c r="L2586" s="493">
        <f>IF(C2586=0,0,ROUNDDOWN(K2586*C2586,1))</f>
        <v>0</v>
      </c>
      <c r="M2586" s="463" t="s">
        <v>2629</v>
      </c>
      <c r="N2586" s="451" t="s">
        <v>2630</v>
      </c>
      <c r="O2586" s="468" t="s">
        <v>2631</v>
      </c>
      <c r="P2586" s="468" t="s">
        <v>2354</v>
      </c>
      <c r="Z2586" s="433" t="str">
        <f ca="1">HYPERLINK("#"&amp;재료비목록표!G2&amp;"!A"&amp;ROW(재료비목록표!A8),"M00950 →")</f>
        <v>M00950 →</v>
      </c>
    </row>
    <row r="2587" spans="1:26" ht="33.200000000000003" customHeight="1">
      <c r="A2587" s="452" t="s">
        <v>1461</v>
      </c>
      <c r="B2587" s="452" t="s">
        <v>1462</v>
      </c>
      <c r="C2587" s="489">
        <v>0.18</v>
      </c>
      <c r="D2587" s="480" t="s">
        <v>8</v>
      </c>
      <c r="E2587" s="490">
        <f t="shared" si="467"/>
        <v>915052</v>
      </c>
      <c r="F2587" s="493">
        <f t="shared" si="467"/>
        <v>164709.29999999999</v>
      </c>
      <c r="G2587" s="494">
        <f>일위대가목록표!F72</f>
        <v>915052</v>
      </c>
      <c r="H2587" s="498">
        <f>IF(C2587=0,0,ROUNDDOWN(G2587*C2587,1))</f>
        <v>164709.29999999999</v>
      </c>
      <c r="I2587" s="494">
        <f>일위대가목록표!G72</f>
        <v>0</v>
      </c>
      <c r="J2587" s="498">
        <f>IF(C2587=0,0,ROUNDDOWN(I2587*C2587,1))</f>
        <v>0</v>
      </c>
      <c r="K2587" s="494">
        <f>일위대가목록표!H72</f>
        <v>0</v>
      </c>
      <c r="L2587" s="498">
        <f>IF(C2587=0,0,ROUNDDOWN(K2587*C2587,1))</f>
        <v>0</v>
      </c>
      <c r="M2587" s="463" t="s">
        <v>2471</v>
      </c>
      <c r="N2587" s="451" t="s">
        <v>2472</v>
      </c>
      <c r="O2587" s="468" t="s">
        <v>1465</v>
      </c>
      <c r="P2587" s="468" t="s">
        <v>2354</v>
      </c>
      <c r="Q2587" s="468" t="s">
        <v>2355</v>
      </c>
      <c r="Z2587" s="433" t="str">
        <f ca="1">HYPERLINK("#"&amp;일위대가목록표!J2&amp;"!A"&amp;ROW(일위대가목록표!A72),"B01822 →")</f>
        <v>B01822 →</v>
      </c>
    </row>
    <row r="2588" spans="1:26" ht="33.200000000000003" customHeight="1">
      <c r="A2588" s="452" t="s">
        <v>2574</v>
      </c>
      <c r="B2588" s="452" t="s">
        <v>2575</v>
      </c>
      <c r="C2588" s="489">
        <v>3.689E-3</v>
      </c>
      <c r="D2588" s="480" t="s">
        <v>2576</v>
      </c>
      <c r="E2588" s="490">
        <f t="shared" si="467"/>
        <v>765000</v>
      </c>
      <c r="F2588" s="491">
        <f t="shared" si="467"/>
        <v>2822</v>
      </c>
      <c r="G2588" s="492">
        <v>0</v>
      </c>
      <c r="H2588" s="493">
        <f>IF(C2588=0,0,ROUNDDOWN(G2588*C2588,1))</f>
        <v>0</v>
      </c>
      <c r="I2588" s="494">
        <f>재료비목록표!E81</f>
        <v>765000</v>
      </c>
      <c r="J2588" s="495">
        <f>IF(C2588=0,0,ROUNDDOWN(I2588*C2588,1))</f>
        <v>2822</v>
      </c>
      <c r="K2588" s="492">
        <v>0</v>
      </c>
      <c r="L2588" s="493">
        <f>IF(C2588=0,0,ROUNDDOWN(K2588*C2588,1))</f>
        <v>0</v>
      </c>
      <c r="M2588" s="463" t="s">
        <v>2577</v>
      </c>
      <c r="N2588" s="451" t="s">
        <v>2578</v>
      </c>
      <c r="O2588" s="468" t="s">
        <v>2579</v>
      </c>
      <c r="P2588" s="468" t="s">
        <v>2354</v>
      </c>
      <c r="Z2588" s="433" t="str">
        <f ca="1">HYPERLINK("#"&amp;재료비목록표!G2&amp;"!A"&amp;ROW(재료비목록표!A81),"M00150 →")</f>
        <v>M00150 →</v>
      </c>
    </row>
    <row r="2589" spans="1:26" ht="33.200000000000003" customHeight="1">
      <c r="A2589" s="463" t="s">
        <v>842</v>
      </c>
      <c r="B2589" s="497"/>
      <c r="C2589" s="497"/>
      <c r="D2589" s="497"/>
      <c r="E2589" s="497"/>
      <c r="F2589" s="446">
        <f>J2589+H2589+L2589</f>
        <v>541704</v>
      </c>
      <c r="G2589" s="497"/>
      <c r="H2589" s="446">
        <f>ROUNDDOWN(SUMIF(P2584:P2588,O2589,H2584:H2588),0)</f>
        <v>188043</v>
      </c>
      <c r="I2589" s="497"/>
      <c r="J2589" s="446">
        <f>ROUNDDOWN(SUMIF(P2584:P2588,O2589,J2584:J2588),0)</f>
        <v>353661</v>
      </c>
      <c r="K2589" s="497"/>
      <c r="L2589" s="446">
        <f>ROUNDDOWN(SUMIF(P2584:P2588,O2589,L2584:L2588),0)</f>
        <v>0</v>
      </c>
      <c r="M2589" s="497"/>
      <c r="O2589" s="468" t="s">
        <v>2354</v>
      </c>
    </row>
    <row r="2590" spans="1:26" ht="33.200000000000003" customHeight="1">
      <c r="A2590" s="484" t="s">
        <v>5574</v>
      </c>
      <c r="B2590" s="484"/>
      <c r="C2590" s="485"/>
      <c r="D2590" s="485"/>
      <c r="E2590" s="485"/>
      <c r="F2590" s="485"/>
      <c r="G2590" s="485"/>
      <c r="H2590" s="485"/>
      <c r="I2590" s="485"/>
      <c r="J2590" s="485"/>
      <c r="K2590" s="485"/>
      <c r="L2590" s="485"/>
      <c r="M2590" s="485"/>
      <c r="N2590" s="486" t="str">
        <f>HYPERLINK("#N"&amp;ROW(N2596),"_x0005_`BDCOD|B02509_x0007_`POSS|"&amp;ROW(N2592)&amp;"_x0007_`POSE|"&amp;ROW(N2596)&amp;"_x0007_`")</f>
        <v>_x0005_`BDCOD|B02509_x0007_`POSS|2592_x0007_`POSE|2596_x0007_`</v>
      </c>
    </row>
    <row r="2591" spans="1:26" ht="33.200000000000003" customHeight="1">
      <c r="A2591" s="469" t="s">
        <v>1119</v>
      </c>
      <c r="B2591" s="469" t="s">
        <v>1107</v>
      </c>
      <c r="C2591" s="487"/>
      <c r="D2591" s="488" t="s">
        <v>975</v>
      </c>
      <c r="E2591" s="487"/>
      <c r="F2591" s="487"/>
      <c r="G2591" s="487"/>
      <c r="H2591" s="487"/>
      <c r="I2591" s="487"/>
      <c r="J2591" s="487"/>
      <c r="K2591" s="487"/>
      <c r="L2591" s="487"/>
      <c r="M2591" s="488" t="s">
        <v>1123</v>
      </c>
      <c r="O2591" s="468" t="s">
        <v>1123</v>
      </c>
    </row>
    <row r="2592" spans="1:26" ht="33.200000000000003" customHeight="1">
      <c r="A2592" s="452" t="s">
        <v>2484</v>
      </c>
      <c r="B2592" s="452" t="s">
        <v>2485</v>
      </c>
      <c r="C2592" s="489">
        <v>0.32</v>
      </c>
      <c r="D2592" s="480" t="s">
        <v>8</v>
      </c>
      <c r="E2592" s="490">
        <f t="shared" ref="E2592:F2596" si="468">I2592+G2592+K2592</f>
        <v>62811</v>
      </c>
      <c r="F2592" s="493">
        <f t="shared" si="468"/>
        <v>20099.5</v>
      </c>
      <c r="G2592" s="494">
        <f>단가산출근거목록표!F157</f>
        <v>62811</v>
      </c>
      <c r="H2592" s="498">
        <f>IF(C2592=0,0,ROUNDDOWN(G2592*C2592,1))</f>
        <v>20099.5</v>
      </c>
      <c r="I2592" s="494">
        <f>단가산출근거목록표!G157</f>
        <v>0</v>
      </c>
      <c r="J2592" s="498">
        <f>IF(C2592=0,0,ROUNDDOWN(I2592*C2592,1))</f>
        <v>0</v>
      </c>
      <c r="K2592" s="494">
        <f>단가산출근거목록표!H157</f>
        <v>0</v>
      </c>
      <c r="L2592" s="498">
        <f>IF(C2592=0,0,ROUNDDOWN(K2592*C2592,1))</f>
        <v>0</v>
      </c>
      <c r="M2592" s="463" t="s">
        <v>2486</v>
      </c>
      <c r="N2592" s="451" t="s">
        <v>2487</v>
      </c>
      <c r="O2592" s="468" t="s">
        <v>2488</v>
      </c>
      <c r="P2592" s="468" t="s">
        <v>2354</v>
      </c>
      <c r="Q2592" s="468" t="s">
        <v>2355</v>
      </c>
      <c r="Z2592" s="433" t="str">
        <f ca="1">HYPERLINK("#"&amp;단가산출근거목록표!J2&amp;"!A"&amp;ROW(단가산출근거목록표!A157),"D01241 →")</f>
        <v>D01241 →</v>
      </c>
    </row>
    <row r="2593" spans="1:26" ht="33.200000000000003" customHeight="1">
      <c r="A2593" s="452" t="s">
        <v>2321</v>
      </c>
      <c r="B2593" s="452" t="s">
        <v>2322</v>
      </c>
      <c r="C2593" s="489">
        <v>0.32</v>
      </c>
      <c r="D2593" s="480" t="s">
        <v>8</v>
      </c>
      <c r="E2593" s="490">
        <f t="shared" si="468"/>
        <v>34413</v>
      </c>
      <c r="F2593" s="493">
        <f t="shared" si="468"/>
        <v>11012.1</v>
      </c>
      <c r="G2593" s="494">
        <f>일위대가목록표!F275</f>
        <v>34413</v>
      </c>
      <c r="H2593" s="498">
        <f>IF(C2593=0,0,ROUNDDOWN(G2593*C2593,1))</f>
        <v>11012.1</v>
      </c>
      <c r="I2593" s="494">
        <f>일위대가목록표!G275</f>
        <v>0</v>
      </c>
      <c r="J2593" s="498">
        <f>IF(C2593=0,0,ROUNDDOWN(I2593*C2593,1))</f>
        <v>0</v>
      </c>
      <c r="K2593" s="494">
        <f>일위대가목록표!H275</f>
        <v>0</v>
      </c>
      <c r="L2593" s="498">
        <f>IF(C2593=0,0,ROUNDDOWN(K2593*C2593,1))</f>
        <v>0</v>
      </c>
      <c r="M2593" s="463" t="s">
        <v>2489</v>
      </c>
      <c r="N2593" s="451" t="s">
        <v>2490</v>
      </c>
      <c r="O2593" s="468" t="s">
        <v>2491</v>
      </c>
      <c r="P2593" s="468" t="s">
        <v>2354</v>
      </c>
      <c r="Q2593" s="468" t="s">
        <v>2355</v>
      </c>
      <c r="Z2593" s="433" t="str">
        <f ca="1">HYPERLINK("#"&amp;일위대가목록표!J2&amp;"!A"&amp;ROW(일위대가목록표!A275),"B01414 →")</f>
        <v>B01414 →</v>
      </c>
    </row>
    <row r="2594" spans="1:26" ht="33.200000000000003" customHeight="1">
      <c r="A2594" s="452" t="s">
        <v>2627</v>
      </c>
      <c r="B2594" s="452" t="s">
        <v>2628</v>
      </c>
      <c r="C2594" s="489">
        <v>75.448999999999998</v>
      </c>
      <c r="D2594" s="480" t="s">
        <v>605</v>
      </c>
      <c r="E2594" s="490">
        <f t="shared" si="468"/>
        <v>6200</v>
      </c>
      <c r="F2594" s="491">
        <f t="shared" si="468"/>
        <v>467783.8</v>
      </c>
      <c r="G2594" s="492">
        <v>0</v>
      </c>
      <c r="H2594" s="493">
        <f>IF(C2594=0,0,ROUNDDOWN(G2594*C2594,1))</f>
        <v>0</v>
      </c>
      <c r="I2594" s="494">
        <f>재료비목록표!E8</f>
        <v>6200</v>
      </c>
      <c r="J2594" s="495">
        <f>IF(C2594=0,0,ROUNDDOWN(I2594*C2594,1))</f>
        <v>467783.8</v>
      </c>
      <c r="K2594" s="492">
        <v>0</v>
      </c>
      <c r="L2594" s="493">
        <f>IF(C2594=0,0,ROUNDDOWN(K2594*C2594,1))</f>
        <v>0</v>
      </c>
      <c r="M2594" s="463" t="s">
        <v>2629</v>
      </c>
      <c r="N2594" s="451" t="s">
        <v>2630</v>
      </c>
      <c r="O2594" s="468" t="s">
        <v>2631</v>
      </c>
      <c r="P2594" s="468" t="s">
        <v>2354</v>
      </c>
      <c r="Z2594" s="433" t="str">
        <f ca="1">HYPERLINK("#"&amp;재료비목록표!G2&amp;"!A"&amp;ROW(재료비목록표!A8),"M00950 →")</f>
        <v>M00950 →</v>
      </c>
    </row>
    <row r="2595" spans="1:26" ht="33.200000000000003" customHeight="1">
      <c r="A2595" s="452" t="s">
        <v>1461</v>
      </c>
      <c r="B2595" s="452" t="s">
        <v>1462</v>
      </c>
      <c r="C2595" s="489">
        <v>0.24</v>
      </c>
      <c r="D2595" s="480" t="s">
        <v>8</v>
      </c>
      <c r="E2595" s="490">
        <f t="shared" si="468"/>
        <v>915052</v>
      </c>
      <c r="F2595" s="493">
        <f t="shared" si="468"/>
        <v>219612.4</v>
      </c>
      <c r="G2595" s="494">
        <f>일위대가목록표!F72</f>
        <v>915052</v>
      </c>
      <c r="H2595" s="498">
        <f>IF(C2595=0,0,ROUNDDOWN(G2595*C2595,1))</f>
        <v>219612.4</v>
      </c>
      <c r="I2595" s="494">
        <f>일위대가목록표!G72</f>
        <v>0</v>
      </c>
      <c r="J2595" s="498">
        <f>IF(C2595=0,0,ROUNDDOWN(I2595*C2595,1))</f>
        <v>0</v>
      </c>
      <c r="K2595" s="494">
        <f>일위대가목록표!H72</f>
        <v>0</v>
      </c>
      <c r="L2595" s="498">
        <f>IF(C2595=0,0,ROUNDDOWN(K2595*C2595,1))</f>
        <v>0</v>
      </c>
      <c r="M2595" s="463" t="s">
        <v>2471</v>
      </c>
      <c r="N2595" s="451" t="s">
        <v>2472</v>
      </c>
      <c r="O2595" s="468" t="s">
        <v>1465</v>
      </c>
      <c r="P2595" s="468" t="s">
        <v>2354</v>
      </c>
      <c r="Q2595" s="468" t="s">
        <v>2355</v>
      </c>
      <c r="Z2595" s="433" t="str">
        <f ca="1">HYPERLINK("#"&amp;일위대가목록표!J2&amp;"!A"&amp;ROW(일위대가목록표!A72),"B01822 →")</f>
        <v>B01822 →</v>
      </c>
    </row>
    <row r="2596" spans="1:26" ht="33.200000000000003" customHeight="1">
      <c r="A2596" s="452" t="s">
        <v>2574</v>
      </c>
      <c r="B2596" s="452" t="s">
        <v>2575</v>
      </c>
      <c r="C2596" s="489">
        <v>3.689E-3</v>
      </c>
      <c r="D2596" s="480" t="s">
        <v>2576</v>
      </c>
      <c r="E2596" s="490">
        <f t="shared" si="468"/>
        <v>765000</v>
      </c>
      <c r="F2596" s="491">
        <f t="shared" si="468"/>
        <v>2822</v>
      </c>
      <c r="G2596" s="492">
        <v>0</v>
      </c>
      <c r="H2596" s="493">
        <f>IF(C2596=0,0,ROUNDDOWN(G2596*C2596,1))</f>
        <v>0</v>
      </c>
      <c r="I2596" s="494">
        <f>재료비목록표!E81</f>
        <v>765000</v>
      </c>
      <c r="J2596" s="495">
        <f>IF(C2596=0,0,ROUNDDOWN(I2596*C2596,1))</f>
        <v>2822</v>
      </c>
      <c r="K2596" s="492">
        <v>0</v>
      </c>
      <c r="L2596" s="493">
        <f>IF(C2596=0,0,ROUNDDOWN(K2596*C2596,1))</f>
        <v>0</v>
      </c>
      <c r="M2596" s="463" t="s">
        <v>2577</v>
      </c>
      <c r="N2596" s="451" t="s">
        <v>2578</v>
      </c>
      <c r="O2596" s="468" t="s">
        <v>2579</v>
      </c>
      <c r="P2596" s="468" t="s">
        <v>2354</v>
      </c>
      <c r="Z2596" s="433" t="str">
        <f ca="1">HYPERLINK("#"&amp;재료비목록표!G2&amp;"!A"&amp;ROW(재료비목록표!A81),"M00150 →")</f>
        <v>M00150 →</v>
      </c>
    </row>
    <row r="2597" spans="1:26" ht="33.200000000000003" customHeight="1">
      <c r="A2597" s="463" t="s">
        <v>842</v>
      </c>
      <c r="B2597" s="497"/>
      <c r="C2597" s="497"/>
      <c r="D2597" s="497"/>
      <c r="E2597" s="497"/>
      <c r="F2597" s="446">
        <f>J2597+H2597+L2597</f>
        <v>721329</v>
      </c>
      <c r="G2597" s="497"/>
      <c r="H2597" s="446">
        <f>ROUNDDOWN(SUMIF(P2592:P2596,O2597,H2592:H2596),0)</f>
        <v>250724</v>
      </c>
      <c r="I2597" s="497"/>
      <c r="J2597" s="446">
        <f>ROUNDDOWN(SUMIF(P2592:P2596,O2597,J2592:J2596),0)</f>
        <v>470605</v>
      </c>
      <c r="K2597" s="497"/>
      <c r="L2597" s="446">
        <f>ROUNDDOWN(SUMIF(P2592:P2596,O2597,L2592:L2596),0)</f>
        <v>0</v>
      </c>
      <c r="M2597" s="497"/>
      <c r="O2597" s="468" t="s">
        <v>2354</v>
      </c>
    </row>
    <row r="2598" spans="1:26" ht="33.200000000000003" customHeight="1">
      <c r="A2598" s="484" t="s">
        <v>5575</v>
      </c>
      <c r="B2598" s="484"/>
      <c r="C2598" s="485"/>
      <c r="D2598" s="485"/>
      <c r="E2598" s="485"/>
      <c r="F2598" s="485"/>
      <c r="G2598" s="485"/>
      <c r="H2598" s="485"/>
      <c r="I2598" s="485"/>
      <c r="J2598" s="485"/>
      <c r="K2598" s="485"/>
      <c r="L2598" s="485"/>
      <c r="M2598" s="485"/>
      <c r="N2598" s="486" t="str">
        <f>HYPERLINK("#N"&amp;ROW(N2604),"_x0005_`BDCOD|B02510_x0007_`POSS|"&amp;ROW(N2600)&amp;"_x0007_`POSE|"&amp;ROW(N2604)&amp;"_x0007_`")</f>
        <v>_x0005_`BDCOD|B02510_x0007_`POSS|2600_x0007_`POSE|2604_x0007_`</v>
      </c>
    </row>
    <row r="2599" spans="1:26" ht="33.200000000000003" customHeight="1">
      <c r="A2599" s="469" t="s">
        <v>1119</v>
      </c>
      <c r="B2599" s="469" t="s">
        <v>1111</v>
      </c>
      <c r="C2599" s="487"/>
      <c r="D2599" s="488" t="s">
        <v>975</v>
      </c>
      <c r="E2599" s="487"/>
      <c r="F2599" s="487"/>
      <c r="G2599" s="487"/>
      <c r="H2599" s="487"/>
      <c r="I2599" s="487"/>
      <c r="J2599" s="487"/>
      <c r="K2599" s="487"/>
      <c r="L2599" s="487"/>
      <c r="M2599" s="488" t="s">
        <v>1126</v>
      </c>
      <c r="O2599" s="468" t="s">
        <v>1126</v>
      </c>
    </row>
    <row r="2600" spans="1:26" ht="33.200000000000003" customHeight="1">
      <c r="A2600" s="452" t="s">
        <v>2484</v>
      </c>
      <c r="B2600" s="452" t="s">
        <v>2485</v>
      </c>
      <c r="C2600" s="489">
        <v>0.4</v>
      </c>
      <c r="D2600" s="480" t="s">
        <v>8</v>
      </c>
      <c r="E2600" s="490">
        <f t="shared" ref="E2600:F2604" si="469">I2600+G2600+K2600</f>
        <v>62811</v>
      </c>
      <c r="F2600" s="493">
        <f t="shared" si="469"/>
        <v>25124.400000000001</v>
      </c>
      <c r="G2600" s="494">
        <f>단가산출근거목록표!F157</f>
        <v>62811</v>
      </c>
      <c r="H2600" s="498">
        <f>IF(C2600=0,0,ROUNDDOWN(G2600*C2600,1))</f>
        <v>25124.400000000001</v>
      </c>
      <c r="I2600" s="494">
        <f>단가산출근거목록표!G157</f>
        <v>0</v>
      </c>
      <c r="J2600" s="498">
        <f>IF(C2600=0,0,ROUNDDOWN(I2600*C2600,1))</f>
        <v>0</v>
      </c>
      <c r="K2600" s="494">
        <f>단가산출근거목록표!H157</f>
        <v>0</v>
      </c>
      <c r="L2600" s="498">
        <f>IF(C2600=0,0,ROUNDDOWN(K2600*C2600,1))</f>
        <v>0</v>
      </c>
      <c r="M2600" s="463" t="s">
        <v>2486</v>
      </c>
      <c r="N2600" s="451" t="s">
        <v>2487</v>
      </c>
      <c r="O2600" s="468" t="s">
        <v>2488</v>
      </c>
      <c r="P2600" s="468" t="s">
        <v>2354</v>
      </c>
      <c r="Q2600" s="468" t="s">
        <v>2355</v>
      </c>
      <c r="Z2600" s="433" t="str">
        <f ca="1">HYPERLINK("#"&amp;단가산출근거목록표!J2&amp;"!A"&amp;ROW(단가산출근거목록표!A157),"D01241 →")</f>
        <v>D01241 →</v>
      </c>
    </row>
    <row r="2601" spans="1:26" ht="33.200000000000003" customHeight="1">
      <c r="A2601" s="452" t="s">
        <v>2321</v>
      </c>
      <c r="B2601" s="452" t="s">
        <v>2322</v>
      </c>
      <c r="C2601" s="489">
        <v>0.4</v>
      </c>
      <c r="D2601" s="480" t="s">
        <v>8</v>
      </c>
      <c r="E2601" s="490">
        <f t="shared" si="469"/>
        <v>34413</v>
      </c>
      <c r="F2601" s="493">
        <f t="shared" si="469"/>
        <v>13765.2</v>
      </c>
      <c r="G2601" s="494">
        <f>일위대가목록표!F275</f>
        <v>34413</v>
      </c>
      <c r="H2601" s="498">
        <f>IF(C2601=0,0,ROUNDDOWN(G2601*C2601,1))</f>
        <v>13765.2</v>
      </c>
      <c r="I2601" s="494">
        <f>일위대가목록표!G275</f>
        <v>0</v>
      </c>
      <c r="J2601" s="498">
        <f>IF(C2601=0,0,ROUNDDOWN(I2601*C2601,1))</f>
        <v>0</v>
      </c>
      <c r="K2601" s="494">
        <f>일위대가목록표!H275</f>
        <v>0</v>
      </c>
      <c r="L2601" s="498">
        <f>IF(C2601=0,0,ROUNDDOWN(K2601*C2601,1))</f>
        <v>0</v>
      </c>
      <c r="M2601" s="463" t="s">
        <v>2489</v>
      </c>
      <c r="N2601" s="451" t="s">
        <v>2490</v>
      </c>
      <c r="O2601" s="468" t="s">
        <v>2491</v>
      </c>
      <c r="P2601" s="468" t="s">
        <v>2354</v>
      </c>
      <c r="Q2601" s="468" t="s">
        <v>2355</v>
      </c>
      <c r="Z2601" s="433" t="str">
        <f ca="1">HYPERLINK("#"&amp;일위대가목록표!J2&amp;"!A"&amp;ROW(일위대가목록표!A275),"B01414 →")</f>
        <v>B01414 →</v>
      </c>
    </row>
    <row r="2602" spans="1:26" ht="33.200000000000003" customHeight="1">
      <c r="A2602" s="452" t="s">
        <v>2627</v>
      </c>
      <c r="B2602" s="452" t="s">
        <v>2628</v>
      </c>
      <c r="C2602" s="489">
        <v>94.31</v>
      </c>
      <c r="D2602" s="480" t="s">
        <v>605</v>
      </c>
      <c r="E2602" s="490">
        <f t="shared" si="469"/>
        <v>6200</v>
      </c>
      <c r="F2602" s="491">
        <f t="shared" si="469"/>
        <v>584722</v>
      </c>
      <c r="G2602" s="492">
        <v>0</v>
      </c>
      <c r="H2602" s="493">
        <f>IF(C2602=0,0,ROUNDDOWN(G2602*C2602,1))</f>
        <v>0</v>
      </c>
      <c r="I2602" s="494">
        <f>재료비목록표!E8</f>
        <v>6200</v>
      </c>
      <c r="J2602" s="495">
        <f>IF(C2602=0,0,ROUNDDOWN(I2602*C2602,1))</f>
        <v>584722</v>
      </c>
      <c r="K2602" s="492">
        <v>0</v>
      </c>
      <c r="L2602" s="493">
        <f>IF(C2602=0,0,ROUNDDOWN(K2602*C2602,1))</f>
        <v>0</v>
      </c>
      <c r="M2602" s="463" t="s">
        <v>2629</v>
      </c>
      <c r="N2602" s="451" t="s">
        <v>2630</v>
      </c>
      <c r="O2602" s="468" t="s">
        <v>2631</v>
      </c>
      <c r="P2602" s="468" t="s">
        <v>2354</v>
      </c>
      <c r="Z2602" s="433" t="str">
        <f ca="1">HYPERLINK("#"&amp;재료비목록표!G2&amp;"!A"&amp;ROW(재료비목록표!A8),"M00950 →")</f>
        <v>M00950 →</v>
      </c>
    </row>
    <row r="2603" spans="1:26" ht="33.200000000000003" customHeight="1">
      <c r="A2603" s="452" t="s">
        <v>1461</v>
      </c>
      <c r="B2603" s="452" t="s">
        <v>1462</v>
      </c>
      <c r="C2603" s="489">
        <v>0.3</v>
      </c>
      <c r="D2603" s="480" t="s">
        <v>8</v>
      </c>
      <c r="E2603" s="490">
        <f t="shared" si="469"/>
        <v>915052</v>
      </c>
      <c r="F2603" s="493">
        <f t="shared" si="469"/>
        <v>274515.59999999998</v>
      </c>
      <c r="G2603" s="494">
        <f>일위대가목록표!F72</f>
        <v>915052</v>
      </c>
      <c r="H2603" s="498">
        <f>IF(C2603=0,0,ROUNDDOWN(G2603*C2603,1))</f>
        <v>274515.59999999998</v>
      </c>
      <c r="I2603" s="494">
        <f>일위대가목록표!G72</f>
        <v>0</v>
      </c>
      <c r="J2603" s="498">
        <f>IF(C2603=0,0,ROUNDDOWN(I2603*C2603,1))</f>
        <v>0</v>
      </c>
      <c r="K2603" s="494">
        <f>일위대가목록표!H72</f>
        <v>0</v>
      </c>
      <c r="L2603" s="498">
        <f>IF(C2603=0,0,ROUNDDOWN(K2603*C2603,1))</f>
        <v>0</v>
      </c>
      <c r="M2603" s="463" t="s">
        <v>2471</v>
      </c>
      <c r="N2603" s="451" t="s">
        <v>2472</v>
      </c>
      <c r="O2603" s="468" t="s">
        <v>1465</v>
      </c>
      <c r="P2603" s="468" t="s">
        <v>2354</v>
      </c>
      <c r="Q2603" s="468" t="s">
        <v>2355</v>
      </c>
      <c r="Z2603" s="433" t="str">
        <f ca="1">HYPERLINK("#"&amp;일위대가목록표!J2&amp;"!A"&amp;ROW(일위대가목록표!A72),"B01822 →")</f>
        <v>B01822 →</v>
      </c>
    </row>
    <row r="2604" spans="1:26" ht="33.200000000000003" customHeight="1">
      <c r="A2604" s="452" t="s">
        <v>2574</v>
      </c>
      <c r="B2604" s="452" t="s">
        <v>2575</v>
      </c>
      <c r="C2604" s="489">
        <v>3.689E-3</v>
      </c>
      <c r="D2604" s="480" t="s">
        <v>2576</v>
      </c>
      <c r="E2604" s="490">
        <f t="shared" si="469"/>
        <v>765000</v>
      </c>
      <c r="F2604" s="491">
        <f t="shared" si="469"/>
        <v>2822</v>
      </c>
      <c r="G2604" s="492">
        <v>0</v>
      </c>
      <c r="H2604" s="493">
        <f>IF(C2604=0,0,ROUNDDOWN(G2604*C2604,1))</f>
        <v>0</v>
      </c>
      <c r="I2604" s="494">
        <f>재료비목록표!E81</f>
        <v>765000</v>
      </c>
      <c r="J2604" s="495">
        <f>IF(C2604=0,0,ROUNDDOWN(I2604*C2604,1))</f>
        <v>2822</v>
      </c>
      <c r="K2604" s="492">
        <v>0</v>
      </c>
      <c r="L2604" s="493">
        <f>IF(C2604=0,0,ROUNDDOWN(K2604*C2604,1))</f>
        <v>0</v>
      </c>
      <c r="M2604" s="463" t="s">
        <v>2577</v>
      </c>
      <c r="N2604" s="451" t="s">
        <v>2578</v>
      </c>
      <c r="O2604" s="468" t="s">
        <v>2579</v>
      </c>
      <c r="P2604" s="468" t="s">
        <v>2354</v>
      </c>
      <c r="Z2604" s="433" t="str">
        <f ca="1">HYPERLINK("#"&amp;재료비목록표!G2&amp;"!A"&amp;ROW(재료비목록표!A81),"M00150 →")</f>
        <v>M00150 →</v>
      </c>
    </row>
    <row r="2605" spans="1:26" ht="33.200000000000003" customHeight="1">
      <c r="A2605" s="463" t="s">
        <v>842</v>
      </c>
      <c r="B2605" s="497"/>
      <c r="C2605" s="497"/>
      <c r="D2605" s="497"/>
      <c r="E2605" s="497"/>
      <c r="F2605" s="446">
        <f>J2605+H2605+L2605</f>
        <v>900949</v>
      </c>
      <c r="G2605" s="497"/>
      <c r="H2605" s="446">
        <f>ROUNDDOWN(SUMIF(P2600:P2604,O2605,H2600:H2604),0)</f>
        <v>313405</v>
      </c>
      <c r="I2605" s="497"/>
      <c r="J2605" s="446">
        <f>ROUNDDOWN(SUMIF(P2600:P2604,O2605,J2600:J2604),0)</f>
        <v>587544</v>
      </c>
      <c r="K2605" s="497"/>
      <c r="L2605" s="446">
        <f>ROUNDDOWN(SUMIF(P2600:P2604,O2605,L2600:L2604),0)</f>
        <v>0</v>
      </c>
      <c r="M2605" s="497"/>
      <c r="O2605" s="468" t="s">
        <v>2354</v>
      </c>
    </row>
    <row r="2606" spans="1:26" ht="33.200000000000003" customHeight="1">
      <c r="A2606" s="484" t="s">
        <v>5576</v>
      </c>
      <c r="B2606" s="484"/>
      <c r="C2606" s="485"/>
      <c r="D2606" s="485"/>
      <c r="E2606" s="485"/>
      <c r="F2606" s="485"/>
      <c r="G2606" s="485"/>
      <c r="H2606" s="485"/>
      <c r="I2606" s="485"/>
      <c r="J2606" s="485"/>
      <c r="K2606" s="485"/>
      <c r="L2606" s="485"/>
      <c r="M2606" s="485"/>
      <c r="N2606" s="486" t="str">
        <f>HYPERLINK("#N"&amp;ROW(N2612),"_x0005_`BDCOD|B02511_x0007_`POSS|"&amp;ROW(N2608)&amp;"_x0007_`POSE|"&amp;ROW(N2612)&amp;"_x0007_`")</f>
        <v>_x0005_`BDCOD|B02511_x0007_`POSS|2608_x0007_`POSE|2612_x0007_`</v>
      </c>
    </row>
    <row r="2607" spans="1:26" ht="33.200000000000003" customHeight="1">
      <c r="A2607" s="469" t="s">
        <v>1119</v>
      </c>
      <c r="B2607" s="469" t="s">
        <v>1115</v>
      </c>
      <c r="C2607" s="487"/>
      <c r="D2607" s="488" t="s">
        <v>975</v>
      </c>
      <c r="E2607" s="487"/>
      <c r="F2607" s="487"/>
      <c r="G2607" s="487"/>
      <c r="H2607" s="487"/>
      <c r="I2607" s="487"/>
      <c r="J2607" s="487"/>
      <c r="K2607" s="487"/>
      <c r="L2607" s="487"/>
      <c r="M2607" s="488" t="s">
        <v>1129</v>
      </c>
      <c r="O2607" s="468" t="s">
        <v>1129</v>
      </c>
    </row>
    <row r="2608" spans="1:26" ht="33.200000000000003" customHeight="1">
      <c r="A2608" s="452" t="s">
        <v>2484</v>
      </c>
      <c r="B2608" s="452" t="s">
        <v>2485</v>
      </c>
      <c r="C2608" s="489">
        <v>0.6</v>
      </c>
      <c r="D2608" s="480" t="s">
        <v>8</v>
      </c>
      <c r="E2608" s="490">
        <f t="shared" ref="E2608:F2612" si="470">I2608+G2608+K2608</f>
        <v>62811</v>
      </c>
      <c r="F2608" s="493">
        <f t="shared" si="470"/>
        <v>37686.6</v>
      </c>
      <c r="G2608" s="494">
        <f>단가산출근거목록표!F157</f>
        <v>62811</v>
      </c>
      <c r="H2608" s="498">
        <f>IF(C2608=0,0,ROUNDDOWN(G2608*C2608,1))</f>
        <v>37686.6</v>
      </c>
      <c r="I2608" s="494">
        <f>단가산출근거목록표!G157</f>
        <v>0</v>
      </c>
      <c r="J2608" s="498">
        <f>IF(C2608=0,0,ROUNDDOWN(I2608*C2608,1))</f>
        <v>0</v>
      </c>
      <c r="K2608" s="494">
        <f>단가산출근거목록표!H157</f>
        <v>0</v>
      </c>
      <c r="L2608" s="498">
        <f>IF(C2608=0,0,ROUNDDOWN(K2608*C2608,1))</f>
        <v>0</v>
      </c>
      <c r="M2608" s="463" t="s">
        <v>2486</v>
      </c>
      <c r="N2608" s="451" t="s">
        <v>2487</v>
      </c>
      <c r="O2608" s="468" t="s">
        <v>2488</v>
      </c>
      <c r="P2608" s="468" t="s">
        <v>2354</v>
      </c>
      <c r="Q2608" s="468" t="s">
        <v>2355</v>
      </c>
      <c r="Z2608" s="433" t="str">
        <f ca="1">HYPERLINK("#"&amp;단가산출근거목록표!J2&amp;"!A"&amp;ROW(단가산출근거목록표!A157),"D01241 →")</f>
        <v>D01241 →</v>
      </c>
    </row>
    <row r="2609" spans="1:26" ht="33.200000000000003" customHeight="1">
      <c r="A2609" s="452" t="s">
        <v>2321</v>
      </c>
      <c r="B2609" s="452" t="s">
        <v>2322</v>
      </c>
      <c r="C2609" s="489">
        <v>0.6</v>
      </c>
      <c r="D2609" s="480" t="s">
        <v>8</v>
      </c>
      <c r="E2609" s="490">
        <f t="shared" si="470"/>
        <v>34413</v>
      </c>
      <c r="F2609" s="493">
        <f t="shared" si="470"/>
        <v>20647.8</v>
      </c>
      <c r="G2609" s="494">
        <f>일위대가목록표!F275</f>
        <v>34413</v>
      </c>
      <c r="H2609" s="498">
        <f>IF(C2609=0,0,ROUNDDOWN(G2609*C2609,1))</f>
        <v>20647.8</v>
      </c>
      <c r="I2609" s="494">
        <f>일위대가목록표!G275</f>
        <v>0</v>
      </c>
      <c r="J2609" s="498">
        <f>IF(C2609=0,0,ROUNDDOWN(I2609*C2609,1))</f>
        <v>0</v>
      </c>
      <c r="K2609" s="494">
        <f>일위대가목록표!H275</f>
        <v>0</v>
      </c>
      <c r="L2609" s="498">
        <f>IF(C2609=0,0,ROUNDDOWN(K2609*C2609,1))</f>
        <v>0</v>
      </c>
      <c r="M2609" s="463" t="s">
        <v>2489</v>
      </c>
      <c r="N2609" s="451" t="s">
        <v>2490</v>
      </c>
      <c r="O2609" s="468" t="s">
        <v>2491</v>
      </c>
      <c r="P2609" s="468" t="s">
        <v>2354</v>
      </c>
      <c r="Q2609" s="468" t="s">
        <v>2355</v>
      </c>
      <c r="Z2609" s="433" t="str">
        <f ca="1">HYPERLINK("#"&amp;일위대가목록표!J2&amp;"!A"&amp;ROW(일위대가목록표!A275),"B01414 →")</f>
        <v>B01414 →</v>
      </c>
    </row>
    <row r="2610" spans="1:26" ht="33.200000000000003" customHeight="1">
      <c r="A2610" s="452" t="s">
        <v>2627</v>
      </c>
      <c r="B2610" s="452" t="s">
        <v>2628</v>
      </c>
      <c r="C2610" s="489">
        <v>113.17</v>
      </c>
      <c r="D2610" s="480" t="s">
        <v>605</v>
      </c>
      <c r="E2610" s="490">
        <f t="shared" si="470"/>
        <v>6200</v>
      </c>
      <c r="F2610" s="491">
        <f t="shared" si="470"/>
        <v>701654</v>
      </c>
      <c r="G2610" s="492">
        <v>0</v>
      </c>
      <c r="H2610" s="493">
        <f>IF(C2610=0,0,ROUNDDOWN(G2610*C2610,1))</f>
        <v>0</v>
      </c>
      <c r="I2610" s="494">
        <f>재료비목록표!E8</f>
        <v>6200</v>
      </c>
      <c r="J2610" s="495">
        <f>IF(C2610=0,0,ROUNDDOWN(I2610*C2610,1))</f>
        <v>701654</v>
      </c>
      <c r="K2610" s="492">
        <v>0</v>
      </c>
      <c r="L2610" s="493">
        <f>IF(C2610=0,0,ROUNDDOWN(K2610*C2610,1))</f>
        <v>0</v>
      </c>
      <c r="M2610" s="463" t="s">
        <v>2629</v>
      </c>
      <c r="N2610" s="451" t="s">
        <v>2630</v>
      </c>
      <c r="O2610" s="468" t="s">
        <v>2631</v>
      </c>
      <c r="P2610" s="468" t="s">
        <v>2354</v>
      </c>
      <c r="Z2610" s="433" t="str">
        <f ca="1">HYPERLINK("#"&amp;재료비목록표!G2&amp;"!A"&amp;ROW(재료비목록표!A8),"M00950 →")</f>
        <v>M00950 →</v>
      </c>
    </row>
    <row r="2611" spans="1:26" ht="33.200000000000003" customHeight="1">
      <c r="A2611" s="452" t="s">
        <v>1461</v>
      </c>
      <c r="B2611" s="452" t="s">
        <v>1462</v>
      </c>
      <c r="C2611" s="489">
        <v>0.36</v>
      </c>
      <c r="D2611" s="480" t="s">
        <v>8</v>
      </c>
      <c r="E2611" s="490">
        <f t="shared" si="470"/>
        <v>915052</v>
      </c>
      <c r="F2611" s="493">
        <f t="shared" si="470"/>
        <v>329418.7</v>
      </c>
      <c r="G2611" s="494">
        <f>일위대가목록표!F72</f>
        <v>915052</v>
      </c>
      <c r="H2611" s="498">
        <f>IF(C2611=0,0,ROUNDDOWN(G2611*C2611,1))</f>
        <v>329418.7</v>
      </c>
      <c r="I2611" s="494">
        <f>일위대가목록표!G72</f>
        <v>0</v>
      </c>
      <c r="J2611" s="498">
        <f>IF(C2611=0,0,ROUNDDOWN(I2611*C2611,1))</f>
        <v>0</v>
      </c>
      <c r="K2611" s="494">
        <f>일위대가목록표!H72</f>
        <v>0</v>
      </c>
      <c r="L2611" s="498">
        <f>IF(C2611=0,0,ROUNDDOWN(K2611*C2611,1))</f>
        <v>0</v>
      </c>
      <c r="M2611" s="463" t="s">
        <v>2471</v>
      </c>
      <c r="N2611" s="451" t="s">
        <v>2472</v>
      </c>
      <c r="O2611" s="468" t="s">
        <v>1465</v>
      </c>
      <c r="P2611" s="468" t="s">
        <v>2354</v>
      </c>
      <c r="Q2611" s="468" t="s">
        <v>2355</v>
      </c>
      <c r="Z2611" s="433" t="str">
        <f ca="1">HYPERLINK("#"&amp;일위대가목록표!J2&amp;"!A"&amp;ROW(일위대가목록표!A72),"B01822 →")</f>
        <v>B01822 →</v>
      </c>
    </row>
    <row r="2612" spans="1:26" ht="33.200000000000003" customHeight="1">
      <c r="A2612" s="452" t="s">
        <v>2574</v>
      </c>
      <c r="B2612" s="452" t="s">
        <v>2575</v>
      </c>
      <c r="C2612" s="489">
        <v>3.689E-3</v>
      </c>
      <c r="D2612" s="480" t="s">
        <v>2576</v>
      </c>
      <c r="E2612" s="490">
        <f t="shared" si="470"/>
        <v>765000</v>
      </c>
      <c r="F2612" s="491">
        <f t="shared" si="470"/>
        <v>2822</v>
      </c>
      <c r="G2612" s="492">
        <v>0</v>
      </c>
      <c r="H2612" s="493">
        <f>IF(C2612=0,0,ROUNDDOWN(G2612*C2612,1))</f>
        <v>0</v>
      </c>
      <c r="I2612" s="494">
        <f>재료비목록표!E81</f>
        <v>765000</v>
      </c>
      <c r="J2612" s="495">
        <f>IF(C2612=0,0,ROUNDDOWN(I2612*C2612,1))</f>
        <v>2822</v>
      </c>
      <c r="K2612" s="492">
        <v>0</v>
      </c>
      <c r="L2612" s="493">
        <f>IF(C2612=0,0,ROUNDDOWN(K2612*C2612,1))</f>
        <v>0</v>
      </c>
      <c r="M2612" s="463" t="s">
        <v>2577</v>
      </c>
      <c r="N2612" s="451" t="s">
        <v>2578</v>
      </c>
      <c r="O2612" s="468" t="s">
        <v>2579</v>
      </c>
      <c r="P2612" s="468" t="s">
        <v>2354</v>
      </c>
      <c r="Z2612" s="433" t="str">
        <f ca="1">HYPERLINK("#"&amp;재료비목록표!G2&amp;"!A"&amp;ROW(재료비목록표!A81),"M00150 →")</f>
        <v>M00150 →</v>
      </c>
    </row>
    <row r="2613" spans="1:26" ht="33.200000000000003" customHeight="1">
      <c r="A2613" s="463" t="s">
        <v>842</v>
      </c>
      <c r="B2613" s="497"/>
      <c r="C2613" s="497"/>
      <c r="D2613" s="497"/>
      <c r="E2613" s="497"/>
      <c r="F2613" s="446">
        <f>J2613+H2613+L2613</f>
        <v>1092229</v>
      </c>
      <c r="G2613" s="497"/>
      <c r="H2613" s="446">
        <f>ROUNDDOWN(SUMIF(P2608:P2612,O2613,H2608:H2612),0)</f>
        <v>387753</v>
      </c>
      <c r="I2613" s="497"/>
      <c r="J2613" s="446">
        <f>ROUNDDOWN(SUMIF(P2608:P2612,O2613,J2608:J2612),0)</f>
        <v>704476</v>
      </c>
      <c r="K2613" s="497"/>
      <c r="L2613" s="446">
        <f>ROUNDDOWN(SUMIF(P2608:P2612,O2613,L2608:L2612),0)</f>
        <v>0</v>
      </c>
      <c r="M2613" s="497"/>
      <c r="O2613" s="468" t="s">
        <v>2354</v>
      </c>
    </row>
    <row r="2614" spans="1:26" ht="33.200000000000003" customHeight="1">
      <c r="A2614" s="484" t="s">
        <v>5577</v>
      </c>
      <c r="B2614" s="484"/>
      <c r="C2614" s="485"/>
      <c r="D2614" s="485"/>
      <c r="E2614" s="485"/>
      <c r="F2614" s="485"/>
      <c r="G2614" s="485"/>
      <c r="H2614" s="485"/>
      <c r="I2614" s="485"/>
      <c r="J2614" s="485"/>
      <c r="K2614" s="485"/>
      <c r="L2614" s="485"/>
      <c r="M2614" s="485"/>
      <c r="N2614" s="486" t="str">
        <f>HYPERLINK("#N"&amp;ROW(N2621),"_x0005_`BDCOD|B02850_x0007_`POSS|"&amp;ROW(N2616)&amp;"_x0007_`POSE|"&amp;ROW(N2621)&amp;"_x0007_`")</f>
        <v>_x0005_`BDCOD|B02850_x0007_`POSS|2616_x0007_`POSE|2621_x0007_`</v>
      </c>
    </row>
    <row r="2615" spans="1:26" ht="33.200000000000003" customHeight="1">
      <c r="A2615" s="469" t="s">
        <v>5138</v>
      </c>
      <c r="B2615" s="469" t="s">
        <v>1103</v>
      </c>
      <c r="C2615" s="487"/>
      <c r="D2615" s="488" t="s">
        <v>975</v>
      </c>
      <c r="E2615" s="487"/>
      <c r="F2615" s="487"/>
      <c r="G2615" s="487"/>
      <c r="H2615" s="487"/>
      <c r="I2615" s="487"/>
      <c r="J2615" s="487"/>
      <c r="K2615" s="487"/>
      <c r="L2615" s="487"/>
      <c r="M2615" s="488" t="s">
        <v>5139</v>
      </c>
      <c r="O2615" s="468" t="s">
        <v>5139</v>
      </c>
    </row>
    <row r="2616" spans="1:26" ht="33.200000000000003" customHeight="1">
      <c r="A2616" s="452" t="s">
        <v>2484</v>
      </c>
      <c r="B2616" s="452" t="s">
        <v>2485</v>
      </c>
      <c r="C2616" s="489">
        <v>0.24</v>
      </c>
      <c r="D2616" s="480" t="s">
        <v>8</v>
      </c>
      <c r="E2616" s="490">
        <f t="shared" ref="E2616:F2621" si="471">I2616+G2616+K2616</f>
        <v>62811</v>
      </c>
      <c r="F2616" s="493">
        <f t="shared" si="471"/>
        <v>15074.6</v>
      </c>
      <c r="G2616" s="494">
        <f>단가산출근거목록표!F157</f>
        <v>62811</v>
      </c>
      <c r="H2616" s="498">
        <f>IF(C2616=0,0,ROUNDDOWN(G2616*C2616,1))</f>
        <v>15074.6</v>
      </c>
      <c r="I2616" s="494">
        <f>단가산출근거목록표!G157</f>
        <v>0</v>
      </c>
      <c r="J2616" s="498">
        <f>IF(C2616=0,0,ROUNDDOWN(I2616*C2616,1))</f>
        <v>0</v>
      </c>
      <c r="K2616" s="494">
        <f>단가산출근거목록표!H157</f>
        <v>0</v>
      </c>
      <c r="L2616" s="498">
        <f>IF(C2616=0,0,ROUNDDOWN(K2616*C2616,1))</f>
        <v>0</v>
      </c>
      <c r="M2616" s="463" t="s">
        <v>2486</v>
      </c>
      <c r="N2616" s="451" t="s">
        <v>2487</v>
      </c>
      <c r="O2616" s="468" t="s">
        <v>2488</v>
      </c>
      <c r="P2616" s="468" t="s">
        <v>2354</v>
      </c>
      <c r="Q2616" s="468" t="s">
        <v>2355</v>
      </c>
      <c r="Z2616" s="433" t="str">
        <f ca="1">HYPERLINK("#"&amp;단가산출근거목록표!J2&amp;"!A"&amp;ROW(단가산출근거목록표!A157),"D01241 →")</f>
        <v>D01241 →</v>
      </c>
    </row>
    <row r="2617" spans="1:26" ht="33.200000000000003" customHeight="1">
      <c r="A2617" s="452" t="s">
        <v>2321</v>
      </c>
      <c r="B2617" s="452" t="s">
        <v>2322</v>
      </c>
      <c r="C2617" s="489">
        <v>0.24</v>
      </c>
      <c r="D2617" s="480" t="s">
        <v>8</v>
      </c>
      <c r="E2617" s="490">
        <f t="shared" si="471"/>
        <v>34413</v>
      </c>
      <c r="F2617" s="493">
        <f t="shared" si="471"/>
        <v>8259.1</v>
      </c>
      <c r="G2617" s="494">
        <f>일위대가목록표!F275</f>
        <v>34413</v>
      </c>
      <c r="H2617" s="498">
        <f>IF(C2617=0,0,ROUNDDOWN(G2617*C2617,1))</f>
        <v>8259.1</v>
      </c>
      <c r="I2617" s="494">
        <f>일위대가목록표!G275</f>
        <v>0</v>
      </c>
      <c r="J2617" s="498">
        <f>IF(C2617=0,0,ROUNDDOWN(I2617*C2617,1))</f>
        <v>0</v>
      </c>
      <c r="K2617" s="494">
        <f>일위대가목록표!H275</f>
        <v>0</v>
      </c>
      <c r="L2617" s="498">
        <f>IF(C2617=0,0,ROUNDDOWN(K2617*C2617,1))</f>
        <v>0</v>
      </c>
      <c r="M2617" s="463" t="s">
        <v>2489</v>
      </c>
      <c r="N2617" s="451" t="s">
        <v>2490</v>
      </c>
      <c r="O2617" s="468" t="s">
        <v>2491</v>
      </c>
      <c r="P2617" s="468" t="s">
        <v>2354</v>
      </c>
      <c r="Q2617" s="468" t="s">
        <v>2355</v>
      </c>
      <c r="Z2617" s="433" t="str">
        <f ca="1">HYPERLINK("#"&amp;일위대가목록표!J2&amp;"!A"&amp;ROW(일위대가목록표!A275),"B01414 →")</f>
        <v>B01414 →</v>
      </c>
    </row>
    <row r="2618" spans="1:26" ht="33.200000000000003" customHeight="1">
      <c r="A2618" s="452" t="s">
        <v>2627</v>
      </c>
      <c r="B2618" s="452" t="s">
        <v>2628</v>
      </c>
      <c r="C2618" s="489">
        <v>56.587000000099998</v>
      </c>
      <c r="D2618" s="480" t="s">
        <v>605</v>
      </c>
      <c r="E2618" s="490">
        <f t="shared" si="471"/>
        <v>6200</v>
      </c>
      <c r="F2618" s="491">
        <f t="shared" si="471"/>
        <v>350839.4</v>
      </c>
      <c r="G2618" s="492">
        <v>0</v>
      </c>
      <c r="H2618" s="493">
        <f>IF(C2618=0,0,ROUNDDOWN(G2618*C2618,1))</f>
        <v>0</v>
      </c>
      <c r="I2618" s="494">
        <f>재료비목록표!E8</f>
        <v>6200</v>
      </c>
      <c r="J2618" s="495">
        <f>IF(C2618=0,0,ROUNDDOWN(I2618*C2618,1))</f>
        <v>350839.4</v>
      </c>
      <c r="K2618" s="492">
        <v>0</v>
      </c>
      <c r="L2618" s="493">
        <f>IF(C2618=0,0,ROUNDDOWN(K2618*C2618,1))</f>
        <v>0</v>
      </c>
      <c r="M2618" s="463" t="s">
        <v>2629</v>
      </c>
      <c r="N2618" s="451" t="s">
        <v>2630</v>
      </c>
      <c r="O2618" s="468" t="s">
        <v>2631</v>
      </c>
      <c r="P2618" s="468" t="s">
        <v>2354</v>
      </c>
      <c r="Z2618" s="433" t="str">
        <f ca="1">HYPERLINK("#"&amp;재료비목록표!G2&amp;"!A"&amp;ROW(재료비목록표!A8),"M00950 →")</f>
        <v>M00950 →</v>
      </c>
    </row>
    <row r="2619" spans="1:26" ht="33.200000000000003" customHeight="1">
      <c r="A2619" s="452" t="s">
        <v>1461</v>
      </c>
      <c r="B2619" s="452" t="s">
        <v>1462</v>
      </c>
      <c r="C2619" s="489">
        <v>0.18</v>
      </c>
      <c r="D2619" s="480" t="s">
        <v>8</v>
      </c>
      <c r="E2619" s="490">
        <f t="shared" si="471"/>
        <v>915052</v>
      </c>
      <c r="F2619" s="493">
        <f t="shared" si="471"/>
        <v>164709.29999999999</v>
      </c>
      <c r="G2619" s="494">
        <f>일위대가목록표!F72</f>
        <v>915052</v>
      </c>
      <c r="H2619" s="498">
        <f>IF(C2619=0,0,ROUNDDOWN(G2619*C2619,1))</f>
        <v>164709.29999999999</v>
      </c>
      <c r="I2619" s="494">
        <f>일위대가목록표!G72</f>
        <v>0</v>
      </c>
      <c r="J2619" s="498">
        <f>IF(C2619=0,0,ROUNDDOWN(I2619*C2619,1))</f>
        <v>0</v>
      </c>
      <c r="K2619" s="494">
        <f>일위대가목록표!H72</f>
        <v>0</v>
      </c>
      <c r="L2619" s="498">
        <f>IF(C2619=0,0,ROUNDDOWN(K2619*C2619,1))</f>
        <v>0</v>
      </c>
      <c r="M2619" s="463" t="s">
        <v>2471</v>
      </c>
      <c r="N2619" s="451" t="s">
        <v>2472</v>
      </c>
      <c r="O2619" s="468" t="s">
        <v>1465</v>
      </c>
      <c r="P2619" s="468" t="s">
        <v>2354</v>
      </c>
      <c r="Q2619" s="468" t="s">
        <v>2355</v>
      </c>
      <c r="Z2619" s="433" t="str">
        <f ca="1">HYPERLINK("#"&amp;일위대가목록표!J2&amp;"!A"&amp;ROW(일위대가목록표!A72),"B01822 →")</f>
        <v>B01822 →</v>
      </c>
    </row>
    <row r="2620" spans="1:26" ht="33.200000000000003" customHeight="1">
      <c r="A2620" s="452" t="s">
        <v>2574</v>
      </c>
      <c r="B2620" s="452" t="s">
        <v>2575</v>
      </c>
      <c r="C2620" s="489">
        <v>3.689E-3</v>
      </c>
      <c r="D2620" s="480" t="s">
        <v>2576</v>
      </c>
      <c r="E2620" s="490">
        <f t="shared" si="471"/>
        <v>765000</v>
      </c>
      <c r="F2620" s="491">
        <f t="shared" si="471"/>
        <v>2822</v>
      </c>
      <c r="G2620" s="492">
        <v>0</v>
      </c>
      <c r="H2620" s="493">
        <f>IF(C2620=0,0,ROUNDDOWN(G2620*C2620,1))</f>
        <v>0</v>
      </c>
      <c r="I2620" s="494">
        <f>재료비목록표!E81</f>
        <v>765000</v>
      </c>
      <c r="J2620" s="495">
        <f>IF(C2620=0,0,ROUNDDOWN(I2620*C2620,1))</f>
        <v>2822</v>
      </c>
      <c r="K2620" s="492">
        <v>0</v>
      </c>
      <c r="L2620" s="493">
        <f>IF(C2620=0,0,ROUNDDOWN(K2620*C2620,1))</f>
        <v>0</v>
      </c>
      <c r="M2620" s="463" t="s">
        <v>2577</v>
      </c>
      <c r="N2620" s="451" t="s">
        <v>2578</v>
      </c>
      <c r="O2620" s="468" t="s">
        <v>2579</v>
      </c>
      <c r="P2620" s="468" t="s">
        <v>2354</v>
      </c>
      <c r="Z2620" s="433" t="str">
        <f ca="1">HYPERLINK("#"&amp;재료비목록표!G2&amp;"!A"&amp;ROW(재료비목록표!A81),"M00150 →")</f>
        <v>M00150 →</v>
      </c>
    </row>
    <row r="2621" spans="1:26" ht="33.200000000000003" customHeight="1">
      <c r="A2621" s="452" t="s">
        <v>2507</v>
      </c>
      <c r="B2621" s="452" t="s">
        <v>2441</v>
      </c>
      <c r="C2621" s="489">
        <v>15</v>
      </c>
      <c r="D2621" s="480" t="s">
        <v>2371</v>
      </c>
      <c r="E2621" s="490">
        <f t="shared" si="471"/>
        <v>188043</v>
      </c>
      <c r="F2621" s="491">
        <f t="shared" si="471"/>
        <v>28206.400000000001</v>
      </c>
      <c r="G2621" s="496">
        <f>H2616+H2617+H2619</f>
        <v>188043</v>
      </c>
      <c r="H2621" s="491">
        <f>IF(C2621=0,0,ROUNDDOWN(G2621*C2621/100,1))</f>
        <v>28206.400000000001</v>
      </c>
      <c r="I2621" s="465">
        <v>0</v>
      </c>
      <c r="J2621" s="493">
        <f>IF(C2621=0,0,ROUNDDOWN(I2621*C2621/100,1))</f>
        <v>0</v>
      </c>
      <c r="K2621" s="467">
        <v>0</v>
      </c>
      <c r="L2621" s="493">
        <f>IF(C2621=0,0,ROUNDDOWN(K2621*C2621/100,1))</f>
        <v>0</v>
      </c>
      <c r="M2621" s="463"/>
      <c r="N2621" s="451" t="s">
        <v>2644</v>
      </c>
      <c r="O2621" s="468" t="s">
        <v>2373</v>
      </c>
      <c r="P2621" s="468" t="s">
        <v>2354</v>
      </c>
      <c r="Q2621" s="468" t="s">
        <v>2355</v>
      </c>
    </row>
    <row r="2622" spans="1:26" ht="33.200000000000003" customHeight="1">
      <c r="A2622" s="463" t="s">
        <v>842</v>
      </c>
      <c r="B2622" s="497"/>
      <c r="C2622" s="497"/>
      <c r="D2622" s="497"/>
      <c r="E2622" s="497"/>
      <c r="F2622" s="446">
        <f>J2622+H2622+L2622</f>
        <v>569910</v>
      </c>
      <c r="G2622" s="497"/>
      <c r="H2622" s="446">
        <f>ROUNDDOWN(SUMIF(P2616:P2621,O2622,H2616:H2621),0)</f>
        <v>216249</v>
      </c>
      <c r="I2622" s="497"/>
      <c r="J2622" s="446">
        <f>ROUNDDOWN(SUMIF(P2616:P2621,O2622,J2616:J2621),0)</f>
        <v>353661</v>
      </c>
      <c r="K2622" s="497"/>
      <c r="L2622" s="446">
        <f>ROUNDDOWN(SUMIF(P2616:P2621,O2622,L2616:L2621),0)</f>
        <v>0</v>
      </c>
      <c r="M2622" s="497"/>
      <c r="O2622" s="468" t="s">
        <v>2354</v>
      </c>
    </row>
    <row r="2623" spans="1:26" ht="33.200000000000003" customHeight="1">
      <c r="A2623" s="484" t="s">
        <v>5578</v>
      </c>
      <c r="B2623" s="484"/>
      <c r="C2623" s="485"/>
      <c r="D2623" s="485"/>
      <c r="E2623" s="485"/>
      <c r="F2623" s="485"/>
      <c r="G2623" s="485"/>
      <c r="H2623" s="485"/>
      <c r="I2623" s="485"/>
      <c r="J2623" s="485"/>
      <c r="K2623" s="485"/>
      <c r="L2623" s="485"/>
      <c r="M2623" s="485"/>
      <c r="N2623" s="486" t="str">
        <f>HYPERLINK("#N"&amp;ROW(N2630),"_x0005_`BDCOD|B02851_x0007_`POSS|"&amp;ROW(N2625)&amp;"_x0007_`POSE|"&amp;ROW(N2630)&amp;"_x0007_`")</f>
        <v>_x0005_`BDCOD|B02851_x0007_`POSS|2625_x0007_`POSE|2630_x0007_`</v>
      </c>
    </row>
    <row r="2624" spans="1:26" ht="33.200000000000003" customHeight="1">
      <c r="A2624" s="469" t="s">
        <v>5138</v>
      </c>
      <c r="B2624" s="469" t="s">
        <v>1107</v>
      </c>
      <c r="C2624" s="487"/>
      <c r="D2624" s="488" t="s">
        <v>975</v>
      </c>
      <c r="E2624" s="487"/>
      <c r="F2624" s="487"/>
      <c r="G2624" s="487"/>
      <c r="H2624" s="487"/>
      <c r="I2624" s="487"/>
      <c r="J2624" s="487"/>
      <c r="K2624" s="487"/>
      <c r="L2624" s="487"/>
      <c r="M2624" s="488" t="s">
        <v>5142</v>
      </c>
      <c r="O2624" s="468" t="s">
        <v>5142</v>
      </c>
    </row>
    <row r="2625" spans="1:26" ht="33.200000000000003" customHeight="1">
      <c r="A2625" s="452" t="s">
        <v>2484</v>
      </c>
      <c r="B2625" s="452" t="s">
        <v>2485</v>
      </c>
      <c r="C2625" s="489">
        <v>0.32</v>
      </c>
      <c r="D2625" s="480" t="s">
        <v>8</v>
      </c>
      <c r="E2625" s="490">
        <f t="shared" ref="E2625:F2630" si="472">I2625+G2625+K2625</f>
        <v>62811</v>
      </c>
      <c r="F2625" s="493">
        <f t="shared" si="472"/>
        <v>20099.5</v>
      </c>
      <c r="G2625" s="494">
        <f>단가산출근거목록표!F157</f>
        <v>62811</v>
      </c>
      <c r="H2625" s="498">
        <f>IF(C2625=0,0,ROUNDDOWN(G2625*C2625,1))</f>
        <v>20099.5</v>
      </c>
      <c r="I2625" s="494">
        <f>단가산출근거목록표!G157</f>
        <v>0</v>
      </c>
      <c r="J2625" s="498">
        <f>IF(C2625=0,0,ROUNDDOWN(I2625*C2625,1))</f>
        <v>0</v>
      </c>
      <c r="K2625" s="494">
        <f>단가산출근거목록표!H157</f>
        <v>0</v>
      </c>
      <c r="L2625" s="498">
        <f>IF(C2625=0,0,ROUNDDOWN(K2625*C2625,1))</f>
        <v>0</v>
      </c>
      <c r="M2625" s="463" t="s">
        <v>2486</v>
      </c>
      <c r="N2625" s="451" t="s">
        <v>2487</v>
      </c>
      <c r="O2625" s="468" t="s">
        <v>2488</v>
      </c>
      <c r="P2625" s="468" t="s">
        <v>2354</v>
      </c>
      <c r="Q2625" s="468" t="s">
        <v>2355</v>
      </c>
      <c r="Z2625" s="433" t="str">
        <f ca="1">HYPERLINK("#"&amp;단가산출근거목록표!J2&amp;"!A"&amp;ROW(단가산출근거목록표!A157),"D01241 →")</f>
        <v>D01241 →</v>
      </c>
    </row>
    <row r="2626" spans="1:26" ht="33.200000000000003" customHeight="1">
      <c r="A2626" s="452" t="s">
        <v>2321</v>
      </c>
      <c r="B2626" s="452" t="s">
        <v>2322</v>
      </c>
      <c r="C2626" s="489">
        <v>0.32</v>
      </c>
      <c r="D2626" s="480" t="s">
        <v>8</v>
      </c>
      <c r="E2626" s="490">
        <f t="shared" si="472"/>
        <v>34413</v>
      </c>
      <c r="F2626" s="493">
        <f t="shared" si="472"/>
        <v>11012.1</v>
      </c>
      <c r="G2626" s="494">
        <f>일위대가목록표!F275</f>
        <v>34413</v>
      </c>
      <c r="H2626" s="498">
        <f>IF(C2626=0,0,ROUNDDOWN(G2626*C2626,1))</f>
        <v>11012.1</v>
      </c>
      <c r="I2626" s="494">
        <f>일위대가목록표!G275</f>
        <v>0</v>
      </c>
      <c r="J2626" s="498">
        <f>IF(C2626=0,0,ROUNDDOWN(I2626*C2626,1))</f>
        <v>0</v>
      </c>
      <c r="K2626" s="494">
        <f>일위대가목록표!H275</f>
        <v>0</v>
      </c>
      <c r="L2626" s="498">
        <f>IF(C2626=0,0,ROUNDDOWN(K2626*C2626,1))</f>
        <v>0</v>
      </c>
      <c r="M2626" s="463" t="s">
        <v>2489</v>
      </c>
      <c r="N2626" s="451" t="s">
        <v>2490</v>
      </c>
      <c r="O2626" s="468" t="s">
        <v>2491</v>
      </c>
      <c r="P2626" s="468" t="s">
        <v>2354</v>
      </c>
      <c r="Q2626" s="468" t="s">
        <v>2355</v>
      </c>
      <c r="Z2626" s="433" t="str">
        <f ca="1">HYPERLINK("#"&amp;일위대가목록표!J2&amp;"!A"&amp;ROW(일위대가목록표!A275),"B01414 →")</f>
        <v>B01414 →</v>
      </c>
    </row>
    <row r="2627" spans="1:26" ht="33.200000000000003" customHeight="1">
      <c r="A2627" s="452" t="s">
        <v>2627</v>
      </c>
      <c r="B2627" s="452" t="s">
        <v>2628</v>
      </c>
      <c r="C2627" s="489">
        <v>75.448999999999998</v>
      </c>
      <c r="D2627" s="480" t="s">
        <v>605</v>
      </c>
      <c r="E2627" s="490">
        <f t="shared" si="472"/>
        <v>6200</v>
      </c>
      <c r="F2627" s="491">
        <f t="shared" si="472"/>
        <v>467783.8</v>
      </c>
      <c r="G2627" s="492">
        <v>0</v>
      </c>
      <c r="H2627" s="493">
        <f>IF(C2627=0,0,ROUNDDOWN(G2627*C2627,1))</f>
        <v>0</v>
      </c>
      <c r="I2627" s="494">
        <f>재료비목록표!E8</f>
        <v>6200</v>
      </c>
      <c r="J2627" s="495">
        <f>IF(C2627=0,0,ROUNDDOWN(I2627*C2627,1))</f>
        <v>467783.8</v>
      </c>
      <c r="K2627" s="492">
        <v>0</v>
      </c>
      <c r="L2627" s="493">
        <f>IF(C2627=0,0,ROUNDDOWN(K2627*C2627,1))</f>
        <v>0</v>
      </c>
      <c r="M2627" s="463" t="s">
        <v>2629</v>
      </c>
      <c r="N2627" s="451" t="s">
        <v>2630</v>
      </c>
      <c r="O2627" s="468" t="s">
        <v>2631</v>
      </c>
      <c r="P2627" s="468" t="s">
        <v>2354</v>
      </c>
      <c r="Z2627" s="433" t="str">
        <f ca="1">HYPERLINK("#"&amp;재료비목록표!G2&amp;"!A"&amp;ROW(재료비목록표!A8),"M00950 →")</f>
        <v>M00950 →</v>
      </c>
    </row>
    <row r="2628" spans="1:26" ht="33.200000000000003" customHeight="1">
      <c r="A2628" s="452" t="s">
        <v>1461</v>
      </c>
      <c r="B2628" s="452" t="s">
        <v>1462</v>
      </c>
      <c r="C2628" s="489">
        <v>0.24</v>
      </c>
      <c r="D2628" s="480" t="s">
        <v>8</v>
      </c>
      <c r="E2628" s="490">
        <f t="shared" si="472"/>
        <v>915052</v>
      </c>
      <c r="F2628" s="493">
        <f t="shared" si="472"/>
        <v>219612.4</v>
      </c>
      <c r="G2628" s="494">
        <f>일위대가목록표!F72</f>
        <v>915052</v>
      </c>
      <c r="H2628" s="498">
        <f>IF(C2628=0,0,ROUNDDOWN(G2628*C2628,1))</f>
        <v>219612.4</v>
      </c>
      <c r="I2628" s="494">
        <f>일위대가목록표!G72</f>
        <v>0</v>
      </c>
      <c r="J2628" s="498">
        <f>IF(C2628=0,0,ROUNDDOWN(I2628*C2628,1))</f>
        <v>0</v>
      </c>
      <c r="K2628" s="494">
        <f>일위대가목록표!H72</f>
        <v>0</v>
      </c>
      <c r="L2628" s="498">
        <f>IF(C2628=0,0,ROUNDDOWN(K2628*C2628,1))</f>
        <v>0</v>
      </c>
      <c r="M2628" s="463" t="s">
        <v>2471</v>
      </c>
      <c r="N2628" s="451" t="s">
        <v>2472</v>
      </c>
      <c r="O2628" s="468" t="s">
        <v>1465</v>
      </c>
      <c r="P2628" s="468" t="s">
        <v>2354</v>
      </c>
      <c r="Q2628" s="468" t="s">
        <v>2355</v>
      </c>
      <c r="Z2628" s="433" t="str">
        <f ca="1">HYPERLINK("#"&amp;일위대가목록표!J2&amp;"!A"&amp;ROW(일위대가목록표!A72),"B01822 →")</f>
        <v>B01822 →</v>
      </c>
    </row>
    <row r="2629" spans="1:26" ht="33.200000000000003" customHeight="1">
      <c r="A2629" s="452" t="s">
        <v>2574</v>
      </c>
      <c r="B2629" s="452" t="s">
        <v>2575</v>
      </c>
      <c r="C2629" s="489">
        <v>3.689E-3</v>
      </c>
      <c r="D2629" s="480" t="s">
        <v>2576</v>
      </c>
      <c r="E2629" s="490">
        <f t="shared" si="472"/>
        <v>765000</v>
      </c>
      <c r="F2629" s="491">
        <f t="shared" si="472"/>
        <v>2822</v>
      </c>
      <c r="G2629" s="492">
        <v>0</v>
      </c>
      <c r="H2629" s="493">
        <f>IF(C2629=0,0,ROUNDDOWN(G2629*C2629,1))</f>
        <v>0</v>
      </c>
      <c r="I2629" s="494">
        <f>재료비목록표!E81</f>
        <v>765000</v>
      </c>
      <c r="J2629" s="495">
        <f>IF(C2629=0,0,ROUNDDOWN(I2629*C2629,1))</f>
        <v>2822</v>
      </c>
      <c r="K2629" s="492">
        <v>0</v>
      </c>
      <c r="L2629" s="493">
        <f>IF(C2629=0,0,ROUNDDOWN(K2629*C2629,1))</f>
        <v>0</v>
      </c>
      <c r="M2629" s="463" t="s">
        <v>2577</v>
      </c>
      <c r="N2629" s="451" t="s">
        <v>2578</v>
      </c>
      <c r="O2629" s="468" t="s">
        <v>2579</v>
      </c>
      <c r="P2629" s="468" t="s">
        <v>2354</v>
      </c>
      <c r="Z2629" s="433" t="str">
        <f ca="1">HYPERLINK("#"&amp;재료비목록표!G2&amp;"!A"&amp;ROW(재료비목록표!A81),"M00150 →")</f>
        <v>M00150 →</v>
      </c>
    </row>
    <row r="2630" spans="1:26" ht="33.200000000000003" customHeight="1">
      <c r="A2630" s="452" t="s">
        <v>2507</v>
      </c>
      <c r="B2630" s="452" t="s">
        <v>2441</v>
      </c>
      <c r="C2630" s="489">
        <v>15</v>
      </c>
      <c r="D2630" s="480" t="s">
        <v>2371</v>
      </c>
      <c r="E2630" s="490">
        <f t="shared" si="472"/>
        <v>250724</v>
      </c>
      <c r="F2630" s="491">
        <f t="shared" si="472"/>
        <v>37608.6</v>
      </c>
      <c r="G2630" s="496">
        <f>H2625+H2626+H2628</f>
        <v>250724</v>
      </c>
      <c r="H2630" s="491">
        <f>IF(C2630=0,0,ROUNDDOWN(G2630*C2630/100,1))</f>
        <v>37608.6</v>
      </c>
      <c r="I2630" s="465">
        <v>0</v>
      </c>
      <c r="J2630" s="493">
        <f>IF(C2630=0,0,ROUNDDOWN(I2630*C2630/100,1))</f>
        <v>0</v>
      </c>
      <c r="K2630" s="467">
        <v>0</v>
      </c>
      <c r="L2630" s="493">
        <f>IF(C2630=0,0,ROUNDDOWN(K2630*C2630/100,1))</f>
        <v>0</v>
      </c>
      <c r="M2630" s="463"/>
      <c r="N2630" s="451" t="s">
        <v>2644</v>
      </c>
      <c r="O2630" s="468" t="s">
        <v>2373</v>
      </c>
      <c r="P2630" s="468" t="s">
        <v>2354</v>
      </c>
      <c r="Q2630" s="468" t="s">
        <v>2355</v>
      </c>
    </row>
    <row r="2631" spans="1:26" ht="33.200000000000003" customHeight="1">
      <c r="A2631" s="463" t="s">
        <v>842</v>
      </c>
      <c r="B2631" s="497"/>
      <c r="C2631" s="497"/>
      <c r="D2631" s="497"/>
      <c r="E2631" s="497"/>
      <c r="F2631" s="446">
        <f>J2631+H2631+L2631</f>
        <v>758937</v>
      </c>
      <c r="G2631" s="497"/>
      <c r="H2631" s="446">
        <f>ROUNDDOWN(SUMIF(P2625:P2630,O2631,H2625:H2630),0)</f>
        <v>288332</v>
      </c>
      <c r="I2631" s="497"/>
      <c r="J2631" s="446">
        <f>ROUNDDOWN(SUMIF(P2625:P2630,O2631,J2625:J2630),0)</f>
        <v>470605</v>
      </c>
      <c r="K2631" s="497"/>
      <c r="L2631" s="446">
        <f>ROUNDDOWN(SUMIF(P2625:P2630,O2631,L2625:L2630),0)</f>
        <v>0</v>
      </c>
      <c r="M2631" s="497"/>
      <c r="O2631" s="468" t="s">
        <v>2354</v>
      </c>
    </row>
    <row r="2632" spans="1:26" ht="33.200000000000003" customHeight="1">
      <c r="A2632" s="484" t="s">
        <v>5579</v>
      </c>
      <c r="B2632" s="484"/>
      <c r="C2632" s="485"/>
      <c r="D2632" s="485"/>
      <c r="E2632" s="485"/>
      <c r="F2632" s="485"/>
      <c r="G2632" s="485"/>
      <c r="H2632" s="485"/>
      <c r="I2632" s="485"/>
      <c r="J2632" s="485"/>
      <c r="K2632" s="485"/>
      <c r="L2632" s="485"/>
      <c r="M2632" s="485"/>
      <c r="N2632" s="486" t="str">
        <f>HYPERLINK("#N"&amp;ROW(N2639),"_x0005_`BDCOD|B02852_x0007_`POSS|"&amp;ROW(N2634)&amp;"_x0007_`POSE|"&amp;ROW(N2639)&amp;"_x0007_`")</f>
        <v>_x0005_`BDCOD|B02852_x0007_`POSS|2634_x0007_`POSE|2639_x0007_`</v>
      </c>
    </row>
    <row r="2633" spans="1:26" ht="33.200000000000003" customHeight="1">
      <c r="A2633" s="469" t="s">
        <v>5138</v>
      </c>
      <c r="B2633" s="469" t="s">
        <v>1111</v>
      </c>
      <c r="C2633" s="487"/>
      <c r="D2633" s="488" t="s">
        <v>975</v>
      </c>
      <c r="E2633" s="487"/>
      <c r="F2633" s="487"/>
      <c r="G2633" s="487"/>
      <c r="H2633" s="487"/>
      <c r="I2633" s="487"/>
      <c r="J2633" s="487"/>
      <c r="K2633" s="487"/>
      <c r="L2633" s="487"/>
      <c r="M2633" s="488" t="s">
        <v>5145</v>
      </c>
      <c r="O2633" s="468" t="s">
        <v>5145</v>
      </c>
    </row>
    <row r="2634" spans="1:26" ht="33.200000000000003" customHeight="1">
      <c r="A2634" s="452" t="s">
        <v>2484</v>
      </c>
      <c r="B2634" s="452" t="s">
        <v>2485</v>
      </c>
      <c r="C2634" s="489">
        <v>0.4</v>
      </c>
      <c r="D2634" s="480" t="s">
        <v>8</v>
      </c>
      <c r="E2634" s="490">
        <f t="shared" ref="E2634:F2639" si="473">I2634+G2634+K2634</f>
        <v>62811</v>
      </c>
      <c r="F2634" s="493">
        <f t="shared" si="473"/>
        <v>25124.400000000001</v>
      </c>
      <c r="G2634" s="494">
        <f>단가산출근거목록표!F157</f>
        <v>62811</v>
      </c>
      <c r="H2634" s="498">
        <f>IF(C2634=0,0,ROUNDDOWN(G2634*C2634,1))</f>
        <v>25124.400000000001</v>
      </c>
      <c r="I2634" s="494">
        <f>단가산출근거목록표!G157</f>
        <v>0</v>
      </c>
      <c r="J2634" s="498">
        <f>IF(C2634=0,0,ROUNDDOWN(I2634*C2634,1))</f>
        <v>0</v>
      </c>
      <c r="K2634" s="494">
        <f>단가산출근거목록표!H157</f>
        <v>0</v>
      </c>
      <c r="L2634" s="498">
        <f>IF(C2634=0,0,ROUNDDOWN(K2634*C2634,1))</f>
        <v>0</v>
      </c>
      <c r="M2634" s="463" t="s">
        <v>2486</v>
      </c>
      <c r="N2634" s="451" t="s">
        <v>2487</v>
      </c>
      <c r="O2634" s="468" t="s">
        <v>2488</v>
      </c>
      <c r="P2634" s="468" t="s">
        <v>2354</v>
      </c>
      <c r="Q2634" s="468" t="s">
        <v>2355</v>
      </c>
      <c r="Z2634" s="433" t="str">
        <f ca="1">HYPERLINK("#"&amp;단가산출근거목록표!J2&amp;"!A"&amp;ROW(단가산출근거목록표!A157),"D01241 →")</f>
        <v>D01241 →</v>
      </c>
    </row>
    <row r="2635" spans="1:26" ht="33.200000000000003" customHeight="1">
      <c r="A2635" s="452" t="s">
        <v>2321</v>
      </c>
      <c r="B2635" s="452" t="s">
        <v>2322</v>
      </c>
      <c r="C2635" s="489">
        <v>0.4</v>
      </c>
      <c r="D2635" s="480" t="s">
        <v>8</v>
      </c>
      <c r="E2635" s="490">
        <f t="shared" si="473"/>
        <v>34413</v>
      </c>
      <c r="F2635" s="493">
        <f t="shared" si="473"/>
        <v>13765.2</v>
      </c>
      <c r="G2635" s="494">
        <f>일위대가목록표!F275</f>
        <v>34413</v>
      </c>
      <c r="H2635" s="498">
        <f>IF(C2635=0,0,ROUNDDOWN(G2635*C2635,1))</f>
        <v>13765.2</v>
      </c>
      <c r="I2635" s="494">
        <f>일위대가목록표!G275</f>
        <v>0</v>
      </c>
      <c r="J2635" s="498">
        <f>IF(C2635=0,0,ROUNDDOWN(I2635*C2635,1))</f>
        <v>0</v>
      </c>
      <c r="K2635" s="494">
        <f>일위대가목록표!H275</f>
        <v>0</v>
      </c>
      <c r="L2635" s="498">
        <f>IF(C2635=0,0,ROUNDDOWN(K2635*C2635,1))</f>
        <v>0</v>
      </c>
      <c r="M2635" s="463" t="s">
        <v>2489</v>
      </c>
      <c r="N2635" s="451" t="s">
        <v>2490</v>
      </c>
      <c r="O2635" s="468" t="s">
        <v>2491</v>
      </c>
      <c r="P2635" s="468" t="s">
        <v>2354</v>
      </c>
      <c r="Q2635" s="468" t="s">
        <v>2355</v>
      </c>
      <c r="Z2635" s="433" t="str">
        <f ca="1">HYPERLINK("#"&amp;일위대가목록표!J2&amp;"!A"&amp;ROW(일위대가목록표!A275),"B01414 →")</f>
        <v>B01414 →</v>
      </c>
    </row>
    <row r="2636" spans="1:26" ht="33.200000000000003" customHeight="1">
      <c r="A2636" s="452" t="s">
        <v>2627</v>
      </c>
      <c r="B2636" s="452" t="s">
        <v>2628</v>
      </c>
      <c r="C2636" s="489">
        <v>94.31</v>
      </c>
      <c r="D2636" s="480" t="s">
        <v>605</v>
      </c>
      <c r="E2636" s="490">
        <f t="shared" si="473"/>
        <v>6200</v>
      </c>
      <c r="F2636" s="491">
        <f t="shared" si="473"/>
        <v>584722</v>
      </c>
      <c r="G2636" s="492">
        <v>0</v>
      </c>
      <c r="H2636" s="493">
        <f>IF(C2636=0,0,ROUNDDOWN(G2636*C2636,1))</f>
        <v>0</v>
      </c>
      <c r="I2636" s="494">
        <f>재료비목록표!E8</f>
        <v>6200</v>
      </c>
      <c r="J2636" s="495">
        <f>IF(C2636=0,0,ROUNDDOWN(I2636*C2636,1))</f>
        <v>584722</v>
      </c>
      <c r="K2636" s="492">
        <v>0</v>
      </c>
      <c r="L2636" s="493">
        <f>IF(C2636=0,0,ROUNDDOWN(K2636*C2636,1))</f>
        <v>0</v>
      </c>
      <c r="M2636" s="463" t="s">
        <v>2629</v>
      </c>
      <c r="N2636" s="451" t="s">
        <v>2630</v>
      </c>
      <c r="O2636" s="468" t="s">
        <v>2631</v>
      </c>
      <c r="P2636" s="468" t="s">
        <v>2354</v>
      </c>
      <c r="Z2636" s="433" t="str">
        <f ca="1">HYPERLINK("#"&amp;재료비목록표!G2&amp;"!A"&amp;ROW(재료비목록표!A8),"M00950 →")</f>
        <v>M00950 →</v>
      </c>
    </row>
    <row r="2637" spans="1:26" ht="33.200000000000003" customHeight="1">
      <c r="A2637" s="452" t="s">
        <v>1461</v>
      </c>
      <c r="B2637" s="452" t="s">
        <v>1462</v>
      </c>
      <c r="C2637" s="489">
        <v>0.3</v>
      </c>
      <c r="D2637" s="480" t="s">
        <v>8</v>
      </c>
      <c r="E2637" s="490">
        <f t="shared" si="473"/>
        <v>915052</v>
      </c>
      <c r="F2637" s="493">
        <f t="shared" si="473"/>
        <v>274515.59999999998</v>
      </c>
      <c r="G2637" s="494">
        <f>일위대가목록표!F72</f>
        <v>915052</v>
      </c>
      <c r="H2637" s="498">
        <f>IF(C2637=0,0,ROUNDDOWN(G2637*C2637,1))</f>
        <v>274515.59999999998</v>
      </c>
      <c r="I2637" s="494">
        <f>일위대가목록표!G72</f>
        <v>0</v>
      </c>
      <c r="J2637" s="498">
        <f>IF(C2637=0,0,ROUNDDOWN(I2637*C2637,1))</f>
        <v>0</v>
      </c>
      <c r="K2637" s="494">
        <f>일위대가목록표!H72</f>
        <v>0</v>
      </c>
      <c r="L2637" s="498">
        <f>IF(C2637=0,0,ROUNDDOWN(K2637*C2637,1))</f>
        <v>0</v>
      </c>
      <c r="M2637" s="463" t="s">
        <v>2471</v>
      </c>
      <c r="N2637" s="451" t="s">
        <v>2472</v>
      </c>
      <c r="O2637" s="468" t="s">
        <v>1465</v>
      </c>
      <c r="P2637" s="468" t="s">
        <v>2354</v>
      </c>
      <c r="Q2637" s="468" t="s">
        <v>2355</v>
      </c>
      <c r="Z2637" s="433" t="str">
        <f ca="1">HYPERLINK("#"&amp;일위대가목록표!J2&amp;"!A"&amp;ROW(일위대가목록표!A72),"B01822 →")</f>
        <v>B01822 →</v>
      </c>
    </row>
    <row r="2638" spans="1:26" ht="33.200000000000003" customHeight="1">
      <c r="A2638" s="452" t="s">
        <v>2574</v>
      </c>
      <c r="B2638" s="452" t="s">
        <v>2575</v>
      </c>
      <c r="C2638" s="489">
        <v>3.689E-3</v>
      </c>
      <c r="D2638" s="480" t="s">
        <v>2576</v>
      </c>
      <c r="E2638" s="490">
        <f t="shared" si="473"/>
        <v>765000</v>
      </c>
      <c r="F2638" s="491">
        <f t="shared" si="473"/>
        <v>2822</v>
      </c>
      <c r="G2638" s="492">
        <v>0</v>
      </c>
      <c r="H2638" s="493">
        <f>IF(C2638=0,0,ROUNDDOWN(G2638*C2638,1))</f>
        <v>0</v>
      </c>
      <c r="I2638" s="494">
        <f>재료비목록표!E81</f>
        <v>765000</v>
      </c>
      <c r="J2638" s="495">
        <f>IF(C2638=0,0,ROUNDDOWN(I2638*C2638,1))</f>
        <v>2822</v>
      </c>
      <c r="K2638" s="492">
        <v>0</v>
      </c>
      <c r="L2638" s="493">
        <f>IF(C2638=0,0,ROUNDDOWN(K2638*C2638,1))</f>
        <v>0</v>
      </c>
      <c r="M2638" s="463" t="s">
        <v>2577</v>
      </c>
      <c r="N2638" s="451" t="s">
        <v>2578</v>
      </c>
      <c r="O2638" s="468" t="s">
        <v>2579</v>
      </c>
      <c r="P2638" s="468" t="s">
        <v>2354</v>
      </c>
      <c r="Z2638" s="433" t="str">
        <f ca="1">HYPERLINK("#"&amp;재료비목록표!G2&amp;"!A"&amp;ROW(재료비목록표!A81),"M00150 →")</f>
        <v>M00150 →</v>
      </c>
    </row>
    <row r="2639" spans="1:26" ht="33.200000000000003" customHeight="1">
      <c r="A2639" s="452" t="s">
        <v>2507</v>
      </c>
      <c r="B2639" s="452" t="s">
        <v>2441</v>
      </c>
      <c r="C2639" s="489">
        <v>15</v>
      </c>
      <c r="D2639" s="480" t="s">
        <v>2371</v>
      </c>
      <c r="E2639" s="490">
        <f t="shared" si="473"/>
        <v>313405.19999999995</v>
      </c>
      <c r="F2639" s="491">
        <f t="shared" si="473"/>
        <v>47010.7</v>
      </c>
      <c r="G2639" s="496">
        <f>H2634+H2635+H2637</f>
        <v>313405.19999999995</v>
      </c>
      <c r="H2639" s="491">
        <f>IF(C2639=0,0,ROUNDDOWN(G2639*C2639/100,1))</f>
        <v>47010.7</v>
      </c>
      <c r="I2639" s="465">
        <v>0</v>
      </c>
      <c r="J2639" s="493">
        <f>IF(C2639=0,0,ROUNDDOWN(I2639*C2639/100,1))</f>
        <v>0</v>
      </c>
      <c r="K2639" s="467">
        <v>0</v>
      </c>
      <c r="L2639" s="493">
        <f>IF(C2639=0,0,ROUNDDOWN(K2639*C2639/100,1))</f>
        <v>0</v>
      </c>
      <c r="M2639" s="463"/>
      <c r="N2639" s="451" t="s">
        <v>2644</v>
      </c>
      <c r="O2639" s="468" t="s">
        <v>2373</v>
      </c>
      <c r="P2639" s="468" t="s">
        <v>2354</v>
      </c>
      <c r="Q2639" s="468" t="s">
        <v>2355</v>
      </c>
    </row>
    <row r="2640" spans="1:26" ht="33.200000000000003" customHeight="1">
      <c r="A2640" s="463" t="s">
        <v>842</v>
      </c>
      <c r="B2640" s="497"/>
      <c r="C2640" s="497"/>
      <c r="D2640" s="497"/>
      <c r="E2640" s="497"/>
      <c r="F2640" s="446">
        <f>J2640+H2640+L2640</f>
        <v>947959</v>
      </c>
      <c r="G2640" s="497"/>
      <c r="H2640" s="446">
        <f>ROUNDDOWN(SUMIF(P2634:P2639,O2640,H2634:H2639),0)</f>
        <v>360415</v>
      </c>
      <c r="I2640" s="497"/>
      <c r="J2640" s="446">
        <f>ROUNDDOWN(SUMIF(P2634:P2639,O2640,J2634:J2639),0)</f>
        <v>587544</v>
      </c>
      <c r="K2640" s="497"/>
      <c r="L2640" s="446">
        <f>ROUNDDOWN(SUMIF(P2634:P2639,O2640,L2634:L2639),0)</f>
        <v>0</v>
      </c>
      <c r="M2640" s="497"/>
      <c r="O2640" s="468" t="s">
        <v>2354</v>
      </c>
    </row>
    <row r="2641" spans="1:26" ht="33.200000000000003" customHeight="1">
      <c r="A2641" s="484" t="s">
        <v>5580</v>
      </c>
      <c r="B2641" s="484"/>
      <c r="C2641" s="485"/>
      <c r="D2641" s="485"/>
      <c r="E2641" s="485"/>
      <c r="F2641" s="485"/>
      <c r="G2641" s="485"/>
      <c r="H2641" s="485"/>
      <c r="I2641" s="485"/>
      <c r="J2641" s="485"/>
      <c r="K2641" s="485"/>
      <c r="L2641" s="485"/>
      <c r="M2641" s="485"/>
      <c r="N2641" s="486" t="str">
        <f>HYPERLINK("#N"&amp;ROW(N2648),"_x0005_`BDCOD|B02853_x0007_`POSS|"&amp;ROW(N2643)&amp;"_x0007_`POSE|"&amp;ROW(N2648)&amp;"_x0007_`")</f>
        <v>_x0005_`BDCOD|B02853_x0007_`POSS|2643_x0007_`POSE|2648_x0007_`</v>
      </c>
    </row>
    <row r="2642" spans="1:26" ht="33.200000000000003" customHeight="1">
      <c r="A2642" s="469" t="s">
        <v>5138</v>
      </c>
      <c r="B2642" s="469" t="s">
        <v>1115</v>
      </c>
      <c r="C2642" s="487"/>
      <c r="D2642" s="488" t="s">
        <v>975</v>
      </c>
      <c r="E2642" s="487"/>
      <c r="F2642" s="487"/>
      <c r="G2642" s="487"/>
      <c r="H2642" s="487"/>
      <c r="I2642" s="487"/>
      <c r="J2642" s="487"/>
      <c r="K2642" s="487"/>
      <c r="L2642" s="487"/>
      <c r="M2642" s="488" t="s">
        <v>5148</v>
      </c>
      <c r="O2642" s="468" t="s">
        <v>5148</v>
      </c>
    </row>
    <row r="2643" spans="1:26" ht="33.200000000000003" customHeight="1">
      <c r="A2643" s="452" t="s">
        <v>2484</v>
      </c>
      <c r="B2643" s="452" t="s">
        <v>2485</v>
      </c>
      <c r="C2643" s="489">
        <v>0.6</v>
      </c>
      <c r="D2643" s="480" t="s">
        <v>8</v>
      </c>
      <c r="E2643" s="490">
        <f t="shared" ref="E2643:F2648" si="474">I2643+G2643+K2643</f>
        <v>62811</v>
      </c>
      <c r="F2643" s="493">
        <f t="shared" si="474"/>
        <v>37686.6</v>
      </c>
      <c r="G2643" s="494">
        <f>단가산출근거목록표!F157</f>
        <v>62811</v>
      </c>
      <c r="H2643" s="498">
        <f>IF(C2643=0,0,ROUNDDOWN(G2643*C2643,1))</f>
        <v>37686.6</v>
      </c>
      <c r="I2643" s="494">
        <f>단가산출근거목록표!G157</f>
        <v>0</v>
      </c>
      <c r="J2643" s="498">
        <f>IF(C2643=0,0,ROUNDDOWN(I2643*C2643,1))</f>
        <v>0</v>
      </c>
      <c r="K2643" s="494">
        <f>단가산출근거목록표!H157</f>
        <v>0</v>
      </c>
      <c r="L2643" s="498">
        <f>IF(C2643=0,0,ROUNDDOWN(K2643*C2643,1))</f>
        <v>0</v>
      </c>
      <c r="M2643" s="463" t="s">
        <v>2486</v>
      </c>
      <c r="N2643" s="451" t="s">
        <v>2487</v>
      </c>
      <c r="O2643" s="468" t="s">
        <v>2488</v>
      </c>
      <c r="P2643" s="468" t="s">
        <v>2354</v>
      </c>
      <c r="Q2643" s="468" t="s">
        <v>2355</v>
      </c>
      <c r="Z2643" s="433" t="str">
        <f ca="1">HYPERLINK("#"&amp;단가산출근거목록표!J2&amp;"!A"&amp;ROW(단가산출근거목록표!A157),"D01241 →")</f>
        <v>D01241 →</v>
      </c>
    </row>
    <row r="2644" spans="1:26" ht="33.200000000000003" customHeight="1">
      <c r="A2644" s="452" t="s">
        <v>2321</v>
      </c>
      <c r="B2644" s="452" t="s">
        <v>2322</v>
      </c>
      <c r="C2644" s="489">
        <v>0.6</v>
      </c>
      <c r="D2644" s="480" t="s">
        <v>8</v>
      </c>
      <c r="E2644" s="490">
        <f t="shared" si="474"/>
        <v>34413</v>
      </c>
      <c r="F2644" s="493">
        <f t="shared" si="474"/>
        <v>20647.8</v>
      </c>
      <c r="G2644" s="494">
        <f>일위대가목록표!F275</f>
        <v>34413</v>
      </c>
      <c r="H2644" s="498">
        <f>IF(C2644=0,0,ROUNDDOWN(G2644*C2644,1))</f>
        <v>20647.8</v>
      </c>
      <c r="I2644" s="494">
        <f>일위대가목록표!G275</f>
        <v>0</v>
      </c>
      <c r="J2644" s="498">
        <f>IF(C2644=0,0,ROUNDDOWN(I2644*C2644,1))</f>
        <v>0</v>
      </c>
      <c r="K2644" s="494">
        <f>일위대가목록표!H275</f>
        <v>0</v>
      </c>
      <c r="L2644" s="498">
        <f>IF(C2644=0,0,ROUNDDOWN(K2644*C2644,1))</f>
        <v>0</v>
      </c>
      <c r="M2644" s="463" t="s">
        <v>2489</v>
      </c>
      <c r="N2644" s="451" t="s">
        <v>2490</v>
      </c>
      <c r="O2644" s="468" t="s">
        <v>2491</v>
      </c>
      <c r="P2644" s="468" t="s">
        <v>2354</v>
      </c>
      <c r="Q2644" s="468" t="s">
        <v>2355</v>
      </c>
      <c r="Z2644" s="433" t="str">
        <f ca="1">HYPERLINK("#"&amp;일위대가목록표!J2&amp;"!A"&amp;ROW(일위대가목록표!A275),"B01414 →")</f>
        <v>B01414 →</v>
      </c>
    </row>
    <row r="2645" spans="1:26" ht="33.200000000000003" customHeight="1">
      <c r="A2645" s="452" t="s">
        <v>2627</v>
      </c>
      <c r="B2645" s="452" t="s">
        <v>2628</v>
      </c>
      <c r="C2645" s="489">
        <v>113.17</v>
      </c>
      <c r="D2645" s="480" t="s">
        <v>605</v>
      </c>
      <c r="E2645" s="490">
        <f t="shared" si="474"/>
        <v>6200</v>
      </c>
      <c r="F2645" s="491">
        <f t="shared" si="474"/>
        <v>701654</v>
      </c>
      <c r="G2645" s="492">
        <v>0</v>
      </c>
      <c r="H2645" s="493">
        <f>IF(C2645=0,0,ROUNDDOWN(G2645*C2645,1))</f>
        <v>0</v>
      </c>
      <c r="I2645" s="494">
        <f>재료비목록표!E8</f>
        <v>6200</v>
      </c>
      <c r="J2645" s="495">
        <f>IF(C2645=0,0,ROUNDDOWN(I2645*C2645,1))</f>
        <v>701654</v>
      </c>
      <c r="K2645" s="492">
        <v>0</v>
      </c>
      <c r="L2645" s="493">
        <f>IF(C2645=0,0,ROUNDDOWN(K2645*C2645,1))</f>
        <v>0</v>
      </c>
      <c r="M2645" s="463" t="s">
        <v>2629</v>
      </c>
      <c r="N2645" s="451" t="s">
        <v>2630</v>
      </c>
      <c r="O2645" s="468" t="s">
        <v>2631</v>
      </c>
      <c r="P2645" s="468" t="s">
        <v>2354</v>
      </c>
      <c r="Z2645" s="433" t="str">
        <f ca="1">HYPERLINK("#"&amp;재료비목록표!G2&amp;"!A"&amp;ROW(재료비목록표!A8),"M00950 →")</f>
        <v>M00950 →</v>
      </c>
    </row>
    <row r="2646" spans="1:26" ht="33.200000000000003" customHeight="1">
      <c r="A2646" s="452" t="s">
        <v>1461</v>
      </c>
      <c r="B2646" s="452" t="s">
        <v>1462</v>
      </c>
      <c r="C2646" s="489">
        <v>0.36</v>
      </c>
      <c r="D2646" s="480" t="s">
        <v>8</v>
      </c>
      <c r="E2646" s="490">
        <f t="shared" si="474"/>
        <v>915052</v>
      </c>
      <c r="F2646" s="493">
        <f t="shared" si="474"/>
        <v>329418.7</v>
      </c>
      <c r="G2646" s="494">
        <f>일위대가목록표!F72</f>
        <v>915052</v>
      </c>
      <c r="H2646" s="498">
        <f>IF(C2646=0,0,ROUNDDOWN(G2646*C2646,1))</f>
        <v>329418.7</v>
      </c>
      <c r="I2646" s="494">
        <f>일위대가목록표!G72</f>
        <v>0</v>
      </c>
      <c r="J2646" s="498">
        <f>IF(C2646=0,0,ROUNDDOWN(I2646*C2646,1))</f>
        <v>0</v>
      </c>
      <c r="K2646" s="494">
        <f>일위대가목록표!H72</f>
        <v>0</v>
      </c>
      <c r="L2646" s="498">
        <f>IF(C2646=0,0,ROUNDDOWN(K2646*C2646,1))</f>
        <v>0</v>
      </c>
      <c r="M2646" s="463" t="s">
        <v>2471</v>
      </c>
      <c r="N2646" s="451" t="s">
        <v>2472</v>
      </c>
      <c r="O2646" s="468" t="s">
        <v>1465</v>
      </c>
      <c r="P2646" s="468" t="s">
        <v>2354</v>
      </c>
      <c r="Q2646" s="468" t="s">
        <v>2355</v>
      </c>
      <c r="Z2646" s="433" t="str">
        <f ca="1">HYPERLINK("#"&amp;일위대가목록표!J2&amp;"!A"&amp;ROW(일위대가목록표!A72),"B01822 →")</f>
        <v>B01822 →</v>
      </c>
    </row>
    <row r="2647" spans="1:26" ht="33.200000000000003" customHeight="1">
      <c r="A2647" s="452" t="s">
        <v>2574</v>
      </c>
      <c r="B2647" s="452" t="s">
        <v>2575</v>
      </c>
      <c r="C2647" s="489">
        <v>3.689E-3</v>
      </c>
      <c r="D2647" s="480" t="s">
        <v>2576</v>
      </c>
      <c r="E2647" s="490">
        <f t="shared" si="474"/>
        <v>765000</v>
      </c>
      <c r="F2647" s="491">
        <f t="shared" si="474"/>
        <v>2822</v>
      </c>
      <c r="G2647" s="492">
        <v>0</v>
      </c>
      <c r="H2647" s="493">
        <f>IF(C2647=0,0,ROUNDDOWN(G2647*C2647,1))</f>
        <v>0</v>
      </c>
      <c r="I2647" s="494">
        <f>재료비목록표!E81</f>
        <v>765000</v>
      </c>
      <c r="J2647" s="495">
        <f>IF(C2647=0,0,ROUNDDOWN(I2647*C2647,1))</f>
        <v>2822</v>
      </c>
      <c r="K2647" s="492">
        <v>0</v>
      </c>
      <c r="L2647" s="493">
        <f>IF(C2647=0,0,ROUNDDOWN(K2647*C2647,1))</f>
        <v>0</v>
      </c>
      <c r="M2647" s="463" t="s">
        <v>2577</v>
      </c>
      <c r="N2647" s="451" t="s">
        <v>2578</v>
      </c>
      <c r="O2647" s="468" t="s">
        <v>2579</v>
      </c>
      <c r="P2647" s="468" t="s">
        <v>2354</v>
      </c>
      <c r="Z2647" s="433" t="str">
        <f ca="1">HYPERLINK("#"&amp;재료비목록표!G2&amp;"!A"&amp;ROW(재료비목록표!A81),"M00150 →")</f>
        <v>M00150 →</v>
      </c>
    </row>
    <row r="2648" spans="1:26" ht="33.200000000000003" customHeight="1">
      <c r="A2648" s="452" t="s">
        <v>2507</v>
      </c>
      <c r="B2648" s="452" t="s">
        <v>2441</v>
      </c>
      <c r="C2648" s="489">
        <v>15</v>
      </c>
      <c r="D2648" s="480" t="s">
        <v>2371</v>
      </c>
      <c r="E2648" s="490">
        <f t="shared" si="474"/>
        <v>387753.1</v>
      </c>
      <c r="F2648" s="491">
        <f t="shared" si="474"/>
        <v>58162.9</v>
      </c>
      <c r="G2648" s="496">
        <f>H2643+H2644+H2646</f>
        <v>387753.1</v>
      </c>
      <c r="H2648" s="491">
        <f>IF(C2648=0,0,ROUNDDOWN(G2648*C2648/100,1))</f>
        <v>58162.9</v>
      </c>
      <c r="I2648" s="465">
        <v>0</v>
      </c>
      <c r="J2648" s="493">
        <f>IF(C2648=0,0,ROUNDDOWN(I2648*C2648/100,1))</f>
        <v>0</v>
      </c>
      <c r="K2648" s="467">
        <v>0</v>
      </c>
      <c r="L2648" s="493">
        <f>IF(C2648=0,0,ROUNDDOWN(K2648*C2648/100,1))</f>
        <v>0</v>
      </c>
      <c r="M2648" s="463"/>
      <c r="N2648" s="451" t="s">
        <v>2644</v>
      </c>
      <c r="O2648" s="468" t="s">
        <v>2373</v>
      </c>
      <c r="P2648" s="468" t="s">
        <v>2354</v>
      </c>
      <c r="Q2648" s="468" t="s">
        <v>2355</v>
      </c>
    </row>
    <row r="2649" spans="1:26" ht="33.200000000000003" customHeight="1">
      <c r="A2649" s="463" t="s">
        <v>842</v>
      </c>
      <c r="B2649" s="497"/>
      <c r="C2649" s="497"/>
      <c r="D2649" s="497"/>
      <c r="E2649" s="497"/>
      <c r="F2649" s="446">
        <f>J2649+H2649+L2649</f>
        <v>1150392</v>
      </c>
      <c r="G2649" s="497"/>
      <c r="H2649" s="446">
        <f>ROUNDDOWN(SUMIF(P2643:P2648,O2649,H2643:H2648),0)</f>
        <v>445916</v>
      </c>
      <c r="I2649" s="497"/>
      <c r="J2649" s="446">
        <f>ROUNDDOWN(SUMIF(P2643:P2648,O2649,J2643:J2648),0)</f>
        <v>704476</v>
      </c>
      <c r="K2649" s="497"/>
      <c r="L2649" s="446">
        <f>ROUNDDOWN(SUMIF(P2643:P2648,O2649,L2643:L2648),0)</f>
        <v>0</v>
      </c>
      <c r="M2649" s="497"/>
      <c r="O2649" s="468" t="s">
        <v>2354</v>
      </c>
    </row>
    <row r="2650" spans="1:26" ht="33.200000000000003" customHeight="1">
      <c r="A2650" s="484" t="s">
        <v>5581</v>
      </c>
      <c r="B2650" s="484"/>
      <c r="C2650" s="485"/>
      <c r="D2650" s="485"/>
      <c r="E2650" s="485"/>
      <c r="F2650" s="485"/>
      <c r="G2650" s="485"/>
      <c r="H2650" s="485"/>
      <c r="I2650" s="485"/>
      <c r="J2650" s="485"/>
      <c r="K2650" s="485"/>
      <c r="L2650" s="485"/>
      <c r="M2650" s="485"/>
      <c r="N2650" s="486" t="str">
        <f>HYPERLINK("#N"&amp;ROW(N2657),"_x0005_`BDCOD|B02507_x0007_`POSS|"&amp;ROW(N2652)&amp;"_x0007_`POSE|"&amp;ROW(N2657)&amp;"_x0007_`")</f>
        <v>_x0005_`BDCOD|B02507_x0007_`POSS|2652_x0007_`POSE|2657_x0007_`</v>
      </c>
    </row>
    <row r="2651" spans="1:26" ht="33.200000000000003" customHeight="1">
      <c r="A2651" s="469" t="s">
        <v>5151</v>
      </c>
      <c r="B2651" s="469" t="s">
        <v>1103</v>
      </c>
      <c r="C2651" s="487"/>
      <c r="D2651" s="488" t="s">
        <v>975</v>
      </c>
      <c r="E2651" s="487"/>
      <c r="F2651" s="487"/>
      <c r="G2651" s="487"/>
      <c r="H2651" s="487"/>
      <c r="I2651" s="487"/>
      <c r="J2651" s="487"/>
      <c r="K2651" s="487"/>
      <c r="L2651" s="487"/>
      <c r="M2651" s="488" t="s">
        <v>1104</v>
      </c>
      <c r="O2651" s="468" t="s">
        <v>1104</v>
      </c>
    </row>
    <row r="2652" spans="1:26" ht="33.200000000000003" customHeight="1">
      <c r="A2652" s="452" t="s">
        <v>2484</v>
      </c>
      <c r="B2652" s="452" t="s">
        <v>2485</v>
      </c>
      <c r="C2652" s="489">
        <v>0.24</v>
      </c>
      <c r="D2652" s="480" t="s">
        <v>8</v>
      </c>
      <c r="E2652" s="490">
        <f t="shared" ref="E2652:F2657" si="475">I2652+G2652+K2652</f>
        <v>62811</v>
      </c>
      <c r="F2652" s="493">
        <f t="shared" si="475"/>
        <v>15074.6</v>
      </c>
      <c r="G2652" s="494">
        <f>단가산출근거목록표!F157</f>
        <v>62811</v>
      </c>
      <c r="H2652" s="498">
        <f>IF(C2652=0,0,ROUNDDOWN(G2652*C2652,1))</f>
        <v>15074.6</v>
      </c>
      <c r="I2652" s="494">
        <f>단가산출근거목록표!G157</f>
        <v>0</v>
      </c>
      <c r="J2652" s="498">
        <f>IF(C2652=0,0,ROUNDDOWN(I2652*C2652,1))</f>
        <v>0</v>
      </c>
      <c r="K2652" s="494">
        <f>단가산출근거목록표!H157</f>
        <v>0</v>
      </c>
      <c r="L2652" s="498">
        <f>IF(C2652=0,0,ROUNDDOWN(K2652*C2652,1))</f>
        <v>0</v>
      </c>
      <c r="M2652" s="463" t="s">
        <v>2486</v>
      </c>
      <c r="N2652" s="451" t="s">
        <v>2487</v>
      </c>
      <c r="O2652" s="468" t="s">
        <v>2488</v>
      </c>
      <c r="P2652" s="468" t="s">
        <v>2354</v>
      </c>
      <c r="Q2652" s="468" t="s">
        <v>2355</v>
      </c>
      <c r="Z2652" s="433" t="str">
        <f ca="1">HYPERLINK("#"&amp;단가산출근거목록표!J2&amp;"!A"&amp;ROW(단가산출근거목록표!A157),"D01241 →")</f>
        <v>D01241 →</v>
      </c>
    </row>
    <row r="2653" spans="1:26" ht="33.200000000000003" customHeight="1">
      <c r="A2653" s="452" t="s">
        <v>2321</v>
      </c>
      <c r="B2653" s="452" t="s">
        <v>2322</v>
      </c>
      <c r="C2653" s="489">
        <v>0.24</v>
      </c>
      <c r="D2653" s="480" t="s">
        <v>8</v>
      </c>
      <c r="E2653" s="490">
        <f t="shared" si="475"/>
        <v>34413</v>
      </c>
      <c r="F2653" s="493">
        <f t="shared" si="475"/>
        <v>8259.1</v>
      </c>
      <c r="G2653" s="494">
        <f>일위대가목록표!F275</f>
        <v>34413</v>
      </c>
      <c r="H2653" s="498">
        <f>IF(C2653=0,0,ROUNDDOWN(G2653*C2653,1))</f>
        <v>8259.1</v>
      </c>
      <c r="I2653" s="494">
        <f>일위대가목록표!G275</f>
        <v>0</v>
      </c>
      <c r="J2653" s="498">
        <f>IF(C2653=0,0,ROUNDDOWN(I2653*C2653,1))</f>
        <v>0</v>
      </c>
      <c r="K2653" s="494">
        <f>일위대가목록표!H275</f>
        <v>0</v>
      </c>
      <c r="L2653" s="498">
        <f>IF(C2653=0,0,ROUNDDOWN(K2653*C2653,1))</f>
        <v>0</v>
      </c>
      <c r="M2653" s="463" t="s">
        <v>2489</v>
      </c>
      <c r="N2653" s="451" t="s">
        <v>2490</v>
      </c>
      <c r="O2653" s="468" t="s">
        <v>2491</v>
      </c>
      <c r="P2653" s="468" t="s">
        <v>2354</v>
      </c>
      <c r="Q2653" s="468" t="s">
        <v>2355</v>
      </c>
      <c r="Z2653" s="433" t="str">
        <f ca="1">HYPERLINK("#"&amp;일위대가목록표!J2&amp;"!A"&amp;ROW(일위대가목록표!A275),"B01414 →")</f>
        <v>B01414 →</v>
      </c>
    </row>
    <row r="2654" spans="1:26" ht="33.200000000000003" customHeight="1">
      <c r="A2654" s="452" t="s">
        <v>2627</v>
      </c>
      <c r="B2654" s="452" t="s">
        <v>2628</v>
      </c>
      <c r="C2654" s="489">
        <v>56.587000000099998</v>
      </c>
      <c r="D2654" s="480" t="s">
        <v>605</v>
      </c>
      <c r="E2654" s="490">
        <f t="shared" si="475"/>
        <v>6200</v>
      </c>
      <c r="F2654" s="491">
        <f t="shared" si="475"/>
        <v>350839.4</v>
      </c>
      <c r="G2654" s="492">
        <v>0</v>
      </c>
      <c r="H2654" s="493">
        <f>IF(C2654=0,0,ROUNDDOWN(G2654*C2654,1))</f>
        <v>0</v>
      </c>
      <c r="I2654" s="494">
        <f>재료비목록표!E8</f>
        <v>6200</v>
      </c>
      <c r="J2654" s="495">
        <f>IF(C2654=0,0,ROUNDDOWN(I2654*C2654,1))</f>
        <v>350839.4</v>
      </c>
      <c r="K2654" s="492">
        <v>0</v>
      </c>
      <c r="L2654" s="493">
        <f>IF(C2654=0,0,ROUNDDOWN(K2654*C2654,1))</f>
        <v>0</v>
      </c>
      <c r="M2654" s="463" t="s">
        <v>2629</v>
      </c>
      <c r="N2654" s="451" t="s">
        <v>2630</v>
      </c>
      <c r="O2654" s="468" t="s">
        <v>2631</v>
      </c>
      <c r="P2654" s="468" t="s">
        <v>2354</v>
      </c>
      <c r="Z2654" s="433" t="str">
        <f ca="1">HYPERLINK("#"&amp;재료비목록표!G2&amp;"!A"&amp;ROW(재료비목록표!A8),"M00950 →")</f>
        <v>M00950 →</v>
      </c>
    </row>
    <row r="2655" spans="1:26" ht="33.200000000000003" customHeight="1">
      <c r="A2655" s="452" t="s">
        <v>1461</v>
      </c>
      <c r="B2655" s="452" t="s">
        <v>1462</v>
      </c>
      <c r="C2655" s="489">
        <v>0.18</v>
      </c>
      <c r="D2655" s="480" t="s">
        <v>8</v>
      </c>
      <c r="E2655" s="490">
        <f t="shared" si="475"/>
        <v>915052</v>
      </c>
      <c r="F2655" s="493">
        <f t="shared" si="475"/>
        <v>164709.29999999999</v>
      </c>
      <c r="G2655" s="494">
        <f>일위대가목록표!F72</f>
        <v>915052</v>
      </c>
      <c r="H2655" s="498">
        <f>IF(C2655=0,0,ROUNDDOWN(G2655*C2655,1))</f>
        <v>164709.29999999999</v>
      </c>
      <c r="I2655" s="494">
        <f>일위대가목록표!G72</f>
        <v>0</v>
      </c>
      <c r="J2655" s="498">
        <f>IF(C2655=0,0,ROUNDDOWN(I2655*C2655,1))</f>
        <v>0</v>
      </c>
      <c r="K2655" s="494">
        <f>일위대가목록표!H72</f>
        <v>0</v>
      </c>
      <c r="L2655" s="498">
        <f>IF(C2655=0,0,ROUNDDOWN(K2655*C2655,1))</f>
        <v>0</v>
      </c>
      <c r="M2655" s="463" t="s">
        <v>2471</v>
      </c>
      <c r="N2655" s="451" t="s">
        <v>2472</v>
      </c>
      <c r="O2655" s="468" t="s">
        <v>1465</v>
      </c>
      <c r="P2655" s="468" t="s">
        <v>2354</v>
      </c>
      <c r="Q2655" s="468" t="s">
        <v>2355</v>
      </c>
      <c r="Z2655" s="433" t="str">
        <f ca="1">HYPERLINK("#"&amp;일위대가목록표!J2&amp;"!A"&amp;ROW(일위대가목록표!A72),"B01822 →")</f>
        <v>B01822 →</v>
      </c>
    </row>
    <row r="2656" spans="1:26" ht="33.200000000000003" customHeight="1">
      <c r="A2656" s="452" t="s">
        <v>2574</v>
      </c>
      <c r="B2656" s="452" t="s">
        <v>2575</v>
      </c>
      <c r="C2656" s="489">
        <v>3.689E-3</v>
      </c>
      <c r="D2656" s="480" t="s">
        <v>2576</v>
      </c>
      <c r="E2656" s="490">
        <f t="shared" si="475"/>
        <v>765000</v>
      </c>
      <c r="F2656" s="491">
        <f t="shared" si="475"/>
        <v>2822</v>
      </c>
      <c r="G2656" s="492">
        <v>0</v>
      </c>
      <c r="H2656" s="493">
        <f>IF(C2656=0,0,ROUNDDOWN(G2656*C2656,1))</f>
        <v>0</v>
      </c>
      <c r="I2656" s="494">
        <f>재료비목록표!E81</f>
        <v>765000</v>
      </c>
      <c r="J2656" s="495">
        <f>IF(C2656=0,0,ROUNDDOWN(I2656*C2656,1))</f>
        <v>2822</v>
      </c>
      <c r="K2656" s="492">
        <v>0</v>
      </c>
      <c r="L2656" s="493">
        <f>IF(C2656=0,0,ROUNDDOWN(K2656*C2656,1))</f>
        <v>0</v>
      </c>
      <c r="M2656" s="463" t="s">
        <v>2577</v>
      </c>
      <c r="N2656" s="451" t="s">
        <v>2578</v>
      </c>
      <c r="O2656" s="468" t="s">
        <v>2579</v>
      </c>
      <c r="P2656" s="468" t="s">
        <v>2354</v>
      </c>
      <c r="Z2656" s="433" t="str">
        <f ca="1">HYPERLINK("#"&amp;재료비목록표!G2&amp;"!A"&amp;ROW(재료비목록표!A81),"M00150 →")</f>
        <v>M00150 →</v>
      </c>
    </row>
    <row r="2657" spans="1:26" ht="33.200000000000003" customHeight="1">
      <c r="A2657" s="452" t="s">
        <v>2507</v>
      </c>
      <c r="B2657" s="452" t="s">
        <v>2441</v>
      </c>
      <c r="C2657" s="489">
        <v>25</v>
      </c>
      <c r="D2657" s="480" t="s">
        <v>2371</v>
      </c>
      <c r="E2657" s="490">
        <f t="shared" si="475"/>
        <v>188043</v>
      </c>
      <c r="F2657" s="491">
        <f t="shared" si="475"/>
        <v>47010.7</v>
      </c>
      <c r="G2657" s="496">
        <f>H2652+H2653+H2655</f>
        <v>188043</v>
      </c>
      <c r="H2657" s="491">
        <f>IF(C2657=0,0,ROUNDDOWN(G2657*C2657/100,1))</f>
        <v>47010.7</v>
      </c>
      <c r="I2657" s="465">
        <v>0</v>
      </c>
      <c r="J2657" s="493">
        <f>IF(C2657=0,0,ROUNDDOWN(I2657*C2657/100,1))</f>
        <v>0</v>
      </c>
      <c r="K2657" s="467">
        <v>0</v>
      </c>
      <c r="L2657" s="493">
        <f>IF(C2657=0,0,ROUNDDOWN(K2657*C2657/100,1))</f>
        <v>0</v>
      </c>
      <c r="M2657" s="463"/>
      <c r="N2657" s="451" t="s">
        <v>2644</v>
      </c>
      <c r="O2657" s="468" t="s">
        <v>2373</v>
      </c>
      <c r="P2657" s="468" t="s">
        <v>2354</v>
      </c>
      <c r="Q2657" s="468" t="s">
        <v>2355</v>
      </c>
    </row>
    <row r="2658" spans="1:26" ht="33.200000000000003" customHeight="1">
      <c r="A2658" s="463" t="s">
        <v>842</v>
      </c>
      <c r="B2658" s="497"/>
      <c r="C2658" s="497"/>
      <c r="D2658" s="497"/>
      <c r="E2658" s="497"/>
      <c r="F2658" s="446">
        <f>J2658+H2658+L2658</f>
        <v>588714</v>
      </c>
      <c r="G2658" s="497"/>
      <c r="H2658" s="446">
        <f>ROUNDDOWN(SUMIF(P2652:P2657,O2658,H2652:H2657),0)</f>
        <v>235053</v>
      </c>
      <c r="I2658" s="497"/>
      <c r="J2658" s="446">
        <f>ROUNDDOWN(SUMIF(P2652:P2657,O2658,J2652:J2657),0)</f>
        <v>353661</v>
      </c>
      <c r="K2658" s="497"/>
      <c r="L2658" s="446">
        <f>ROUNDDOWN(SUMIF(P2652:P2657,O2658,L2652:L2657),0)</f>
        <v>0</v>
      </c>
      <c r="M2658" s="497"/>
      <c r="O2658" s="468" t="s">
        <v>2354</v>
      </c>
    </row>
    <row r="2659" spans="1:26" ht="33.200000000000003" customHeight="1">
      <c r="A2659" s="484" t="s">
        <v>5582</v>
      </c>
      <c r="B2659" s="484"/>
      <c r="C2659" s="485"/>
      <c r="D2659" s="485"/>
      <c r="E2659" s="485"/>
      <c r="F2659" s="485"/>
      <c r="G2659" s="485"/>
      <c r="H2659" s="485"/>
      <c r="I2659" s="485"/>
      <c r="J2659" s="485"/>
      <c r="K2659" s="485"/>
      <c r="L2659" s="485"/>
      <c r="M2659" s="485"/>
      <c r="N2659" s="486" t="str">
        <f>HYPERLINK("#N"&amp;ROW(N2666),"_x0005_`BDCOD|B02448_x0007_`POSS|"&amp;ROW(N2661)&amp;"_x0007_`POSE|"&amp;ROW(N2666)&amp;"_x0007_`")</f>
        <v>_x0005_`BDCOD|B02448_x0007_`POSS|2661_x0007_`POSE|2666_x0007_`</v>
      </c>
    </row>
    <row r="2660" spans="1:26" ht="33.200000000000003" customHeight="1">
      <c r="A2660" s="469" t="s">
        <v>5151</v>
      </c>
      <c r="B2660" s="469" t="s">
        <v>1107</v>
      </c>
      <c r="C2660" s="487"/>
      <c r="D2660" s="488" t="s">
        <v>975</v>
      </c>
      <c r="E2660" s="487"/>
      <c r="F2660" s="487"/>
      <c r="G2660" s="487"/>
      <c r="H2660" s="487"/>
      <c r="I2660" s="487"/>
      <c r="J2660" s="487"/>
      <c r="K2660" s="487"/>
      <c r="L2660" s="487"/>
      <c r="M2660" s="488" t="s">
        <v>1108</v>
      </c>
      <c r="O2660" s="468" t="s">
        <v>1108</v>
      </c>
    </row>
    <row r="2661" spans="1:26" ht="33.200000000000003" customHeight="1">
      <c r="A2661" s="452" t="s">
        <v>2484</v>
      </c>
      <c r="B2661" s="452" t="s">
        <v>2485</v>
      </c>
      <c r="C2661" s="489">
        <v>0.32</v>
      </c>
      <c r="D2661" s="480" t="s">
        <v>8</v>
      </c>
      <c r="E2661" s="490">
        <f t="shared" ref="E2661:F2666" si="476">I2661+G2661+K2661</f>
        <v>62811</v>
      </c>
      <c r="F2661" s="493">
        <f t="shared" si="476"/>
        <v>20099.5</v>
      </c>
      <c r="G2661" s="494">
        <f>단가산출근거목록표!F157</f>
        <v>62811</v>
      </c>
      <c r="H2661" s="498">
        <f>IF(C2661=0,0,ROUNDDOWN(G2661*C2661,1))</f>
        <v>20099.5</v>
      </c>
      <c r="I2661" s="494">
        <f>단가산출근거목록표!G157</f>
        <v>0</v>
      </c>
      <c r="J2661" s="498">
        <f>IF(C2661=0,0,ROUNDDOWN(I2661*C2661,1))</f>
        <v>0</v>
      </c>
      <c r="K2661" s="494">
        <f>단가산출근거목록표!H157</f>
        <v>0</v>
      </c>
      <c r="L2661" s="498">
        <f>IF(C2661=0,0,ROUNDDOWN(K2661*C2661,1))</f>
        <v>0</v>
      </c>
      <c r="M2661" s="463" t="s">
        <v>2486</v>
      </c>
      <c r="N2661" s="451" t="s">
        <v>2487</v>
      </c>
      <c r="O2661" s="468" t="s">
        <v>2488</v>
      </c>
      <c r="P2661" s="468" t="s">
        <v>2354</v>
      </c>
      <c r="Q2661" s="468" t="s">
        <v>2355</v>
      </c>
      <c r="Z2661" s="433" t="str">
        <f ca="1">HYPERLINK("#"&amp;단가산출근거목록표!J2&amp;"!A"&amp;ROW(단가산출근거목록표!A157),"D01241 →")</f>
        <v>D01241 →</v>
      </c>
    </row>
    <row r="2662" spans="1:26" ht="33.200000000000003" customHeight="1">
      <c r="A2662" s="452" t="s">
        <v>2321</v>
      </c>
      <c r="B2662" s="452" t="s">
        <v>2322</v>
      </c>
      <c r="C2662" s="489">
        <v>0.32</v>
      </c>
      <c r="D2662" s="480" t="s">
        <v>8</v>
      </c>
      <c r="E2662" s="490">
        <f t="shared" si="476"/>
        <v>34413</v>
      </c>
      <c r="F2662" s="493">
        <f t="shared" si="476"/>
        <v>11012.1</v>
      </c>
      <c r="G2662" s="494">
        <f>일위대가목록표!F275</f>
        <v>34413</v>
      </c>
      <c r="H2662" s="498">
        <f>IF(C2662=0,0,ROUNDDOWN(G2662*C2662,1))</f>
        <v>11012.1</v>
      </c>
      <c r="I2662" s="494">
        <f>일위대가목록표!G275</f>
        <v>0</v>
      </c>
      <c r="J2662" s="498">
        <f>IF(C2662=0,0,ROUNDDOWN(I2662*C2662,1))</f>
        <v>0</v>
      </c>
      <c r="K2662" s="494">
        <f>일위대가목록표!H275</f>
        <v>0</v>
      </c>
      <c r="L2662" s="498">
        <f>IF(C2662=0,0,ROUNDDOWN(K2662*C2662,1))</f>
        <v>0</v>
      </c>
      <c r="M2662" s="463" t="s">
        <v>2489</v>
      </c>
      <c r="N2662" s="451" t="s">
        <v>2490</v>
      </c>
      <c r="O2662" s="468" t="s">
        <v>2491</v>
      </c>
      <c r="P2662" s="468" t="s">
        <v>2354</v>
      </c>
      <c r="Q2662" s="468" t="s">
        <v>2355</v>
      </c>
      <c r="Z2662" s="433" t="str">
        <f ca="1">HYPERLINK("#"&amp;일위대가목록표!J2&amp;"!A"&amp;ROW(일위대가목록표!A275),"B01414 →")</f>
        <v>B01414 →</v>
      </c>
    </row>
    <row r="2663" spans="1:26" ht="33.200000000000003" customHeight="1">
      <c r="A2663" s="452" t="s">
        <v>2627</v>
      </c>
      <c r="B2663" s="452" t="s">
        <v>2628</v>
      </c>
      <c r="C2663" s="489">
        <v>75.448999999999998</v>
      </c>
      <c r="D2663" s="480" t="s">
        <v>605</v>
      </c>
      <c r="E2663" s="490">
        <f t="shared" si="476"/>
        <v>6200</v>
      </c>
      <c r="F2663" s="491">
        <f t="shared" si="476"/>
        <v>467783.8</v>
      </c>
      <c r="G2663" s="492">
        <v>0</v>
      </c>
      <c r="H2663" s="493">
        <f>IF(C2663=0,0,ROUNDDOWN(G2663*C2663,1))</f>
        <v>0</v>
      </c>
      <c r="I2663" s="494">
        <f>재료비목록표!E8</f>
        <v>6200</v>
      </c>
      <c r="J2663" s="495">
        <f>IF(C2663=0,0,ROUNDDOWN(I2663*C2663,1))</f>
        <v>467783.8</v>
      </c>
      <c r="K2663" s="492">
        <v>0</v>
      </c>
      <c r="L2663" s="493">
        <f>IF(C2663=0,0,ROUNDDOWN(K2663*C2663,1))</f>
        <v>0</v>
      </c>
      <c r="M2663" s="463" t="s">
        <v>2629</v>
      </c>
      <c r="N2663" s="451" t="s">
        <v>2630</v>
      </c>
      <c r="O2663" s="468" t="s">
        <v>2631</v>
      </c>
      <c r="P2663" s="468" t="s">
        <v>2354</v>
      </c>
      <c r="Z2663" s="433" t="str">
        <f ca="1">HYPERLINK("#"&amp;재료비목록표!G2&amp;"!A"&amp;ROW(재료비목록표!A8),"M00950 →")</f>
        <v>M00950 →</v>
      </c>
    </row>
    <row r="2664" spans="1:26" ht="33.200000000000003" customHeight="1">
      <c r="A2664" s="452" t="s">
        <v>1461</v>
      </c>
      <c r="B2664" s="452" t="s">
        <v>1462</v>
      </c>
      <c r="C2664" s="489">
        <v>0.24</v>
      </c>
      <c r="D2664" s="480" t="s">
        <v>8</v>
      </c>
      <c r="E2664" s="490">
        <f t="shared" si="476"/>
        <v>915052</v>
      </c>
      <c r="F2664" s="493">
        <f t="shared" si="476"/>
        <v>219612.4</v>
      </c>
      <c r="G2664" s="494">
        <f>일위대가목록표!F72</f>
        <v>915052</v>
      </c>
      <c r="H2664" s="498">
        <f>IF(C2664=0,0,ROUNDDOWN(G2664*C2664,1))</f>
        <v>219612.4</v>
      </c>
      <c r="I2664" s="494">
        <f>일위대가목록표!G72</f>
        <v>0</v>
      </c>
      <c r="J2664" s="498">
        <f>IF(C2664=0,0,ROUNDDOWN(I2664*C2664,1))</f>
        <v>0</v>
      </c>
      <c r="K2664" s="494">
        <f>일위대가목록표!H72</f>
        <v>0</v>
      </c>
      <c r="L2664" s="498">
        <f>IF(C2664=0,0,ROUNDDOWN(K2664*C2664,1))</f>
        <v>0</v>
      </c>
      <c r="M2664" s="463" t="s">
        <v>2471</v>
      </c>
      <c r="N2664" s="451" t="s">
        <v>2472</v>
      </c>
      <c r="O2664" s="468" t="s">
        <v>1465</v>
      </c>
      <c r="P2664" s="468" t="s">
        <v>2354</v>
      </c>
      <c r="Q2664" s="468" t="s">
        <v>2355</v>
      </c>
      <c r="Z2664" s="433" t="str">
        <f ca="1">HYPERLINK("#"&amp;일위대가목록표!J2&amp;"!A"&amp;ROW(일위대가목록표!A72),"B01822 →")</f>
        <v>B01822 →</v>
      </c>
    </row>
    <row r="2665" spans="1:26" ht="33.200000000000003" customHeight="1">
      <c r="A2665" s="452" t="s">
        <v>2574</v>
      </c>
      <c r="B2665" s="452" t="s">
        <v>2575</v>
      </c>
      <c r="C2665" s="489">
        <v>3.689E-3</v>
      </c>
      <c r="D2665" s="480" t="s">
        <v>2576</v>
      </c>
      <c r="E2665" s="490">
        <f t="shared" si="476"/>
        <v>765000</v>
      </c>
      <c r="F2665" s="491">
        <f t="shared" si="476"/>
        <v>2822</v>
      </c>
      <c r="G2665" s="492">
        <v>0</v>
      </c>
      <c r="H2665" s="493">
        <f>IF(C2665=0,0,ROUNDDOWN(G2665*C2665,1))</f>
        <v>0</v>
      </c>
      <c r="I2665" s="494">
        <f>재료비목록표!E81</f>
        <v>765000</v>
      </c>
      <c r="J2665" s="495">
        <f>IF(C2665=0,0,ROUNDDOWN(I2665*C2665,1))</f>
        <v>2822</v>
      </c>
      <c r="K2665" s="492">
        <v>0</v>
      </c>
      <c r="L2665" s="493">
        <f>IF(C2665=0,0,ROUNDDOWN(K2665*C2665,1))</f>
        <v>0</v>
      </c>
      <c r="M2665" s="463" t="s">
        <v>2577</v>
      </c>
      <c r="N2665" s="451" t="s">
        <v>2578</v>
      </c>
      <c r="O2665" s="468" t="s">
        <v>2579</v>
      </c>
      <c r="P2665" s="468" t="s">
        <v>2354</v>
      </c>
      <c r="Z2665" s="433" t="str">
        <f ca="1">HYPERLINK("#"&amp;재료비목록표!G2&amp;"!A"&amp;ROW(재료비목록표!A81),"M00150 →")</f>
        <v>M00150 →</v>
      </c>
    </row>
    <row r="2666" spans="1:26" ht="33.200000000000003" customHeight="1">
      <c r="A2666" s="452" t="s">
        <v>2507</v>
      </c>
      <c r="B2666" s="452" t="s">
        <v>2441</v>
      </c>
      <c r="C2666" s="489">
        <v>25</v>
      </c>
      <c r="D2666" s="480" t="s">
        <v>2371</v>
      </c>
      <c r="E2666" s="490">
        <f t="shared" si="476"/>
        <v>250724</v>
      </c>
      <c r="F2666" s="491">
        <f t="shared" si="476"/>
        <v>62681</v>
      </c>
      <c r="G2666" s="496">
        <f>H2661+H2662+H2664</f>
        <v>250724</v>
      </c>
      <c r="H2666" s="491">
        <f>IF(C2666=0,0,ROUNDDOWN(G2666*C2666/100,1))</f>
        <v>62681</v>
      </c>
      <c r="I2666" s="465">
        <v>0</v>
      </c>
      <c r="J2666" s="493">
        <f>IF(C2666=0,0,ROUNDDOWN(I2666*C2666/100,1))</f>
        <v>0</v>
      </c>
      <c r="K2666" s="467">
        <v>0</v>
      </c>
      <c r="L2666" s="493">
        <f>IF(C2666=0,0,ROUNDDOWN(K2666*C2666/100,1))</f>
        <v>0</v>
      </c>
      <c r="M2666" s="463"/>
      <c r="N2666" s="451" t="s">
        <v>2644</v>
      </c>
      <c r="O2666" s="468" t="s">
        <v>2373</v>
      </c>
      <c r="P2666" s="468" t="s">
        <v>2354</v>
      </c>
      <c r="Q2666" s="468" t="s">
        <v>2355</v>
      </c>
    </row>
    <row r="2667" spans="1:26" ht="33.200000000000003" customHeight="1">
      <c r="A2667" s="463" t="s">
        <v>842</v>
      </c>
      <c r="B2667" s="497"/>
      <c r="C2667" s="497"/>
      <c r="D2667" s="497"/>
      <c r="E2667" s="497"/>
      <c r="F2667" s="446">
        <f>J2667+H2667+L2667</f>
        <v>784010</v>
      </c>
      <c r="G2667" s="497"/>
      <c r="H2667" s="446">
        <f>ROUNDDOWN(SUMIF(P2661:P2666,O2667,H2661:H2666),0)</f>
        <v>313405</v>
      </c>
      <c r="I2667" s="497"/>
      <c r="J2667" s="446">
        <f>ROUNDDOWN(SUMIF(P2661:P2666,O2667,J2661:J2666),0)</f>
        <v>470605</v>
      </c>
      <c r="K2667" s="497"/>
      <c r="L2667" s="446">
        <f>ROUNDDOWN(SUMIF(P2661:P2666,O2667,L2661:L2666),0)</f>
        <v>0</v>
      </c>
      <c r="M2667" s="497"/>
      <c r="O2667" s="468" t="s">
        <v>2354</v>
      </c>
    </row>
    <row r="2668" spans="1:26" ht="33.200000000000003" customHeight="1">
      <c r="A2668" s="484" t="s">
        <v>5583</v>
      </c>
      <c r="B2668" s="484"/>
      <c r="C2668" s="485"/>
      <c r="D2668" s="485"/>
      <c r="E2668" s="485"/>
      <c r="F2668" s="485"/>
      <c r="G2668" s="485"/>
      <c r="H2668" s="485"/>
      <c r="I2668" s="485"/>
      <c r="J2668" s="485"/>
      <c r="K2668" s="485"/>
      <c r="L2668" s="485"/>
      <c r="M2668" s="485"/>
      <c r="N2668" s="486" t="str">
        <f>HYPERLINK("#N"&amp;ROW(N2675),"_x0005_`BDCOD|B02373_x0007_`POSS|"&amp;ROW(N2670)&amp;"_x0007_`POSE|"&amp;ROW(N2675)&amp;"_x0007_`")</f>
        <v>_x0005_`BDCOD|B02373_x0007_`POSS|2670_x0007_`POSE|2675_x0007_`</v>
      </c>
    </row>
    <row r="2669" spans="1:26" ht="33.200000000000003" customHeight="1">
      <c r="A2669" s="469" t="s">
        <v>5151</v>
      </c>
      <c r="B2669" s="469" t="s">
        <v>1111</v>
      </c>
      <c r="C2669" s="487"/>
      <c r="D2669" s="488" t="s">
        <v>975</v>
      </c>
      <c r="E2669" s="487"/>
      <c r="F2669" s="487"/>
      <c r="G2669" s="487"/>
      <c r="H2669" s="487"/>
      <c r="I2669" s="487"/>
      <c r="J2669" s="487"/>
      <c r="K2669" s="487"/>
      <c r="L2669" s="487"/>
      <c r="M2669" s="488" t="s">
        <v>1112</v>
      </c>
      <c r="O2669" s="468" t="s">
        <v>1112</v>
      </c>
    </row>
    <row r="2670" spans="1:26" ht="33.200000000000003" customHeight="1">
      <c r="A2670" s="452" t="s">
        <v>2484</v>
      </c>
      <c r="B2670" s="452" t="s">
        <v>2485</v>
      </c>
      <c r="C2670" s="489">
        <v>0.4</v>
      </c>
      <c r="D2670" s="480" t="s">
        <v>8</v>
      </c>
      <c r="E2670" s="490">
        <f t="shared" ref="E2670:F2675" si="477">I2670+G2670+K2670</f>
        <v>62811</v>
      </c>
      <c r="F2670" s="493">
        <f t="shared" si="477"/>
        <v>25124.400000000001</v>
      </c>
      <c r="G2670" s="494">
        <f>단가산출근거목록표!F157</f>
        <v>62811</v>
      </c>
      <c r="H2670" s="498">
        <f>IF(C2670=0,0,ROUNDDOWN(G2670*C2670,1))</f>
        <v>25124.400000000001</v>
      </c>
      <c r="I2670" s="494">
        <f>단가산출근거목록표!G157</f>
        <v>0</v>
      </c>
      <c r="J2670" s="498">
        <f>IF(C2670=0,0,ROUNDDOWN(I2670*C2670,1))</f>
        <v>0</v>
      </c>
      <c r="K2670" s="494">
        <f>단가산출근거목록표!H157</f>
        <v>0</v>
      </c>
      <c r="L2670" s="498">
        <f>IF(C2670=0,0,ROUNDDOWN(K2670*C2670,1))</f>
        <v>0</v>
      </c>
      <c r="M2670" s="463" t="s">
        <v>2486</v>
      </c>
      <c r="N2670" s="451" t="s">
        <v>2487</v>
      </c>
      <c r="O2670" s="468" t="s">
        <v>2488</v>
      </c>
      <c r="P2670" s="468" t="s">
        <v>2354</v>
      </c>
      <c r="Q2670" s="468" t="s">
        <v>2355</v>
      </c>
      <c r="Z2670" s="433" t="str">
        <f ca="1">HYPERLINK("#"&amp;단가산출근거목록표!J2&amp;"!A"&amp;ROW(단가산출근거목록표!A157),"D01241 →")</f>
        <v>D01241 →</v>
      </c>
    </row>
    <row r="2671" spans="1:26" ht="33.200000000000003" customHeight="1">
      <c r="A2671" s="452" t="s">
        <v>2321</v>
      </c>
      <c r="B2671" s="452" t="s">
        <v>2322</v>
      </c>
      <c r="C2671" s="489">
        <v>0.4</v>
      </c>
      <c r="D2671" s="480" t="s">
        <v>8</v>
      </c>
      <c r="E2671" s="490">
        <f t="shared" si="477"/>
        <v>34413</v>
      </c>
      <c r="F2671" s="493">
        <f t="shared" si="477"/>
        <v>13765.2</v>
      </c>
      <c r="G2671" s="494">
        <f>일위대가목록표!F275</f>
        <v>34413</v>
      </c>
      <c r="H2671" s="498">
        <f>IF(C2671=0,0,ROUNDDOWN(G2671*C2671,1))</f>
        <v>13765.2</v>
      </c>
      <c r="I2671" s="494">
        <f>일위대가목록표!G275</f>
        <v>0</v>
      </c>
      <c r="J2671" s="498">
        <f>IF(C2671=0,0,ROUNDDOWN(I2671*C2671,1))</f>
        <v>0</v>
      </c>
      <c r="K2671" s="494">
        <f>일위대가목록표!H275</f>
        <v>0</v>
      </c>
      <c r="L2671" s="498">
        <f>IF(C2671=0,0,ROUNDDOWN(K2671*C2671,1))</f>
        <v>0</v>
      </c>
      <c r="M2671" s="463" t="s">
        <v>2489</v>
      </c>
      <c r="N2671" s="451" t="s">
        <v>2490</v>
      </c>
      <c r="O2671" s="468" t="s">
        <v>2491</v>
      </c>
      <c r="P2671" s="468" t="s">
        <v>2354</v>
      </c>
      <c r="Q2671" s="468" t="s">
        <v>2355</v>
      </c>
      <c r="Z2671" s="433" t="str">
        <f ca="1">HYPERLINK("#"&amp;일위대가목록표!J2&amp;"!A"&amp;ROW(일위대가목록표!A275),"B01414 →")</f>
        <v>B01414 →</v>
      </c>
    </row>
    <row r="2672" spans="1:26" ht="33.200000000000003" customHeight="1">
      <c r="A2672" s="452" t="s">
        <v>2627</v>
      </c>
      <c r="B2672" s="452" t="s">
        <v>2628</v>
      </c>
      <c r="C2672" s="489">
        <v>94.31</v>
      </c>
      <c r="D2672" s="480" t="s">
        <v>605</v>
      </c>
      <c r="E2672" s="490">
        <f t="shared" si="477"/>
        <v>6200</v>
      </c>
      <c r="F2672" s="491">
        <f t="shared" si="477"/>
        <v>584722</v>
      </c>
      <c r="G2672" s="492">
        <v>0</v>
      </c>
      <c r="H2672" s="493">
        <f>IF(C2672=0,0,ROUNDDOWN(G2672*C2672,1))</f>
        <v>0</v>
      </c>
      <c r="I2672" s="494">
        <f>재료비목록표!E8</f>
        <v>6200</v>
      </c>
      <c r="J2672" s="495">
        <f>IF(C2672=0,0,ROUNDDOWN(I2672*C2672,1))</f>
        <v>584722</v>
      </c>
      <c r="K2672" s="492">
        <v>0</v>
      </c>
      <c r="L2672" s="493">
        <f>IF(C2672=0,0,ROUNDDOWN(K2672*C2672,1))</f>
        <v>0</v>
      </c>
      <c r="M2672" s="463" t="s">
        <v>2629</v>
      </c>
      <c r="N2672" s="451" t="s">
        <v>2630</v>
      </c>
      <c r="O2672" s="468" t="s">
        <v>2631</v>
      </c>
      <c r="P2672" s="468" t="s">
        <v>2354</v>
      </c>
      <c r="Z2672" s="433" t="str">
        <f ca="1">HYPERLINK("#"&amp;재료비목록표!G2&amp;"!A"&amp;ROW(재료비목록표!A8),"M00950 →")</f>
        <v>M00950 →</v>
      </c>
    </row>
    <row r="2673" spans="1:26" ht="33.200000000000003" customHeight="1">
      <c r="A2673" s="452" t="s">
        <v>1461</v>
      </c>
      <c r="B2673" s="452" t="s">
        <v>1462</v>
      </c>
      <c r="C2673" s="489">
        <v>0.3</v>
      </c>
      <c r="D2673" s="480" t="s">
        <v>8</v>
      </c>
      <c r="E2673" s="490">
        <f t="shared" si="477"/>
        <v>915052</v>
      </c>
      <c r="F2673" s="493">
        <f t="shared" si="477"/>
        <v>274515.59999999998</v>
      </c>
      <c r="G2673" s="494">
        <f>일위대가목록표!F72</f>
        <v>915052</v>
      </c>
      <c r="H2673" s="498">
        <f>IF(C2673=0,0,ROUNDDOWN(G2673*C2673,1))</f>
        <v>274515.59999999998</v>
      </c>
      <c r="I2673" s="494">
        <f>일위대가목록표!G72</f>
        <v>0</v>
      </c>
      <c r="J2673" s="498">
        <f>IF(C2673=0,0,ROUNDDOWN(I2673*C2673,1))</f>
        <v>0</v>
      </c>
      <c r="K2673" s="494">
        <f>일위대가목록표!H72</f>
        <v>0</v>
      </c>
      <c r="L2673" s="498">
        <f>IF(C2673=0,0,ROUNDDOWN(K2673*C2673,1))</f>
        <v>0</v>
      </c>
      <c r="M2673" s="463" t="s">
        <v>2471</v>
      </c>
      <c r="N2673" s="451" t="s">
        <v>2472</v>
      </c>
      <c r="O2673" s="468" t="s">
        <v>1465</v>
      </c>
      <c r="P2673" s="468" t="s">
        <v>2354</v>
      </c>
      <c r="Q2673" s="468" t="s">
        <v>2355</v>
      </c>
      <c r="Z2673" s="433" t="str">
        <f ca="1">HYPERLINK("#"&amp;일위대가목록표!J2&amp;"!A"&amp;ROW(일위대가목록표!A72),"B01822 →")</f>
        <v>B01822 →</v>
      </c>
    </row>
    <row r="2674" spans="1:26" ht="33.200000000000003" customHeight="1">
      <c r="A2674" s="452" t="s">
        <v>2574</v>
      </c>
      <c r="B2674" s="452" t="s">
        <v>2575</v>
      </c>
      <c r="C2674" s="489">
        <v>3.689E-3</v>
      </c>
      <c r="D2674" s="480" t="s">
        <v>2576</v>
      </c>
      <c r="E2674" s="490">
        <f t="shared" si="477"/>
        <v>765000</v>
      </c>
      <c r="F2674" s="491">
        <f t="shared" si="477"/>
        <v>2822</v>
      </c>
      <c r="G2674" s="492">
        <v>0</v>
      </c>
      <c r="H2674" s="493">
        <f>IF(C2674=0,0,ROUNDDOWN(G2674*C2674,1))</f>
        <v>0</v>
      </c>
      <c r="I2674" s="494">
        <f>재료비목록표!E81</f>
        <v>765000</v>
      </c>
      <c r="J2674" s="495">
        <f>IF(C2674=0,0,ROUNDDOWN(I2674*C2674,1))</f>
        <v>2822</v>
      </c>
      <c r="K2674" s="492">
        <v>0</v>
      </c>
      <c r="L2674" s="493">
        <f>IF(C2674=0,0,ROUNDDOWN(K2674*C2674,1))</f>
        <v>0</v>
      </c>
      <c r="M2674" s="463" t="s">
        <v>2577</v>
      </c>
      <c r="N2674" s="451" t="s">
        <v>2578</v>
      </c>
      <c r="O2674" s="468" t="s">
        <v>2579</v>
      </c>
      <c r="P2674" s="468" t="s">
        <v>2354</v>
      </c>
      <c r="Z2674" s="433" t="str">
        <f ca="1">HYPERLINK("#"&amp;재료비목록표!G2&amp;"!A"&amp;ROW(재료비목록표!A81),"M00150 →")</f>
        <v>M00150 →</v>
      </c>
    </row>
    <row r="2675" spans="1:26" ht="33.200000000000003" customHeight="1">
      <c r="A2675" s="452" t="s">
        <v>2507</v>
      </c>
      <c r="B2675" s="452" t="s">
        <v>2441</v>
      </c>
      <c r="C2675" s="489">
        <v>25</v>
      </c>
      <c r="D2675" s="480" t="s">
        <v>2371</v>
      </c>
      <c r="E2675" s="490">
        <f t="shared" si="477"/>
        <v>313405.19999999995</v>
      </c>
      <c r="F2675" s="491">
        <f t="shared" si="477"/>
        <v>78351.3</v>
      </c>
      <c r="G2675" s="496">
        <f>H2670+H2671+H2673</f>
        <v>313405.19999999995</v>
      </c>
      <c r="H2675" s="491">
        <f>IF(C2675=0,0,ROUNDDOWN(G2675*C2675/100,1))</f>
        <v>78351.3</v>
      </c>
      <c r="I2675" s="465">
        <v>0</v>
      </c>
      <c r="J2675" s="493">
        <f>IF(C2675=0,0,ROUNDDOWN(I2675*C2675/100,1))</f>
        <v>0</v>
      </c>
      <c r="K2675" s="467">
        <v>0</v>
      </c>
      <c r="L2675" s="493">
        <f>IF(C2675=0,0,ROUNDDOWN(K2675*C2675/100,1))</f>
        <v>0</v>
      </c>
      <c r="M2675" s="463"/>
      <c r="N2675" s="451" t="s">
        <v>2644</v>
      </c>
      <c r="O2675" s="468" t="s">
        <v>2373</v>
      </c>
      <c r="P2675" s="468" t="s">
        <v>2354</v>
      </c>
      <c r="Q2675" s="468" t="s">
        <v>2355</v>
      </c>
    </row>
    <row r="2676" spans="1:26" ht="33.200000000000003" customHeight="1">
      <c r="A2676" s="463" t="s">
        <v>842</v>
      </c>
      <c r="B2676" s="497"/>
      <c r="C2676" s="497"/>
      <c r="D2676" s="497"/>
      <c r="E2676" s="497"/>
      <c r="F2676" s="446">
        <f>J2676+H2676+L2676</f>
        <v>979300</v>
      </c>
      <c r="G2676" s="497"/>
      <c r="H2676" s="446">
        <f>ROUNDDOWN(SUMIF(P2670:P2675,O2676,H2670:H2675),0)</f>
        <v>391756</v>
      </c>
      <c r="I2676" s="497"/>
      <c r="J2676" s="446">
        <f>ROUNDDOWN(SUMIF(P2670:P2675,O2676,J2670:J2675),0)</f>
        <v>587544</v>
      </c>
      <c r="K2676" s="497"/>
      <c r="L2676" s="446">
        <f>ROUNDDOWN(SUMIF(P2670:P2675,O2676,L2670:L2675),0)</f>
        <v>0</v>
      </c>
      <c r="M2676" s="497"/>
      <c r="O2676" s="468" t="s">
        <v>2354</v>
      </c>
    </row>
    <row r="2677" spans="1:26" ht="33.200000000000003" customHeight="1">
      <c r="A2677" s="484" t="s">
        <v>5584</v>
      </c>
      <c r="B2677" s="484"/>
      <c r="C2677" s="485"/>
      <c r="D2677" s="485"/>
      <c r="E2677" s="485"/>
      <c r="F2677" s="485"/>
      <c r="G2677" s="485"/>
      <c r="H2677" s="485"/>
      <c r="I2677" s="485"/>
      <c r="J2677" s="485"/>
      <c r="K2677" s="485"/>
      <c r="L2677" s="485"/>
      <c r="M2677" s="485"/>
      <c r="N2677" s="486" t="str">
        <f>HYPERLINK("#N"&amp;ROW(N2684),"_x0005_`BDCOD|B02405_x0007_`POSS|"&amp;ROW(N2679)&amp;"_x0007_`POSE|"&amp;ROW(N2684)&amp;"_x0007_`")</f>
        <v>_x0005_`BDCOD|B02405_x0007_`POSS|2679_x0007_`POSE|2684_x0007_`</v>
      </c>
    </row>
    <row r="2678" spans="1:26" ht="33.200000000000003" customHeight="1">
      <c r="A2678" s="469" t="s">
        <v>5151</v>
      </c>
      <c r="B2678" s="469" t="s">
        <v>1115</v>
      </c>
      <c r="C2678" s="487"/>
      <c r="D2678" s="488" t="s">
        <v>975</v>
      </c>
      <c r="E2678" s="487"/>
      <c r="F2678" s="487"/>
      <c r="G2678" s="487"/>
      <c r="H2678" s="487"/>
      <c r="I2678" s="487"/>
      <c r="J2678" s="487"/>
      <c r="K2678" s="487"/>
      <c r="L2678" s="487"/>
      <c r="M2678" s="488" t="s">
        <v>1116</v>
      </c>
      <c r="O2678" s="468" t="s">
        <v>1116</v>
      </c>
    </row>
    <row r="2679" spans="1:26" ht="33.200000000000003" customHeight="1">
      <c r="A2679" s="452" t="s">
        <v>2484</v>
      </c>
      <c r="B2679" s="452" t="s">
        <v>2485</v>
      </c>
      <c r="C2679" s="489">
        <v>0.6</v>
      </c>
      <c r="D2679" s="480" t="s">
        <v>8</v>
      </c>
      <c r="E2679" s="490">
        <f t="shared" ref="E2679:F2684" si="478">I2679+G2679+K2679</f>
        <v>62811</v>
      </c>
      <c r="F2679" s="493">
        <f t="shared" si="478"/>
        <v>37686.6</v>
      </c>
      <c r="G2679" s="494">
        <f>단가산출근거목록표!F157</f>
        <v>62811</v>
      </c>
      <c r="H2679" s="498">
        <f>IF(C2679=0,0,ROUNDDOWN(G2679*C2679,1))</f>
        <v>37686.6</v>
      </c>
      <c r="I2679" s="494">
        <f>단가산출근거목록표!G157</f>
        <v>0</v>
      </c>
      <c r="J2679" s="498">
        <f>IF(C2679=0,0,ROUNDDOWN(I2679*C2679,1))</f>
        <v>0</v>
      </c>
      <c r="K2679" s="494">
        <f>단가산출근거목록표!H157</f>
        <v>0</v>
      </c>
      <c r="L2679" s="498">
        <f>IF(C2679=0,0,ROUNDDOWN(K2679*C2679,1))</f>
        <v>0</v>
      </c>
      <c r="M2679" s="463" t="s">
        <v>2486</v>
      </c>
      <c r="N2679" s="451" t="s">
        <v>2487</v>
      </c>
      <c r="O2679" s="468" t="s">
        <v>2488</v>
      </c>
      <c r="P2679" s="468" t="s">
        <v>2354</v>
      </c>
      <c r="Q2679" s="468" t="s">
        <v>2355</v>
      </c>
      <c r="Z2679" s="433" t="str">
        <f ca="1">HYPERLINK("#"&amp;단가산출근거목록표!J2&amp;"!A"&amp;ROW(단가산출근거목록표!A157),"D01241 →")</f>
        <v>D01241 →</v>
      </c>
    </row>
    <row r="2680" spans="1:26" ht="33.200000000000003" customHeight="1">
      <c r="A2680" s="452" t="s">
        <v>2321</v>
      </c>
      <c r="B2680" s="452" t="s">
        <v>2322</v>
      </c>
      <c r="C2680" s="489">
        <v>0.6</v>
      </c>
      <c r="D2680" s="480" t="s">
        <v>8</v>
      </c>
      <c r="E2680" s="490">
        <f t="shared" si="478"/>
        <v>34413</v>
      </c>
      <c r="F2680" s="493">
        <f t="shared" si="478"/>
        <v>20647.8</v>
      </c>
      <c r="G2680" s="494">
        <f>일위대가목록표!F275</f>
        <v>34413</v>
      </c>
      <c r="H2680" s="498">
        <f>IF(C2680=0,0,ROUNDDOWN(G2680*C2680,1))</f>
        <v>20647.8</v>
      </c>
      <c r="I2680" s="494">
        <f>일위대가목록표!G275</f>
        <v>0</v>
      </c>
      <c r="J2680" s="498">
        <f>IF(C2680=0,0,ROUNDDOWN(I2680*C2680,1))</f>
        <v>0</v>
      </c>
      <c r="K2680" s="494">
        <f>일위대가목록표!H275</f>
        <v>0</v>
      </c>
      <c r="L2680" s="498">
        <f>IF(C2680=0,0,ROUNDDOWN(K2680*C2680,1))</f>
        <v>0</v>
      </c>
      <c r="M2680" s="463" t="s">
        <v>2489</v>
      </c>
      <c r="N2680" s="451" t="s">
        <v>2490</v>
      </c>
      <c r="O2680" s="468" t="s">
        <v>2491</v>
      </c>
      <c r="P2680" s="468" t="s">
        <v>2354</v>
      </c>
      <c r="Q2680" s="468" t="s">
        <v>2355</v>
      </c>
      <c r="Z2680" s="433" t="str">
        <f ca="1">HYPERLINK("#"&amp;일위대가목록표!J2&amp;"!A"&amp;ROW(일위대가목록표!A275),"B01414 →")</f>
        <v>B01414 →</v>
      </c>
    </row>
    <row r="2681" spans="1:26" ht="33.200000000000003" customHeight="1">
      <c r="A2681" s="452" t="s">
        <v>2627</v>
      </c>
      <c r="B2681" s="452" t="s">
        <v>2628</v>
      </c>
      <c r="C2681" s="489">
        <v>113.17</v>
      </c>
      <c r="D2681" s="480" t="s">
        <v>605</v>
      </c>
      <c r="E2681" s="490">
        <f t="shared" si="478"/>
        <v>6200</v>
      </c>
      <c r="F2681" s="491">
        <f t="shared" si="478"/>
        <v>701654</v>
      </c>
      <c r="G2681" s="492">
        <v>0</v>
      </c>
      <c r="H2681" s="493">
        <f>IF(C2681=0,0,ROUNDDOWN(G2681*C2681,1))</f>
        <v>0</v>
      </c>
      <c r="I2681" s="494">
        <f>재료비목록표!E8</f>
        <v>6200</v>
      </c>
      <c r="J2681" s="495">
        <f>IF(C2681=0,0,ROUNDDOWN(I2681*C2681,1))</f>
        <v>701654</v>
      </c>
      <c r="K2681" s="492">
        <v>0</v>
      </c>
      <c r="L2681" s="493">
        <f>IF(C2681=0,0,ROUNDDOWN(K2681*C2681,1))</f>
        <v>0</v>
      </c>
      <c r="M2681" s="463" t="s">
        <v>2629</v>
      </c>
      <c r="N2681" s="451" t="s">
        <v>2630</v>
      </c>
      <c r="O2681" s="468" t="s">
        <v>2631</v>
      </c>
      <c r="P2681" s="468" t="s">
        <v>2354</v>
      </c>
      <c r="Z2681" s="433" t="str">
        <f ca="1">HYPERLINK("#"&amp;재료비목록표!G2&amp;"!A"&amp;ROW(재료비목록표!A8),"M00950 →")</f>
        <v>M00950 →</v>
      </c>
    </row>
    <row r="2682" spans="1:26" ht="33.200000000000003" customHeight="1">
      <c r="A2682" s="452" t="s">
        <v>1461</v>
      </c>
      <c r="B2682" s="452" t="s">
        <v>1462</v>
      </c>
      <c r="C2682" s="489">
        <v>0.36</v>
      </c>
      <c r="D2682" s="480" t="s">
        <v>8</v>
      </c>
      <c r="E2682" s="490">
        <f t="shared" si="478"/>
        <v>915052</v>
      </c>
      <c r="F2682" s="493">
        <f t="shared" si="478"/>
        <v>329418.7</v>
      </c>
      <c r="G2682" s="494">
        <f>일위대가목록표!F72</f>
        <v>915052</v>
      </c>
      <c r="H2682" s="498">
        <f>IF(C2682=0,0,ROUNDDOWN(G2682*C2682,1))</f>
        <v>329418.7</v>
      </c>
      <c r="I2682" s="494">
        <f>일위대가목록표!G72</f>
        <v>0</v>
      </c>
      <c r="J2682" s="498">
        <f>IF(C2682=0,0,ROUNDDOWN(I2682*C2682,1))</f>
        <v>0</v>
      </c>
      <c r="K2682" s="494">
        <f>일위대가목록표!H72</f>
        <v>0</v>
      </c>
      <c r="L2682" s="498">
        <f>IF(C2682=0,0,ROUNDDOWN(K2682*C2682,1))</f>
        <v>0</v>
      </c>
      <c r="M2682" s="463" t="s">
        <v>2471</v>
      </c>
      <c r="N2682" s="451" t="s">
        <v>2472</v>
      </c>
      <c r="O2682" s="468" t="s">
        <v>1465</v>
      </c>
      <c r="P2682" s="468" t="s">
        <v>2354</v>
      </c>
      <c r="Q2682" s="468" t="s">
        <v>2355</v>
      </c>
      <c r="Z2682" s="433" t="str">
        <f ca="1">HYPERLINK("#"&amp;일위대가목록표!J2&amp;"!A"&amp;ROW(일위대가목록표!A72),"B01822 →")</f>
        <v>B01822 →</v>
      </c>
    </row>
    <row r="2683" spans="1:26" ht="33.200000000000003" customHeight="1">
      <c r="A2683" s="452" t="s">
        <v>2574</v>
      </c>
      <c r="B2683" s="452" t="s">
        <v>2575</v>
      </c>
      <c r="C2683" s="489">
        <v>3.689E-3</v>
      </c>
      <c r="D2683" s="480" t="s">
        <v>2576</v>
      </c>
      <c r="E2683" s="490">
        <f t="shared" si="478"/>
        <v>765000</v>
      </c>
      <c r="F2683" s="491">
        <f t="shared" si="478"/>
        <v>2822</v>
      </c>
      <c r="G2683" s="492">
        <v>0</v>
      </c>
      <c r="H2683" s="493">
        <f>IF(C2683=0,0,ROUNDDOWN(G2683*C2683,1))</f>
        <v>0</v>
      </c>
      <c r="I2683" s="494">
        <f>재료비목록표!E81</f>
        <v>765000</v>
      </c>
      <c r="J2683" s="495">
        <f>IF(C2683=0,0,ROUNDDOWN(I2683*C2683,1))</f>
        <v>2822</v>
      </c>
      <c r="K2683" s="492">
        <v>0</v>
      </c>
      <c r="L2683" s="493">
        <f>IF(C2683=0,0,ROUNDDOWN(K2683*C2683,1))</f>
        <v>0</v>
      </c>
      <c r="M2683" s="463" t="s">
        <v>2577</v>
      </c>
      <c r="N2683" s="451" t="s">
        <v>2578</v>
      </c>
      <c r="O2683" s="468" t="s">
        <v>2579</v>
      </c>
      <c r="P2683" s="468" t="s">
        <v>2354</v>
      </c>
      <c r="Z2683" s="433" t="str">
        <f ca="1">HYPERLINK("#"&amp;재료비목록표!G2&amp;"!A"&amp;ROW(재료비목록표!A81),"M00150 →")</f>
        <v>M00150 →</v>
      </c>
    </row>
    <row r="2684" spans="1:26" ht="33.200000000000003" customHeight="1">
      <c r="A2684" s="452" t="s">
        <v>2507</v>
      </c>
      <c r="B2684" s="452" t="s">
        <v>2441</v>
      </c>
      <c r="C2684" s="489">
        <v>25</v>
      </c>
      <c r="D2684" s="480" t="s">
        <v>2371</v>
      </c>
      <c r="E2684" s="490">
        <f t="shared" si="478"/>
        <v>387753.1</v>
      </c>
      <c r="F2684" s="491">
        <f t="shared" si="478"/>
        <v>96938.2</v>
      </c>
      <c r="G2684" s="496">
        <f>H2679+H2680+H2682</f>
        <v>387753.1</v>
      </c>
      <c r="H2684" s="491">
        <f>IF(C2684=0,0,ROUNDDOWN(G2684*C2684/100,1))</f>
        <v>96938.2</v>
      </c>
      <c r="I2684" s="465">
        <v>0</v>
      </c>
      <c r="J2684" s="493">
        <f>IF(C2684=0,0,ROUNDDOWN(I2684*C2684/100,1))</f>
        <v>0</v>
      </c>
      <c r="K2684" s="467">
        <v>0</v>
      </c>
      <c r="L2684" s="493">
        <f>IF(C2684=0,0,ROUNDDOWN(K2684*C2684/100,1))</f>
        <v>0</v>
      </c>
      <c r="M2684" s="463"/>
      <c r="N2684" s="451" t="s">
        <v>2644</v>
      </c>
      <c r="O2684" s="468" t="s">
        <v>2373</v>
      </c>
      <c r="P2684" s="468" t="s">
        <v>2354</v>
      </c>
      <c r="Q2684" s="468" t="s">
        <v>2355</v>
      </c>
    </row>
    <row r="2685" spans="1:26" ht="33.200000000000003" customHeight="1">
      <c r="A2685" s="463" t="s">
        <v>842</v>
      </c>
      <c r="B2685" s="497"/>
      <c r="C2685" s="497"/>
      <c r="D2685" s="497"/>
      <c r="E2685" s="497"/>
      <c r="F2685" s="446">
        <f>J2685+H2685+L2685</f>
        <v>1189167</v>
      </c>
      <c r="G2685" s="497"/>
      <c r="H2685" s="446">
        <f>ROUNDDOWN(SUMIF(P2679:P2684,O2685,H2679:H2684),0)</f>
        <v>484691</v>
      </c>
      <c r="I2685" s="497"/>
      <c r="J2685" s="446">
        <f>ROUNDDOWN(SUMIF(P2679:P2684,O2685,J2679:J2684),0)</f>
        <v>704476</v>
      </c>
      <c r="K2685" s="497"/>
      <c r="L2685" s="446">
        <f>ROUNDDOWN(SUMIF(P2679:P2684,O2685,L2679:L2684),0)</f>
        <v>0</v>
      </c>
      <c r="M2685" s="497"/>
      <c r="O2685" s="468" t="s">
        <v>2354</v>
      </c>
    </row>
    <row r="2686" spans="1:26" ht="33.200000000000003" customHeight="1">
      <c r="A2686" s="484" t="s">
        <v>5585</v>
      </c>
      <c r="B2686" s="484"/>
      <c r="C2686" s="485"/>
      <c r="D2686" s="485"/>
      <c r="E2686" s="485"/>
      <c r="F2686" s="485"/>
      <c r="G2686" s="485"/>
      <c r="H2686" s="485"/>
      <c r="I2686" s="485"/>
      <c r="J2686" s="485"/>
      <c r="K2686" s="485"/>
      <c r="L2686" s="485"/>
      <c r="M2686" s="485"/>
      <c r="N2686" s="486" t="str">
        <f>HYPERLINK("#N"&amp;ROW(N2688),"_x0005_`BDCOD|B02528_x0007_`POSS|"&amp;ROW(N2688)&amp;"_x0007_`POSE|"&amp;ROW(N2688)&amp;"_x0007_`")</f>
        <v>_x0005_`BDCOD|B02528_x0007_`POSS|2688_x0007_`POSE|2688_x0007_`</v>
      </c>
    </row>
    <row r="2687" spans="1:26" ht="33.200000000000003" customHeight="1">
      <c r="A2687" s="469" t="s">
        <v>1321</v>
      </c>
      <c r="B2687" s="469" t="s">
        <v>1322</v>
      </c>
      <c r="C2687" s="487"/>
      <c r="D2687" s="488" t="s">
        <v>975</v>
      </c>
      <c r="E2687" s="487"/>
      <c r="F2687" s="487"/>
      <c r="G2687" s="487"/>
      <c r="H2687" s="487"/>
      <c r="I2687" s="487"/>
      <c r="J2687" s="487"/>
      <c r="K2687" s="487"/>
      <c r="L2687" s="487"/>
      <c r="M2687" s="488" t="s">
        <v>1323</v>
      </c>
      <c r="O2687" s="468" t="s">
        <v>1323</v>
      </c>
    </row>
    <row r="2688" spans="1:26" ht="33.200000000000003" customHeight="1">
      <c r="A2688" s="452" t="s">
        <v>1321</v>
      </c>
      <c r="B2688" s="452" t="s">
        <v>3343</v>
      </c>
      <c r="C2688" s="489">
        <v>1</v>
      </c>
      <c r="D2688" s="480" t="s">
        <v>1589</v>
      </c>
      <c r="E2688" s="490">
        <f>I2688+G2688+K2688</f>
        <v>34540000</v>
      </c>
      <c r="F2688" s="491">
        <f>J2688+H2688+L2688</f>
        <v>34540000</v>
      </c>
      <c r="G2688" s="492">
        <v>0</v>
      </c>
      <c r="H2688" s="493">
        <f>IF(C2688=0,0,ROUNDDOWN(G2688*C2688,1))</f>
        <v>0</v>
      </c>
      <c r="I2688" s="494">
        <f>재료비목록표!E111</f>
        <v>34540000</v>
      </c>
      <c r="J2688" s="495">
        <f>IF(C2688=0,0,ROUNDDOWN(I2688*C2688,1))</f>
        <v>34540000</v>
      </c>
      <c r="K2688" s="492">
        <v>0</v>
      </c>
      <c r="L2688" s="493">
        <f>IF(C2688=0,0,ROUNDDOWN(K2688*C2688,1))</f>
        <v>0</v>
      </c>
      <c r="M2688" s="463" t="s">
        <v>3344</v>
      </c>
      <c r="N2688" s="451" t="s">
        <v>3345</v>
      </c>
      <c r="O2688" s="468" t="s">
        <v>3346</v>
      </c>
      <c r="P2688" s="468" t="s">
        <v>2354</v>
      </c>
      <c r="Z2688" s="433" t="str">
        <f ca="1">HYPERLINK("#"&amp;재료비목록표!G2&amp;"!A"&amp;ROW(재료비목록표!A111),"M01535 →")</f>
        <v>M01535 →</v>
      </c>
    </row>
    <row r="2689" spans="1:15" ht="33.200000000000003" customHeight="1">
      <c r="A2689" s="463" t="s">
        <v>842</v>
      </c>
      <c r="B2689" s="497"/>
      <c r="C2689" s="497"/>
      <c r="D2689" s="497"/>
      <c r="E2689" s="497"/>
      <c r="F2689" s="446">
        <f>J2689+H2689+L2689</f>
        <v>34540000</v>
      </c>
      <c r="G2689" s="497"/>
      <c r="H2689" s="446">
        <f>ROUNDDOWN(SUMIF(P2688:P2688,O2689,H2688:H2688),0)</f>
        <v>0</v>
      </c>
      <c r="I2689" s="497"/>
      <c r="J2689" s="446">
        <f>ROUNDDOWN(SUMIF(P2688:P2688,O2689,J2688:J2688),0)</f>
        <v>34540000</v>
      </c>
      <c r="K2689" s="497"/>
      <c r="L2689" s="446">
        <f>ROUNDDOWN(SUMIF(P2688:P2688,O2689,L2688:L2688),0)</f>
        <v>0</v>
      </c>
      <c r="M2689" s="497"/>
      <c r="O2689" s="468" t="s">
        <v>2354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3" type="noConversion"/>
  <conditionalFormatting sqref="C5:M2689">
    <cfRule type="expression" dxfId="3" priority="1" stopIfTrue="1">
      <formula>AND(C5&lt;&gt;0,INT(C5)=C5)</formula>
    </cfRule>
  </conditionalFormatting>
  <hyperlinks>
    <hyperlink ref="Z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C00-000000000000}"/>
    <hyperlink ref="N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C00-000001000000}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/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K170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9" width="8.88671875" style="428" customWidth="1"/>
    <col min="10" max="10" width="8.109375" style="455" hidden="1" customWidth="1"/>
    <col min="11" max="11" width="8.109375" style="432" customWidth="1"/>
    <col min="12" max="16384" width="8.109375" style="428"/>
  </cols>
  <sheetData>
    <row r="1" spans="1:11" ht="24.95" customHeight="1">
      <c r="A1" s="597" t="s">
        <v>3347</v>
      </c>
      <c r="B1" s="598"/>
      <c r="C1" s="598"/>
      <c r="D1" s="598"/>
      <c r="E1" s="598"/>
      <c r="F1" s="598"/>
      <c r="G1" s="598"/>
      <c r="H1" s="598"/>
      <c r="I1" s="598"/>
      <c r="J1" s="426" t="s">
        <v>807</v>
      </c>
      <c r="K1" s="427" t="s">
        <v>807</v>
      </c>
    </row>
    <row r="2" spans="1:11" ht="23.1" customHeight="1">
      <c r="A2" s="429" t="s">
        <v>5655</v>
      </c>
      <c r="J2" s="431" t="str">
        <f ca="1">MID(CELL("filename",$A$1),FIND("]",CELL("filename",$A$1))+1,LEN(CELL("filename",$A$1)))</f>
        <v>단가산출근거목록표</v>
      </c>
    </row>
    <row r="3" spans="1:11" ht="23.1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842</v>
      </c>
      <c r="F3" s="450" t="s">
        <v>819</v>
      </c>
      <c r="G3" s="450" t="s">
        <v>814</v>
      </c>
      <c r="H3" s="450" t="s">
        <v>843</v>
      </c>
      <c r="I3" s="440" t="s">
        <v>905</v>
      </c>
      <c r="K3" s="433" t="str">
        <f>HYPERLINK("#'〓 목 차 〓'!B2","목차 →")</f>
        <v>목차 →</v>
      </c>
    </row>
    <row r="4" spans="1:11" ht="23.1" customHeight="1">
      <c r="A4" s="460" t="s">
        <v>3348</v>
      </c>
      <c r="B4" s="452" t="s">
        <v>3227</v>
      </c>
      <c r="C4" s="452" t="s">
        <v>3228</v>
      </c>
      <c r="D4" s="460" t="s">
        <v>8</v>
      </c>
      <c r="E4" s="446">
        <f>단가산출근거!C154</f>
        <v>26887</v>
      </c>
      <c r="F4" s="453">
        <f>단가산출근거!D154</f>
        <v>20935</v>
      </c>
      <c r="G4" s="454">
        <f>단가산출근거!E154</f>
        <v>2818</v>
      </c>
      <c r="H4" s="446">
        <f>단가산출근거!F154</f>
        <v>3134</v>
      </c>
      <c r="I4" s="482" t="s">
        <v>3349</v>
      </c>
      <c r="J4" s="451" t="str">
        <f>"_x0007_`COD|D00970_x0005_`QTY1|1_x0005_`BQC|산림4-5-2_x0005_`EQC|_x0005_`JDC|_x0005_`WQC|_x0005_`EDT|_x0005_`ADJ|F_x0005_`DET|"&amp;ROW(단가산출근거!A5)&amp;"_x0005_`"</f>
        <v>_x0007_`COD|D00970_x0005_`QTY1|1_x0005_`BQC|산림4-5-2_x0005_`EQC|_x0005_`JDC|_x0005_`WQC|_x0005_`EDT|_x0005_`ADJ|F_x0005_`DET|5_x0005_`</v>
      </c>
      <c r="K4" s="433" t="str">
        <f ca="1">HYPERLINK("#"&amp;단가산출근거!G2&amp;"!A"&amp;ROW(단가산출근거!A5),"D00970 →")</f>
        <v>D00970 →</v>
      </c>
    </row>
    <row r="5" spans="1:11" ht="23.1" customHeight="1">
      <c r="A5" s="460" t="s">
        <v>1890</v>
      </c>
      <c r="B5" s="452" t="s">
        <v>1886</v>
      </c>
      <c r="C5" s="452" t="s">
        <v>1874</v>
      </c>
      <c r="D5" s="460" t="s">
        <v>1799</v>
      </c>
      <c r="E5" s="446">
        <f>단가산출근거!C204</f>
        <v>3175</v>
      </c>
      <c r="F5" s="453">
        <f>단가산출근거!D204</f>
        <v>2925</v>
      </c>
      <c r="G5" s="454">
        <f>단가산출근거!E204</f>
        <v>250</v>
      </c>
      <c r="H5" s="446">
        <f>단가산출근거!F204</f>
        <v>0</v>
      </c>
      <c r="I5" s="482"/>
      <c r="J5" s="451" t="str">
        <f>"_x0007_`COD|D01261_x0005_`QTY1|1_x0005_`BQC|_x0005_`EQC|_x0005_`JDC|_x0005_`WQC|_x0005_`EDT|_x0005_`ADJ|F_x0005_`DET|"&amp;ROW(단가산출근거!A155)&amp;"_x0005_`"</f>
        <v>_x0007_`COD|D01261_x0005_`QTY1|1_x0005_`BQC|_x0005_`EQC|_x0005_`JDC|_x0005_`WQC|_x0005_`EDT|_x0005_`ADJ|F_x0005_`DET|155_x0005_`</v>
      </c>
      <c r="K5" s="433" t="str">
        <f ca="1">HYPERLINK("#"&amp;단가산출근거!G2&amp;"!A"&amp;ROW(단가산출근거!A155),"D01261 →")</f>
        <v>D01261 →</v>
      </c>
    </row>
    <row r="6" spans="1:11" ht="23.1" customHeight="1">
      <c r="A6" s="460" t="s">
        <v>1887</v>
      </c>
      <c r="B6" s="452" t="s">
        <v>1886</v>
      </c>
      <c r="C6" s="452" t="s">
        <v>1865</v>
      </c>
      <c r="D6" s="460" t="s">
        <v>1799</v>
      </c>
      <c r="E6" s="446">
        <f>단가산출근거!C254</f>
        <v>2244</v>
      </c>
      <c r="F6" s="453">
        <f>단가산출근거!D254</f>
        <v>1994</v>
      </c>
      <c r="G6" s="454">
        <f>단가산출근거!E254</f>
        <v>250</v>
      </c>
      <c r="H6" s="446">
        <f>단가산출근거!F254</f>
        <v>0</v>
      </c>
      <c r="I6" s="482"/>
      <c r="J6" s="451" t="str">
        <f>"_x0007_`COD|D01293_x0005_`QTY1|1_x0005_`BQC|_x0005_`EQC|_x0005_`JDC|_x0005_`WQC|_x0005_`EDT|_x0005_`ADJ|F_x0005_`DET|"&amp;ROW(단가산출근거!A205)&amp;"_x0005_`"</f>
        <v>_x0007_`COD|D01293_x0005_`QTY1|1_x0005_`BQC|_x0005_`EQC|_x0005_`JDC|_x0005_`WQC|_x0005_`EDT|_x0005_`ADJ|F_x0005_`DET|205_x0005_`</v>
      </c>
      <c r="K6" s="433" t="str">
        <f ca="1">HYPERLINK("#"&amp;단가산출근거!G2&amp;"!A"&amp;ROW(단가산출근거!A205),"D01293 →")</f>
        <v>D01293 →</v>
      </c>
    </row>
    <row r="7" spans="1:11" ht="23.1" customHeight="1">
      <c r="A7" s="460" t="s">
        <v>1893</v>
      </c>
      <c r="B7" s="452" t="s">
        <v>1886</v>
      </c>
      <c r="C7" s="452" t="s">
        <v>1878</v>
      </c>
      <c r="D7" s="460" t="s">
        <v>1799</v>
      </c>
      <c r="E7" s="446">
        <f>단가산출근거!C304</f>
        <v>4888</v>
      </c>
      <c r="F7" s="453">
        <f>단가산출근거!D304</f>
        <v>4388</v>
      </c>
      <c r="G7" s="454">
        <f>단가산출근거!E304</f>
        <v>500</v>
      </c>
      <c r="H7" s="446">
        <f>단가산출근거!F304</f>
        <v>0</v>
      </c>
      <c r="I7" s="482"/>
      <c r="J7" s="451" t="str">
        <f>"_x0007_`COD|D01258_x0005_`QTY1|1_x0005_`BQC|_x0005_`EQC|_x0005_`JDC|_x0005_`WQC|_x0005_`EDT|_x0005_`ADJ|F_x0005_`DET|"&amp;ROW(단가산출근거!A255)&amp;"_x0005_`"</f>
        <v>_x0007_`COD|D01258_x0005_`QTY1|1_x0005_`BQC|_x0005_`EQC|_x0005_`JDC|_x0005_`WQC|_x0005_`EDT|_x0005_`ADJ|F_x0005_`DET|255_x0005_`</v>
      </c>
      <c r="K7" s="433" t="str">
        <f ca="1">HYPERLINK("#"&amp;단가산출근거!G2&amp;"!A"&amp;ROW(단가산출근거!A255),"D01258 →")</f>
        <v>D01258 →</v>
      </c>
    </row>
    <row r="8" spans="1:11" ht="23.1" customHeight="1">
      <c r="A8" s="460" t="s">
        <v>1896</v>
      </c>
      <c r="B8" s="452" t="s">
        <v>1886</v>
      </c>
      <c r="C8" s="452" t="s">
        <v>1882</v>
      </c>
      <c r="D8" s="460" t="s">
        <v>1799</v>
      </c>
      <c r="E8" s="446">
        <f>단가산출근거!C354</f>
        <v>7269</v>
      </c>
      <c r="F8" s="453">
        <f>단가산출근거!D354</f>
        <v>6269</v>
      </c>
      <c r="G8" s="454">
        <f>단가산출근거!E354</f>
        <v>1000</v>
      </c>
      <c r="H8" s="446">
        <f>단가산출근거!F354</f>
        <v>0</v>
      </c>
      <c r="I8" s="482"/>
      <c r="J8" s="451" t="str">
        <f>"_x0007_`COD|D01294_x0005_`QTY1|1_x0005_`BQC|_x0005_`EQC|_x0005_`JDC|_x0005_`WQC|_x0005_`EDT|_x0005_`ADJ|F_x0005_`DET|"&amp;ROW(단가산출근거!A305)&amp;"_x0005_`"</f>
        <v>_x0007_`COD|D01294_x0005_`QTY1|1_x0005_`BQC|_x0005_`EQC|_x0005_`JDC|_x0005_`WQC|_x0005_`EDT|_x0005_`ADJ|F_x0005_`DET|305_x0005_`</v>
      </c>
      <c r="K8" s="433" t="str">
        <f ca="1">HYPERLINK("#"&amp;단가산출근거!G2&amp;"!A"&amp;ROW(단가산출근거!A305),"D01294 →")</f>
        <v>D01294 →</v>
      </c>
    </row>
    <row r="9" spans="1:11" ht="23.1" customHeight="1">
      <c r="A9" s="460" t="s">
        <v>5383</v>
      </c>
      <c r="B9" s="452" t="s">
        <v>5379</v>
      </c>
      <c r="C9" s="452" t="s">
        <v>1874</v>
      </c>
      <c r="D9" s="460" t="s">
        <v>1799</v>
      </c>
      <c r="E9" s="446">
        <f>단가산출근거!C404</f>
        <v>3614</v>
      </c>
      <c r="F9" s="453">
        <f>단가산출근거!D404</f>
        <v>3364</v>
      </c>
      <c r="G9" s="454">
        <f>단가산출근거!E404</f>
        <v>250</v>
      </c>
      <c r="H9" s="446">
        <f>단가산출근거!F404</f>
        <v>0</v>
      </c>
      <c r="I9" s="482"/>
      <c r="J9" s="451" t="str">
        <f>"_x0007_`COD|D01356_x0005_`QTY1|1_x0005_`BQC|_x0005_`EQC|_x0005_`JDC|_x0005_`WQC|_x0005_`EDT|_x0005_`ADJ|F_x0005_`DET|"&amp;ROW(단가산출근거!A355)&amp;"_x0005_`"</f>
        <v>_x0007_`COD|D01356_x0005_`QTY1|1_x0005_`BQC|_x0005_`EQC|_x0005_`JDC|_x0005_`WQC|_x0005_`EDT|_x0005_`ADJ|F_x0005_`DET|355_x0005_`</v>
      </c>
      <c r="K9" s="433" t="str">
        <f ca="1">HYPERLINK("#"&amp;단가산출근거!G2&amp;"!A"&amp;ROW(단가산출근거!A355),"D01356 →")</f>
        <v>D01356 →</v>
      </c>
    </row>
    <row r="10" spans="1:11" ht="23.1" customHeight="1">
      <c r="A10" s="460" t="s">
        <v>5380</v>
      </c>
      <c r="B10" s="452" t="s">
        <v>5379</v>
      </c>
      <c r="C10" s="452" t="s">
        <v>1865</v>
      </c>
      <c r="D10" s="460" t="s">
        <v>1799</v>
      </c>
      <c r="E10" s="446">
        <f>단가산출근거!C454</f>
        <v>2543</v>
      </c>
      <c r="F10" s="453">
        <f>단가산출근거!D454</f>
        <v>2293</v>
      </c>
      <c r="G10" s="454">
        <f>단가산출근거!E454</f>
        <v>250</v>
      </c>
      <c r="H10" s="446">
        <f>단가산출근거!F454</f>
        <v>0</v>
      </c>
      <c r="I10" s="482"/>
      <c r="J10" s="451" t="str">
        <f>"_x0007_`COD|D01355_x0005_`QTY1|1_x0005_`BQC|_x0005_`EQC|_x0005_`JDC|_x0005_`WQC|_x0005_`EDT|_x0005_`ADJ|F_x0005_`DET|"&amp;ROW(단가산출근거!A405)&amp;"_x0005_`"</f>
        <v>_x0007_`COD|D01355_x0005_`QTY1|1_x0005_`BQC|_x0005_`EQC|_x0005_`JDC|_x0005_`WQC|_x0005_`EDT|_x0005_`ADJ|F_x0005_`DET|405_x0005_`</v>
      </c>
      <c r="K10" s="433" t="str">
        <f ca="1">HYPERLINK("#"&amp;단가산출근거!G2&amp;"!A"&amp;ROW(단가산출근거!A405),"D01355 →")</f>
        <v>D01355 →</v>
      </c>
    </row>
    <row r="11" spans="1:11" ht="23.1" customHeight="1">
      <c r="A11" s="460" t="s">
        <v>5386</v>
      </c>
      <c r="B11" s="452" t="s">
        <v>5379</v>
      </c>
      <c r="C11" s="452" t="s">
        <v>1878</v>
      </c>
      <c r="D11" s="460" t="s">
        <v>1799</v>
      </c>
      <c r="E11" s="446">
        <f>단가산출근거!C504</f>
        <v>5546</v>
      </c>
      <c r="F11" s="453">
        <f>단가산출근거!D504</f>
        <v>5046</v>
      </c>
      <c r="G11" s="454">
        <f>단가산출근거!E504</f>
        <v>500</v>
      </c>
      <c r="H11" s="446">
        <f>단가산출근거!F504</f>
        <v>0</v>
      </c>
      <c r="I11" s="482"/>
      <c r="J11" s="451" t="str">
        <f>"_x0007_`COD|D01357_x0005_`QTY1|1_x0005_`BQC|_x0005_`EQC|_x0005_`JDC|_x0005_`WQC|_x0005_`EDT|_x0005_`ADJ|F_x0005_`DET|"&amp;ROW(단가산출근거!A455)&amp;"_x0005_`"</f>
        <v>_x0007_`COD|D01357_x0005_`QTY1|1_x0005_`BQC|_x0005_`EQC|_x0005_`JDC|_x0005_`WQC|_x0005_`EDT|_x0005_`ADJ|F_x0005_`DET|455_x0005_`</v>
      </c>
      <c r="K11" s="433" t="str">
        <f ca="1">HYPERLINK("#"&amp;단가산출근거!G2&amp;"!A"&amp;ROW(단가산출근거!A455),"D01357 →")</f>
        <v>D01357 →</v>
      </c>
    </row>
    <row r="12" spans="1:11" ht="23.1" customHeight="1">
      <c r="A12" s="460" t="s">
        <v>5389</v>
      </c>
      <c r="B12" s="452" t="s">
        <v>5379</v>
      </c>
      <c r="C12" s="452" t="s">
        <v>1882</v>
      </c>
      <c r="D12" s="460" t="s">
        <v>1799</v>
      </c>
      <c r="E12" s="446">
        <f>단가산출근거!C554</f>
        <v>8209</v>
      </c>
      <c r="F12" s="453">
        <f>단가산출근거!D554</f>
        <v>7209</v>
      </c>
      <c r="G12" s="454">
        <f>단가산출근거!E554</f>
        <v>1000</v>
      </c>
      <c r="H12" s="446">
        <f>단가산출근거!F554</f>
        <v>0</v>
      </c>
      <c r="I12" s="482"/>
      <c r="J12" s="451" t="str">
        <f>"_x0007_`COD|D01358_x0005_`QTY1|1_x0005_`BQC|_x0005_`EQC|_x0005_`JDC|_x0005_`WQC|_x0005_`EDT|_x0005_`ADJ|F_x0005_`DET|"&amp;ROW(단가산출근거!A505)&amp;"_x0005_`"</f>
        <v>_x0007_`COD|D01358_x0005_`QTY1|1_x0005_`BQC|_x0005_`EQC|_x0005_`JDC|_x0005_`WQC|_x0005_`EDT|_x0005_`ADJ|F_x0005_`DET|505_x0005_`</v>
      </c>
      <c r="K12" s="433" t="str">
        <f ca="1">HYPERLINK("#"&amp;단가산출근거!G2&amp;"!A"&amp;ROW(단가산출근거!A505),"D01358 →")</f>
        <v>D01358 →</v>
      </c>
    </row>
    <row r="13" spans="1:11" ht="23.1" customHeight="1">
      <c r="A13" s="460" t="s">
        <v>5396</v>
      </c>
      <c r="B13" s="452" t="s">
        <v>5392</v>
      </c>
      <c r="C13" s="452" t="s">
        <v>1874</v>
      </c>
      <c r="D13" s="460" t="s">
        <v>1799</v>
      </c>
      <c r="E13" s="446">
        <f>단가산출근거!C604</f>
        <v>3906</v>
      </c>
      <c r="F13" s="453">
        <f>단가산출근거!D604</f>
        <v>3656</v>
      </c>
      <c r="G13" s="454">
        <f>단가산출근거!E604</f>
        <v>250</v>
      </c>
      <c r="H13" s="446">
        <f>단가산출근거!F604</f>
        <v>0</v>
      </c>
      <c r="I13" s="482"/>
      <c r="J13" s="451" t="str">
        <f>"_x0007_`COD|D01326_x0005_`QTY1|1_x0005_`BQC|_x0005_`EQC|_x0005_`JDC|_x0005_`WQC|_x0005_`EDT|_x0005_`ADJ|F_x0005_`DET|"&amp;ROW(단가산출근거!A555)&amp;"_x0005_`"</f>
        <v>_x0007_`COD|D01326_x0005_`QTY1|1_x0005_`BQC|_x0005_`EQC|_x0005_`JDC|_x0005_`WQC|_x0005_`EDT|_x0005_`ADJ|F_x0005_`DET|555_x0005_`</v>
      </c>
      <c r="K13" s="433" t="str">
        <f ca="1">HYPERLINK("#"&amp;단가산출근거!G2&amp;"!A"&amp;ROW(단가산출근거!A555),"D01326 →")</f>
        <v>D01326 →</v>
      </c>
    </row>
    <row r="14" spans="1:11" ht="23.1" customHeight="1">
      <c r="A14" s="460" t="s">
        <v>5393</v>
      </c>
      <c r="B14" s="452" t="s">
        <v>5392</v>
      </c>
      <c r="C14" s="452" t="s">
        <v>1865</v>
      </c>
      <c r="D14" s="460" t="s">
        <v>1799</v>
      </c>
      <c r="E14" s="446">
        <f>단가산출근거!C654</f>
        <v>2743</v>
      </c>
      <c r="F14" s="453">
        <f>단가산출근거!D654</f>
        <v>2493</v>
      </c>
      <c r="G14" s="454">
        <f>단가산출근거!E654</f>
        <v>250</v>
      </c>
      <c r="H14" s="446">
        <f>단가산출근거!F654</f>
        <v>0</v>
      </c>
      <c r="I14" s="482"/>
      <c r="J14" s="451" t="str">
        <f>"_x0007_`COD|D01330_x0005_`QTY1|1_x0005_`BQC|_x0005_`EQC|_x0005_`JDC|_x0005_`WQC|_x0005_`EDT|_x0005_`ADJ|F_x0005_`DET|"&amp;ROW(단가산출근거!A605)&amp;"_x0005_`"</f>
        <v>_x0007_`COD|D01330_x0005_`QTY1|1_x0005_`BQC|_x0005_`EQC|_x0005_`JDC|_x0005_`WQC|_x0005_`EDT|_x0005_`ADJ|F_x0005_`DET|605_x0005_`</v>
      </c>
      <c r="K14" s="433" t="str">
        <f ca="1">HYPERLINK("#"&amp;단가산출근거!G2&amp;"!A"&amp;ROW(단가산출근거!A605),"D01330 →")</f>
        <v>D01330 →</v>
      </c>
    </row>
    <row r="15" spans="1:11" ht="23.1" customHeight="1">
      <c r="A15" s="460" t="s">
        <v>5399</v>
      </c>
      <c r="B15" s="452" t="s">
        <v>5392</v>
      </c>
      <c r="C15" s="452" t="s">
        <v>1878</v>
      </c>
      <c r="D15" s="460" t="s">
        <v>1799</v>
      </c>
      <c r="E15" s="446">
        <f>단가산출근거!C704</f>
        <v>5985</v>
      </c>
      <c r="F15" s="453">
        <f>단가산출근거!D704</f>
        <v>5485</v>
      </c>
      <c r="G15" s="454">
        <f>단가산출근거!E704</f>
        <v>500</v>
      </c>
      <c r="H15" s="446">
        <f>단가산출근거!F704</f>
        <v>0</v>
      </c>
      <c r="I15" s="482"/>
      <c r="J15" s="451" t="str">
        <f>"_x0007_`COD|D01331_x0005_`QTY1|1_x0005_`BQC|_x0005_`EQC|_x0005_`JDC|_x0005_`WQC|_x0005_`EDT|_x0005_`ADJ|F_x0005_`DET|"&amp;ROW(단가산출근거!A655)&amp;"_x0005_`"</f>
        <v>_x0007_`COD|D01331_x0005_`QTY1|1_x0005_`BQC|_x0005_`EQC|_x0005_`JDC|_x0005_`WQC|_x0005_`EDT|_x0005_`ADJ|F_x0005_`DET|655_x0005_`</v>
      </c>
      <c r="K15" s="433" t="str">
        <f ca="1">HYPERLINK("#"&amp;단가산출근거!G2&amp;"!A"&amp;ROW(단가산출근거!A655),"D01331 →")</f>
        <v>D01331 →</v>
      </c>
    </row>
    <row r="16" spans="1:11" ht="23.1" customHeight="1">
      <c r="A16" s="460" t="s">
        <v>5402</v>
      </c>
      <c r="B16" s="452" t="s">
        <v>5392</v>
      </c>
      <c r="C16" s="452" t="s">
        <v>1882</v>
      </c>
      <c r="D16" s="460" t="s">
        <v>1799</v>
      </c>
      <c r="E16" s="446">
        <f>단가산출근거!C754</f>
        <v>8836</v>
      </c>
      <c r="F16" s="453">
        <f>단가산출근거!D754</f>
        <v>7836</v>
      </c>
      <c r="G16" s="454">
        <f>단가산출근거!E754</f>
        <v>1000</v>
      </c>
      <c r="H16" s="446">
        <f>단가산출근거!F754</f>
        <v>0</v>
      </c>
      <c r="I16" s="482"/>
      <c r="J16" s="451" t="str">
        <f>"_x0007_`COD|D01332_x0005_`QTY1|1_x0005_`BQC|_x0005_`EQC|_x0005_`JDC|_x0005_`WQC|_x0005_`EDT|_x0005_`ADJ|F_x0005_`DET|"&amp;ROW(단가산출근거!A705)&amp;"_x0005_`"</f>
        <v>_x0007_`COD|D01332_x0005_`QTY1|1_x0005_`BQC|_x0005_`EQC|_x0005_`JDC|_x0005_`WQC|_x0005_`EDT|_x0005_`ADJ|F_x0005_`DET|705_x0005_`</v>
      </c>
      <c r="K16" s="433" t="str">
        <f ca="1">HYPERLINK("#"&amp;단가산출근거!G2&amp;"!A"&amp;ROW(단가산출근거!A705),"D01332 →")</f>
        <v>D01332 →</v>
      </c>
    </row>
    <row r="17" spans="1:11" ht="23.1" customHeight="1">
      <c r="A17" s="460" t="s">
        <v>1875</v>
      </c>
      <c r="B17" s="452" t="s">
        <v>1864</v>
      </c>
      <c r="C17" s="452" t="s">
        <v>1874</v>
      </c>
      <c r="D17" s="460" t="s">
        <v>1799</v>
      </c>
      <c r="E17" s="446">
        <f>단가산출근거!C804</f>
        <v>7621</v>
      </c>
      <c r="F17" s="453">
        <f>단가산출근거!D804</f>
        <v>7021</v>
      </c>
      <c r="G17" s="454">
        <f>단가산출근거!E804</f>
        <v>600</v>
      </c>
      <c r="H17" s="446">
        <f>단가산출근거!F804</f>
        <v>0</v>
      </c>
      <c r="I17" s="482"/>
      <c r="J17" s="451" t="str">
        <f>"_x0007_`COD|D01262_x0005_`QTY1|1_x0005_`BQC|_x0005_`EQC|공통4-2-2_x0005_`JDC|_x0005_`WQC|_x0005_`EDT|_x0005_`ADJ|F_x0005_`DET|"&amp;ROW(단가산출근거!A755)&amp;"_x0005_`"</f>
        <v>_x0007_`COD|D01262_x0005_`QTY1|1_x0005_`BQC|_x0005_`EQC|공통4-2-2_x0005_`JDC|_x0005_`WQC|_x0005_`EDT|_x0005_`ADJ|F_x0005_`DET|755_x0005_`</v>
      </c>
      <c r="K17" s="433" t="str">
        <f ca="1">HYPERLINK("#"&amp;단가산출근거!G2&amp;"!A"&amp;ROW(단가산출근거!A755),"D01262 →")</f>
        <v>D01262 →</v>
      </c>
    </row>
    <row r="18" spans="1:11" ht="23.1" customHeight="1">
      <c r="A18" s="460" t="s">
        <v>1866</v>
      </c>
      <c r="B18" s="452" t="s">
        <v>1864</v>
      </c>
      <c r="C18" s="452" t="s">
        <v>1865</v>
      </c>
      <c r="D18" s="460" t="s">
        <v>1799</v>
      </c>
      <c r="E18" s="446">
        <f>단가산출근거!C854</f>
        <v>6172</v>
      </c>
      <c r="F18" s="453">
        <f>단가산출근거!D854</f>
        <v>5485</v>
      </c>
      <c r="G18" s="454">
        <f>단가산출근거!E854</f>
        <v>687</v>
      </c>
      <c r="H18" s="446">
        <f>단가산출근거!F854</f>
        <v>0</v>
      </c>
      <c r="I18" s="482"/>
      <c r="J18" s="451" t="str">
        <f>"_x0007_`COD|D01290_x0005_`QTY1|1_x0005_`BQC|_x0005_`EQC|공통4-2-2_x0005_`JDC|_x0005_`WQC|_x0005_`EDT|_x0005_`ADJ|F_x0005_`DET|"&amp;ROW(단가산출근거!A805)&amp;"_x0005_`"</f>
        <v>_x0007_`COD|D01290_x0005_`QTY1|1_x0005_`BQC|_x0005_`EQC|공통4-2-2_x0005_`JDC|_x0005_`WQC|_x0005_`EDT|_x0005_`ADJ|F_x0005_`DET|805_x0005_`</v>
      </c>
      <c r="K18" s="433" t="str">
        <f ca="1">HYPERLINK("#"&amp;단가산출근거!G2&amp;"!A"&amp;ROW(단가산출근거!A805),"D01290 →")</f>
        <v>D01290 →</v>
      </c>
    </row>
    <row r="19" spans="1:11" ht="23.1" customHeight="1">
      <c r="A19" s="460" t="s">
        <v>1879</v>
      </c>
      <c r="B19" s="452" t="s">
        <v>1864</v>
      </c>
      <c r="C19" s="452" t="s">
        <v>1878</v>
      </c>
      <c r="D19" s="460" t="s">
        <v>1799</v>
      </c>
      <c r="E19" s="446">
        <f>단가산출근거!C904</f>
        <v>13035</v>
      </c>
      <c r="F19" s="453">
        <f>단가산출근거!D904</f>
        <v>11702</v>
      </c>
      <c r="G19" s="454">
        <f>단가산출근거!E904</f>
        <v>1333</v>
      </c>
      <c r="H19" s="446">
        <f>단가산출근거!F904</f>
        <v>0</v>
      </c>
      <c r="I19" s="482"/>
      <c r="J19" s="451" t="str">
        <f>"_x0007_`COD|D01291_x0005_`QTY1|1_x0005_`BQC|_x0005_`EQC|공통4-2-2_x0005_`JDC|_x0005_`WQC|_x0005_`EDT|_x0005_`ADJ|F_x0005_`DET|"&amp;ROW(단가산출근거!A855)&amp;"_x0005_`"</f>
        <v>_x0007_`COD|D01291_x0005_`QTY1|1_x0005_`BQC|_x0005_`EQC|공통4-2-2_x0005_`JDC|_x0005_`WQC|_x0005_`EDT|_x0005_`ADJ|F_x0005_`DET|855_x0005_`</v>
      </c>
      <c r="K19" s="433" t="str">
        <f ca="1">HYPERLINK("#"&amp;단가산출근거!G2&amp;"!A"&amp;ROW(단가산출근거!A855),"D01291 →")</f>
        <v>D01291 →</v>
      </c>
    </row>
    <row r="20" spans="1:11" ht="23.1" customHeight="1">
      <c r="A20" s="460" t="s">
        <v>1883</v>
      </c>
      <c r="B20" s="452" t="s">
        <v>1864</v>
      </c>
      <c r="C20" s="452" t="s">
        <v>1882</v>
      </c>
      <c r="D20" s="460" t="s">
        <v>1799</v>
      </c>
      <c r="E20" s="446">
        <f>단가산출근거!C954</f>
        <v>17866</v>
      </c>
      <c r="F20" s="453">
        <f>단가산출근거!D954</f>
        <v>15957</v>
      </c>
      <c r="G20" s="454">
        <f>단가산출근거!E954</f>
        <v>1909</v>
      </c>
      <c r="H20" s="446">
        <f>단가산출근거!F954</f>
        <v>0</v>
      </c>
      <c r="I20" s="482"/>
      <c r="J20" s="451" t="str">
        <f>"_x0007_`COD|D01292_x0005_`QTY1|1_x0005_`BQC|_x0005_`EQC|공통4-2-2_x0005_`JDC|_x0005_`WQC|_x0005_`EDT|_x0005_`ADJ|F_x0005_`DET|"&amp;ROW(단가산출근거!A905)&amp;"_x0005_`"</f>
        <v>_x0007_`COD|D01292_x0005_`QTY1|1_x0005_`BQC|_x0005_`EQC|공통4-2-2_x0005_`JDC|_x0005_`WQC|_x0005_`EDT|_x0005_`ADJ|F_x0005_`DET|905_x0005_`</v>
      </c>
      <c r="K20" s="433" t="str">
        <f ca="1">HYPERLINK("#"&amp;단가산출근거!G2&amp;"!A"&amp;ROW(단가산출근거!A905),"D01292 →")</f>
        <v>D01292 →</v>
      </c>
    </row>
    <row r="21" spans="1:11" ht="23.1" customHeight="1">
      <c r="A21" s="460" t="s">
        <v>5357</v>
      </c>
      <c r="B21" s="452" t="s">
        <v>5353</v>
      </c>
      <c r="C21" s="452" t="s">
        <v>1874</v>
      </c>
      <c r="D21" s="460" t="s">
        <v>1799</v>
      </c>
      <c r="E21" s="446">
        <f>단가산출근거!C1004</f>
        <v>8674</v>
      </c>
      <c r="F21" s="453">
        <f>단가산출근거!D1004</f>
        <v>8074</v>
      </c>
      <c r="G21" s="454">
        <f>단가산출근거!E1004</f>
        <v>600</v>
      </c>
      <c r="H21" s="446">
        <f>단가산출근거!F1004</f>
        <v>0</v>
      </c>
      <c r="I21" s="482"/>
      <c r="J21" s="451" t="str">
        <f>"_x0007_`COD|D01352_x0005_`QTY1|1_x0005_`BQC|_x0005_`EQC|공통4-2-2_x0005_`JDC|_x0005_`WQC|_x0005_`EDT|_x0005_`ADJ|F_x0005_`DET|"&amp;ROW(단가산출근거!A955)&amp;"_x0005_`"</f>
        <v>_x0007_`COD|D01352_x0005_`QTY1|1_x0005_`BQC|_x0005_`EQC|공통4-2-2_x0005_`JDC|_x0005_`WQC|_x0005_`EDT|_x0005_`ADJ|F_x0005_`DET|955_x0005_`</v>
      </c>
      <c r="K21" s="433" t="str">
        <f ca="1">HYPERLINK("#"&amp;단가산출근거!G2&amp;"!A"&amp;ROW(단가산출근거!A955),"D01352 →")</f>
        <v>D01352 →</v>
      </c>
    </row>
    <row r="22" spans="1:11" ht="23.1" customHeight="1">
      <c r="A22" s="460" t="s">
        <v>5354</v>
      </c>
      <c r="B22" s="452" t="s">
        <v>5353</v>
      </c>
      <c r="C22" s="452" t="s">
        <v>1865</v>
      </c>
      <c r="D22" s="460" t="s">
        <v>1799</v>
      </c>
      <c r="E22" s="446">
        <f>단가산출근거!C1054</f>
        <v>6995</v>
      </c>
      <c r="F22" s="453">
        <f>단가산출근거!D1054</f>
        <v>6308</v>
      </c>
      <c r="G22" s="454">
        <f>단가산출근거!E1054</f>
        <v>687</v>
      </c>
      <c r="H22" s="446">
        <f>단가산출근거!F1054</f>
        <v>0</v>
      </c>
      <c r="I22" s="482"/>
      <c r="J22" s="451" t="str">
        <f>"_x0007_`COD|D01351_x0005_`QTY1|1_x0005_`BQC|_x0005_`EQC|공통4-2-2_x0005_`JDC|_x0005_`WQC|_x0005_`EDT|_x0005_`ADJ|F_x0005_`DET|"&amp;ROW(단가산출근거!A1005)&amp;"_x0005_`"</f>
        <v>_x0007_`COD|D01351_x0005_`QTY1|1_x0005_`BQC|_x0005_`EQC|공통4-2-2_x0005_`JDC|_x0005_`WQC|_x0005_`EDT|_x0005_`ADJ|F_x0005_`DET|1005_x0005_`</v>
      </c>
      <c r="K22" s="433" t="str">
        <f ca="1">HYPERLINK("#"&amp;단가산출근거!G2&amp;"!A"&amp;ROW(단가산출근거!A1005),"D01351 →")</f>
        <v>D01351 →</v>
      </c>
    </row>
    <row r="23" spans="1:11" ht="23.1" customHeight="1">
      <c r="A23" s="460" t="s">
        <v>5360</v>
      </c>
      <c r="B23" s="452" t="s">
        <v>5353</v>
      </c>
      <c r="C23" s="452" t="s">
        <v>1878</v>
      </c>
      <c r="D23" s="460" t="s">
        <v>1799</v>
      </c>
      <c r="E23" s="446">
        <f>단가산출근거!C1104</f>
        <v>14790</v>
      </c>
      <c r="F23" s="453">
        <f>단가산출근거!D1104</f>
        <v>13457</v>
      </c>
      <c r="G23" s="454">
        <f>단가산출근거!E1104</f>
        <v>1333</v>
      </c>
      <c r="H23" s="446">
        <f>단가산출근거!F1104</f>
        <v>0</v>
      </c>
      <c r="I23" s="482"/>
      <c r="J23" s="451" t="str">
        <f>"_x0007_`COD|D01353_x0005_`QTY1|1_x0005_`BQC|_x0005_`EQC|공통4-2-2_x0005_`JDC|_x0005_`WQC|_x0005_`EDT|_x0005_`ADJ|F_x0005_`DET|"&amp;ROW(단가산출근거!A1055)&amp;"_x0005_`"</f>
        <v>_x0007_`COD|D01353_x0005_`QTY1|1_x0005_`BQC|_x0005_`EQC|공통4-2-2_x0005_`JDC|_x0005_`WQC|_x0005_`EDT|_x0005_`ADJ|F_x0005_`DET|1055_x0005_`</v>
      </c>
      <c r="K23" s="433" t="str">
        <f ca="1">HYPERLINK("#"&amp;단가산출근거!G2&amp;"!A"&amp;ROW(단가산출근거!A1055),"D01353 →")</f>
        <v>D01353 →</v>
      </c>
    </row>
    <row r="24" spans="1:11" ht="23.1" customHeight="1">
      <c r="A24" s="460" t="s">
        <v>5363</v>
      </c>
      <c r="B24" s="452" t="s">
        <v>5353</v>
      </c>
      <c r="C24" s="452" t="s">
        <v>1882</v>
      </c>
      <c r="D24" s="460" t="s">
        <v>1799</v>
      </c>
      <c r="E24" s="446">
        <f>단가산출근거!C1154</f>
        <v>20260</v>
      </c>
      <c r="F24" s="453">
        <f>단가산출근거!D1154</f>
        <v>18351</v>
      </c>
      <c r="G24" s="454">
        <f>단가산출근거!E1154</f>
        <v>1909</v>
      </c>
      <c r="H24" s="446">
        <f>단가산출근거!F1154</f>
        <v>0</v>
      </c>
      <c r="I24" s="482"/>
      <c r="J24" s="451" t="str">
        <f>"_x0007_`COD|D01354_x0005_`QTY1|1_x0005_`BQC|_x0005_`EQC|공통4-2-2_x0005_`JDC|_x0005_`WQC|_x0005_`EDT|_x0005_`ADJ|F_x0005_`DET|"&amp;ROW(단가산출근거!A1105)&amp;"_x0005_`"</f>
        <v>_x0007_`COD|D01354_x0005_`QTY1|1_x0005_`BQC|_x0005_`EQC|공통4-2-2_x0005_`JDC|_x0005_`WQC|_x0005_`EDT|_x0005_`ADJ|F_x0005_`DET|1105_x0005_`</v>
      </c>
      <c r="K24" s="433" t="str">
        <f ca="1">HYPERLINK("#"&amp;단가산출근거!G2&amp;"!A"&amp;ROW(단가산출근거!A1105),"D01354 →")</f>
        <v>D01354 →</v>
      </c>
    </row>
    <row r="25" spans="1:11" ht="23.1" customHeight="1">
      <c r="A25" s="460" t="s">
        <v>5370</v>
      </c>
      <c r="B25" s="452" t="s">
        <v>5366</v>
      </c>
      <c r="C25" s="452" t="s">
        <v>1874</v>
      </c>
      <c r="D25" s="460" t="s">
        <v>1799</v>
      </c>
      <c r="E25" s="446">
        <f>단가산출근거!C1204</f>
        <v>9376</v>
      </c>
      <c r="F25" s="453">
        <f>단가산출근거!D1204</f>
        <v>8776</v>
      </c>
      <c r="G25" s="454">
        <f>단가산출근거!E1204</f>
        <v>600</v>
      </c>
      <c r="H25" s="446">
        <f>단가산출근거!F1204</f>
        <v>0</v>
      </c>
      <c r="I25" s="482"/>
      <c r="J25" s="451" t="str">
        <f>"_x0007_`COD|D01327_x0005_`QTY1|1_x0005_`BQC|_x0005_`EQC|공통4-2-2_x0005_`JDC|_x0005_`WQC|_x0005_`EDT|_x0005_`ADJ|F_x0005_`DET|"&amp;ROW(단가산출근거!A1155)&amp;"_x0005_`"</f>
        <v>_x0007_`COD|D01327_x0005_`QTY1|1_x0005_`BQC|_x0005_`EQC|공통4-2-2_x0005_`JDC|_x0005_`WQC|_x0005_`EDT|_x0005_`ADJ|F_x0005_`DET|1155_x0005_`</v>
      </c>
      <c r="K25" s="433" t="str">
        <f ca="1">HYPERLINK("#"&amp;단가산출근거!G2&amp;"!A"&amp;ROW(단가산출근거!A1155),"D01327 →")</f>
        <v>D01327 →</v>
      </c>
    </row>
    <row r="26" spans="1:11" ht="23.1" customHeight="1">
      <c r="A26" s="460" t="s">
        <v>5367</v>
      </c>
      <c r="B26" s="452" t="s">
        <v>5366</v>
      </c>
      <c r="C26" s="452" t="s">
        <v>1865</v>
      </c>
      <c r="D26" s="460" t="s">
        <v>1799</v>
      </c>
      <c r="E26" s="446">
        <f>단가산출근거!C1254</f>
        <v>7543</v>
      </c>
      <c r="F26" s="453">
        <f>단가산출근거!D1254</f>
        <v>6856</v>
      </c>
      <c r="G26" s="454">
        <f>단가산출근거!E1254</f>
        <v>687</v>
      </c>
      <c r="H26" s="446">
        <f>단가산출근거!F1254</f>
        <v>0</v>
      </c>
      <c r="I26" s="482"/>
      <c r="J26" s="451" t="str">
        <f>"_x0007_`COD|D01325_x0005_`QTY1|1_x0005_`BQC|_x0005_`EQC|공통4-2-2_x0005_`JDC|_x0005_`WQC|_x0005_`EDT|_x0005_`ADJ|F_x0005_`DET|"&amp;ROW(단가산출근거!A1205)&amp;"_x0005_`"</f>
        <v>_x0007_`COD|D01325_x0005_`QTY1|1_x0005_`BQC|_x0005_`EQC|공통4-2-2_x0005_`JDC|_x0005_`WQC|_x0005_`EDT|_x0005_`ADJ|F_x0005_`DET|1205_x0005_`</v>
      </c>
      <c r="K26" s="433" t="str">
        <f ca="1">HYPERLINK("#"&amp;단가산출근거!G2&amp;"!A"&amp;ROW(단가산출근거!A1205),"D01325 →")</f>
        <v>D01325 →</v>
      </c>
    </row>
    <row r="27" spans="1:11" ht="23.1" customHeight="1">
      <c r="A27" s="460" t="s">
        <v>5373</v>
      </c>
      <c r="B27" s="452" t="s">
        <v>5366</v>
      </c>
      <c r="C27" s="452" t="s">
        <v>1878</v>
      </c>
      <c r="D27" s="460" t="s">
        <v>1799</v>
      </c>
      <c r="E27" s="446">
        <f>단가산출근거!C1304</f>
        <v>15960</v>
      </c>
      <c r="F27" s="453">
        <f>단가산출근거!D1304</f>
        <v>14627</v>
      </c>
      <c r="G27" s="454">
        <f>단가산출근거!E1304</f>
        <v>1333</v>
      </c>
      <c r="H27" s="446">
        <f>단가산출근거!F1304</f>
        <v>0</v>
      </c>
      <c r="I27" s="482"/>
      <c r="J27" s="451" t="str">
        <f>"_x0007_`COD|D01328_x0005_`QTY1|1_x0005_`BQC|_x0005_`EQC|공통4-2-2_x0005_`JDC|_x0005_`WQC|_x0005_`EDT|_x0005_`ADJ|F_x0005_`DET|"&amp;ROW(단가산출근거!A1255)&amp;"_x0005_`"</f>
        <v>_x0007_`COD|D01328_x0005_`QTY1|1_x0005_`BQC|_x0005_`EQC|공통4-2-2_x0005_`JDC|_x0005_`WQC|_x0005_`EDT|_x0005_`ADJ|F_x0005_`DET|1255_x0005_`</v>
      </c>
      <c r="K27" s="433" t="str">
        <f ca="1">HYPERLINK("#"&amp;단가산출근거!G2&amp;"!A"&amp;ROW(단가산출근거!A1255),"D01328 →")</f>
        <v>D01328 →</v>
      </c>
    </row>
    <row r="28" spans="1:11" ht="23.1" customHeight="1">
      <c r="A28" s="460" t="s">
        <v>5376</v>
      </c>
      <c r="B28" s="452" t="s">
        <v>5366</v>
      </c>
      <c r="C28" s="452" t="s">
        <v>1882</v>
      </c>
      <c r="D28" s="460" t="s">
        <v>1799</v>
      </c>
      <c r="E28" s="446">
        <f>단가산출근거!C1354</f>
        <v>21856</v>
      </c>
      <c r="F28" s="453">
        <f>단가산출근거!D1354</f>
        <v>19947</v>
      </c>
      <c r="G28" s="454">
        <f>단가산출근거!E1354</f>
        <v>1909</v>
      </c>
      <c r="H28" s="446">
        <f>단가산출근거!F1354</f>
        <v>0</v>
      </c>
      <c r="I28" s="482"/>
      <c r="J28" s="451" t="str">
        <f>"_x0007_`COD|D01329_x0005_`QTY1|1_x0005_`BQC|_x0005_`EQC|공통4-2-2_x0005_`JDC|_x0005_`WQC|_x0005_`EDT|_x0005_`ADJ|F_x0005_`DET|"&amp;ROW(단가산출근거!A1305)&amp;"_x0005_`"</f>
        <v>_x0007_`COD|D01329_x0005_`QTY1|1_x0005_`BQC|_x0005_`EQC|공통4-2-2_x0005_`JDC|_x0005_`WQC|_x0005_`EDT|_x0005_`ADJ|F_x0005_`DET|1305_x0005_`</v>
      </c>
      <c r="K28" s="433" t="str">
        <f ca="1">HYPERLINK("#"&amp;단가산출근거!G2&amp;"!A"&amp;ROW(단가산출근거!A1305),"D01329 →")</f>
        <v>D01329 →</v>
      </c>
    </row>
    <row r="29" spans="1:11" ht="23.1" customHeight="1">
      <c r="A29" s="460" t="s">
        <v>1824</v>
      </c>
      <c r="B29" s="452" t="s">
        <v>1812</v>
      </c>
      <c r="C29" s="452" t="s">
        <v>1823</v>
      </c>
      <c r="D29" s="460" t="s">
        <v>1799</v>
      </c>
      <c r="E29" s="446">
        <f>단가산출근거!C1454</f>
        <v>156165</v>
      </c>
      <c r="F29" s="453">
        <f>단가산출근거!D1454</f>
        <v>112486</v>
      </c>
      <c r="G29" s="454">
        <f>단가산출근거!E1454</f>
        <v>32003</v>
      </c>
      <c r="H29" s="446">
        <f>단가산출근거!F1454</f>
        <v>11676</v>
      </c>
      <c r="I29" s="482" t="s">
        <v>3350</v>
      </c>
      <c r="J29" s="451" t="str">
        <f>"_x0007_`COD|D01309_x0005_`QTY1|1_x0005_`BQC|공통4-3-5_x0005_`EQC|_x0005_`JDC|_x0005_`WQC|_x0005_`EDT|_x0005_`ADJ|F_x0005_`DET|"&amp;ROW(단가산출근거!A1355)&amp;"_x0005_`"</f>
        <v>_x0007_`COD|D01309_x0005_`QTY1|1_x0005_`BQC|공통4-3-5_x0005_`EQC|_x0005_`JDC|_x0005_`WQC|_x0005_`EDT|_x0005_`ADJ|F_x0005_`DET|1355_x0005_`</v>
      </c>
      <c r="K29" s="433" t="str">
        <f ca="1">HYPERLINK("#"&amp;단가산출근거!G2&amp;"!A"&amp;ROW(단가산출근거!A1355),"D01309 →")</f>
        <v>D01309 →</v>
      </c>
    </row>
    <row r="30" spans="1:11" ht="23.1" customHeight="1">
      <c r="A30" s="460" t="s">
        <v>1828</v>
      </c>
      <c r="B30" s="452" t="s">
        <v>1812</v>
      </c>
      <c r="C30" s="452" t="s">
        <v>1827</v>
      </c>
      <c r="D30" s="460" t="s">
        <v>1799</v>
      </c>
      <c r="E30" s="446">
        <f>단가산출근거!C1554</f>
        <v>295003</v>
      </c>
      <c r="F30" s="453">
        <f>단가산출근거!D1554</f>
        <v>194229</v>
      </c>
      <c r="G30" s="454">
        <f>단가산출근거!E1554</f>
        <v>58803</v>
      </c>
      <c r="H30" s="446">
        <f>단가산출근거!F1554</f>
        <v>41971</v>
      </c>
      <c r="I30" s="482" t="s">
        <v>3350</v>
      </c>
      <c r="J30" s="451" t="str">
        <f>"_x0007_`COD|D01310_x0005_`QTY1|1_x0005_`BQC|공통4-3-5_x0005_`EQC|_x0005_`JDC|_x0005_`WQC|_x0005_`EDT|_x0005_`ADJ|F_x0005_`DET|"&amp;ROW(단가산출근거!A1455)&amp;"_x0005_`"</f>
        <v>_x0007_`COD|D01310_x0005_`QTY1|1_x0005_`BQC|공통4-3-5_x0005_`EQC|_x0005_`JDC|_x0005_`WQC|_x0005_`EDT|_x0005_`ADJ|F_x0005_`DET|1455_x0005_`</v>
      </c>
      <c r="K30" s="433" t="str">
        <f ca="1">HYPERLINK("#"&amp;단가산출근거!G2&amp;"!A"&amp;ROW(단가산출근거!A1455),"D01310 →")</f>
        <v>D01310 →</v>
      </c>
    </row>
    <row r="31" spans="1:11" ht="23.1" customHeight="1">
      <c r="A31" s="460" t="s">
        <v>1832</v>
      </c>
      <c r="B31" s="452" t="s">
        <v>1812</v>
      </c>
      <c r="C31" s="452" t="s">
        <v>1831</v>
      </c>
      <c r="D31" s="460" t="s">
        <v>1799</v>
      </c>
      <c r="E31" s="446">
        <f>단가산출근거!C1654</f>
        <v>404707</v>
      </c>
      <c r="F31" s="453">
        <f>단가산출근거!D1654</f>
        <v>249723</v>
      </c>
      <c r="G31" s="454">
        <f>단가산출근거!E1654</f>
        <v>92413</v>
      </c>
      <c r="H31" s="446">
        <f>단가산출근거!F1654</f>
        <v>62571</v>
      </c>
      <c r="I31" s="482" t="s">
        <v>3350</v>
      </c>
      <c r="J31" s="451" t="str">
        <f>"_x0007_`COD|D01311_x0005_`QTY1|1_x0005_`BQC|공통4-3-5_x0005_`EQC|_x0005_`JDC|_x0005_`WQC|_x0005_`EDT|_x0005_`ADJ|F_x0005_`DET|"&amp;ROW(단가산출근거!A1555)&amp;"_x0005_`"</f>
        <v>_x0007_`COD|D01311_x0005_`QTY1|1_x0005_`BQC|공통4-3-5_x0005_`EQC|_x0005_`JDC|_x0005_`WQC|_x0005_`EDT|_x0005_`ADJ|F_x0005_`DET|1555_x0005_`</v>
      </c>
      <c r="K31" s="433" t="str">
        <f ca="1">HYPERLINK("#"&amp;단가산출근거!G2&amp;"!A"&amp;ROW(단가산출근거!A1555),"D01311 →")</f>
        <v>D01311 →</v>
      </c>
    </row>
    <row r="32" spans="1:11" ht="23.1" customHeight="1">
      <c r="A32" s="460" t="s">
        <v>1836</v>
      </c>
      <c r="B32" s="452" t="s">
        <v>1812</v>
      </c>
      <c r="C32" s="452" t="s">
        <v>1835</v>
      </c>
      <c r="D32" s="460" t="s">
        <v>1799</v>
      </c>
      <c r="E32" s="446">
        <f>단가산출근거!C1754</f>
        <v>600641</v>
      </c>
      <c r="F32" s="453">
        <f>단가산출근거!D1754</f>
        <v>364400</v>
      </c>
      <c r="G32" s="454">
        <f>단가산출근거!E1754</f>
        <v>103163</v>
      </c>
      <c r="H32" s="446">
        <f>단가산출근거!F1754</f>
        <v>133078</v>
      </c>
      <c r="I32" s="482" t="s">
        <v>3350</v>
      </c>
      <c r="J32" s="451" t="str">
        <f>"_x0007_`COD|D01312_x0005_`QTY1|1_x0005_`BQC|공통4-3-5_x0005_`EQC|_x0005_`JDC|_x0005_`WQC|_x0005_`EDT|_x0005_`ADJ|F_x0005_`DET|"&amp;ROW(단가산출근거!A1655)&amp;"_x0005_`"</f>
        <v>_x0007_`COD|D01312_x0005_`QTY1|1_x0005_`BQC|공통4-3-5_x0005_`EQC|_x0005_`JDC|_x0005_`WQC|_x0005_`EDT|_x0005_`ADJ|F_x0005_`DET|1655_x0005_`</v>
      </c>
      <c r="K32" s="433" t="str">
        <f ca="1">HYPERLINK("#"&amp;단가산출근거!G2&amp;"!A"&amp;ROW(단가산출근거!A1655),"D01312 →")</f>
        <v>D01312 →</v>
      </c>
    </row>
    <row r="33" spans="1:11" ht="23.1" customHeight="1">
      <c r="A33" s="460" t="s">
        <v>1840</v>
      </c>
      <c r="B33" s="452" t="s">
        <v>1812</v>
      </c>
      <c r="C33" s="452" t="s">
        <v>1839</v>
      </c>
      <c r="D33" s="460" t="s">
        <v>1799</v>
      </c>
      <c r="E33" s="446">
        <f>단가산출근거!C1854</f>
        <v>741552</v>
      </c>
      <c r="F33" s="453">
        <f>단가산출근거!D1854</f>
        <v>455500</v>
      </c>
      <c r="G33" s="454">
        <f>단가산출근거!E1854</f>
        <v>119704</v>
      </c>
      <c r="H33" s="446">
        <f>단가산출근거!F1854</f>
        <v>166348</v>
      </c>
      <c r="I33" s="482" t="s">
        <v>3350</v>
      </c>
      <c r="J33" s="451" t="str">
        <f>"_x0007_`COD|D01313_x0005_`QTY1|1_x0005_`BQC|공통4-3-5_x0005_`EQC|_x0005_`JDC|_x0005_`WQC|_x0005_`EDT|_x0005_`ADJ|F_x0005_`DET|"&amp;ROW(단가산출근거!A1755)&amp;"_x0005_`"</f>
        <v>_x0007_`COD|D01313_x0005_`QTY1|1_x0005_`BQC|공통4-3-5_x0005_`EQC|_x0005_`JDC|_x0005_`WQC|_x0005_`EDT|_x0005_`ADJ|F_x0005_`DET|1755_x0005_`</v>
      </c>
      <c r="K33" s="433" t="str">
        <f ca="1">HYPERLINK("#"&amp;단가산출근거!G2&amp;"!A"&amp;ROW(단가산출근거!A1755),"D01313 →")</f>
        <v>D01313 →</v>
      </c>
    </row>
    <row r="34" spans="1:11" ht="23.1" customHeight="1">
      <c r="A34" s="460" t="s">
        <v>1813</v>
      </c>
      <c r="B34" s="452" t="s">
        <v>1812</v>
      </c>
      <c r="C34" s="452" t="s">
        <v>1804</v>
      </c>
      <c r="D34" s="460" t="s">
        <v>1799</v>
      </c>
      <c r="E34" s="446">
        <f>단가산출근거!C1904</f>
        <v>48369</v>
      </c>
      <c r="F34" s="453">
        <f>단가산출근거!D1904</f>
        <v>29996</v>
      </c>
      <c r="G34" s="454">
        <f>단가산출근거!E1904</f>
        <v>15260</v>
      </c>
      <c r="H34" s="446">
        <f>단가산출근거!F1904</f>
        <v>3113</v>
      </c>
      <c r="I34" s="482" t="s">
        <v>3350</v>
      </c>
      <c r="J34" s="451" t="str">
        <f>"_x0007_`COD|D01305_x0005_`QTY1|1_x0005_`BQC|공통4-3-5_x0005_`EQC|_x0005_`JDC|_x0005_`WQC|_x0005_`EDT|_x0005_`ADJ|F_x0005_`DET|"&amp;ROW(단가산출근거!A1855)&amp;"_x0005_`"</f>
        <v>_x0007_`COD|D01305_x0005_`QTY1|1_x0005_`BQC|공통4-3-5_x0005_`EQC|_x0005_`JDC|_x0005_`WQC|_x0005_`EDT|_x0005_`ADJ|F_x0005_`DET|1855_x0005_`</v>
      </c>
      <c r="K34" s="433" t="str">
        <f ca="1">HYPERLINK("#"&amp;단가산출근거!G2&amp;"!A"&amp;ROW(단가산출근거!A1855),"D01305 →")</f>
        <v>D01305 →</v>
      </c>
    </row>
    <row r="35" spans="1:11" ht="23.1" customHeight="1">
      <c r="A35" s="460" t="s">
        <v>1816</v>
      </c>
      <c r="B35" s="452" t="s">
        <v>1812</v>
      </c>
      <c r="C35" s="452" t="s">
        <v>1808</v>
      </c>
      <c r="D35" s="460" t="s">
        <v>1799</v>
      </c>
      <c r="E35" s="446">
        <f>단가산출근거!C2004</f>
        <v>89780</v>
      </c>
      <c r="F35" s="453">
        <f>단가산출근거!D2004</f>
        <v>61356</v>
      </c>
      <c r="G35" s="454">
        <f>단가산출근거!E2004</f>
        <v>22056</v>
      </c>
      <c r="H35" s="446">
        <f>단가산출근거!F2004</f>
        <v>6368</v>
      </c>
      <c r="I35" s="482" t="s">
        <v>3350</v>
      </c>
      <c r="J35" s="451" t="str">
        <f>"_x0007_`COD|D01307_x0005_`QTY1|1_x0005_`BQC|공통4-3-5_x0005_`EQC|_x0005_`JDC|_x0005_`WQC|_x0005_`EDT|_x0005_`ADJ|F_x0005_`DET|"&amp;ROW(단가산출근거!A1905)&amp;"_x0005_`"</f>
        <v>_x0007_`COD|D01307_x0005_`QTY1|1_x0005_`BQC|공통4-3-5_x0005_`EQC|_x0005_`JDC|_x0005_`WQC|_x0005_`EDT|_x0005_`ADJ|F_x0005_`DET|1905_x0005_`</v>
      </c>
      <c r="K35" s="433" t="str">
        <f ca="1">HYPERLINK("#"&amp;단가산출근거!G2&amp;"!A"&amp;ROW(단가산출근거!A1905),"D01307 →")</f>
        <v>D01307 →</v>
      </c>
    </row>
    <row r="36" spans="1:11" ht="23.1" customHeight="1">
      <c r="A36" s="460" t="s">
        <v>1820</v>
      </c>
      <c r="B36" s="452" t="s">
        <v>1812</v>
      </c>
      <c r="C36" s="452" t="s">
        <v>1819</v>
      </c>
      <c r="D36" s="460" t="s">
        <v>1799</v>
      </c>
      <c r="E36" s="446">
        <f>단가산출근거!C2104</f>
        <v>113980</v>
      </c>
      <c r="F36" s="453">
        <f>단가산출근거!D2104</f>
        <v>79402</v>
      </c>
      <c r="G36" s="454">
        <f>단가산출근거!E2104</f>
        <v>26337</v>
      </c>
      <c r="H36" s="446">
        <f>단가산출근거!F2104</f>
        <v>8241</v>
      </c>
      <c r="I36" s="482" t="s">
        <v>3350</v>
      </c>
      <c r="J36" s="451" t="str">
        <f>"_x0007_`COD|D01308_x0005_`QTY1|1_x0005_`BQC|공통4-3-5_x0005_`EQC|_x0005_`JDC|_x0005_`WQC|_x0005_`EDT|_x0005_`ADJ|F_x0005_`DET|"&amp;ROW(단가산출근거!A2005)&amp;"_x0005_`"</f>
        <v>_x0007_`COD|D01308_x0005_`QTY1|1_x0005_`BQC|공통4-3-5_x0005_`EQC|_x0005_`JDC|_x0005_`WQC|_x0005_`EDT|_x0005_`ADJ|F_x0005_`DET|2005_x0005_`</v>
      </c>
      <c r="K36" s="433" t="str">
        <f ca="1">HYPERLINK("#"&amp;단가산출근거!G2&amp;"!A"&amp;ROW(단가산출근거!A2005),"D01308 →")</f>
        <v>D01308 →</v>
      </c>
    </row>
    <row r="37" spans="1:11" ht="23.1" customHeight="1">
      <c r="A37" s="460" t="s">
        <v>1855</v>
      </c>
      <c r="B37" s="452" t="s">
        <v>1812</v>
      </c>
      <c r="C37" s="452" t="s">
        <v>1843</v>
      </c>
      <c r="D37" s="460" t="s">
        <v>1799</v>
      </c>
      <c r="E37" s="446">
        <f>단가산출근거!C2154</f>
        <v>41811</v>
      </c>
      <c r="F37" s="453">
        <f>단가산출근거!D2154</f>
        <v>24542</v>
      </c>
      <c r="G37" s="454">
        <f>단가산출근거!E2154</f>
        <v>14722</v>
      </c>
      <c r="H37" s="446">
        <f>단가산출근거!F2154</f>
        <v>2547</v>
      </c>
      <c r="I37" s="482" t="s">
        <v>3351</v>
      </c>
      <c r="J37" s="451" t="str">
        <f>"_x0007_`COD|D01315_x0005_`QTY1|1_x0005_`BQC|공통4-3-4_x0005_`EQC|_x0005_`JDC|_x0005_`WQC|_x0005_`EDT|_x0005_`ADJ|F_x0005_`DET|"&amp;ROW(단가산출근거!A2105)&amp;"_x0005_`"</f>
        <v>_x0007_`COD|D01315_x0005_`QTY1|1_x0005_`BQC|공통4-3-4_x0005_`EQC|_x0005_`JDC|_x0005_`WQC|_x0005_`EDT|_x0005_`ADJ|F_x0005_`DET|2105_x0005_`</v>
      </c>
      <c r="K37" s="433" t="str">
        <f ca="1">HYPERLINK("#"&amp;단가산출근거!G2&amp;"!A"&amp;ROW(단가산출근거!A2105),"D01315 →")</f>
        <v>D01315 →</v>
      </c>
    </row>
    <row r="38" spans="1:11" ht="23.1" customHeight="1">
      <c r="A38" s="460" t="s">
        <v>1858</v>
      </c>
      <c r="B38" s="452" t="s">
        <v>1812</v>
      </c>
      <c r="C38" s="452" t="s">
        <v>1847</v>
      </c>
      <c r="D38" s="460" t="s">
        <v>1799</v>
      </c>
      <c r="E38" s="446">
        <f>단가산출근거!C2204</f>
        <v>66405</v>
      </c>
      <c r="F38" s="453">
        <f>단가산출근거!D2204</f>
        <v>44994</v>
      </c>
      <c r="G38" s="454">
        <f>단가산출근거!E2204</f>
        <v>16741</v>
      </c>
      <c r="H38" s="446">
        <f>단가산출근거!F2204</f>
        <v>4670</v>
      </c>
      <c r="I38" s="482" t="s">
        <v>3351</v>
      </c>
      <c r="J38" s="451" t="str">
        <f>"_x0007_`COD|D01317_x0005_`QTY1|1_x0005_`BQC|공통4-3-4_x0005_`EQC|_x0005_`JDC|_x0005_`WQC|_x0005_`EDT|_x0005_`ADJ|F_x0005_`DET|"&amp;ROW(단가산출근거!A2155)&amp;"_x0005_`"</f>
        <v>_x0007_`COD|D01317_x0005_`QTY1|1_x0005_`BQC|공통4-3-4_x0005_`EQC|_x0005_`JDC|_x0005_`WQC|_x0005_`EDT|_x0005_`ADJ|F_x0005_`DET|2155_x0005_`</v>
      </c>
      <c r="K38" s="433" t="str">
        <f ca="1">HYPERLINK("#"&amp;단가산출근거!G2&amp;"!A"&amp;ROW(단가산출근거!A2155),"D01317 →")</f>
        <v>D01317 →</v>
      </c>
    </row>
    <row r="39" spans="1:11" ht="23.1" customHeight="1">
      <c r="A39" s="460" t="s">
        <v>1861</v>
      </c>
      <c r="B39" s="452" t="s">
        <v>1812</v>
      </c>
      <c r="C39" s="452" t="s">
        <v>1851</v>
      </c>
      <c r="D39" s="460" t="s">
        <v>1799</v>
      </c>
      <c r="E39" s="446">
        <f>단가산출근거!C2304</f>
        <v>109559</v>
      </c>
      <c r="F39" s="453">
        <f>단가산출근거!D2304</f>
        <v>67492</v>
      </c>
      <c r="G39" s="454">
        <f>단가산출근거!E2304</f>
        <v>35062</v>
      </c>
      <c r="H39" s="446">
        <f>단가산출근거!F2304</f>
        <v>7005</v>
      </c>
      <c r="I39" s="482" t="s">
        <v>3351</v>
      </c>
      <c r="J39" s="451" t="str">
        <f>"_x0007_`COD|D01319_x0005_`QTY1|1_x0005_`BQC|공통4-3-4_x0005_`EQC|_x0005_`JDC|_x0005_`WQC|_x0005_`EDT|_x0005_`ADJ|F_x0005_`DET|"&amp;ROW(단가산출근거!A2205)&amp;"_x0005_`"</f>
        <v>_x0007_`COD|D01319_x0005_`QTY1|1_x0005_`BQC|공통4-3-4_x0005_`EQC|_x0005_`JDC|_x0005_`WQC|_x0005_`EDT|_x0005_`ADJ|F_x0005_`DET|2205_x0005_`</v>
      </c>
      <c r="K39" s="433" t="str">
        <f ca="1">HYPERLINK("#"&amp;단가산출근거!G2&amp;"!A"&amp;ROW(단가산출근거!A2205),"D01319 →")</f>
        <v>D01319 →</v>
      </c>
    </row>
    <row r="40" spans="1:11" ht="23.1" customHeight="1">
      <c r="A40" s="460" t="s">
        <v>1805</v>
      </c>
      <c r="B40" s="452" t="s">
        <v>1803</v>
      </c>
      <c r="C40" s="452" t="s">
        <v>1804</v>
      </c>
      <c r="D40" s="460" t="s">
        <v>1799</v>
      </c>
      <c r="E40" s="446">
        <f>단가산출근거!C2354</f>
        <v>55131</v>
      </c>
      <c r="F40" s="453">
        <f>단가산출근거!D2354</f>
        <v>42831</v>
      </c>
      <c r="G40" s="454">
        <f>단가산출근거!E2354</f>
        <v>12300</v>
      </c>
      <c r="H40" s="446">
        <f>단가산출근거!F2354</f>
        <v>0</v>
      </c>
      <c r="I40" s="482" t="s">
        <v>3350</v>
      </c>
      <c r="J40" s="451" t="str">
        <f>"_x0007_`COD|D01304_x0005_`QTY1|1_x0005_`BQC|공통4-3-5_x0005_`EQC|_x0005_`JDC|_x0005_`WQC|_x0005_`EDT|_x0005_`ADJ|F_x0005_`DET|"&amp;ROW(단가산출근거!A2305)&amp;"_x0005_`"</f>
        <v>_x0007_`COD|D01304_x0005_`QTY1|1_x0005_`BQC|공통4-3-5_x0005_`EQC|_x0005_`JDC|_x0005_`WQC|_x0005_`EDT|_x0005_`ADJ|F_x0005_`DET|2305_x0005_`</v>
      </c>
      <c r="K40" s="433" t="str">
        <f ca="1">HYPERLINK("#"&amp;단가산출근거!G2&amp;"!A"&amp;ROW(단가산출근거!A2305),"D01304 →")</f>
        <v>D01304 →</v>
      </c>
    </row>
    <row r="41" spans="1:11" ht="23.1" customHeight="1">
      <c r="A41" s="460" t="s">
        <v>1809</v>
      </c>
      <c r="B41" s="452" t="s">
        <v>1803</v>
      </c>
      <c r="C41" s="452" t="s">
        <v>1808</v>
      </c>
      <c r="D41" s="460" t="s">
        <v>1799</v>
      </c>
      <c r="E41" s="446">
        <f>단가산출근거!C2404</f>
        <v>101663</v>
      </c>
      <c r="F41" s="453">
        <f>단가산출근거!D2404</f>
        <v>85663</v>
      </c>
      <c r="G41" s="454">
        <f>단가산출근거!E2404</f>
        <v>16000</v>
      </c>
      <c r="H41" s="446">
        <f>단가산출근거!F2404</f>
        <v>0</v>
      </c>
      <c r="I41" s="482" t="s">
        <v>3350</v>
      </c>
      <c r="J41" s="451" t="str">
        <f>"_x0007_`COD|D01306_x0005_`QTY1|1_x0005_`BQC|공통4-3-5_x0005_`EQC|_x0005_`JDC|_x0005_`WQC|_x0005_`EDT|_x0005_`ADJ|F_x0005_`DET|"&amp;ROW(단가산출근거!A2355)&amp;"_x0005_`"</f>
        <v>_x0007_`COD|D01306_x0005_`QTY1|1_x0005_`BQC|공통4-3-5_x0005_`EQC|_x0005_`JDC|_x0005_`WQC|_x0005_`EDT|_x0005_`ADJ|F_x0005_`DET|2355_x0005_`</v>
      </c>
      <c r="K41" s="433" t="str">
        <f ca="1">HYPERLINK("#"&amp;단가산출근거!G2&amp;"!A"&amp;ROW(단가산출근거!A2355),"D01306 →")</f>
        <v>D01306 →</v>
      </c>
    </row>
    <row r="42" spans="1:11" ht="23.1" customHeight="1">
      <c r="A42" s="460" t="s">
        <v>1844</v>
      </c>
      <c r="B42" s="452" t="s">
        <v>1803</v>
      </c>
      <c r="C42" s="452" t="s">
        <v>1843</v>
      </c>
      <c r="D42" s="460" t="s">
        <v>1799</v>
      </c>
      <c r="E42" s="446">
        <f>단가산출근거!C2454</f>
        <v>41923</v>
      </c>
      <c r="F42" s="453">
        <f>단가산출근거!D2454</f>
        <v>32123</v>
      </c>
      <c r="G42" s="454">
        <f>단가산출근거!E2454</f>
        <v>9800</v>
      </c>
      <c r="H42" s="446">
        <f>단가산출근거!F2454</f>
        <v>0</v>
      </c>
      <c r="I42" s="482" t="s">
        <v>3351</v>
      </c>
      <c r="J42" s="451" t="str">
        <f>"_x0007_`COD|D01314_x0005_`QTY1|1_x0005_`BQC|공통4-3-4_x0005_`EQC|_x0005_`JDC|_x0005_`WQC|_x0005_`EDT|_x0005_`ADJ|F_x0005_`DET|"&amp;ROW(단가산출근거!A2405)&amp;"_x0005_`"</f>
        <v>_x0007_`COD|D01314_x0005_`QTY1|1_x0005_`BQC|공통4-3-4_x0005_`EQC|_x0005_`JDC|_x0005_`WQC|_x0005_`EDT|_x0005_`ADJ|F_x0005_`DET|2405_x0005_`</v>
      </c>
      <c r="K42" s="433" t="str">
        <f ca="1">HYPERLINK("#"&amp;단가산출근거!G2&amp;"!A"&amp;ROW(단가산출근거!A2405),"D01314 →")</f>
        <v>D01314 →</v>
      </c>
    </row>
    <row r="43" spans="1:11" ht="23.1" customHeight="1">
      <c r="A43" s="460" t="s">
        <v>1848</v>
      </c>
      <c r="B43" s="452" t="s">
        <v>1803</v>
      </c>
      <c r="C43" s="452" t="s">
        <v>1847</v>
      </c>
      <c r="D43" s="460" t="s">
        <v>1799</v>
      </c>
      <c r="E43" s="446">
        <f>단가산출근거!C2504</f>
        <v>76547</v>
      </c>
      <c r="F43" s="453">
        <f>단가산출근거!D2504</f>
        <v>64247</v>
      </c>
      <c r="G43" s="454">
        <f>단가산출근거!E2504</f>
        <v>12300</v>
      </c>
      <c r="H43" s="446">
        <f>단가산출근거!F2504</f>
        <v>0</v>
      </c>
      <c r="I43" s="482" t="s">
        <v>3351</v>
      </c>
      <c r="J43" s="451" t="str">
        <f>"_x0007_`COD|D01316_x0005_`QTY1|1_x0005_`BQC|공통4-3-4_x0005_`EQC|_x0005_`JDC|_x0005_`WQC|_x0005_`EDT|_x0005_`ADJ|F_x0005_`DET|"&amp;ROW(단가산출근거!A2455)&amp;"_x0005_`"</f>
        <v>_x0007_`COD|D01316_x0005_`QTY1|1_x0005_`BQC|공통4-3-4_x0005_`EQC|_x0005_`JDC|_x0005_`WQC|_x0005_`EDT|_x0005_`ADJ|F_x0005_`DET|2455_x0005_`</v>
      </c>
      <c r="K43" s="433" t="str">
        <f ca="1">HYPERLINK("#"&amp;단가산출근거!G2&amp;"!A"&amp;ROW(단가산출근거!A2455),"D01316 →")</f>
        <v>D01316 →</v>
      </c>
    </row>
    <row r="44" spans="1:11" ht="23.1" customHeight="1">
      <c r="A44" s="460" t="s">
        <v>1852</v>
      </c>
      <c r="B44" s="452" t="s">
        <v>1803</v>
      </c>
      <c r="C44" s="452" t="s">
        <v>1851</v>
      </c>
      <c r="D44" s="460" t="s">
        <v>1799</v>
      </c>
      <c r="E44" s="446">
        <f>단가산출근거!C2554</f>
        <v>135479</v>
      </c>
      <c r="F44" s="453">
        <f>단가산출근거!D2554</f>
        <v>107079</v>
      </c>
      <c r="G44" s="454">
        <f>단가산출근거!E2554</f>
        <v>28400</v>
      </c>
      <c r="H44" s="446">
        <f>단가산출근거!F2554</f>
        <v>0</v>
      </c>
      <c r="I44" s="482" t="s">
        <v>3351</v>
      </c>
      <c r="J44" s="451" t="str">
        <f>"_x0007_`COD|D01318_x0005_`QTY1|1_x0005_`BQC|공통4-3-4_x0005_`EQC|_x0005_`JDC|_x0005_`WQC|_x0005_`EDT|_x0005_`ADJ|F_x0005_`DET|"&amp;ROW(단가산출근거!A2505)&amp;"_x0005_`"</f>
        <v>_x0007_`COD|D01318_x0005_`QTY1|1_x0005_`BQC|공통4-3-4_x0005_`EQC|_x0005_`JDC|_x0005_`WQC|_x0005_`EDT|_x0005_`ADJ|F_x0005_`DET|2505_x0005_`</v>
      </c>
      <c r="K44" s="433" t="str">
        <f ca="1">HYPERLINK("#"&amp;단가산출근거!G2&amp;"!A"&amp;ROW(단가산출근거!A2505),"D01318 →")</f>
        <v>D01318 →</v>
      </c>
    </row>
    <row r="45" spans="1:11" ht="23.1" customHeight="1">
      <c r="A45" s="460" t="s">
        <v>5314</v>
      </c>
      <c r="B45" s="452" t="s">
        <v>5313</v>
      </c>
      <c r="C45" s="452" t="s">
        <v>1804</v>
      </c>
      <c r="D45" s="460" t="s">
        <v>1799</v>
      </c>
      <c r="E45" s="446">
        <f>단가산출근거!C2604</f>
        <v>61556</v>
      </c>
      <c r="F45" s="453">
        <f>단가산출근거!D2604</f>
        <v>49256</v>
      </c>
      <c r="G45" s="454">
        <f>단가산출근거!E2604</f>
        <v>12300</v>
      </c>
      <c r="H45" s="446">
        <f>단가산출근거!F2604</f>
        <v>0</v>
      </c>
      <c r="I45" s="482" t="s">
        <v>3350</v>
      </c>
      <c r="J45" s="451" t="str">
        <f>"_x0007_`COD|D01346_x0005_`QTY1|1_x0005_`BQC|공통4-3-5_x0005_`EQC|_x0005_`JDC|_x0005_`WQC|_x0005_`EDT|_x0005_`ADJ|F_x0005_`DET|"&amp;ROW(단가산출근거!A2555)&amp;"_x0005_`"</f>
        <v>_x0007_`COD|D01346_x0005_`QTY1|1_x0005_`BQC|공통4-3-5_x0005_`EQC|_x0005_`JDC|_x0005_`WQC|_x0005_`EDT|_x0005_`ADJ|F_x0005_`DET|2555_x0005_`</v>
      </c>
      <c r="K45" s="433" t="str">
        <f ca="1">HYPERLINK("#"&amp;단가산출근거!G2&amp;"!A"&amp;ROW(단가산출근거!A2555),"D01346 →")</f>
        <v>D01346 →</v>
      </c>
    </row>
    <row r="46" spans="1:11" ht="23.1" customHeight="1">
      <c r="A46" s="460" t="s">
        <v>5317</v>
      </c>
      <c r="B46" s="452" t="s">
        <v>5313</v>
      </c>
      <c r="C46" s="452" t="s">
        <v>1808</v>
      </c>
      <c r="D46" s="460" t="s">
        <v>1799</v>
      </c>
      <c r="E46" s="446">
        <f>단가산출근거!C2654</f>
        <v>114512</v>
      </c>
      <c r="F46" s="453">
        <f>단가산출근거!D2654</f>
        <v>98512</v>
      </c>
      <c r="G46" s="454">
        <f>단가산출근거!E2654</f>
        <v>16000</v>
      </c>
      <c r="H46" s="446">
        <f>단가산출근거!F2654</f>
        <v>0</v>
      </c>
      <c r="I46" s="482" t="s">
        <v>3350</v>
      </c>
      <c r="J46" s="451" t="str">
        <f>"_x0007_`COD|D01347_x0005_`QTY1|1_x0005_`BQC|공통4-3-5_x0005_`EQC|_x0005_`JDC|_x0005_`WQC|_x0005_`EDT|_x0005_`ADJ|F_x0005_`DET|"&amp;ROW(단가산출근거!A2605)&amp;"_x0005_`"</f>
        <v>_x0007_`COD|D01347_x0005_`QTY1|1_x0005_`BQC|공통4-3-5_x0005_`EQC|_x0005_`JDC|_x0005_`WQC|_x0005_`EDT|_x0005_`ADJ|F_x0005_`DET|2605_x0005_`</v>
      </c>
      <c r="K46" s="433" t="str">
        <f ca="1">HYPERLINK("#"&amp;단가산출근거!G2&amp;"!A"&amp;ROW(단가산출근거!A2605),"D01347 →")</f>
        <v>D01347 →</v>
      </c>
    </row>
    <row r="47" spans="1:11" ht="23.1" customHeight="1">
      <c r="A47" s="460" t="s">
        <v>5327</v>
      </c>
      <c r="B47" s="452" t="s">
        <v>5313</v>
      </c>
      <c r="C47" s="452" t="s">
        <v>1843</v>
      </c>
      <c r="D47" s="460" t="s">
        <v>1799</v>
      </c>
      <c r="E47" s="446">
        <f>단가산출근거!C2704</f>
        <v>46742</v>
      </c>
      <c r="F47" s="453">
        <f>단가산출근거!D2704</f>
        <v>36942</v>
      </c>
      <c r="G47" s="454">
        <f>단가산출근거!E2704</f>
        <v>9800</v>
      </c>
      <c r="H47" s="446">
        <f>단가산출근거!F2704</f>
        <v>0</v>
      </c>
      <c r="I47" s="482" t="s">
        <v>3351</v>
      </c>
      <c r="J47" s="451" t="str">
        <f>"_x0007_`COD|D01348_x0005_`QTY1|1_x0005_`BQC|공통4-3-4_x0005_`EQC|_x0005_`JDC|_x0005_`WQC|_x0005_`EDT|_x0005_`ADJ|F_x0005_`DET|"&amp;ROW(단가산출근거!A2655)&amp;"_x0005_`"</f>
        <v>_x0007_`COD|D01348_x0005_`QTY1|1_x0005_`BQC|공통4-3-4_x0005_`EQC|_x0005_`JDC|_x0005_`WQC|_x0005_`EDT|_x0005_`ADJ|F_x0005_`DET|2655_x0005_`</v>
      </c>
      <c r="K47" s="433" t="str">
        <f ca="1">HYPERLINK("#"&amp;단가산출근거!G2&amp;"!A"&amp;ROW(단가산출근거!A2655),"D01348 →")</f>
        <v>D01348 →</v>
      </c>
    </row>
    <row r="48" spans="1:11" ht="23.1" customHeight="1">
      <c r="A48" s="460" t="s">
        <v>5330</v>
      </c>
      <c r="B48" s="452" t="s">
        <v>5313</v>
      </c>
      <c r="C48" s="452" t="s">
        <v>1847</v>
      </c>
      <c r="D48" s="460" t="s">
        <v>1799</v>
      </c>
      <c r="E48" s="446">
        <f>단가산출근거!C2754</f>
        <v>86184</v>
      </c>
      <c r="F48" s="453">
        <f>단가산출근거!D2754</f>
        <v>73884</v>
      </c>
      <c r="G48" s="454">
        <f>단가산출근거!E2754</f>
        <v>12300</v>
      </c>
      <c r="H48" s="446">
        <f>단가산출근거!F2754</f>
        <v>0</v>
      </c>
      <c r="I48" s="482" t="s">
        <v>3351</v>
      </c>
      <c r="J48" s="451" t="str">
        <f>"_x0007_`COD|D01349_x0005_`QTY1|1_x0005_`BQC|공통4-3-4_x0005_`EQC|_x0005_`JDC|_x0005_`WQC|_x0005_`EDT|_x0005_`ADJ|F_x0005_`DET|"&amp;ROW(단가산출근거!A2705)&amp;"_x0005_`"</f>
        <v>_x0007_`COD|D01349_x0005_`QTY1|1_x0005_`BQC|공통4-3-4_x0005_`EQC|_x0005_`JDC|_x0005_`WQC|_x0005_`EDT|_x0005_`ADJ|F_x0005_`DET|2705_x0005_`</v>
      </c>
      <c r="K48" s="433" t="str">
        <f ca="1">HYPERLINK("#"&amp;단가산출근거!G2&amp;"!A"&amp;ROW(단가산출근거!A2705),"D01349 →")</f>
        <v>D01349 →</v>
      </c>
    </row>
    <row r="49" spans="1:11" ht="23.1" customHeight="1">
      <c r="A49" s="460" t="s">
        <v>5333</v>
      </c>
      <c r="B49" s="452" t="s">
        <v>5313</v>
      </c>
      <c r="C49" s="452" t="s">
        <v>1851</v>
      </c>
      <c r="D49" s="460" t="s">
        <v>1799</v>
      </c>
      <c r="E49" s="446">
        <f>단가산출근거!C2804</f>
        <v>151541</v>
      </c>
      <c r="F49" s="453">
        <f>단가산출근거!D2804</f>
        <v>123141</v>
      </c>
      <c r="G49" s="454">
        <f>단가산출근거!E2804</f>
        <v>28400</v>
      </c>
      <c r="H49" s="446">
        <f>단가산출근거!F2804</f>
        <v>0</v>
      </c>
      <c r="I49" s="482" t="s">
        <v>3351</v>
      </c>
      <c r="J49" s="451" t="str">
        <f>"_x0007_`COD|D01350_x0005_`QTY1|1_x0005_`BQC|공통4-3-4_x0005_`EQC|_x0005_`JDC|_x0005_`WQC|_x0005_`EDT|_x0005_`ADJ|F_x0005_`DET|"&amp;ROW(단가산출근거!A2755)&amp;"_x0005_`"</f>
        <v>_x0007_`COD|D01350_x0005_`QTY1|1_x0005_`BQC|공통4-3-4_x0005_`EQC|_x0005_`JDC|_x0005_`WQC|_x0005_`EDT|_x0005_`ADJ|F_x0005_`DET|2755_x0005_`</v>
      </c>
      <c r="K49" s="433" t="str">
        <f ca="1">HYPERLINK("#"&amp;단가산출근거!G2&amp;"!A"&amp;ROW(단가산출근거!A2755),"D01350 →")</f>
        <v>D01350 →</v>
      </c>
    </row>
    <row r="50" spans="1:11" ht="23.1" customHeight="1">
      <c r="A50" s="460" t="s">
        <v>5321</v>
      </c>
      <c r="B50" s="452" t="s">
        <v>5320</v>
      </c>
      <c r="C50" s="452" t="s">
        <v>1804</v>
      </c>
      <c r="D50" s="460" t="s">
        <v>1799</v>
      </c>
      <c r="E50" s="446">
        <f>단가산출근거!C2854</f>
        <v>65839</v>
      </c>
      <c r="F50" s="453">
        <f>단가산출근거!D2854</f>
        <v>53539</v>
      </c>
      <c r="G50" s="454">
        <f>단가산출근거!E2854</f>
        <v>12300</v>
      </c>
      <c r="H50" s="446">
        <f>단가산출근거!F2854</f>
        <v>0</v>
      </c>
      <c r="I50" s="482" t="s">
        <v>3350</v>
      </c>
      <c r="J50" s="451" t="str">
        <f>"_x0007_`COD|D01320_x0005_`QTY1|1_x0005_`BQC|공통4-3-5_x0005_`EQC|_x0005_`JDC|_x0005_`WQC|_x0005_`EDT|_x0005_`ADJ|F_x0005_`DET|"&amp;ROW(단가산출근거!A2805)&amp;"_x0005_`"</f>
        <v>_x0007_`COD|D01320_x0005_`QTY1|1_x0005_`BQC|공통4-3-5_x0005_`EQC|_x0005_`JDC|_x0005_`WQC|_x0005_`EDT|_x0005_`ADJ|F_x0005_`DET|2805_x0005_`</v>
      </c>
      <c r="K50" s="433" t="str">
        <f ca="1">HYPERLINK("#"&amp;단가산출근거!G2&amp;"!A"&amp;ROW(단가산출근거!A2805),"D01320 →")</f>
        <v>D01320 →</v>
      </c>
    </row>
    <row r="51" spans="1:11" ht="23.1" customHeight="1">
      <c r="A51" s="460" t="s">
        <v>5324</v>
      </c>
      <c r="B51" s="452" t="s">
        <v>5320</v>
      </c>
      <c r="C51" s="452" t="s">
        <v>1808</v>
      </c>
      <c r="D51" s="460" t="s">
        <v>1799</v>
      </c>
      <c r="E51" s="446">
        <f>단가산출근거!C2904</f>
        <v>123079</v>
      </c>
      <c r="F51" s="453">
        <f>단가산출근거!D2904</f>
        <v>107079</v>
      </c>
      <c r="G51" s="454">
        <f>단가산출근거!E2904</f>
        <v>16000</v>
      </c>
      <c r="H51" s="446">
        <f>단가산출근거!F2904</f>
        <v>0</v>
      </c>
      <c r="I51" s="482" t="s">
        <v>3350</v>
      </c>
      <c r="J51" s="451" t="str">
        <f>"_x0007_`COD|D01321_x0005_`QTY1|1_x0005_`BQC|공통4-3-5_x0005_`EQC|_x0005_`JDC|_x0005_`WQC|_x0005_`EDT|_x0005_`ADJ|F_x0005_`DET|"&amp;ROW(단가산출근거!A2855)&amp;"_x0005_`"</f>
        <v>_x0007_`COD|D01321_x0005_`QTY1|1_x0005_`BQC|공통4-3-5_x0005_`EQC|_x0005_`JDC|_x0005_`WQC|_x0005_`EDT|_x0005_`ADJ|F_x0005_`DET|2855_x0005_`</v>
      </c>
      <c r="K51" s="433" t="str">
        <f ca="1">HYPERLINK("#"&amp;단가산출근거!G2&amp;"!A"&amp;ROW(단가산출근거!A2855),"D01321 →")</f>
        <v>D01321 →</v>
      </c>
    </row>
    <row r="52" spans="1:11" ht="23.1" customHeight="1">
      <c r="A52" s="460" t="s">
        <v>5336</v>
      </c>
      <c r="B52" s="452" t="s">
        <v>5320</v>
      </c>
      <c r="C52" s="452" t="s">
        <v>1843</v>
      </c>
      <c r="D52" s="460" t="s">
        <v>1799</v>
      </c>
      <c r="E52" s="446">
        <f>단가산출근거!C2954</f>
        <v>49954</v>
      </c>
      <c r="F52" s="453">
        <f>단가산출근거!D2954</f>
        <v>40154</v>
      </c>
      <c r="G52" s="454">
        <f>단가산출근거!E2954</f>
        <v>9800</v>
      </c>
      <c r="H52" s="446">
        <f>단가산출근거!F2954</f>
        <v>0</v>
      </c>
      <c r="I52" s="482" t="s">
        <v>3351</v>
      </c>
      <c r="J52" s="451" t="str">
        <f>"_x0007_`COD|D01322_x0005_`QTY1|1_x0005_`BQC|공통4-3-4_x0005_`EQC|_x0005_`JDC|_x0005_`WQC|_x0005_`EDT|_x0005_`ADJ|F_x0005_`DET|"&amp;ROW(단가산출근거!A2905)&amp;"_x0005_`"</f>
        <v>_x0007_`COD|D01322_x0005_`QTY1|1_x0005_`BQC|공통4-3-4_x0005_`EQC|_x0005_`JDC|_x0005_`WQC|_x0005_`EDT|_x0005_`ADJ|F_x0005_`DET|2905_x0005_`</v>
      </c>
      <c r="K52" s="433" t="str">
        <f ca="1">HYPERLINK("#"&amp;단가산출근거!G2&amp;"!A"&amp;ROW(단가산출근거!A2905),"D01322 →")</f>
        <v>D01322 →</v>
      </c>
    </row>
    <row r="53" spans="1:11" ht="23.1" customHeight="1">
      <c r="A53" s="460" t="s">
        <v>5339</v>
      </c>
      <c r="B53" s="452" t="s">
        <v>5320</v>
      </c>
      <c r="C53" s="452" t="s">
        <v>1847</v>
      </c>
      <c r="D53" s="460" t="s">
        <v>1799</v>
      </c>
      <c r="E53" s="446">
        <f>단가산출근거!C3004</f>
        <v>92609</v>
      </c>
      <c r="F53" s="453">
        <f>단가산출근거!D3004</f>
        <v>80309</v>
      </c>
      <c r="G53" s="454">
        <f>단가산출근거!E3004</f>
        <v>12300</v>
      </c>
      <c r="H53" s="446">
        <f>단가산출근거!F3004</f>
        <v>0</v>
      </c>
      <c r="I53" s="482" t="s">
        <v>3351</v>
      </c>
      <c r="J53" s="451" t="str">
        <f>"_x0007_`COD|D01323_x0005_`QTY1|1_x0005_`BQC|공통4-3-4_x0005_`EQC|_x0005_`JDC|_x0005_`WQC|_x0005_`EDT|_x0005_`ADJ|F_x0005_`DET|"&amp;ROW(단가산출근거!A2955)&amp;"_x0005_`"</f>
        <v>_x0007_`COD|D01323_x0005_`QTY1|1_x0005_`BQC|공통4-3-4_x0005_`EQC|_x0005_`JDC|_x0005_`WQC|_x0005_`EDT|_x0005_`ADJ|F_x0005_`DET|2955_x0005_`</v>
      </c>
      <c r="K53" s="433" t="str">
        <f ca="1">HYPERLINK("#"&amp;단가산출근거!G2&amp;"!A"&amp;ROW(단가산출근거!A2955),"D01323 →")</f>
        <v>D01323 →</v>
      </c>
    </row>
    <row r="54" spans="1:11" ht="23.1" customHeight="1">
      <c r="A54" s="460" t="s">
        <v>5342</v>
      </c>
      <c r="B54" s="452" t="s">
        <v>5320</v>
      </c>
      <c r="C54" s="452" t="s">
        <v>1851</v>
      </c>
      <c r="D54" s="460" t="s">
        <v>1799</v>
      </c>
      <c r="E54" s="446">
        <f>단가산출근거!C3054</f>
        <v>162249</v>
      </c>
      <c r="F54" s="453">
        <f>단가산출근거!D3054</f>
        <v>133849</v>
      </c>
      <c r="G54" s="454">
        <f>단가산출근거!E3054</f>
        <v>28400</v>
      </c>
      <c r="H54" s="446">
        <f>단가산출근거!F3054</f>
        <v>0</v>
      </c>
      <c r="I54" s="482" t="s">
        <v>3351</v>
      </c>
      <c r="J54" s="451" t="str">
        <f>"_x0007_`COD|D01324_x0005_`QTY1|1_x0005_`BQC|공통4-3-4_x0005_`EQC|_x0005_`JDC|_x0005_`WQC|_x0005_`EDT|_x0005_`ADJ|F_x0005_`DET|"&amp;ROW(단가산출근거!A3005)&amp;"_x0005_`"</f>
        <v>_x0007_`COD|D01324_x0005_`QTY1|1_x0005_`BQC|공통4-3-4_x0005_`EQC|_x0005_`JDC|_x0005_`WQC|_x0005_`EDT|_x0005_`ADJ|F_x0005_`DET|3005_x0005_`</v>
      </c>
      <c r="K54" s="433" t="str">
        <f ca="1">HYPERLINK("#"&amp;단가산출근거!G2&amp;"!A"&amp;ROW(단가산출근거!A3005),"D01324 →")</f>
        <v>D01324 →</v>
      </c>
    </row>
    <row r="55" spans="1:11" ht="23.1" customHeight="1">
      <c r="A55" s="460" t="s">
        <v>3352</v>
      </c>
      <c r="B55" s="452" t="s">
        <v>2715</v>
      </c>
      <c r="C55" s="452" t="s">
        <v>2716</v>
      </c>
      <c r="D55" s="460" t="s">
        <v>8</v>
      </c>
      <c r="E55" s="446">
        <f>단가산출근거!C3154</f>
        <v>12430</v>
      </c>
      <c r="F55" s="453">
        <f>단가산출근거!D3154</f>
        <v>11169</v>
      </c>
      <c r="G55" s="454">
        <f>단가산출근거!E3154</f>
        <v>725</v>
      </c>
      <c r="H55" s="446">
        <f>단가산출근거!F3154</f>
        <v>536</v>
      </c>
      <c r="I55" s="482" t="s">
        <v>3353</v>
      </c>
      <c r="J55" s="451" t="str">
        <f>"_x0007_`COD|D00784_x0005_`QTY1|1_x0005_`BQC|산림8-13_x0005_`EQC|_x0005_`JDC|_x0005_`WQC|_x0005_`EDT|_x0005_`ADJ|F_x0005_`DET|"&amp;ROW(단가산출근거!A3055)&amp;"_x0005_`"</f>
        <v>_x0007_`COD|D00784_x0005_`QTY1|1_x0005_`BQC|산림8-13_x0005_`EQC|_x0005_`JDC|_x0005_`WQC|_x0005_`EDT|_x0005_`ADJ|F_x0005_`DET|3055_x0005_`</v>
      </c>
      <c r="K55" s="433" t="str">
        <f ca="1">HYPERLINK("#"&amp;단가산출근거!G2&amp;"!A"&amp;ROW(단가산출근거!A3055),"D00784 →")</f>
        <v>D00784 →</v>
      </c>
    </row>
    <row r="56" spans="1:11" ht="23.1" customHeight="1">
      <c r="A56" s="460" t="s">
        <v>3354</v>
      </c>
      <c r="B56" s="452" t="s">
        <v>2720</v>
      </c>
      <c r="C56" s="452" t="s">
        <v>2721</v>
      </c>
      <c r="D56" s="460" t="s">
        <v>8</v>
      </c>
      <c r="E56" s="446">
        <f>단가산출근거!C3204</f>
        <v>1814</v>
      </c>
      <c r="F56" s="453">
        <f>단가산출근거!D3204</f>
        <v>1039</v>
      </c>
      <c r="G56" s="454">
        <f>단가산출근거!E3204</f>
        <v>343</v>
      </c>
      <c r="H56" s="446">
        <f>단가산출근거!F3204</f>
        <v>432</v>
      </c>
      <c r="I56" s="482"/>
      <c r="J56" s="451" t="str">
        <f>"_x0007_`COD|D00787_x0005_`QTY1|1_x0005_`BQC|_x0005_`EQC|_x0005_`JDC|_x0005_`WQC|_x0005_`EDT|_x0005_`ADJ|F_x0005_`DET|"&amp;ROW(단가산출근거!A3155)&amp;"_x0005_`"</f>
        <v>_x0007_`COD|D00787_x0005_`QTY1|1_x0005_`BQC|_x0005_`EQC|_x0005_`JDC|_x0005_`WQC|_x0005_`EDT|_x0005_`ADJ|F_x0005_`DET|3155_x0005_`</v>
      </c>
      <c r="K56" s="433" t="str">
        <f ca="1">HYPERLINK("#"&amp;단가산출근거!G2&amp;"!A"&amp;ROW(단가산출근거!A3155),"D00787 →")</f>
        <v>D00787 →</v>
      </c>
    </row>
    <row r="57" spans="1:11" ht="23.1" customHeight="1">
      <c r="A57" s="460" t="s">
        <v>3355</v>
      </c>
      <c r="B57" s="452" t="s">
        <v>2710</v>
      </c>
      <c r="C57" s="452" t="s">
        <v>3176</v>
      </c>
      <c r="D57" s="460" t="s">
        <v>8</v>
      </c>
      <c r="E57" s="446">
        <f>단가산출근거!C3254</f>
        <v>5311</v>
      </c>
      <c r="F57" s="453">
        <f>단가산출근거!D3254</f>
        <v>3147</v>
      </c>
      <c r="G57" s="454">
        <f>단가산출근거!E3254</f>
        <v>915</v>
      </c>
      <c r="H57" s="446">
        <f>단가산출근거!F3254</f>
        <v>1249</v>
      </c>
      <c r="I57" s="482" t="s">
        <v>3356</v>
      </c>
      <c r="J57" s="451" t="str">
        <f>"_x0007_`COD|D01302_x0005_`QTY1|1_x0005_`BQC|공통3-2-4_x0005_`EQC|_x0005_`JDC|_x0005_`WQC|_x0005_`EDT|_x0005_`ADJ|F_x0005_`DET|"&amp;ROW(단가산출근거!A3205)&amp;"_x0005_`"</f>
        <v>_x0007_`COD|D01302_x0005_`QTY1|1_x0005_`BQC|공통3-2-4_x0005_`EQC|_x0005_`JDC|_x0005_`WQC|_x0005_`EDT|_x0005_`ADJ|F_x0005_`DET|3205_x0005_`</v>
      </c>
      <c r="K57" s="433" t="str">
        <f ca="1">HYPERLINK("#"&amp;단가산출근거!G2&amp;"!A"&amp;ROW(단가산출근거!A3205),"D01302 →")</f>
        <v>D01302 →</v>
      </c>
    </row>
    <row r="58" spans="1:11" ht="23.1" customHeight="1">
      <c r="A58" s="460" t="s">
        <v>3357</v>
      </c>
      <c r="B58" s="452" t="s">
        <v>2710</v>
      </c>
      <c r="C58" s="452" t="s">
        <v>2716</v>
      </c>
      <c r="D58" s="460" t="s">
        <v>8</v>
      </c>
      <c r="E58" s="446">
        <f>단가산출근거!C3304</f>
        <v>6415</v>
      </c>
      <c r="F58" s="453">
        <f>단가산출근거!D3304</f>
        <v>5659</v>
      </c>
      <c r="G58" s="454">
        <f>단가산출근거!E3304</f>
        <v>335</v>
      </c>
      <c r="H58" s="446">
        <f>단가산출근거!F3304</f>
        <v>421</v>
      </c>
      <c r="I58" s="482" t="s">
        <v>3358</v>
      </c>
      <c r="J58" s="451" t="str">
        <f>"_x0007_`COD|D00783_x0005_`QTY1|1_x0005_`BQC|산림8-12_x0005_`EQC|_x0005_`JDC|_x0005_`WQC|_x0005_`EDT|_x0005_`ADJ|F_x0005_`DET|"&amp;ROW(단가산출근거!A3255)&amp;"_x0005_`"</f>
        <v>_x0007_`COD|D00783_x0005_`QTY1|1_x0005_`BQC|산림8-12_x0005_`EQC|_x0005_`JDC|_x0005_`WQC|_x0005_`EDT|_x0005_`ADJ|F_x0005_`DET|3255_x0005_`</v>
      </c>
      <c r="K58" s="433" t="str">
        <f ca="1">HYPERLINK("#"&amp;단가산출근거!G2&amp;"!A"&amp;ROW(단가산출근거!A3255),"D00783 →")</f>
        <v>D00783 →</v>
      </c>
    </row>
    <row r="59" spans="1:11" ht="23.1" customHeight="1">
      <c r="A59" s="460" t="s">
        <v>3359</v>
      </c>
      <c r="B59" s="452" t="s">
        <v>2710</v>
      </c>
      <c r="C59" s="452" t="s">
        <v>2711</v>
      </c>
      <c r="D59" s="460" t="s">
        <v>8</v>
      </c>
      <c r="E59" s="446">
        <f>단가산출근거!C3354</f>
        <v>7809</v>
      </c>
      <c r="F59" s="453">
        <f>단가산출근거!D3354</f>
        <v>7053</v>
      </c>
      <c r="G59" s="454">
        <f>단가산출근거!E3354</f>
        <v>335</v>
      </c>
      <c r="H59" s="446">
        <f>단가산출근거!F3354</f>
        <v>421</v>
      </c>
      <c r="I59" s="482" t="s">
        <v>3358</v>
      </c>
      <c r="J59" s="451" t="str">
        <f>"_x0007_`COD|D01272_x0005_`QTY1|1_x0005_`BQC|산림8-12_x0005_`EQC|_x0005_`JDC|_x0005_`WQC|_x0005_`EDT|_x0005_`ADJ|F_x0005_`DET|"&amp;ROW(단가산출근거!A3305)&amp;"_x0005_`"</f>
        <v>_x0007_`COD|D01272_x0005_`QTY1|1_x0005_`BQC|산림8-12_x0005_`EQC|_x0005_`JDC|_x0005_`WQC|_x0005_`EDT|_x0005_`ADJ|F_x0005_`DET|3305_x0005_`</v>
      </c>
      <c r="K59" s="433" t="str">
        <f ca="1">HYPERLINK("#"&amp;단가산출근거!G2&amp;"!A"&amp;ROW(단가산출근거!A3305),"D01272 →")</f>
        <v>D01272 →</v>
      </c>
    </row>
    <row r="60" spans="1:11" ht="23.1" customHeight="1">
      <c r="A60" s="460" t="s">
        <v>1473</v>
      </c>
      <c r="B60" s="452" t="s">
        <v>1471</v>
      </c>
      <c r="C60" s="452" t="s">
        <v>1472</v>
      </c>
      <c r="D60" s="460" t="s">
        <v>595</v>
      </c>
      <c r="E60" s="446">
        <f>단가산출근거!C3404</f>
        <v>65145</v>
      </c>
      <c r="F60" s="453">
        <f>단가산출근거!D3404</f>
        <v>55832</v>
      </c>
      <c r="G60" s="454">
        <f>단가산출근거!E3404</f>
        <v>8197</v>
      </c>
      <c r="H60" s="446">
        <f>단가산출근거!F3404</f>
        <v>1116</v>
      </c>
      <c r="I60" s="482"/>
      <c r="J60" s="451" t="str">
        <f>"_x0007_`COD|D01264_x0005_`QTY1|1_x0005_`BQC|_x0005_`EQC|_x0005_`JDC|_x0005_`WQC|_x0005_`EDT|_x0005_`ADJ|F_x0005_`DET|"&amp;ROW(단가산출근거!A3355)&amp;"_x0005_`"</f>
        <v>_x0007_`COD|D01264_x0005_`QTY1|1_x0005_`BQC|_x0005_`EQC|_x0005_`JDC|_x0005_`WQC|_x0005_`EDT|_x0005_`ADJ|F_x0005_`DET|3355_x0005_`</v>
      </c>
      <c r="K60" s="433" t="str">
        <f ca="1">HYPERLINK("#"&amp;단가산출근거!G2&amp;"!A"&amp;ROW(단가산출근거!A3355),"D01264 →")</f>
        <v>D01264 →</v>
      </c>
    </row>
    <row r="61" spans="1:11" ht="23.1" customHeight="1">
      <c r="A61" s="460" t="s">
        <v>3360</v>
      </c>
      <c r="B61" s="452" t="s">
        <v>3180</v>
      </c>
      <c r="C61" s="452" t="s">
        <v>3181</v>
      </c>
      <c r="D61" s="460" t="s">
        <v>8</v>
      </c>
      <c r="E61" s="446">
        <f>단가산출근거!C3454</f>
        <v>3113</v>
      </c>
      <c r="F61" s="453">
        <f>단가산출근거!D3454</f>
        <v>2546</v>
      </c>
      <c r="G61" s="454">
        <f>단가산출근거!E3454</f>
        <v>240</v>
      </c>
      <c r="H61" s="446">
        <f>단가산출근거!F3454</f>
        <v>327</v>
      </c>
      <c r="I61" s="482"/>
      <c r="J61" s="451" t="str">
        <f>"_x0007_`COD|D01303_x0005_`QTY1|1_x0005_`BQC|_x0005_`EQC|_x0005_`JDC|_x0005_`WQC|_x0005_`EDT|_x0005_`ADJ|F_x0005_`DET|"&amp;ROW(단가산출근거!A3405)&amp;"_x0005_`"</f>
        <v>_x0007_`COD|D01303_x0005_`QTY1|1_x0005_`BQC|_x0005_`EQC|_x0005_`JDC|_x0005_`WQC|_x0005_`EDT|_x0005_`ADJ|F_x0005_`DET|3405_x0005_`</v>
      </c>
      <c r="K61" s="433" t="str">
        <f ca="1">HYPERLINK("#"&amp;단가산출근거!G2&amp;"!A"&amp;ROW(단가산출근거!A3405),"D01303 →")</f>
        <v>D01303 →</v>
      </c>
    </row>
    <row r="62" spans="1:11" ht="23.1" customHeight="1">
      <c r="A62" s="460" t="s">
        <v>1302</v>
      </c>
      <c r="B62" s="452" t="s">
        <v>1300</v>
      </c>
      <c r="C62" s="452" t="s">
        <v>1301</v>
      </c>
      <c r="D62" s="460" t="s">
        <v>595</v>
      </c>
      <c r="E62" s="446">
        <f>단가산출근거!C3504</f>
        <v>722</v>
      </c>
      <c r="F62" s="453">
        <f>단가산출근거!D3504</f>
        <v>722</v>
      </c>
      <c r="G62" s="454">
        <f>단가산출근거!E3504</f>
        <v>0</v>
      </c>
      <c r="H62" s="446">
        <f>단가산출근거!F3504</f>
        <v>0</v>
      </c>
      <c r="I62" s="482" t="s">
        <v>3361</v>
      </c>
      <c r="J62" s="451" t="str">
        <f>"_x0007_`COD|D01212_x0005_`QTY1|1_x0005_`BQC|산림3-8_x0005_`EQC|_x0005_`JDC|_x0005_`WQC|_x0005_`EDT|_x0005_`ADJ|F_x0005_`DET|"&amp;ROW(단가산출근거!A3455)&amp;"_x0005_`"</f>
        <v>_x0007_`COD|D01212_x0005_`QTY1|1_x0005_`BQC|산림3-8_x0005_`EQC|_x0005_`JDC|_x0005_`WQC|_x0005_`EDT|_x0005_`ADJ|F_x0005_`DET|3455_x0005_`</v>
      </c>
      <c r="K62" s="433" t="str">
        <f ca="1">HYPERLINK("#"&amp;단가산출근거!G2&amp;"!A"&amp;ROW(단가산출근거!A3455),"D01212 →")</f>
        <v>D01212 →</v>
      </c>
    </row>
    <row r="63" spans="1:11" ht="23.1" customHeight="1">
      <c r="A63" s="460" t="s">
        <v>1648</v>
      </c>
      <c r="B63" s="452" t="s">
        <v>1646</v>
      </c>
      <c r="C63" s="452" t="s">
        <v>1647</v>
      </c>
      <c r="D63" s="460" t="s">
        <v>595</v>
      </c>
      <c r="E63" s="446">
        <f>단가산출근거!C3554</f>
        <v>2141</v>
      </c>
      <c r="F63" s="453">
        <f>단가산출근거!D3554</f>
        <v>2141</v>
      </c>
      <c r="G63" s="454">
        <f>단가산출근거!E3554</f>
        <v>0</v>
      </c>
      <c r="H63" s="446">
        <f>단가산출근거!F3554</f>
        <v>0</v>
      </c>
      <c r="I63" s="482" t="s">
        <v>3362</v>
      </c>
      <c r="J63" s="451" t="str">
        <f>"_x0007_`COD|D01215_x0005_`QTY1|1_x0005_`BQC|공통4-4-4_x0005_`EQC|_x0005_`JDC|_x0005_`WQC|_x0005_`EDT|_x0005_`ADJ|F_x0005_`DET|"&amp;ROW(단가산출근거!A3505)&amp;"_x0005_`"</f>
        <v>_x0007_`COD|D01215_x0005_`QTY1|1_x0005_`BQC|공통4-4-4_x0005_`EQC|_x0005_`JDC|_x0005_`WQC|_x0005_`EDT|_x0005_`ADJ|F_x0005_`DET|3505_x0005_`</v>
      </c>
      <c r="K63" s="433" t="str">
        <f ca="1">HYPERLINK("#"&amp;단가산출근거!G2&amp;"!A"&amp;ROW(단가산출근거!A3505),"D01215 →")</f>
        <v>D01215 →</v>
      </c>
    </row>
    <row r="64" spans="1:11" ht="23.1" customHeight="1">
      <c r="A64" s="460" t="s">
        <v>1652</v>
      </c>
      <c r="B64" s="452" t="s">
        <v>1646</v>
      </c>
      <c r="C64" s="452" t="s">
        <v>1651</v>
      </c>
      <c r="D64" s="460" t="s">
        <v>595</v>
      </c>
      <c r="E64" s="446">
        <f>단가산출근거!C3604</f>
        <v>1482</v>
      </c>
      <c r="F64" s="453">
        <f>단가산출근거!D3604</f>
        <v>1482</v>
      </c>
      <c r="G64" s="454">
        <f>단가산출근거!E3604</f>
        <v>0</v>
      </c>
      <c r="H64" s="446">
        <f>단가산출근거!F3604</f>
        <v>0</v>
      </c>
      <c r="I64" s="482" t="s">
        <v>3362</v>
      </c>
      <c r="J64" s="451" t="str">
        <f>"_x0007_`COD|D01214_x0005_`QTY1|1_x0005_`BQC|공통4-4-4_x0005_`EQC|_x0005_`JDC|_x0005_`WQC|_x0005_`EDT|_x0005_`ADJ|F_x0005_`DET|"&amp;ROW(단가산출근거!A3555)&amp;"_x0005_`"</f>
        <v>_x0007_`COD|D01214_x0005_`QTY1|1_x0005_`BQC|공통4-4-4_x0005_`EQC|_x0005_`JDC|_x0005_`WQC|_x0005_`EDT|_x0005_`ADJ|F_x0005_`DET|3555_x0005_`</v>
      </c>
      <c r="K64" s="433" t="str">
        <f ca="1">HYPERLINK("#"&amp;단가산출근거!G2&amp;"!A"&amp;ROW(단가산출근거!A3555),"D01214 →")</f>
        <v>D01214 →</v>
      </c>
    </row>
    <row r="65" spans="1:11" ht="23.1" customHeight="1">
      <c r="A65" s="460" t="s">
        <v>1279</v>
      </c>
      <c r="B65" s="452" t="s">
        <v>1277</v>
      </c>
      <c r="C65" s="452" t="s">
        <v>1278</v>
      </c>
      <c r="D65" s="460" t="s">
        <v>595</v>
      </c>
      <c r="E65" s="446">
        <f>단가산출근거!C3654</f>
        <v>915</v>
      </c>
      <c r="F65" s="453">
        <f>단가산출근거!D3654</f>
        <v>445</v>
      </c>
      <c r="G65" s="454">
        <f>단가산출근거!E3654</f>
        <v>247</v>
      </c>
      <c r="H65" s="446">
        <f>단가산출근거!F3654</f>
        <v>223</v>
      </c>
      <c r="I65" s="482" t="s">
        <v>3363</v>
      </c>
      <c r="J65" s="451" t="str">
        <f>"_x0007_`COD|D01274_x0005_`QTY1|1_x0005_`BQC|공통3-6-1_x0005_`EQC|_x0005_`JDC|_x0005_`WQC|_x0005_`EDT|_x0005_`ADJ|F_x0005_`DET|"&amp;ROW(단가산출근거!A3605)&amp;"_x0005_`"</f>
        <v>_x0007_`COD|D01274_x0005_`QTY1|1_x0005_`BQC|공통3-6-1_x0005_`EQC|_x0005_`JDC|_x0005_`WQC|_x0005_`EDT|_x0005_`ADJ|F_x0005_`DET|3605_x0005_`</v>
      </c>
      <c r="K65" s="433" t="str">
        <f ca="1">HYPERLINK("#"&amp;단가산출근거!G2&amp;"!A"&amp;ROW(단가산출근거!A3605),"D01274 →")</f>
        <v>D01274 →</v>
      </c>
    </row>
    <row r="66" spans="1:11" ht="23.1" customHeight="1">
      <c r="A66" s="460" t="s">
        <v>3364</v>
      </c>
      <c r="B66" s="452" t="s">
        <v>2874</v>
      </c>
      <c r="C66" s="452"/>
      <c r="D66" s="460" t="s">
        <v>595</v>
      </c>
      <c r="E66" s="446">
        <f>단가산출근거!C3754</f>
        <v>7628</v>
      </c>
      <c r="F66" s="453">
        <f>단가산출근거!D3754</f>
        <v>6371</v>
      </c>
      <c r="G66" s="454">
        <f>단가산출근거!E3754</f>
        <v>531</v>
      </c>
      <c r="H66" s="446">
        <f>단가산출근거!F3754</f>
        <v>726</v>
      </c>
      <c r="I66" s="482" t="s">
        <v>2314</v>
      </c>
      <c r="J66" s="451" t="str">
        <f>"_x0007_`COD|D01298_x0005_`QTY1|1_x0005_`BQC|공통4-1-4_x0005_`EQC|_x0005_`JDC|_x0005_`WQC|_x0005_`EDT|_x0005_`ADJ|F_x0005_`DET|"&amp;ROW(단가산출근거!A3655)&amp;"_x0005_`"</f>
        <v>_x0007_`COD|D01298_x0005_`QTY1|1_x0005_`BQC|공통4-1-4_x0005_`EQC|_x0005_`JDC|_x0005_`WQC|_x0005_`EDT|_x0005_`ADJ|F_x0005_`DET|3655_x0005_`</v>
      </c>
      <c r="K66" s="433" t="str">
        <f ca="1">HYPERLINK("#"&amp;단가산출근거!G2&amp;"!A"&amp;ROW(단가산출근거!A3655),"D01298 →")</f>
        <v>D01298 →</v>
      </c>
    </row>
    <row r="67" spans="1:11" ht="23.1" customHeight="1">
      <c r="A67" s="460" t="s">
        <v>3365</v>
      </c>
      <c r="B67" s="452" t="s">
        <v>2883</v>
      </c>
      <c r="C67" s="452" t="s">
        <v>2884</v>
      </c>
      <c r="D67" s="460" t="s">
        <v>2377</v>
      </c>
      <c r="E67" s="446">
        <f>단가산출근거!C3804</f>
        <v>16277</v>
      </c>
      <c r="F67" s="453">
        <f>단가산출근거!D3804</f>
        <v>16277</v>
      </c>
      <c r="G67" s="454">
        <f>단가산출근거!E3804</f>
        <v>0</v>
      </c>
      <c r="H67" s="446">
        <f>단가산출근거!F3804</f>
        <v>0</v>
      </c>
      <c r="I67" s="482" t="s">
        <v>2315</v>
      </c>
      <c r="J67" s="451" t="str">
        <f>"_x0007_`COD|D01055_x0005_`QTY1|1_x0005_`BQC|산림12-18_x0005_`EQC|_x0005_`JDC|_x0005_`WQC|_x0005_`EDT|_x0005_`ADJ|F_x0005_`DET|"&amp;ROW(단가산출근거!A3755)&amp;"_x0005_`"</f>
        <v>_x0007_`COD|D01055_x0005_`QTY1|1_x0005_`BQC|산림12-18_x0005_`EQC|_x0005_`JDC|_x0005_`WQC|_x0005_`EDT|_x0005_`ADJ|F_x0005_`DET|3755_x0005_`</v>
      </c>
      <c r="K67" s="433" t="str">
        <f ca="1">HYPERLINK("#"&amp;단가산출근거!G2&amp;"!A"&amp;ROW(단가산출근거!A3755),"D01055 →")</f>
        <v>D01055 →</v>
      </c>
    </row>
    <row r="68" spans="1:11" ht="23.1" customHeight="1">
      <c r="A68" s="460" t="s">
        <v>3366</v>
      </c>
      <c r="B68" s="452" t="s">
        <v>1578</v>
      </c>
      <c r="C68" s="452" t="s">
        <v>2322</v>
      </c>
      <c r="D68" s="460" t="s">
        <v>911</v>
      </c>
      <c r="E68" s="446">
        <f>단가산출근거!C3854</f>
        <v>7054</v>
      </c>
      <c r="F68" s="453">
        <f>단가산출근거!D3854</f>
        <v>7054</v>
      </c>
      <c r="G68" s="454">
        <f>단가산출근거!E3854</f>
        <v>0</v>
      </c>
      <c r="H68" s="446">
        <f>단가산출근거!F3854</f>
        <v>0</v>
      </c>
      <c r="I68" s="482" t="s">
        <v>2331</v>
      </c>
      <c r="J68" s="451" t="str">
        <f>"_x0007_`COD|D01226_x0005_`QTY1|1_x0005_`BQC|2024_x0005_`EQC|_x0005_`JDC|_x0005_`WQC|_x0005_`EDT|_x0005_`ADJ|F_x0005_`DET|"&amp;ROW(단가산출근거!A3805)&amp;"_x0005_`"</f>
        <v>_x0007_`COD|D01226_x0005_`QTY1|1_x0005_`BQC|2024_x0005_`EQC|_x0005_`JDC|_x0005_`WQC|_x0005_`EDT|_x0005_`ADJ|F_x0005_`DET|3805_x0005_`</v>
      </c>
      <c r="K68" s="433" t="str">
        <f ca="1">HYPERLINK("#"&amp;단가산출근거!G2&amp;"!A"&amp;ROW(단가산출근거!A3805),"D01226 →")</f>
        <v>D01226 →</v>
      </c>
    </row>
    <row r="69" spans="1:11" ht="23.1" customHeight="1">
      <c r="A69" s="460" t="s">
        <v>3367</v>
      </c>
      <c r="B69" s="452" t="s">
        <v>2955</v>
      </c>
      <c r="C69" s="452" t="s">
        <v>2322</v>
      </c>
      <c r="D69" s="460" t="s">
        <v>975</v>
      </c>
      <c r="E69" s="446">
        <f>단가산출근거!C3904</f>
        <v>14281</v>
      </c>
      <c r="F69" s="453">
        <f>단가산출근거!D3904</f>
        <v>14281</v>
      </c>
      <c r="G69" s="454">
        <f>단가산출근거!E3904</f>
        <v>0</v>
      </c>
      <c r="H69" s="446">
        <f>단가산출근거!F3904</f>
        <v>0</v>
      </c>
      <c r="I69" s="482" t="s">
        <v>3368</v>
      </c>
      <c r="J69" s="451" t="str">
        <f>"_x0007_`COD|D01225_x0005_`QTY1|1_x0005_`BQC|*_x0005_`EQC|_x0005_`JDC|_x0005_`WQC|_x0005_`EDT|_x0005_`ADJ|F_x0005_`DET|"&amp;ROW(단가산출근거!A3855)&amp;"_x0005_`"</f>
        <v>_x0007_`COD|D01225_x0005_`QTY1|1_x0005_`BQC|*_x0005_`EQC|_x0005_`JDC|_x0005_`WQC|_x0005_`EDT|_x0005_`ADJ|F_x0005_`DET|3855_x0005_`</v>
      </c>
      <c r="K69" s="433" t="str">
        <f ca="1">HYPERLINK("#"&amp;단가산출근거!G2&amp;"!A"&amp;ROW(단가산출근거!A3855),"D01225 →")</f>
        <v>D01225 →</v>
      </c>
    </row>
    <row r="70" spans="1:11" ht="23.1" customHeight="1">
      <c r="A70" s="460" t="s">
        <v>3369</v>
      </c>
      <c r="B70" s="452" t="s">
        <v>2740</v>
      </c>
      <c r="C70" s="452" t="s">
        <v>2741</v>
      </c>
      <c r="D70" s="460" t="s">
        <v>595</v>
      </c>
      <c r="E70" s="446">
        <f>단가산출근거!C3954</f>
        <v>7138</v>
      </c>
      <c r="F70" s="453">
        <f>단가산출근거!D3954</f>
        <v>7138</v>
      </c>
      <c r="G70" s="454">
        <f>단가산출근거!E3954</f>
        <v>0</v>
      </c>
      <c r="H70" s="446">
        <f>단가산출근거!F3954</f>
        <v>0</v>
      </c>
      <c r="I70" s="482" t="s">
        <v>3362</v>
      </c>
      <c r="J70" s="451" t="str">
        <f>"_x0007_`COD|D01136_x0005_`QTY1|1_x0005_`BQC|공통4-4-4_x0005_`EQC|_x0005_`JDC|_x0005_`WQC|_x0005_`EDT|_x0005_`ADJ|F_x0005_`DET|"&amp;ROW(단가산출근거!A3905)&amp;"_x0005_`"</f>
        <v>_x0007_`COD|D01136_x0005_`QTY1|1_x0005_`BQC|공통4-4-4_x0005_`EQC|_x0005_`JDC|_x0005_`WQC|_x0005_`EDT|_x0005_`ADJ|F_x0005_`DET|3905_x0005_`</v>
      </c>
      <c r="K70" s="433" t="str">
        <f ca="1">HYPERLINK("#"&amp;단가산출근거!G2&amp;"!A"&amp;ROW(단가산출근거!A3905),"D01136 →")</f>
        <v>D01136 →</v>
      </c>
    </row>
    <row r="71" spans="1:11" ht="23.1" customHeight="1">
      <c r="A71" s="460" t="s">
        <v>3370</v>
      </c>
      <c r="B71" s="452" t="s">
        <v>2740</v>
      </c>
      <c r="C71" s="452" t="s">
        <v>2779</v>
      </c>
      <c r="D71" s="460" t="s">
        <v>595</v>
      </c>
      <c r="E71" s="446">
        <f>단가산출근거!C4004</f>
        <v>4942</v>
      </c>
      <c r="F71" s="453">
        <f>단가산출근거!D4004</f>
        <v>4942</v>
      </c>
      <c r="G71" s="454">
        <f>단가산출근거!E4004</f>
        <v>0</v>
      </c>
      <c r="H71" s="446">
        <f>단가산출근거!F4004</f>
        <v>0</v>
      </c>
      <c r="I71" s="482"/>
      <c r="J71" s="451" t="str">
        <f>"_x0007_`COD|D01213_x0005_`QTY1|1_x0005_`BQC|_x0005_`EQC|_x0005_`JDC|_x0005_`WQC|_x0005_`EDT|_x0005_`ADJ|F_x0005_`DET|"&amp;ROW(단가산출근거!A3955)&amp;"_x0005_`"</f>
        <v>_x0007_`COD|D01213_x0005_`QTY1|1_x0005_`BQC|_x0005_`EQC|_x0005_`JDC|_x0005_`WQC|_x0005_`EDT|_x0005_`ADJ|F_x0005_`DET|3955_x0005_`</v>
      </c>
      <c r="K71" s="433" t="str">
        <f ca="1">HYPERLINK("#"&amp;단가산출근거!G2&amp;"!A"&amp;ROW(단가산출근거!A3955),"D01213 →")</f>
        <v>D01213 →</v>
      </c>
    </row>
    <row r="72" spans="1:11" ht="23.1" customHeight="1">
      <c r="A72" s="460" t="s">
        <v>1928</v>
      </c>
      <c r="B72" s="452" t="s">
        <v>1926</v>
      </c>
      <c r="C72" s="452" t="s">
        <v>1927</v>
      </c>
      <c r="D72" s="460" t="s">
        <v>595</v>
      </c>
      <c r="E72" s="446">
        <f>단가산출근거!C4054</f>
        <v>514</v>
      </c>
      <c r="F72" s="453">
        <f>단가산출근거!D4054</f>
        <v>485</v>
      </c>
      <c r="G72" s="454">
        <f>단가산출근거!E4054</f>
        <v>0</v>
      </c>
      <c r="H72" s="446">
        <f>단가산출근거!F4054</f>
        <v>29</v>
      </c>
      <c r="I72" s="482"/>
      <c r="J72" s="451" t="str">
        <f>"_x0007_`COD|D01238_x0005_`QTY1|1_x0005_`BQC|_x0005_`EQC|_x0005_`JDC|_x0005_`WQC|_x0005_`EDT|_x0005_`ADJ|F_x0005_`DET|"&amp;ROW(단가산출근거!A4005)&amp;"_x0005_`"</f>
        <v>_x0007_`COD|D01238_x0005_`QTY1|1_x0005_`BQC|_x0005_`EQC|_x0005_`JDC|_x0005_`WQC|_x0005_`EDT|_x0005_`ADJ|F_x0005_`DET|4005_x0005_`</v>
      </c>
      <c r="K72" s="433" t="str">
        <f ca="1">HYPERLINK("#"&amp;단가산출근거!G2&amp;"!A"&amp;ROW(단가산출근거!A4005),"D01238 →")</f>
        <v>D01238 →</v>
      </c>
    </row>
    <row r="73" spans="1:11" ht="23.1" customHeight="1">
      <c r="A73" s="460" t="s">
        <v>1932</v>
      </c>
      <c r="B73" s="452" t="s">
        <v>1926</v>
      </c>
      <c r="C73" s="452" t="s">
        <v>1931</v>
      </c>
      <c r="D73" s="460" t="s">
        <v>595</v>
      </c>
      <c r="E73" s="446">
        <f>단가산출근거!C4104</f>
        <v>450</v>
      </c>
      <c r="F73" s="453">
        <f>단가산출근거!D4104</f>
        <v>425</v>
      </c>
      <c r="G73" s="454">
        <f>단가산출근거!E4104</f>
        <v>0</v>
      </c>
      <c r="H73" s="446">
        <f>단가산출근거!F4104</f>
        <v>25</v>
      </c>
      <c r="I73" s="482"/>
      <c r="J73" s="451" t="str">
        <f>"_x0007_`COD|D01277_x0005_`QTY1|1_x0005_`BQC|_x0005_`EQC|_x0005_`JDC|_x0005_`WQC|_x0005_`EDT|_x0005_`ADJ|F_x0005_`DET|"&amp;ROW(단가산출근거!A4055)&amp;"_x0005_`"</f>
        <v>_x0007_`COD|D01277_x0005_`QTY1|1_x0005_`BQC|_x0005_`EQC|_x0005_`JDC|_x0005_`WQC|_x0005_`EDT|_x0005_`ADJ|F_x0005_`DET|4055_x0005_`</v>
      </c>
      <c r="K73" s="433" t="str">
        <f ca="1">HYPERLINK("#"&amp;단가산출근거!G2&amp;"!A"&amp;ROW(단가산출근거!A4055),"D01277 →")</f>
        <v>D01277 →</v>
      </c>
    </row>
    <row r="74" spans="1:11" ht="23.1" customHeight="1">
      <c r="A74" s="460" t="s">
        <v>1936</v>
      </c>
      <c r="B74" s="452" t="s">
        <v>1926</v>
      </c>
      <c r="C74" s="452" t="s">
        <v>1935</v>
      </c>
      <c r="D74" s="460" t="s">
        <v>595</v>
      </c>
      <c r="E74" s="446">
        <f>단가산출근거!C4154</f>
        <v>360</v>
      </c>
      <c r="F74" s="453">
        <f>단가산출근거!D4154</f>
        <v>340</v>
      </c>
      <c r="G74" s="454">
        <f>단가산출근거!E4154</f>
        <v>0</v>
      </c>
      <c r="H74" s="446">
        <f>단가산출근거!F4154</f>
        <v>20</v>
      </c>
      <c r="I74" s="482"/>
      <c r="J74" s="451" t="str">
        <f>"_x0007_`COD|D01278_x0005_`QTY1|1_x0005_`BQC|_x0005_`EQC|_x0005_`JDC|_x0005_`WQC|_x0005_`EDT|_x0005_`ADJ|F_x0005_`DET|"&amp;ROW(단가산출근거!A4105)&amp;"_x0005_`"</f>
        <v>_x0007_`COD|D01278_x0005_`QTY1|1_x0005_`BQC|_x0005_`EQC|_x0005_`JDC|_x0005_`WQC|_x0005_`EDT|_x0005_`ADJ|F_x0005_`DET|4105_x0005_`</v>
      </c>
      <c r="K74" s="433" t="str">
        <f ca="1">HYPERLINK("#"&amp;단가산출근거!G2&amp;"!A"&amp;ROW(단가산출근거!A4105),"D01278 →")</f>
        <v>D01278 →</v>
      </c>
    </row>
    <row r="75" spans="1:11" ht="23.1" customHeight="1">
      <c r="A75" s="460" t="s">
        <v>5440</v>
      </c>
      <c r="B75" s="452" t="s">
        <v>5439</v>
      </c>
      <c r="C75" s="452" t="s">
        <v>1927</v>
      </c>
      <c r="D75" s="460" t="s">
        <v>595</v>
      </c>
      <c r="E75" s="446">
        <f>단가산출근거!C4204</f>
        <v>600</v>
      </c>
      <c r="F75" s="453">
        <f>단가산출근거!D4204</f>
        <v>566</v>
      </c>
      <c r="G75" s="454">
        <f>단가산출근거!E4204</f>
        <v>0</v>
      </c>
      <c r="H75" s="446">
        <f>단가산출근거!F4204</f>
        <v>34</v>
      </c>
      <c r="I75" s="482"/>
      <c r="J75" s="451" t="str">
        <f>"_x0007_`COD|D01336_x0005_`QTY1|1_x0005_`BQC|_x0005_`EQC|_x0005_`JDC|_x0005_`WQC|_x0005_`EDT|_x0005_`ADJ|F_x0005_`DET|"&amp;ROW(단가산출근거!A4155)&amp;"_x0005_`"</f>
        <v>_x0007_`COD|D01336_x0005_`QTY1|1_x0005_`BQC|_x0005_`EQC|_x0005_`JDC|_x0005_`WQC|_x0005_`EDT|_x0005_`ADJ|F_x0005_`DET|4155_x0005_`</v>
      </c>
      <c r="K75" s="433" t="str">
        <f ca="1">HYPERLINK("#"&amp;단가산출근거!G2&amp;"!A"&amp;ROW(단가산출근거!A4155),"D01336 →")</f>
        <v>D01336 →</v>
      </c>
    </row>
    <row r="76" spans="1:11" ht="23.1" customHeight="1">
      <c r="A76" s="460" t="s">
        <v>5443</v>
      </c>
      <c r="B76" s="452" t="s">
        <v>5439</v>
      </c>
      <c r="C76" s="452" t="s">
        <v>1931</v>
      </c>
      <c r="D76" s="460" t="s">
        <v>595</v>
      </c>
      <c r="E76" s="446">
        <f>단가산출근거!C4254</f>
        <v>514</v>
      </c>
      <c r="F76" s="453">
        <f>단가산출근거!D4254</f>
        <v>485</v>
      </c>
      <c r="G76" s="454">
        <f>단가산출근거!E4254</f>
        <v>0</v>
      </c>
      <c r="H76" s="446">
        <f>단가산출근거!F4254</f>
        <v>29</v>
      </c>
      <c r="I76" s="482"/>
      <c r="J76" s="451" t="str">
        <f>"_x0007_`COD|D01337_x0005_`QTY1|1_x0005_`BQC|_x0005_`EQC|_x0005_`JDC|_x0005_`WQC|_x0005_`EDT|_x0005_`ADJ|F_x0005_`DET|"&amp;ROW(단가산출근거!A4205)&amp;"_x0005_`"</f>
        <v>_x0007_`COD|D01337_x0005_`QTY1|1_x0005_`BQC|_x0005_`EQC|_x0005_`JDC|_x0005_`WQC|_x0005_`EDT|_x0005_`ADJ|F_x0005_`DET|4205_x0005_`</v>
      </c>
      <c r="K76" s="433" t="str">
        <f ca="1">HYPERLINK("#"&amp;단가산출근거!G2&amp;"!A"&amp;ROW(단가산출근거!A4205),"D01337 →")</f>
        <v>D01337 →</v>
      </c>
    </row>
    <row r="77" spans="1:11" ht="23.1" customHeight="1">
      <c r="A77" s="460" t="s">
        <v>5446</v>
      </c>
      <c r="B77" s="452" t="s">
        <v>5439</v>
      </c>
      <c r="C77" s="452" t="s">
        <v>1935</v>
      </c>
      <c r="D77" s="460" t="s">
        <v>595</v>
      </c>
      <c r="E77" s="446">
        <f>단가산출근거!C4304</f>
        <v>399</v>
      </c>
      <c r="F77" s="453">
        <f>단가산출근거!D4304</f>
        <v>377</v>
      </c>
      <c r="G77" s="454">
        <f>단가산출근거!E4304</f>
        <v>0</v>
      </c>
      <c r="H77" s="446">
        <f>단가산출근거!F4304</f>
        <v>22</v>
      </c>
      <c r="I77" s="482"/>
      <c r="J77" s="451" t="str">
        <f>"_x0007_`COD|D01338_x0005_`QTY1|1_x0005_`BQC|_x0005_`EQC|_x0005_`JDC|_x0005_`WQC|_x0005_`EDT|_x0005_`ADJ|F_x0005_`DET|"&amp;ROW(단가산출근거!A4255)&amp;"_x0005_`"</f>
        <v>_x0007_`COD|D01338_x0005_`QTY1|1_x0005_`BQC|_x0005_`EQC|_x0005_`JDC|_x0005_`WQC|_x0005_`EDT|_x0005_`ADJ|F_x0005_`DET|4255_x0005_`</v>
      </c>
      <c r="K77" s="433" t="str">
        <f ca="1">HYPERLINK("#"&amp;단가산출근거!G2&amp;"!A"&amp;ROW(단가산출근거!A4255),"D01338 →")</f>
        <v>D01338 →</v>
      </c>
    </row>
    <row r="78" spans="1:11" ht="23.1" customHeight="1">
      <c r="A78" s="460" t="s">
        <v>1954</v>
      </c>
      <c r="B78" s="452" t="s">
        <v>1952</v>
      </c>
      <c r="C78" s="452" t="s">
        <v>1953</v>
      </c>
      <c r="D78" s="460" t="s">
        <v>1799</v>
      </c>
      <c r="E78" s="446">
        <f>단가산출근거!C4354</f>
        <v>68897</v>
      </c>
      <c r="F78" s="453">
        <f>단가산출근거!D4354</f>
        <v>57816</v>
      </c>
      <c r="G78" s="454">
        <f>단가산출근거!E4354</f>
        <v>2279</v>
      </c>
      <c r="H78" s="446">
        <f>단가산출근거!F4354</f>
        <v>8802</v>
      </c>
      <c r="I78" s="482" t="s">
        <v>3371</v>
      </c>
      <c r="J78" s="451" t="str">
        <f>"_x0007_`COD|D01282_x0005_`QTY1|1_x0005_`BQC|유지1-2-2_x0005_`EQC|_x0005_`JDC|_x0005_`WQC|_x0005_`EDT|_x0005_`ADJ|F_x0005_`DET|"&amp;ROW(단가산출근거!A4305)&amp;"_x0005_`"</f>
        <v>_x0007_`COD|D01282_x0005_`QTY1|1_x0005_`BQC|유지1-2-2_x0005_`EQC|_x0005_`JDC|_x0005_`WQC|_x0005_`EDT|_x0005_`ADJ|F_x0005_`DET|4305_x0005_`</v>
      </c>
      <c r="K78" s="433" t="str">
        <f ca="1">HYPERLINK("#"&amp;단가산출근거!G2&amp;"!A"&amp;ROW(단가산출근거!A4305),"D01282 →")</f>
        <v>D01282 →</v>
      </c>
    </row>
    <row r="79" spans="1:11" ht="23.1" customHeight="1">
      <c r="A79" s="460" t="s">
        <v>1958</v>
      </c>
      <c r="B79" s="452" t="s">
        <v>1952</v>
      </c>
      <c r="C79" s="452" t="s">
        <v>1957</v>
      </c>
      <c r="D79" s="460" t="s">
        <v>1799</v>
      </c>
      <c r="E79" s="446">
        <f>단가산출근거!C4404</f>
        <v>95396</v>
      </c>
      <c r="F79" s="453">
        <f>단가산출근거!D4404</f>
        <v>80053</v>
      </c>
      <c r="G79" s="454">
        <f>단가산출근거!E4404</f>
        <v>3156</v>
      </c>
      <c r="H79" s="446">
        <f>단가산출근거!F4404</f>
        <v>12187</v>
      </c>
      <c r="I79" s="482" t="s">
        <v>3371</v>
      </c>
      <c r="J79" s="451" t="str">
        <f>"_x0007_`COD|D01283_x0005_`QTY1|1_x0005_`BQC|유지1-2-2_x0005_`EQC|_x0005_`JDC|_x0005_`WQC|_x0005_`EDT|_x0005_`ADJ|F_x0005_`DET|"&amp;ROW(단가산출근거!A4355)&amp;"_x0005_`"</f>
        <v>_x0007_`COD|D01283_x0005_`QTY1|1_x0005_`BQC|유지1-2-2_x0005_`EQC|_x0005_`JDC|_x0005_`WQC|_x0005_`EDT|_x0005_`ADJ|F_x0005_`DET|4355_x0005_`</v>
      </c>
      <c r="K79" s="433" t="str">
        <f ca="1">HYPERLINK("#"&amp;단가산출근거!G2&amp;"!A"&amp;ROW(단가산출근거!A4355),"D01283 →")</f>
        <v>D01283 →</v>
      </c>
    </row>
    <row r="80" spans="1:11" ht="23.1" customHeight="1">
      <c r="A80" s="460" t="s">
        <v>1962</v>
      </c>
      <c r="B80" s="452" t="s">
        <v>1952</v>
      </c>
      <c r="C80" s="452" t="s">
        <v>1961</v>
      </c>
      <c r="D80" s="460" t="s">
        <v>1799</v>
      </c>
      <c r="E80" s="446">
        <f>단가산출근거!C4454</f>
        <v>155021</v>
      </c>
      <c r="F80" s="453">
        <f>단가산출근거!D4454</f>
        <v>130087</v>
      </c>
      <c r="G80" s="454">
        <f>단가산출근거!E4454</f>
        <v>5129</v>
      </c>
      <c r="H80" s="446">
        <f>단가산출근거!F4454</f>
        <v>19805</v>
      </c>
      <c r="I80" s="482" t="s">
        <v>3371</v>
      </c>
      <c r="J80" s="451" t="str">
        <f>"_x0007_`COD|D01284_x0005_`QTY1|1_x0005_`BQC|유지1-2-2_x0005_`EQC|_x0005_`JDC|_x0005_`WQC|_x0005_`EDT|_x0005_`ADJ|F_x0005_`DET|"&amp;ROW(단가산출근거!A4405)&amp;"_x0005_`"</f>
        <v>_x0007_`COD|D01284_x0005_`QTY1|1_x0005_`BQC|유지1-2-2_x0005_`EQC|_x0005_`JDC|_x0005_`WQC|_x0005_`EDT|_x0005_`ADJ|F_x0005_`DET|4405_x0005_`</v>
      </c>
      <c r="K80" s="433" t="str">
        <f ca="1">HYPERLINK("#"&amp;단가산출근거!G2&amp;"!A"&amp;ROW(단가산출근거!A4405),"D01284 →")</f>
        <v>D01284 →</v>
      </c>
    </row>
    <row r="81" spans="1:11" ht="23.1" customHeight="1">
      <c r="A81" s="460" t="s">
        <v>1966</v>
      </c>
      <c r="B81" s="452" t="s">
        <v>1952</v>
      </c>
      <c r="C81" s="452" t="s">
        <v>1965</v>
      </c>
      <c r="D81" s="460" t="s">
        <v>1799</v>
      </c>
      <c r="E81" s="446">
        <f>단가산출근거!C4504</f>
        <v>206693</v>
      </c>
      <c r="F81" s="453">
        <f>단가산출근거!D4504</f>
        <v>173449</v>
      </c>
      <c r="G81" s="454">
        <f>단가산출근거!E4504</f>
        <v>6838</v>
      </c>
      <c r="H81" s="446">
        <f>단가산출근거!F4504</f>
        <v>26406</v>
      </c>
      <c r="I81" s="482" t="s">
        <v>3371</v>
      </c>
      <c r="J81" s="451" t="str">
        <f>"_x0007_`COD|D01285_x0005_`QTY1|1_x0005_`BQC|유지1-2-2_x0005_`EQC|_x0005_`JDC|_x0005_`WQC|_x0005_`EDT|_x0005_`ADJ|F_x0005_`DET|"&amp;ROW(단가산출근거!A4455)&amp;"_x0005_`"</f>
        <v>_x0007_`COD|D01285_x0005_`QTY1|1_x0005_`BQC|유지1-2-2_x0005_`EQC|_x0005_`JDC|_x0005_`WQC|_x0005_`EDT|_x0005_`ADJ|F_x0005_`DET|4455_x0005_`</v>
      </c>
      <c r="K81" s="433" t="str">
        <f ca="1">HYPERLINK("#"&amp;단가산출근거!G2&amp;"!A"&amp;ROW(단가산출근거!A4455),"D01285 →")</f>
        <v>D01285 →</v>
      </c>
    </row>
    <row r="82" spans="1:11" ht="23.1" customHeight="1">
      <c r="A82" s="460" t="s">
        <v>1982</v>
      </c>
      <c r="B82" s="452" t="s">
        <v>1952</v>
      </c>
      <c r="C82" s="452" t="s">
        <v>1981</v>
      </c>
      <c r="D82" s="460" t="s">
        <v>1799</v>
      </c>
      <c r="E82" s="446">
        <f>단가산출근거!C4554</f>
        <v>56370</v>
      </c>
      <c r="F82" s="453">
        <f>단가산출근거!D4554</f>
        <v>47304</v>
      </c>
      <c r="G82" s="454">
        <f>단가산출근거!E4554</f>
        <v>1865</v>
      </c>
      <c r="H82" s="446">
        <f>단가산출근거!F4554</f>
        <v>7201</v>
      </c>
      <c r="I82" s="482" t="s">
        <v>3371</v>
      </c>
      <c r="J82" s="451" t="str">
        <f>"_x0007_`COD|D01286_x0005_`QTY1|1_x0005_`BQC|유지1-2-2_x0005_`EQC|_x0005_`JDC|_x0005_`WQC|_x0005_`EDT|_x0005_`ADJ|F_x0005_`DET|"&amp;ROW(단가산출근거!A4505)&amp;"_x0005_`"</f>
        <v>_x0007_`COD|D01286_x0005_`QTY1|1_x0005_`BQC|유지1-2-2_x0005_`EQC|_x0005_`JDC|_x0005_`WQC|_x0005_`EDT|_x0005_`ADJ|F_x0005_`DET|4505_x0005_`</v>
      </c>
      <c r="K82" s="433" t="str">
        <f ca="1">HYPERLINK("#"&amp;단가산출근거!G2&amp;"!A"&amp;ROW(단가산출근거!A4505),"D01286 →")</f>
        <v>D01286 →</v>
      </c>
    </row>
    <row r="83" spans="1:11" ht="23.1" customHeight="1">
      <c r="A83" s="460" t="s">
        <v>1986</v>
      </c>
      <c r="B83" s="452" t="s">
        <v>1952</v>
      </c>
      <c r="C83" s="452" t="s">
        <v>1985</v>
      </c>
      <c r="D83" s="460" t="s">
        <v>1799</v>
      </c>
      <c r="E83" s="446">
        <f>단가산출근거!C4604</f>
        <v>82676</v>
      </c>
      <c r="F83" s="453">
        <f>단가산출근거!D4604</f>
        <v>69379</v>
      </c>
      <c r="G83" s="454">
        <f>단가산출근거!E4604</f>
        <v>2735</v>
      </c>
      <c r="H83" s="446">
        <f>단가산출근거!F4604</f>
        <v>10562</v>
      </c>
      <c r="I83" s="482" t="s">
        <v>3371</v>
      </c>
      <c r="J83" s="451" t="str">
        <f>"_x0007_`COD|D01287_x0005_`QTY1|1_x0005_`BQC|유지1-2-2_x0005_`EQC|_x0005_`JDC|_x0005_`WQC|_x0005_`EDT|_x0005_`ADJ|F_x0005_`DET|"&amp;ROW(단가산출근거!A4555)&amp;"_x0005_`"</f>
        <v>_x0007_`COD|D01287_x0005_`QTY1|1_x0005_`BQC|유지1-2-2_x0005_`EQC|_x0005_`JDC|_x0005_`WQC|_x0005_`EDT|_x0005_`ADJ|F_x0005_`DET|4555_x0005_`</v>
      </c>
      <c r="K83" s="433" t="str">
        <f ca="1">HYPERLINK("#"&amp;단가산출근거!G2&amp;"!A"&amp;ROW(단가산출근거!A4555),"D01287 →")</f>
        <v>D01287 →</v>
      </c>
    </row>
    <row r="84" spans="1:11" ht="23.1" customHeight="1">
      <c r="A84" s="460" t="s">
        <v>1990</v>
      </c>
      <c r="B84" s="452" t="s">
        <v>1952</v>
      </c>
      <c r="C84" s="452" t="s">
        <v>1989</v>
      </c>
      <c r="D84" s="460" t="s">
        <v>1799</v>
      </c>
      <c r="E84" s="446">
        <f>단가산출근거!C4654</f>
        <v>124017</v>
      </c>
      <c r="F84" s="453">
        <f>단가산출근거!D4654</f>
        <v>104070</v>
      </c>
      <c r="G84" s="454">
        <f>단가산출근거!E4654</f>
        <v>4103</v>
      </c>
      <c r="H84" s="446">
        <f>단가산출근거!F4654</f>
        <v>15844</v>
      </c>
      <c r="I84" s="482" t="s">
        <v>3371</v>
      </c>
      <c r="J84" s="451" t="str">
        <f>"_x0007_`COD|D01288_x0005_`QTY1|1_x0005_`BQC|유지1-2-2_x0005_`EQC|_x0005_`JDC|_x0005_`WQC|_x0005_`EDT|_x0005_`ADJ|F_x0005_`DET|"&amp;ROW(단가산출근거!A4605)&amp;"_x0005_`"</f>
        <v>_x0007_`COD|D01288_x0005_`QTY1|1_x0005_`BQC|유지1-2-2_x0005_`EQC|_x0005_`JDC|_x0005_`WQC|_x0005_`EDT|_x0005_`ADJ|F_x0005_`DET|4605_x0005_`</v>
      </c>
      <c r="K84" s="433" t="str">
        <f ca="1">HYPERLINK("#"&amp;단가산출근거!G2&amp;"!A"&amp;ROW(단가산출근거!A4605),"D01288 →")</f>
        <v>D01288 →</v>
      </c>
    </row>
    <row r="85" spans="1:11" ht="23.1" customHeight="1">
      <c r="A85" s="460" t="s">
        <v>1994</v>
      </c>
      <c r="B85" s="452" t="s">
        <v>1952</v>
      </c>
      <c r="C85" s="452" t="s">
        <v>1993</v>
      </c>
      <c r="D85" s="460" t="s">
        <v>1799</v>
      </c>
      <c r="E85" s="446">
        <f>단가산출근거!C4704</f>
        <v>177166</v>
      </c>
      <c r="F85" s="453">
        <f>단가산출근거!D4704</f>
        <v>148671</v>
      </c>
      <c r="G85" s="454">
        <f>단가산출근거!E4704</f>
        <v>5861</v>
      </c>
      <c r="H85" s="446">
        <f>단가산출근거!F4704</f>
        <v>22634</v>
      </c>
      <c r="I85" s="482" t="s">
        <v>3371</v>
      </c>
      <c r="J85" s="451" t="str">
        <f>"_x0007_`COD|D01289_x0005_`QTY1|1_x0005_`BQC|유지1-2-2_x0005_`EQC|_x0005_`JDC|_x0005_`WQC|_x0005_`EDT|_x0005_`ADJ|F_x0005_`DET|"&amp;ROW(단가산출근거!A4655)&amp;"_x0005_`"</f>
        <v>_x0007_`COD|D01289_x0005_`QTY1|1_x0005_`BQC|유지1-2-2_x0005_`EQC|_x0005_`JDC|_x0005_`WQC|_x0005_`EDT|_x0005_`ADJ|F_x0005_`DET|4655_x0005_`</v>
      </c>
      <c r="K85" s="433" t="str">
        <f ca="1">HYPERLINK("#"&amp;단가산출근거!G2&amp;"!A"&amp;ROW(단가산출근거!A4655),"D01289 →")</f>
        <v>D01289 →</v>
      </c>
    </row>
    <row r="86" spans="1:11" ht="23.1" customHeight="1">
      <c r="A86" s="460" t="s">
        <v>1941</v>
      </c>
      <c r="B86" s="452" t="s">
        <v>1939</v>
      </c>
      <c r="C86" s="452" t="s">
        <v>1940</v>
      </c>
      <c r="D86" s="460" t="s">
        <v>1799</v>
      </c>
      <c r="E86" s="446">
        <f>단가산출근거!C4754</f>
        <v>18381</v>
      </c>
      <c r="F86" s="453">
        <f>단가산출근거!D4754</f>
        <v>17846</v>
      </c>
      <c r="G86" s="454">
        <f>단가산출근거!E4754</f>
        <v>0</v>
      </c>
      <c r="H86" s="446">
        <f>단가산출근거!F4754</f>
        <v>535</v>
      </c>
      <c r="I86" s="482" t="s">
        <v>3371</v>
      </c>
      <c r="J86" s="451" t="str">
        <f>"_x0007_`COD|D01279_x0005_`QTY1|1_x0005_`BQC|유지1-2-2_x0005_`EQC|_x0005_`JDC|_x0005_`WQC|_x0005_`EDT|_x0005_`ADJ|F_x0005_`DET|"&amp;ROW(단가산출근거!A4705)&amp;"_x0005_`"</f>
        <v>_x0007_`COD|D01279_x0005_`QTY1|1_x0005_`BQC|유지1-2-2_x0005_`EQC|_x0005_`JDC|_x0005_`WQC|_x0005_`EDT|_x0005_`ADJ|F_x0005_`DET|4705_x0005_`</v>
      </c>
      <c r="K86" s="433" t="str">
        <f ca="1">HYPERLINK("#"&amp;단가산출근거!G2&amp;"!A"&amp;ROW(단가산출근거!A4705),"D01279 →")</f>
        <v>D01279 →</v>
      </c>
    </row>
    <row r="87" spans="1:11" ht="23.1" customHeight="1">
      <c r="A87" s="460" t="s">
        <v>1945</v>
      </c>
      <c r="B87" s="452" t="s">
        <v>1939</v>
      </c>
      <c r="C87" s="452" t="s">
        <v>1944</v>
      </c>
      <c r="D87" s="460" t="s">
        <v>1799</v>
      </c>
      <c r="E87" s="446">
        <f>단가산출근거!C4804</f>
        <v>30079</v>
      </c>
      <c r="F87" s="453">
        <f>단가산출근거!D4804</f>
        <v>29203</v>
      </c>
      <c r="G87" s="454">
        <f>단가산출근거!E4804</f>
        <v>0</v>
      </c>
      <c r="H87" s="446">
        <f>단가산출근거!F4804</f>
        <v>876</v>
      </c>
      <c r="I87" s="482" t="s">
        <v>3371</v>
      </c>
      <c r="J87" s="451" t="str">
        <f>"_x0007_`COD|D01235_x0005_`QTY1|1_x0005_`BQC|유지1-2-2_x0005_`EQC|_x0005_`JDC|_x0005_`WQC|_x0005_`EDT|_x0005_`ADJ|F_x0005_`DET|"&amp;ROW(단가산출근거!A4755)&amp;"_x0005_`"</f>
        <v>_x0007_`COD|D01235_x0005_`QTY1|1_x0005_`BQC|유지1-2-2_x0005_`EQC|_x0005_`JDC|_x0005_`WQC|_x0005_`EDT|_x0005_`ADJ|F_x0005_`DET|4755_x0005_`</v>
      </c>
      <c r="K87" s="433" t="str">
        <f ca="1">HYPERLINK("#"&amp;단가산출근거!G2&amp;"!A"&amp;ROW(단가산출근거!A4755),"D01235 →")</f>
        <v>D01235 →</v>
      </c>
    </row>
    <row r="88" spans="1:11" ht="23.1" customHeight="1">
      <c r="A88" s="460" t="s">
        <v>1949</v>
      </c>
      <c r="B88" s="452" t="s">
        <v>1939</v>
      </c>
      <c r="C88" s="452" t="s">
        <v>1948</v>
      </c>
      <c r="D88" s="460" t="s">
        <v>1799</v>
      </c>
      <c r="E88" s="446">
        <f>단가산출근거!C4854</f>
        <v>50903</v>
      </c>
      <c r="F88" s="453">
        <f>단가산출근거!D4854</f>
        <v>49421</v>
      </c>
      <c r="G88" s="454">
        <f>단가산출근거!E4854</f>
        <v>0</v>
      </c>
      <c r="H88" s="446">
        <f>단가산출근거!F4854</f>
        <v>1482</v>
      </c>
      <c r="I88" s="482" t="s">
        <v>3371</v>
      </c>
      <c r="J88" s="451" t="str">
        <f>"_x0007_`COD|D01236_x0005_`QTY1|1_x0005_`BQC|유지1-2-2_x0005_`EQC|_x0005_`JDC|_x0005_`WQC|_x0005_`EDT|_x0005_`ADJ|F_x0005_`DET|"&amp;ROW(단가산출근거!A4805)&amp;"_x0005_`"</f>
        <v>_x0007_`COD|D01236_x0005_`QTY1|1_x0005_`BQC|유지1-2-2_x0005_`EQC|_x0005_`JDC|_x0005_`WQC|_x0005_`EDT|_x0005_`ADJ|F_x0005_`DET|4805_x0005_`</v>
      </c>
      <c r="K88" s="433" t="str">
        <f ca="1">HYPERLINK("#"&amp;단가산출근거!G2&amp;"!A"&amp;ROW(단가산출근거!A4805),"D01236 →")</f>
        <v>D01236 →</v>
      </c>
    </row>
    <row r="89" spans="1:11" ht="23.1" customHeight="1">
      <c r="A89" s="460" t="s">
        <v>1970</v>
      </c>
      <c r="B89" s="452" t="s">
        <v>1939</v>
      </c>
      <c r="C89" s="452" t="s">
        <v>1969</v>
      </c>
      <c r="D89" s="460" t="s">
        <v>1799</v>
      </c>
      <c r="E89" s="446">
        <f>단가산출근거!C4904</f>
        <v>15754</v>
      </c>
      <c r="F89" s="453">
        <f>단가산출근거!D4904</f>
        <v>15296</v>
      </c>
      <c r="G89" s="454">
        <f>단가산출근거!E4904</f>
        <v>0</v>
      </c>
      <c r="H89" s="446">
        <f>단가산출근거!F4904</f>
        <v>458</v>
      </c>
      <c r="I89" s="482" t="s">
        <v>3371</v>
      </c>
      <c r="J89" s="451" t="str">
        <f>"_x0007_`COD|D01281_x0005_`QTY1|1_x0005_`BQC|유지1-2-2_x0005_`EQC|_x0005_`JDC|_x0005_`WQC|_x0005_`EDT|_x0005_`ADJ|F_x0005_`DET|"&amp;ROW(단가산출근거!A4855)&amp;"_x0005_`"</f>
        <v>_x0007_`COD|D01281_x0005_`QTY1|1_x0005_`BQC|유지1-2-2_x0005_`EQC|_x0005_`JDC|_x0005_`WQC|_x0005_`EDT|_x0005_`ADJ|F_x0005_`DET|4855_x0005_`</v>
      </c>
      <c r="K89" s="433" t="str">
        <f ca="1">HYPERLINK("#"&amp;단가산출근거!G2&amp;"!A"&amp;ROW(단가산출근거!A4855),"D01281 →")</f>
        <v>D01281 →</v>
      </c>
    </row>
    <row r="90" spans="1:11" ht="23.1" customHeight="1">
      <c r="A90" s="460" t="s">
        <v>1974</v>
      </c>
      <c r="B90" s="452" t="s">
        <v>1939</v>
      </c>
      <c r="C90" s="452" t="s">
        <v>1973</v>
      </c>
      <c r="D90" s="460" t="s">
        <v>1799</v>
      </c>
      <c r="E90" s="446">
        <f>단가산출근거!C4954</f>
        <v>27572</v>
      </c>
      <c r="F90" s="453">
        <f>단가산출근거!D4954</f>
        <v>26769</v>
      </c>
      <c r="G90" s="454">
        <f>단가산출근거!E4954</f>
        <v>0</v>
      </c>
      <c r="H90" s="446">
        <f>단가산출근거!F4954</f>
        <v>803</v>
      </c>
      <c r="I90" s="482" t="s">
        <v>3371</v>
      </c>
      <c r="J90" s="451" t="str">
        <f>"_x0007_`COD|D01280_x0005_`QTY1|1_x0005_`BQC|유지1-2-2_x0005_`EQC|_x0005_`JDC|_x0005_`WQC|_x0005_`EDT|_x0005_`ADJ|F_x0005_`DET|"&amp;ROW(단가산출근거!A4905)&amp;"_x0005_`"</f>
        <v>_x0007_`COD|D01280_x0005_`QTY1|1_x0005_`BQC|유지1-2-2_x0005_`EQC|_x0005_`JDC|_x0005_`WQC|_x0005_`EDT|_x0005_`ADJ|F_x0005_`DET|4905_x0005_`</v>
      </c>
      <c r="K90" s="433" t="str">
        <f ca="1">HYPERLINK("#"&amp;단가산출근거!G2&amp;"!A"&amp;ROW(단가산출근거!A4905),"D01280 →")</f>
        <v>D01280 →</v>
      </c>
    </row>
    <row r="91" spans="1:11" ht="23.1" customHeight="1">
      <c r="A91" s="460" t="s">
        <v>1978</v>
      </c>
      <c r="B91" s="452" t="s">
        <v>1939</v>
      </c>
      <c r="C91" s="452" t="s">
        <v>1977</v>
      </c>
      <c r="D91" s="460" t="s">
        <v>1799</v>
      </c>
      <c r="E91" s="446">
        <f>단가산출근거!C5004</f>
        <v>44115</v>
      </c>
      <c r="F91" s="453">
        <f>단가산출근거!D5004</f>
        <v>42831</v>
      </c>
      <c r="G91" s="454">
        <f>단가산출근거!E5004</f>
        <v>0</v>
      </c>
      <c r="H91" s="446">
        <f>단가산출근거!F5004</f>
        <v>1284</v>
      </c>
      <c r="I91" s="482" t="s">
        <v>3371</v>
      </c>
      <c r="J91" s="451" t="str">
        <f>"_x0007_`COD|D01237_x0005_`QTY1|1_x0005_`BQC|유지1-2-2_x0005_`EQC|_x0005_`JDC|_x0005_`WQC|_x0005_`EDT|_x0005_`ADJ|F_x0005_`DET|"&amp;ROW(단가산출근거!A4955)&amp;"_x0005_`"</f>
        <v>_x0007_`COD|D01237_x0005_`QTY1|1_x0005_`BQC|유지1-2-2_x0005_`EQC|_x0005_`JDC|_x0005_`WQC|_x0005_`EDT|_x0005_`ADJ|F_x0005_`DET|4955_x0005_`</v>
      </c>
      <c r="K91" s="433" t="str">
        <f ca="1">HYPERLINK("#"&amp;단가산출근거!G2&amp;"!A"&amp;ROW(단가산출근거!A4955),"D01237 →")</f>
        <v>D01237 →</v>
      </c>
    </row>
    <row r="92" spans="1:11" ht="23.1" customHeight="1">
      <c r="A92" s="460" t="s">
        <v>5450</v>
      </c>
      <c r="B92" s="452" t="s">
        <v>5449</v>
      </c>
      <c r="C92" s="452" t="s">
        <v>1940</v>
      </c>
      <c r="D92" s="460" t="s">
        <v>1799</v>
      </c>
      <c r="E92" s="446">
        <f>단가산출근거!C5054</f>
        <v>21058</v>
      </c>
      <c r="F92" s="453">
        <f>단가산출근거!D5054</f>
        <v>20523</v>
      </c>
      <c r="G92" s="454">
        <f>단가산출근거!E5054</f>
        <v>0</v>
      </c>
      <c r="H92" s="446">
        <f>단가산출근거!F5054</f>
        <v>535</v>
      </c>
      <c r="I92" s="482" t="s">
        <v>3371</v>
      </c>
      <c r="J92" s="451" t="str">
        <f>"_x0007_`COD|D01362_x0005_`QTY1|1_x0005_`BQC|유지1-2-2_x0005_`EQC|_x0005_`JDC|_x0005_`WQC|_x0005_`EDT|_x0005_`ADJ|F_x0005_`DET|"&amp;ROW(단가산출근거!A5005)&amp;"_x0005_`"</f>
        <v>_x0007_`COD|D01362_x0005_`QTY1|1_x0005_`BQC|유지1-2-2_x0005_`EQC|_x0005_`JDC|_x0005_`WQC|_x0005_`EDT|_x0005_`ADJ|F_x0005_`DET|5005_x0005_`</v>
      </c>
      <c r="K92" s="433" t="str">
        <f ca="1">HYPERLINK("#"&amp;단가산출근거!G2&amp;"!A"&amp;ROW(단가산출근거!A5005),"D01362 →")</f>
        <v>D01362 →</v>
      </c>
    </row>
    <row r="93" spans="1:11" ht="23.1" customHeight="1">
      <c r="A93" s="460" t="s">
        <v>5453</v>
      </c>
      <c r="B93" s="452" t="s">
        <v>5449</v>
      </c>
      <c r="C93" s="452" t="s">
        <v>1944</v>
      </c>
      <c r="D93" s="460" t="s">
        <v>1799</v>
      </c>
      <c r="E93" s="446">
        <f>단가산출근거!C5104</f>
        <v>34459</v>
      </c>
      <c r="F93" s="453">
        <f>단가산출근거!D5104</f>
        <v>33583</v>
      </c>
      <c r="G93" s="454">
        <f>단가산출근거!E5104</f>
        <v>0</v>
      </c>
      <c r="H93" s="446">
        <f>단가산출근거!F5104</f>
        <v>876</v>
      </c>
      <c r="I93" s="482" t="s">
        <v>3371</v>
      </c>
      <c r="J93" s="451" t="str">
        <f>"_x0007_`COD|D01363_x0005_`QTY1|1_x0005_`BQC|유지1-2-2_x0005_`EQC|_x0005_`JDC|_x0005_`WQC|_x0005_`EDT|_x0005_`ADJ|F_x0005_`DET|"&amp;ROW(단가산출근거!A5055)&amp;"_x0005_`"</f>
        <v>_x0007_`COD|D01363_x0005_`QTY1|1_x0005_`BQC|유지1-2-2_x0005_`EQC|_x0005_`JDC|_x0005_`WQC|_x0005_`EDT|_x0005_`ADJ|F_x0005_`DET|5055_x0005_`</v>
      </c>
      <c r="K93" s="433" t="str">
        <f ca="1">HYPERLINK("#"&amp;단가산출근거!G2&amp;"!A"&amp;ROW(단가산출근거!A5055),"D01363 →")</f>
        <v>D01363 →</v>
      </c>
    </row>
    <row r="94" spans="1:11" ht="23.1" customHeight="1">
      <c r="A94" s="460" t="s">
        <v>5456</v>
      </c>
      <c r="B94" s="452" t="s">
        <v>5449</v>
      </c>
      <c r="C94" s="452" t="s">
        <v>1948</v>
      </c>
      <c r="D94" s="460" t="s">
        <v>1799</v>
      </c>
      <c r="E94" s="446">
        <f>단가산출근거!C5154</f>
        <v>58316</v>
      </c>
      <c r="F94" s="453">
        <f>단가산출근거!D5154</f>
        <v>56834</v>
      </c>
      <c r="G94" s="454">
        <f>단가산출근거!E5154</f>
        <v>0</v>
      </c>
      <c r="H94" s="446">
        <f>단가산출근거!F5154</f>
        <v>1482</v>
      </c>
      <c r="I94" s="482" t="s">
        <v>3371</v>
      </c>
      <c r="J94" s="451" t="str">
        <f>"_x0007_`COD|D01364_x0005_`QTY1|1_x0005_`BQC|유지1-2-2_x0005_`EQC|_x0005_`JDC|_x0005_`WQC|_x0005_`EDT|_x0005_`ADJ|F_x0005_`DET|"&amp;ROW(단가산출근거!A5105)&amp;"_x0005_`"</f>
        <v>_x0007_`COD|D01364_x0005_`QTY1|1_x0005_`BQC|유지1-2-2_x0005_`EQC|_x0005_`JDC|_x0005_`WQC|_x0005_`EDT|_x0005_`ADJ|F_x0005_`DET|5105_x0005_`</v>
      </c>
      <c r="K94" s="433" t="str">
        <f ca="1">HYPERLINK("#"&amp;단가산출근거!G2&amp;"!A"&amp;ROW(단가산출근거!A5105),"D01364 →")</f>
        <v>D01364 →</v>
      </c>
    </row>
    <row r="95" spans="1:11" ht="23.1" customHeight="1">
      <c r="A95" s="460" t="s">
        <v>5469</v>
      </c>
      <c r="B95" s="452" t="s">
        <v>5449</v>
      </c>
      <c r="C95" s="452" t="s">
        <v>1969</v>
      </c>
      <c r="D95" s="460" t="s">
        <v>1799</v>
      </c>
      <c r="E95" s="446">
        <f>단가산출근거!C5204</f>
        <v>18049</v>
      </c>
      <c r="F95" s="453">
        <f>단가산출근거!D5204</f>
        <v>17591</v>
      </c>
      <c r="G95" s="454">
        <f>단가산출근거!E5204</f>
        <v>0</v>
      </c>
      <c r="H95" s="446">
        <f>단가산출근거!F5204</f>
        <v>458</v>
      </c>
      <c r="I95" s="482" t="s">
        <v>3371</v>
      </c>
      <c r="J95" s="451" t="str">
        <f>"_x0007_`COD|D01365_x0005_`QTY1|1_x0005_`BQC|유지1-2-2_x0005_`EQC|_x0005_`JDC|_x0005_`WQC|_x0005_`EDT|_x0005_`ADJ|F_x0005_`DET|"&amp;ROW(단가산출근거!A5155)&amp;"_x0005_`"</f>
        <v>_x0007_`COD|D01365_x0005_`QTY1|1_x0005_`BQC|유지1-2-2_x0005_`EQC|_x0005_`JDC|_x0005_`WQC|_x0005_`EDT|_x0005_`ADJ|F_x0005_`DET|5155_x0005_`</v>
      </c>
      <c r="K95" s="433" t="str">
        <f ca="1">HYPERLINK("#"&amp;단가산출근거!G2&amp;"!A"&amp;ROW(단가산출근거!A5155),"D01365 →")</f>
        <v>D01365 →</v>
      </c>
    </row>
    <row r="96" spans="1:11" ht="23.1" customHeight="1">
      <c r="A96" s="460" t="s">
        <v>5472</v>
      </c>
      <c r="B96" s="452" t="s">
        <v>5449</v>
      </c>
      <c r="C96" s="452" t="s">
        <v>1973</v>
      </c>
      <c r="D96" s="460" t="s">
        <v>1799</v>
      </c>
      <c r="E96" s="446">
        <f>단가산출근거!C5254</f>
        <v>31588</v>
      </c>
      <c r="F96" s="453">
        <f>단가산출근거!D5254</f>
        <v>30785</v>
      </c>
      <c r="G96" s="454">
        <f>단가산출근거!E5254</f>
        <v>0</v>
      </c>
      <c r="H96" s="446">
        <f>단가산출근거!F5254</f>
        <v>803</v>
      </c>
      <c r="I96" s="482" t="s">
        <v>3371</v>
      </c>
      <c r="J96" s="451" t="str">
        <f>"_x0007_`COD|D01366_x0005_`QTY1|1_x0005_`BQC|유지1-2-2_x0005_`EQC|_x0005_`JDC|_x0005_`WQC|_x0005_`EDT|_x0005_`ADJ|F_x0005_`DET|"&amp;ROW(단가산출근거!A5205)&amp;"_x0005_`"</f>
        <v>_x0007_`COD|D01366_x0005_`QTY1|1_x0005_`BQC|유지1-2-2_x0005_`EQC|_x0005_`JDC|_x0005_`WQC|_x0005_`EDT|_x0005_`ADJ|F_x0005_`DET|5205_x0005_`</v>
      </c>
      <c r="K96" s="433" t="str">
        <f ca="1">HYPERLINK("#"&amp;단가산출근거!G2&amp;"!A"&amp;ROW(단가산출근거!A5205),"D01366 →")</f>
        <v>D01366 →</v>
      </c>
    </row>
    <row r="97" spans="1:11" ht="23.1" customHeight="1">
      <c r="A97" s="460" t="s">
        <v>5475</v>
      </c>
      <c r="B97" s="452" t="s">
        <v>5449</v>
      </c>
      <c r="C97" s="452" t="s">
        <v>1977</v>
      </c>
      <c r="D97" s="460" t="s">
        <v>1799</v>
      </c>
      <c r="E97" s="446">
        <f>단가산출근거!C5304</f>
        <v>50540</v>
      </c>
      <c r="F97" s="453">
        <f>단가산출근거!D5304</f>
        <v>49256</v>
      </c>
      <c r="G97" s="454">
        <f>단가산출근거!E5304</f>
        <v>0</v>
      </c>
      <c r="H97" s="446">
        <f>단가산출근거!F5304</f>
        <v>1284</v>
      </c>
      <c r="I97" s="482" t="s">
        <v>3371</v>
      </c>
      <c r="J97" s="451" t="str">
        <f>"_x0007_`COD|D01367_x0005_`QTY1|1_x0005_`BQC|유지1-2-2_x0005_`EQC|_x0005_`JDC|_x0005_`WQC|_x0005_`EDT|_x0005_`ADJ|F_x0005_`DET|"&amp;ROW(단가산출근거!A5255)&amp;"_x0005_`"</f>
        <v>_x0007_`COD|D01367_x0005_`QTY1|1_x0005_`BQC|유지1-2-2_x0005_`EQC|_x0005_`JDC|_x0005_`WQC|_x0005_`EDT|_x0005_`ADJ|F_x0005_`DET|5255_x0005_`</v>
      </c>
      <c r="K97" s="433" t="str">
        <f ca="1">HYPERLINK("#"&amp;단가산출근거!G2&amp;"!A"&amp;ROW(단가산출근거!A5255),"D01367 →")</f>
        <v>D01367 →</v>
      </c>
    </row>
    <row r="98" spans="1:11" ht="23.1" customHeight="1">
      <c r="A98" s="460" t="s">
        <v>5460</v>
      </c>
      <c r="B98" s="452" t="s">
        <v>5459</v>
      </c>
      <c r="C98" s="452" t="s">
        <v>1940</v>
      </c>
      <c r="D98" s="460" t="s">
        <v>1799</v>
      </c>
      <c r="E98" s="446">
        <f>단가산출근거!C5354</f>
        <v>22843</v>
      </c>
      <c r="F98" s="453">
        <f>단가산출근거!D5354</f>
        <v>22308</v>
      </c>
      <c r="G98" s="454">
        <f>단가산출근거!E5354</f>
        <v>0</v>
      </c>
      <c r="H98" s="446">
        <f>단가산출근거!F5354</f>
        <v>535</v>
      </c>
      <c r="I98" s="482" t="s">
        <v>3371</v>
      </c>
      <c r="J98" s="451" t="str">
        <f>"_x0007_`COD|D01339_x0005_`QTY1|1_x0005_`BQC|유지1-2-2_x0005_`EQC|_x0005_`JDC|_x0005_`WQC|_x0005_`EDT|_x0005_`ADJ|F_x0005_`DET|"&amp;ROW(단가산출근거!A5305)&amp;"_x0005_`"</f>
        <v>_x0007_`COD|D01339_x0005_`QTY1|1_x0005_`BQC|유지1-2-2_x0005_`EQC|_x0005_`JDC|_x0005_`WQC|_x0005_`EDT|_x0005_`ADJ|F_x0005_`DET|5305_x0005_`</v>
      </c>
      <c r="K98" s="433" t="str">
        <f ca="1">HYPERLINK("#"&amp;단가산출근거!G2&amp;"!A"&amp;ROW(단가산출근거!A5305),"D01339 →")</f>
        <v>D01339 →</v>
      </c>
    </row>
    <row r="99" spans="1:11" ht="23.1" customHeight="1">
      <c r="A99" s="460" t="s">
        <v>5463</v>
      </c>
      <c r="B99" s="452" t="s">
        <v>5459</v>
      </c>
      <c r="C99" s="452" t="s">
        <v>1944</v>
      </c>
      <c r="D99" s="460" t="s">
        <v>1799</v>
      </c>
      <c r="E99" s="446">
        <f>단가산출근거!C5404</f>
        <v>37380</v>
      </c>
      <c r="F99" s="453">
        <f>단가산출근거!D5404</f>
        <v>36504</v>
      </c>
      <c r="G99" s="454">
        <f>단가산출근거!E5404</f>
        <v>0</v>
      </c>
      <c r="H99" s="446">
        <f>단가산출근거!F5404</f>
        <v>876</v>
      </c>
      <c r="I99" s="482" t="s">
        <v>3371</v>
      </c>
      <c r="J99" s="451" t="str">
        <f>"_x0007_`COD|D01340_x0005_`QTY1|1_x0005_`BQC|유지1-2-2_x0005_`EQC|_x0005_`JDC|_x0005_`WQC|_x0005_`EDT|_x0005_`ADJ|F_x0005_`DET|"&amp;ROW(단가산출근거!A5355)&amp;"_x0005_`"</f>
        <v>_x0007_`COD|D01340_x0005_`QTY1|1_x0005_`BQC|유지1-2-2_x0005_`EQC|_x0005_`JDC|_x0005_`WQC|_x0005_`EDT|_x0005_`ADJ|F_x0005_`DET|5355_x0005_`</v>
      </c>
      <c r="K99" s="433" t="str">
        <f ca="1">HYPERLINK("#"&amp;단가산출근거!G2&amp;"!A"&amp;ROW(단가산출근거!A5355),"D01340 →")</f>
        <v>D01340 →</v>
      </c>
    </row>
    <row r="100" spans="1:11" ht="23.1" customHeight="1">
      <c r="A100" s="460" t="s">
        <v>5466</v>
      </c>
      <c r="B100" s="452" t="s">
        <v>5459</v>
      </c>
      <c r="C100" s="452" t="s">
        <v>1948</v>
      </c>
      <c r="D100" s="460" t="s">
        <v>1799</v>
      </c>
      <c r="E100" s="446">
        <f>단가산출근거!C5454</f>
        <v>63258</v>
      </c>
      <c r="F100" s="453">
        <f>단가산출근거!D5454</f>
        <v>61776</v>
      </c>
      <c r="G100" s="454">
        <f>단가산출근거!E5454</f>
        <v>0</v>
      </c>
      <c r="H100" s="446">
        <f>단가산출근거!F5454</f>
        <v>1482</v>
      </c>
      <c r="I100" s="482" t="s">
        <v>3371</v>
      </c>
      <c r="J100" s="451" t="str">
        <f>"_x0007_`COD|D01341_x0005_`QTY1|1_x0005_`BQC|유지1-2-2_x0005_`EQC|_x0005_`JDC|_x0005_`WQC|_x0005_`EDT|_x0005_`ADJ|F_x0005_`DET|"&amp;ROW(단가산출근거!A5405)&amp;"_x0005_`"</f>
        <v>_x0007_`COD|D01341_x0005_`QTY1|1_x0005_`BQC|유지1-2-2_x0005_`EQC|_x0005_`JDC|_x0005_`WQC|_x0005_`EDT|_x0005_`ADJ|F_x0005_`DET|5405_x0005_`</v>
      </c>
      <c r="K100" s="433" t="str">
        <f ca="1">HYPERLINK("#"&amp;단가산출근거!G2&amp;"!A"&amp;ROW(단가산출근거!A5405),"D01341 →")</f>
        <v>D01341 →</v>
      </c>
    </row>
    <row r="101" spans="1:11" ht="23.1" customHeight="1">
      <c r="A101" s="460" t="s">
        <v>5478</v>
      </c>
      <c r="B101" s="452" t="s">
        <v>5459</v>
      </c>
      <c r="C101" s="452" t="s">
        <v>1969</v>
      </c>
      <c r="D101" s="460" t="s">
        <v>1799</v>
      </c>
      <c r="E101" s="446">
        <f>단가산출근거!C5504</f>
        <v>19579</v>
      </c>
      <c r="F101" s="453">
        <f>단가산출근거!D5504</f>
        <v>19121</v>
      </c>
      <c r="G101" s="454">
        <f>단가산출근거!E5504</f>
        <v>0</v>
      </c>
      <c r="H101" s="446">
        <f>단가산출근거!F5504</f>
        <v>458</v>
      </c>
      <c r="I101" s="482" t="s">
        <v>3371</v>
      </c>
      <c r="J101" s="451" t="str">
        <f>"_x0007_`COD|D01342_x0005_`QTY1|1_x0005_`BQC|유지1-2-2_x0005_`EQC|_x0005_`JDC|_x0005_`WQC|_x0005_`EDT|_x0005_`ADJ|F_x0005_`DET|"&amp;ROW(단가산출근거!A5455)&amp;"_x0005_`"</f>
        <v>_x0007_`COD|D01342_x0005_`QTY1|1_x0005_`BQC|유지1-2-2_x0005_`EQC|_x0005_`JDC|_x0005_`WQC|_x0005_`EDT|_x0005_`ADJ|F_x0005_`DET|5455_x0005_`</v>
      </c>
      <c r="K101" s="433" t="str">
        <f ca="1">HYPERLINK("#"&amp;단가산출근거!G2&amp;"!A"&amp;ROW(단가산출근거!A5455),"D01342 →")</f>
        <v>D01342 →</v>
      </c>
    </row>
    <row r="102" spans="1:11" ht="23.1" customHeight="1">
      <c r="A102" s="460" t="s">
        <v>5481</v>
      </c>
      <c r="B102" s="452" t="s">
        <v>5459</v>
      </c>
      <c r="C102" s="452" t="s">
        <v>1973</v>
      </c>
      <c r="D102" s="460" t="s">
        <v>1799</v>
      </c>
      <c r="E102" s="446">
        <f>단가산출근거!C5554</f>
        <v>34265</v>
      </c>
      <c r="F102" s="453">
        <f>단가산출근거!D5554</f>
        <v>33462</v>
      </c>
      <c r="G102" s="454">
        <f>단가산출근거!E5554</f>
        <v>0</v>
      </c>
      <c r="H102" s="446">
        <f>단가산출근거!F5554</f>
        <v>803</v>
      </c>
      <c r="I102" s="482" t="s">
        <v>3371</v>
      </c>
      <c r="J102" s="451" t="str">
        <f>"_x0007_`COD|D01343_x0005_`QTY1|1_x0005_`BQC|유지1-2-2_x0005_`EQC|_x0005_`JDC|_x0005_`WQC|_x0005_`EDT|_x0005_`ADJ|F_x0005_`DET|"&amp;ROW(단가산출근거!A5505)&amp;"_x0005_`"</f>
        <v>_x0007_`COD|D01343_x0005_`QTY1|1_x0005_`BQC|유지1-2-2_x0005_`EQC|_x0005_`JDC|_x0005_`WQC|_x0005_`EDT|_x0005_`ADJ|F_x0005_`DET|5505_x0005_`</v>
      </c>
      <c r="K102" s="433" t="str">
        <f ca="1">HYPERLINK("#"&amp;단가산출근거!G2&amp;"!A"&amp;ROW(단가산출근거!A5505),"D01343 →")</f>
        <v>D01343 →</v>
      </c>
    </row>
    <row r="103" spans="1:11" ht="23.1" customHeight="1">
      <c r="A103" s="460" t="s">
        <v>5484</v>
      </c>
      <c r="B103" s="452" t="s">
        <v>5459</v>
      </c>
      <c r="C103" s="452" t="s">
        <v>1977</v>
      </c>
      <c r="D103" s="460" t="s">
        <v>1799</v>
      </c>
      <c r="E103" s="446">
        <f>단가산출근거!C5604</f>
        <v>54823</v>
      </c>
      <c r="F103" s="453">
        <f>단가산출근거!D5604</f>
        <v>53539</v>
      </c>
      <c r="G103" s="454">
        <f>단가산출근거!E5604</f>
        <v>0</v>
      </c>
      <c r="H103" s="446">
        <f>단가산출근거!F5604</f>
        <v>1284</v>
      </c>
      <c r="I103" s="482" t="s">
        <v>3371</v>
      </c>
      <c r="J103" s="451" t="str">
        <f>"_x0007_`COD|D01344_x0005_`QTY1|1_x0005_`BQC|유지1-2-2_x0005_`EQC|_x0005_`JDC|_x0005_`WQC|_x0005_`EDT|_x0005_`ADJ|F_x0005_`DET|"&amp;ROW(단가산출근거!A5555)&amp;"_x0005_`"</f>
        <v>_x0007_`COD|D01344_x0005_`QTY1|1_x0005_`BQC|유지1-2-2_x0005_`EQC|_x0005_`JDC|_x0005_`WQC|_x0005_`EDT|_x0005_`ADJ|F_x0005_`DET|5555_x0005_`</v>
      </c>
      <c r="K103" s="433" t="str">
        <f ca="1">HYPERLINK("#"&amp;단가산출근거!G2&amp;"!A"&amp;ROW(단가산출근거!A5555),"D01344 →")</f>
        <v>D01344 →</v>
      </c>
    </row>
    <row r="104" spans="1:11" ht="23.1" customHeight="1">
      <c r="A104" s="460" t="s">
        <v>2205</v>
      </c>
      <c r="B104" s="452" t="s">
        <v>2130</v>
      </c>
      <c r="C104" s="452" t="s">
        <v>2204</v>
      </c>
      <c r="D104" s="460" t="s">
        <v>2132</v>
      </c>
      <c r="E104" s="446">
        <f>단가산출근거!C5654</f>
        <v>764746</v>
      </c>
      <c r="F104" s="453">
        <f>단가산출근거!D5654</f>
        <v>0</v>
      </c>
      <c r="G104" s="454">
        <f>단가산출근거!E5654</f>
        <v>0</v>
      </c>
      <c r="H104" s="446">
        <f>단가산출근거!F5654</f>
        <v>764746</v>
      </c>
      <c r="I104" s="482"/>
      <c r="J104" s="451" t="str">
        <f>"_x0007_`COD|D01197_x0005_`QTY1|1_x0005_`BQC|_x0005_`EQC|_x0005_`JDC|_x0005_`WQC|_x0005_`EDT|_x0005_`ADJ|F_x0005_`DET|"&amp;ROW(단가산출근거!A5605)&amp;"_x0005_`"</f>
        <v>_x0007_`COD|D01197_x0005_`QTY1|1_x0005_`BQC|_x0005_`EQC|_x0005_`JDC|_x0005_`WQC|_x0005_`EDT|_x0005_`ADJ|F_x0005_`DET|5605_x0005_`</v>
      </c>
      <c r="K104" s="433" t="str">
        <f ca="1">HYPERLINK("#"&amp;단가산출근거!G2&amp;"!A"&amp;ROW(단가산출근거!A5605),"D01197 →")</f>
        <v>D01197 →</v>
      </c>
    </row>
    <row r="105" spans="1:11" ht="23.1" customHeight="1">
      <c r="A105" s="460" t="s">
        <v>2209</v>
      </c>
      <c r="B105" s="452" t="s">
        <v>2130</v>
      </c>
      <c r="C105" s="452" t="s">
        <v>2208</v>
      </c>
      <c r="D105" s="460" t="s">
        <v>2132</v>
      </c>
      <c r="E105" s="446">
        <f>단가산출근거!C5704</f>
        <v>801247</v>
      </c>
      <c r="F105" s="453">
        <f>단가산출근거!D5704</f>
        <v>0</v>
      </c>
      <c r="G105" s="454">
        <f>단가산출근거!E5704</f>
        <v>0</v>
      </c>
      <c r="H105" s="446">
        <f>단가산출근거!F5704</f>
        <v>801247</v>
      </c>
      <c r="I105" s="482"/>
      <c r="J105" s="451" t="str">
        <f>"_x0007_`COD|D01198_x0005_`QTY1|1_x0005_`BQC|_x0005_`EQC|_x0005_`JDC|_x0005_`WQC|_x0005_`EDT|_x0005_`ADJ|F_x0005_`DET|"&amp;ROW(단가산출근거!A5655)&amp;"_x0005_`"</f>
        <v>_x0007_`COD|D01198_x0005_`QTY1|1_x0005_`BQC|_x0005_`EQC|_x0005_`JDC|_x0005_`WQC|_x0005_`EDT|_x0005_`ADJ|F_x0005_`DET|5655_x0005_`</v>
      </c>
      <c r="K105" s="433" t="str">
        <f ca="1">HYPERLINK("#"&amp;단가산출근거!G2&amp;"!A"&amp;ROW(단가산출근거!A5655),"D01198 →")</f>
        <v>D01198 →</v>
      </c>
    </row>
    <row r="106" spans="1:11" ht="23.1" customHeight="1">
      <c r="A106" s="460" t="s">
        <v>2213</v>
      </c>
      <c r="B106" s="452" t="s">
        <v>2130</v>
      </c>
      <c r="C106" s="452" t="s">
        <v>2212</v>
      </c>
      <c r="D106" s="460" t="s">
        <v>2132</v>
      </c>
      <c r="E106" s="446">
        <f>단가산출근거!C5754</f>
        <v>838333</v>
      </c>
      <c r="F106" s="453">
        <f>단가산출근거!D5754</f>
        <v>0</v>
      </c>
      <c r="G106" s="454">
        <f>단가산출근거!E5754</f>
        <v>0</v>
      </c>
      <c r="H106" s="446">
        <f>단가산출근거!F5754</f>
        <v>838333</v>
      </c>
      <c r="I106" s="482"/>
      <c r="J106" s="451" t="str">
        <f>"_x0007_`COD|D01199_x0005_`QTY1|1_x0005_`BQC|_x0005_`EQC|_x0005_`JDC|_x0005_`WQC|_x0005_`EDT|_x0005_`ADJ|F_x0005_`DET|"&amp;ROW(단가산출근거!A5705)&amp;"_x0005_`"</f>
        <v>_x0007_`COD|D01199_x0005_`QTY1|1_x0005_`BQC|_x0005_`EQC|_x0005_`JDC|_x0005_`WQC|_x0005_`EDT|_x0005_`ADJ|F_x0005_`DET|5705_x0005_`</v>
      </c>
      <c r="K106" s="433" t="str">
        <f ca="1">HYPERLINK("#"&amp;단가산출근거!G2&amp;"!A"&amp;ROW(단가산출근거!A5705),"D01199 →")</f>
        <v>D01199 →</v>
      </c>
    </row>
    <row r="107" spans="1:11" ht="23.1" customHeight="1">
      <c r="A107" s="460" t="s">
        <v>2217</v>
      </c>
      <c r="B107" s="452" t="s">
        <v>2130</v>
      </c>
      <c r="C107" s="452" t="s">
        <v>2216</v>
      </c>
      <c r="D107" s="460" t="s">
        <v>2132</v>
      </c>
      <c r="E107" s="446">
        <f>단가산출근거!C5804</f>
        <v>874551</v>
      </c>
      <c r="F107" s="453">
        <f>단가산출근거!D5804</f>
        <v>0</v>
      </c>
      <c r="G107" s="454">
        <f>단가산출근거!E5804</f>
        <v>0</v>
      </c>
      <c r="H107" s="446">
        <f>단가산출근거!F5804</f>
        <v>874551</v>
      </c>
      <c r="I107" s="482"/>
      <c r="J107" s="451" t="str">
        <f>"_x0007_`COD|D01200_x0005_`QTY1|1_x0005_`BQC|_x0005_`EQC|_x0005_`JDC|_x0005_`WQC|_x0005_`EDT|_x0005_`ADJ|F_x0005_`DET|"&amp;ROW(단가산출근거!A5755)&amp;"_x0005_`"</f>
        <v>_x0007_`COD|D01200_x0005_`QTY1|1_x0005_`BQC|_x0005_`EQC|_x0005_`JDC|_x0005_`WQC|_x0005_`EDT|_x0005_`ADJ|F_x0005_`DET|5755_x0005_`</v>
      </c>
      <c r="K107" s="433" t="str">
        <f ca="1">HYPERLINK("#"&amp;단가산출근거!G2&amp;"!A"&amp;ROW(단가산출근거!A5755),"D01200 →")</f>
        <v>D01200 →</v>
      </c>
    </row>
    <row r="108" spans="1:11" ht="23.1" customHeight="1">
      <c r="A108" s="460" t="s">
        <v>2221</v>
      </c>
      <c r="B108" s="452" t="s">
        <v>2130</v>
      </c>
      <c r="C108" s="452" t="s">
        <v>2220</v>
      </c>
      <c r="D108" s="460" t="s">
        <v>2132</v>
      </c>
      <c r="E108" s="446">
        <f>단가산출근거!C5854</f>
        <v>911618</v>
      </c>
      <c r="F108" s="453">
        <f>단가산출근거!D5854</f>
        <v>0</v>
      </c>
      <c r="G108" s="454">
        <f>단가산출근거!E5854</f>
        <v>0</v>
      </c>
      <c r="H108" s="446">
        <f>단가산출근거!F5854</f>
        <v>911618</v>
      </c>
      <c r="I108" s="482"/>
      <c r="J108" s="451" t="str">
        <f>"_x0007_`COD|D01201_x0005_`QTY1|1_x0005_`BQC|_x0005_`EQC|_x0005_`JDC|_x0005_`WQC|_x0005_`EDT|_x0005_`ADJ|F_x0005_`DET|"&amp;ROW(단가산출근거!A5805)&amp;"_x0005_`"</f>
        <v>_x0007_`COD|D01201_x0005_`QTY1|1_x0005_`BQC|_x0005_`EQC|_x0005_`JDC|_x0005_`WQC|_x0005_`EDT|_x0005_`ADJ|F_x0005_`DET|5805_x0005_`</v>
      </c>
      <c r="K108" s="433" t="str">
        <f ca="1">HYPERLINK("#"&amp;단가산출근거!G2&amp;"!A"&amp;ROW(단가산출근거!A5805),"D01201 →")</f>
        <v>D01201 →</v>
      </c>
    </row>
    <row r="109" spans="1:11" ht="23.1" customHeight="1">
      <c r="A109" s="460" t="s">
        <v>2225</v>
      </c>
      <c r="B109" s="452" t="s">
        <v>2130</v>
      </c>
      <c r="C109" s="452" t="s">
        <v>2224</v>
      </c>
      <c r="D109" s="460" t="s">
        <v>2132</v>
      </c>
      <c r="E109" s="446">
        <f>단가산출근거!C5904</f>
        <v>948033</v>
      </c>
      <c r="F109" s="453">
        <f>단가산출근거!D5904</f>
        <v>0</v>
      </c>
      <c r="G109" s="454">
        <f>단가산출근거!E5904</f>
        <v>0</v>
      </c>
      <c r="H109" s="446">
        <f>단가산출근거!F5904</f>
        <v>948033</v>
      </c>
      <c r="I109" s="482"/>
      <c r="J109" s="451" t="str">
        <f>"_x0007_`COD|D01202_x0005_`QTY1|1_x0005_`BQC|_x0005_`EQC|_x0005_`JDC|_x0005_`WQC|_x0005_`EDT|_x0005_`ADJ|F_x0005_`DET|"&amp;ROW(단가산출근거!A5855)&amp;"_x0005_`"</f>
        <v>_x0007_`COD|D01202_x0005_`QTY1|1_x0005_`BQC|_x0005_`EQC|_x0005_`JDC|_x0005_`WQC|_x0005_`EDT|_x0005_`ADJ|F_x0005_`DET|5855_x0005_`</v>
      </c>
      <c r="K109" s="433" t="str">
        <f ca="1">HYPERLINK("#"&amp;단가산출근거!G2&amp;"!A"&amp;ROW(단가산출근거!A5855),"D01202 →")</f>
        <v>D01202 →</v>
      </c>
    </row>
    <row r="110" spans="1:11" ht="23.1" customHeight="1">
      <c r="A110" s="460" t="s">
        <v>2229</v>
      </c>
      <c r="B110" s="452" t="s">
        <v>2130</v>
      </c>
      <c r="C110" s="452" t="s">
        <v>2228</v>
      </c>
      <c r="D110" s="460" t="s">
        <v>2132</v>
      </c>
      <c r="E110" s="446">
        <f>단가산출근거!C5954</f>
        <v>984652</v>
      </c>
      <c r="F110" s="453">
        <f>단가산출근거!D5954</f>
        <v>0</v>
      </c>
      <c r="G110" s="454">
        <f>단가산출근거!E5954</f>
        <v>0</v>
      </c>
      <c r="H110" s="446">
        <f>단가산출근거!F5954</f>
        <v>984652</v>
      </c>
      <c r="I110" s="482"/>
      <c r="J110" s="451" t="str">
        <f>"_x0007_`COD|D01203_x0005_`QTY1|1_x0005_`BQC|_x0005_`EQC|_x0005_`JDC|_x0005_`WQC|_x0005_`EDT|_x0005_`ADJ|F_x0005_`DET|"&amp;ROW(단가산출근거!A5905)&amp;"_x0005_`"</f>
        <v>_x0007_`COD|D01203_x0005_`QTY1|1_x0005_`BQC|_x0005_`EQC|_x0005_`JDC|_x0005_`WQC|_x0005_`EDT|_x0005_`ADJ|F_x0005_`DET|5905_x0005_`</v>
      </c>
      <c r="K110" s="433" t="str">
        <f ca="1">HYPERLINK("#"&amp;단가산출근거!G2&amp;"!A"&amp;ROW(단가산출근거!A5905),"D01203 →")</f>
        <v>D01203 →</v>
      </c>
    </row>
    <row r="111" spans="1:11" ht="23.1" customHeight="1">
      <c r="A111" s="460" t="s">
        <v>2233</v>
      </c>
      <c r="B111" s="452" t="s">
        <v>2130</v>
      </c>
      <c r="C111" s="452" t="s">
        <v>2232</v>
      </c>
      <c r="D111" s="460" t="s">
        <v>2132</v>
      </c>
      <c r="E111" s="446">
        <f>단가산출근거!C6004</f>
        <v>1021175</v>
      </c>
      <c r="F111" s="453">
        <f>단가산출근거!D6004</f>
        <v>0</v>
      </c>
      <c r="G111" s="454">
        <f>단가산출근거!E6004</f>
        <v>0</v>
      </c>
      <c r="H111" s="446">
        <f>단가산출근거!F6004</f>
        <v>1021175</v>
      </c>
      <c r="I111" s="482"/>
      <c r="J111" s="451" t="str">
        <f>"_x0007_`COD|D01204_x0005_`QTY1|1_x0005_`BQC|_x0005_`EQC|_x0005_`JDC|_x0005_`WQC|_x0005_`EDT|_x0005_`ADJ|F_x0005_`DET|"&amp;ROW(단가산출근거!A5955)&amp;"_x0005_`"</f>
        <v>_x0007_`COD|D01204_x0005_`QTY1|1_x0005_`BQC|_x0005_`EQC|_x0005_`JDC|_x0005_`WQC|_x0005_`EDT|_x0005_`ADJ|F_x0005_`DET|5955_x0005_`</v>
      </c>
      <c r="K111" s="433" t="str">
        <f ca="1">HYPERLINK("#"&amp;단가산출근거!G2&amp;"!A"&amp;ROW(단가산출근거!A5955),"D01204 →")</f>
        <v>D01204 →</v>
      </c>
    </row>
    <row r="112" spans="1:11" ht="23.1" customHeight="1">
      <c r="A112" s="460" t="s">
        <v>2237</v>
      </c>
      <c r="B112" s="452" t="s">
        <v>2130</v>
      </c>
      <c r="C112" s="452" t="s">
        <v>2236</v>
      </c>
      <c r="D112" s="460" t="s">
        <v>2132</v>
      </c>
      <c r="E112" s="446">
        <f>단가산출근거!C6054</f>
        <v>1095974</v>
      </c>
      <c r="F112" s="453">
        <f>단가산출근거!D6054</f>
        <v>0</v>
      </c>
      <c r="G112" s="454">
        <f>단가산출근거!E6054</f>
        <v>0</v>
      </c>
      <c r="H112" s="446">
        <f>단가산출근거!F6054</f>
        <v>1095974</v>
      </c>
      <c r="I112" s="482"/>
      <c r="J112" s="451" t="str">
        <f>"_x0007_`COD|D01206_x0005_`QTY1|1_x0005_`BQC|_x0005_`EQC|_x0005_`JDC|_x0005_`WQC|_x0005_`EDT|_x0005_`ADJ|F_x0005_`DET|"&amp;ROW(단가산출근거!A6005)&amp;"_x0005_`"</f>
        <v>_x0007_`COD|D01206_x0005_`QTY1|1_x0005_`BQC|_x0005_`EQC|_x0005_`JDC|_x0005_`WQC|_x0005_`EDT|_x0005_`ADJ|F_x0005_`DET|6005_x0005_`</v>
      </c>
      <c r="K112" s="433" t="str">
        <f ca="1">HYPERLINK("#"&amp;단가산출근거!G2&amp;"!A"&amp;ROW(단가산출근거!A6005),"D01206 →")</f>
        <v>D01206 →</v>
      </c>
    </row>
    <row r="113" spans="1:11" ht="23.1" customHeight="1">
      <c r="A113" s="460" t="s">
        <v>2241</v>
      </c>
      <c r="B113" s="452" t="s">
        <v>2130</v>
      </c>
      <c r="C113" s="452" t="s">
        <v>2240</v>
      </c>
      <c r="D113" s="460" t="s">
        <v>2132</v>
      </c>
      <c r="E113" s="446">
        <f>단가산출근거!C6104</f>
        <v>1132026</v>
      </c>
      <c r="F113" s="453">
        <f>단가산출근거!D6104</f>
        <v>0</v>
      </c>
      <c r="G113" s="454">
        <f>단가산출근거!E6104</f>
        <v>0</v>
      </c>
      <c r="H113" s="446">
        <f>단가산출근거!F6104</f>
        <v>1132026</v>
      </c>
      <c r="I113" s="482"/>
      <c r="J113" s="451" t="str">
        <f>"_x0007_`COD|D01207_x0005_`QTY1|1_x0005_`BQC|_x0005_`EQC|_x0005_`JDC|_x0005_`WQC|_x0005_`EDT|_x0005_`ADJ|F_x0005_`DET|"&amp;ROW(단가산출근거!A6055)&amp;"_x0005_`"</f>
        <v>_x0007_`COD|D01207_x0005_`QTY1|1_x0005_`BQC|_x0005_`EQC|_x0005_`JDC|_x0005_`WQC|_x0005_`EDT|_x0005_`ADJ|F_x0005_`DET|6055_x0005_`</v>
      </c>
      <c r="K113" s="433" t="str">
        <f ca="1">HYPERLINK("#"&amp;단가산출근거!G2&amp;"!A"&amp;ROW(단가산출근거!A6055),"D01207 →")</f>
        <v>D01207 →</v>
      </c>
    </row>
    <row r="114" spans="1:11" ht="23.1" customHeight="1">
      <c r="A114" s="460" t="s">
        <v>2133</v>
      </c>
      <c r="B114" s="452" t="s">
        <v>2130</v>
      </c>
      <c r="C114" s="452" t="s">
        <v>2131</v>
      </c>
      <c r="D114" s="460" t="s">
        <v>2132</v>
      </c>
      <c r="E114" s="446">
        <f>단가산출근거!C6154</f>
        <v>103999</v>
      </c>
      <c r="F114" s="453">
        <f>단가산출근거!D6154</f>
        <v>0</v>
      </c>
      <c r="G114" s="454">
        <f>단가산출근거!E6154</f>
        <v>0</v>
      </c>
      <c r="H114" s="446">
        <f>단가산출근거!F6154</f>
        <v>103999</v>
      </c>
      <c r="I114" s="482"/>
      <c r="J114" s="451" t="str">
        <f>"_x0007_`COD|D01179_x0005_`QTY1|1_x0005_`BQC|_x0005_`EQC|_x0005_`JDC|_x0005_`WQC|_x0005_`EDT|_x0005_`ADJ|F_x0005_`DET|"&amp;ROW(단가산출근거!A6105)&amp;"_x0005_`"</f>
        <v>_x0007_`COD|D01179_x0005_`QTY1|1_x0005_`BQC|_x0005_`EQC|_x0005_`JDC|_x0005_`WQC|_x0005_`EDT|_x0005_`ADJ|F_x0005_`DET|6105_x0005_`</v>
      </c>
      <c r="K114" s="433" t="str">
        <f ca="1">HYPERLINK("#"&amp;단가산출근거!G2&amp;"!A"&amp;ROW(단가산출근거!A6105),"D01179 →")</f>
        <v>D01179 →</v>
      </c>
    </row>
    <row r="115" spans="1:11" ht="23.1" customHeight="1">
      <c r="A115" s="460" t="s">
        <v>2137</v>
      </c>
      <c r="B115" s="452" t="s">
        <v>2130</v>
      </c>
      <c r="C115" s="452" t="s">
        <v>2136</v>
      </c>
      <c r="D115" s="460" t="s">
        <v>2132</v>
      </c>
      <c r="E115" s="446">
        <f>단가산출근거!C6204</f>
        <v>140722</v>
      </c>
      <c r="F115" s="453">
        <f>단가산출근거!D6204</f>
        <v>0</v>
      </c>
      <c r="G115" s="454">
        <f>단가산출근거!E6204</f>
        <v>0</v>
      </c>
      <c r="H115" s="446">
        <f>단가산출근거!F6204</f>
        <v>140722</v>
      </c>
      <c r="I115" s="482"/>
      <c r="J115" s="451" t="str">
        <f>"_x0007_`COD|D01180_x0005_`QTY1|1_x0005_`BQC|_x0005_`EQC|_x0005_`JDC|_x0005_`WQC|_x0005_`EDT|_x0005_`ADJ|F_x0005_`DET|"&amp;ROW(단가산출근거!A6155)&amp;"_x0005_`"</f>
        <v>_x0007_`COD|D01180_x0005_`QTY1|1_x0005_`BQC|_x0005_`EQC|_x0005_`JDC|_x0005_`WQC|_x0005_`EDT|_x0005_`ADJ|F_x0005_`DET|6155_x0005_`</v>
      </c>
      <c r="K115" s="433" t="str">
        <f ca="1">HYPERLINK("#"&amp;단가산출근거!G2&amp;"!A"&amp;ROW(단가산출근거!A6155),"D01180 →")</f>
        <v>D01180 →</v>
      </c>
    </row>
    <row r="116" spans="1:11" ht="23.1" customHeight="1">
      <c r="A116" s="460" t="s">
        <v>2141</v>
      </c>
      <c r="B116" s="452" t="s">
        <v>2130</v>
      </c>
      <c r="C116" s="452" t="s">
        <v>2140</v>
      </c>
      <c r="D116" s="460" t="s">
        <v>2132</v>
      </c>
      <c r="E116" s="446">
        <f>단가산출근거!C6254</f>
        <v>177435</v>
      </c>
      <c r="F116" s="453">
        <f>단가산출근거!D6254</f>
        <v>0</v>
      </c>
      <c r="G116" s="454">
        <f>단가산출근거!E6254</f>
        <v>0</v>
      </c>
      <c r="H116" s="446">
        <f>단가산출근거!F6254</f>
        <v>177435</v>
      </c>
      <c r="I116" s="482"/>
      <c r="J116" s="451" t="str">
        <f>"_x0007_`COD|D01181_x0005_`QTY1|1_x0005_`BQC|_x0005_`EQC|_x0005_`JDC|_x0005_`WQC|_x0005_`EDT|_x0005_`ADJ|F_x0005_`DET|"&amp;ROW(단가산출근거!A6205)&amp;"_x0005_`"</f>
        <v>_x0007_`COD|D01181_x0005_`QTY1|1_x0005_`BQC|_x0005_`EQC|_x0005_`JDC|_x0005_`WQC|_x0005_`EDT|_x0005_`ADJ|F_x0005_`DET|6205_x0005_`</v>
      </c>
      <c r="K116" s="433" t="str">
        <f ca="1">HYPERLINK("#"&amp;단가산출근거!G2&amp;"!A"&amp;ROW(단가산출근거!A6205),"D01181 →")</f>
        <v>D01181 →</v>
      </c>
    </row>
    <row r="117" spans="1:11" ht="23.1" customHeight="1">
      <c r="A117" s="460" t="s">
        <v>2145</v>
      </c>
      <c r="B117" s="452" t="s">
        <v>2130</v>
      </c>
      <c r="C117" s="452" t="s">
        <v>2144</v>
      </c>
      <c r="D117" s="460" t="s">
        <v>2132</v>
      </c>
      <c r="E117" s="446">
        <f>단가산출근거!C6304</f>
        <v>214148</v>
      </c>
      <c r="F117" s="453">
        <f>단가산출근거!D6304</f>
        <v>0</v>
      </c>
      <c r="G117" s="454">
        <f>단가산출근거!E6304</f>
        <v>0</v>
      </c>
      <c r="H117" s="446">
        <f>단가산출근거!F6304</f>
        <v>214148</v>
      </c>
      <c r="I117" s="482"/>
      <c r="J117" s="451" t="str">
        <f>"_x0007_`COD|D01182_x0005_`QTY1|1_x0005_`BQC|_x0005_`EQC|_x0005_`JDC|_x0005_`WQC|_x0005_`EDT|_x0005_`ADJ|F_x0005_`DET|"&amp;ROW(단가산출근거!A6255)&amp;"_x0005_`"</f>
        <v>_x0007_`COD|D01182_x0005_`QTY1|1_x0005_`BQC|_x0005_`EQC|_x0005_`JDC|_x0005_`WQC|_x0005_`EDT|_x0005_`ADJ|F_x0005_`DET|6255_x0005_`</v>
      </c>
      <c r="K117" s="433" t="str">
        <f ca="1">HYPERLINK("#"&amp;단가산출근거!G2&amp;"!A"&amp;ROW(단가산출근거!A6255),"D01182 →")</f>
        <v>D01182 →</v>
      </c>
    </row>
    <row r="118" spans="1:11" ht="23.1" customHeight="1">
      <c r="A118" s="460" t="s">
        <v>2149</v>
      </c>
      <c r="B118" s="452" t="s">
        <v>2130</v>
      </c>
      <c r="C118" s="452" t="s">
        <v>2148</v>
      </c>
      <c r="D118" s="460" t="s">
        <v>2132</v>
      </c>
      <c r="E118" s="446">
        <f>단가산출근거!C6354</f>
        <v>250827</v>
      </c>
      <c r="F118" s="453">
        <f>단가산출근거!D6354</f>
        <v>0</v>
      </c>
      <c r="G118" s="454">
        <f>단가산출근거!E6354</f>
        <v>0</v>
      </c>
      <c r="H118" s="446">
        <f>단가산출근거!F6354</f>
        <v>250827</v>
      </c>
      <c r="I118" s="482"/>
      <c r="J118" s="451" t="str">
        <f>"_x0007_`COD|D01183_x0005_`QTY1|1_x0005_`BQC|_x0005_`EQC|_x0005_`JDC|_x0005_`WQC|_x0005_`EDT|_x0005_`ADJ|F_x0005_`DET|"&amp;ROW(단가산출근거!A6305)&amp;"_x0005_`"</f>
        <v>_x0007_`COD|D01183_x0005_`QTY1|1_x0005_`BQC|_x0005_`EQC|_x0005_`JDC|_x0005_`WQC|_x0005_`EDT|_x0005_`ADJ|F_x0005_`DET|6305_x0005_`</v>
      </c>
      <c r="K118" s="433" t="str">
        <f ca="1">HYPERLINK("#"&amp;단가산출근거!G2&amp;"!A"&amp;ROW(단가산출근거!A6305),"D01183 →")</f>
        <v>D01183 →</v>
      </c>
    </row>
    <row r="119" spans="1:11" ht="23.1" customHeight="1">
      <c r="A119" s="460" t="s">
        <v>2153</v>
      </c>
      <c r="B119" s="452" t="s">
        <v>2130</v>
      </c>
      <c r="C119" s="452" t="s">
        <v>2152</v>
      </c>
      <c r="D119" s="460" t="s">
        <v>2132</v>
      </c>
      <c r="E119" s="446">
        <f>단가산출근거!C6404</f>
        <v>287498</v>
      </c>
      <c r="F119" s="453">
        <f>단가산출근거!D6404</f>
        <v>0</v>
      </c>
      <c r="G119" s="454">
        <f>단가산출근거!E6404</f>
        <v>0</v>
      </c>
      <c r="H119" s="446">
        <f>단가산출근거!F6404</f>
        <v>287498</v>
      </c>
      <c r="I119" s="482"/>
      <c r="J119" s="451" t="str">
        <f>"_x0007_`COD|D01184_x0005_`QTY1|1_x0005_`BQC|_x0005_`EQC|_x0005_`JDC|_x0005_`WQC|_x0005_`EDT|_x0005_`ADJ|F_x0005_`DET|"&amp;ROW(단가산출근거!A6355)&amp;"_x0005_`"</f>
        <v>_x0007_`COD|D01184_x0005_`QTY1|1_x0005_`BQC|_x0005_`EQC|_x0005_`JDC|_x0005_`WQC|_x0005_`EDT|_x0005_`ADJ|F_x0005_`DET|6355_x0005_`</v>
      </c>
      <c r="K119" s="433" t="str">
        <f ca="1">HYPERLINK("#"&amp;단가산출근거!G2&amp;"!A"&amp;ROW(단가산출근거!A6355),"D01184 →")</f>
        <v>D01184 →</v>
      </c>
    </row>
    <row r="120" spans="1:11" ht="23.1" customHeight="1">
      <c r="A120" s="460" t="s">
        <v>2157</v>
      </c>
      <c r="B120" s="452" t="s">
        <v>2130</v>
      </c>
      <c r="C120" s="452" t="s">
        <v>2156</v>
      </c>
      <c r="D120" s="460" t="s">
        <v>2132</v>
      </c>
      <c r="E120" s="446">
        <f>단가산출근거!C6454</f>
        <v>324197</v>
      </c>
      <c r="F120" s="453">
        <f>단가산출근거!D6454</f>
        <v>0</v>
      </c>
      <c r="G120" s="454">
        <f>단가산출근거!E6454</f>
        <v>0</v>
      </c>
      <c r="H120" s="446">
        <f>단가산출근거!F6454</f>
        <v>324197</v>
      </c>
      <c r="I120" s="482"/>
      <c r="J120" s="451" t="str">
        <f>"_x0007_`COD|D01185_x0005_`QTY1|1_x0005_`BQC|_x0005_`EQC|_x0005_`JDC|_x0005_`WQC|_x0005_`EDT|_x0005_`ADJ|F_x0005_`DET|"&amp;ROW(단가산출근거!A6405)&amp;"_x0005_`"</f>
        <v>_x0007_`COD|D01185_x0005_`QTY1|1_x0005_`BQC|_x0005_`EQC|_x0005_`JDC|_x0005_`WQC|_x0005_`EDT|_x0005_`ADJ|F_x0005_`DET|6405_x0005_`</v>
      </c>
      <c r="K120" s="433" t="str">
        <f ca="1">HYPERLINK("#"&amp;단가산출근거!G2&amp;"!A"&amp;ROW(단가산출근거!A6405),"D01185 →")</f>
        <v>D01185 →</v>
      </c>
    </row>
    <row r="121" spans="1:11" ht="23.1" customHeight="1">
      <c r="A121" s="460" t="s">
        <v>2161</v>
      </c>
      <c r="B121" s="452" t="s">
        <v>2130</v>
      </c>
      <c r="C121" s="452" t="s">
        <v>2160</v>
      </c>
      <c r="D121" s="460" t="s">
        <v>2132</v>
      </c>
      <c r="E121" s="446">
        <f>단가산출근거!C6504</f>
        <v>360918</v>
      </c>
      <c r="F121" s="453">
        <f>단가산출근거!D6504</f>
        <v>0</v>
      </c>
      <c r="G121" s="454">
        <f>단가산출근거!E6504</f>
        <v>0</v>
      </c>
      <c r="H121" s="446">
        <f>단가산출근거!F6504</f>
        <v>360918</v>
      </c>
      <c r="I121" s="482"/>
      <c r="J121" s="451" t="str">
        <f>"_x0007_`COD|D01186_x0005_`QTY1|1_x0005_`BQC|_x0005_`EQC|_x0005_`JDC|_x0005_`WQC|_x0005_`EDT|_x0005_`ADJ|F_x0005_`DET|"&amp;ROW(단가산출근거!A6455)&amp;"_x0005_`"</f>
        <v>_x0007_`COD|D01186_x0005_`QTY1|1_x0005_`BQC|_x0005_`EQC|_x0005_`JDC|_x0005_`WQC|_x0005_`EDT|_x0005_`ADJ|F_x0005_`DET|6455_x0005_`</v>
      </c>
      <c r="K121" s="433" t="str">
        <f ca="1">HYPERLINK("#"&amp;단가산출근거!G2&amp;"!A"&amp;ROW(단가산출근거!A6455),"D01186 →")</f>
        <v>D01186 →</v>
      </c>
    </row>
    <row r="122" spans="1:11" ht="23.1" customHeight="1">
      <c r="A122" s="460" t="s">
        <v>2165</v>
      </c>
      <c r="B122" s="452" t="s">
        <v>2130</v>
      </c>
      <c r="C122" s="452" t="s">
        <v>2164</v>
      </c>
      <c r="D122" s="460" t="s">
        <v>2132</v>
      </c>
      <c r="E122" s="446">
        <f>단가산출근거!C6554</f>
        <v>397615</v>
      </c>
      <c r="F122" s="453">
        <f>단가산출근거!D6554</f>
        <v>0</v>
      </c>
      <c r="G122" s="454">
        <f>단가산출근거!E6554</f>
        <v>0</v>
      </c>
      <c r="H122" s="446">
        <f>단가산출근거!F6554</f>
        <v>397615</v>
      </c>
      <c r="I122" s="482"/>
      <c r="J122" s="451" t="str">
        <f>"_x0007_`COD|D01187_x0005_`QTY1|1_x0005_`BQC|_x0005_`EQC|_x0005_`JDC|_x0005_`WQC|_x0005_`EDT|_x0005_`ADJ|F_x0005_`DET|"&amp;ROW(단가산출근거!A6505)&amp;"_x0005_`"</f>
        <v>_x0007_`COD|D01187_x0005_`QTY1|1_x0005_`BQC|_x0005_`EQC|_x0005_`JDC|_x0005_`WQC|_x0005_`EDT|_x0005_`ADJ|F_x0005_`DET|6505_x0005_`</v>
      </c>
      <c r="K122" s="433" t="str">
        <f ca="1">HYPERLINK("#"&amp;단가산출근거!G2&amp;"!A"&amp;ROW(단가산출근거!A6505),"D01187 →")</f>
        <v>D01187 →</v>
      </c>
    </row>
    <row r="123" spans="1:11" ht="23.1" customHeight="1">
      <c r="A123" s="460" t="s">
        <v>2169</v>
      </c>
      <c r="B123" s="452" t="s">
        <v>2130</v>
      </c>
      <c r="C123" s="452" t="s">
        <v>2168</v>
      </c>
      <c r="D123" s="460" t="s">
        <v>2132</v>
      </c>
      <c r="E123" s="446">
        <f>단가산출근거!C6604</f>
        <v>434241</v>
      </c>
      <c r="F123" s="453">
        <f>단가산출근거!D6604</f>
        <v>0</v>
      </c>
      <c r="G123" s="454">
        <f>단가산출근거!E6604</f>
        <v>0</v>
      </c>
      <c r="H123" s="446">
        <f>단가산출근거!F6604</f>
        <v>434241</v>
      </c>
      <c r="I123" s="482"/>
      <c r="J123" s="451" t="str">
        <f>"_x0007_`COD|D01188_x0005_`QTY1|1_x0005_`BQC|_x0005_`EQC|_x0005_`JDC|_x0005_`WQC|_x0005_`EDT|_x0005_`ADJ|F_x0005_`DET|"&amp;ROW(단가산출근거!A6555)&amp;"_x0005_`"</f>
        <v>_x0007_`COD|D01188_x0005_`QTY1|1_x0005_`BQC|_x0005_`EQC|_x0005_`JDC|_x0005_`WQC|_x0005_`EDT|_x0005_`ADJ|F_x0005_`DET|6555_x0005_`</v>
      </c>
      <c r="K123" s="433" t="str">
        <f ca="1">HYPERLINK("#"&amp;단가산출근거!G2&amp;"!A"&amp;ROW(단가산출근거!A6555),"D01188 →")</f>
        <v>D01188 →</v>
      </c>
    </row>
    <row r="124" spans="1:11" ht="23.1" customHeight="1">
      <c r="A124" s="460" t="s">
        <v>2173</v>
      </c>
      <c r="B124" s="452" t="s">
        <v>2130</v>
      </c>
      <c r="C124" s="452" t="s">
        <v>2172</v>
      </c>
      <c r="D124" s="460" t="s">
        <v>2132</v>
      </c>
      <c r="E124" s="446">
        <f>단가산출근거!C6654</f>
        <v>471096</v>
      </c>
      <c r="F124" s="453">
        <f>단가산출근거!D6654</f>
        <v>0</v>
      </c>
      <c r="G124" s="454">
        <f>단가산출근거!E6654</f>
        <v>0</v>
      </c>
      <c r="H124" s="446">
        <f>단가산출근거!F6654</f>
        <v>471096</v>
      </c>
      <c r="I124" s="482"/>
      <c r="J124" s="451" t="str">
        <f>"_x0007_`COD|D01189_x0005_`QTY1|1_x0005_`BQC|_x0005_`EQC|_x0005_`JDC|_x0005_`WQC|_x0005_`EDT|_x0005_`ADJ|F_x0005_`DET|"&amp;ROW(단가산출근거!A6605)&amp;"_x0005_`"</f>
        <v>_x0007_`COD|D01189_x0005_`QTY1|1_x0005_`BQC|_x0005_`EQC|_x0005_`JDC|_x0005_`WQC|_x0005_`EDT|_x0005_`ADJ|F_x0005_`DET|6605_x0005_`</v>
      </c>
      <c r="K124" s="433" t="str">
        <f ca="1">HYPERLINK("#"&amp;단가산출근거!G2&amp;"!A"&amp;ROW(단가산출근거!A6605),"D01189 →")</f>
        <v>D01189 →</v>
      </c>
    </row>
    <row r="125" spans="1:11" ht="23.1" customHeight="1">
      <c r="A125" s="460" t="s">
        <v>2177</v>
      </c>
      <c r="B125" s="452" t="s">
        <v>2130</v>
      </c>
      <c r="C125" s="452" t="s">
        <v>2176</v>
      </c>
      <c r="D125" s="460" t="s">
        <v>2132</v>
      </c>
      <c r="E125" s="446">
        <f>단가산출근거!C6704</f>
        <v>507949</v>
      </c>
      <c r="F125" s="453">
        <f>단가산출근거!D6704</f>
        <v>0</v>
      </c>
      <c r="G125" s="454">
        <f>단가산출근거!E6704</f>
        <v>0</v>
      </c>
      <c r="H125" s="446">
        <f>단가산출근거!F6704</f>
        <v>507949</v>
      </c>
      <c r="I125" s="482"/>
      <c r="J125" s="451" t="str">
        <f>"_x0007_`COD|D01190_x0005_`QTY1|1_x0005_`BQC|_x0005_`EQC|_x0005_`JDC|_x0005_`WQC|_x0005_`EDT|_x0005_`ADJ|F_x0005_`DET|"&amp;ROW(단가산출근거!A6655)&amp;"_x0005_`"</f>
        <v>_x0007_`COD|D01190_x0005_`QTY1|1_x0005_`BQC|_x0005_`EQC|_x0005_`JDC|_x0005_`WQC|_x0005_`EDT|_x0005_`ADJ|F_x0005_`DET|6655_x0005_`</v>
      </c>
      <c r="K125" s="433" t="str">
        <f ca="1">HYPERLINK("#"&amp;단가산출근거!G2&amp;"!A"&amp;ROW(단가산출근거!A6655),"D01190 →")</f>
        <v>D01190 →</v>
      </c>
    </row>
    <row r="126" spans="1:11" ht="23.1" customHeight="1">
      <c r="A126" s="460" t="s">
        <v>2181</v>
      </c>
      <c r="B126" s="452" t="s">
        <v>2130</v>
      </c>
      <c r="C126" s="452" t="s">
        <v>2180</v>
      </c>
      <c r="D126" s="460" t="s">
        <v>2132</v>
      </c>
      <c r="E126" s="446">
        <f>단가산출근거!C6754</f>
        <v>544518</v>
      </c>
      <c r="F126" s="453">
        <f>단가산출근거!D6754</f>
        <v>0</v>
      </c>
      <c r="G126" s="454">
        <f>단가산출근거!E6754</f>
        <v>0</v>
      </c>
      <c r="H126" s="446">
        <f>단가산출근거!F6754</f>
        <v>544518</v>
      </c>
      <c r="I126" s="482"/>
      <c r="J126" s="451" t="str">
        <f>"_x0007_`COD|D01191_x0005_`QTY1|1_x0005_`BQC|_x0005_`EQC|_x0005_`JDC|_x0005_`WQC|_x0005_`EDT|_x0005_`ADJ|F_x0005_`DET|"&amp;ROW(단가산출근거!A6705)&amp;"_x0005_`"</f>
        <v>_x0007_`COD|D01191_x0005_`QTY1|1_x0005_`BQC|_x0005_`EQC|_x0005_`JDC|_x0005_`WQC|_x0005_`EDT|_x0005_`ADJ|F_x0005_`DET|6705_x0005_`</v>
      </c>
      <c r="K126" s="433" t="str">
        <f ca="1">HYPERLINK("#"&amp;단가산출근거!G2&amp;"!A"&amp;ROW(단가산출근거!A6705),"D01191 →")</f>
        <v>D01191 →</v>
      </c>
    </row>
    <row r="127" spans="1:11" ht="23.1" customHeight="1">
      <c r="A127" s="460" t="s">
        <v>2185</v>
      </c>
      <c r="B127" s="452" t="s">
        <v>2130</v>
      </c>
      <c r="C127" s="452" t="s">
        <v>2184</v>
      </c>
      <c r="D127" s="460" t="s">
        <v>2132</v>
      </c>
      <c r="E127" s="446">
        <f>단가산출근거!C6804</f>
        <v>581310</v>
      </c>
      <c r="F127" s="453">
        <f>단가산출근거!D6804</f>
        <v>0</v>
      </c>
      <c r="G127" s="454">
        <f>단가산출근거!E6804</f>
        <v>0</v>
      </c>
      <c r="H127" s="446">
        <f>단가산출근거!F6804</f>
        <v>581310</v>
      </c>
      <c r="I127" s="482"/>
      <c r="J127" s="451" t="str">
        <f>"_x0007_`COD|D01192_x0005_`QTY1|1_x0005_`BQC|_x0005_`EQC|_x0005_`JDC|_x0005_`WQC|_x0005_`EDT|_x0005_`ADJ|F_x0005_`DET|"&amp;ROW(단가산출근거!A6755)&amp;"_x0005_`"</f>
        <v>_x0007_`COD|D01192_x0005_`QTY1|1_x0005_`BQC|_x0005_`EQC|_x0005_`JDC|_x0005_`WQC|_x0005_`EDT|_x0005_`ADJ|F_x0005_`DET|6755_x0005_`</v>
      </c>
      <c r="K127" s="433" t="str">
        <f ca="1">HYPERLINK("#"&amp;단가산출근거!G2&amp;"!A"&amp;ROW(단가산출근거!A6755),"D01192 →")</f>
        <v>D01192 →</v>
      </c>
    </row>
    <row r="128" spans="1:11" ht="23.1" customHeight="1">
      <c r="A128" s="460" t="s">
        <v>2189</v>
      </c>
      <c r="B128" s="452" t="s">
        <v>2130</v>
      </c>
      <c r="C128" s="452" t="s">
        <v>2188</v>
      </c>
      <c r="D128" s="460" t="s">
        <v>2132</v>
      </c>
      <c r="E128" s="446">
        <f>단가산출근거!C6854</f>
        <v>617838</v>
      </c>
      <c r="F128" s="453">
        <f>단가산출근거!D6854</f>
        <v>0</v>
      </c>
      <c r="G128" s="454">
        <f>단가산출근거!E6854</f>
        <v>0</v>
      </c>
      <c r="H128" s="446">
        <f>단가산출근거!F6854</f>
        <v>617838</v>
      </c>
      <c r="I128" s="482"/>
      <c r="J128" s="451" t="str">
        <f>"_x0007_`COD|D01193_x0005_`QTY1|1_x0005_`BQC|_x0005_`EQC|_x0005_`JDC|_x0005_`WQC|_x0005_`EDT|_x0005_`ADJ|F_x0005_`DET|"&amp;ROW(단가산출근거!A6805)&amp;"_x0005_`"</f>
        <v>_x0007_`COD|D01193_x0005_`QTY1|1_x0005_`BQC|_x0005_`EQC|_x0005_`JDC|_x0005_`WQC|_x0005_`EDT|_x0005_`ADJ|F_x0005_`DET|6805_x0005_`</v>
      </c>
      <c r="K128" s="433" t="str">
        <f ca="1">HYPERLINK("#"&amp;단가산출근거!G2&amp;"!A"&amp;ROW(단가산출근거!A6805),"D01193 →")</f>
        <v>D01193 →</v>
      </c>
    </row>
    <row r="129" spans="1:11" ht="23.1" customHeight="1">
      <c r="A129" s="460" t="s">
        <v>2193</v>
      </c>
      <c r="B129" s="452" t="s">
        <v>2130</v>
      </c>
      <c r="C129" s="452" t="s">
        <v>2192</v>
      </c>
      <c r="D129" s="460" t="s">
        <v>2132</v>
      </c>
      <c r="E129" s="446">
        <f>단가산출근거!C6904</f>
        <v>654873</v>
      </c>
      <c r="F129" s="453">
        <f>단가산출근거!D6904</f>
        <v>0</v>
      </c>
      <c r="G129" s="454">
        <f>단가산출근거!E6904</f>
        <v>0</v>
      </c>
      <c r="H129" s="446">
        <f>단가산출근거!F6904</f>
        <v>654873</v>
      </c>
      <c r="I129" s="482"/>
      <c r="J129" s="451" t="str">
        <f>"_x0007_`COD|D01194_x0005_`QTY1|1_x0005_`BQC|_x0005_`EQC|_x0005_`JDC|_x0005_`WQC|_x0005_`EDT|_x0005_`ADJ|F_x0005_`DET|"&amp;ROW(단가산출근거!A6855)&amp;"_x0005_`"</f>
        <v>_x0007_`COD|D01194_x0005_`QTY1|1_x0005_`BQC|_x0005_`EQC|_x0005_`JDC|_x0005_`WQC|_x0005_`EDT|_x0005_`ADJ|F_x0005_`DET|6855_x0005_`</v>
      </c>
      <c r="K129" s="433" t="str">
        <f ca="1">HYPERLINK("#"&amp;단가산출근거!G2&amp;"!A"&amp;ROW(단가산출근거!A6855),"D01194 →")</f>
        <v>D01194 →</v>
      </c>
    </row>
    <row r="130" spans="1:11" ht="23.1" customHeight="1">
      <c r="A130" s="460" t="s">
        <v>2197</v>
      </c>
      <c r="B130" s="452" t="s">
        <v>2130</v>
      </c>
      <c r="C130" s="452" t="s">
        <v>2196</v>
      </c>
      <c r="D130" s="460" t="s">
        <v>2132</v>
      </c>
      <c r="E130" s="446">
        <f>단가산출근거!C6954</f>
        <v>691036</v>
      </c>
      <c r="F130" s="453">
        <f>단가산출근거!D6954</f>
        <v>0</v>
      </c>
      <c r="G130" s="454">
        <f>단가산출근거!E6954</f>
        <v>0</v>
      </c>
      <c r="H130" s="446">
        <f>단가산출근거!F6954</f>
        <v>691036</v>
      </c>
      <c r="I130" s="482"/>
      <c r="J130" s="451" t="str">
        <f>"_x0007_`COD|D01195_x0005_`QTY1|1_x0005_`BQC|_x0005_`EQC|_x0005_`JDC|_x0005_`WQC|_x0005_`EDT|_x0005_`ADJ|F_x0005_`DET|"&amp;ROW(단가산출근거!A6905)&amp;"_x0005_`"</f>
        <v>_x0007_`COD|D01195_x0005_`QTY1|1_x0005_`BQC|_x0005_`EQC|_x0005_`JDC|_x0005_`WQC|_x0005_`EDT|_x0005_`ADJ|F_x0005_`DET|6905_x0005_`</v>
      </c>
      <c r="K130" s="433" t="str">
        <f ca="1">HYPERLINK("#"&amp;단가산출근거!G2&amp;"!A"&amp;ROW(단가산출근거!A6905),"D01195 →")</f>
        <v>D01195 →</v>
      </c>
    </row>
    <row r="131" spans="1:11" ht="23.1" customHeight="1">
      <c r="A131" s="460" t="s">
        <v>2201</v>
      </c>
      <c r="B131" s="452" t="s">
        <v>2130</v>
      </c>
      <c r="C131" s="452" t="s">
        <v>2200</v>
      </c>
      <c r="D131" s="460" t="s">
        <v>2132</v>
      </c>
      <c r="E131" s="446">
        <f>단가산출근거!C7004</f>
        <v>728330</v>
      </c>
      <c r="F131" s="453">
        <f>단가산출근거!D7004</f>
        <v>0</v>
      </c>
      <c r="G131" s="454">
        <f>단가산출근거!E7004</f>
        <v>0</v>
      </c>
      <c r="H131" s="446">
        <f>단가산출근거!F7004</f>
        <v>728330</v>
      </c>
      <c r="I131" s="482"/>
      <c r="J131" s="451" t="str">
        <f>"_x0007_`COD|D01196_x0005_`QTY1|1_x0005_`BQC|_x0005_`EQC|_x0005_`JDC|_x0005_`WQC|_x0005_`EDT|_x0005_`ADJ|F_x0005_`DET|"&amp;ROW(단가산출근거!A6955)&amp;"_x0005_`"</f>
        <v>_x0007_`COD|D01196_x0005_`QTY1|1_x0005_`BQC|_x0005_`EQC|_x0005_`JDC|_x0005_`WQC|_x0005_`EDT|_x0005_`ADJ|F_x0005_`DET|6955_x0005_`</v>
      </c>
      <c r="K131" s="433" t="str">
        <f ca="1">HYPERLINK("#"&amp;단가산출근거!G2&amp;"!A"&amp;ROW(단가산출근거!A6955),"D01196 →")</f>
        <v>D01196 →</v>
      </c>
    </row>
    <row r="132" spans="1:11" ht="23.1" customHeight="1">
      <c r="A132" s="460" t="s">
        <v>1547</v>
      </c>
      <c r="B132" s="452" t="s">
        <v>1541</v>
      </c>
      <c r="C132" s="452" t="s">
        <v>1546</v>
      </c>
      <c r="D132" s="460" t="s">
        <v>595</v>
      </c>
      <c r="E132" s="446">
        <f>단가산출근거!C7054</f>
        <v>2662</v>
      </c>
      <c r="F132" s="453">
        <f>단가산출근거!D7054</f>
        <v>2585</v>
      </c>
      <c r="G132" s="454">
        <f>단가산출근거!E7054</f>
        <v>0</v>
      </c>
      <c r="H132" s="446">
        <f>단가산출근거!F7054</f>
        <v>77</v>
      </c>
      <c r="I132" s="482" t="s">
        <v>3372</v>
      </c>
      <c r="J132" s="451" t="str">
        <f>"_x0007_`COD|D01276_x0005_`QTY1|1_x0005_`BQC|유지3-3-3_x0005_`EQC|_x0005_`JDC|_x0005_`WQC|_x0005_`EDT|_x0005_`ADJ|F_x0005_`DET|"&amp;ROW(단가산출근거!A7005)&amp;"_x0005_`"</f>
        <v>_x0007_`COD|D01276_x0005_`QTY1|1_x0005_`BQC|유지3-3-3_x0005_`EQC|_x0005_`JDC|_x0005_`WQC|_x0005_`EDT|_x0005_`ADJ|F_x0005_`DET|7005_x0005_`</v>
      </c>
      <c r="K132" s="433" t="str">
        <f ca="1">HYPERLINK("#"&amp;단가산출근거!G2&amp;"!A"&amp;ROW(단가산출근거!A7005),"D01276 →")</f>
        <v>D01276 →</v>
      </c>
    </row>
    <row r="133" spans="1:11" ht="23.1" customHeight="1">
      <c r="A133" s="460" t="s">
        <v>1543</v>
      </c>
      <c r="B133" s="452" t="s">
        <v>1541</v>
      </c>
      <c r="C133" s="452" t="s">
        <v>1542</v>
      </c>
      <c r="D133" s="460" t="s">
        <v>595</v>
      </c>
      <c r="E133" s="446">
        <f>단가산출근거!C7104</f>
        <v>11984</v>
      </c>
      <c r="F133" s="453">
        <f>단가산출근거!D7104</f>
        <v>11635</v>
      </c>
      <c r="G133" s="454">
        <f>단가산출근거!E7104</f>
        <v>0</v>
      </c>
      <c r="H133" s="446">
        <f>단가산출근거!F7104</f>
        <v>349</v>
      </c>
      <c r="I133" s="482" t="s">
        <v>3373</v>
      </c>
      <c r="J133" s="451" t="str">
        <f>"_x0007_`COD|D01275_x0005_`QTY1|1_x0005_`BQC|유지3-3-2_x0005_`EQC|_x0005_`JDC|_x0005_`WQC|_x0005_`EDT|_x0005_`ADJ|F_x0005_`DET|"&amp;ROW(단가산출근거!A7055)&amp;"_x0005_`"</f>
        <v>_x0007_`COD|D01275_x0005_`QTY1|1_x0005_`BQC|유지3-3-2_x0005_`EQC|_x0005_`JDC|_x0005_`WQC|_x0005_`EDT|_x0005_`ADJ|F_x0005_`DET|7055_x0005_`</v>
      </c>
      <c r="K133" s="433" t="str">
        <f ca="1">HYPERLINK("#"&amp;단가산출근거!G2&amp;"!A"&amp;ROW(단가산출근거!A7055),"D01275 →")</f>
        <v>D01275 →</v>
      </c>
    </row>
    <row r="134" spans="1:11" ht="23.1" customHeight="1">
      <c r="A134" s="460" t="s">
        <v>1923</v>
      </c>
      <c r="B134" s="452" t="s">
        <v>1921</v>
      </c>
      <c r="C134" s="452" t="s">
        <v>1922</v>
      </c>
      <c r="D134" s="460" t="s">
        <v>595</v>
      </c>
      <c r="E134" s="446">
        <f>단가산출근거!C7154</f>
        <v>1095</v>
      </c>
      <c r="F134" s="453">
        <f>단가산출근거!D7154</f>
        <v>1095</v>
      </c>
      <c r="G134" s="454">
        <f>단가산출근거!E7154</f>
        <v>0</v>
      </c>
      <c r="H134" s="446">
        <f>단가산출근거!F7154</f>
        <v>0</v>
      </c>
      <c r="I134" s="482"/>
      <c r="J134" s="451" t="str">
        <f>"_x0007_`COD|D01210_x0005_`QTY1|1_x0005_`BQC|_x0005_`EQC|유지1-2-10_x0005_`JDC|_x0005_`WQC|_x0005_`EDT|_x0005_`ADJ|F_x0005_`DET|"&amp;ROW(단가산출근거!A7105)&amp;"_x0005_`"</f>
        <v>_x0007_`COD|D01210_x0005_`QTY1|1_x0005_`BQC|_x0005_`EQC|유지1-2-10_x0005_`JDC|_x0005_`WQC|_x0005_`EDT|_x0005_`ADJ|F_x0005_`DET|7105_x0005_`</v>
      </c>
      <c r="K134" s="433" t="str">
        <f ca="1">HYPERLINK("#"&amp;단가산출근거!G2&amp;"!A"&amp;ROW(단가산출근거!A7105),"D01210 →")</f>
        <v>D01210 →</v>
      </c>
    </row>
    <row r="135" spans="1:11" ht="23.1" customHeight="1">
      <c r="A135" s="460" t="s">
        <v>3374</v>
      </c>
      <c r="B135" s="452" t="s">
        <v>3167</v>
      </c>
      <c r="C135" s="452"/>
      <c r="D135" s="460" t="s">
        <v>2132</v>
      </c>
      <c r="E135" s="446">
        <f>단가산출근거!C7204</f>
        <v>144802</v>
      </c>
      <c r="F135" s="453">
        <f>단가산출근거!D7204</f>
        <v>116356</v>
      </c>
      <c r="G135" s="454">
        <f>단가산출근거!E7204</f>
        <v>10527</v>
      </c>
      <c r="H135" s="446">
        <f>단가산출근거!F7204</f>
        <v>17919</v>
      </c>
      <c r="I135" s="482"/>
      <c r="J135" s="451" t="str">
        <f>"_x0007_`COD|D01300_x0005_`QTY1|1_x0005_`BQC|_x0005_`EQC|_x0005_`JDC|_x0005_`WQC|_x0005_`EDT|_x0005_`ADJ|F_x0005_`DET|"&amp;ROW(단가산출근거!A7155)&amp;"_x0005_`"</f>
        <v>_x0007_`COD|D01300_x0005_`QTY1|1_x0005_`BQC|_x0005_`EQC|_x0005_`JDC|_x0005_`WQC|_x0005_`EDT|_x0005_`ADJ|F_x0005_`DET|7155_x0005_`</v>
      </c>
      <c r="K135" s="433" t="str">
        <f ca="1">HYPERLINK("#"&amp;단가산출근거!G2&amp;"!A"&amp;ROW(단가산출근거!A7155),"D01300 →")</f>
        <v>D01300 →</v>
      </c>
    </row>
    <row r="136" spans="1:11" ht="23.1" customHeight="1">
      <c r="A136" s="460" t="s">
        <v>1643</v>
      </c>
      <c r="B136" s="452" t="s">
        <v>1640</v>
      </c>
      <c r="C136" s="452" t="s">
        <v>1641</v>
      </c>
      <c r="D136" s="460" t="s">
        <v>1642</v>
      </c>
      <c r="E136" s="446">
        <f>단가산출근거!C7254</f>
        <v>29163</v>
      </c>
      <c r="F136" s="453">
        <f>단가산출근거!D7254</f>
        <v>24391</v>
      </c>
      <c r="G136" s="454">
        <f>단가산출근거!E7254</f>
        <v>2018</v>
      </c>
      <c r="H136" s="446">
        <f>단가산출근거!F7254</f>
        <v>2754</v>
      </c>
      <c r="I136" s="482"/>
      <c r="J136" s="451" t="str">
        <f>"_x0007_`COD|D01299_x0005_`QTY1|1_x0005_`BQC|_x0005_`EQC|_x0005_`JDC|_x0005_`WQC|_x0005_`EDT|_x0005_`ADJ|F_x0005_`DET|"&amp;ROW(단가산출근거!A7205)&amp;"_x0005_`"</f>
        <v>_x0007_`COD|D01299_x0005_`QTY1|1_x0005_`BQC|_x0005_`EQC|_x0005_`JDC|_x0005_`WQC|_x0005_`EDT|_x0005_`ADJ|F_x0005_`DET|7205_x0005_`</v>
      </c>
      <c r="K136" s="433" t="str">
        <f ca="1">HYPERLINK("#"&amp;단가산출근거!G2&amp;"!A"&amp;ROW(단가산출근거!A7205),"D01299 →")</f>
        <v>D01299 →</v>
      </c>
    </row>
    <row r="137" spans="1:11" ht="23.1" customHeight="1">
      <c r="A137" s="460" t="s">
        <v>3375</v>
      </c>
      <c r="B137" s="452" t="s">
        <v>3133</v>
      </c>
      <c r="C137" s="452"/>
      <c r="D137" s="460" t="s">
        <v>595</v>
      </c>
      <c r="E137" s="446">
        <f>단가산출근거!C7304</f>
        <v>5432</v>
      </c>
      <c r="F137" s="453">
        <f>단가산출근거!D7304</f>
        <v>5432</v>
      </c>
      <c r="G137" s="454">
        <f>단가산출근거!E7304</f>
        <v>0</v>
      </c>
      <c r="H137" s="446">
        <f>단가산출근거!F7304</f>
        <v>0</v>
      </c>
      <c r="I137" s="482" t="s">
        <v>3376</v>
      </c>
      <c r="J137" s="451" t="str">
        <f>"_x0007_`COD|D01216_x0005_`QTY1|1_x0005_`BQC|공통4-1-1_x0005_`EQC|_x0005_`JDC|_x0005_`WQC|_x0005_`EDT|_x0005_`ADJ|F_x0005_`DET|"&amp;ROW(단가산출근거!A7255)&amp;"_x0005_`"</f>
        <v>_x0007_`COD|D01216_x0005_`QTY1|1_x0005_`BQC|공통4-1-1_x0005_`EQC|_x0005_`JDC|_x0005_`WQC|_x0005_`EDT|_x0005_`ADJ|F_x0005_`DET|7255_x0005_`</v>
      </c>
      <c r="K137" s="433" t="str">
        <f ca="1">HYPERLINK("#"&amp;단가산출근거!G2&amp;"!A"&amp;ROW(단가산출근거!A7255),"D01216 →")</f>
        <v>D01216 →</v>
      </c>
    </row>
    <row r="138" spans="1:11" ht="23.1" customHeight="1">
      <c r="A138" s="460" t="s">
        <v>1999</v>
      </c>
      <c r="B138" s="452" t="s">
        <v>1997</v>
      </c>
      <c r="C138" s="452" t="s">
        <v>1998</v>
      </c>
      <c r="D138" s="460" t="s">
        <v>595</v>
      </c>
      <c r="E138" s="446">
        <f>단가산출근거!C7354</f>
        <v>949</v>
      </c>
      <c r="F138" s="453">
        <f>단가산출근거!D7354</f>
        <v>857</v>
      </c>
      <c r="G138" s="454">
        <f>단가산출근거!E7354</f>
        <v>2</v>
      </c>
      <c r="H138" s="446">
        <f>단가산출근거!F7354</f>
        <v>90</v>
      </c>
      <c r="I138" s="482" t="s">
        <v>3377</v>
      </c>
      <c r="J138" s="451" t="str">
        <f>"_x0007_`COD|D01177_x0005_`QTY1|1_x0005_`BQC|공통3-9-1_x0005_`EQC|_x0005_`JDC|_x0005_`WQC|_x0005_`EDT|_x0005_`ADJ|F_x0005_`DET|"&amp;ROW(단가산출근거!A7305)&amp;"_x0005_`"</f>
        <v>_x0007_`COD|D01177_x0005_`QTY1|1_x0005_`BQC|공통3-9-1_x0005_`EQC|_x0005_`JDC|_x0005_`WQC|_x0005_`EDT|_x0005_`ADJ|F_x0005_`DET|7305_x0005_`</v>
      </c>
      <c r="K138" s="433" t="str">
        <f ca="1">HYPERLINK("#"&amp;단가산출근거!G2&amp;"!A"&amp;ROW(단가산출근거!A7305),"D01177 →")</f>
        <v>D01177 →</v>
      </c>
    </row>
    <row r="139" spans="1:11" ht="23.1" customHeight="1">
      <c r="A139" s="460" t="s">
        <v>2003</v>
      </c>
      <c r="B139" s="452" t="s">
        <v>1997</v>
      </c>
      <c r="C139" s="452" t="s">
        <v>2002</v>
      </c>
      <c r="D139" s="460" t="s">
        <v>595</v>
      </c>
      <c r="E139" s="446">
        <f>단가산출근거!C7454</f>
        <v>1721</v>
      </c>
      <c r="F139" s="453">
        <f>단가산출근거!D7454</f>
        <v>1534</v>
      </c>
      <c r="G139" s="454">
        <f>단가산출근거!E7454</f>
        <v>60</v>
      </c>
      <c r="H139" s="446">
        <f>단가산출근거!F7454</f>
        <v>127</v>
      </c>
      <c r="I139" s="482" t="s">
        <v>3377</v>
      </c>
      <c r="J139" s="451" t="str">
        <f>"_x0007_`COD|D01175_x0005_`QTY1|1_x0005_`BQC|공통3-9-1_x0005_`EQC|_x0005_`JDC|_x0005_`WQC|_x0005_`EDT|_x0005_`ADJ|F_x0005_`DET|"&amp;ROW(단가산출근거!A7355)&amp;"_x0005_`"</f>
        <v>_x0007_`COD|D01175_x0005_`QTY1|1_x0005_`BQC|공통3-9-1_x0005_`EQC|_x0005_`JDC|_x0005_`WQC|_x0005_`EDT|_x0005_`ADJ|F_x0005_`DET|7355_x0005_`</v>
      </c>
      <c r="K139" s="433" t="str">
        <f ca="1">HYPERLINK("#"&amp;단가산출근거!G2&amp;"!A"&amp;ROW(단가산출근거!A7355),"D01175 →")</f>
        <v>D01175 →</v>
      </c>
    </row>
    <row r="140" spans="1:11" ht="23.1" customHeight="1">
      <c r="A140" s="460" t="s">
        <v>3378</v>
      </c>
      <c r="B140" s="452" t="s">
        <v>1997</v>
      </c>
      <c r="C140" s="452" t="s">
        <v>2539</v>
      </c>
      <c r="D140" s="460" t="s">
        <v>595</v>
      </c>
      <c r="E140" s="446">
        <f>단가산출근거!C7504</f>
        <v>921</v>
      </c>
      <c r="F140" s="453">
        <f>단가산출근거!D7504</f>
        <v>789</v>
      </c>
      <c r="G140" s="454">
        <f>단가산출근거!E7504</f>
        <v>22</v>
      </c>
      <c r="H140" s="446">
        <f>단가산출근거!F7504</f>
        <v>110</v>
      </c>
      <c r="I140" s="482" t="s">
        <v>3377</v>
      </c>
      <c r="J140" s="451" t="str">
        <f>"_x0007_`COD|D01217_x0005_`QTY1|1_x0005_`BQC|공통3-9-1_x0005_`EQC|_x0005_`JDC|_x0005_`WQC|_x0005_`EDT|_x0005_`ADJ|F_x0005_`DET|"&amp;ROW(단가산출근거!A7455)&amp;"_x0005_`"</f>
        <v>_x0007_`COD|D01217_x0005_`QTY1|1_x0005_`BQC|공통3-9-1_x0005_`EQC|_x0005_`JDC|_x0005_`WQC|_x0005_`EDT|_x0005_`ADJ|F_x0005_`DET|7455_x0005_`</v>
      </c>
      <c r="K140" s="433" t="str">
        <f ca="1">HYPERLINK("#"&amp;단가산출근거!G2&amp;"!A"&amp;ROW(단가산출근거!A7455),"D01217 →")</f>
        <v>D01217 →</v>
      </c>
    </row>
    <row r="141" spans="1:11" ht="23.1" customHeight="1">
      <c r="A141" s="460" t="s">
        <v>3379</v>
      </c>
      <c r="B141" s="452" t="s">
        <v>2580</v>
      </c>
      <c r="C141" s="452" t="s">
        <v>2581</v>
      </c>
      <c r="D141" s="460" t="s">
        <v>2132</v>
      </c>
      <c r="E141" s="446">
        <f>단가산출근거!C7604</f>
        <v>1386016</v>
      </c>
      <c r="F141" s="453">
        <f>단가산출근거!D7604</f>
        <v>1375031</v>
      </c>
      <c r="G141" s="454">
        <f>단가산출근거!E7604</f>
        <v>10985</v>
      </c>
      <c r="H141" s="446">
        <f>단가산출근거!F7604</f>
        <v>0</v>
      </c>
      <c r="I141" s="482" t="s">
        <v>3380</v>
      </c>
      <c r="J141" s="451" t="str">
        <f>"_x0007_`COD|D00950_x0005_`QTY1|1_x0005_`BQC|공통6-2-2_x0005_`EQC|_x0005_`JDC|_x0005_`WQC|_x0005_`EDT|_x0005_`ADJ|F_x0005_`DET|"&amp;ROW(단가산출근거!A7505)&amp;"_x0005_`"</f>
        <v>_x0007_`COD|D00950_x0005_`QTY1|1_x0005_`BQC|공통6-2-2_x0005_`EQC|_x0005_`JDC|_x0005_`WQC|_x0005_`EDT|_x0005_`ADJ|F_x0005_`DET|7505_x0005_`</v>
      </c>
      <c r="K141" s="433" t="str">
        <f ca="1">HYPERLINK("#"&amp;단가산출근거!G2&amp;"!A"&amp;ROW(단가산출근거!A7505),"D00950 →")</f>
        <v>D00950 →</v>
      </c>
    </row>
    <row r="142" spans="1:11" ht="23.1" customHeight="1">
      <c r="A142" s="460" t="s">
        <v>3381</v>
      </c>
      <c r="B142" s="452" t="s">
        <v>2944</v>
      </c>
      <c r="C142" s="452" t="s">
        <v>2581</v>
      </c>
      <c r="D142" s="460" t="s">
        <v>2132</v>
      </c>
      <c r="E142" s="446">
        <f>단가산출근거!C7654</f>
        <v>585976</v>
      </c>
      <c r="F142" s="453">
        <f>단가산출근거!D7654</f>
        <v>574487</v>
      </c>
      <c r="G142" s="454">
        <f>단가산출근거!E7654</f>
        <v>0</v>
      </c>
      <c r="H142" s="446">
        <f>단가산출근거!F7654</f>
        <v>11489</v>
      </c>
      <c r="I142" s="482" t="s">
        <v>3382</v>
      </c>
      <c r="J142" s="451" t="str">
        <f>"_x0007_`COD|D01230_x0005_`QTY1|1_x0005_`BQC|공통6-2-3_x0005_`EQC|_x0005_`JDC|_x0005_`WQC|_x0005_`EDT|_x0005_`ADJ|F_x0005_`DET|"&amp;ROW(단가산출근거!A7605)&amp;"_x0005_`"</f>
        <v>_x0007_`COD|D01230_x0005_`QTY1|1_x0005_`BQC|공통6-2-3_x0005_`EQC|_x0005_`JDC|_x0005_`WQC|_x0005_`EDT|_x0005_`ADJ|F_x0005_`DET|7605_x0005_`</v>
      </c>
      <c r="K142" s="433" t="str">
        <f ca="1">HYPERLINK("#"&amp;단가산출근거!G2&amp;"!A"&amp;ROW(단가산출근거!A7605),"D01230 →")</f>
        <v>D01230 →</v>
      </c>
    </row>
    <row r="143" spans="1:11" ht="23.1" customHeight="1">
      <c r="A143" s="460" t="s">
        <v>1905</v>
      </c>
      <c r="B143" s="452" t="s">
        <v>1899</v>
      </c>
      <c r="C143" s="452" t="s">
        <v>1904</v>
      </c>
      <c r="D143" s="460" t="s">
        <v>1799</v>
      </c>
      <c r="E143" s="446">
        <f>단가산출근거!C7704</f>
        <v>537</v>
      </c>
      <c r="F143" s="453">
        <f>단가산출근거!D7704</f>
        <v>487</v>
      </c>
      <c r="G143" s="454">
        <f>단가산출근거!E7704</f>
        <v>50</v>
      </c>
      <c r="H143" s="446">
        <f>단가산출근거!F7704</f>
        <v>0</v>
      </c>
      <c r="I143" s="482"/>
      <c r="J143" s="451" t="str">
        <f>"_x0007_`COD|D01296_x0005_`QTY1|1_x0005_`BQC|_x0005_`EQC|공통4-1-3_x0005_`JDC|_x0005_`WQC|_x0005_`EDT|_x0005_`ADJ|F_x0005_`DET|"&amp;ROW(단가산출근거!A7655)&amp;"_x0005_`"</f>
        <v>_x0007_`COD|D01296_x0005_`QTY1|1_x0005_`BQC|_x0005_`EQC|공통4-1-3_x0005_`JDC|_x0005_`WQC|_x0005_`EDT|_x0005_`ADJ|F_x0005_`DET|7655_x0005_`</v>
      </c>
      <c r="K143" s="433" t="str">
        <f ca="1">HYPERLINK("#"&amp;단가산출근거!G2&amp;"!A"&amp;ROW(단가산출근거!A7655),"D01296 →")</f>
        <v>D01296 →</v>
      </c>
    </row>
    <row r="144" spans="1:11" ht="23.1" customHeight="1">
      <c r="A144" s="460" t="s">
        <v>1909</v>
      </c>
      <c r="B144" s="452" t="s">
        <v>1899</v>
      </c>
      <c r="C144" s="452" t="s">
        <v>1908</v>
      </c>
      <c r="D144" s="460" t="s">
        <v>1799</v>
      </c>
      <c r="E144" s="446">
        <f>단가산출근거!C7754</f>
        <v>847</v>
      </c>
      <c r="F144" s="453">
        <f>단가산출근거!D7754</f>
        <v>797</v>
      </c>
      <c r="G144" s="454">
        <f>단가산출근거!E7754</f>
        <v>50</v>
      </c>
      <c r="H144" s="446">
        <f>단가산출근거!F7754</f>
        <v>0</v>
      </c>
      <c r="I144" s="482"/>
      <c r="J144" s="451" t="str">
        <f>"_x0007_`COD|D01297_x0005_`QTY1|1_x0005_`BQC|_x0005_`EQC|공통4-1-3_x0005_`JDC|_x0005_`WQC|_x0005_`EDT|_x0005_`ADJ|F_x0005_`DET|"&amp;ROW(단가산출근거!A7705)&amp;"_x0005_`"</f>
        <v>_x0007_`COD|D01297_x0005_`QTY1|1_x0005_`BQC|_x0005_`EQC|공통4-1-3_x0005_`JDC|_x0005_`WQC|_x0005_`EDT|_x0005_`ADJ|F_x0005_`DET|7705_x0005_`</v>
      </c>
      <c r="K144" s="433" t="str">
        <f ca="1">HYPERLINK("#"&amp;단가산출근거!G2&amp;"!A"&amp;ROW(단가산출근거!A7705),"D01297 →")</f>
        <v>D01297 →</v>
      </c>
    </row>
    <row r="145" spans="1:11" ht="23.1" customHeight="1">
      <c r="A145" s="460" t="s">
        <v>1901</v>
      </c>
      <c r="B145" s="452" t="s">
        <v>1899</v>
      </c>
      <c r="C145" s="452" t="s">
        <v>1900</v>
      </c>
      <c r="D145" s="460" t="s">
        <v>1799</v>
      </c>
      <c r="E145" s="446">
        <f>단가산출근거!C7804</f>
        <v>375</v>
      </c>
      <c r="F145" s="453">
        <f>단가산출근거!D7804</f>
        <v>325</v>
      </c>
      <c r="G145" s="454">
        <f>단가산출근거!E7804</f>
        <v>50</v>
      </c>
      <c r="H145" s="446">
        <f>단가산출근거!F7804</f>
        <v>0</v>
      </c>
      <c r="I145" s="482"/>
      <c r="J145" s="451" t="str">
        <f>"_x0007_`COD|D01295_x0005_`QTY1|1_x0005_`BQC|_x0005_`EQC|공통4-1-3_x0005_`JDC|_x0005_`WQC|_x0005_`EDT|_x0005_`ADJ|F_x0005_`DET|"&amp;ROW(단가산출근거!A7755)&amp;"_x0005_`"</f>
        <v>_x0007_`COD|D01295_x0005_`QTY1|1_x0005_`BQC|_x0005_`EQC|공통4-1-3_x0005_`JDC|_x0005_`WQC|_x0005_`EDT|_x0005_`ADJ|F_x0005_`DET|7755_x0005_`</v>
      </c>
      <c r="K145" s="433" t="str">
        <f ca="1">HYPERLINK("#"&amp;단가산출근거!G2&amp;"!A"&amp;ROW(단가산출근거!A7755),"D01295 →")</f>
        <v>D01295 →</v>
      </c>
    </row>
    <row r="146" spans="1:11" ht="23.1" customHeight="1">
      <c r="A146" s="460" t="s">
        <v>5409</v>
      </c>
      <c r="B146" s="452" t="s">
        <v>5405</v>
      </c>
      <c r="C146" s="452" t="s">
        <v>1904</v>
      </c>
      <c r="D146" s="460" t="s">
        <v>1799</v>
      </c>
      <c r="E146" s="446">
        <f>단가산출근거!C7854</f>
        <v>610</v>
      </c>
      <c r="F146" s="453">
        <f>단가산출근거!D7854</f>
        <v>560</v>
      </c>
      <c r="G146" s="454">
        <f>단가산출근거!E7854</f>
        <v>50</v>
      </c>
      <c r="H146" s="446">
        <f>단가산출근거!F7854</f>
        <v>0</v>
      </c>
      <c r="I146" s="482"/>
      <c r="J146" s="451" t="str">
        <f>"_x0007_`COD|D01360_x0005_`QTY1|1_x0005_`BQC|_x0005_`EQC|공통4-1-3_x0005_`JDC|_x0005_`WQC|_x0005_`EDT|_x0005_`ADJ|F_x0005_`DET|"&amp;ROW(단가산출근거!A7805)&amp;"_x0005_`"</f>
        <v>_x0007_`COD|D01360_x0005_`QTY1|1_x0005_`BQC|_x0005_`EQC|공통4-1-3_x0005_`JDC|_x0005_`WQC|_x0005_`EDT|_x0005_`ADJ|F_x0005_`DET|7805_x0005_`</v>
      </c>
      <c r="K146" s="433" t="str">
        <f ca="1">HYPERLINK("#"&amp;단가산출근거!G2&amp;"!A"&amp;ROW(단가산출근거!A7805),"D01360 →")</f>
        <v>D01360 →</v>
      </c>
    </row>
    <row r="147" spans="1:11" ht="23.1" customHeight="1">
      <c r="A147" s="460" t="s">
        <v>5412</v>
      </c>
      <c r="B147" s="452" t="s">
        <v>5405</v>
      </c>
      <c r="C147" s="452" t="s">
        <v>1908</v>
      </c>
      <c r="D147" s="460" t="s">
        <v>1799</v>
      </c>
      <c r="E147" s="446">
        <f>단가산출근거!C7904</f>
        <v>967</v>
      </c>
      <c r="F147" s="453">
        <f>단가산출근거!D7904</f>
        <v>917</v>
      </c>
      <c r="G147" s="454">
        <f>단가산출근거!E7904</f>
        <v>50</v>
      </c>
      <c r="H147" s="446">
        <f>단가산출근거!F7904</f>
        <v>0</v>
      </c>
      <c r="I147" s="482"/>
      <c r="J147" s="451" t="str">
        <f>"_x0007_`COD|D01361_x0005_`QTY1|1_x0005_`BQC|_x0005_`EQC|공통4-1-3_x0005_`JDC|_x0005_`WQC|_x0005_`EDT|_x0005_`ADJ|F_x0005_`DET|"&amp;ROW(단가산출근거!A7855)&amp;"_x0005_`"</f>
        <v>_x0007_`COD|D01361_x0005_`QTY1|1_x0005_`BQC|_x0005_`EQC|공통4-1-3_x0005_`JDC|_x0005_`WQC|_x0005_`EDT|_x0005_`ADJ|F_x0005_`DET|7855_x0005_`</v>
      </c>
      <c r="K147" s="433" t="str">
        <f ca="1">HYPERLINK("#"&amp;단가산출근거!G2&amp;"!A"&amp;ROW(단가산출근거!A7855),"D01361 →")</f>
        <v>D01361 →</v>
      </c>
    </row>
    <row r="148" spans="1:11" ht="23.1" customHeight="1">
      <c r="A148" s="460" t="s">
        <v>5406</v>
      </c>
      <c r="B148" s="452" t="s">
        <v>5405</v>
      </c>
      <c r="C148" s="452" t="s">
        <v>1900</v>
      </c>
      <c r="D148" s="460" t="s">
        <v>1799</v>
      </c>
      <c r="E148" s="446">
        <f>단가산출근거!C7954</f>
        <v>423</v>
      </c>
      <c r="F148" s="453">
        <f>단가산출근거!D7954</f>
        <v>373</v>
      </c>
      <c r="G148" s="454">
        <f>단가산출근거!E7954</f>
        <v>50</v>
      </c>
      <c r="H148" s="446">
        <f>단가산출근거!F7954</f>
        <v>0</v>
      </c>
      <c r="I148" s="482"/>
      <c r="J148" s="451" t="str">
        <f>"_x0007_`COD|D01359_x0005_`QTY1|1_x0005_`BQC|_x0005_`EQC|공통4-1-3_x0005_`JDC|_x0005_`WQC|_x0005_`EDT|_x0005_`ADJ|F_x0005_`DET|"&amp;ROW(단가산출근거!A7905)&amp;"_x0005_`"</f>
        <v>_x0007_`COD|D01359_x0005_`QTY1|1_x0005_`BQC|_x0005_`EQC|공통4-1-3_x0005_`JDC|_x0005_`WQC|_x0005_`EDT|_x0005_`ADJ|F_x0005_`DET|7905_x0005_`</v>
      </c>
      <c r="K148" s="433" t="str">
        <f ca="1">HYPERLINK("#"&amp;단가산출근거!G2&amp;"!A"&amp;ROW(단가산출근거!A7905),"D01359 →")</f>
        <v>D01359 →</v>
      </c>
    </row>
    <row r="149" spans="1:11" ht="23.1" customHeight="1">
      <c r="A149" s="460" t="s">
        <v>5419</v>
      </c>
      <c r="B149" s="452" t="s">
        <v>5415</v>
      </c>
      <c r="C149" s="452" t="s">
        <v>1904</v>
      </c>
      <c r="D149" s="460" t="s">
        <v>1799</v>
      </c>
      <c r="E149" s="446">
        <f>단가산출근거!C8004</f>
        <v>659</v>
      </c>
      <c r="F149" s="453">
        <f>단가산출근거!D8004</f>
        <v>609</v>
      </c>
      <c r="G149" s="454">
        <f>단가산출근거!E8004</f>
        <v>50</v>
      </c>
      <c r="H149" s="446">
        <f>단가산출근거!F8004</f>
        <v>0</v>
      </c>
      <c r="I149" s="482"/>
      <c r="J149" s="451" t="str">
        <f>"_x0007_`COD|D01334_x0005_`QTY1|1_x0005_`BQC|_x0005_`EQC|공통4-1-3_x0005_`JDC|_x0005_`WQC|_x0005_`EDT|_x0005_`ADJ|F_x0005_`DET|"&amp;ROW(단가산출근거!A7955)&amp;"_x0005_`"</f>
        <v>_x0007_`COD|D01334_x0005_`QTY1|1_x0005_`BQC|_x0005_`EQC|공통4-1-3_x0005_`JDC|_x0005_`WQC|_x0005_`EDT|_x0005_`ADJ|F_x0005_`DET|7955_x0005_`</v>
      </c>
      <c r="K149" s="433" t="str">
        <f ca="1">HYPERLINK("#"&amp;단가산출근거!G2&amp;"!A"&amp;ROW(단가산출근거!A7955),"D01334 →")</f>
        <v>D01334 →</v>
      </c>
    </row>
    <row r="150" spans="1:11" ht="23.1" customHeight="1">
      <c r="A150" s="460" t="s">
        <v>5422</v>
      </c>
      <c r="B150" s="452" t="s">
        <v>5415</v>
      </c>
      <c r="C150" s="452" t="s">
        <v>1908</v>
      </c>
      <c r="D150" s="460" t="s">
        <v>1799</v>
      </c>
      <c r="E150" s="446">
        <f>단가산출근거!C8054</f>
        <v>1047</v>
      </c>
      <c r="F150" s="453">
        <f>단가산출근거!D8054</f>
        <v>997</v>
      </c>
      <c r="G150" s="454">
        <f>단가산출근거!E8054</f>
        <v>50</v>
      </c>
      <c r="H150" s="446">
        <f>단가산출근거!F8054</f>
        <v>0</v>
      </c>
      <c r="I150" s="482"/>
      <c r="J150" s="451" t="str">
        <f>"_x0007_`COD|D01335_x0005_`QTY1|1_x0005_`BQC|_x0005_`EQC|공통4-1-3_x0005_`JDC|_x0005_`WQC|_x0005_`EDT|_x0005_`ADJ|F_x0005_`DET|"&amp;ROW(단가산출근거!A8005)&amp;"_x0005_`"</f>
        <v>_x0007_`COD|D01335_x0005_`QTY1|1_x0005_`BQC|_x0005_`EQC|공통4-1-3_x0005_`JDC|_x0005_`WQC|_x0005_`EDT|_x0005_`ADJ|F_x0005_`DET|8005_x0005_`</v>
      </c>
      <c r="K150" s="433" t="str">
        <f ca="1">HYPERLINK("#"&amp;단가산출근거!G2&amp;"!A"&amp;ROW(단가산출근거!A8005),"D01335 →")</f>
        <v>D01335 →</v>
      </c>
    </row>
    <row r="151" spans="1:11" ht="23.1" customHeight="1">
      <c r="A151" s="460" t="s">
        <v>5416</v>
      </c>
      <c r="B151" s="452" t="s">
        <v>5415</v>
      </c>
      <c r="C151" s="452" t="s">
        <v>1900</v>
      </c>
      <c r="D151" s="460" t="s">
        <v>1799</v>
      </c>
      <c r="E151" s="446">
        <f>단가산출근거!C8104</f>
        <v>456</v>
      </c>
      <c r="F151" s="453">
        <f>단가산출근거!D8104</f>
        <v>406</v>
      </c>
      <c r="G151" s="454">
        <f>단가산출근거!E8104</f>
        <v>50</v>
      </c>
      <c r="H151" s="446">
        <f>단가산출근거!F8104</f>
        <v>0</v>
      </c>
      <c r="I151" s="482"/>
      <c r="J151" s="451" t="str">
        <f>"_x0007_`COD|D01333_x0005_`QTY1|1_x0005_`BQC|_x0005_`EQC|공통4-1-3_x0005_`JDC|_x0005_`WQC|_x0005_`EDT|_x0005_`ADJ|F_x0005_`DET|"&amp;ROW(단가산출근거!A8055)&amp;"_x0005_`"</f>
        <v>_x0007_`COD|D01333_x0005_`QTY1|1_x0005_`BQC|_x0005_`EQC|공통4-1-3_x0005_`JDC|_x0005_`WQC|_x0005_`EDT|_x0005_`ADJ|F_x0005_`DET|8055_x0005_`</v>
      </c>
      <c r="K151" s="433" t="str">
        <f ca="1">HYPERLINK("#"&amp;단가산출근거!G2&amp;"!A"&amp;ROW(단가산출근거!A8055),"D01333 →")</f>
        <v>D01333 →</v>
      </c>
    </row>
    <row r="152" spans="1:11" ht="23.1" customHeight="1">
      <c r="A152" s="460" t="s">
        <v>1794</v>
      </c>
      <c r="B152" s="452" t="s">
        <v>1793</v>
      </c>
      <c r="C152" s="452" t="s">
        <v>1789</v>
      </c>
      <c r="D152" s="460" t="s">
        <v>8</v>
      </c>
      <c r="E152" s="446">
        <f>단가산출근거!C8154</f>
        <v>233588</v>
      </c>
      <c r="F152" s="453">
        <f>단가산출근거!D8154</f>
        <v>228399</v>
      </c>
      <c r="G152" s="454">
        <f>단가산출근거!E8154</f>
        <v>0</v>
      </c>
      <c r="H152" s="446">
        <f>단가산출근거!F8154</f>
        <v>5189</v>
      </c>
      <c r="I152" s="482" t="s">
        <v>3383</v>
      </c>
      <c r="J152" s="451" t="str">
        <f>"_x0007_`COD|D01242_x0005_`QTY1|1_x0005_`BQC|유지3-1-1_x0005_`EQC|_x0005_`JDC|_x0005_`WQC|_x0005_`EDT|_x0005_`ADJ|F_x0005_`DET|"&amp;ROW(단가산출근거!A8105)&amp;"_x0005_`"</f>
        <v>_x0007_`COD|D01242_x0005_`QTY1|1_x0005_`BQC|유지3-1-1_x0005_`EQC|_x0005_`JDC|_x0005_`WQC|_x0005_`EDT|_x0005_`ADJ|F_x0005_`DET|8105_x0005_`</v>
      </c>
      <c r="K152" s="433" t="str">
        <f ca="1">HYPERLINK("#"&amp;단가산출근거!G2&amp;"!A"&amp;ROW(단가산출근거!A8105),"D01242 →")</f>
        <v>D01242 →</v>
      </c>
    </row>
    <row r="153" spans="1:11" ht="23.1" customHeight="1">
      <c r="A153" s="460" t="s">
        <v>5301</v>
      </c>
      <c r="B153" s="452" t="s">
        <v>5300</v>
      </c>
      <c r="C153" s="452" t="s">
        <v>1789</v>
      </c>
      <c r="D153" s="460" t="s">
        <v>8</v>
      </c>
      <c r="E153" s="446">
        <f>단가산출근거!C8204</f>
        <v>267848</v>
      </c>
      <c r="F153" s="453">
        <f>단가산출근거!D8204</f>
        <v>262659</v>
      </c>
      <c r="G153" s="454">
        <f>단가산출근거!E8204</f>
        <v>0</v>
      </c>
      <c r="H153" s="446">
        <f>단가산출근거!F8204</f>
        <v>5189</v>
      </c>
      <c r="I153" s="482" t="s">
        <v>3383</v>
      </c>
      <c r="J153" s="451" t="str">
        <f>"_x0007_`COD|D01345_x0005_`QTY1|1_x0005_`BQC|유지3-1-1_x0005_`EQC|_x0005_`JDC|_x0005_`WQC|_x0005_`EDT|_x0005_`ADJ|F_x0005_`DET|"&amp;ROW(단가산출근거!A8155)&amp;"_x0005_`"</f>
        <v>_x0007_`COD|D01345_x0005_`QTY1|1_x0005_`BQC|유지3-1-1_x0005_`EQC|_x0005_`JDC|_x0005_`WQC|_x0005_`EDT|_x0005_`ADJ|F_x0005_`DET|8155_x0005_`</v>
      </c>
      <c r="K153" s="433" t="str">
        <f ca="1">HYPERLINK("#"&amp;단가산출근거!G2&amp;"!A"&amp;ROW(단가산출근거!A8155),"D01345 →")</f>
        <v>D01345 →</v>
      </c>
    </row>
    <row r="154" spans="1:11" ht="23.1" customHeight="1">
      <c r="A154" s="460" t="s">
        <v>1790</v>
      </c>
      <c r="B154" s="452" t="s">
        <v>5304</v>
      </c>
      <c r="C154" s="452" t="s">
        <v>1789</v>
      </c>
      <c r="D154" s="460" t="s">
        <v>8</v>
      </c>
      <c r="E154" s="446">
        <f>단가산출근거!C8254</f>
        <v>290688</v>
      </c>
      <c r="F154" s="453">
        <f>단가산출근거!D8254</f>
        <v>285499</v>
      </c>
      <c r="G154" s="454">
        <f>단가산출근거!E8254</f>
        <v>0</v>
      </c>
      <c r="H154" s="446">
        <f>단가산출근거!F8254</f>
        <v>5189</v>
      </c>
      <c r="I154" s="482" t="s">
        <v>3383</v>
      </c>
      <c r="J154" s="451" t="str">
        <f>"_x0007_`COD|D01268_x0005_`QTY1|1_x0005_`BQC|유지3-1-1_x0005_`EQC|_x0005_`JDC|_x0005_`WQC|_x0005_`EDT|_x0005_`ADJ|F_x0005_`DET|"&amp;ROW(단가산출근거!A8205)&amp;"_x0005_`"</f>
        <v>_x0007_`COD|D01268_x0005_`QTY1|1_x0005_`BQC|유지3-1-1_x0005_`EQC|_x0005_`JDC|_x0005_`WQC|_x0005_`EDT|_x0005_`ADJ|F_x0005_`DET|8205_x0005_`</v>
      </c>
      <c r="K154" s="433" t="str">
        <f ca="1">HYPERLINK("#"&amp;단가산출근거!G2&amp;"!A"&amp;ROW(단가산출근거!A8205),"D01268 →")</f>
        <v>D01268 →</v>
      </c>
    </row>
    <row r="155" spans="1:11" ht="23.1" customHeight="1">
      <c r="A155" s="460" t="s">
        <v>3384</v>
      </c>
      <c r="B155" s="452" t="s">
        <v>2484</v>
      </c>
      <c r="C155" s="452" t="s">
        <v>2590</v>
      </c>
      <c r="D155" s="460" t="s">
        <v>8</v>
      </c>
      <c r="E155" s="446">
        <f>단가산출근거!C8304</f>
        <v>83748</v>
      </c>
      <c r="F155" s="453">
        <f>단가산출근거!D8304</f>
        <v>83748</v>
      </c>
      <c r="G155" s="454">
        <f>단가산출근거!E8304</f>
        <v>0</v>
      </c>
      <c r="H155" s="446">
        <f>단가산출근거!F8304</f>
        <v>0</v>
      </c>
      <c r="I155" s="482" t="s">
        <v>3385</v>
      </c>
      <c r="J155" s="451" t="str">
        <f>"_x0007_`COD|D01265_x0005_`QTY1|1_x0005_`BQC|공통3-2-1_x0005_`EQC|_x0005_`JDC|_x0005_`WQC|_x0005_`EDT|_x0005_`ADJ|F_x0005_`DET|"&amp;ROW(단가산출근거!A8255)&amp;"_x0005_`"</f>
        <v>_x0007_`COD|D01265_x0005_`QTY1|1_x0005_`BQC|공통3-2-1_x0005_`EQC|_x0005_`JDC|_x0005_`WQC|_x0005_`EDT|_x0005_`ADJ|F_x0005_`DET|8255_x0005_`</v>
      </c>
      <c r="K155" s="433" t="str">
        <f ca="1">HYPERLINK("#"&amp;단가산출근거!G2&amp;"!A"&amp;ROW(단가산출근거!A8255),"D01265 →")</f>
        <v>D01265 →</v>
      </c>
    </row>
    <row r="156" spans="1:11" ht="23.1" customHeight="1">
      <c r="A156" s="460" t="s">
        <v>3386</v>
      </c>
      <c r="B156" s="452" t="s">
        <v>2484</v>
      </c>
      <c r="C156" s="452" t="s">
        <v>2561</v>
      </c>
      <c r="D156" s="460" t="s">
        <v>8</v>
      </c>
      <c r="E156" s="446">
        <f>단가산출근거!C8354</f>
        <v>102782</v>
      </c>
      <c r="F156" s="453">
        <f>단가산출근거!D8354</f>
        <v>102782</v>
      </c>
      <c r="G156" s="454">
        <f>단가산출근거!E8354</f>
        <v>0</v>
      </c>
      <c r="H156" s="446">
        <f>단가산출근거!F8354</f>
        <v>0</v>
      </c>
      <c r="I156" s="482" t="s">
        <v>3385</v>
      </c>
      <c r="J156" s="451" t="str">
        <f>"_x0007_`COD|D01266_x0005_`QTY1|1_x0005_`BQC|공통3-2-1_x0005_`EQC|_x0005_`JDC|_x0005_`WQC|_x0005_`EDT|_x0005_`ADJ|F_x0005_`DET|"&amp;ROW(단가산출근거!A8305)&amp;"_x0005_`"</f>
        <v>_x0007_`COD|D01266_x0005_`QTY1|1_x0005_`BQC|공통3-2-1_x0005_`EQC|_x0005_`JDC|_x0005_`WQC|_x0005_`EDT|_x0005_`ADJ|F_x0005_`DET|8305_x0005_`</v>
      </c>
      <c r="K156" s="433" t="str">
        <f ca="1">HYPERLINK("#"&amp;단가산출근거!G2&amp;"!A"&amp;ROW(단가산출근거!A8305),"D01266 →")</f>
        <v>D01266 →</v>
      </c>
    </row>
    <row r="157" spans="1:11" ht="23.1" customHeight="1">
      <c r="A157" s="460" t="s">
        <v>3387</v>
      </c>
      <c r="B157" s="452" t="s">
        <v>2484</v>
      </c>
      <c r="C157" s="452" t="s">
        <v>2485</v>
      </c>
      <c r="D157" s="460" t="s">
        <v>8</v>
      </c>
      <c r="E157" s="446">
        <f>단가산출근거!C8404</f>
        <v>62811</v>
      </c>
      <c r="F157" s="453">
        <f>단가산출근거!D8404</f>
        <v>62811</v>
      </c>
      <c r="G157" s="454">
        <f>단가산출근거!E8404</f>
        <v>0</v>
      </c>
      <c r="H157" s="446">
        <f>단가산출근거!F8404</f>
        <v>0</v>
      </c>
      <c r="I157" s="482" t="s">
        <v>3385</v>
      </c>
      <c r="J157" s="451" t="str">
        <f>"_x0007_`COD|D01241_x0005_`QTY1|1_x0005_`BQC|공통3-2-1_x0005_`EQC|_x0005_`JDC|_x0005_`WQC|_x0005_`EDT|_x0005_`ADJ|F_x0005_`DET|"&amp;ROW(단가산출근거!A8355)&amp;"_x0005_`"</f>
        <v>_x0007_`COD|D01241_x0005_`QTY1|1_x0005_`BQC|공통3-2-1_x0005_`EQC|_x0005_`JDC|_x0005_`WQC|_x0005_`EDT|_x0005_`ADJ|F_x0005_`DET|8355_x0005_`</v>
      </c>
      <c r="K157" s="433" t="str">
        <f ca="1">HYPERLINK("#"&amp;단가산출근거!G2&amp;"!A"&amp;ROW(단가산출근거!A8355),"D01241 →")</f>
        <v>D01241 →</v>
      </c>
    </row>
    <row r="158" spans="1:11" ht="23.1" customHeight="1">
      <c r="A158" s="460" t="s">
        <v>3388</v>
      </c>
      <c r="B158" s="452" t="s">
        <v>2484</v>
      </c>
      <c r="C158" s="452" t="s">
        <v>2533</v>
      </c>
      <c r="D158" s="460" t="s">
        <v>8</v>
      </c>
      <c r="E158" s="446">
        <f>단가산출근거!C8454</f>
        <v>93246</v>
      </c>
      <c r="F158" s="453">
        <f>단가산출근거!D8454</f>
        <v>93246</v>
      </c>
      <c r="G158" s="454">
        <f>단가산출근거!E8454</f>
        <v>0</v>
      </c>
      <c r="H158" s="446">
        <f>단가산출근거!F8454</f>
        <v>0</v>
      </c>
      <c r="I158" s="482" t="s">
        <v>3385</v>
      </c>
      <c r="J158" s="451" t="str">
        <f>"_x0007_`COD|D01267_x0005_`QTY1|1_x0005_`BQC|공통3-2-1_x0005_`EQC|_x0005_`JDC|_x0005_`WQC|_x0005_`EDT|_x0005_`ADJ|F_x0005_`DET|"&amp;ROW(단가산출근거!A8405)&amp;"_x0005_`"</f>
        <v>_x0007_`COD|D01267_x0005_`QTY1|1_x0005_`BQC|공통3-2-1_x0005_`EQC|_x0005_`JDC|_x0005_`WQC|_x0005_`EDT|_x0005_`ADJ|F_x0005_`DET|8405_x0005_`</v>
      </c>
      <c r="K158" s="433" t="str">
        <f ca="1">HYPERLINK("#"&amp;단가산출근거!G2&amp;"!A"&amp;ROW(단가산출근거!A8405),"D01267 →")</f>
        <v>D01267 →</v>
      </c>
    </row>
    <row r="159" spans="1:11" ht="23.1" customHeight="1">
      <c r="A159" s="460" t="s">
        <v>3389</v>
      </c>
      <c r="B159" s="452" t="s">
        <v>2705</v>
      </c>
      <c r="C159" s="452" t="s">
        <v>2706</v>
      </c>
      <c r="D159" s="460" t="s">
        <v>911</v>
      </c>
      <c r="E159" s="446">
        <f>단가산출근거!C8504</f>
        <v>5056</v>
      </c>
      <c r="F159" s="453">
        <f>단가산출근거!D8504</f>
        <v>4564</v>
      </c>
      <c r="G159" s="454">
        <f>단가산출근거!E8504</f>
        <v>182</v>
      </c>
      <c r="H159" s="446">
        <f>단가산출근거!F8504</f>
        <v>310</v>
      </c>
      <c r="I159" s="482" t="s">
        <v>3390</v>
      </c>
      <c r="J159" s="451" t="str">
        <f>"_x0007_`COD|D01270_x0005_`QTY1|1_x0005_`BQC|토목6-7-2_x0005_`EQC|_x0005_`JDC|_x0005_`WQC|_x0005_`EDT|_x0005_`ADJ|F_x0005_`DET|"&amp;ROW(단가산출근거!A8455)&amp;"_x0005_`"</f>
        <v>_x0007_`COD|D01270_x0005_`QTY1|1_x0005_`BQC|토목6-7-2_x0005_`EQC|_x0005_`JDC|_x0005_`WQC|_x0005_`EDT|_x0005_`ADJ|F_x0005_`DET|8455_x0005_`</v>
      </c>
      <c r="K159" s="433" t="str">
        <f ca="1">HYPERLINK("#"&amp;단가산출근거!G2&amp;"!A"&amp;ROW(단가산출근거!A8455),"D01270 →")</f>
        <v>D01270 →</v>
      </c>
    </row>
    <row r="160" spans="1:11" ht="23.1" customHeight="1">
      <c r="A160" s="460" t="s">
        <v>3391</v>
      </c>
      <c r="B160" s="452" t="s">
        <v>2705</v>
      </c>
      <c r="C160" s="452" t="s">
        <v>2730</v>
      </c>
      <c r="D160" s="460" t="s">
        <v>911</v>
      </c>
      <c r="E160" s="446">
        <f>단가산출근거!C8554</f>
        <v>12239</v>
      </c>
      <c r="F160" s="453">
        <f>단가산출근거!D8554</f>
        <v>11393</v>
      </c>
      <c r="G160" s="454">
        <f>단가산출근거!E8554</f>
        <v>281</v>
      </c>
      <c r="H160" s="446">
        <f>단가산출근거!F8554</f>
        <v>565</v>
      </c>
      <c r="I160" s="482" t="s">
        <v>3390</v>
      </c>
      <c r="J160" s="451" t="str">
        <f>"_x0007_`COD|D01271_x0005_`QTY1|1_x0005_`BQC|토목6-7-2_x0005_`EQC|_x0005_`JDC|_x0005_`WQC|_x0005_`EDT|_x0005_`ADJ|F_x0005_`DET|"&amp;ROW(단가산출근거!A8505)&amp;"_x0005_`"</f>
        <v>_x0007_`COD|D01271_x0005_`QTY1|1_x0005_`BQC|토목6-7-2_x0005_`EQC|_x0005_`JDC|_x0005_`WQC|_x0005_`EDT|_x0005_`ADJ|F_x0005_`DET|8505_x0005_`</v>
      </c>
      <c r="K160" s="433" t="str">
        <f ca="1">HYPERLINK("#"&amp;단가산출근거!G2&amp;"!A"&amp;ROW(단가산출근거!A8505),"D01271 →")</f>
        <v>D01271 →</v>
      </c>
    </row>
    <row r="161" spans="1:11" ht="23.1" customHeight="1">
      <c r="A161" s="460" t="s">
        <v>3392</v>
      </c>
      <c r="B161" s="452" t="s">
        <v>3138</v>
      </c>
      <c r="C161" s="452"/>
      <c r="D161" s="460" t="s">
        <v>595</v>
      </c>
      <c r="E161" s="446">
        <f>단가산출근거!C8604</f>
        <v>6156</v>
      </c>
      <c r="F161" s="453">
        <f>단가산출근거!D8604</f>
        <v>6156</v>
      </c>
      <c r="G161" s="454">
        <f>단가산출근거!E8604</f>
        <v>0</v>
      </c>
      <c r="H161" s="446">
        <f>단가산출근거!F8604</f>
        <v>0</v>
      </c>
      <c r="I161" s="482" t="s">
        <v>3376</v>
      </c>
      <c r="J161" s="451" t="str">
        <f>"_x0007_`COD|D00939_x0005_`QTY1|1_x0005_`BQC|공통4-1-1_x0005_`EQC|_x0005_`JDC|_x0005_`WQC|_x0005_`EDT|_x0005_`ADJ|F_x0005_`DET|"&amp;ROW(단가산출근거!A8555)&amp;"_x0005_`"</f>
        <v>_x0007_`COD|D00939_x0005_`QTY1|1_x0005_`BQC|공통4-1-1_x0005_`EQC|_x0005_`JDC|_x0005_`WQC|_x0005_`EDT|_x0005_`ADJ|F_x0005_`DET|8555_x0005_`</v>
      </c>
      <c r="K161" s="433" t="str">
        <f ca="1">HYPERLINK("#"&amp;단가산출근거!G2&amp;"!A"&amp;ROW(단가산출근거!A8555),"D00939 →")</f>
        <v>D00939 →</v>
      </c>
    </row>
    <row r="162" spans="1:11" ht="23.1" customHeight="1">
      <c r="A162" s="460" t="s">
        <v>2248</v>
      </c>
      <c r="B162" s="452" t="s">
        <v>2246</v>
      </c>
      <c r="C162" s="452" t="s">
        <v>2247</v>
      </c>
      <c r="D162" s="460" t="s">
        <v>2132</v>
      </c>
      <c r="E162" s="446">
        <f>단가산출근거!C8654</f>
        <v>23590</v>
      </c>
      <c r="F162" s="453">
        <f>단가산출근거!D8654</f>
        <v>0</v>
      </c>
      <c r="G162" s="454">
        <f>단가산출근거!E8654</f>
        <v>0</v>
      </c>
      <c r="H162" s="446">
        <f>단가산출근거!F8654</f>
        <v>23590</v>
      </c>
      <c r="I162" s="482"/>
      <c r="J162" s="451" t="str">
        <f>"_x0007_`COD|D01218_x0005_`QTY1|1_x0005_`BQC|_x0005_`EQC|_x0005_`JDC|_x0005_`WQC|_x0005_`EDT|_x0005_`ADJ|T_x0005_`SBM|S_x0005_`ADJM|1_x0005_`ADJL|1_x0005_`ADJS|1_x0005_`DET|"&amp;ROW(단가산출근거!A8605)&amp;"_x0005_`"</f>
        <v>_x0007_`COD|D01218_x0005_`QTY1|1_x0005_`BQC|_x0005_`EQC|_x0005_`JDC|_x0005_`WQC|_x0005_`EDT|_x0005_`ADJ|T_x0005_`SBM|S_x0005_`ADJM|1_x0005_`ADJL|1_x0005_`ADJS|1_x0005_`DET|8605_x0005_`</v>
      </c>
      <c r="K162" s="433" t="str">
        <f ca="1">HYPERLINK("#"&amp;단가산출근거!G2&amp;"!A"&amp;ROW(단가산출근거!A8605),"D01218 →")</f>
        <v>D01218 →</v>
      </c>
    </row>
    <row r="163" spans="1:11" ht="23.1" customHeight="1">
      <c r="A163" s="460" t="s">
        <v>2256</v>
      </c>
      <c r="B163" s="452" t="s">
        <v>2246</v>
      </c>
      <c r="C163" s="452" t="s">
        <v>2255</v>
      </c>
      <c r="D163" s="460" t="s">
        <v>2132</v>
      </c>
      <c r="E163" s="446">
        <f>단가산출근거!C8704</f>
        <v>23590</v>
      </c>
      <c r="F163" s="453">
        <f>단가산출근거!D8704</f>
        <v>0</v>
      </c>
      <c r="G163" s="454">
        <f>단가산출근거!E8704</f>
        <v>0</v>
      </c>
      <c r="H163" s="446">
        <f>단가산출근거!F8704</f>
        <v>23590</v>
      </c>
      <c r="I163" s="482"/>
      <c r="J163" s="451" t="str">
        <f>"_x0007_`COD|D01220_x0005_`QTY1|1_x0005_`BQC|_x0005_`EQC|_x0005_`JDC|_x0005_`WQC|_x0005_`EDT|_x0005_`ADJ|T_x0005_`SBM|S_x0005_`ADJM|1_x0005_`ADJL|1_x0005_`ADJS|1_x0005_`DET|"&amp;ROW(단가산출근거!A8655)&amp;"_x0005_`"</f>
        <v>_x0007_`COD|D01220_x0005_`QTY1|1_x0005_`BQC|_x0005_`EQC|_x0005_`JDC|_x0005_`WQC|_x0005_`EDT|_x0005_`ADJ|T_x0005_`SBM|S_x0005_`ADJM|1_x0005_`ADJL|1_x0005_`ADJS|1_x0005_`DET|8655_x0005_`</v>
      </c>
      <c r="K163" s="433" t="str">
        <f ca="1">HYPERLINK("#"&amp;단가산출근거!G2&amp;"!A"&amp;ROW(단가산출근거!A8655),"D01220 →")</f>
        <v>D01220 →</v>
      </c>
    </row>
    <row r="164" spans="1:11" ht="23.1" customHeight="1">
      <c r="A164" s="460" t="s">
        <v>2252</v>
      </c>
      <c r="B164" s="452" t="s">
        <v>2246</v>
      </c>
      <c r="C164" s="452" t="s">
        <v>2251</v>
      </c>
      <c r="D164" s="460" t="s">
        <v>2132</v>
      </c>
      <c r="E164" s="446">
        <f>단가산출근거!C8754</f>
        <v>81350</v>
      </c>
      <c r="F164" s="453">
        <f>단가산출근거!D8754</f>
        <v>0</v>
      </c>
      <c r="G164" s="454">
        <f>단가산출근거!E8754</f>
        <v>0</v>
      </c>
      <c r="H164" s="446">
        <f>단가산출근거!F8754</f>
        <v>81350</v>
      </c>
      <c r="I164" s="482"/>
      <c r="J164" s="451" t="str">
        <f>"_x0007_`COD|D01219_x0005_`QTY1|1_x0005_`BQC|_x0005_`EQC|_x0005_`JDC|_x0005_`WQC|_x0005_`EDT|_x0005_`ADJ|T_x0005_`SBM|S_x0005_`ADJM|1_x0005_`ADJL|1_x0005_`ADJS|1_x0005_`DET|"&amp;ROW(단가산출근거!A8705)&amp;"_x0005_`"</f>
        <v>_x0007_`COD|D01219_x0005_`QTY1|1_x0005_`BQC|_x0005_`EQC|_x0005_`JDC|_x0005_`WQC|_x0005_`EDT|_x0005_`ADJ|T_x0005_`SBM|S_x0005_`ADJM|1_x0005_`ADJL|1_x0005_`ADJS|1_x0005_`DET|8705_x0005_`</v>
      </c>
      <c r="K164" s="433" t="str">
        <f ca="1">HYPERLINK("#"&amp;단가산출근거!G2&amp;"!A"&amp;ROW(단가산출근거!A8705),"D01219 →")</f>
        <v>D01219 →</v>
      </c>
    </row>
    <row r="165" spans="1:11" ht="23.1" customHeight="1">
      <c r="A165" s="460" t="s">
        <v>2260</v>
      </c>
      <c r="B165" s="452" t="s">
        <v>2246</v>
      </c>
      <c r="C165" s="452" t="s">
        <v>2259</v>
      </c>
      <c r="D165" s="460" t="s">
        <v>2132</v>
      </c>
      <c r="E165" s="446">
        <f>단가산출근거!C8804</f>
        <v>14991</v>
      </c>
      <c r="F165" s="453">
        <f>단가산출근거!D8804</f>
        <v>0</v>
      </c>
      <c r="G165" s="454">
        <f>단가산출근거!E8804</f>
        <v>0</v>
      </c>
      <c r="H165" s="446">
        <f>단가산출근거!F8804</f>
        <v>14991</v>
      </c>
      <c r="I165" s="482"/>
      <c r="J165" s="451" t="str">
        <f>"_x0007_`COD|D01221_x0005_`QTY1|1_x0005_`BQC|_x0005_`EQC|_x0005_`JDC|_x0005_`WQC|_x0005_`EDT|_x0005_`ADJ|T_x0005_`SBM|S_x0005_`ADJM|1_x0005_`ADJL|1_x0005_`ADJS|1_x0005_`DET|"&amp;ROW(단가산출근거!A8755)&amp;"_x0005_`"</f>
        <v>_x0007_`COD|D01221_x0005_`QTY1|1_x0005_`BQC|_x0005_`EQC|_x0005_`JDC|_x0005_`WQC|_x0005_`EDT|_x0005_`ADJ|T_x0005_`SBM|S_x0005_`ADJM|1_x0005_`ADJL|1_x0005_`ADJS|1_x0005_`DET|8755_x0005_`</v>
      </c>
      <c r="K165" s="433" t="str">
        <f ca="1">HYPERLINK("#"&amp;단가산출근거!G2&amp;"!A"&amp;ROW(단가산출근거!A8755),"D01221 →")</f>
        <v>D01221 →</v>
      </c>
    </row>
    <row r="166" spans="1:11" ht="23.1" customHeight="1">
      <c r="A166" s="460" t="s">
        <v>2265</v>
      </c>
      <c r="B166" s="452" t="s">
        <v>2263</v>
      </c>
      <c r="C166" s="452" t="s">
        <v>2264</v>
      </c>
      <c r="D166" s="460" t="s">
        <v>2132</v>
      </c>
      <c r="E166" s="446">
        <f>단가산출근거!C8854</f>
        <v>62000</v>
      </c>
      <c r="F166" s="453">
        <f>단가산출근거!D8854</f>
        <v>0</v>
      </c>
      <c r="G166" s="454">
        <f>단가산출근거!E8854</f>
        <v>0</v>
      </c>
      <c r="H166" s="446">
        <f>단가산출근거!F8854</f>
        <v>62000</v>
      </c>
      <c r="I166" s="482"/>
      <c r="J166" s="451" t="str">
        <f>"_x0007_`COD|D01222_x0005_`QTY1|1_x0005_`BQC|_x0005_`EQC|_x0005_`JDC|_x0005_`WQC|_x0005_`EDT|_x0005_`ADJ|T_x0005_`SBM|S_x0005_`ADJM|1_x0005_`ADJL|1_x0005_`ADJS|1_x0005_`DET|"&amp;ROW(단가산출근거!A8805)&amp;"_x0005_`"</f>
        <v>_x0007_`COD|D01222_x0005_`QTY1|1_x0005_`BQC|_x0005_`EQC|_x0005_`JDC|_x0005_`WQC|_x0005_`EDT|_x0005_`ADJ|T_x0005_`SBM|S_x0005_`ADJM|1_x0005_`ADJL|1_x0005_`ADJS|1_x0005_`DET|8805_x0005_`</v>
      </c>
      <c r="K166" s="433" t="str">
        <f ca="1">HYPERLINK("#"&amp;단가산출근거!G2&amp;"!A"&amp;ROW(단가산출근거!A8805),"D01222 →")</f>
        <v>D01222 →</v>
      </c>
    </row>
    <row r="167" spans="1:11" ht="23.1" customHeight="1">
      <c r="A167" s="460" t="s">
        <v>2273</v>
      </c>
      <c r="B167" s="452" t="s">
        <v>2263</v>
      </c>
      <c r="C167" s="452" t="s">
        <v>2272</v>
      </c>
      <c r="D167" s="460" t="s">
        <v>2132</v>
      </c>
      <c r="E167" s="446">
        <f>단가산출근거!C8904</f>
        <v>40910</v>
      </c>
      <c r="F167" s="453">
        <f>단가산출근거!D8904</f>
        <v>0</v>
      </c>
      <c r="G167" s="454">
        <f>단가산출근거!E8904</f>
        <v>0</v>
      </c>
      <c r="H167" s="446">
        <f>단가산출근거!F8904</f>
        <v>40910</v>
      </c>
      <c r="I167" s="482"/>
      <c r="J167" s="451" t="str">
        <f>"_x0007_`COD|D01224_x0005_`QTY1|1_x0005_`BQC|_x0005_`EQC|_x0005_`JDC|_x0005_`WQC|_x0005_`EDT|_x0005_`ADJ|T_x0005_`SBM|S_x0005_`ADJM|1_x0005_`ADJL|1_x0005_`ADJS|1_x0005_`DET|"&amp;ROW(단가산출근거!A8855)&amp;"_x0005_`"</f>
        <v>_x0007_`COD|D01224_x0005_`QTY1|1_x0005_`BQC|_x0005_`EQC|_x0005_`JDC|_x0005_`WQC|_x0005_`EDT|_x0005_`ADJ|T_x0005_`SBM|S_x0005_`ADJM|1_x0005_`ADJL|1_x0005_`ADJS|1_x0005_`DET|8855_x0005_`</v>
      </c>
      <c r="K167" s="433" t="str">
        <f ca="1">HYPERLINK("#"&amp;단가산출근거!G2&amp;"!A"&amp;ROW(단가산출근거!A8855),"D01224 →")</f>
        <v>D01224 →</v>
      </c>
    </row>
    <row r="168" spans="1:11" ht="23.1" customHeight="1">
      <c r="A168" s="460" t="s">
        <v>2269</v>
      </c>
      <c r="B168" s="452" t="s">
        <v>2263</v>
      </c>
      <c r="C168" s="452" t="s">
        <v>2268</v>
      </c>
      <c r="D168" s="460" t="s">
        <v>2132</v>
      </c>
      <c r="E168" s="446">
        <f>단가산출근거!C8954</f>
        <v>31142</v>
      </c>
      <c r="F168" s="453">
        <f>단가산출근거!D8954</f>
        <v>0</v>
      </c>
      <c r="G168" s="454">
        <f>단가산출근거!E8954</f>
        <v>0</v>
      </c>
      <c r="H168" s="446">
        <f>단가산출근거!F8954</f>
        <v>31142</v>
      </c>
      <c r="I168" s="482"/>
      <c r="J168" s="451" t="str">
        <f>"_x0007_`COD|D01223_x0005_`QTY1|1_x0005_`BQC|_x0005_`EQC|_x0005_`JDC|_x0005_`WQC|_x0005_`EDT|_x0005_`ADJ|T_x0005_`SBM|S_x0005_`ADJM|1_x0005_`ADJL|1_x0005_`ADJS|1_x0005_`DET|"&amp;ROW(단가산출근거!A8905)&amp;"_x0005_`"</f>
        <v>_x0007_`COD|D01223_x0005_`QTY1|1_x0005_`BQC|_x0005_`EQC|_x0005_`JDC|_x0005_`WQC|_x0005_`EDT|_x0005_`ADJ|T_x0005_`SBM|S_x0005_`ADJM|1_x0005_`ADJL|1_x0005_`ADJS|1_x0005_`DET|8905_x0005_`</v>
      </c>
      <c r="K168" s="433" t="str">
        <f ca="1">HYPERLINK("#"&amp;단가산출근거!G2&amp;"!A"&amp;ROW(단가산출근거!A8905),"D01223 →")</f>
        <v>D01223 →</v>
      </c>
    </row>
    <row r="169" spans="1:11" ht="23.1" customHeight="1">
      <c r="A169" s="460" t="s">
        <v>3393</v>
      </c>
      <c r="B169" s="452" t="s">
        <v>2495</v>
      </c>
      <c r="C169" s="452" t="s">
        <v>2496</v>
      </c>
      <c r="D169" s="460" t="s">
        <v>595</v>
      </c>
      <c r="E169" s="446">
        <f>단가산출근거!C9004</f>
        <v>46533</v>
      </c>
      <c r="F169" s="453">
        <f>단가산출근거!D9004</f>
        <v>34461</v>
      </c>
      <c r="G169" s="454">
        <f>단가산출근거!E9004</f>
        <v>11728</v>
      </c>
      <c r="H169" s="446">
        <f>단가산출근거!F9004</f>
        <v>344</v>
      </c>
      <c r="I169" s="482" t="s">
        <v>3394</v>
      </c>
      <c r="J169" s="451" t="str">
        <f>"_x0007_`COD|D01231_x0005_`QTY1|1_x0005_`BQC|공통6-3-1_x0005_`EQC|_x0005_`JDC|_x0005_`WQC|_x0005_`EDT|_x0005_`ADJ|F_x0005_`DET|"&amp;ROW(단가산출근거!A8955)&amp;"_x0005_`"</f>
        <v>_x0007_`COD|D01231_x0005_`QTY1|1_x0005_`BQC|공통6-3-1_x0005_`EQC|_x0005_`JDC|_x0005_`WQC|_x0005_`EDT|_x0005_`ADJ|F_x0005_`DET|8955_x0005_`</v>
      </c>
      <c r="K169" s="433" t="str">
        <f ca="1">HYPERLINK("#"&amp;단가산출근거!G2&amp;"!A"&amp;ROW(단가산출근거!A8955),"D01231 →")</f>
        <v>D01231 →</v>
      </c>
    </row>
    <row r="170" spans="1:11" ht="23.1" customHeight="1">
      <c r="A170" s="460" t="s">
        <v>3395</v>
      </c>
      <c r="B170" s="452" t="s">
        <v>2735</v>
      </c>
      <c r="C170" s="452" t="s">
        <v>2736</v>
      </c>
      <c r="D170" s="460" t="s">
        <v>8</v>
      </c>
      <c r="E170" s="446">
        <f>단가산출근거!C9054</f>
        <v>29389</v>
      </c>
      <c r="F170" s="453">
        <f>단가산출근거!D9054</f>
        <v>28442</v>
      </c>
      <c r="G170" s="454">
        <f>단가산출근거!E9054</f>
        <v>647</v>
      </c>
      <c r="H170" s="446">
        <f>단가산출근거!F9054</f>
        <v>300</v>
      </c>
      <c r="I170" s="482" t="s">
        <v>3396</v>
      </c>
      <c r="J170" s="451" t="str">
        <f>"_x0007_`COD|D01273_x0005_`QTY1|1_x0005_`BQC|공통3-4-3_x0005_`EQC|_x0005_`JDC|_x0005_`WQC|_x0005_`EDT|_x0005_`ADJ|F_x0005_`DET|"&amp;ROW(단가산출근거!A9005)&amp;"_x0005_`"</f>
        <v>_x0007_`COD|D01273_x0005_`QTY1|1_x0005_`BQC|공통3-4-3_x0005_`EQC|_x0005_`JDC|_x0005_`WQC|_x0005_`EDT|_x0005_`ADJ|F_x0005_`DET|9005_x0005_`</v>
      </c>
      <c r="K170" s="433" t="str">
        <f ca="1">HYPERLINK("#"&amp;단가산출근거!G2&amp;"!A"&amp;ROW(단가산출근거!A9005),"D01273 →")</f>
        <v>D01273 →</v>
      </c>
    </row>
  </sheetData>
  <mergeCells count="1">
    <mergeCell ref="A1:I1"/>
  </mergeCells>
  <phoneticPr fontId="13" type="noConversion"/>
  <hyperlinks>
    <hyperlink ref="K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D00-000000000000}"/>
    <hyperlink ref="J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D00-000001000000}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/>
  <legacy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</sheetPr>
  <dimension ref="A1:AP9054"/>
  <sheetViews>
    <sheetView workbookViewId="0">
      <pane ySplit="4" topLeftCell="A5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2" width="47.5546875" style="428" customWidth="1"/>
    <col min="3" max="6" width="8.88671875" style="428" customWidth="1"/>
    <col min="7" max="7" width="8.109375" style="483" hidden="1" customWidth="1"/>
    <col min="8" max="23" width="2.21875" style="428" customWidth="1"/>
    <col min="24" max="24" width="8.109375" style="428" customWidth="1"/>
    <col min="25" max="25" width="8.109375" style="432" customWidth="1"/>
    <col min="26" max="42" width="3.5546875" style="428" customWidth="1"/>
    <col min="43" max="16384" width="8.109375" style="428"/>
  </cols>
  <sheetData>
    <row r="1" spans="1:42" ht="24.95" customHeight="1">
      <c r="A1" s="597" t="s">
        <v>3397</v>
      </c>
      <c r="B1" s="598"/>
      <c r="C1" s="598"/>
      <c r="D1" s="598"/>
      <c r="E1" s="598"/>
      <c r="F1" s="598"/>
      <c r="G1" s="426" t="s">
        <v>807</v>
      </c>
      <c r="Y1" s="427" t="s">
        <v>807</v>
      </c>
      <c r="Z1" s="500"/>
      <c r="AA1" s="500"/>
      <c r="AB1" s="500"/>
      <c r="AC1" s="500"/>
      <c r="AD1" s="500"/>
      <c r="AE1" s="500"/>
      <c r="AF1" s="500"/>
      <c r="AG1" s="500"/>
      <c r="AH1" s="500"/>
      <c r="AI1" s="500"/>
      <c r="AJ1" s="500"/>
      <c r="AK1" s="500"/>
      <c r="AL1" s="500"/>
      <c r="AM1" s="500"/>
      <c r="AN1" s="500"/>
      <c r="AO1" s="500"/>
      <c r="AP1" s="500"/>
    </row>
    <row r="2" spans="1:42" ht="16.5" customHeight="1">
      <c r="A2" s="429" t="s">
        <v>5655</v>
      </c>
      <c r="G2" s="431" t="str">
        <f ca="1">MID(CELL("filename",$A$1),FIND("]",CELL("filename",$A$1))+1,LEN(CELL("filename",$A$1)))</f>
        <v>단가산출근거</v>
      </c>
      <c r="Z2" s="500"/>
      <c r="AA2" s="500"/>
      <c r="AB2" s="500"/>
      <c r="AC2" s="500"/>
      <c r="AD2" s="500"/>
      <c r="AE2" s="500"/>
      <c r="AF2" s="500"/>
      <c r="AG2" s="500"/>
      <c r="AH2" s="500"/>
      <c r="AI2" s="500"/>
      <c r="AJ2" s="500"/>
      <c r="AK2" s="500"/>
      <c r="AL2" s="500"/>
      <c r="AM2" s="500"/>
      <c r="AN2" s="500"/>
      <c r="AO2" s="500"/>
      <c r="AP2" s="500"/>
    </row>
    <row r="3" spans="1:42" ht="16.5" customHeight="1">
      <c r="A3" s="613" t="s">
        <v>3398</v>
      </c>
      <c r="B3" s="613" t="s">
        <v>3399</v>
      </c>
      <c r="C3" s="613" t="s">
        <v>842</v>
      </c>
      <c r="D3" s="613" t="s">
        <v>819</v>
      </c>
      <c r="E3" s="613" t="s">
        <v>814</v>
      </c>
      <c r="F3" s="601" t="s">
        <v>843</v>
      </c>
      <c r="Z3" s="608" t="s">
        <v>3400</v>
      </c>
      <c r="AA3" s="617"/>
      <c r="AB3" s="617"/>
      <c r="AC3" s="617"/>
      <c r="AD3" s="617"/>
      <c r="AE3" s="617"/>
      <c r="AF3" s="617"/>
      <c r="AG3" s="617"/>
      <c r="AH3" s="617"/>
      <c r="AI3" s="617"/>
      <c r="AJ3" s="617"/>
      <c r="AK3" s="617"/>
      <c r="AL3" s="617"/>
      <c r="AM3" s="617"/>
      <c r="AN3" s="617"/>
      <c r="AO3" s="617"/>
      <c r="AP3" s="617"/>
    </row>
    <row r="4" spans="1:42" ht="16.5" customHeight="1">
      <c r="A4" s="614"/>
      <c r="B4" s="614"/>
      <c r="C4" s="614"/>
      <c r="D4" s="614"/>
      <c r="E4" s="614"/>
      <c r="F4" s="602"/>
      <c r="H4" s="501" t="s">
        <v>3401</v>
      </c>
      <c r="I4" s="501" t="s">
        <v>3402</v>
      </c>
      <c r="J4" s="501" t="s">
        <v>2840</v>
      </c>
      <c r="K4" s="501" t="s">
        <v>3403</v>
      </c>
      <c r="L4" s="501" t="s">
        <v>3404</v>
      </c>
      <c r="Y4" s="433" t="str">
        <f>HYPERLINK("#'〓 목 차 〓'!B2","목차 →")</f>
        <v>목차 →</v>
      </c>
      <c r="Z4" s="617"/>
      <c r="AA4" s="617"/>
      <c r="AB4" s="617"/>
      <c r="AC4" s="617"/>
      <c r="AD4" s="617"/>
      <c r="AE4" s="617"/>
      <c r="AF4" s="617"/>
      <c r="AG4" s="617"/>
      <c r="AH4" s="617"/>
      <c r="AI4" s="617"/>
      <c r="AJ4" s="617"/>
      <c r="AK4" s="617"/>
      <c r="AL4" s="617"/>
      <c r="AM4" s="617"/>
      <c r="AN4" s="617"/>
      <c r="AO4" s="617"/>
      <c r="AP4" s="617"/>
    </row>
    <row r="5" spans="1:42" ht="16.5" customHeight="1">
      <c r="A5" s="502" t="s">
        <v>3349</v>
      </c>
      <c r="B5" s="503" t="s">
        <v>3348</v>
      </c>
      <c r="C5" s="615">
        <f>C154</f>
        <v>26887</v>
      </c>
      <c r="D5" s="615">
        <f>D154</f>
        <v>20935</v>
      </c>
      <c r="E5" s="615">
        <f>E154</f>
        <v>2818</v>
      </c>
      <c r="F5" s="615">
        <f>F154</f>
        <v>3134</v>
      </c>
      <c r="G5" s="486" t="str">
        <f>HYPERLINK("#G"&amp;ROW(G110),"_x0005_`BDCOD|D00970_x0007_`POSS|"&amp;ROW(G7)&amp;"_x0007_`POSE|"&amp;ROW(G110)&amp;"_x0007_`")</f>
        <v>_x0005_`BDCOD|D00970_x0007_`POSS|7_x0007_`POSE|110_x0007_`</v>
      </c>
      <c r="Z5" s="500"/>
      <c r="AA5" s="500"/>
      <c r="AB5" s="500"/>
      <c r="AC5" s="500"/>
      <c r="AD5" s="500"/>
      <c r="AE5" s="500"/>
      <c r="AF5" s="500"/>
      <c r="AG5" s="500"/>
      <c r="AH5" s="500"/>
      <c r="AI5" s="500"/>
      <c r="AJ5" s="500"/>
      <c r="AK5" s="500"/>
      <c r="AL5" s="500"/>
      <c r="AM5" s="500"/>
      <c r="AN5" s="500"/>
      <c r="AO5" s="500"/>
      <c r="AP5" s="500"/>
    </row>
    <row r="6" spans="1:42" ht="16.5" customHeight="1">
      <c r="A6" s="485"/>
      <c r="B6" s="503" t="s">
        <v>3405</v>
      </c>
      <c r="C6" s="593"/>
      <c r="D6" s="593"/>
      <c r="E6" s="593"/>
      <c r="F6" s="593"/>
      <c r="M6" s="501" t="s">
        <v>3348</v>
      </c>
      <c r="Z6" s="500"/>
      <c r="AA6" s="500"/>
      <c r="AB6" s="500"/>
      <c r="AC6" s="500"/>
      <c r="AD6" s="500"/>
      <c r="AE6" s="500"/>
      <c r="AF6" s="500"/>
      <c r="AG6" s="500"/>
      <c r="AH6" s="500"/>
      <c r="AI6" s="500"/>
      <c r="AJ6" s="500"/>
      <c r="AK6" s="500"/>
      <c r="AL6" s="500"/>
      <c r="AM6" s="500"/>
      <c r="AN6" s="500"/>
      <c r="AO6" s="500"/>
      <c r="AP6" s="500"/>
    </row>
    <row r="7" spans="1:42" ht="16.5" customHeight="1">
      <c r="A7" s="439"/>
      <c r="B7" s="439"/>
      <c r="C7" s="504"/>
      <c r="D7" s="504"/>
      <c r="E7" s="504"/>
      <c r="F7" s="504"/>
      <c r="G7" s="451" t="s">
        <v>3406</v>
      </c>
      <c r="Z7" s="500"/>
      <c r="AA7" s="500"/>
      <c r="AB7" s="500"/>
      <c r="AC7" s="500"/>
      <c r="AD7" s="500"/>
      <c r="AE7" s="500"/>
      <c r="AF7" s="500"/>
      <c r="AG7" s="500"/>
      <c r="AH7" s="500"/>
      <c r="AI7" s="500"/>
      <c r="AJ7" s="500"/>
      <c r="AK7" s="500"/>
      <c r="AL7" s="500"/>
      <c r="AM7" s="500"/>
      <c r="AN7" s="500"/>
      <c r="AO7" s="500"/>
      <c r="AP7" s="500"/>
    </row>
    <row r="8" spans="1:42" ht="16.5" customHeight="1">
      <c r="A8" s="434"/>
      <c r="B8" s="437" t="s">
        <v>3407</v>
      </c>
      <c r="C8" s="439"/>
      <c r="D8" s="439"/>
      <c r="E8" s="439"/>
      <c r="F8" s="439"/>
      <c r="G8" s="451" t="s">
        <v>3408</v>
      </c>
      <c r="Z8" s="500"/>
      <c r="AA8" s="500"/>
      <c r="AB8" s="500"/>
      <c r="AC8" s="500"/>
      <c r="AD8" s="500"/>
      <c r="AE8" s="500"/>
      <c r="AF8" s="500"/>
      <c r="AG8" s="500"/>
      <c r="AH8" s="500"/>
      <c r="AI8" s="500"/>
      <c r="AJ8" s="500"/>
      <c r="AK8" s="500"/>
      <c r="AL8" s="500"/>
      <c r="AM8" s="500"/>
      <c r="AN8" s="500"/>
      <c r="AO8" s="500"/>
      <c r="AP8" s="500"/>
    </row>
    <row r="9" spans="1:42" ht="16.5" customHeight="1">
      <c r="A9" s="439"/>
      <c r="B9" s="439"/>
      <c r="C9" s="439"/>
      <c r="D9" s="439"/>
      <c r="E9" s="439"/>
      <c r="F9" s="439"/>
      <c r="G9" s="451" t="s">
        <v>3406</v>
      </c>
      <c r="Z9" s="500"/>
      <c r="AA9" s="500"/>
      <c r="AB9" s="500"/>
      <c r="AC9" s="500"/>
      <c r="AD9" s="500"/>
      <c r="AE9" s="500"/>
      <c r="AF9" s="500"/>
      <c r="AG9" s="500"/>
      <c r="AH9" s="500"/>
      <c r="AI9" s="500"/>
      <c r="AJ9" s="500"/>
      <c r="AK9" s="500"/>
      <c r="AL9" s="500"/>
      <c r="AM9" s="500"/>
      <c r="AN9" s="500"/>
      <c r="AO9" s="500"/>
      <c r="AP9" s="500"/>
    </row>
    <row r="10" spans="1:42" ht="16.5" customHeight="1">
      <c r="A10" s="439"/>
      <c r="B10" s="439"/>
      <c r="C10" s="439"/>
      <c r="D10" s="439"/>
      <c r="E10" s="439"/>
      <c r="F10" s="439"/>
      <c r="G10" s="451" t="s">
        <v>3406</v>
      </c>
      <c r="Z10" s="500"/>
      <c r="AA10" s="500"/>
      <c r="AB10" s="500"/>
      <c r="AC10" s="500"/>
      <c r="AD10" s="500"/>
      <c r="AE10" s="500"/>
      <c r="AF10" s="500"/>
      <c r="AG10" s="500"/>
      <c r="AH10" s="500"/>
      <c r="AI10" s="500"/>
      <c r="AJ10" s="500"/>
      <c r="AK10" s="500"/>
      <c r="AL10" s="500"/>
      <c r="AM10" s="500"/>
      <c r="AN10" s="500"/>
      <c r="AO10" s="500"/>
      <c r="AP10" s="500"/>
    </row>
    <row r="11" spans="1:42" ht="16.5" customHeight="1">
      <c r="A11" s="439"/>
      <c r="B11" s="439"/>
      <c r="C11" s="439"/>
      <c r="D11" s="439"/>
      <c r="E11" s="439"/>
      <c r="F11" s="439"/>
      <c r="G11" s="451" t="s">
        <v>3406</v>
      </c>
      <c r="Z11" s="500"/>
      <c r="AA11" s="500"/>
      <c r="AB11" s="500"/>
      <c r="AC11" s="500"/>
      <c r="AD11" s="500"/>
      <c r="AE11" s="500"/>
      <c r="AF11" s="500"/>
      <c r="AG11" s="500"/>
      <c r="AH11" s="500"/>
      <c r="AI11" s="500"/>
      <c r="AJ11" s="500"/>
      <c r="AK11" s="500"/>
      <c r="AL11" s="500"/>
      <c r="AM11" s="500"/>
      <c r="AN11" s="500"/>
      <c r="AO11" s="500"/>
      <c r="AP11" s="500"/>
    </row>
    <row r="12" spans="1:42" ht="16.5" customHeight="1">
      <c r="A12" s="434"/>
      <c r="B12" s="437" t="s">
        <v>3409</v>
      </c>
      <c r="C12" s="439"/>
      <c r="D12" s="439"/>
      <c r="E12" s="439"/>
      <c r="F12" s="439"/>
      <c r="G12" s="451" t="s">
        <v>3410</v>
      </c>
      <c r="Z12" s="500"/>
      <c r="AA12" s="500"/>
      <c r="AB12" s="500"/>
      <c r="AC12" s="500"/>
      <c r="AD12" s="500"/>
      <c r="AE12" s="500"/>
      <c r="AF12" s="500"/>
      <c r="AG12" s="500"/>
      <c r="AH12" s="500"/>
      <c r="AI12" s="500"/>
      <c r="AJ12" s="500"/>
      <c r="AK12" s="500"/>
      <c r="AL12" s="500"/>
      <c r="AM12" s="500"/>
      <c r="AN12" s="500"/>
      <c r="AO12" s="500"/>
      <c r="AP12" s="500"/>
    </row>
    <row r="13" spans="1:42" ht="16.5" customHeight="1">
      <c r="A13" s="439"/>
      <c r="B13" s="439"/>
      <c r="C13" s="439"/>
      <c r="D13" s="439"/>
      <c r="E13" s="439"/>
      <c r="F13" s="439"/>
      <c r="G13" s="451" t="s">
        <v>3406</v>
      </c>
      <c r="Z13" s="500"/>
      <c r="AA13" s="500"/>
      <c r="AB13" s="500"/>
      <c r="AC13" s="500"/>
      <c r="AD13" s="500"/>
      <c r="AE13" s="500"/>
      <c r="AF13" s="500"/>
      <c r="AG13" s="500"/>
      <c r="AH13" s="500"/>
      <c r="AI13" s="500"/>
      <c r="AJ13" s="500"/>
      <c r="AK13" s="500"/>
      <c r="AL13" s="500"/>
      <c r="AM13" s="500"/>
      <c r="AN13" s="500"/>
      <c r="AO13" s="500"/>
      <c r="AP13" s="500"/>
    </row>
    <row r="14" spans="1:42" ht="16.5" customHeight="1">
      <c r="A14" s="439"/>
      <c r="B14" s="439"/>
      <c r="C14" s="439"/>
      <c r="D14" s="439"/>
      <c r="E14" s="439"/>
      <c r="F14" s="439"/>
      <c r="G14" s="451" t="s">
        <v>3406</v>
      </c>
      <c r="Z14" s="500"/>
      <c r="AA14" s="500"/>
      <c r="AB14" s="500"/>
      <c r="AC14" s="500"/>
      <c r="AD14" s="500"/>
      <c r="AE14" s="500"/>
      <c r="AF14" s="500"/>
      <c r="AG14" s="500"/>
      <c r="AH14" s="500"/>
      <c r="AI14" s="500"/>
      <c r="AJ14" s="500"/>
      <c r="AK14" s="500"/>
      <c r="AL14" s="500"/>
      <c r="AM14" s="500"/>
      <c r="AN14" s="500"/>
      <c r="AO14" s="500"/>
      <c r="AP14" s="500"/>
    </row>
    <row r="15" spans="1:42" ht="16.5" customHeight="1">
      <c r="A15" s="434"/>
      <c r="B15" s="437" t="s">
        <v>3411</v>
      </c>
      <c r="C15" s="439"/>
      <c r="D15" s="439"/>
      <c r="E15" s="439"/>
      <c r="F15" s="439"/>
      <c r="G15" s="451" t="s">
        <v>3412</v>
      </c>
      <c r="Z15" s="500"/>
      <c r="AA15" s="500"/>
      <c r="AB15" s="500"/>
      <c r="AC15" s="500"/>
      <c r="AD15" s="500"/>
      <c r="AE15" s="500"/>
      <c r="AF15" s="500"/>
      <c r="AG15" s="500"/>
      <c r="AH15" s="500"/>
      <c r="AI15" s="500"/>
      <c r="AJ15" s="500"/>
      <c r="AK15" s="500"/>
      <c r="AL15" s="500"/>
      <c r="AM15" s="500"/>
      <c r="AN15" s="500"/>
      <c r="AO15" s="500"/>
      <c r="AP15" s="500"/>
    </row>
    <row r="16" spans="1:42" ht="16.5" customHeight="1">
      <c r="A16" s="439"/>
      <c r="B16" s="439"/>
      <c r="C16" s="439"/>
      <c r="D16" s="439"/>
      <c r="E16" s="439"/>
      <c r="F16" s="439"/>
      <c r="G16" s="451" t="s">
        <v>3413</v>
      </c>
      <c r="Z16" s="500"/>
      <c r="AA16" s="500"/>
      <c r="AB16" s="500"/>
      <c r="AC16" s="500"/>
      <c r="AD16" s="500"/>
      <c r="AE16" s="500"/>
      <c r="AF16" s="500"/>
      <c r="AG16" s="500"/>
      <c r="AH16" s="500"/>
      <c r="AI16" s="500"/>
      <c r="AJ16" s="500"/>
      <c r="AK16" s="500"/>
      <c r="AL16" s="500"/>
      <c r="AM16" s="500"/>
      <c r="AN16" s="500"/>
      <c r="AO16" s="500"/>
      <c r="AP16" s="500"/>
    </row>
    <row r="17" spans="1:42" ht="16.5" customHeight="1">
      <c r="A17" s="434" t="s">
        <v>3414</v>
      </c>
      <c r="B17" s="505" t="str">
        <f>" 인부 :  "&amp;Z17&amp;" 인/m3  *  보통인부 : "&amp;TEXT(I17,"#,##0"&amp;IF(I17&lt;&gt;INT(I17),".###",""))&amp;" * "&amp;AB17&amp;" = "&amp;TEXT(C17,"#,##0.0")&amp;""</f>
        <v xml:space="preserve"> 인부 :  0.3 인/m3  *  보통인부 : 172,068 * 0.2 = 10,324.0</v>
      </c>
      <c r="C17" s="506">
        <f>E17+D17+F17</f>
        <v>10324</v>
      </c>
      <c r="D17" s="506">
        <f>IF(H17=0,0,ROUNDDOWN(J17*H17,1))</f>
        <v>10324</v>
      </c>
      <c r="E17" s="506">
        <f>IF(H17=0,0,ROUNDDOWN(K17*H17,1))</f>
        <v>0</v>
      </c>
      <c r="F17" s="506">
        <f>IF(H17=0,0,ROUNDDOWN(L17*H17,1))</f>
        <v>0</v>
      </c>
      <c r="G17" s="451" t="s">
        <v>3415</v>
      </c>
      <c r="H17" s="507">
        <f>ROUNDUP(AD17,14-LEN(ABS(INT(AD17))))</f>
        <v>0.06</v>
      </c>
      <c r="I17" s="508">
        <f>K17+J17+L17</f>
        <v>172068</v>
      </c>
      <c r="J17" s="509">
        <f>노무비목록표!E10</f>
        <v>172068</v>
      </c>
      <c r="M17" s="501" t="s">
        <v>2363</v>
      </c>
      <c r="N17" s="501" t="s">
        <v>3416</v>
      </c>
      <c r="X17" s="510" t="str">
        <f>노무비목록표!B10&amp;" / "&amp;노무비목록표!C10</f>
        <v xml:space="preserve">보통인부 / </v>
      </c>
      <c r="Y17" s="433" t="str">
        <f ca="1">HYPERLINK("#"&amp;노무비목록표!G2&amp;"!A"&amp;ROW(노무비목록표!A10),"L00017 →")</f>
        <v>L00017 →</v>
      </c>
      <c r="Z17" s="511">
        <v>0.3</v>
      </c>
      <c r="AA17" s="501" t="s">
        <v>3417</v>
      </c>
      <c r="AB17" s="511">
        <v>0.2</v>
      </c>
      <c r="AC17" s="501" t="s">
        <v>3418</v>
      </c>
      <c r="AD17" s="512">
        <f>Z17*1*AB17</f>
        <v>0.06</v>
      </c>
      <c r="AE17" s="500"/>
      <c r="AF17" s="500"/>
      <c r="AG17" s="500"/>
      <c r="AH17" s="500"/>
      <c r="AI17" s="500"/>
      <c r="AJ17" s="500"/>
      <c r="AK17" s="500"/>
      <c r="AL17" s="500"/>
      <c r="AM17" s="500"/>
      <c r="AN17" s="500"/>
      <c r="AO17" s="500"/>
      <c r="AP17" s="500"/>
    </row>
    <row r="18" spans="1:42" ht="16.5" customHeight="1">
      <c r="A18" s="439"/>
      <c r="B18" s="439"/>
      <c r="C18" s="439"/>
      <c r="D18" s="439"/>
      <c r="E18" s="439"/>
      <c r="F18" s="439"/>
      <c r="G18" s="451" t="s">
        <v>3406</v>
      </c>
      <c r="Z18" s="500"/>
      <c r="AA18" s="500"/>
      <c r="AB18" s="500"/>
      <c r="AC18" s="500"/>
      <c r="AD18" s="500"/>
      <c r="AE18" s="500"/>
      <c r="AF18" s="500"/>
      <c r="AG18" s="500"/>
      <c r="AH18" s="500"/>
      <c r="AI18" s="500"/>
      <c r="AJ18" s="500"/>
      <c r="AK18" s="500"/>
      <c r="AL18" s="500"/>
      <c r="AM18" s="500"/>
      <c r="AN18" s="500"/>
      <c r="AO18" s="500"/>
      <c r="AP18" s="500"/>
    </row>
    <row r="19" spans="1:42" ht="16.5" customHeight="1">
      <c r="A19" s="434"/>
      <c r="B19" s="437" t="s">
        <v>3419</v>
      </c>
      <c r="C19" s="513">
        <f>E19+D19+F19</f>
        <v>10324</v>
      </c>
      <c r="D19" s="513">
        <f>SUMIF(N7:N18,M19,D7:D18)</f>
        <v>10324</v>
      </c>
      <c r="E19" s="513">
        <f>SUMIF(N7:N18,M19,E7:E18)</f>
        <v>0</v>
      </c>
      <c r="F19" s="513">
        <f>SUMIF(N7:N18,M19,F7:F18)</f>
        <v>0</v>
      </c>
      <c r="G19" s="451" t="s">
        <v>3420</v>
      </c>
      <c r="M19" s="501" t="s">
        <v>3416</v>
      </c>
      <c r="N19" s="501" t="s">
        <v>3421</v>
      </c>
      <c r="Z19" s="500"/>
      <c r="AA19" s="500"/>
      <c r="AB19" s="500"/>
      <c r="AC19" s="500"/>
      <c r="AD19" s="500"/>
      <c r="AE19" s="500"/>
      <c r="AF19" s="500"/>
      <c r="AG19" s="500"/>
      <c r="AH19" s="500"/>
      <c r="AI19" s="500"/>
      <c r="AJ19" s="500"/>
      <c r="AK19" s="500"/>
      <c r="AL19" s="500"/>
      <c r="AM19" s="500"/>
      <c r="AN19" s="500"/>
      <c r="AO19" s="500"/>
      <c r="AP19" s="500"/>
    </row>
    <row r="20" spans="1:42" ht="16.5" customHeight="1">
      <c r="A20" s="439"/>
      <c r="B20" s="439"/>
      <c r="C20" s="504"/>
      <c r="D20" s="504"/>
      <c r="E20" s="504"/>
      <c r="F20" s="504"/>
      <c r="G20" s="451" t="s">
        <v>3406</v>
      </c>
      <c r="Z20" s="500"/>
      <c r="AA20" s="500"/>
      <c r="AB20" s="500"/>
      <c r="AC20" s="500"/>
      <c r="AD20" s="500"/>
      <c r="AE20" s="500"/>
      <c r="AF20" s="500"/>
      <c r="AG20" s="500"/>
      <c r="AH20" s="500"/>
      <c r="AI20" s="500"/>
      <c r="AJ20" s="500"/>
      <c r="AK20" s="500"/>
      <c r="AL20" s="500"/>
      <c r="AM20" s="500"/>
      <c r="AN20" s="500"/>
      <c r="AO20" s="500"/>
      <c r="AP20" s="500"/>
    </row>
    <row r="21" spans="1:42" ht="16.5" customHeight="1">
      <c r="A21" s="439"/>
      <c r="B21" s="439"/>
      <c r="C21" s="439"/>
      <c r="D21" s="439"/>
      <c r="E21" s="439"/>
      <c r="F21" s="439"/>
      <c r="G21" s="451" t="s">
        <v>3406</v>
      </c>
      <c r="Z21" s="500"/>
      <c r="AA21" s="500"/>
      <c r="AB21" s="500"/>
      <c r="AC21" s="500"/>
      <c r="AD21" s="500"/>
      <c r="AE21" s="500"/>
      <c r="AF21" s="500"/>
      <c r="AG21" s="500"/>
      <c r="AH21" s="500"/>
      <c r="AI21" s="500"/>
      <c r="AJ21" s="500"/>
      <c r="AK21" s="500"/>
      <c r="AL21" s="500"/>
      <c r="AM21" s="500"/>
      <c r="AN21" s="500"/>
      <c r="AO21" s="500"/>
      <c r="AP21" s="500"/>
    </row>
    <row r="22" spans="1:42" ht="16.5" customHeight="1">
      <c r="A22" s="434"/>
      <c r="B22" s="437" t="s">
        <v>3422</v>
      </c>
      <c r="C22" s="439"/>
      <c r="D22" s="439"/>
      <c r="E22" s="439"/>
      <c r="F22" s="439"/>
      <c r="G22" s="451" t="s">
        <v>3423</v>
      </c>
      <c r="Z22" s="500"/>
      <c r="AA22" s="500"/>
      <c r="AB22" s="500"/>
      <c r="AC22" s="500"/>
      <c r="AD22" s="500"/>
      <c r="AE22" s="500"/>
      <c r="AF22" s="500"/>
      <c r="AG22" s="500"/>
      <c r="AH22" s="500"/>
      <c r="AI22" s="500"/>
      <c r="AJ22" s="500"/>
      <c r="AK22" s="500"/>
      <c r="AL22" s="500"/>
      <c r="AM22" s="500"/>
      <c r="AN22" s="500"/>
      <c r="AO22" s="500"/>
      <c r="AP22" s="500"/>
    </row>
    <row r="23" spans="1:42" ht="16.5" customHeight="1">
      <c r="A23" s="439"/>
      <c r="B23" s="439"/>
      <c r="C23" s="439"/>
      <c r="D23" s="439"/>
      <c r="E23" s="439"/>
      <c r="F23" s="439"/>
      <c r="G23" s="451" t="s">
        <v>3413</v>
      </c>
      <c r="Z23" s="500"/>
      <c r="AA23" s="500"/>
      <c r="AB23" s="500"/>
      <c r="AC23" s="500"/>
      <c r="AD23" s="500"/>
      <c r="AE23" s="500"/>
      <c r="AF23" s="500"/>
      <c r="AG23" s="500"/>
      <c r="AH23" s="500"/>
      <c r="AI23" s="500"/>
      <c r="AJ23" s="500"/>
      <c r="AK23" s="500"/>
      <c r="AL23" s="500"/>
      <c r="AM23" s="500"/>
      <c r="AN23" s="500"/>
      <c r="AO23" s="500"/>
      <c r="AP23" s="500"/>
    </row>
    <row r="24" spans="1:42" ht="16.5" customHeight="1">
      <c r="A24" s="434"/>
      <c r="B24" s="437" t="s">
        <v>3424</v>
      </c>
      <c r="C24" s="439"/>
      <c r="D24" s="439"/>
      <c r="E24" s="439"/>
      <c r="F24" s="439"/>
      <c r="G24" s="451" t="s">
        <v>3425</v>
      </c>
      <c r="Z24" s="500"/>
      <c r="AA24" s="500"/>
      <c r="AB24" s="500"/>
      <c r="AC24" s="500"/>
      <c r="AD24" s="500"/>
      <c r="AE24" s="500"/>
      <c r="AF24" s="500"/>
      <c r="AG24" s="500"/>
      <c r="AH24" s="500"/>
      <c r="AI24" s="500"/>
      <c r="AJ24" s="500"/>
      <c r="AK24" s="500"/>
      <c r="AL24" s="500"/>
      <c r="AM24" s="500"/>
      <c r="AN24" s="500"/>
      <c r="AO24" s="500"/>
      <c r="AP24" s="500"/>
    </row>
    <row r="25" spans="1:42" ht="16.5" customHeight="1">
      <c r="A25" s="439"/>
      <c r="B25" s="439"/>
      <c r="C25" s="439"/>
      <c r="D25" s="439"/>
      <c r="E25" s="439"/>
      <c r="F25" s="439"/>
      <c r="G25" s="451" t="s">
        <v>3406</v>
      </c>
      <c r="Z25" s="500"/>
      <c r="AA25" s="500"/>
      <c r="AB25" s="500"/>
      <c r="AC25" s="500"/>
      <c r="AD25" s="500"/>
      <c r="AE25" s="500"/>
      <c r="AF25" s="500"/>
      <c r="AG25" s="500"/>
      <c r="AH25" s="500"/>
      <c r="AI25" s="500"/>
      <c r="AJ25" s="500"/>
      <c r="AK25" s="500"/>
      <c r="AL25" s="500"/>
      <c r="AM25" s="500"/>
      <c r="AN25" s="500"/>
      <c r="AO25" s="500"/>
      <c r="AP25" s="500"/>
    </row>
    <row r="26" spans="1:42" ht="16.5" customHeight="1">
      <c r="A26" s="434"/>
      <c r="B26" s="437" t="str">
        <f>" q (버킷용량)  = "&amp;Z26&amp;" , f (체적환산계수) ="&amp;AD26&amp;"/"&amp;AF26&amp;" = "&amp;AH26&amp;""</f>
        <v xml:space="preserve"> q (버킷용량)  = 0.2 , f (체적환산계수) =1/1 = 1.00</v>
      </c>
      <c r="C26" s="439"/>
      <c r="D26" s="439"/>
      <c r="E26" s="439"/>
      <c r="F26" s="439"/>
      <c r="G26" s="451" t="s">
        <v>3426</v>
      </c>
      <c r="Z26" s="511">
        <v>0.2</v>
      </c>
      <c r="AA26" s="501" t="s">
        <v>3418</v>
      </c>
      <c r="AB26" s="512">
        <f>Z26</f>
        <v>0.2</v>
      </c>
      <c r="AC26" s="514" t="s">
        <v>3427</v>
      </c>
      <c r="AD26" s="515">
        <v>1</v>
      </c>
      <c r="AE26" s="501" t="s">
        <v>3428</v>
      </c>
      <c r="AF26" s="515">
        <v>1</v>
      </c>
      <c r="AG26" s="501" t="s">
        <v>3418</v>
      </c>
      <c r="AH26" s="512" t="str">
        <f>TEXT(ROUND(AD26/AF26,2),"#,0.00")</f>
        <v>1.00</v>
      </c>
      <c r="AI26" s="500"/>
      <c r="AJ26" s="500"/>
      <c r="AK26" s="500"/>
      <c r="AL26" s="500"/>
      <c r="AM26" s="500"/>
      <c r="AN26" s="500"/>
      <c r="AO26" s="500"/>
      <c r="AP26" s="500"/>
    </row>
    <row r="27" spans="1:42" ht="16.5" customHeight="1">
      <c r="A27" s="439"/>
      <c r="B27" s="439"/>
      <c r="C27" s="439"/>
      <c r="D27" s="439"/>
      <c r="E27" s="439"/>
      <c r="F27" s="439"/>
      <c r="G27" s="451" t="s">
        <v>3406</v>
      </c>
      <c r="Z27" s="500"/>
      <c r="AA27" s="500"/>
      <c r="AB27" s="500"/>
      <c r="AC27" s="500"/>
      <c r="AD27" s="500"/>
      <c r="AE27" s="500"/>
      <c r="AF27" s="500"/>
      <c r="AG27" s="500"/>
      <c r="AH27" s="500"/>
      <c r="AI27" s="500"/>
      <c r="AJ27" s="500"/>
      <c r="AK27" s="500"/>
      <c r="AL27" s="500"/>
      <c r="AM27" s="500"/>
      <c r="AN27" s="500"/>
      <c r="AO27" s="500"/>
      <c r="AP27" s="500"/>
    </row>
    <row r="28" spans="1:42" ht="16.5" customHeight="1">
      <c r="A28" s="434"/>
      <c r="B28" s="437" t="str">
        <f>" K (버킷계수)  = "&amp;Z28&amp;""</f>
        <v xml:space="preserve"> K (버킷계수)  = 0.55</v>
      </c>
      <c r="C28" s="439"/>
      <c r="D28" s="439"/>
      <c r="E28" s="439"/>
      <c r="F28" s="439"/>
      <c r="G28" s="451" t="s">
        <v>3429</v>
      </c>
      <c r="Z28" s="511">
        <v>0.55000000000000004</v>
      </c>
      <c r="AA28" s="501" t="s">
        <v>3418</v>
      </c>
      <c r="AB28" s="512">
        <f>Z28</f>
        <v>0.55000000000000004</v>
      </c>
      <c r="AC28" s="500"/>
      <c r="AD28" s="500"/>
      <c r="AE28" s="500"/>
      <c r="AF28" s="500"/>
      <c r="AG28" s="500"/>
      <c r="AH28" s="500"/>
      <c r="AI28" s="500"/>
      <c r="AJ28" s="500"/>
      <c r="AK28" s="500"/>
      <c r="AL28" s="500"/>
      <c r="AM28" s="500"/>
      <c r="AN28" s="500"/>
      <c r="AO28" s="500"/>
      <c r="AP28" s="500"/>
    </row>
    <row r="29" spans="1:42" ht="16.5" customHeight="1">
      <c r="A29" s="439"/>
      <c r="B29" s="439"/>
      <c r="C29" s="439"/>
      <c r="D29" s="439"/>
      <c r="E29" s="439"/>
      <c r="F29" s="439"/>
      <c r="G29" s="451" t="s">
        <v>3406</v>
      </c>
      <c r="Z29" s="500"/>
      <c r="AA29" s="500"/>
      <c r="AB29" s="500"/>
      <c r="AC29" s="500"/>
      <c r="AD29" s="500"/>
      <c r="AE29" s="500"/>
      <c r="AF29" s="500"/>
      <c r="AG29" s="500"/>
      <c r="AH29" s="500"/>
      <c r="AI29" s="500"/>
      <c r="AJ29" s="500"/>
      <c r="AK29" s="500"/>
      <c r="AL29" s="500"/>
      <c r="AM29" s="500"/>
      <c r="AN29" s="500"/>
      <c r="AO29" s="500"/>
      <c r="AP29" s="500"/>
    </row>
    <row r="30" spans="1:42" ht="16.5" customHeight="1">
      <c r="A30" s="434"/>
      <c r="B30" s="437" t="str">
        <f>" Cm (1회 사이클 시간(초))  = "&amp;Z30&amp;" sec (135˚)  , E (작업효율)  = "&amp;AD30&amp;""</f>
        <v xml:space="preserve"> Cm (1회 사이클 시간(초))  = 18 sec (135˚)  , E (작업효율)  = 0.35</v>
      </c>
      <c r="C30" s="439"/>
      <c r="D30" s="439"/>
      <c r="E30" s="439"/>
      <c r="F30" s="439"/>
      <c r="G30" s="451" t="s">
        <v>3430</v>
      </c>
      <c r="Z30" s="515">
        <v>18</v>
      </c>
      <c r="AA30" s="501" t="s">
        <v>3418</v>
      </c>
      <c r="AB30" s="512">
        <f>Z30</f>
        <v>18</v>
      </c>
      <c r="AC30" s="514" t="s">
        <v>3427</v>
      </c>
      <c r="AD30" s="511">
        <v>0.35</v>
      </c>
      <c r="AE30" s="501" t="s">
        <v>3418</v>
      </c>
      <c r="AF30" s="512">
        <f>AD30</f>
        <v>0.35</v>
      </c>
      <c r="AG30" s="500"/>
      <c r="AH30" s="500"/>
      <c r="AI30" s="500"/>
      <c r="AJ30" s="500"/>
      <c r="AK30" s="500"/>
      <c r="AL30" s="500"/>
      <c r="AM30" s="500"/>
      <c r="AN30" s="500"/>
      <c r="AO30" s="500"/>
      <c r="AP30" s="500"/>
    </row>
    <row r="31" spans="1:42" ht="16.5" customHeight="1">
      <c r="A31" s="439"/>
      <c r="B31" s="439"/>
      <c r="C31" s="439"/>
      <c r="D31" s="439"/>
      <c r="E31" s="439"/>
      <c r="F31" s="439"/>
      <c r="G31" s="451" t="s">
        <v>3406</v>
      </c>
      <c r="Z31" s="500"/>
      <c r="AA31" s="500"/>
      <c r="AB31" s="500"/>
      <c r="AC31" s="500"/>
      <c r="AD31" s="500"/>
      <c r="AE31" s="500"/>
      <c r="AF31" s="500"/>
      <c r="AG31" s="500"/>
      <c r="AH31" s="500"/>
      <c r="AI31" s="500"/>
      <c r="AJ31" s="500"/>
      <c r="AK31" s="500"/>
      <c r="AL31" s="500"/>
      <c r="AM31" s="500"/>
      <c r="AN31" s="500"/>
      <c r="AO31" s="500"/>
      <c r="AP31" s="500"/>
    </row>
    <row r="32" spans="1:42" ht="16.5" customHeight="1">
      <c r="A32" s="434"/>
      <c r="B32" s="437" t="str">
        <f>" Q (시간당 작업량)  = "&amp;Z32&amp;"*q*K*f*E/Cm = "&amp;AL32&amp;" ㎥/hr "</f>
        <v xml:space="preserve"> Q (시간당 작업량)  = 3600*q*K*f*E/Cm = 7.70 ㎥/hr </v>
      </c>
      <c r="C32" s="439"/>
      <c r="D32" s="439"/>
      <c r="E32" s="439"/>
      <c r="F32" s="439"/>
      <c r="G32" s="451" t="s">
        <v>3431</v>
      </c>
      <c r="Z32" s="515">
        <v>3600</v>
      </c>
      <c r="AA32" s="501" t="s">
        <v>3368</v>
      </c>
      <c r="AB32" s="512">
        <f>AB26</f>
        <v>0.2</v>
      </c>
      <c r="AC32" s="501" t="s">
        <v>3368</v>
      </c>
      <c r="AD32" s="512">
        <f>AB28</f>
        <v>0.55000000000000004</v>
      </c>
      <c r="AE32" s="501" t="s">
        <v>3368</v>
      </c>
      <c r="AF32" s="512" t="str">
        <f>AH26</f>
        <v>1.00</v>
      </c>
      <c r="AG32" s="501" t="s">
        <v>3368</v>
      </c>
      <c r="AH32" s="512">
        <f>AF30</f>
        <v>0.35</v>
      </c>
      <c r="AI32" s="501" t="s">
        <v>3428</v>
      </c>
      <c r="AJ32" s="512">
        <f>AB30</f>
        <v>18</v>
      </c>
      <c r="AK32" s="501" t="s">
        <v>3418</v>
      </c>
      <c r="AL32" s="512" t="str">
        <f>TEXT(ROUND(Z32*AB26*AB28*AH26*AF30/AB30,2),"#,0.00")</f>
        <v>7.70</v>
      </c>
      <c r="AM32" s="500"/>
      <c r="AN32" s="500"/>
      <c r="AO32" s="500"/>
      <c r="AP32" s="500"/>
    </row>
    <row r="33" spans="1:42" ht="16.5" customHeight="1">
      <c r="A33" s="439"/>
      <c r="B33" s="439"/>
      <c r="C33" s="439"/>
      <c r="D33" s="439"/>
      <c r="E33" s="439"/>
      <c r="F33" s="439"/>
      <c r="G33" s="451" t="s">
        <v>3406</v>
      </c>
      <c r="Z33" s="500"/>
      <c r="AA33" s="500"/>
      <c r="AB33" s="500"/>
      <c r="AC33" s="500"/>
      <c r="AD33" s="500"/>
      <c r="AE33" s="500"/>
      <c r="AF33" s="500"/>
      <c r="AG33" s="500"/>
      <c r="AH33" s="500"/>
      <c r="AI33" s="500"/>
      <c r="AJ33" s="500"/>
      <c r="AK33" s="500"/>
      <c r="AL33" s="500"/>
      <c r="AM33" s="500"/>
      <c r="AN33" s="500"/>
      <c r="AO33" s="500"/>
      <c r="AP33" s="500"/>
    </row>
    <row r="34" spans="1:42" ht="16.5" customHeight="1">
      <c r="A34" s="434" t="s">
        <v>3432</v>
      </c>
      <c r="B34" s="505" t="str">
        <f>"   노무비: "&amp;TEXT(I34,"#,##0"&amp;IF(I34&lt;&gt;INT(I34),".###",""))&amp;" / Q *"&amp;AC34&amp;" = "&amp;TEXT(C34,"#,##0.0")&amp;""</f>
        <v xml:space="preserve">   노무비: 59,020 / Q *0.8 = 6,131.9</v>
      </c>
      <c r="C34" s="506">
        <f>E34+D34+F34</f>
        <v>6131.9</v>
      </c>
      <c r="D34" s="506">
        <f>IF(H34=0,0,ROUNDDOWN(J34*H34,1))</f>
        <v>6131.9</v>
      </c>
      <c r="E34" s="506">
        <f>IF(H34=0,0,ROUNDDOWN(K34*H34,1))</f>
        <v>0</v>
      </c>
      <c r="F34" s="506">
        <f>IF(H34=0,0,ROUNDDOWN(L34*H34,1))</f>
        <v>0</v>
      </c>
      <c r="G34" s="451" t="s">
        <v>3433</v>
      </c>
      <c r="H34" s="507">
        <f>ROUNDUP(AE34,14-LEN(ABS(INT(AE34))))</f>
        <v>0.10389610389620001</v>
      </c>
      <c r="I34" s="508">
        <f>K34+J34+L34</f>
        <v>59020</v>
      </c>
      <c r="J34" s="509">
        <f>중기목록표!F5</f>
        <v>59020</v>
      </c>
      <c r="M34" s="501" t="s">
        <v>2412</v>
      </c>
      <c r="N34" s="501" t="s">
        <v>3416</v>
      </c>
      <c r="X34" s="510" t="str">
        <f>중기목록표!B5&amp;" / "&amp;중기목록표!C5</f>
        <v>굴착기(무한궤도) / 0.2㎥</v>
      </c>
      <c r="Y34" s="433" t="str">
        <f ca="1">HYPERLINK("#"&amp;중기목록표!J2&amp;"!A"&amp;ROW(중기목록표!A5),"X00273 →")</f>
        <v>X00273 →</v>
      </c>
      <c r="Z34" s="501" t="s">
        <v>3434</v>
      </c>
      <c r="AA34" s="512" t="str">
        <f>AL32</f>
        <v>7.70</v>
      </c>
      <c r="AB34" s="501" t="s">
        <v>3368</v>
      </c>
      <c r="AC34" s="511">
        <v>0.8</v>
      </c>
      <c r="AD34" s="501" t="s">
        <v>3418</v>
      </c>
      <c r="AE34" s="512">
        <f>1/AL32*AC34</f>
        <v>0.10389610389610389</v>
      </c>
      <c r="AF34" s="500"/>
      <c r="AG34" s="500"/>
      <c r="AH34" s="500"/>
      <c r="AI34" s="500"/>
      <c r="AJ34" s="500"/>
      <c r="AK34" s="500"/>
      <c r="AL34" s="500"/>
      <c r="AM34" s="500"/>
      <c r="AN34" s="500"/>
      <c r="AO34" s="500"/>
      <c r="AP34" s="500"/>
    </row>
    <row r="35" spans="1:42" ht="16.5" customHeight="1">
      <c r="A35" s="439"/>
      <c r="B35" s="439"/>
      <c r="C35" s="439"/>
      <c r="D35" s="439"/>
      <c r="E35" s="439"/>
      <c r="F35" s="439"/>
      <c r="G35" s="451" t="s">
        <v>3406</v>
      </c>
      <c r="Z35" s="500"/>
      <c r="AA35" s="500"/>
      <c r="AB35" s="500"/>
      <c r="AC35" s="500"/>
      <c r="AD35" s="500"/>
      <c r="AE35" s="500"/>
      <c r="AF35" s="500"/>
      <c r="AG35" s="500"/>
      <c r="AH35" s="500"/>
      <c r="AI35" s="500"/>
      <c r="AJ35" s="500"/>
      <c r="AK35" s="500"/>
      <c r="AL35" s="500"/>
      <c r="AM35" s="500"/>
      <c r="AN35" s="500"/>
      <c r="AO35" s="500"/>
      <c r="AP35" s="500"/>
    </row>
    <row r="36" spans="1:42" ht="16.5" customHeight="1">
      <c r="A36" s="434" t="s">
        <v>3435</v>
      </c>
      <c r="B36" s="505" t="str">
        <f>"   재료비: "&amp;TEXT(I36,"#,##0"&amp;IF(I36&lt;&gt;INT(I36),".###",""))&amp;" / Q *"&amp;AC36&amp;" = "&amp;TEXT(C36,"#,##0.0")&amp;""</f>
        <v xml:space="preserve">   재료비: 8,342 / Q *0.8 = 866.7</v>
      </c>
      <c r="C36" s="506">
        <f>E36+D36+F36</f>
        <v>866.7</v>
      </c>
      <c r="D36" s="506">
        <f>IF(H36=0,0,ROUNDDOWN(J36*H36,1))</f>
        <v>0</v>
      </c>
      <c r="E36" s="506">
        <f>IF(H36=0,0,ROUNDDOWN(K36*H36,1))</f>
        <v>866.7</v>
      </c>
      <c r="F36" s="506">
        <f>IF(H36=0,0,ROUNDDOWN(L36*H36,1))</f>
        <v>0</v>
      </c>
      <c r="G36" s="451" t="s">
        <v>3436</v>
      </c>
      <c r="H36" s="507">
        <f>ROUNDUP(AE36,14-LEN(ABS(INT(AE36))))</f>
        <v>0.10389610389620001</v>
      </c>
      <c r="I36" s="508">
        <f>K36+J36+L36</f>
        <v>8342</v>
      </c>
      <c r="K36" s="509">
        <f>중기목록표!G5</f>
        <v>8342</v>
      </c>
      <c r="M36" s="501" t="s">
        <v>2412</v>
      </c>
      <c r="N36" s="501" t="s">
        <v>3416</v>
      </c>
      <c r="X36" s="510" t="str">
        <f>중기목록표!B5&amp;" / "&amp;중기목록표!C5</f>
        <v>굴착기(무한궤도) / 0.2㎥</v>
      </c>
      <c r="Y36" s="433" t="str">
        <f ca="1">HYPERLINK("#"&amp;중기목록표!J2&amp;"!A"&amp;ROW(중기목록표!A5),"X00273 →")</f>
        <v>X00273 →</v>
      </c>
      <c r="Z36" s="501" t="s">
        <v>3434</v>
      </c>
      <c r="AA36" s="512" t="str">
        <f>AL32</f>
        <v>7.70</v>
      </c>
      <c r="AB36" s="501" t="s">
        <v>3368</v>
      </c>
      <c r="AC36" s="511">
        <v>0.8</v>
      </c>
      <c r="AD36" s="501" t="s">
        <v>3418</v>
      </c>
      <c r="AE36" s="512">
        <f>1/AL32*AC36</f>
        <v>0.10389610389610389</v>
      </c>
      <c r="AF36" s="500"/>
      <c r="AG36" s="500"/>
      <c r="AH36" s="500"/>
      <c r="AI36" s="500"/>
      <c r="AJ36" s="500"/>
      <c r="AK36" s="500"/>
      <c r="AL36" s="500"/>
      <c r="AM36" s="500"/>
      <c r="AN36" s="500"/>
      <c r="AO36" s="500"/>
      <c r="AP36" s="500"/>
    </row>
    <row r="37" spans="1:42" ht="16.5" customHeight="1">
      <c r="A37" s="439"/>
      <c r="B37" s="439"/>
      <c r="C37" s="439"/>
      <c r="D37" s="439"/>
      <c r="E37" s="439"/>
      <c r="F37" s="439"/>
      <c r="G37" s="451" t="s">
        <v>3406</v>
      </c>
      <c r="Z37" s="500"/>
      <c r="AA37" s="500"/>
      <c r="AB37" s="500"/>
      <c r="AC37" s="500"/>
      <c r="AD37" s="500"/>
      <c r="AE37" s="500"/>
      <c r="AF37" s="500"/>
      <c r="AG37" s="500"/>
      <c r="AH37" s="500"/>
      <c r="AI37" s="500"/>
      <c r="AJ37" s="500"/>
      <c r="AK37" s="500"/>
      <c r="AL37" s="500"/>
      <c r="AM37" s="500"/>
      <c r="AN37" s="500"/>
      <c r="AO37" s="500"/>
      <c r="AP37" s="500"/>
    </row>
    <row r="38" spans="1:42" ht="16.5" customHeight="1">
      <c r="A38" s="434" t="s">
        <v>3437</v>
      </c>
      <c r="B38" s="505" t="str">
        <f>"   경  비: "&amp;TEXT(I38,"#,##0"&amp;IF(I38&lt;&gt;INT(I38),".###",""))&amp;" / Q *"&amp;AC38&amp;" = "&amp;TEXT(C38,"#,##0.0")&amp;""</f>
        <v xml:space="preserve">   경  비: 13,873 / Q *0.8 = 1,441.3</v>
      </c>
      <c r="C38" s="506">
        <f>E38+D38+F38</f>
        <v>1441.3</v>
      </c>
      <c r="D38" s="506">
        <f>IF(H38=0,0,ROUNDDOWN(J38*H38,1))</f>
        <v>0</v>
      </c>
      <c r="E38" s="506">
        <f>IF(H38=0,0,ROUNDDOWN(K38*H38,1))</f>
        <v>0</v>
      </c>
      <c r="F38" s="506">
        <f>IF(H38=0,0,ROUNDDOWN(L38*H38,1))</f>
        <v>1441.3</v>
      </c>
      <c r="G38" s="451" t="s">
        <v>3438</v>
      </c>
      <c r="H38" s="507">
        <f>ROUNDUP(AE38,14-LEN(ABS(INT(AE38))))</f>
        <v>0.10389610389620001</v>
      </c>
      <c r="I38" s="508">
        <f>K38+J38+L38</f>
        <v>13873</v>
      </c>
      <c r="L38" s="509">
        <f>중기목록표!H5</f>
        <v>13873</v>
      </c>
      <c r="M38" s="501" t="s">
        <v>2412</v>
      </c>
      <c r="N38" s="501" t="s">
        <v>3416</v>
      </c>
      <c r="X38" s="510" t="str">
        <f>중기목록표!B5&amp;" / "&amp;중기목록표!C5</f>
        <v>굴착기(무한궤도) / 0.2㎥</v>
      </c>
      <c r="Y38" s="433" t="str">
        <f ca="1">HYPERLINK("#"&amp;중기목록표!J2&amp;"!A"&amp;ROW(중기목록표!A5),"X00273 →")</f>
        <v>X00273 →</v>
      </c>
      <c r="Z38" s="501" t="s">
        <v>3434</v>
      </c>
      <c r="AA38" s="512" t="str">
        <f>AL32</f>
        <v>7.70</v>
      </c>
      <c r="AB38" s="501" t="s">
        <v>3368</v>
      </c>
      <c r="AC38" s="511">
        <v>0.8</v>
      </c>
      <c r="AD38" s="501" t="s">
        <v>3418</v>
      </c>
      <c r="AE38" s="512">
        <f>1/AL32*AC38</f>
        <v>0.10389610389610389</v>
      </c>
      <c r="AF38" s="500"/>
      <c r="AG38" s="500"/>
      <c r="AH38" s="500"/>
      <c r="AI38" s="500"/>
      <c r="AJ38" s="500"/>
      <c r="AK38" s="500"/>
      <c r="AL38" s="500"/>
      <c r="AM38" s="500"/>
      <c r="AN38" s="500"/>
      <c r="AO38" s="500"/>
      <c r="AP38" s="500"/>
    </row>
    <row r="39" spans="1:42" ht="16.5" customHeight="1">
      <c r="A39" s="439"/>
      <c r="B39" s="439"/>
      <c r="C39" s="439"/>
      <c r="D39" s="439"/>
      <c r="E39" s="439"/>
      <c r="F39" s="439"/>
      <c r="G39" s="451" t="s">
        <v>3406</v>
      </c>
      <c r="Z39" s="500"/>
      <c r="AA39" s="500"/>
      <c r="AB39" s="500"/>
      <c r="AC39" s="500"/>
      <c r="AD39" s="500"/>
      <c r="AE39" s="500"/>
      <c r="AF39" s="500"/>
      <c r="AG39" s="500"/>
      <c r="AH39" s="500"/>
      <c r="AI39" s="500"/>
      <c r="AJ39" s="500"/>
      <c r="AK39" s="500"/>
      <c r="AL39" s="500"/>
      <c r="AM39" s="500"/>
      <c r="AN39" s="500"/>
      <c r="AO39" s="500"/>
      <c r="AP39" s="500"/>
    </row>
    <row r="40" spans="1:42" ht="16.5" customHeight="1">
      <c r="A40" s="434"/>
      <c r="B40" s="437" t="s">
        <v>3419</v>
      </c>
      <c r="C40" s="513">
        <f>E40+D40+F40</f>
        <v>8439.9</v>
      </c>
      <c r="D40" s="513">
        <f>SUMIF(N20:N39,M40,D20:D39)</f>
        <v>6131.9</v>
      </c>
      <c r="E40" s="513">
        <f>SUMIF(N20:N39,M40,E20:E39)</f>
        <v>866.7</v>
      </c>
      <c r="F40" s="513">
        <f>SUMIF(N20:N39,M40,F20:F39)</f>
        <v>1441.3</v>
      </c>
      <c r="G40" s="451" t="s">
        <v>3439</v>
      </c>
      <c r="M40" s="501" t="s">
        <v>3416</v>
      </c>
      <c r="N40" s="501" t="s">
        <v>3421</v>
      </c>
      <c r="Z40" s="500"/>
      <c r="AA40" s="500"/>
      <c r="AB40" s="500"/>
      <c r="AC40" s="500"/>
      <c r="AD40" s="500"/>
      <c r="AE40" s="500"/>
      <c r="AF40" s="500"/>
      <c r="AG40" s="500"/>
      <c r="AH40" s="500"/>
      <c r="AI40" s="500"/>
      <c r="AJ40" s="500"/>
      <c r="AK40" s="500"/>
      <c r="AL40" s="500"/>
      <c r="AM40" s="500"/>
      <c r="AN40" s="500"/>
      <c r="AO40" s="500"/>
      <c r="AP40" s="500"/>
    </row>
    <row r="41" spans="1:42" ht="16.5" customHeight="1">
      <c r="A41" s="439"/>
      <c r="B41" s="439"/>
      <c r="C41" s="504"/>
      <c r="D41" s="504"/>
      <c r="E41" s="504"/>
      <c r="F41" s="504"/>
      <c r="G41" s="451" t="s">
        <v>3406</v>
      </c>
      <c r="Z41" s="500"/>
      <c r="AA41" s="500"/>
      <c r="AB41" s="500"/>
      <c r="AC41" s="500"/>
      <c r="AD41" s="500"/>
      <c r="AE41" s="500"/>
      <c r="AF41" s="500"/>
      <c r="AG41" s="500"/>
      <c r="AH41" s="500"/>
      <c r="AI41" s="500"/>
      <c r="AJ41" s="500"/>
      <c r="AK41" s="500"/>
      <c r="AL41" s="500"/>
      <c r="AM41" s="500"/>
      <c r="AN41" s="500"/>
      <c r="AO41" s="500"/>
      <c r="AP41" s="500"/>
    </row>
    <row r="42" spans="1:42" ht="16.5" customHeight="1">
      <c r="A42" s="439"/>
      <c r="B42" s="439"/>
      <c r="C42" s="439"/>
      <c r="D42" s="439"/>
      <c r="E42" s="439"/>
      <c r="F42" s="439"/>
      <c r="G42" s="451" t="s">
        <v>3406</v>
      </c>
      <c r="Z42" s="500"/>
      <c r="AA42" s="500"/>
      <c r="AB42" s="500"/>
      <c r="AC42" s="500"/>
      <c r="AD42" s="500"/>
      <c r="AE42" s="500"/>
      <c r="AF42" s="500"/>
      <c r="AG42" s="500"/>
      <c r="AH42" s="500"/>
      <c r="AI42" s="500"/>
      <c r="AJ42" s="500"/>
      <c r="AK42" s="500"/>
      <c r="AL42" s="500"/>
      <c r="AM42" s="500"/>
      <c r="AN42" s="500"/>
      <c r="AO42" s="500"/>
      <c r="AP42" s="500"/>
    </row>
    <row r="43" spans="1:42" ht="16.5" customHeight="1">
      <c r="A43" s="434"/>
      <c r="B43" s="437" t="s">
        <v>3440</v>
      </c>
      <c r="C43" s="513">
        <f>E43+D43+F43</f>
        <v>18763.900000000001</v>
      </c>
      <c r="D43" s="513">
        <f>SUMIF(N7:N42,M43,D7:D42)</f>
        <v>16455.900000000001</v>
      </c>
      <c r="E43" s="513">
        <f>SUMIF(N7:N42,M43,E7:E42)</f>
        <v>866.7</v>
      </c>
      <c r="F43" s="513">
        <f>SUMIF(N7:N42,M43,F7:F42)</f>
        <v>1441.3</v>
      </c>
      <c r="G43" s="451" t="s">
        <v>3441</v>
      </c>
      <c r="M43" s="501" t="s">
        <v>3421</v>
      </c>
      <c r="N43" s="501" t="s">
        <v>3442</v>
      </c>
      <c r="Z43" s="500"/>
      <c r="AA43" s="500"/>
      <c r="AB43" s="500"/>
      <c r="AC43" s="500"/>
      <c r="AD43" s="500"/>
      <c r="AE43" s="500"/>
      <c r="AF43" s="500"/>
      <c r="AG43" s="500"/>
      <c r="AH43" s="500"/>
      <c r="AI43" s="500"/>
      <c r="AJ43" s="500"/>
      <c r="AK43" s="500"/>
      <c r="AL43" s="500"/>
      <c r="AM43" s="500"/>
      <c r="AN43" s="500"/>
      <c r="AO43" s="500"/>
      <c r="AP43" s="500"/>
    </row>
    <row r="44" spans="1:42" ht="16.5" customHeight="1">
      <c r="A44" s="439"/>
      <c r="B44" s="439"/>
      <c r="C44" s="504"/>
      <c r="D44" s="504"/>
      <c r="E44" s="504"/>
      <c r="F44" s="504"/>
      <c r="G44" s="451" t="s">
        <v>3406</v>
      </c>
      <c r="Z44" s="500"/>
      <c r="AA44" s="500"/>
      <c r="AB44" s="500"/>
      <c r="AC44" s="500"/>
      <c r="AD44" s="500"/>
      <c r="AE44" s="500"/>
      <c r="AF44" s="500"/>
      <c r="AG44" s="500"/>
      <c r="AH44" s="500"/>
      <c r="AI44" s="500"/>
      <c r="AJ44" s="500"/>
      <c r="AK44" s="500"/>
      <c r="AL44" s="500"/>
      <c r="AM44" s="500"/>
      <c r="AN44" s="500"/>
      <c r="AO44" s="500"/>
      <c r="AP44" s="500"/>
    </row>
    <row r="45" spans="1:42" ht="16.5" customHeight="1">
      <c r="A45" s="439"/>
      <c r="B45" s="439"/>
      <c r="C45" s="439"/>
      <c r="D45" s="439"/>
      <c r="E45" s="439"/>
      <c r="F45" s="439"/>
      <c r="G45" s="451" t="s">
        <v>3406</v>
      </c>
      <c r="Z45" s="500"/>
      <c r="AA45" s="500"/>
      <c r="AB45" s="500"/>
      <c r="AC45" s="500"/>
      <c r="AD45" s="500"/>
      <c r="AE45" s="500"/>
      <c r="AF45" s="500"/>
      <c r="AG45" s="500"/>
      <c r="AH45" s="500"/>
      <c r="AI45" s="500"/>
      <c r="AJ45" s="500"/>
      <c r="AK45" s="500"/>
      <c r="AL45" s="500"/>
      <c r="AM45" s="500"/>
      <c r="AN45" s="500"/>
      <c r="AO45" s="500"/>
      <c r="AP45" s="500"/>
    </row>
    <row r="46" spans="1:42" ht="16.5" customHeight="1">
      <c r="A46" s="439"/>
      <c r="B46" s="439"/>
      <c r="C46" s="439"/>
      <c r="D46" s="439"/>
      <c r="E46" s="439"/>
      <c r="F46" s="439"/>
      <c r="G46" s="451" t="s">
        <v>3406</v>
      </c>
      <c r="Z46" s="500"/>
      <c r="AA46" s="500"/>
      <c r="AB46" s="500"/>
      <c r="AC46" s="500"/>
      <c r="AD46" s="500"/>
      <c r="AE46" s="500"/>
      <c r="AF46" s="500"/>
      <c r="AG46" s="500"/>
      <c r="AH46" s="500"/>
      <c r="AI46" s="500"/>
      <c r="AJ46" s="500"/>
      <c r="AK46" s="500"/>
      <c r="AL46" s="500"/>
      <c r="AM46" s="500"/>
      <c r="AN46" s="500"/>
      <c r="AO46" s="500"/>
      <c r="AP46" s="500"/>
    </row>
    <row r="47" spans="1:42" ht="16.5" customHeight="1">
      <c r="A47" s="434"/>
      <c r="B47" s="437" t="s">
        <v>3443</v>
      </c>
      <c r="C47" s="439"/>
      <c r="D47" s="439"/>
      <c r="E47" s="439"/>
      <c r="F47" s="439"/>
      <c r="G47" s="451" t="s">
        <v>3444</v>
      </c>
      <c r="Z47" s="500"/>
      <c r="AA47" s="500"/>
      <c r="AB47" s="500"/>
      <c r="AC47" s="500"/>
      <c r="AD47" s="500"/>
      <c r="AE47" s="500"/>
      <c r="AF47" s="500"/>
      <c r="AG47" s="500"/>
      <c r="AH47" s="500"/>
      <c r="AI47" s="500"/>
      <c r="AJ47" s="500"/>
      <c r="AK47" s="500"/>
      <c r="AL47" s="500"/>
      <c r="AM47" s="500"/>
      <c r="AN47" s="500"/>
      <c r="AO47" s="500"/>
      <c r="AP47" s="500"/>
    </row>
    <row r="48" spans="1:42" ht="16.5" customHeight="1">
      <c r="A48" s="439"/>
      <c r="B48" s="439"/>
      <c r="C48" s="439"/>
      <c r="D48" s="439"/>
      <c r="E48" s="439"/>
      <c r="F48" s="439"/>
      <c r="G48" s="451" t="s">
        <v>3406</v>
      </c>
      <c r="Z48" s="500"/>
      <c r="AA48" s="500"/>
      <c r="AB48" s="500"/>
      <c r="AC48" s="500"/>
      <c r="AD48" s="500"/>
      <c r="AE48" s="500"/>
      <c r="AF48" s="500"/>
      <c r="AG48" s="500"/>
      <c r="AH48" s="500"/>
      <c r="AI48" s="500"/>
      <c r="AJ48" s="500"/>
      <c r="AK48" s="500"/>
      <c r="AL48" s="500"/>
      <c r="AM48" s="500"/>
      <c r="AN48" s="500"/>
      <c r="AO48" s="500"/>
      <c r="AP48" s="500"/>
    </row>
    <row r="49" spans="1:42" ht="16.5" customHeight="1">
      <c r="A49" s="439"/>
      <c r="B49" s="439"/>
      <c r="C49" s="439"/>
      <c r="D49" s="439"/>
      <c r="E49" s="439"/>
      <c r="F49" s="439"/>
      <c r="G49" s="451" t="s">
        <v>3406</v>
      </c>
      <c r="Z49" s="500"/>
      <c r="AA49" s="500"/>
      <c r="AB49" s="500"/>
      <c r="AC49" s="500"/>
      <c r="AD49" s="500"/>
      <c r="AE49" s="500"/>
      <c r="AF49" s="500"/>
      <c r="AG49" s="500"/>
      <c r="AH49" s="500"/>
      <c r="AI49" s="500"/>
      <c r="AJ49" s="500"/>
      <c r="AK49" s="500"/>
      <c r="AL49" s="500"/>
      <c r="AM49" s="500"/>
      <c r="AN49" s="500"/>
      <c r="AO49" s="500"/>
      <c r="AP49" s="500"/>
    </row>
    <row r="50" spans="1:42" ht="16.5" customHeight="1">
      <c r="A50" s="434"/>
      <c r="B50" s="437" t="s">
        <v>3445</v>
      </c>
      <c r="C50" s="439"/>
      <c r="D50" s="439"/>
      <c r="E50" s="439"/>
      <c r="F50" s="439"/>
      <c r="G50" s="451" t="s">
        <v>3446</v>
      </c>
      <c r="Z50" s="500"/>
      <c r="AA50" s="500"/>
      <c r="AB50" s="500"/>
      <c r="AC50" s="500"/>
      <c r="AD50" s="500"/>
      <c r="AE50" s="500"/>
      <c r="AF50" s="500"/>
      <c r="AG50" s="500"/>
      <c r="AH50" s="500"/>
      <c r="AI50" s="500"/>
      <c r="AJ50" s="500"/>
      <c r="AK50" s="500"/>
      <c r="AL50" s="500"/>
      <c r="AM50" s="500"/>
      <c r="AN50" s="500"/>
      <c r="AO50" s="500"/>
      <c r="AP50" s="500"/>
    </row>
    <row r="51" spans="1:42" ht="16.5" customHeight="1">
      <c r="A51" s="439"/>
      <c r="B51" s="439"/>
      <c r="C51" s="439"/>
      <c r="D51" s="439"/>
      <c r="E51" s="439"/>
      <c r="F51" s="439"/>
      <c r="G51" s="451" t="s">
        <v>3406</v>
      </c>
      <c r="Z51" s="500"/>
      <c r="AA51" s="500"/>
      <c r="AB51" s="500"/>
      <c r="AC51" s="500"/>
      <c r="AD51" s="500"/>
      <c r="AE51" s="500"/>
      <c r="AF51" s="500"/>
      <c r="AG51" s="500"/>
      <c r="AH51" s="500"/>
      <c r="AI51" s="500"/>
      <c r="AJ51" s="500"/>
      <c r="AK51" s="500"/>
      <c r="AL51" s="500"/>
      <c r="AM51" s="500"/>
      <c r="AN51" s="500"/>
      <c r="AO51" s="500"/>
      <c r="AP51" s="500"/>
    </row>
    <row r="52" spans="1:42" ht="16.5" customHeight="1">
      <c r="A52" s="434"/>
      <c r="B52" s="437" t="str">
        <f>"  q = "&amp;Z52&amp;", f = "&amp;AD52&amp;", K = "&amp;AH52&amp;""</f>
        <v xml:space="preserve">  q = 0.7, f = 1, K = 0.55</v>
      </c>
      <c r="C52" s="439"/>
      <c r="D52" s="439"/>
      <c r="E52" s="439"/>
      <c r="F52" s="439"/>
      <c r="G52" s="451" t="s">
        <v>3447</v>
      </c>
      <c r="Z52" s="511">
        <v>0.7</v>
      </c>
      <c r="AA52" s="501" t="s">
        <v>3418</v>
      </c>
      <c r="AB52" s="512">
        <f>Z52</f>
        <v>0.7</v>
      </c>
      <c r="AC52" s="514" t="s">
        <v>3427</v>
      </c>
      <c r="AD52" s="515">
        <v>1</v>
      </c>
      <c r="AE52" s="501" t="s">
        <v>3418</v>
      </c>
      <c r="AF52" s="512">
        <f>AD52</f>
        <v>1</v>
      </c>
      <c r="AG52" s="514" t="s">
        <v>3427</v>
      </c>
      <c r="AH52" s="511">
        <v>0.55000000000000004</v>
      </c>
      <c r="AI52" s="501" t="s">
        <v>3418</v>
      </c>
      <c r="AJ52" s="512">
        <f>AH52</f>
        <v>0.55000000000000004</v>
      </c>
      <c r="AK52" s="500"/>
      <c r="AL52" s="500"/>
      <c r="AM52" s="500"/>
      <c r="AN52" s="500"/>
      <c r="AO52" s="500"/>
      <c r="AP52" s="500"/>
    </row>
    <row r="53" spans="1:42" ht="16.5" customHeight="1">
      <c r="A53" s="439"/>
      <c r="B53" s="439"/>
      <c r="C53" s="439"/>
      <c r="D53" s="439"/>
      <c r="E53" s="439"/>
      <c r="F53" s="439"/>
      <c r="G53" s="451" t="s">
        <v>3406</v>
      </c>
      <c r="Z53" s="500"/>
      <c r="AA53" s="500"/>
      <c r="AB53" s="500"/>
      <c r="AC53" s="500"/>
      <c r="AD53" s="500"/>
      <c r="AE53" s="500"/>
      <c r="AF53" s="500"/>
      <c r="AG53" s="500"/>
      <c r="AH53" s="500"/>
      <c r="AI53" s="500"/>
      <c r="AJ53" s="500"/>
      <c r="AK53" s="500"/>
      <c r="AL53" s="500"/>
      <c r="AM53" s="500"/>
      <c r="AN53" s="500"/>
      <c r="AO53" s="500"/>
      <c r="AP53" s="500"/>
    </row>
    <row r="54" spans="1:42" ht="16.5" customHeight="1">
      <c r="A54" s="434"/>
      <c r="B54" s="437" t="str">
        <f>"  Cm = "&amp;Z54&amp;"  sec(135˚) , E = "&amp;AD54&amp;""</f>
        <v xml:space="preserve">  Cm = 20  sec(135˚) , E = 0.45</v>
      </c>
      <c r="C54" s="439"/>
      <c r="D54" s="439"/>
      <c r="E54" s="439"/>
      <c r="F54" s="439"/>
      <c r="G54" s="451" t="s">
        <v>3448</v>
      </c>
      <c r="Z54" s="515">
        <v>20</v>
      </c>
      <c r="AA54" s="501" t="s">
        <v>3418</v>
      </c>
      <c r="AB54" s="512">
        <f>Z54</f>
        <v>20</v>
      </c>
      <c r="AC54" s="514" t="s">
        <v>3427</v>
      </c>
      <c r="AD54" s="511">
        <v>0.45</v>
      </c>
      <c r="AE54" s="501" t="s">
        <v>3418</v>
      </c>
      <c r="AF54" s="512">
        <f>AD54</f>
        <v>0.45</v>
      </c>
      <c r="AG54" s="500"/>
      <c r="AH54" s="500"/>
      <c r="AI54" s="500"/>
      <c r="AJ54" s="500"/>
      <c r="AK54" s="500"/>
      <c r="AL54" s="500"/>
      <c r="AM54" s="500"/>
      <c r="AN54" s="500"/>
      <c r="AO54" s="500"/>
      <c r="AP54" s="500"/>
    </row>
    <row r="55" spans="1:42" ht="16.5" customHeight="1">
      <c r="A55" s="439"/>
      <c r="B55" s="439"/>
      <c r="C55" s="439"/>
      <c r="D55" s="439"/>
      <c r="E55" s="439"/>
      <c r="F55" s="439"/>
      <c r="G55" s="451" t="s">
        <v>3406</v>
      </c>
      <c r="Z55" s="500"/>
      <c r="AA55" s="500"/>
      <c r="AB55" s="500"/>
      <c r="AC55" s="500"/>
      <c r="AD55" s="500"/>
      <c r="AE55" s="500"/>
      <c r="AF55" s="500"/>
      <c r="AG55" s="500"/>
      <c r="AH55" s="500"/>
      <c r="AI55" s="500"/>
      <c r="AJ55" s="500"/>
      <c r="AK55" s="500"/>
      <c r="AL55" s="500"/>
      <c r="AM55" s="500"/>
      <c r="AN55" s="500"/>
      <c r="AO55" s="500"/>
      <c r="AP55" s="500"/>
    </row>
    <row r="56" spans="1:42" ht="16.5" customHeight="1">
      <c r="A56" s="434"/>
      <c r="B56" s="437" t="str">
        <f>"  Q = "&amp;Z56&amp;"*q*K*f*E / Cm = "&amp;AL56&amp;"  ㎥/hr "</f>
        <v xml:space="preserve">  Q = 3600*q*K*f*E / Cm = 31.19  ㎥/hr </v>
      </c>
      <c r="C56" s="439"/>
      <c r="D56" s="439"/>
      <c r="E56" s="439"/>
      <c r="F56" s="439"/>
      <c r="G56" s="451" t="s">
        <v>3449</v>
      </c>
      <c r="Z56" s="515">
        <v>3600</v>
      </c>
      <c r="AA56" s="501" t="s">
        <v>3368</v>
      </c>
      <c r="AB56" s="512">
        <f>AB52</f>
        <v>0.7</v>
      </c>
      <c r="AC56" s="501" t="s">
        <v>3368</v>
      </c>
      <c r="AD56" s="512">
        <f>AJ52</f>
        <v>0.55000000000000004</v>
      </c>
      <c r="AE56" s="501" t="s">
        <v>3368</v>
      </c>
      <c r="AF56" s="512">
        <f>AF52</f>
        <v>1</v>
      </c>
      <c r="AG56" s="501" t="s">
        <v>3368</v>
      </c>
      <c r="AH56" s="512">
        <f>AF54</f>
        <v>0.45</v>
      </c>
      <c r="AI56" s="501" t="s">
        <v>3428</v>
      </c>
      <c r="AJ56" s="512">
        <f>AB54</f>
        <v>20</v>
      </c>
      <c r="AK56" s="501" t="s">
        <v>3418</v>
      </c>
      <c r="AL56" s="512" t="str">
        <f>TEXT(ROUND(Z56*AB52*AJ52*AF52*AF54/AB54,2),"#,0.00")</f>
        <v>31.19</v>
      </c>
      <c r="AM56" s="500"/>
      <c r="AN56" s="500"/>
      <c r="AO56" s="500"/>
      <c r="AP56" s="500"/>
    </row>
    <row r="57" spans="1:42" ht="16.5" customHeight="1">
      <c r="A57" s="439"/>
      <c r="B57" s="439"/>
      <c r="C57" s="439"/>
      <c r="D57" s="439"/>
      <c r="E57" s="439"/>
      <c r="F57" s="439"/>
      <c r="G57" s="451" t="s">
        <v>3406</v>
      </c>
      <c r="Z57" s="500"/>
      <c r="AA57" s="500"/>
      <c r="AB57" s="500"/>
      <c r="AC57" s="500"/>
      <c r="AD57" s="500"/>
      <c r="AE57" s="500"/>
      <c r="AF57" s="500"/>
      <c r="AG57" s="500"/>
      <c r="AH57" s="500"/>
      <c r="AI57" s="500"/>
      <c r="AJ57" s="500"/>
      <c r="AK57" s="500"/>
      <c r="AL57" s="500"/>
      <c r="AM57" s="500"/>
      <c r="AN57" s="500"/>
      <c r="AO57" s="500"/>
      <c r="AP57" s="500"/>
    </row>
    <row r="58" spans="1:42" ht="16.5" customHeight="1">
      <c r="A58" s="439"/>
      <c r="B58" s="439"/>
      <c r="C58" s="439"/>
      <c r="D58" s="439"/>
      <c r="E58" s="439"/>
      <c r="F58" s="439"/>
      <c r="G58" s="451" t="s">
        <v>3406</v>
      </c>
      <c r="Z58" s="500"/>
      <c r="AA58" s="500"/>
      <c r="AB58" s="500"/>
      <c r="AC58" s="500"/>
      <c r="AD58" s="500"/>
      <c r="AE58" s="500"/>
      <c r="AF58" s="500"/>
      <c r="AG58" s="500"/>
      <c r="AH58" s="500"/>
      <c r="AI58" s="500"/>
      <c r="AJ58" s="500"/>
      <c r="AK58" s="500"/>
      <c r="AL58" s="500"/>
      <c r="AM58" s="500"/>
      <c r="AN58" s="500"/>
      <c r="AO58" s="500"/>
      <c r="AP58" s="500"/>
    </row>
    <row r="59" spans="1:42" ht="16.5" customHeight="1">
      <c r="A59" s="439"/>
      <c r="B59" s="439"/>
      <c r="C59" s="439"/>
      <c r="D59" s="439"/>
      <c r="E59" s="439"/>
      <c r="F59" s="439"/>
      <c r="G59" s="451" t="s">
        <v>3406</v>
      </c>
      <c r="Z59" s="500"/>
      <c r="AA59" s="500"/>
      <c r="AB59" s="500"/>
      <c r="AC59" s="500"/>
      <c r="AD59" s="500"/>
      <c r="AE59" s="500"/>
      <c r="AF59" s="500"/>
      <c r="AG59" s="500"/>
      <c r="AH59" s="500"/>
      <c r="AI59" s="500"/>
      <c r="AJ59" s="500"/>
      <c r="AK59" s="500"/>
      <c r="AL59" s="500"/>
      <c r="AM59" s="500"/>
      <c r="AN59" s="500"/>
      <c r="AO59" s="500"/>
      <c r="AP59" s="500"/>
    </row>
    <row r="60" spans="1:42" ht="16.5" customHeight="1">
      <c r="A60" s="434" t="s">
        <v>3450</v>
      </c>
      <c r="B60" s="505" t="str">
        <f>"   노무비: "&amp;TEXT(I60,"#,##0"&amp;IF(I60&lt;&gt;INT(I60),".###",""))&amp;" / Q = "&amp;TEXT(C60,"#,##0.0")&amp;""</f>
        <v xml:space="preserve">   노무비: 59,020 / Q = 1,892.2</v>
      </c>
      <c r="C60" s="506">
        <f>E60+D60+F60</f>
        <v>1892.2</v>
      </c>
      <c r="D60" s="506">
        <f>IF(H60=0,0,ROUNDDOWN(J60*H60,1))</f>
        <v>1892.2</v>
      </c>
      <c r="E60" s="506">
        <f>IF(H60=0,0,ROUNDDOWN(K60*H60,1))</f>
        <v>0</v>
      </c>
      <c r="F60" s="506">
        <f>IF(H60=0,0,ROUNDDOWN(L60*H60,1))</f>
        <v>0</v>
      </c>
      <c r="G60" s="451" t="s">
        <v>3451</v>
      </c>
      <c r="H60" s="507">
        <f>ROUNDUP(AC60,14-LEN(ABS(INT(AC60))))</f>
        <v>3.2061558191800003E-2</v>
      </c>
      <c r="I60" s="508">
        <f>K60+J60+L60</f>
        <v>59020</v>
      </c>
      <c r="J60" s="509">
        <f>중기목록표!F10</f>
        <v>59020</v>
      </c>
      <c r="M60" s="501" t="s">
        <v>3164</v>
      </c>
      <c r="N60" s="501" t="s">
        <v>3416</v>
      </c>
      <c r="X60" s="510" t="str">
        <f>중기목록표!B10&amp;" / "&amp;중기목록표!C10</f>
        <v>굴착기(무한궤도) / 0.7㎥</v>
      </c>
      <c r="Y60" s="433" t="str">
        <f ca="1">HYPERLINK("#"&amp;중기목록표!J2&amp;"!A"&amp;ROW(중기목록표!A10),"X00262 →")</f>
        <v>X00262 →</v>
      </c>
      <c r="Z60" s="501" t="s">
        <v>3434</v>
      </c>
      <c r="AA60" s="512" t="str">
        <f>AL56</f>
        <v>31.19</v>
      </c>
      <c r="AB60" s="501" t="s">
        <v>3418</v>
      </c>
      <c r="AC60" s="512">
        <f>1/AL56</f>
        <v>3.2061558191728116E-2</v>
      </c>
      <c r="AD60" s="500"/>
      <c r="AE60" s="500"/>
      <c r="AF60" s="500"/>
      <c r="AG60" s="500"/>
      <c r="AH60" s="500"/>
      <c r="AI60" s="500"/>
      <c r="AJ60" s="500"/>
      <c r="AK60" s="500"/>
      <c r="AL60" s="500"/>
      <c r="AM60" s="500"/>
      <c r="AN60" s="500"/>
      <c r="AO60" s="500"/>
      <c r="AP60" s="500"/>
    </row>
    <row r="61" spans="1:42" ht="16.5" customHeight="1">
      <c r="A61" s="439"/>
      <c r="B61" s="439"/>
      <c r="C61" s="439"/>
      <c r="D61" s="439"/>
      <c r="E61" s="439"/>
      <c r="F61" s="439"/>
      <c r="G61" s="451" t="s">
        <v>3406</v>
      </c>
      <c r="Z61" s="500"/>
      <c r="AA61" s="500"/>
      <c r="AB61" s="500"/>
      <c r="AC61" s="500"/>
      <c r="AD61" s="500"/>
      <c r="AE61" s="500"/>
      <c r="AF61" s="500"/>
      <c r="AG61" s="500"/>
      <c r="AH61" s="500"/>
      <c r="AI61" s="500"/>
      <c r="AJ61" s="500"/>
      <c r="AK61" s="500"/>
      <c r="AL61" s="500"/>
      <c r="AM61" s="500"/>
      <c r="AN61" s="500"/>
      <c r="AO61" s="500"/>
      <c r="AP61" s="500"/>
    </row>
    <row r="62" spans="1:42" ht="16.5" customHeight="1">
      <c r="A62" s="434" t="s">
        <v>3452</v>
      </c>
      <c r="B62" s="505" t="str">
        <f>"   재료비: "&amp;TEXT(I62,"#,##0"&amp;IF(I62&lt;&gt;INT(I62),".###",""))&amp;" / Q = "&amp;TEXT(C62,"#,##0.0")&amp;""</f>
        <v xml:space="preserve">   재료비: 19,515 / Q = 625.6</v>
      </c>
      <c r="C62" s="506">
        <f>E62+D62+F62</f>
        <v>625.6</v>
      </c>
      <c r="D62" s="506">
        <f>IF(H62=0,0,ROUNDDOWN(J62*H62,1))</f>
        <v>0</v>
      </c>
      <c r="E62" s="506">
        <f>IF(H62=0,0,ROUNDDOWN(K62*H62,1))</f>
        <v>625.6</v>
      </c>
      <c r="F62" s="506">
        <f>IF(H62=0,0,ROUNDDOWN(L62*H62,1))</f>
        <v>0</v>
      </c>
      <c r="G62" s="451" t="s">
        <v>3453</v>
      </c>
      <c r="H62" s="507">
        <f>ROUNDUP(AC62,14-LEN(ABS(INT(AC62))))</f>
        <v>3.2061558191800003E-2</v>
      </c>
      <c r="I62" s="508">
        <f>K62+J62+L62</f>
        <v>19515</v>
      </c>
      <c r="K62" s="509">
        <f>중기목록표!G10</f>
        <v>19515</v>
      </c>
      <c r="M62" s="501" t="s">
        <v>3164</v>
      </c>
      <c r="N62" s="501" t="s">
        <v>3416</v>
      </c>
      <c r="X62" s="510" t="str">
        <f>중기목록표!B10&amp;" / "&amp;중기목록표!C10</f>
        <v>굴착기(무한궤도) / 0.7㎥</v>
      </c>
      <c r="Y62" s="433" t="str">
        <f ca="1">HYPERLINK("#"&amp;중기목록표!J2&amp;"!A"&amp;ROW(중기목록표!A10),"X00262 →")</f>
        <v>X00262 →</v>
      </c>
      <c r="Z62" s="501" t="s">
        <v>3434</v>
      </c>
      <c r="AA62" s="512" t="str">
        <f>AL56</f>
        <v>31.19</v>
      </c>
      <c r="AB62" s="501" t="s">
        <v>3418</v>
      </c>
      <c r="AC62" s="512">
        <f>1/AL56</f>
        <v>3.2061558191728116E-2</v>
      </c>
      <c r="AD62" s="500"/>
      <c r="AE62" s="500"/>
      <c r="AF62" s="500"/>
      <c r="AG62" s="500"/>
      <c r="AH62" s="500"/>
      <c r="AI62" s="500"/>
      <c r="AJ62" s="500"/>
      <c r="AK62" s="500"/>
      <c r="AL62" s="500"/>
      <c r="AM62" s="500"/>
      <c r="AN62" s="500"/>
      <c r="AO62" s="500"/>
      <c r="AP62" s="500"/>
    </row>
    <row r="63" spans="1:42" ht="16.5" customHeight="1">
      <c r="A63" s="439"/>
      <c r="B63" s="439"/>
      <c r="C63" s="439"/>
      <c r="D63" s="439"/>
      <c r="E63" s="439"/>
      <c r="F63" s="439"/>
      <c r="G63" s="451" t="s">
        <v>3406</v>
      </c>
      <c r="Z63" s="500"/>
      <c r="AA63" s="500"/>
      <c r="AB63" s="500"/>
      <c r="AC63" s="500"/>
      <c r="AD63" s="500"/>
      <c r="AE63" s="500"/>
      <c r="AF63" s="500"/>
      <c r="AG63" s="500"/>
      <c r="AH63" s="500"/>
      <c r="AI63" s="500"/>
      <c r="AJ63" s="500"/>
      <c r="AK63" s="500"/>
      <c r="AL63" s="500"/>
      <c r="AM63" s="500"/>
      <c r="AN63" s="500"/>
      <c r="AO63" s="500"/>
      <c r="AP63" s="500"/>
    </row>
    <row r="64" spans="1:42" ht="16.5" customHeight="1">
      <c r="A64" s="434" t="s">
        <v>3454</v>
      </c>
      <c r="B64" s="505" t="str">
        <f>"   경  비: "&amp;TEXT(I64,"#,##0"&amp;IF(I64&lt;&gt;INT(I64),".###",""))&amp;" / Q = "&amp;TEXT(C64,"#,##0.0")&amp;""</f>
        <v xml:space="preserve">   경  비: 24,554 / Q = 787.2</v>
      </c>
      <c r="C64" s="506">
        <f>E64+D64+F64</f>
        <v>787.2</v>
      </c>
      <c r="D64" s="506">
        <f>IF(H64=0,0,ROUNDDOWN(J64*H64,1))</f>
        <v>0</v>
      </c>
      <c r="E64" s="506">
        <f>IF(H64=0,0,ROUNDDOWN(K64*H64,1))</f>
        <v>0</v>
      </c>
      <c r="F64" s="506">
        <f>IF(H64=0,0,ROUNDDOWN(L64*H64,1))</f>
        <v>787.2</v>
      </c>
      <c r="G64" s="451" t="s">
        <v>3455</v>
      </c>
      <c r="H64" s="507">
        <f>ROUNDUP(AC64,14-LEN(ABS(INT(AC64))))</f>
        <v>3.2061558191800003E-2</v>
      </c>
      <c r="I64" s="508">
        <f>K64+J64+L64</f>
        <v>24554</v>
      </c>
      <c r="L64" s="509">
        <f>중기목록표!H10</f>
        <v>24554</v>
      </c>
      <c r="M64" s="501" t="s">
        <v>3164</v>
      </c>
      <c r="N64" s="501" t="s">
        <v>3416</v>
      </c>
      <c r="X64" s="510" t="str">
        <f>중기목록표!B10&amp;" / "&amp;중기목록표!C10</f>
        <v>굴착기(무한궤도) / 0.7㎥</v>
      </c>
      <c r="Y64" s="433" t="str">
        <f ca="1">HYPERLINK("#"&amp;중기목록표!J2&amp;"!A"&amp;ROW(중기목록표!A10),"X00262 →")</f>
        <v>X00262 →</v>
      </c>
      <c r="Z64" s="501" t="s">
        <v>3434</v>
      </c>
      <c r="AA64" s="512" t="str">
        <f>AL56</f>
        <v>31.19</v>
      </c>
      <c r="AB64" s="501" t="s">
        <v>3418</v>
      </c>
      <c r="AC64" s="512">
        <f>1/AL56</f>
        <v>3.2061558191728116E-2</v>
      </c>
      <c r="AD64" s="500"/>
      <c r="AE64" s="500"/>
      <c r="AF64" s="500"/>
      <c r="AG64" s="500"/>
      <c r="AH64" s="500"/>
      <c r="AI64" s="500"/>
      <c r="AJ64" s="500"/>
      <c r="AK64" s="500"/>
      <c r="AL64" s="500"/>
      <c r="AM64" s="500"/>
      <c r="AN64" s="500"/>
      <c r="AO64" s="500"/>
      <c r="AP64" s="500"/>
    </row>
    <row r="65" spans="1:42" ht="16.5" customHeight="1">
      <c r="A65" s="439"/>
      <c r="B65" s="439"/>
      <c r="C65" s="439"/>
      <c r="D65" s="439"/>
      <c r="E65" s="439"/>
      <c r="F65" s="439"/>
      <c r="G65" s="451" t="s">
        <v>3406</v>
      </c>
      <c r="Z65" s="500"/>
      <c r="AA65" s="500"/>
      <c r="AB65" s="500"/>
      <c r="AC65" s="500"/>
      <c r="AD65" s="500"/>
      <c r="AE65" s="500"/>
      <c r="AF65" s="500"/>
      <c r="AG65" s="500"/>
      <c r="AH65" s="500"/>
      <c r="AI65" s="500"/>
      <c r="AJ65" s="500"/>
      <c r="AK65" s="500"/>
      <c r="AL65" s="500"/>
      <c r="AM65" s="500"/>
      <c r="AN65" s="500"/>
      <c r="AO65" s="500"/>
      <c r="AP65" s="500"/>
    </row>
    <row r="66" spans="1:42" ht="16.5" customHeight="1">
      <c r="A66" s="439"/>
      <c r="B66" s="439"/>
      <c r="C66" s="439"/>
      <c r="D66" s="439"/>
      <c r="E66" s="439"/>
      <c r="F66" s="439"/>
      <c r="G66" s="451" t="s">
        <v>3406</v>
      </c>
      <c r="Z66" s="500"/>
      <c r="AA66" s="500"/>
      <c r="AB66" s="500"/>
      <c r="AC66" s="500"/>
      <c r="AD66" s="500"/>
      <c r="AE66" s="500"/>
      <c r="AF66" s="500"/>
      <c r="AG66" s="500"/>
      <c r="AH66" s="500"/>
      <c r="AI66" s="500"/>
      <c r="AJ66" s="500"/>
      <c r="AK66" s="500"/>
      <c r="AL66" s="500"/>
      <c r="AM66" s="500"/>
      <c r="AN66" s="500"/>
      <c r="AO66" s="500"/>
      <c r="AP66" s="500"/>
    </row>
    <row r="67" spans="1:42" ht="16.5" customHeight="1">
      <c r="A67" s="434"/>
      <c r="B67" s="437" t="s">
        <v>3419</v>
      </c>
      <c r="C67" s="513">
        <f>E67+D67+F67</f>
        <v>3305</v>
      </c>
      <c r="D67" s="513">
        <f>SUMIF(N44:N66,M67,D44:D66)</f>
        <v>1892.2</v>
      </c>
      <c r="E67" s="513">
        <f>SUMIF(N44:N66,M67,E44:E66)</f>
        <v>625.6</v>
      </c>
      <c r="F67" s="513">
        <f>SUMIF(N44:N66,M67,F44:F66)</f>
        <v>787.2</v>
      </c>
      <c r="G67" s="451" t="s">
        <v>3420</v>
      </c>
      <c r="M67" s="501" t="s">
        <v>3416</v>
      </c>
      <c r="N67" s="501" t="s">
        <v>3421</v>
      </c>
      <c r="Z67" s="500"/>
      <c r="AA67" s="500"/>
      <c r="AB67" s="500"/>
      <c r="AC67" s="500"/>
      <c r="AD67" s="500"/>
      <c r="AE67" s="500"/>
      <c r="AF67" s="500"/>
      <c r="AG67" s="500"/>
      <c r="AH67" s="500"/>
      <c r="AI67" s="500"/>
      <c r="AJ67" s="500"/>
      <c r="AK67" s="500"/>
      <c r="AL67" s="500"/>
      <c r="AM67" s="500"/>
      <c r="AN67" s="500"/>
      <c r="AO67" s="500"/>
      <c r="AP67" s="500"/>
    </row>
    <row r="68" spans="1:42" ht="16.5" customHeight="1">
      <c r="A68" s="439"/>
      <c r="B68" s="439"/>
      <c r="C68" s="504"/>
      <c r="D68" s="504"/>
      <c r="E68" s="504"/>
      <c r="F68" s="504"/>
      <c r="G68" s="451" t="s">
        <v>3406</v>
      </c>
      <c r="Z68" s="500"/>
      <c r="AA68" s="500"/>
      <c r="AB68" s="500"/>
      <c r="AC68" s="500"/>
      <c r="AD68" s="500"/>
      <c r="AE68" s="500"/>
      <c r="AF68" s="500"/>
      <c r="AG68" s="500"/>
      <c r="AH68" s="500"/>
      <c r="AI68" s="500"/>
      <c r="AJ68" s="500"/>
      <c r="AK68" s="500"/>
      <c r="AL68" s="500"/>
      <c r="AM68" s="500"/>
      <c r="AN68" s="500"/>
      <c r="AO68" s="500"/>
      <c r="AP68" s="500"/>
    </row>
    <row r="69" spans="1:42" ht="16.5" customHeight="1">
      <c r="A69" s="439"/>
      <c r="B69" s="439"/>
      <c r="C69" s="439"/>
      <c r="D69" s="439"/>
      <c r="E69" s="439"/>
      <c r="F69" s="439"/>
      <c r="G69" s="451" t="s">
        <v>3406</v>
      </c>
      <c r="Z69" s="500"/>
      <c r="AA69" s="500"/>
      <c r="AB69" s="500"/>
      <c r="AC69" s="500"/>
      <c r="AD69" s="500"/>
      <c r="AE69" s="500"/>
      <c r="AF69" s="500"/>
      <c r="AG69" s="500"/>
      <c r="AH69" s="500"/>
      <c r="AI69" s="500"/>
      <c r="AJ69" s="500"/>
      <c r="AK69" s="500"/>
      <c r="AL69" s="500"/>
      <c r="AM69" s="500"/>
      <c r="AN69" s="500"/>
      <c r="AO69" s="500"/>
      <c r="AP69" s="500"/>
    </row>
    <row r="70" spans="1:42" ht="16.5" customHeight="1">
      <c r="A70" s="434"/>
      <c r="B70" s="437" t="s">
        <v>3456</v>
      </c>
      <c r="C70" s="439"/>
      <c r="D70" s="439"/>
      <c r="E70" s="439"/>
      <c r="F70" s="439"/>
      <c r="G70" s="451" t="s">
        <v>3457</v>
      </c>
      <c r="Z70" s="500"/>
      <c r="AA70" s="500"/>
      <c r="AB70" s="500"/>
      <c r="AC70" s="500"/>
      <c r="AD70" s="500"/>
      <c r="AE70" s="500"/>
      <c r="AF70" s="500"/>
      <c r="AG70" s="500"/>
      <c r="AH70" s="500"/>
      <c r="AI70" s="500"/>
      <c r="AJ70" s="500"/>
      <c r="AK70" s="500"/>
      <c r="AL70" s="500"/>
      <c r="AM70" s="500"/>
      <c r="AN70" s="500"/>
      <c r="AO70" s="500"/>
      <c r="AP70" s="500"/>
    </row>
    <row r="71" spans="1:42" ht="16.5" customHeight="1">
      <c r="A71" s="439"/>
      <c r="B71" s="439"/>
      <c r="C71" s="439"/>
      <c r="D71" s="439"/>
      <c r="E71" s="439"/>
      <c r="F71" s="439"/>
      <c r="G71" s="451" t="s">
        <v>3406</v>
      </c>
      <c r="Z71" s="500"/>
      <c r="AA71" s="500"/>
      <c r="AB71" s="500"/>
      <c r="AC71" s="500"/>
      <c r="AD71" s="500"/>
      <c r="AE71" s="500"/>
      <c r="AF71" s="500"/>
      <c r="AG71" s="500"/>
      <c r="AH71" s="500"/>
      <c r="AI71" s="500"/>
      <c r="AJ71" s="500"/>
      <c r="AK71" s="500"/>
      <c r="AL71" s="500"/>
      <c r="AM71" s="500"/>
      <c r="AN71" s="500"/>
      <c r="AO71" s="500"/>
      <c r="AP71" s="500"/>
    </row>
    <row r="72" spans="1:42" ht="16.5" customHeight="1">
      <c r="A72" s="434"/>
      <c r="B72" s="437" t="str">
        <f>"  L = "&amp;Z72&amp;" km , K = "&amp;AD72&amp;", E = "&amp;AH72&amp;""</f>
        <v xml:space="preserve">  L = 0.2 km , K = 0.55, E = 0.9</v>
      </c>
      <c r="C72" s="439"/>
      <c r="D72" s="439"/>
      <c r="E72" s="439"/>
      <c r="F72" s="439"/>
      <c r="G72" s="451" t="s">
        <v>3458</v>
      </c>
      <c r="Z72" s="511">
        <v>0.2</v>
      </c>
      <c r="AA72" s="501" t="s">
        <v>3418</v>
      </c>
      <c r="AB72" s="512">
        <f>Z72</f>
        <v>0.2</v>
      </c>
      <c r="AC72" s="514" t="s">
        <v>3427</v>
      </c>
      <c r="AD72" s="511">
        <v>0.55000000000000004</v>
      </c>
      <c r="AE72" s="501" t="s">
        <v>3418</v>
      </c>
      <c r="AF72" s="512">
        <f>AD72</f>
        <v>0.55000000000000004</v>
      </c>
      <c r="AG72" s="514" t="s">
        <v>3427</v>
      </c>
      <c r="AH72" s="511">
        <v>0.9</v>
      </c>
      <c r="AI72" s="501" t="s">
        <v>3418</v>
      </c>
      <c r="AJ72" s="512">
        <f>AH72</f>
        <v>0.9</v>
      </c>
      <c r="AK72" s="500"/>
      <c r="AL72" s="500"/>
      <c r="AM72" s="500"/>
      <c r="AN72" s="500"/>
      <c r="AO72" s="500"/>
      <c r="AP72" s="500"/>
    </row>
    <row r="73" spans="1:42" ht="16.5" customHeight="1">
      <c r="A73" s="439"/>
      <c r="B73" s="439"/>
      <c r="C73" s="439"/>
      <c r="D73" s="439"/>
      <c r="E73" s="439"/>
      <c r="F73" s="439"/>
      <c r="G73" s="451" t="s">
        <v>3406</v>
      </c>
      <c r="Z73" s="500"/>
      <c r="AA73" s="500"/>
      <c r="AB73" s="500"/>
      <c r="AC73" s="500"/>
      <c r="AD73" s="500"/>
      <c r="AE73" s="500"/>
      <c r="AF73" s="500"/>
      <c r="AG73" s="500"/>
      <c r="AH73" s="500"/>
      <c r="AI73" s="500"/>
      <c r="AJ73" s="500"/>
      <c r="AK73" s="500"/>
      <c r="AL73" s="500"/>
      <c r="AM73" s="500"/>
      <c r="AN73" s="500"/>
      <c r="AO73" s="500"/>
      <c r="AP73" s="500"/>
    </row>
    <row r="74" spans="1:42" ht="16.5" customHeight="1">
      <c r="A74" s="434"/>
      <c r="B74" s="437" t="str">
        <f>"  Es = "&amp;Z74&amp;", F = "&amp;AD74&amp;", T = "&amp;AH74&amp;" ton "</f>
        <v xml:space="preserve">  Es = 0.45, F = 1, T = 15 ton </v>
      </c>
      <c r="C74" s="439"/>
      <c r="D74" s="439"/>
      <c r="E74" s="439"/>
      <c r="F74" s="439"/>
      <c r="G74" s="451" t="s">
        <v>3459</v>
      </c>
      <c r="Z74" s="511">
        <v>0.45</v>
      </c>
      <c r="AA74" s="501" t="s">
        <v>3418</v>
      </c>
      <c r="AB74" s="512">
        <f>Z74</f>
        <v>0.45</v>
      </c>
      <c r="AC74" s="514" t="s">
        <v>3427</v>
      </c>
      <c r="AD74" s="515">
        <v>1</v>
      </c>
      <c r="AE74" s="501" t="s">
        <v>3418</v>
      </c>
      <c r="AF74" s="512">
        <f>AD74</f>
        <v>1</v>
      </c>
      <c r="AG74" s="514" t="s">
        <v>3427</v>
      </c>
      <c r="AH74" s="515">
        <v>15</v>
      </c>
      <c r="AI74" s="501" t="s">
        <v>3418</v>
      </c>
      <c r="AJ74" s="512">
        <f>AH74</f>
        <v>15</v>
      </c>
      <c r="AK74" s="500"/>
      <c r="AL74" s="500"/>
      <c r="AM74" s="500"/>
      <c r="AN74" s="500"/>
      <c r="AO74" s="500"/>
      <c r="AP74" s="500"/>
    </row>
    <row r="75" spans="1:42" ht="16.5" customHeight="1">
      <c r="A75" s="439"/>
      <c r="B75" s="439"/>
      <c r="C75" s="439"/>
      <c r="D75" s="439"/>
      <c r="E75" s="439"/>
      <c r="F75" s="439"/>
      <c r="G75" s="451" t="s">
        <v>3406</v>
      </c>
      <c r="Z75" s="500"/>
      <c r="AA75" s="500"/>
      <c r="AB75" s="500"/>
      <c r="AC75" s="500"/>
      <c r="AD75" s="500"/>
      <c r="AE75" s="500"/>
      <c r="AF75" s="500"/>
      <c r="AG75" s="500"/>
      <c r="AH75" s="500"/>
      <c r="AI75" s="500"/>
      <c r="AJ75" s="500"/>
      <c r="AK75" s="500"/>
      <c r="AL75" s="500"/>
      <c r="AM75" s="500"/>
      <c r="AN75" s="500"/>
      <c r="AO75" s="500"/>
      <c r="AP75" s="500"/>
    </row>
    <row r="76" spans="1:42" ht="16.5" customHeight="1">
      <c r="A76" s="434"/>
      <c r="B76" s="437" t="str">
        <f>"  rt = "&amp;Z76&amp;" ton/㎡ , Lo = "&amp;AD76&amp;", q = "&amp;AH76&amp;""</f>
        <v xml:space="preserve">  rt = 1.75 ton/㎡ , Lo = 1, q = 0.7</v>
      </c>
      <c r="C76" s="439"/>
      <c r="D76" s="439"/>
      <c r="E76" s="439"/>
      <c r="F76" s="439"/>
      <c r="G76" s="451" t="s">
        <v>3460</v>
      </c>
      <c r="Z76" s="511">
        <v>1.75</v>
      </c>
      <c r="AA76" s="501" t="s">
        <v>3418</v>
      </c>
      <c r="AB76" s="512">
        <f>Z76</f>
        <v>1.75</v>
      </c>
      <c r="AC76" s="514" t="s">
        <v>3427</v>
      </c>
      <c r="AD76" s="515">
        <v>1</v>
      </c>
      <c r="AE76" s="501" t="s">
        <v>3418</v>
      </c>
      <c r="AF76" s="512">
        <f>AD76</f>
        <v>1</v>
      </c>
      <c r="AG76" s="514" t="s">
        <v>3427</v>
      </c>
      <c r="AH76" s="511">
        <v>0.7</v>
      </c>
      <c r="AI76" s="501" t="s">
        <v>3418</v>
      </c>
      <c r="AJ76" s="512">
        <f>AH76</f>
        <v>0.7</v>
      </c>
      <c r="AK76" s="500"/>
      <c r="AL76" s="500"/>
      <c r="AM76" s="500"/>
      <c r="AN76" s="500"/>
      <c r="AO76" s="500"/>
      <c r="AP76" s="500"/>
    </row>
    <row r="77" spans="1:42" ht="16.5" customHeight="1">
      <c r="A77" s="439"/>
      <c r="B77" s="439"/>
      <c r="C77" s="439"/>
      <c r="D77" s="439"/>
      <c r="E77" s="439"/>
      <c r="F77" s="439"/>
      <c r="G77" s="451" t="s">
        <v>3406</v>
      </c>
      <c r="Z77" s="500"/>
      <c r="AA77" s="500"/>
      <c r="AB77" s="500"/>
      <c r="AC77" s="500"/>
      <c r="AD77" s="500"/>
      <c r="AE77" s="500"/>
      <c r="AF77" s="500"/>
      <c r="AG77" s="500"/>
      <c r="AH77" s="500"/>
      <c r="AI77" s="500"/>
      <c r="AJ77" s="500"/>
      <c r="AK77" s="500"/>
      <c r="AL77" s="500"/>
      <c r="AM77" s="500"/>
      <c r="AN77" s="500"/>
      <c r="AO77" s="500"/>
      <c r="AP77" s="500"/>
    </row>
    <row r="78" spans="1:42" ht="16.5" customHeight="1">
      <c r="A78" s="434"/>
      <c r="B78" s="437" t="str">
        <f>"  Cms = "&amp;Z78&amp;" 초 , q1 = T/rt*Lo = "&amp;AJ78&amp;"  ㎥ "</f>
        <v xml:space="preserve">  Cms = 20 초 , q1 = T/rt*Lo = 8.57  ㎥ </v>
      </c>
      <c r="C78" s="439"/>
      <c r="D78" s="439"/>
      <c r="E78" s="439"/>
      <c r="F78" s="439"/>
      <c r="G78" s="451" t="s">
        <v>3461</v>
      </c>
      <c r="Z78" s="515">
        <v>20</v>
      </c>
      <c r="AA78" s="501" t="s">
        <v>3418</v>
      </c>
      <c r="AB78" s="512">
        <f>Z78</f>
        <v>20</v>
      </c>
      <c r="AC78" s="514" t="s">
        <v>3427</v>
      </c>
      <c r="AD78" s="512">
        <f>AJ74</f>
        <v>15</v>
      </c>
      <c r="AE78" s="501" t="s">
        <v>3428</v>
      </c>
      <c r="AF78" s="512">
        <f>AB76</f>
        <v>1.75</v>
      </c>
      <c r="AG78" s="501" t="s">
        <v>3368</v>
      </c>
      <c r="AH78" s="512">
        <f>AF76</f>
        <v>1</v>
      </c>
      <c r="AI78" s="501" t="s">
        <v>3418</v>
      </c>
      <c r="AJ78" s="512" t="str">
        <f>TEXT(ROUND(AJ74/AB76*AF76,2),"#,0.00")</f>
        <v>8.57</v>
      </c>
      <c r="AK78" s="500"/>
      <c r="AL78" s="500"/>
      <c r="AM78" s="500"/>
      <c r="AN78" s="500"/>
      <c r="AO78" s="500"/>
      <c r="AP78" s="500"/>
    </row>
    <row r="79" spans="1:42" ht="16.5" customHeight="1">
      <c r="A79" s="439"/>
      <c r="B79" s="439"/>
      <c r="C79" s="439"/>
      <c r="D79" s="439"/>
      <c r="E79" s="439"/>
      <c r="F79" s="439"/>
      <c r="G79" s="451" t="s">
        <v>3406</v>
      </c>
      <c r="Z79" s="500"/>
      <c r="AA79" s="500"/>
      <c r="AB79" s="500"/>
      <c r="AC79" s="500"/>
      <c r="AD79" s="500"/>
      <c r="AE79" s="500"/>
      <c r="AF79" s="500"/>
      <c r="AG79" s="500"/>
      <c r="AH79" s="500"/>
      <c r="AI79" s="500"/>
      <c r="AJ79" s="500"/>
      <c r="AK79" s="500"/>
      <c r="AL79" s="500"/>
      <c r="AM79" s="500"/>
      <c r="AN79" s="500"/>
      <c r="AO79" s="500"/>
      <c r="AP79" s="500"/>
    </row>
    <row r="80" spans="1:42" ht="16.5" customHeight="1">
      <c r="A80" s="434"/>
      <c r="B80" s="437" t="str">
        <f>"  n = q1/(q*k) = "&amp;AG80&amp;"  회 ,"</f>
        <v xml:space="preserve">  n = q1/(q*k) = 22.26  회 ,</v>
      </c>
      <c r="C80" s="439"/>
      <c r="D80" s="439"/>
      <c r="E80" s="439"/>
      <c r="F80" s="439"/>
      <c r="G80" s="451" t="s">
        <v>3462</v>
      </c>
      <c r="Z80" s="512" t="str">
        <f>AJ78</f>
        <v>8.57</v>
      </c>
      <c r="AA80" s="501" t="s">
        <v>3463</v>
      </c>
      <c r="AB80" s="512">
        <f>AJ76</f>
        <v>0.7</v>
      </c>
      <c r="AC80" s="501" t="s">
        <v>3368</v>
      </c>
      <c r="AD80" s="512">
        <f>AF72</f>
        <v>0.55000000000000004</v>
      </c>
      <c r="AE80" s="501" t="s">
        <v>3464</v>
      </c>
      <c r="AF80" s="501" t="s">
        <v>3418</v>
      </c>
      <c r="AG80" s="512" t="str">
        <f>TEXT(ROUND(AJ78/(AJ76*AF72),2),"#,0.00")</f>
        <v>22.26</v>
      </c>
      <c r="AH80" s="514" t="s">
        <v>3427</v>
      </c>
      <c r="AI80" s="500"/>
      <c r="AJ80" s="500"/>
      <c r="AK80" s="500"/>
      <c r="AL80" s="500"/>
      <c r="AM80" s="500"/>
      <c r="AN80" s="500"/>
      <c r="AO80" s="500"/>
      <c r="AP80" s="500"/>
    </row>
    <row r="81" spans="1:42" ht="16.5" customHeight="1">
      <c r="A81" s="439"/>
      <c r="B81" s="439"/>
      <c r="C81" s="439"/>
      <c r="D81" s="439"/>
      <c r="E81" s="439"/>
      <c r="F81" s="439"/>
      <c r="G81" s="451" t="s">
        <v>3406</v>
      </c>
      <c r="Z81" s="500"/>
      <c r="AA81" s="500"/>
      <c r="AB81" s="500"/>
      <c r="AC81" s="500"/>
      <c r="AD81" s="500"/>
      <c r="AE81" s="500"/>
      <c r="AF81" s="500"/>
      <c r="AG81" s="500"/>
      <c r="AH81" s="500"/>
      <c r="AI81" s="500"/>
      <c r="AJ81" s="500"/>
      <c r="AK81" s="500"/>
      <c r="AL81" s="500"/>
      <c r="AM81" s="500"/>
      <c r="AN81" s="500"/>
      <c r="AO81" s="500"/>
      <c r="AP81" s="500"/>
    </row>
    <row r="82" spans="1:42" ht="16.5" customHeight="1">
      <c r="A82" s="434"/>
      <c r="B82" s="437" t="str">
        <f>"  t1 = Cms*n/("&amp;AD82&amp;"*Es) = "&amp;AI82&amp;"  분 "</f>
        <v xml:space="preserve">  t1 = Cms*n/(60*Es) = 16.49  분 </v>
      </c>
      <c r="C82" s="439"/>
      <c r="D82" s="439"/>
      <c r="E82" s="439"/>
      <c r="F82" s="439"/>
      <c r="G82" s="451" t="s">
        <v>3465</v>
      </c>
      <c r="Z82" s="512">
        <f>AB78</f>
        <v>20</v>
      </c>
      <c r="AA82" s="501" t="s">
        <v>3368</v>
      </c>
      <c r="AB82" s="512" t="str">
        <f>AG80</f>
        <v>22.26</v>
      </c>
      <c r="AC82" s="501" t="s">
        <v>3463</v>
      </c>
      <c r="AD82" s="515">
        <v>60</v>
      </c>
      <c r="AE82" s="501" t="s">
        <v>3368</v>
      </c>
      <c r="AF82" s="512">
        <f>AB74</f>
        <v>0.45</v>
      </c>
      <c r="AG82" s="501" t="s">
        <v>3464</v>
      </c>
      <c r="AH82" s="501" t="s">
        <v>3418</v>
      </c>
      <c r="AI82" s="512" t="str">
        <f>TEXT(ROUND(AB78*AG80/(AD82*AB74),2),"#,0.00")</f>
        <v>16.49</v>
      </c>
      <c r="AJ82" s="500"/>
      <c r="AK82" s="500"/>
      <c r="AL82" s="500"/>
      <c r="AM82" s="500"/>
      <c r="AN82" s="500"/>
      <c r="AO82" s="500"/>
      <c r="AP82" s="500"/>
    </row>
    <row r="83" spans="1:42" ht="16.5" customHeight="1">
      <c r="A83" s="439"/>
      <c r="B83" s="439"/>
      <c r="C83" s="439"/>
      <c r="D83" s="439"/>
      <c r="E83" s="439"/>
      <c r="F83" s="439"/>
      <c r="G83" s="451" t="s">
        <v>3406</v>
      </c>
      <c r="Z83" s="500"/>
      <c r="AA83" s="500"/>
      <c r="AB83" s="500"/>
      <c r="AC83" s="500"/>
      <c r="AD83" s="500"/>
      <c r="AE83" s="500"/>
      <c r="AF83" s="500"/>
      <c r="AG83" s="500"/>
      <c r="AH83" s="500"/>
      <c r="AI83" s="500"/>
      <c r="AJ83" s="500"/>
      <c r="AK83" s="500"/>
      <c r="AL83" s="500"/>
      <c r="AM83" s="500"/>
      <c r="AN83" s="500"/>
      <c r="AO83" s="500"/>
      <c r="AP83" s="500"/>
    </row>
    <row r="84" spans="1:42" ht="16.5" customHeight="1">
      <c r="A84" s="434"/>
      <c r="B84" s="437" t="str">
        <f>"  t2 = (L/"&amp;AC84&amp;"+L/"&amp;AG84&amp;")*"&amp;AI84&amp;" = "&amp;AK84&amp;"  분 "</f>
        <v xml:space="preserve">  t2 = (L/10+L/15)*60 = 2.00  분 </v>
      </c>
      <c r="C84" s="439"/>
      <c r="D84" s="439"/>
      <c r="E84" s="439"/>
      <c r="F84" s="439"/>
      <c r="G84" s="451" t="s">
        <v>3466</v>
      </c>
      <c r="Z84" s="501" t="s">
        <v>3467</v>
      </c>
      <c r="AA84" s="512">
        <f>AB72</f>
        <v>0.2</v>
      </c>
      <c r="AB84" s="501" t="s">
        <v>3428</v>
      </c>
      <c r="AC84" s="515">
        <v>10</v>
      </c>
      <c r="AD84" s="501" t="s">
        <v>3468</v>
      </c>
      <c r="AE84" s="512">
        <f>AB72</f>
        <v>0.2</v>
      </c>
      <c r="AF84" s="501" t="s">
        <v>3428</v>
      </c>
      <c r="AG84" s="515">
        <v>15</v>
      </c>
      <c r="AH84" s="501" t="s">
        <v>3469</v>
      </c>
      <c r="AI84" s="515">
        <v>60</v>
      </c>
      <c r="AJ84" s="501" t="s">
        <v>3418</v>
      </c>
      <c r="AK84" s="512" t="str">
        <f>TEXT(ROUND((AB72/AC84+AB72/AG84)*AI84,2),"#,0.00")</f>
        <v>2.00</v>
      </c>
      <c r="AL84" s="500"/>
      <c r="AM84" s="500"/>
      <c r="AN84" s="500"/>
      <c r="AO84" s="500"/>
      <c r="AP84" s="500"/>
    </row>
    <row r="85" spans="1:42" ht="16.5" customHeight="1">
      <c r="A85" s="439"/>
      <c r="B85" s="439"/>
      <c r="C85" s="439"/>
      <c r="D85" s="439"/>
      <c r="E85" s="439"/>
      <c r="F85" s="439"/>
      <c r="G85" s="451" t="s">
        <v>3406</v>
      </c>
      <c r="Z85" s="500"/>
      <c r="AA85" s="500"/>
      <c r="AB85" s="500"/>
      <c r="AC85" s="500"/>
      <c r="AD85" s="500"/>
      <c r="AE85" s="500"/>
      <c r="AF85" s="500"/>
      <c r="AG85" s="500"/>
      <c r="AH85" s="500"/>
      <c r="AI85" s="500"/>
      <c r="AJ85" s="500"/>
      <c r="AK85" s="500"/>
      <c r="AL85" s="500"/>
      <c r="AM85" s="500"/>
      <c r="AN85" s="500"/>
      <c r="AO85" s="500"/>
      <c r="AP85" s="500"/>
    </row>
    <row r="86" spans="1:42" ht="16.5" customHeight="1">
      <c r="A86" s="434"/>
      <c r="B86" s="437" t="str">
        <f>"  t3 = "&amp;Z86&amp;" 분 , t4 = "&amp;AD86&amp;" 분 "</f>
        <v xml:space="preserve">  t3 = 1.1 분 , t4 = 0.7 분 </v>
      </c>
      <c r="C86" s="439"/>
      <c r="D86" s="439"/>
      <c r="E86" s="439"/>
      <c r="F86" s="439"/>
      <c r="G86" s="451" t="s">
        <v>3470</v>
      </c>
      <c r="Z86" s="511">
        <v>1.1000000000000001</v>
      </c>
      <c r="AA86" s="501" t="s">
        <v>3418</v>
      </c>
      <c r="AB86" s="512">
        <f>Z86</f>
        <v>1.1000000000000001</v>
      </c>
      <c r="AC86" s="514" t="s">
        <v>3427</v>
      </c>
      <c r="AD86" s="511">
        <v>0.7</v>
      </c>
      <c r="AE86" s="501" t="s">
        <v>3418</v>
      </c>
      <c r="AF86" s="512">
        <f>AD86</f>
        <v>0.7</v>
      </c>
      <c r="AG86" s="500"/>
      <c r="AH86" s="500"/>
      <c r="AI86" s="500"/>
      <c r="AJ86" s="500"/>
      <c r="AK86" s="500"/>
      <c r="AL86" s="500"/>
      <c r="AM86" s="500"/>
      <c r="AN86" s="500"/>
      <c r="AO86" s="500"/>
      <c r="AP86" s="500"/>
    </row>
    <row r="87" spans="1:42" ht="16.5" customHeight="1">
      <c r="A87" s="439"/>
      <c r="B87" s="439"/>
      <c r="C87" s="439"/>
      <c r="D87" s="439"/>
      <c r="E87" s="439"/>
      <c r="F87" s="439"/>
      <c r="G87" s="451" t="s">
        <v>3406</v>
      </c>
      <c r="Z87" s="500"/>
      <c r="AA87" s="500"/>
      <c r="AB87" s="500"/>
      <c r="AC87" s="500"/>
      <c r="AD87" s="500"/>
      <c r="AE87" s="500"/>
      <c r="AF87" s="500"/>
      <c r="AG87" s="500"/>
      <c r="AH87" s="500"/>
      <c r="AI87" s="500"/>
      <c r="AJ87" s="500"/>
      <c r="AK87" s="500"/>
      <c r="AL87" s="500"/>
      <c r="AM87" s="500"/>
      <c r="AN87" s="500"/>
      <c r="AO87" s="500"/>
      <c r="AP87" s="500"/>
    </row>
    <row r="88" spans="1:42" ht="16.5" customHeight="1">
      <c r="A88" s="434"/>
      <c r="B88" s="437" t="str">
        <f>"  t5 = "&amp;Z88&amp;"  현장내운반이므로 생략 "</f>
        <v xml:space="preserve">  t5 = 0  현장내운반이므로 생략 </v>
      </c>
      <c r="C88" s="439"/>
      <c r="D88" s="439"/>
      <c r="E88" s="439"/>
      <c r="F88" s="439"/>
      <c r="G88" s="451" t="s">
        <v>3471</v>
      </c>
      <c r="Z88" s="515">
        <v>0</v>
      </c>
      <c r="AA88" s="501" t="s">
        <v>3418</v>
      </c>
      <c r="AB88" s="512">
        <f>Z88</f>
        <v>0</v>
      </c>
      <c r="AC88" s="500"/>
      <c r="AD88" s="500"/>
      <c r="AE88" s="500"/>
      <c r="AF88" s="500"/>
      <c r="AG88" s="500"/>
      <c r="AH88" s="500"/>
      <c r="AI88" s="500"/>
      <c r="AJ88" s="500"/>
      <c r="AK88" s="500"/>
      <c r="AL88" s="500"/>
      <c r="AM88" s="500"/>
      <c r="AN88" s="500"/>
      <c r="AO88" s="500"/>
      <c r="AP88" s="500"/>
    </row>
    <row r="89" spans="1:42" ht="16.5" customHeight="1">
      <c r="A89" s="439"/>
      <c r="B89" s="439"/>
      <c r="C89" s="439"/>
      <c r="D89" s="439"/>
      <c r="E89" s="439"/>
      <c r="F89" s="439"/>
      <c r="G89" s="451" t="s">
        <v>3406</v>
      </c>
      <c r="Z89" s="500"/>
      <c r="AA89" s="500"/>
      <c r="AB89" s="500"/>
      <c r="AC89" s="500"/>
      <c r="AD89" s="500"/>
      <c r="AE89" s="500"/>
      <c r="AF89" s="500"/>
      <c r="AG89" s="500"/>
      <c r="AH89" s="500"/>
      <c r="AI89" s="500"/>
      <c r="AJ89" s="500"/>
      <c r="AK89" s="500"/>
      <c r="AL89" s="500"/>
      <c r="AM89" s="500"/>
      <c r="AN89" s="500"/>
      <c r="AO89" s="500"/>
      <c r="AP89" s="500"/>
    </row>
    <row r="90" spans="1:42" ht="16.5" customHeight="1">
      <c r="A90" s="434"/>
      <c r="B90" s="437" t="str">
        <f>"  Cm = t1+t2+t3+t4+t5 = "&amp;AJ90&amp;"  분 "</f>
        <v xml:space="preserve">  Cm = t1+t2+t3+t4+t5 = 20.29  분 </v>
      </c>
      <c r="C90" s="439"/>
      <c r="D90" s="439"/>
      <c r="E90" s="439"/>
      <c r="F90" s="439"/>
      <c r="G90" s="451" t="s">
        <v>3472</v>
      </c>
      <c r="Z90" s="512" t="str">
        <f>AI82</f>
        <v>16.49</v>
      </c>
      <c r="AA90" s="501" t="s">
        <v>3468</v>
      </c>
      <c r="AB90" s="512" t="str">
        <f>AK84</f>
        <v>2.00</v>
      </c>
      <c r="AC90" s="501" t="s">
        <v>3468</v>
      </c>
      <c r="AD90" s="512">
        <f>AB86</f>
        <v>1.1000000000000001</v>
      </c>
      <c r="AE90" s="501" t="s">
        <v>3468</v>
      </c>
      <c r="AF90" s="512">
        <f>AF86</f>
        <v>0.7</v>
      </c>
      <c r="AG90" s="501" t="s">
        <v>3468</v>
      </c>
      <c r="AH90" s="512">
        <f>AB88</f>
        <v>0</v>
      </c>
      <c r="AI90" s="501" t="s">
        <v>3418</v>
      </c>
      <c r="AJ90" s="512" t="str">
        <f>TEXT(ROUND(AI82+AK84+AB86+AF86+AB88,2),"#,0.00")</f>
        <v>20.29</v>
      </c>
      <c r="AK90" s="500"/>
      <c r="AL90" s="500"/>
      <c r="AM90" s="500"/>
      <c r="AN90" s="500"/>
      <c r="AO90" s="500"/>
      <c r="AP90" s="500"/>
    </row>
    <row r="91" spans="1:42" ht="16.5" customHeight="1">
      <c r="A91" s="439"/>
      <c r="B91" s="439"/>
      <c r="C91" s="439"/>
      <c r="D91" s="439"/>
      <c r="E91" s="439"/>
      <c r="F91" s="439"/>
      <c r="G91" s="451" t="s">
        <v>3406</v>
      </c>
      <c r="Z91" s="500"/>
      <c r="AA91" s="500"/>
      <c r="AB91" s="500"/>
      <c r="AC91" s="500"/>
      <c r="AD91" s="500"/>
      <c r="AE91" s="500"/>
      <c r="AF91" s="500"/>
      <c r="AG91" s="500"/>
      <c r="AH91" s="500"/>
      <c r="AI91" s="500"/>
      <c r="AJ91" s="500"/>
      <c r="AK91" s="500"/>
      <c r="AL91" s="500"/>
      <c r="AM91" s="500"/>
      <c r="AN91" s="500"/>
      <c r="AO91" s="500"/>
      <c r="AP91" s="500"/>
    </row>
    <row r="92" spans="1:42" ht="16.5" customHeight="1">
      <c r="A92" s="434"/>
      <c r="B92" s="437" t="str">
        <f>"  To = (Cm-t1)/Cm = "&amp;AG92&amp;""</f>
        <v xml:space="preserve">  To = (Cm-t1)/Cm = 0.19</v>
      </c>
      <c r="C92" s="439"/>
      <c r="D92" s="439"/>
      <c r="E92" s="439"/>
      <c r="F92" s="439"/>
      <c r="G92" s="451" t="s">
        <v>3473</v>
      </c>
      <c r="Z92" s="501" t="s">
        <v>3467</v>
      </c>
      <c r="AA92" s="512" t="str">
        <f>AJ90</f>
        <v>20.29</v>
      </c>
      <c r="AB92" s="501" t="s">
        <v>3474</v>
      </c>
      <c r="AC92" s="512" t="str">
        <f>AI82</f>
        <v>16.49</v>
      </c>
      <c r="AD92" s="501" t="s">
        <v>3475</v>
      </c>
      <c r="AE92" s="512" t="str">
        <f>AJ90</f>
        <v>20.29</v>
      </c>
      <c r="AF92" s="501" t="s">
        <v>3418</v>
      </c>
      <c r="AG92" s="512" t="str">
        <f>TEXT(ROUND((AJ90-AI82)/AJ90,2),"#,0.00")</f>
        <v>0.19</v>
      </c>
      <c r="AH92" s="500"/>
      <c r="AI92" s="500"/>
      <c r="AJ92" s="500"/>
      <c r="AK92" s="500"/>
      <c r="AL92" s="500"/>
      <c r="AM92" s="500"/>
      <c r="AN92" s="500"/>
      <c r="AO92" s="500"/>
      <c r="AP92" s="500"/>
    </row>
    <row r="93" spans="1:42" ht="16.5" customHeight="1">
      <c r="A93" s="439"/>
      <c r="B93" s="439"/>
      <c r="C93" s="439"/>
      <c r="D93" s="439"/>
      <c r="E93" s="439"/>
      <c r="F93" s="439"/>
      <c r="G93" s="451" t="s">
        <v>3406</v>
      </c>
      <c r="Z93" s="500"/>
      <c r="AA93" s="500"/>
      <c r="AB93" s="500"/>
      <c r="AC93" s="500"/>
      <c r="AD93" s="500"/>
      <c r="AE93" s="500"/>
      <c r="AF93" s="500"/>
      <c r="AG93" s="500"/>
      <c r="AH93" s="500"/>
      <c r="AI93" s="500"/>
      <c r="AJ93" s="500"/>
      <c r="AK93" s="500"/>
      <c r="AL93" s="500"/>
      <c r="AM93" s="500"/>
      <c r="AN93" s="500"/>
      <c r="AO93" s="500"/>
      <c r="AP93" s="500"/>
    </row>
    <row r="94" spans="1:42" ht="16.5" customHeight="1">
      <c r="A94" s="434"/>
      <c r="B94" s="437" t="str">
        <f>"  Q1 = "&amp;Z94&amp;"*q1*F*E/Cm = "&amp;AJ94&amp;"  ㎥/hr "</f>
        <v xml:space="preserve">  Q1 = 60*q1*F*E/Cm = 22.81  ㎥/hr </v>
      </c>
      <c r="C94" s="439"/>
      <c r="D94" s="439"/>
      <c r="E94" s="439"/>
      <c r="F94" s="439"/>
      <c r="G94" s="451" t="s">
        <v>3476</v>
      </c>
      <c r="Z94" s="515">
        <v>60</v>
      </c>
      <c r="AA94" s="501" t="s">
        <v>3368</v>
      </c>
      <c r="AB94" s="512" t="str">
        <f>AJ78</f>
        <v>8.57</v>
      </c>
      <c r="AC94" s="501" t="s">
        <v>3368</v>
      </c>
      <c r="AD94" s="512">
        <f>AF74</f>
        <v>1</v>
      </c>
      <c r="AE94" s="501" t="s">
        <v>3368</v>
      </c>
      <c r="AF94" s="512">
        <f>AJ72</f>
        <v>0.9</v>
      </c>
      <c r="AG94" s="501" t="s">
        <v>3428</v>
      </c>
      <c r="AH94" s="512" t="str">
        <f>AJ90</f>
        <v>20.29</v>
      </c>
      <c r="AI94" s="501" t="s">
        <v>3418</v>
      </c>
      <c r="AJ94" s="512" t="str">
        <f>TEXT(ROUND(Z94*AJ78*AF74*AJ72/AJ90,2),"#,0.00")</f>
        <v>22.81</v>
      </c>
      <c r="AK94" s="500"/>
      <c r="AL94" s="500"/>
      <c r="AM94" s="500"/>
      <c r="AN94" s="500"/>
      <c r="AO94" s="500"/>
      <c r="AP94" s="500"/>
    </row>
    <row r="95" spans="1:42" ht="16.5" customHeight="1">
      <c r="A95" s="439"/>
      <c r="B95" s="439"/>
      <c r="C95" s="439"/>
      <c r="D95" s="439"/>
      <c r="E95" s="439"/>
      <c r="F95" s="439"/>
      <c r="G95" s="451" t="s">
        <v>3406</v>
      </c>
      <c r="Z95" s="500"/>
      <c r="AA95" s="500"/>
      <c r="AB95" s="500"/>
      <c r="AC95" s="500"/>
      <c r="AD95" s="500"/>
      <c r="AE95" s="500"/>
      <c r="AF95" s="500"/>
      <c r="AG95" s="500"/>
      <c r="AH95" s="500"/>
      <c r="AI95" s="500"/>
      <c r="AJ95" s="500"/>
      <c r="AK95" s="500"/>
      <c r="AL95" s="500"/>
      <c r="AM95" s="500"/>
      <c r="AN95" s="500"/>
      <c r="AO95" s="500"/>
      <c r="AP95" s="500"/>
    </row>
    <row r="96" spans="1:42" ht="16.5" customHeight="1">
      <c r="A96" s="439"/>
      <c r="B96" s="439"/>
      <c r="C96" s="439"/>
      <c r="D96" s="439"/>
      <c r="E96" s="439"/>
      <c r="F96" s="439"/>
      <c r="G96" s="451" t="s">
        <v>3406</v>
      </c>
      <c r="Z96" s="500"/>
      <c r="AA96" s="500"/>
      <c r="AB96" s="500"/>
      <c r="AC96" s="500"/>
      <c r="AD96" s="500"/>
      <c r="AE96" s="500"/>
      <c r="AF96" s="500"/>
      <c r="AG96" s="500"/>
      <c r="AH96" s="500"/>
      <c r="AI96" s="500"/>
      <c r="AJ96" s="500"/>
      <c r="AK96" s="500"/>
      <c r="AL96" s="500"/>
      <c r="AM96" s="500"/>
      <c r="AN96" s="500"/>
      <c r="AO96" s="500"/>
      <c r="AP96" s="500"/>
    </row>
    <row r="97" spans="1:42" ht="16.5" customHeight="1">
      <c r="A97" s="439"/>
      <c r="B97" s="439"/>
      <c r="C97" s="439"/>
      <c r="D97" s="439"/>
      <c r="E97" s="439"/>
      <c r="F97" s="439"/>
      <c r="G97" s="451" t="s">
        <v>3406</v>
      </c>
      <c r="Z97" s="500"/>
      <c r="AA97" s="500"/>
      <c r="AB97" s="500"/>
      <c r="AC97" s="500"/>
      <c r="AD97" s="500"/>
      <c r="AE97" s="500"/>
      <c r="AF97" s="500"/>
      <c r="AG97" s="500"/>
      <c r="AH97" s="500"/>
      <c r="AI97" s="500"/>
      <c r="AJ97" s="500"/>
      <c r="AK97" s="500"/>
      <c r="AL97" s="500"/>
      <c r="AM97" s="500"/>
      <c r="AN97" s="500"/>
      <c r="AO97" s="500"/>
      <c r="AP97" s="500"/>
    </row>
    <row r="98" spans="1:42" ht="16.5" customHeight="1">
      <c r="A98" s="434" t="s">
        <v>3477</v>
      </c>
      <c r="B98" s="505" t="str">
        <f>"   노무비: "&amp;TEXT(I98,"#,##0"&amp;IF(I98&lt;&gt;INT(I98),".###",""))&amp;" / Q1 = "&amp;TEXT(C98,"#,##0.0")&amp;""</f>
        <v xml:space="preserve">   노무비: 59,020 / Q1 = 2,587.4</v>
      </c>
      <c r="C98" s="506">
        <f>E98+D98+F98</f>
        <v>2587.4</v>
      </c>
      <c r="D98" s="506">
        <f>IF(H98=0,0,ROUNDDOWN(J98*H98,1))</f>
        <v>2587.4</v>
      </c>
      <c r="E98" s="506">
        <f>IF(H98=0,0,ROUNDDOWN(K98*H98,1))</f>
        <v>0</v>
      </c>
      <c r="F98" s="506">
        <f>IF(H98=0,0,ROUNDDOWN(L98*H98,1))</f>
        <v>0</v>
      </c>
      <c r="G98" s="451" t="s">
        <v>3478</v>
      </c>
      <c r="H98" s="507">
        <f>ROUNDUP(AC98,14-LEN(ABS(INT(AC98))))</f>
        <v>4.3840420868100007E-2</v>
      </c>
      <c r="I98" s="508">
        <f>K98+J98+L98</f>
        <v>59020</v>
      </c>
      <c r="J98" s="509">
        <f>중기목록표!F13</f>
        <v>59020</v>
      </c>
      <c r="M98" s="501" t="s">
        <v>3479</v>
      </c>
      <c r="N98" s="501" t="s">
        <v>3416</v>
      </c>
      <c r="X98" s="510" t="str">
        <f>중기목록표!B13&amp;" / "&amp;중기목록표!C13</f>
        <v>덤프트럭 / 15톤</v>
      </c>
      <c r="Y98" s="433" t="str">
        <f ca="1">HYPERLINK("#"&amp;중기목록표!J2&amp;"!A"&amp;ROW(중기목록표!A13),"X00270 →")</f>
        <v>X00270 →</v>
      </c>
      <c r="Z98" s="501" t="s">
        <v>3434</v>
      </c>
      <c r="AA98" s="512" t="str">
        <f>AJ94</f>
        <v>22.81</v>
      </c>
      <c r="AB98" s="501" t="s">
        <v>3418</v>
      </c>
      <c r="AC98" s="512">
        <f>1/AJ94</f>
        <v>4.3840420868040339E-2</v>
      </c>
      <c r="AD98" s="500"/>
      <c r="AE98" s="500"/>
      <c r="AF98" s="500"/>
      <c r="AG98" s="500"/>
      <c r="AH98" s="500"/>
      <c r="AI98" s="500"/>
      <c r="AJ98" s="500"/>
      <c r="AK98" s="500"/>
      <c r="AL98" s="500"/>
      <c r="AM98" s="500"/>
      <c r="AN98" s="500"/>
      <c r="AO98" s="500"/>
      <c r="AP98" s="500"/>
    </row>
    <row r="99" spans="1:42" ht="16.5" customHeight="1">
      <c r="A99" s="439"/>
      <c r="B99" s="439"/>
      <c r="C99" s="439"/>
      <c r="D99" s="439"/>
      <c r="E99" s="439"/>
      <c r="F99" s="439"/>
      <c r="G99" s="451" t="s">
        <v>3406</v>
      </c>
      <c r="Z99" s="500"/>
      <c r="AA99" s="500"/>
      <c r="AB99" s="500"/>
      <c r="AC99" s="500"/>
      <c r="AD99" s="500"/>
      <c r="AE99" s="500"/>
      <c r="AF99" s="500"/>
      <c r="AG99" s="500"/>
      <c r="AH99" s="500"/>
      <c r="AI99" s="500"/>
      <c r="AJ99" s="500"/>
      <c r="AK99" s="500"/>
      <c r="AL99" s="500"/>
      <c r="AM99" s="500"/>
      <c r="AN99" s="500"/>
      <c r="AO99" s="500"/>
      <c r="AP99" s="500"/>
    </row>
    <row r="100" spans="1:42" ht="16.5" customHeight="1">
      <c r="A100" s="434" t="s">
        <v>3480</v>
      </c>
      <c r="B100" s="505" t="str">
        <f>"   재료비: "&amp;TEXT(I100,"#,##0"&amp;IF(I100&lt;&gt;INT(I100),".###",""))&amp;" / Q1 = "&amp;TEXT(C100,"#,##0.0")&amp;""</f>
        <v xml:space="preserve">   재료비: 30,258 / Q1 = 1,326.5</v>
      </c>
      <c r="C100" s="506">
        <f>E100+D100+F100</f>
        <v>1326.5</v>
      </c>
      <c r="D100" s="506">
        <f>IF(H100=0,0,ROUNDDOWN(J100*H100,1))</f>
        <v>0</v>
      </c>
      <c r="E100" s="506">
        <f>IF(H100=0,0,ROUNDDOWN(K100*H100,1))</f>
        <v>1326.5</v>
      </c>
      <c r="F100" s="506">
        <f>IF(H100=0,0,ROUNDDOWN(L100*H100,1))</f>
        <v>0</v>
      </c>
      <c r="G100" s="451" t="s">
        <v>3481</v>
      </c>
      <c r="H100" s="507">
        <f>ROUNDUP(AC100,14-LEN(ABS(INT(AC100))))</f>
        <v>4.3840420868100007E-2</v>
      </c>
      <c r="I100" s="508">
        <f>K100+J100+L100</f>
        <v>30258</v>
      </c>
      <c r="K100" s="509">
        <f>중기목록표!G13</f>
        <v>30258</v>
      </c>
      <c r="M100" s="501" t="s">
        <v>3479</v>
      </c>
      <c r="N100" s="501" t="s">
        <v>3416</v>
      </c>
      <c r="X100" s="510" t="str">
        <f>중기목록표!B13&amp;" / "&amp;중기목록표!C13</f>
        <v>덤프트럭 / 15톤</v>
      </c>
      <c r="Y100" s="433" t="str">
        <f ca="1">HYPERLINK("#"&amp;중기목록표!J2&amp;"!A"&amp;ROW(중기목록표!A13),"X00270 →")</f>
        <v>X00270 →</v>
      </c>
      <c r="Z100" s="501" t="s">
        <v>3434</v>
      </c>
      <c r="AA100" s="512" t="str">
        <f>AJ94</f>
        <v>22.81</v>
      </c>
      <c r="AB100" s="501" t="s">
        <v>3418</v>
      </c>
      <c r="AC100" s="512">
        <f>1/AJ94</f>
        <v>4.3840420868040339E-2</v>
      </c>
      <c r="AD100" s="500"/>
      <c r="AE100" s="500"/>
      <c r="AF100" s="500"/>
      <c r="AG100" s="500"/>
      <c r="AH100" s="500"/>
      <c r="AI100" s="500"/>
      <c r="AJ100" s="500"/>
      <c r="AK100" s="500"/>
      <c r="AL100" s="500"/>
      <c r="AM100" s="500"/>
      <c r="AN100" s="500"/>
      <c r="AO100" s="500"/>
      <c r="AP100" s="500"/>
    </row>
    <row r="101" spans="1:42" ht="16.5" customHeight="1">
      <c r="A101" s="439"/>
      <c r="B101" s="439"/>
      <c r="C101" s="439"/>
      <c r="D101" s="439"/>
      <c r="E101" s="439"/>
      <c r="F101" s="439"/>
      <c r="G101" s="451" t="s">
        <v>3406</v>
      </c>
      <c r="Z101" s="500"/>
      <c r="AA101" s="500"/>
      <c r="AB101" s="500"/>
      <c r="AC101" s="500"/>
      <c r="AD101" s="500"/>
      <c r="AE101" s="500"/>
      <c r="AF101" s="500"/>
      <c r="AG101" s="500"/>
      <c r="AH101" s="500"/>
      <c r="AI101" s="500"/>
      <c r="AJ101" s="500"/>
      <c r="AK101" s="500"/>
      <c r="AL101" s="500"/>
      <c r="AM101" s="500"/>
      <c r="AN101" s="500"/>
      <c r="AO101" s="500"/>
      <c r="AP101" s="500"/>
    </row>
    <row r="102" spans="1:42" ht="16.5" customHeight="1">
      <c r="A102" s="434" t="s">
        <v>3482</v>
      </c>
      <c r="B102" s="505" t="str">
        <f>"   경  비: "&amp;TEXT(I102,"#,##0"&amp;IF(I102&lt;&gt;INT(I102),".###",""))&amp;" / Q1 = "&amp;TEXT(C102,"#,##0.0")&amp;""</f>
        <v xml:space="preserve">   경  비: 20,659 / Q1 = 905.6</v>
      </c>
      <c r="C102" s="506">
        <f>E102+D102+F102</f>
        <v>905.6</v>
      </c>
      <c r="D102" s="506">
        <f>IF(H102=0,0,ROUNDDOWN(J102*H102,1))</f>
        <v>0</v>
      </c>
      <c r="E102" s="506">
        <f>IF(H102=0,0,ROUNDDOWN(K102*H102,1))</f>
        <v>0</v>
      </c>
      <c r="F102" s="506">
        <f>IF(H102=0,0,ROUNDDOWN(L102*H102,1))</f>
        <v>905.6</v>
      </c>
      <c r="G102" s="451" t="s">
        <v>3483</v>
      </c>
      <c r="H102" s="507">
        <f>ROUNDUP(AC102,14-LEN(ABS(INT(AC102))))</f>
        <v>4.3840420868100007E-2</v>
      </c>
      <c r="I102" s="508">
        <f>K102+J102+L102</f>
        <v>20659</v>
      </c>
      <c r="L102" s="509">
        <f>중기목록표!H13</f>
        <v>20659</v>
      </c>
      <c r="M102" s="501" t="s">
        <v>3479</v>
      </c>
      <c r="N102" s="501" t="s">
        <v>3416</v>
      </c>
      <c r="X102" s="510" t="str">
        <f>중기목록표!B13&amp;" / "&amp;중기목록표!C13</f>
        <v>덤프트럭 / 15톤</v>
      </c>
      <c r="Y102" s="433" t="str">
        <f ca="1">HYPERLINK("#"&amp;중기목록표!J2&amp;"!A"&amp;ROW(중기목록표!A13),"X00270 →")</f>
        <v>X00270 →</v>
      </c>
      <c r="Z102" s="501" t="s">
        <v>3434</v>
      </c>
      <c r="AA102" s="512" t="str">
        <f>AJ94</f>
        <v>22.81</v>
      </c>
      <c r="AB102" s="501" t="s">
        <v>3418</v>
      </c>
      <c r="AC102" s="512">
        <f>1/AJ94</f>
        <v>4.3840420868040339E-2</v>
      </c>
      <c r="AD102" s="500"/>
      <c r="AE102" s="500"/>
      <c r="AF102" s="500"/>
      <c r="AG102" s="500"/>
      <c r="AH102" s="500"/>
      <c r="AI102" s="500"/>
      <c r="AJ102" s="500"/>
      <c r="AK102" s="500"/>
      <c r="AL102" s="500"/>
      <c r="AM102" s="500"/>
      <c r="AN102" s="500"/>
      <c r="AO102" s="500"/>
      <c r="AP102" s="500"/>
    </row>
    <row r="103" spans="1:42" ht="16.5" customHeight="1">
      <c r="A103" s="439"/>
      <c r="B103" s="439"/>
      <c r="C103" s="439"/>
      <c r="D103" s="439"/>
      <c r="E103" s="439"/>
      <c r="F103" s="439"/>
      <c r="G103" s="451" t="s">
        <v>3406</v>
      </c>
      <c r="Z103" s="500"/>
      <c r="AA103" s="500"/>
      <c r="AB103" s="500"/>
      <c r="AC103" s="500"/>
      <c r="AD103" s="500"/>
      <c r="AE103" s="500"/>
      <c r="AF103" s="500"/>
      <c r="AG103" s="500"/>
      <c r="AH103" s="500"/>
      <c r="AI103" s="500"/>
      <c r="AJ103" s="500"/>
      <c r="AK103" s="500"/>
      <c r="AL103" s="500"/>
      <c r="AM103" s="500"/>
      <c r="AN103" s="500"/>
      <c r="AO103" s="500"/>
      <c r="AP103" s="500"/>
    </row>
    <row r="104" spans="1:42" ht="16.5" customHeight="1">
      <c r="A104" s="439"/>
      <c r="B104" s="439"/>
      <c r="C104" s="439"/>
      <c r="D104" s="439"/>
      <c r="E104" s="439"/>
      <c r="F104" s="439"/>
      <c r="G104" s="451" t="s">
        <v>3406</v>
      </c>
      <c r="Z104" s="500"/>
      <c r="AA104" s="500"/>
      <c r="AB104" s="500"/>
      <c r="AC104" s="500"/>
      <c r="AD104" s="500"/>
      <c r="AE104" s="500"/>
      <c r="AF104" s="500"/>
      <c r="AG104" s="500"/>
      <c r="AH104" s="500"/>
      <c r="AI104" s="500"/>
      <c r="AJ104" s="500"/>
      <c r="AK104" s="500"/>
      <c r="AL104" s="500"/>
      <c r="AM104" s="500"/>
      <c r="AN104" s="500"/>
      <c r="AO104" s="500"/>
      <c r="AP104" s="500"/>
    </row>
    <row r="105" spans="1:42" ht="16.5" customHeight="1">
      <c r="A105" s="434"/>
      <c r="B105" s="437" t="s">
        <v>3419</v>
      </c>
      <c r="C105" s="513">
        <f>E105+D105+F105</f>
        <v>4819.5</v>
      </c>
      <c r="D105" s="513">
        <f>SUMIF(N68:N104,M105,D68:D104)</f>
        <v>2587.4</v>
      </c>
      <c r="E105" s="513">
        <f>SUMIF(N68:N104,M105,E68:E104)</f>
        <v>1326.5</v>
      </c>
      <c r="F105" s="513">
        <f>SUMIF(N68:N104,M105,F68:F104)</f>
        <v>905.6</v>
      </c>
      <c r="G105" s="451" t="s">
        <v>3420</v>
      </c>
      <c r="M105" s="501" t="s">
        <v>3416</v>
      </c>
      <c r="N105" s="501" t="s">
        <v>3421</v>
      </c>
      <c r="Z105" s="500"/>
      <c r="AA105" s="500"/>
      <c r="AB105" s="500"/>
      <c r="AC105" s="500"/>
      <c r="AD105" s="500"/>
      <c r="AE105" s="500"/>
      <c r="AF105" s="500"/>
      <c r="AG105" s="500"/>
      <c r="AH105" s="500"/>
      <c r="AI105" s="500"/>
      <c r="AJ105" s="500"/>
      <c r="AK105" s="500"/>
      <c r="AL105" s="500"/>
      <c r="AM105" s="500"/>
      <c r="AN105" s="500"/>
      <c r="AO105" s="500"/>
      <c r="AP105" s="500"/>
    </row>
    <row r="106" spans="1:42" ht="16.5" customHeight="1">
      <c r="A106" s="439"/>
      <c r="B106" s="439"/>
      <c r="C106" s="504"/>
      <c r="D106" s="504"/>
      <c r="E106" s="504"/>
      <c r="F106" s="504"/>
      <c r="G106" s="451" t="s">
        <v>3406</v>
      </c>
      <c r="Z106" s="500"/>
      <c r="AA106" s="500"/>
      <c r="AB106" s="500"/>
      <c r="AC106" s="500"/>
      <c r="AD106" s="500"/>
      <c r="AE106" s="500"/>
      <c r="AF106" s="500"/>
      <c r="AG106" s="500"/>
      <c r="AH106" s="500"/>
      <c r="AI106" s="500"/>
      <c r="AJ106" s="500"/>
      <c r="AK106" s="500"/>
      <c r="AL106" s="500"/>
      <c r="AM106" s="500"/>
      <c r="AN106" s="500"/>
      <c r="AO106" s="500"/>
      <c r="AP106" s="500"/>
    </row>
    <row r="107" spans="1:42" ht="16.5" customHeight="1">
      <c r="A107" s="439"/>
      <c r="B107" s="439"/>
      <c r="C107" s="439"/>
      <c r="D107" s="439"/>
      <c r="E107" s="439"/>
      <c r="F107" s="439"/>
      <c r="G107" s="451" t="s">
        <v>3406</v>
      </c>
      <c r="Z107" s="500"/>
      <c r="AA107" s="500"/>
      <c r="AB107" s="500"/>
      <c r="AC107" s="500"/>
      <c r="AD107" s="500"/>
      <c r="AE107" s="500"/>
      <c r="AF107" s="500"/>
      <c r="AG107" s="500"/>
      <c r="AH107" s="500"/>
      <c r="AI107" s="500"/>
      <c r="AJ107" s="500"/>
      <c r="AK107" s="500"/>
      <c r="AL107" s="500"/>
      <c r="AM107" s="500"/>
      <c r="AN107" s="500"/>
      <c r="AO107" s="500"/>
      <c r="AP107" s="500"/>
    </row>
    <row r="108" spans="1:42" ht="16.5" customHeight="1">
      <c r="A108" s="434"/>
      <c r="B108" s="437" t="s">
        <v>3440</v>
      </c>
      <c r="C108" s="513">
        <f>E108+D108+F108</f>
        <v>8124.5000000000009</v>
      </c>
      <c r="D108" s="513">
        <f>SUMIF(N44:N107,M108,D44:D107)</f>
        <v>4479.6000000000004</v>
      </c>
      <c r="E108" s="513">
        <f>SUMIF(N44:N107,M108,E44:E107)</f>
        <v>1952.1</v>
      </c>
      <c r="F108" s="513">
        <f>SUMIF(N44:N107,M108,F44:F107)</f>
        <v>1692.8000000000002</v>
      </c>
      <c r="G108" s="451" t="s">
        <v>3484</v>
      </c>
      <c r="M108" s="501" t="s">
        <v>3421</v>
      </c>
      <c r="N108" s="501" t="s">
        <v>3442</v>
      </c>
      <c r="Z108" s="500"/>
      <c r="AA108" s="500"/>
      <c r="AB108" s="500"/>
      <c r="AC108" s="500"/>
      <c r="AD108" s="500"/>
      <c r="AE108" s="500"/>
      <c r="AF108" s="500"/>
      <c r="AG108" s="500"/>
      <c r="AH108" s="500"/>
      <c r="AI108" s="500"/>
      <c r="AJ108" s="500"/>
      <c r="AK108" s="500"/>
      <c r="AL108" s="500"/>
      <c r="AM108" s="500"/>
      <c r="AN108" s="500"/>
      <c r="AO108" s="500"/>
      <c r="AP108" s="500"/>
    </row>
    <row r="109" spans="1:42" ht="16.5" customHeight="1">
      <c r="A109" s="439"/>
      <c r="B109" s="439"/>
      <c r="C109" s="504"/>
      <c r="D109" s="504"/>
      <c r="E109" s="504"/>
      <c r="F109" s="504"/>
      <c r="G109" s="451" t="s">
        <v>3406</v>
      </c>
      <c r="Z109" s="500"/>
      <c r="AA109" s="500"/>
      <c r="AB109" s="500"/>
      <c r="AC109" s="500"/>
      <c r="AD109" s="500"/>
      <c r="AE109" s="500"/>
      <c r="AF109" s="500"/>
      <c r="AG109" s="500"/>
      <c r="AH109" s="500"/>
      <c r="AI109" s="500"/>
      <c r="AJ109" s="500"/>
      <c r="AK109" s="500"/>
      <c r="AL109" s="500"/>
      <c r="AM109" s="500"/>
      <c r="AN109" s="500"/>
      <c r="AO109" s="500"/>
      <c r="AP109" s="500"/>
    </row>
    <row r="110" spans="1:42" ht="16.5" customHeight="1">
      <c r="A110" s="434"/>
      <c r="B110" s="437" t="s">
        <v>3485</v>
      </c>
      <c r="C110" s="513">
        <f>E110+D110+F110</f>
        <v>26888.400000000001</v>
      </c>
      <c r="D110" s="513">
        <f>SUMIF(N7:N109,M110,D7:D109)</f>
        <v>20935.5</v>
      </c>
      <c r="E110" s="513">
        <f>SUMIF(N7:N109,M110,E7:E109)</f>
        <v>2818.8</v>
      </c>
      <c r="F110" s="513">
        <f>SUMIF(N7:N109,M110,F7:F109)</f>
        <v>3134.1000000000004</v>
      </c>
      <c r="G110" s="451" t="s">
        <v>3486</v>
      </c>
      <c r="M110" s="501" t="s">
        <v>3442</v>
      </c>
      <c r="N110" s="501" t="s">
        <v>2354</v>
      </c>
      <c r="Z110" s="500"/>
      <c r="AA110" s="500"/>
      <c r="AB110" s="500"/>
      <c r="AC110" s="500"/>
      <c r="AD110" s="500"/>
      <c r="AE110" s="500"/>
      <c r="AF110" s="500"/>
      <c r="AG110" s="500"/>
      <c r="AH110" s="500"/>
      <c r="AI110" s="500"/>
      <c r="AJ110" s="500"/>
      <c r="AK110" s="500"/>
      <c r="AL110" s="500"/>
      <c r="AM110" s="500"/>
      <c r="AN110" s="500"/>
      <c r="AO110" s="500"/>
      <c r="AP110" s="500"/>
    </row>
    <row r="111" spans="1:42" ht="16.5" customHeight="1">
      <c r="A111" s="439"/>
      <c r="B111" s="439"/>
      <c r="C111" s="504"/>
      <c r="D111" s="504"/>
      <c r="E111" s="504"/>
      <c r="F111" s="504"/>
      <c r="Z111" s="500"/>
      <c r="AA111" s="500"/>
      <c r="AB111" s="500"/>
      <c r="AC111" s="500"/>
      <c r="AD111" s="500"/>
      <c r="AE111" s="500"/>
      <c r="AF111" s="500"/>
      <c r="AG111" s="500"/>
      <c r="AH111" s="500"/>
      <c r="AI111" s="500"/>
      <c r="AJ111" s="500"/>
      <c r="AK111" s="500"/>
      <c r="AL111" s="500"/>
      <c r="AM111" s="500"/>
      <c r="AN111" s="500"/>
      <c r="AO111" s="500"/>
      <c r="AP111" s="500"/>
    </row>
    <row r="112" spans="1:42" ht="16.5" customHeight="1">
      <c r="A112" s="439"/>
      <c r="B112" s="439"/>
      <c r="C112" s="439"/>
      <c r="D112" s="439"/>
      <c r="E112" s="439"/>
      <c r="F112" s="439"/>
      <c r="Z112" s="500"/>
      <c r="AA112" s="500"/>
      <c r="AB112" s="500"/>
      <c r="AC112" s="500"/>
      <c r="AD112" s="500"/>
      <c r="AE112" s="500"/>
      <c r="AF112" s="500"/>
      <c r="AG112" s="500"/>
      <c r="AH112" s="500"/>
      <c r="AI112" s="500"/>
      <c r="AJ112" s="500"/>
      <c r="AK112" s="500"/>
      <c r="AL112" s="500"/>
      <c r="AM112" s="500"/>
      <c r="AN112" s="500"/>
      <c r="AO112" s="500"/>
      <c r="AP112" s="500"/>
    </row>
    <row r="113" spans="1:42" ht="16.5" customHeight="1">
      <c r="A113" s="439"/>
      <c r="B113" s="439"/>
      <c r="C113" s="439"/>
      <c r="D113" s="439"/>
      <c r="E113" s="439"/>
      <c r="F113" s="439"/>
      <c r="Z113" s="500"/>
      <c r="AA113" s="500"/>
      <c r="AB113" s="500"/>
      <c r="AC113" s="500"/>
      <c r="AD113" s="500"/>
      <c r="AE113" s="500"/>
      <c r="AF113" s="500"/>
      <c r="AG113" s="500"/>
      <c r="AH113" s="500"/>
      <c r="AI113" s="500"/>
      <c r="AJ113" s="500"/>
      <c r="AK113" s="500"/>
      <c r="AL113" s="500"/>
      <c r="AM113" s="500"/>
      <c r="AN113" s="500"/>
      <c r="AO113" s="500"/>
      <c r="AP113" s="500"/>
    </row>
    <row r="114" spans="1:42" ht="16.5" customHeight="1">
      <c r="A114" s="439"/>
      <c r="B114" s="439"/>
      <c r="C114" s="439"/>
      <c r="D114" s="439"/>
      <c r="E114" s="439"/>
      <c r="F114" s="439"/>
      <c r="Z114" s="500"/>
      <c r="AA114" s="500"/>
      <c r="AB114" s="500"/>
      <c r="AC114" s="500"/>
      <c r="AD114" s="500"/>
      <c r="AE114" s="500"/>
      <c r="AF114" s="500"/>
      <c r="AG114" s="500"/>
      <c r="AH114" s="500"/>
      <c r="AI114" s="500"/>
      <c r="AJ114" s="500"/>
      <c r="AK114" s="500"/>
      <c r="AL114" s="500"/>
      <c r="AM114" s="500"/>
      <c r="AN114" s="500"/>
      <c r="AO114" s="500"/>
      <c r="AP114" s="500"/>
    </row>
    <row r="115" spans="1:42" ht="16.5" customHeight="1">
      <c r="A115" s="439"/>
      <c r="B115" s="439"/>
      <c r="C115" s="439"/>
      <c r="D115" s="439"/>
      <c r="E115" s="439"/>
      <c r="F115" s="439"/>
      <c r="Z115" s="500"/>
      <c r="AA115" s="500"/>
      <c r="AB115" s="500"/>
      <c r="AC115" s="500"/>
      <c r="AD115" s="500"/>
      <c r="AE115" s="500"/>
      <c r="AF115" s="500"/>
      <c r="AG115" s="500"/>
      <c r="AH115" s="500"/>
      <c r="AI115" s="500"/>
      <c r="AJ115" s="500"/>
      <c r="AK115" s="500"/>
      <c r="AL115" s="500"/>
      <c r="AM115" s="500"/>
      <c r="AN115" s="500"/>
      <c r="AO115" s="500"/>
      <c r="AP115" s="500"/>
    </row>
    <row r="116" spans="1:42" ht="16.5" customHeight="1">
      <c r="A116" s="439"/>
      <c r="B116" s="439"/>
      <c r="C116" s="439"/>
      <c r="D116" s="439"/>
      <c r="E116" s="439"/>
      <c r="F116" s="439"/>
      <c r="Z116" s="500"/>
      <c r="AA116" s="500"/>
      <c r="AB116" s="500"/>
      <c r="AC116" s="500"/>
      <c r="AD116" s="500"/>
      <c r="AE116" s="500"/>
      <c r="AF116" s="500"/>
      <c r="AG116" s="500"/>
      <c r="AH116" s="500"/>
      <c r="AI116" s="500"/>
      <c r="AJ116" s="500"/>
      <c r="AK116" s="500"/>
      <c r="AL116" s="500"/>
      <c r="AM116" s="500"/>
      <c r="AN116" s="500"/>
      <c r="AO116" s="500"/>
      <c r="AP116" s="500"/>
    </row>
    <row r="117" spans="1:42" ht="16.5" customHeight="1">
      <c r="A117" s="439"/>
      <c r="B117" s="439"/>
      <c r="C117" s="439"/>
      <c r="D117" s="439"/>
      <c r="E117" s="439"/>
      <c r="F117" s="439"/>
      <c r="Z117" s="500"/>
      <c r="AA117" s="500"/>
      <c r="AB117" s="500"/>
      <c r="AC117" s="500"/>
      <c r="AD117" s="500"/>
      <c r="AE117" s="500"/>
      <c r="AF117" s="500"/>
      <c r="AG117" s="500"/>
      <c r="AH117" s="500"/>
      <c r="AI117" s="500"/>
      <c r="AJ117" s="500"/>
      <c r="AK117" s="500"/>
      <c r="AL117" s="500"/>
      <c r="AM117" s="500"/>
      <c r="AN117" s="500"/>
      <c r="AO117" s="500"/>
      <c r="AP117" s="500"/>
    </row>
    <row r="118" spans="1:42" ht="16.5" customHeight="1">
      <c r="A118" s="439"/>
      <c r="B118" s="439"/>
      <c r="C118" s="439"/>
      <c r="D118" s="439"/>
      <c r="E118" s="439"/>
      <c r="F118" s="439"/>
      <c r="Z118" s="500"/>
      <c r="AA118" s="500"/>
      <c r="AB118" s="500"/>
      <c r="AC118" s="500"/>
      <c r="AD118" s="500"/>
      <c r="AE118" s="500"/>
      <c r="AF118" s="500"/>
      <c r="AG118" s="500"/>
      <c r="AH118" s="500"/>
      <c r="AI118" s="500"/>
      <c r="AJ118" s="500"/>
      <c r="AK118" s="500"/>
      <c r="AL118" s="500"/>
      <c r="AM118" s="500"/>
      <c r="AN118" s="500"/>
      <c r="AO118" s="500"/>
      <c r="AP118" s="500"/>
    </row>
    <row r="119" spans="1:42" ht="16.5" customHeight="1">
      <c r="A119" s="439"/>
      <c r="B119" s="439"/>
      <c r="C119" s="439"/>
      <c r="D119" s="439"/>
      <c r="E119" s="439"/>
      <c r="F119" s="439"/>
      <c r="Z119" s="500"/>
      <c r="AA119" s="500"/>
      <c r="AB119" s="500"/>
      <c r="AC119" s="500"/>
      <c r="AD119" s="500"/>
      <c r="AE119" s="500"/>
      <c r="AF119" s="500"/>
      <c r="AG119" s="500"/>
      <c r="AH119" s="500"/>
      <c r="AI119" s="500"/>
      <c r="AJ119" s="500"/>
      <c r="AK119" s="500"/>
      <c r="AL119" s="500"/>
      <c r="AM119" s="500"/>
      <c r="AN119" s="500"/>
      <c r="AO119" s="500"/>
      <c r="AP119" s="500"/>
    </row>
    <row r="120" spans="1:42" ht="16.5" customHeight="1">
      <c r="A120" s="439"/>
      <c r="B120" s="439"/>
      <c r="C120" s="439"/>
      <c r="D120" s="439"/>
      <c r="E120" s="439"/>
      <c r="F120" s="439"/>
      <c r="Z120" s="500"/>
      <c r="AA120" s="500"/>
      <c r="AB120" s="500"/>
      <c r="AC120" s="500"/>
      <c r="AD120" s="500"/>
      <c r="AE120" s="500"/>
      <c r="AF120" s="500"/>
      <c r="AG120" s="500"/>
      <c r="AH120" s="500"/>
      <c r="AI120" s="500"/>
      <c r="AJ120" s="500"/>
      <c r="AK120" s="500"/>
      <c r="AL120" s="500"/>
      <c r="AM120" s="500"/>
      <c r="AN120" s="500"/>
      <c r="AO120" s="500"/>
      <c r="AP120" s="500"/>
    </row>
    <row r="121" spans="1:42" ht="16.5" customHeight="1">
      <c r="A121" s="439"/>
      <c r="B121" s="439"/>
      <c r="C121" s="439"/>
      <c r="D121" s="439"/>
      <c r="E121" s="439"/>
      <c r="F121" s="439"/>
      <c r="Z121" s="500"/>
      <c r="AA121" s="500"/>
      <c r="AB121" s="500"/>
      <c r="AC121" s="500"/>
      <c r="AD121" s="500"/>
      <c r="AE121" s="500"/>
      <c r="AF121" s="500"/>
      <c r="AG121" s="500"/>
      <c r="AH121" s="500"/>
      <c r="AI121" s="500"/>
      <c r="AJ121" s="500"/>
      <c r="AK121" s="500"/>
      <c r="AL121" s="500"/>
      <c r="AM121" s="500"/>
      <c r="AN121" s="500"/>
      <c r="AO121" s="500"/>
      <c r="AP121" s="500"/>
    </row>
    <row r="122" spans="1:42" ht="16.5" customHeight="1">
      <c r="A122" s="439"/>
      <c r="B122" s="439"/>
      <c r="C122" s="439"/>
      <c r="D122" s="439"/>
      <c r="E122" s="439"/>
      <c r="F122" s="439"/>
      <c r="Z122" s="500"/>
      <c r="AA122" s="500"/>
      <c r="AB122" s="500"/>
      <c r="AC122" s="500"/>
      <c r="AD122" s="500"/>
      <c r="AE122" s="500"/>
      <c r="AF122" s="500"/>
      <c r="AG122" s="500"/>
      <c r="AH122" s="500"/>
      <c r="AI122" s="500"/>
      <c r="AJ122" s="500"/>
      <c r="AK122" s="500"/>
      <c r="AL122" s="500"/>
      <c r="AM122" s="500"/>
      <c r="AN122" s="500"/>
      <c r="AO122" s="500"/>
      <c r="AP122" s="500"/>
    </row>
    <row r="123" spans="1:42" ht="16.5" customHeight="1">
      <c r="A123" s="439"/>
      <c r="B123" s="439"/>
      <c r="C123" s="439"/>
      <c r="D123" s="439"/>
      <c r="E123" s="439"/>
      <c r="F123" s="439"/>
      <c r="Z123" s="500"/>
      <c r="AA123" s="500"/>
      <c r="AB123" s="500"/>
      <c r="AC123" s="500"/>
      <c r="AD123" s="500"/>
      <c r="AE123" s="500"/>
      <c r="AF123" s="500"/>
      <c r="AG123" s="500"/>
      <c r="AH123" s="500"/>
      <c r="AI123" s="500"/>
      <c r="AJ123" s="500"/>
      <c r="AK123" s="500"/>
      <c r="AL123" s="500"/>
      <c r="AM123" s="500"/>
      <c r="AN123" s="500"/>
      <c r="AO123" s="500"/>
      <c r="AP123" s="500"/>
    </row>
    <row r="124" spans="1:42" ht="16.5" customHeight="1">
      <c r="A124" s="439"/>
      <c r="B124" s="439"/>
      <c r="C124" s="439"/>
      <c r="D124" s="439"/>
      <c r="E124" s="439"/>
      <c r="F124" s="439"/>
      <c r="Z124" s="500"/>
      <c r="AA124" s="500"/>
      <c r="AB124" s="500"/>
      <c r="AC124" s="500"/>
      <c r="AD124" s="500"/>
      <c r="AE124" s="500"/>
      <c r="AF124" s="500"/>
      <c r="AG124" s="500"/>
      <c r="AH124" s="500"/>
      <c r="AI124" s="500"/>
      <c r="AJ124" s="500"/>
      <c r="AK124" s="500"/>
      <c r="AL124" s="500"/>
      <c r="AM124" s="500"/>
      <c r="AN124" s="500"/>
      <c r="AO124" s="500"/>
      <c r="AP124" s="500"/>
    </row>
    <row r="125" spans="1:42" ht="16.5" customHeight="1">
      <c r="A125" s="439"/>
      <c r="B125" s="439"/>
      <c r="C125" s="439"/>
      <c r="D125" s="439"/>
      <c r="E125" s="439"/>
      <c r="F125" s="439"/>
      <c r="Z125" s="500"/>
      <c r="AA125" s="500"/>
      <c r="AB125" s="500"/>
      <c r="AC125" s="500"/>
      <c r="AD125" s="500"/>
      <c r="AE125" s="500"/>
      <c r="AF125" s="500"/>
      <c r="AG125" s="500"/>
      <c r="AH125" s="500"/>
      <c r="AI125" s="500"/>
      <c r="AJ125" s="500"/>
      <c r="AK125" s="500"/>
      <c r="AL125" s="500"/>
      <c r="AM125" s="500"/>
      <c r="AN125" s="500"/>
      <c r="AO125" s="500"/>
      <c r="AP125" s="500"/>
    </row>
    <row r="126" spans="1:42" ht="16.5" customHeight="1">
      <c r="A126" s="439"/>
      <c r="B126" s="439"/>
      <c r="C126" s="439"/>
      <c r="D126" s="439"/>
      <c r="E126" s="439"/>
      <c r="F126" s="439"/>
      <c r="Z126" s="500"/>
      <c r="AA126" s="500"/>
      <c r="AB126" s="500"/>
      <c r="AC126" s="500"/>
      <c r="AD126" s="500"/>
      <c r="AE126" s="500"/>
      <c r="AF126" s="500"/>
      <c r="AG126" s="500"/>
      <c r="AH126" s="500"/>
      <c r="AI126" s="500"/>
      <c r="AJ126" s="500"/>
      <c r="AK126" s="500"/>
      <c r="AL126" s="500"/>
      <c r="AM126" s="500"/>
      <c r="AN126" s="500"/>
      <c r="AO126" s="500"/>
      <c r="AP126" s="500"/>
    </row>
    <row r="127" spans="1:42" ht="16.5" customHeight="1">
      <c r="A127" s="439"/>
      <c r="B127" s="439"/>
      <c r="C127" s="439"/>
      <c r="D127" s="439"/>
      <c r="E127" s="439"/>
      <c r="F127" s="439"/>
      <c r="Z127" s="500"/>
      <c r="AA127" s="500"/>
      <c r="AB127" s="500"/>
      <c r="AC127" s="500"/>
      <c r="AD127" s="500"/>
      <c r="AE127" s="500"/>
      <c r="AF127" s="500"/>
      <c r="AG127" s="500"/>
      <c r="AH127" s="500"/>
      <c r="AI127" s="500"/>
      <c r="AJ127" s="500"/>
      <c r="AK127" s="500"/>
      <c r="AL127" s="500"/>
      <c r="AM127" s="500"/>
      <c r="AN127" s="500"/>
      <c r="AO127" s="500"/>
      <c r="AP127" s="500"/>
    </row>
    <row r="128" spans="1:42" ht="16.5" customHeight="1">
      <c r="A128" s="439"/>
      <c r="B128" s="439"/>
      <c r="C128" s="439"/>
      <c r="D128" s="439"/>
      <c r="E128" s="439"/>
      <c r="F128" s="439"/>
      <c r="Z128" s="500"/>
      <c r="AA128" s="500"/>
      <c r="AB128" s="500"/>
      <c r="AC128" s="500"/>
      <c r="AD128" s="500"/>
      <c r="AE128" s="500"/>
      <c r="AF128" s="500"/>
      <c r="AG128" s="500"/>
      <c r="AH128" s="500"/>
      <c r="AI128" s="500"/>
      <c r="AJ128" s="500"/>
      <c r="AK128" s="500"/>
      <c r="AL128" s="500"/>
      <c r="AM128" s="500"/>
      <c r="AN128" s="500"/>
      <c r="AO128" s="500"/>
      <c r="AP128" s="500"/>
    </row>
    <row r="129" spans="1:42" ht="16.5" customHeight="1">
      <c r="A129" s="439"/>
      <c r="B129" s="439"/>
      <c r="C129" s="439"/>
      <c r="D129" s="439"/>
      <c r="E129" s="439"/>
      <c r="F129" s="439"/>
      <c r="Z129" s="500"/>
      <c r="AA129" s="500"/>
      <c r="AB129" s="500"/>
      <c r="AC129" s="500"/>
      <c r="AD129" s="500"/>
      <c r="AE129" s="500"/>
      <c r="AF129" s="500"/>
      <c r="AG129" s="500"/>
      <c r="AH129" s="500"/>
      <c r="AI129" s="500"/>
      <c r="AJ129" s="500"/>
      <c r="AK129" s="500"/>
      <c r="AL129" s="500"/>
      <c r="AM129" s="500"/>
      <c r="AN129" s="500"/>
      <c r="AO129" s="500"/>
      <c r="AP129" s="500"/>
    </row>
    <row r="130" spans="1:42" ht="16.5" customHeight="1">
      <c r="A130" s="439"/>
      <c r="B130" s="439"/>
      <c r="C130" s="439"/>
      <c r="D130" s="439"/>
      <c r="E130" s="439"/>
      <c r="F130" s="439"/>
      <c r="Z130" s="500"/>
      <c r="AA130" s="500"/>
      <c r="AB130" s="500"/>
      <c r="AC130" s="500"/>
      <c r="AD130" s="500"/>
      <c r="AE130" s="500"/>
      <c r="AF130" s="500"/>
      <c r="AG130" s="500"/>
      <c r="AH130" s="500"/>
      <c r="AI130" s="500"/>
      <c r="AJ130" s="500"/>
      <c r="AK130" s="500"/>
      <c r="AL130" s="500"/>
      <c r="AM130" s="500"/>
      <c r="AN130" s="500"/>
      <c r="AO130" s="500"/>
      <c r="AP130" s="500"/>
    </row>
    <row r="131" spans="1:42" ht="16.5" customHeight="1">
      <c r="A131" s="439"/>
      <c r="B131" s="439"/>
      <c r="C131" s="439"/>
      <c r="D131" s="439"/>
      <c r="E131" s="439"/>
      <c r="F131" s="439"/>
      <c r="Z131" s="500"/>
      <c r="AA131" s="500"/>
      <c r="AB131" s="500"/>
      <c r="AC131" s="500"/>
      <c r="AD131" s="500"/>
      <c r="AE131" s="500"/>
      <c r="AF131" s="500"/>
      <c r="AG131" s="500"/>
      <c r="AH131" s="500"/>
      <c r="AI131" s="500"/>
      <c r="AJ131" s="500"/>
      <c r="AK131" s="500"/>
      <c r="AL131" s="500"/>
      <c r="AM131" s="500"/>
      <c r="AN131" s="500"/>
      <c r="AO131" s="500"/>
      <c r="AP131" s="500"/>
    </row>
    <row r="132" spans="1:42" ht="16.5" customHeight="1">
      <c r="A132" s="439"/>
      <c r="B132" s="439"/>
      <c r="C132" s="439"/>
      <c r="D132" s="439"/>
      <c r="E132" s="439"/>
      <c r="F132" s="439"/>
      <c r="Z132" s="500"/>
      <c r="AA132" s="500"/>
      <c r="AB132" s="500"/>
      <c r="AC132" s="500"/>
      <c r="AD132" s="500"/>
      <c r="AE132" s="500"/>
      <c r="AF132" s="500"/>
      <c r="AG132" s="500"/>
      <c r="AH132" s="500"/>
      <c r="AI132" s="500"/>
      <c r="AJ132" s="500"/>
      <c r="AK132" s="500"/>
      <c r="AL132" s="500"/>
      <c r="AM132" s="500"/>
      <c r="AN132" s="500"/>
      <c r="AO132" s="500"/>
      <c r="AP132" s="500"/>
    </row>
    <row r="133" spans="1:42" ht="16.5" customHeight="1">
      <c r="A133" s="439"/>
      <c r="B133" s="439"/>
      <c r="C133" s="439"/>
      <c r="D133" s="439"/>
      <c r="E133" s="439"/>
      <c r="F133" s="439"/>
      <c r="Z133" s="500"/>
      <c r="AA133" s="500"/>
      <c r="AB133" s="500"/>
      <c r="AC133" s="500"/>
      <c r="AD133" s="500"/>
      <c r="AE133" s="500"/>
      <c r="AF133" s="500"/>
      <c r="AG133" s="500"/>
      <c r="AH133" s="500"/>
      <c r="AI133" s="500"/>
      <c r="AJ133" s="500"/>
      <c r="AK133" s="500"/>
      <c r="AL133" s="500"/>
      <c r="AM133" s="500"/>
      <c r="AN133" s="500"/>
      <c r="AO133" s="500"/>
      <c r="AP133" s="500"/>
    </row>
    <row r="134" spans="1:42" ht="16.5" customHeight="1">
      <c r="A134" s="439"/>
      <c r="B134" s="439"/>
      <c r="C134" s="439"/>
      <c r="D134" s="439"/>
      <c r="E134" s="439"/>
      <c r="F134" s="439"/>
      <c r="Z134" s="500"/>
      <c r="AA134" s="500"/>
      <c r="AB134" s="500"/>
      <c r="AC134" s="500"/>
      <c r="AD134" s="500"/>
      <c r="AE134" s="500"/>
      <c r="AF134" s="500"/>
      <c r="AG134" s="500"/>
      <c r="AH134" s="500"/>
      <c r="AI134" s="500"/>
      <c r="AJ134" s="500"/>
      <c r="AK134" s="500"/>
      <c r="AL134" s="500"/>
      <c r="AM134" s="500"/>
      <c r="AN134" s="500"/>
      <c r="AO134" s="500"/>
      <c r="AP134" s="500"/>
    </row>
    <row r="135" spans="1:42" ht="16.5" customHeight="1">
      <c r="A135" s="439"/>
      <c r="B135" s="439"/>
      <c r="C135" s="439"/>
      <c r="D135" s="439"/>
      <c r="E135" s="439"/>
      <c r="F135" s="439"/>
      <c r="Z135" s="500"/>
      <c r="AA135" s="500"/>
      <c r="AB135" s="500"/>
      <c r="AC135" s="500"/>
      <c r="AD135" s="500"/>
      <c r="AE135" s="500"/>
      <c r="AF135" s="500"/>
      <c r="AG135" s="500"/>
      <c r="AH135" s="500"/>
      <c r="AI135" s="500"/>
      <c r="AJ135" s="500"/>
      <c r="AK135" s="500"/>
      <c r="AL135" s="500"/>
      <c r="AM135" s="500"/>
      <c r="AN135" s="500"/>
      <c r="AO135" s="500"/>
      <c r="AP135" s="500"/>
    </row>
    <row r="136" spans="1:42" ht="16.5" customHeight="1">
      <c r="A136" s="439"/>
      <c r="B136" s="439"/>
      <c r="C136" s="439"/>
      <c r="D136" s="439"/>
      <c r="E136" s="439"/>
      <c r="F136" s="439"/>
      <c r="Z136" s="500"/>
      <c r="AA136" s="500"/>
      <c r="AB136" s="500"/>
      <c r="AC136" s="500"/>
      <c r="AD136" s="500"/>
      <c r="AE136" s="500"/>
      <c r="AF136" s="500"/>
      <c r="AG136" s="500"/>
      <c r="AH136" s="500"/>
      <c r="AI136" s="500"/>
      <c r="AJ136" s="500"/>
      <c r="AK136" s="500"/>
      <c r="AL136" s="500"/>
      <c r="AM136" s="500"/>
      <c r="AN136" s="500"/>
      <c r="AO136" s="500"/>
      <c r="AP136" s="500"/>
    </row>
    <row r="137" spans="1:42" ht="16.5" customHeight="1">
      <c r="A137" s="439"/>
      <c r="B137" s="439"/>
      <c r="C137" s="439"/>
      <c r="D137" s="439"/>
      <c r="E137" s="439"/>
      <c r="F137" s="439"/>
      <c r="Z137" s="500"/>
      <c r="AA137" s="500"/>
      <c r="AB137" s="500"/>
      <c r="AC137" s="500"/>
      <c r="AD137" s="500"/>
      <c r="AE137" s="500"/>
      <c r="AF137" s="500"/>
      <c r="AG137" s="500"/>
      <c r="AH137" s="500"/>
      <c r="AI137" s="500"/>
      <c r="AJ137" s="500"/>
      <c r="AK137" s="500"/>
      <c r="AL137" s="500"/>
      <c r="AM137" s="500"/>
      <c r="AN137" s="500"/>
      <c r="AO137" s="500"/>
      <c r="AP137" s="500"/>
    </row>
    <row r="138" spans="1:42" ht="16.5" customHeight="1">
      <c r="A138" s="439"/>
      <c r="B138" s="439"/>
      <c r="C138" s="439"/>
      <c r="D138" s="439"/>
      <c r="E138" s="439"/>
      <c r="F138" s="439"/>
      <c r="Z138" s="500"/>
      <c r="AA138" s="500"/>
      <c r="AB138" s="500"/>
      <c r="AC138" s="500"/>
      <c r="AD138" s="500"/>
      <c r="AE138" s="500"/>
      <c r="AF138" s="500"/>
      <c r="AG138" s="500"/>
      <c r="AH138" s="500"/>
      <c r="AI138" s="500"/>
      <c r="AJ138" s="500"/>
      <c r="AK138" s="500"/>
      <c r="AL138" s="500"/>
      <c r="AM138" s="500"/>
      <c r="AN138" s="500"/>
      <c r="AO138" s="500"/>
      <c r="AP138" s="500"/>
    </row>
    <row r="139" spans="1:42" ht="16.5" customHeight="1">
      <c r="A139" s="439"/>
      <c r="B139" s="439"/>
      <c r="C139" s="439"/>
      <c r="D139" s="439"/>
      <c r="E139" s="439"/>
      <c r="F139" s="439"/>
      <c r="Z139" s="500"/>
      <c r="AA139" s="500"/>
      <c r="AB139" s="500"/>
      <c r="AC139" s="500"/>
      <c r="AD139" s="500"/>
      <c r="AE139" s="500"/>
      <c r="AF139" s="500"/>
      <c r="AG139" s="500"/>
      <c r="AH139" s="500"/>
      <c r="AI139" s="500"/>
      <c r="AJ139" s="500"/>
      <c r="AK139" s="500"/>
      <c r="AL139" s="500"/>
      <c r="AM139" s="500"/>
      <c r="AN139" s="500"/>
      <c r="AO139" s="500"/>
      <c r="AP139" s="500"/>
    </row>
    <row r="140" spans="1:42" ht="16.5" customHeight="1">
      <c r="A140" s="439"/>
      <c r="B140" s="439"/>
      <c r="C140" s="439"/>
      <c r="D140" s="439"/>
      <c r="E140" s="439"/>
      <c r="F140" s="439"/>
      <c r="Z140" s="500"/>
      <c r="AA140" s="500"/>
      <c r="AB140" s="500"/>
      <c r="AC140" s="500"/>
      <c r="AD140" s="500"/>
      <c r="AE140" s="500"/>
      <c r="AF140" s="500"/>
      <c r="AG140" s="500"/>
      <c r="AH140" s="500"/>
      <c r="AI140" s="500"/>
      <c r="AJ140" s="500"/>
      <c r="AK140" s="500"/>
      <c r="AL140" s="500"/>
      <c r="AM140" s="500"/>
      <c r="AN140" s="500"/>
      <c r="AO140" s="500"/>
      <c r="AP140" s="500"/>
    </row>
    <row r="141" spans="1:42" ht="16.5" customHeight="1">
      <c r="A141" s="439"/>
      <c r="B141" s="439"/>
      <c r="C141" s="439"/>
      <c r="D141" s="439"/>
      <c r="E141" s="439"/>
      <c r="F141" s="439"/>
      <c r="Z141" s="500"/>
      <c r="AA141" s="500"/>
      <c r="AB141" s="500"/>
      <c r="AC141" s="500"/>
      <c r="AD141" s="500"/>
      <c r="AE141" s="500"/>
      <c r="AF141" s="500"/>
      <c r="AG141" s="500"/>
      <c r="AH141" s="500"/>
      <c r="AI141" s="500"/>
      <c r="AJ141" s="500"/>
      <c r="AK141" s="500"/>
      <c r="AL141" s="500"/>
      <c r="AM141" s="500"/>
      <c r="AN141" s="500"/>
      <c r="AO141" s="500"/>
      <c r="AP141" s="500"/>
    </row>
    <row r="142" spans="1:42" ht="16.5" customHeight="1">
      <c r="A142" s="439"/>
      <c r="B142" s="439"/>
      <c r="C142" s="439"/>
      <c r="D142" s="439"/>
      <c r="E142" s="439"/>
      <c r="F142" s="439"/>
      <c r="Z142" s="500"/>
      <c r="AA142" s="500"/>
      <c r="AB142" s="500"/>
      <c r="AC142" s="500"/>
      <c r="AD142" s="500"/>
      <c r="AE142" s="500"/>
      <c r="AF142" s="500"/>
      <c r="AG142" s="500"/>
      <c r="AH142" s="500"/>
      <c r="AI142" s="500"/>
      <c r="AJ142" s="500"/>
      <c r="AK142" s="500"/>
      <c r="AL142" s="500"/>
      <c r="AM142" s="500"/>
      <c r="AN142" s="500"/>
      <c r="AO142" s="500"/>
      <c r="AP142" s="500"/>
    </row>
    <row r="143" spans="1:42" ht="16.5" customHeight="1">
      <c r="A143" s="439"/>
      <c r="B143" s="439"/>
      <c r="C143" s="439"/>
      <c r="D143" s="439"/>
      <c r="E143" s="439"/>
      <c r="F143" s="439"/>
      <c r="Z143" s="500"/>
      <c r="AA143" s="500"/>
      <c r="AB143" s="500"/>
      <c r="AC143" s="500"/>
      <c r="AD143" s="500"/>
      <c r="AE143" s="500"/>
      <c r="AF143" s="500"/>
      <c r="AG143" s="500"/>
      <c r="AH143" s="500"/>
      <c r="AI143" s="500"/>
      <c r="AJ143" s="500"/>
      <c r="AK143" s="500"/>
      <c r="AL143" s="500"/>
      <c r="AM143" s="500"/>
      <c r="AN143" s="500"/>
      <c r="AO143" s="500"/>
      <c r="AP143" s="500"/>
    </row>
    <row r="144" spans="1:42" ht="16.5" customHeight="1">
      <c r="A144" s="439"/>
      <c r="B144" s="439"/>
      <c r="C144" s="439"/>
      <c r="D144" s="439"/>
      <c r="E144" s="439"/>
      <c r="F144" s="439"/>
      <c r="Z144" s="500"/>
      <c r="AA144" s="500"/>
      <c r="AB144" s="500"/>
      <c r="AC144" s="500"/>
      <c r="AD144" s="500"/>
      <c r="AE144" s="500"/>
      <c r="AF144" s="500"/>
      <c r="AG144" s="500"/>
      <c r="AH144" s="500"/>
      <c r="AI144" s="500"/>
      <c r="AJ144" s="500"/>
      <c r="AK144" s="500"/>
      <c r="AL144" s="500"/>
      <c r="AM144" s="500"/>
      <c r="AN144" s="500"/>
      <c r="AO144" s="500"/>
      <c r="AP144" s="500"/>
    </row>
    <row r="145" spans="1:42" ht="16.5" customHeight="1">
      <c r="A145" s="439"/>
      <c r="B145" s="439"/>
      <c r="C145" s="439"/>
      <c r="D145" s="439"/>
      <c r="E145" s="439"/>
      <c r="F145" s="439"/>
      <c r="Z145" s="500"/>
      <c r="AA145" s="500"/>
      <c r="AB145" s="500"/>
      <c r="AC145" s="500"/>
      <c r="AD145" s="500"/>
      <c r="AE145" s="500"/>
      <c r="AF145" s="500"/>
      <c r="AG145" s="500"/>
      <c r="AH145" s="500"/>
      <c r="AI145" s="500"/>
      <c r="AJ145" s="500"/>
      <c r="AK145" s="500"/>
      <c r="AL145" s="500"/>
      <c r="AM145" s="500"/>
      <c r="AN145" s="500"/>
      <c r="AO145" s="500"/>
      <c r="AP145" s="500"/>
    </row>
    <row r="146" spans="1:42" ht="16.5" customHeight="1">
      <c r="A146" s="439"/>
      <c r="B146" s="439"/>
      <c r="C146" s="439"/>
      <c r="D146" s="439"/>
      <c r="E146" s="439"/>
      <c r="F146" s="439"/>
      <c r="Z146" s="500"/>
      <c r="AA146" s="500"/>
      <c r="AB146" s="500"/>
      <c r="AC146" s="500"/>
      <c r="AD146" s="500"/>
      <c r="AE146" s="500"/>
      <c r="AF146" s="500"/>
      <c r="AG146" s="500"/>
      <c r="AH146" s="500"/>
      <c r="AI146" s="500"/>
      <c r="AJ146" s="500"/>
      <c r="AK146" s="500"/>
      <c r="AL146" s="500"/>
      <c r="AM146" s="500"/>
      <c r="AN146" s="500"/>
      <c r="AO146" s="500"/>
      <c r="AP146" s="500"/>
    </row>
    <row r="147" spans="1:42" ht="16.5" customHeight="1">
      <c r="A147" s="439"/>
      <c r="B147" s="439"/>
      <c r="C147" s="439"/>
      <c r="D147" s="439"/>
      <c r="E147" s="439"/>
      <c r="F147" s="439"/>
      <c r="Z147" s="500"/>
      <c r="AA147" s="500"/>
      <c r="AB147" s="500"/>
      <c r="AC147" s="500"/>
      <c r="AD147" s="500"/>
      <c r="AE147" s="500"/>
      <c r="AF147" s="500"/>
      <c r="AG147" s="500"/>
      <c r="AH147" s="500"/>
      <c r="AI147" s="500"/>
      <c r="AJ147" s="500"/>
      <c r="AK147" s="500"/>
      <c r="AL147" s="500"/>
      <c r="AM147" s="500"/>
      <c r="AN147" s="500"/>
      <c r="AO147" s="500"/>
      <c r="AP147" s="500"/>
    </row>
    <row r="148" spans="1:42" ht="16.5" customHeight="1">
      <c r="A148" s="439"/>
      <c r="B148" s="439"/>
      <c r="C148" s="439"/>
      <c r="D148" s="439"/>
      <c r="E148" s="439"/>
      <c r="F148" s="439"/>
      <c r="Z148" s="500"/>
      <c r="AA148" s="500"/>
      <c r="AB148" s="500"/>
      <c r="AC148" s="500"/>
      <c r="AD148" s="500"/>
      <c r="AE148" s="500"/>
      <c r="AF148" s="500"/>
      <c r="AG148" s="500"/>
      <c r="AH148" s="500"/>
      <c r="AI148" s="500"/>
      <c r="AJ148" s="500"/>
      <c r="AK148" s="500"/>
      <c r="AL148" s="500"/>
      <c r="AM148" s="500"/>
      <c r="AN148" s="500"/>
      <c r="AO148" s="500"/>
      <c r="AP148" s="500"/>
    </row>
    <row r="149" spans="1:42" ht="16.5" customHeight="1">
      <c r="A149" s="439"/>
      <c r="B149" s="439"/>
      <c r="C149" s="439"/>
      <c r="D149" s="439"/>
      <c r="E149" s="439"/>
      <c r="F149" s="439"/>
      <c r="Z149" s="500"/>
      <c r="AA149" s="500"/>
      <c r="AB149" s="500"/>
      <c r="AC149" s="500"/>
      <c r="AD149" s="500"/>
      <c r="AE149" s="500"/>
      <c r="AF149" s="500"/>
      <c r="AG149" s="500"/>
      <c r="AH149" s="500"/>
      <c r="AI149" s="500"/>
      <c r="AJ149" s="500"/>
      <c r="AK149" s="500"/>
      <c r="AL149" s="500"/>
      <c r="AM149" s="500"/>
      <c r="AN149" s="500"/>
      <c r="AO149" s="500"/>
      <c r="AP149" s="500"/>
    </row>
    <row r="150" spans="1:42" ht="16.5" customHeight="1">
      <c r="A150" s="439"/>
      <c r="B150" s="439"/>
      <c r="C150" s="439"/>
      <c r="D150" s="439"/>
      <c r="E150" s="439"/>
      <c r="F150" s="439"/>
      <c r="Z150" s="500"/>
      <c r="AA150" s="500"/>
      <c r="AB150" s="500"/>
      <c r="AC150" s="500"/>
      <c r="AD150" s="500"/>
      <c r="AE150" s="500"/>
      <c r="AF150" s="500"/>
      <c r="AG150" s="500"/>
      <c r="AH150" s="500"/>
      <c r="AI150" s="500"/>
      <c r="AJ150" s="500"/>
      <c r="AK150" s="500"/>
      <c r="AL150" s="500"/>
      <c r="AM150" s="500"/>
      <c r="AN150" s="500"/>
      <c r="AO150" s="500"/>
      <c r="AP150" s="500"/>
    </row>
    <row r="151" spans="1:42" ht="16.5" customHeight="1">
      <c r="A151" s="439"/>
      <c r="B151" s="439"/>
      <c r="C151" s="439"/>
      <c r="D151" s="439"/>
      <c r="E151" s="439"/>
      <c r="F151" s="439"/>
      <c r="Z151" s="500"/>
      <c r="AA151" s="500"/>
      <c r="AB151" s="500"/>
      <c r="AC151" s="500"/>
      <c r="AD151" s="500"/>
      <c r="AE151" s="500"/>
      <c r="AF151" s="500"/>
      <c r="AG151" s="500"/>
      <c r="AH151" s="500"/>
      <c r="AI151" s="500"/>
      <c r="AJ151" s="500"/>
      <c r="AK151" s="500"/>
      <c r="AL151" s="500"/>
      <c r="AM151" s="500"/>
      <c r="AN151" s="500"/>
      <c r="AO151" s="500"/>
      <c r="AP151" s="500"/>
    </row>
    <row r="152" spans="1:42" ht="16.5" customHeight="1">
      <c r="A152" s="439"/>
      <c r="B152" s="439"/>
      <c r="C152" s="439"/>
      <c r="D152" s="439"/>
      <c r="E152" s="439"/>
      <c r="F152" s="439"/>
      <c r="Z152" s="500"/>
      <c r="AA152" s="500"/>
      <c r="AB152" s="500"/>
      <c r="AC152" s="500"/>
      <c r="AD152" s="500"/>
      <c r="AE152" s="500"/>
      <c r="AF152" s="500"/>
      <c r="AG152" s="500"/>
      <c r="AH152" s="500"/>
      <c r="AI152" s="500"/>
      <c r="AJ152" s="500"/>
      <c r="AK152" s="500"/>
      <c r="AL152" s="500"/>
      <c r="AM152" s="500"/>
      <c r="AN152" s="500"/>
      <c r="AO152" s="500"/>
      <c r="AP152" s="500"/>
    </row>
    <row r="153" spans="1:42" ht="16.5" customHeight="1">
      <c r="A153" s="497"/>
      <c r="B153" s="497"/>
      <c r="C153" s="497"/>
      <c r="D153" s="497"/>
      <c r="E153" s="497"/>
      <c r="F153" s="497"/>
      <c r="Z153" s="500"/>
      <c r="AA153" s="500"/>
      <c r="AB153" s="500"/>
      <c r="AC153" s="500"/>
      <c r="AD153" s="500"/>
      <c r="AE153" s="500"/>
      <c r="AF153" s="500"/>
      <c r="AG153" s="500"/>
      <c r="AH153" s="500"/>
      <c r="AI153" s="500"/>
      <c r="AJ153" s="500"/>
      <c r="AK153" s="500"/>
      <c r="AL153" s="500"/>
      <c r="AM153" s="500"/>
      <c r="AN153" s="500"/>
      <c r="AO153" s="500"/>
      <c r="AP153" s="500"/>
    </row>
    <row r="154" spans="1:42" ht="16.5" customHeight="1">
      <c r="A154" s="616" t="s">
        <v>3487</v>
      </c>
      <c r="B154" s="605"/>
      <c r="C154" s="446">
        <f>E154+D154+F154</f>
        <v>26887</v>
      </c>
      <c r="D154" s="453">
        <f>ROUNDDOWN(SUMIF(N7:N110,M154,D7:D110),0)</f>
        <v>20935</v>
      </c>
      <c r="E154" s="454">
        <f>ROUNDDOWN(SUMIF(N7:N110,M154,E7:E110),0)</f>
        <v>2818</v>
      </c>
      <c r="F154" s="446">
        <f>ROUNDDOWN(SUMIF(N7:N110,M154,F7:F110),0)</f>
        <v>3134</v>
      </c>
      <c r="M154" s="501" t="s">
        <v>2354</v>
      </c>
      <c r="Z154" s="500"/>
      <c r="AA154" s="500"/>
      <c r="AB154" s="500"/>
      <c r="AC154" s="500"/>
      <c r="AD154" s="500"/>
      <c r="AE154" s="500"/>
      <c r="AF154" s="500"/>
      <c r="AG154" s="500"/>
      <c r="AH154" s="500"/>
      <c r="AI154" s="500"/>
      <c r="AJ154" s="500"/>
      <c r="AK154" s="500"/>
      <c r="AL154" s="500"/>
      <c r="AM154" s="500"/>
      <c r="AN154" s="500"/>
      <c r="AO154" s="500"/>
      <c r="AP154" s="500"/>
    </row>
    <row r="155" spans="1:42" ht="16.5" customHeight="1">
      <c r="A155" s="502"/>
      <c r="B155" s="503" t="s">
        <v>1890</v>
      </c>
      <c r="C155" s="615">
        <f>C204</f>
        <v>3175</v>
      </c>
      <c r="D155" s="615">
        <f>D204</f>
        <v>2925</v>
      </c>
      <c r="E155" s="615">
        <f>E204</f>
        <v>250</v>
      </c>
      <c r="F155" s="615">
        <f>F204</f>
        <v>0</v>
      </c>
      <c r="G155" s="486" t="str">
        <f>HYPERLINK("#G"&amp;ROW(G186),"_x0005_`BDCOD|D01261_x0007_`POSS|"&amp;ROW(G157)&amp;"_x0007_`POSE|"&amp;ROW(G186)&amp;"_x0007_`")</f>
        <v>_x0005_`BDCOD|D01261_x0007_`POSS|157_x0007_`POSE|186_x0007_`</v>
      </c>
      <c r="Z155" s="500"/>
      <c r="AA155" s="500"/>
      <c r="AB155" s="500"/>
      <c r="AC155" s="500"/>
      <c r="AD155" s="500"/>
      <c r="AE155" s="500"/>
      <c r="AF155" s="500"/>
      <c r="AG155" s="500"/>
      <c r="AH155" s="500"/>
      <c r="AI155" s="500"/>
      <c r="AJ155" s="500"/>
      <c r="AK155" s="500"/>
      <c r="AL155" s="500"/>
      <c r="AM155" s="500"/>
      <c r="AN155" s="500"/>
      <c r="AO155" s="500"/>
      <c r="AP155" s="500"/>
    </row>
    <row r="156" spans="1:42" ht="16.5" customHeight="1">
      <c r="A156" s="485"/>
      <c r="B156" s="503" t="s">
        <v>3488</v>
      </c>
      <c r="C156" s="593"/>
      <c r="D156" s="593"/>
      <c r="E156" s="593"/>
      <c r="F156" s="593"/>
      <c r="M156" s="501" t="s">
        <v>1890</v>
      </c>
      <c r="Z156" s="500"/>
      <c r="AA156" s="500"/>
      <c r="AB156" s="500"/>
      <c r="AC156" s="500"/>
      <c r="AD156" s="500"/>
      <c r="AE156" s="500"/>
      <c r="AF156" s="500"/>
      <c r="AG156" s="500"/>
      <c r="AH156" s="500"/>
      <c r="AI156" s="500"/>
      <c r="AJ156" s="500"/>
      <c r="AK156" s="500"/>
      <c r="AL156" s="500"/>
      <c r="AM156" s="500"/>
      <c r="AN156" s="500"/>
      <c r="AO156" s="500"/>
      <c r="AP156" s="500"/>
    </row>
    <row r="157" spans="1:42" ht="16.5" customHeight="1">
      <c r="A157" s="439"/>
      <c r="B157" s="439"/>
      <c r="C157" s="504"/>
      <c r="D157" s="504"/>
      <c r="E157" s="504"/>
      <c r="F157" s="504"/>
      <c r="G157" s="451" t="s">
        <v>3406</v>
      </c>
      <c r="Z157" s="500"/>
      <c r="AA157" s="500"/>
      <c r="AB157" s="500"/>
      <c r="AC157" s="500"/>
      <c r="AD157" s="500"/>
      <c r="AE157" s="500"/>
      <c r="AF157" s="500"/>
      <c r="AG157" s="500"/>
      <c r="AH157" s="500"/>
      <c r="AI157" s="500"/>
      <c r="AJ157" s="500"/>
      <c r="AK157" s="500"/>
      <c r="AL157" s="500"/>
      <c r="AM157" s="500"/>
      <c r="AN157" s="500"/>
      <c r="AO157" s="500"/>
      <c r="AP157" s="500"/>
    </row>
    <row r="158" spans="1:42" ht="16.5" customHeight="1">
      <c r="A158" s="434"/>
      <c r="B158" s="437" t="s">
        <v>3489</v>
      </c>
      <c r="C158" s="439"/>
      <c r="D158" s="439"/>
      <c r="E158" s="439"/>
      <c r="F158" s="439"/>
      <c r="G158" s="451" t="s">
        <v>3490</v>
      </c>
      <c r="Z158" s="500"/>
      <c r="AA158" s="500"/>
      <c r="AB158" s="500"/>
      <c r="AC158" s="500"/>
      <c r="AD158" s="500"/>
      <c r="AE158" s="500"/>
      <c r="AF158" s="500"/>
      <c r="AG158" s="500"/>
      <c r="AH158" s="500"/>
      <c r="AI158" s="500"/>
      <c r="AJ158" s="500"/>
      <c r="AK158" s="500"/>
      <c r="AL158" s="500"/>
      <c r="AM158" s="500"/>
      <c r="AN158" s="500"/>
      <c r="AO158" s="500"/>
      <c r="AP158" s="500"/>
    </row>
    <row r="159" spans="1:42" ht="16.5" customHeight="1">
      <c r="A159" s="439"/>
      <c r="B159" s="439"/>
      <c r="C159" s="439"/>
      <c r="D159" s="439"/>
      <c r="E159" s="439"/>
      <c r="F159" s="439"/>
      <c r="G159" s="451" t="s">
        <v>3406</v>
      </c>
      <c r="Z159" s="500"/>
      <c r="AA159" s="500"/>
      <c r="AB159" s="500"/>
      <c r="AC159" s="500"/>
      <c r="AD159" s="500"/>
      <c r="AE159" s="500"/>
      <c r="AF159" s="500"/>
      <c r="AG159" s="500"/>
      <c r="AH159" s="500"/>
      <c r="AI159" s="500"/>
      <c r="AJ159" s="500"/>
      <c r="AK159" s="500"/>
      <c r="AL159" s="500"/>
      <c r="AM159" s="500"/>
      <c r="AN159" s="500"/>
      <c r="AO159" s="500"/>
      <c r="AP159" s="500"/>
    </row>
    <row r="160" spans="1:42" ht="16.5" customHeight="1">
      <c r="A160" s="434"/>
      <c r="B160" s="437" t="s">
        <v>3491</v>
      </c>
      <c r="C160" s="439"/>
      <c r="D160" s="439"/>
      <c r="E160" s="439"/>
      <c r="F160" s="439"/>
      <c r="G160" s="451" t="s">
        <v>3492</v>
      </c>
      <c r="Z160" s="500"/>
      <c r="AA160" s="500"/>
      <c r="AB160" s="500"/>
      <c r="AC160" s="500"/>
      <c r="AD160" s="500"/>
      <c r="AE160" s="500"/>
      <c r="AF160" s="500"/>
      <c r="AG160" s="500"/>
      <c r="AH160" s="500"/>
      <c r="AI160" s="500"/>
      <c r="AJ160" s="500"/>
      <c r="AK160" s="500"/>
      <c r="AL160" s="500"/>
      <c r="AM160" s="500"/>
      <c r="AN160" s="500"/>
      <c r="AO160" s="500"/>
      <c r="AP160" s="500"/>
    </row>
    <row r="161" spans="1:42" ht="16.5" customHeight="1">
      <c r="A161" s="439"/>
      <c r="B161" s="439"/>
      <c r="C161" s="439"/>
      <c r="D161" s="439"/>
      <c r="E161" s="439"/>
      <c r="F161" s="439"/>
      <c r="G161" s="451" t="s">
        <v>3406</v>
      </c>
      <c r="Z161" s="500"/>
      <c r="AA161" s="500"/>
      <c r="AB161" s="500"/>
      <c r="AC161" s="500"/>
      <c r="AD161" s="500"/>
      <c r="AE161" s="500"/>
      <c r="AF161" s="500"/>
      <c r="AG161" s="500"/>
      <c r="AH161" s="500"/>
      <c r="AI161" s="500"/>
      <c r="AJ161" s="500"/>
      <c r="AK161" s="500"/>
      <c r="AL161" s="500"/>
      <c r="AM161" s="500"/>
      <c r="AN161" s="500"/>
      <c r="AO161" s="500"/>
      <c r="AP161" s="500"/>
    </row>
    <row r="162" spans="1:42" ht="16.5" customHeight="1">
      <c r="A162" s="434"/>
      <c r="B162" s="437" t="str">
        <f>" 일당 작업량 :   Q1 = "&amp;Z162&amp;"  주 "</f>
        <v xml:space="preserve"> 일당 작업량 :   Q1 = 300  주 </v>
      </c>
      <c r="C162" s="439"/>
      <c r="D162" s="439"/>
      <c r="E162" s="439"/>
      <c r="F162" s="439"/>
      <c r="G162" s="451" t="s">
        <v>3493</v>
      </c>
      <c r="Z162" s="515">
        <v>300</v>
      </c>
      <c r="AA162" s="501" t="s">
        <v>3418</v>
      </c>
      <c r="AB162" s="512">
        <f>Z162</f>
        <v>300</v>
      </c>
      <c r="AC162" s="500"/>
      <c r="AD162" s="500"/>
      <c r="AE162" s="500"/>
      <c r="AF162" s="500"/>
      <c r="AG162" s="500"/>
      <c r="AH162" s="500"/>
      <c r="AI162" s="500"/>
      <c r="AJ162" s="500"/>
      <c r="AK162" s="500"/>
      <c r="AL162" s="500"/>
      <c r="AM162" s="500"/>
      <c r="AN162" s="500"/>
      <c r="AO162" s="500"/>
      <c r="AP162" s="500"/>
    </row>
    <row r="163" spans="1:42" ht="16.5" customHeight="1">
      <c r="A163" s="439"/>
      <c r="B163" s="439"/>
      <c r="C163" s="439"/>
      <c r="D163" s="439"/>
      <c r="E163" s="439"/>
      <c r="F163" s="439"/>
      <c r="G163" s="451" t="s">
        <v>3406</v>
      </c>
      <c r="Z163" s="500"/>
      <c r="AA163" s="500"/>
      <c r="AB163" s="500"/>
      <c r="AC163" s="500"/>
      <c r="AD163" s="500"/>
      <c r="AE163" s="500"/>
      <c r="AF163" s="500"/>
      <c r="AG163" s="500"/>
      <c r="AH163" s="500"/>
      <c r="AI163" s="500"/>
      <c r="AJ163" s="500"/>
      <c r="AK163" s="500"/>
      <c r="AL163" s="500"/>
      <c r="AM163" s="500"/>
      <c r="AN163" s="500"/>
      <c r="AO163" s="500"/>
      <c r="AP163" s="500"/>
    </row>
    <row r="164" spans="1:42" ht="16.5" customHeight="1">
      <c r="A164" s="434"/>
      <c r="B164" s="437" t="s">
        <v>3494</v>
      </c>
      <c r="C164" s="439"/>
      <c r="D164" s="439"/>
      <c r="E164" s="439"/>
      <c r="F164" s="439"/>
      <c r="G164" s="451" t="s">
        <v>3495</v>
      </c>
      <c r="Z164" s="500"/>
      <c r="AA164" s="500"/>
      <c r="AB164" s="500"/>
      <c r="AC164" s="500"/>
      <c r="AD164" s="500"/>
      <c r="AE164" s="500"/>
      <c r="AF164" s="500"/>
      <c r="AG164" s="500"/>
      <c r="AH164" s="500"/>
      <c r="AI164" s="500"/>
      <c r="AJ164" s="500"/>
      <c r="AK164" s="500"/>
      <c r="AL164" s="500"/>
      <c r="AM164" s="500"/>
      <c r="AN164" s="500"/>
      <c r="AO164" s="500"/>
      <c r="AP164" s="500"/>
    </row>
    <row r="165" spans="1:42" ht="16.5" customHeight="1">
      <c r="A165" s="439"/>
      <c r="B165" s="439"/>
      <c r="C165" s="439"/>
      <c r="D165" s="439"/>
      <c r="E165" s="439"/>
      <c r="F165" s="439"/>
      <c r="G165" s="451" t="s">
        <v>3406</v>
      </c>
      <c r="Z165" s="500"/>
      <c r="AA165" s="500"/>
      <c r="AB165" s="500"/>
      <c r="AC165" s="500"/>
      <c r="AD165" s="500"/>
      <c r="AE165" s="500"/>
      <c r="AF165" s="500"/>
      <c r="AG165" s="500"/>
      <c r="AH165" s="500"/>
      <c r="AI165" s="500"/>
      <c r="AJ165" s="500"/>
      <c r="AK165" s="500"/>
      <c r="AL165" s="500"/>
      <c r="AM165" s="500"/>
      <c r="AN165" s="500"/>
      <c r="AO165" s="500"/>
      <c r="AP165" s="500"/>
    </row>
    <row r="166" spans="1:42" ht="16.5" customHeight="1">
      <c r="A166" s="439"/>
      <c r="B166" s="439"/>
      <c r="C166" s="439"/>
      <c r="D166" s="439"/>
      <c r="E166" s="439"/>
      <c r="F166" s="439"/>
      <c r="G166" s="451" t="s">
        <v>3406</v>
      </c>
      <c r="Z166" s="500"/>
      <c r="AA166" s="500"/>
      <c r="AB166" s="500"/>
      <c r="AC166" s="500"/>
      <c r="AD166" s="500"/>
      <c r="AE166" s="500"/>
      <c r="AF166" s="500"/>
      <c r="AG166" s="500"/>
      <c r="AH166" s="500"/>
      <c r="AI166" s="500"/>
      <c r="AJ166" s="500"/>
      <c r="AK166" s="500"/>
      <c r="AL166" s="500"/>
      <c r="AM166" s="500"/>
      <c r="AN166" s="500"/>
      <c r="AO166" s="500"/>
      <c r="AP166" s="500"/>
    </row>
    <row r="167" spans="1:42" ht="16.5" customHeight="1">
      <c r="A167" s="439"/>
      <c r="B167" s="439"/>
      <c r="C167" s="439"/>
      <c r="D167" s="439"/>
      <c r="E167" s="439"/>
      <c r="F167" s="439"/>
      <c r="G167" s="451" t="s">
        <v>3406</v>
      </c>
      <c r="Z167" s="500"/>
      <c r="AA167" s="500"/>
      <c r="AB167" s="500"/>
      <c r="AC167" s="500"/>
      <c r="AD167" s="500"/>
      <c r="AE167" s="500"/>
      <c r="AF167" s="500"/>
      <c r="AG167" s="500"/>
      <c r="AH167" s="500"/>
      <c r="AI167" s="500"/>
      <c r="AJ167" s="500"/>
      <c r="AK167" s="500"/>
      <c r="AL167" s="500"/>
      <c r="AM167" s="500"/>
      <c r="AN167" s="500"/>
      <c r="AO167" s="500"/>
      <c r="AP167" s="500"/>
    </row>
    <row r="168" spans="1:42" ht="16.5" customHeight="1">
      <c r="A168" s="439"/>
      <c r="B168" s="439"/>
      <c r="C168" s="439"/>
      <c r="D168" s="439"/>
      <c r="E168" s="439"/>
      <c r="F168" s="439"/>
      <c r="G168" s="451" t="s">
        <v>3406</v>
      </c>
      <c r="Z168" s="500"/>
      <c r="AA168" s="500"/>
      <c r="AB168" s="500"/>
      <c r="AC168" s="500"/>
      <c r="AD168" s="500"/>
      <c r="AE168" s="500"/>
      <c r="AF168" s="500"/>
      <c r="AG168" s="500"/>
      <c r="AH168" s="500"/>
      <c r="AI168" s="500"/>
      <c r="AJ168" s="500"/>
      <c r="AK168" s="500"/>
      <c r="AL168" s="500"/>
      <c r="AM168" s="500"/>
      <c r="AN168" s="500"/>
      <c r="AO168" s="500"/>
      <c r="AP168" s="500"/>
    </row>
    <row r="169" spans="1:42" ht="16.5" customHeight="1">
      <c r="A169" s="434"/>
      <c r="B169" s="437" t="s">
        <v>3496</v>
      </c>
      <c r="C169" s="439"/>
      <c r="D169" s="439"/>
      <c r="E169" s="439"/>
      <c r="F169" s="439"/>
      <c r="G169" s="451" t="s">
        <v>3497</v>
      </c>
      <c r="Z169" s="500"/>
      <c r="AA169" s="500"/>
      <c r="AB169" s="500"/>
      <c r="AC169" s="500"/>
      <c r="AD169" s="500"/>
      <c r="AE169" s="500"/>
      <c r="AF169" s="500"/>
      <c r="AG169" s="500"/>
      <c r="AH169" s="500"/>
      <c r="AI169" s="500"/>
      <c r="AJ169" s="500"/>
      <c r="AK169" s="500"/>
      <c r="AL169" s="500"/>
      <c r="AM169" s="500"/>
      <c r="AN169" s="500"/>
      <c r="AO169" s="500"/>
      <c r="AP169" s="500"/>
    </row>
    <row r="170" spans="1:42" ht="16.5" customHeight="1">
      <c r="A170" s="439"/>
      <c r="B170" s="439"/>
      <c r="C170" s="439"/>
      <c r="D170" s="439"/>
      <c r="E170" s="439"/>
      <c r="F170" s="439"/>
      <c r="G170" s="451" t="s">
        <v>3406</v>
      </c>
      <c r="Z170" s="500"/>
      <c r="AA170" s="500"/>
      <c r="AB170" s="500"/>
      <c r="AC170" s="500"/>
      <c r="AD170" s="500"/>
      <c r="AE170" s="500"/>
      <c r="AF170" s="500"/>
      <c r="AG170" s="500"/>
      <c r="AH170" s="500"/>
      <c r="AI170" s="500"/>
      <c r="AJ170" s="500"/>
      <c r="AK170" s="500"/>
      <c r="AL170" s="500"/>
      <c r="AM170" s="500"/>
      <c r="AN170" s="500"/>
      <c r="AO170" s="500"/>
      <c r="AP170" s="500"/>
    </row>
    <row r="171" spans="1:42" ht="16.5" customHeight="1">
      <c r="A171" s="434" t="s">
        <v>3498</v>
      </c>
      <c r="B171" s="505" t="str">
        <f>" 조경공 :  "&amp;TEXT(I171,"#,##0"&amp;IF(I171&lt;&gt;INT(I171),".###",""))&amp;" * "&amp;AA171&amp;" 인  / Q1 = "&amp;TEXT(C171,"#,##0.0")&amp;""</f>
        <v xml:space="preserve"> 조경공 :  235,204 * 3 인  / Q1 = 2,352.0</v>
      </c>
      <c r="C171" s="506">
        <f>E171+D171+F171</f>
        <v>2352</v>
      </c>
      <c r="D171" s="506">
        <f>IF(H171=0,0,ROUNDDOWN(J171*H171,1))</f>
        <v>2352</v>
      </c>
      <c r="E171" s="506">
        <f>IF(H171=0,0,ROUNDDOWN(K171*H171,1))</f>
        <v>0</v>
      </c>
      <c r="F171" s="506">
        <f>IF(H171=0,0,ROUNDDOWN(L171*H171,1))</f>
        <v>0</v>
      </c>
      <c r="G171" s="451" t="s">
        <v>3499</v>
      </c>
      <c r="H171" s="507">
        <f>ROUNDUP(AE171,14-LEN(ABS(INT(AE171))))</f>
        <v>0.01</v>
      </c>
      <c r="I171" s="508">
        <f>K171+J171+L171</f>
        <v>235204</v>
      </c>
      <c r="J171" s="509">
        <f>노무비목록표!E15</f>
        <v>235204</v>
      </c>
      <c r="M171" s="501" t="s">
        <v>2359</v>
      </c>
      <c r="N171" s="501" t="s">
        <v>3416</v>
      </c>
      <c r="X171" s="510" t="str">
        <f>노무비목록표!B15&amp;" / "&amp;노무비목록표!C15</f>
        <v xml:space="preserve">조경공 / </v>
      </c>
      <c r="Y171" s="433" t="str">
        <f ca="1">HYPERLINK("#"&amp;노무비목록표!G2&amp;"!A"&amp;ROW(노무비목록표!A15),"L00184 →")</f>
        <v>L00184 →</v>
      </c>
      <c r="Z171" s="501" t="s">
        <v>3500</v>
      </c>
      <c r="AA171" s="515">
        <v>3</v>
      </c>
      <c r="AB171" s="501" t="s">
        <v>3428</v>
      </c>
      <c r="AC171" s="512">
        <f>AB162</f>
        <v>300</v>
      </c>
      <c r="AD171" s="501" t="s">
        <v>3418</v>
      </c>
      <c r="AE171" s="512">
        <f>1*AA171/AB162</f>
        <v>0.01</v>
      </c>
      <c r="AF171" s="500"/>
      <c r="AG171" s="500"/>
      <c r="AH171" s="500"/>
      <c r="AI171" s="500"/>
      <c r="AJ171" s="500"/>
      <c r="AK171" s="500"/>
      <c r="AL171" s="500"/>
      <c r="AM171" s="500"/>
      <c r="AN171" s="500"/>
      <c r="AO171" s="500"/>
      <c r="AP171" s="500"/>
    </row>
    <row r="172" spans="1:42" ht="16.5" customHeight="1">
      <c r="A172" s="439"/>
      <c r="B172" s="439"/>
      <c r="C172" s="439"/>
      <c r="D172" s="439"/>
      <c r="E172" s="439"/>
      <c r="F172" s="439"/>
      <c r="G172" s="451" t="s">
        <v>3406</v>
      </c>
      <c r="Z172" s="500"/>
      <c r="AA172" s="500"/>
      <c r="AB172" s="500"/>
      <c r="AC172" s="500"/>
      <c r="AD172" s="500"/>
      <c r="AE172" s="500"/>
      <c r="AF172" s="500"/>
      <c r="AG172" s="500"/>
      <c r="AH172" s="500"/>
      <c r="AI172" s="500"/>
      <c r="AJ172" s="500"/>
      <c r="AK172" s="500"/>
      <c r="AL172" s="500"/>
      <c r="AM172" s="500"/>
      <c r="AN172" s="500"/>
      <c r="AO172" s="500"/>
      <c r="AP172" s="500"/>
    </row>
    <row r="173" spans="1:42" ht="16.5" customHeight="1">
      <c r="A173" s="439"/>
      <c r="B173" s="439"/>
      <c r="C173" s="439"/>
      <c r="D173" s="439"/>
      <c r="E173" s="439"/>
      <c r="F173" s="439"/>
      <c r="G173" s="451" t="s">
        <v>3406</v>
      </c>
      <c r="Z173" s="500"/>
      <c r="AA173" s="500"/>
      <c r="AB173" s="500"/>
      <c r="AC173" s="500"/>
      <c r="AD173" s="500"/>
      <c r="AE173" s="500"/>
      <c r="AF173" s="500"/>
      <c r="AG173" s="500"/>
      <c r="AH173" s="500"/>
      <c r="AI173" s="500"/>
      <c r="AJ173" s="500"/>
      <c r="AK173" s="500"/>
      <c r="AL173" s="500"/>
      <c r="AM173" s="500"/>
      <c r="AN173" s="500"/>
      <c r="AO173" s="500"/>
      <c r="AP173" s="500"/>
    </row>
    <row r="174" spans="1:42" ht="16.5" customHeight="1">
      <c r="A174" s="434" t="s">
        <v>3414</v>
      </c>
      <c r="B174" s="505" t="str">
        <f>" 보통인부 : "&amp;TEXT(I174,"#,##0"&amp;IF(I174&lt;&gt;INT(I174),".###",""))&amp;" * "&amp;AA174&amp;" 인  / Q1 = "&amp;TEXT(C174,"#,##0.0")&amp;""</f>
        <v xml:space="preserve"> 보통인부 : 172,068 * 1 인  / Q1 = 573.5</v>
      </c>
      <c r="C174" s="506">
        <f>E174+D174+F174</f>
        <v>573.5</v>
      </c>
      <c r="D174" s="506">
        <f>IF(H174=0,0,ROUNDDOWN(J174*H174,1))</f>
        <v>573.5</v>
      </c>
      <c r="E174" s="506">
        <f>IF(H174=0,0,ROUNDDOWN(K174*H174,1))</f>
        <v>0</v>
      </c>
      <c r="F174" s="506">
        <f>IF(H174=0,0,ROUNDDOWN(L174*H174,1))</f>
        <v>0</v>
      </c>
      <c r="G174" s="451" t="s">
        <v>3501</v>
      </c>
      <c r="H174" s="507">
        <f>ROUNDUP(AE174,14-LEN(ABS(INT(AE174))))</f>
        <v>3.3333333333999998E-3</v>
      </c>
      <c r="I174" s="508">
        <f>K174+J174+L174</f>
        <v>172068</v>
      </c>
      <c r="J174" s="509">
        <f>노무비목록표!E10</f>
        <v>172068</v>
      </c>
      <c r="M174" s="501" t="s">
        <v>2363</v>
      </c>
      <c r="N174" s="501" t="s">
        <v>3416</v>
      </c>
      <c r="X174" s="510" t="str">
        <f>노무비목록표!B10&amp;" / "&amp;노무비목록표!C10</f>
        <v xml:space="preserve">보통인부 / </v>
      </c>
      <c r="Y174" s="433" t="str">
        <f ca="1">HYPERLINK("#"&amp;노무비목록표!G2&amp;"!A"&amp;ROW(노무비목록표!A10),"L00017 →")</f>
        <v>L00017 →</v>
      </c>
      <c r="Z174" s="501" t="s">
        <v>3500</v>
      </c>
      <c r="AA174" s="515">
        <v>1</v>
      </c>
      <c r="AB174" s="501" t="s">
        <v>3428</v>
      </c>
      <c r="AC174" s="512">
        <f>AB162</f>
        <v>300</v>
      </c>
      <c r="AD174" s="501" t="s">
        <v>3418</v>
      </c>
      <c r="AE174" s="512">
        <f>1*AA174/AB162</f>
        <v>3.3333333333333335E-3</v>
      </c>
      <c r="AF174" s="500"/>
      <c r="AG174" s="500"/>
      <c r="AH174" s="500"/>
      <c r="AI174" s="500"/>
      <c r="AJ174" s="500"/>
      <c r="AK174" s="500"/>
      <c r="AL174" s="500"/>
      <c r="AM174" s="500"/>
      <c r="AN174" s="500"/>
      <c r="AO174" s="500"/>
      <c r="AP174" s="500"/>
    </row>
    <row r="175" spans="1:42" ht="16.5" customHeight="1">
      <c r="A175" s="439"/>
      <c r="B175" s="439"/>
      <c r="C175" s="439"/>
      <c r="D175" s="439"/>
      <c r="E175" s="439"/>
      <c r="F175" s="439"/>
      <c r="G175" s="451" t="s">
        <v>3406</v>
      </c>
      <c r="Z175" s="500"/>
      <c r="AA175" s="500"/>
      <c r="AB175" s="500"/>
      <c r="AC175" s="500"/>
      <c r="AD175" s="500"/>
      <c r="AE175" s="500"/>
      <c r="AF175" s="500"/>
      <c r="AG175" s="500"/>
      <c r="AH175" s="500"/>
      <c r="AI175" s="500"/>
      <c r="AJ175" s="500"/>
      <c r="AK175" s="500"/>
      <c r="AL175" s="500"/>
      <c r="AM175" s="500"/>
      <c r="AN175" s="500"/>
      <c r="AO175" s="500"/>
      <c r="AP175" s="500"/>
    </row>
    <row r="176" spans="1:42" ht="16.5" customHeight="1">
      <c r="A176" s="434"/>
      <c r="B176" s="437" t="s">
        <v>3419</v>
      </c>
      <c r="C176" s="513">
        <f>E176+D176+F176</f>
        <v>2925.5</v>
      </c>
      <c r="D176" s="513">
        <f>SUMIF(N157:N175,M176,D157:D175)</f>
        <v>2925.5</v>
      </c>
      <c r="E176" s="513">
        <f>SUMIF(N157:N175,M176,E157:E175)</f>
        <v>0</v>
      </c>
      <c r="F176" s="513">
        <f>SUMIF(N157:N175,M176,F157:F175)</f>
        <v>0</v>
      </c>
      <c r="G176" s="451" t="s">
        <v>3439</v>
      </c>
      <c r="M176" s="501" t="s">
        <v>3416</v>
      </c>
      <c r="N176" s="501" t="s">
        <v>3421</v>
      </c>
      <c r="Z176" s="500"/>
      <c r="AA176" s="500"/>
      <c r="AB176" s="500"/>
      <c r="AC176" s="500"/>
      <c r="AD176" s="500"/>
      <c r="AE176" s="500"/>
      <c r="AF176" s="500"/>
      <c r="AG176" s="500"/>
      <c r="AH176" s="500"/>
      <c r="AI176" s="500"/>
      <c r="AJ176" s="500"/>
      <c r="AK176" s="500"/>
      <c r="AL176" s="500"/>
      <c r="AM176" s="500"/>
      <c r="AN176" s="500"/>
      <c r="AO176" s="500"/>
      <c r="AP176" s="500"/>
    </row>
    <row r="177" spans="1:42" ht="16.5" customHeight="1">
      <c r="A177" s="439"/>
      <c r="B177" s="439"/>
      <c r="C177" s="504"/>
      <c r="D177" s="504"/>
      <c r="E177" s="504"/>
      <c r="F177" s="504"/>
      <c r="G177" s="451" t="s">
        <v>3406</v>
      </c>
      <c r="Z177" s="500"/>
      <c r="AA177" s="500"/>
      <c r="AB177" s="500"/>
      <c r="AC177" s="500"/>
      <c r="AD177" s="500"/>
      <c r="AE177" s="500"/>
      <c r="AF177" s="500"/>
      <c r="AG177" s="500"/>
      <c r="AH177" s="500"/>
      <c r="AI177" s="500"/>
      <c r="AJ177" s="500"/>
      <c r="AK177" s="500"/>
      <c r="AL177" s="500"/>
      <c r="AM177" s="500"/>
      <c r="AN177" s="500"/>
      <c r="AO177" s="500"/>
      <c r="AP177" s="500"/>
    </row>
    <row r="178" spans="1:42" ht="16.5" customHeight="1">
      <c r="A178" s="439"/>
      <c r="B178" s="439"/>
      <c r="C178" s="439"/>
      <c r="D178" s="439"/>
      <c r="E178" s="439"/>
      <c r="F178" s="439"/>
      <c r="G178" s="451" t="s">
        <v>3406</v>
      </c>
      <c r="Z178" s="500"/>
      <c r="AA178" s="500"/>
      <c r="AB178" s="500"/>
      <c r="AC178" s="500"/>
      <c r="AD178" s="500"/>
      <c r="AE178" s="500"/>
      <c r="AF178" s="500"/>
      <c r="AG178" s="500"/>
      <c r="AH178" s="500"/>
      <c r="AI178" s="500"/>
      <c r="AJ178" s="500"/>
      <c r="AK178" s="500"/>
      <c r="AL178" s="500"/>
      <c r="AM178" s="500"/>
      <c r="AN178" s="500"/>
      <c r="AO178" s="500"/>
      <c r="AP178" s="500"/>
    </row>
    <row r="179" spans="1:42" ht="16.5" customHeight="1">
      <c r="A179" s="434"/>
      <c r="B179" s="437" t="s">
        <v>3502</v>
      </c>
      <c r="C179" s="439"/>
      <c r="D179" s="439"/>
      <c r="E179" s="439"/>
      <c r="F179" s="439"/>
      <c r="G179" s="451" t="s">
        <v>3503</v>
      </c>
      <c r="Z179" s="500"/>
      <c r="AA179" s="500"/>
      <c r="AB179" s="500"/>
      <c r="AC179" s="500"/>
      <c r="AD179" s="500"/>
      <c r="AE179" s="500"/>
      <c r="AF179" s="500"/>
      <c r="AG179" s="500"/>
      <c r="AH179" s="500"/>
      <c r="AI179" s="500"/>
      <c r="AJ179" s="500"/>
      <c r="AK179" s="500"/>
      <c r="AL179" s="500"/>
      <c r="AM179" s="500"/>
      <c r="AN179" s="500"/>
      <c r="AO179" s="500"/>
      <c r="AP179" s="500"/>
    </row>
    <row r="180" spans="1:42" ht="16.5" customHeight="1">
      <c r="A180" s="439"/>
      <c r="B180" s="439"/>
      <c r="C180" s="439"/>
      <c r="D180" s="439"/>
      <c r="E180" s="439"/>
      <c r="F180" s="439"/>
      <c r="G180" s="451" t="s">
        <v>3406</v>
      </c>
      <c r="Z180" s="500"/>
      <c r="AA180" s="500"/>
      <c r="AB180" s="500"/>
      <c r="AC180" s="500"/>
      <c r="AD180" s="500"/>
      <c r="AE180" s="500"/>
      <c r="AF180" s="500"/>
      <c r="AG180" s="500"/>
      <c r="AH180" s="500"/>
      <c r="AI180" s="500"/>
      <c r="AJ180" s="500"/>
      <c r="AK180" s="500"/>
      <c r="AL180" s="500"/>
      <c r="AM180" s="500"/>
      <c r="AN180" s="500"/>
      <c r="AO180" s="500"/>
      <c r="AP180" s="500"/>
    </row>
    <row r="181" spans="1:42" ht="16.5" customHeight="1">
      <c r="A181" s="434" t="s">
        <v>3504</v>
      </c>
      <c r="B181" s="505" t="str">
        <f>"  유기질비료 수목이식·식재용 : "&amp;TEXT(I181,"#,##0"&amp;IF(I181&lt;&gt;INT(I181),".###",""))&amp;" * "&amp;AA181&amp;" KG  / Q1 = "&amp;TEXT(C181,"#,##0.0")&amp;""</f>
        <v xml:space="preserve">  유기질비료 수목이식·식재용 : 500 * 150 KG  / Q1 = 250.0</v>
      </c>
      <c r="C181" s="506">
        <f>E181+D181+F181</f>
        <v>250</v>
      </c>
      <c r="D181" s="506">
        <f>IF(H181=0,0,ROUNDDOWN(J181*H181,1))</f>
        <v>0</v>
      </c>
      <c r="E181" s="506">
        <f>IF(H181=0,0,ROUNDDOWN(K181*H181,1))</f>
        <v>250</v>
      </c>
      <c r="F181" s="506">
        <f>IF(H181=0,0,ROUNDDOWN(L181*H181,1))</f>
        <v>0</v>
      </c>
      <c r="G181" s="451" t="s">
        <v>3505</v>
      </c>
      <c r="H181" s="507">
        <f>ROUNDUP(AE181,14-LEN(ABS(INT(AE181))))</f>
        <v>0.5</v>
      </c>
      <c r="I181" s="508">
        <f>K181+J181+L181</f>
        <v>500</v>
      </c>
      <c r="K181" s="509">
        <f>재료비목록표!E78</f>
        <v>500</v>
      </c>
      <c r="M181" s="501" t="s">
        <v>3506</v>
      </c>
      <c r="N181" s="501" t="s">
        <v>3416</v>
      </c>
      <c r="X181" s="510" t="str">
        <f>재료비목록표!B78&amp;" / "&amp;재료비목록표!C78</f>
        <v>유기질비료 / 수목이식·식재용</v>
      </c>
      <c r="Y181" s="433" t="str">
        <f ca="1">HYPERLINK("#"&amp;재료비목록표!G2&amp;"!A"&amp;ROW(재료비목록표!A78),"M01159 →")</f>
        <v>M01159 →</v>
      </c>
      <c r="Z181" s="501" t="s">
        <v>3500</v>
      </c>
      <c r="AA181" s="515">
        <v>150</v>
      </c>
      <c r="AB181" s="501" t="s">
        <v>3428</v>
      </c>
      <c r="AC181" s="512">
        <f>AB162</f>
        <v>300</v>
      </c>
      <c r="AD181" s="501" t="s">
        <v>3418</v>
      </c>
      <c r="AE181" s="512">
        <f>1*AA181/AB162</f>
        <v>0.5</v>
      </c>
      <c r="AF181" s="500"/>
      <c r="AG181" s="500"/>
      <c r="AH181" s="500"/>
      <c r="AI181" s="500"/>
      <c r="AJ181" s="500"/>
      <c r="AK181" s="500"/>
      <c r="AL181" s="500"/>
      <c r="AM181" s="500"/>
      <c r="AN181" s="500"/>
      <c r="AO181" s="500"/>
      <c r="AP181" s="500"/>
    </row>
    <row r="182" spans="1:42" ht="16.5" customHeight="1">
      <c r="A182" s="439"/>
      <c r="B182" s="439"/>
      <c r="C182" s="439"/>
      <c r="D182" s="439"/>
      <c r="E182" s="439"/>
      <c r="F182" s="439"/>
      <c r="G182" s="451" t="s">
        <v>3406</v>
      </c>
      <c r="Z182" s="500"/>
      <c r="AA182" s="500"/>
      <c r="AB182" s="500"/>
      <c r="AC182" s="500"/>
      <c r="AD182" s="500"/>
      <c r="AE182" s="500"/>
      <c r="AF182" s="500"/>
      <c r="AG182" s="500"/>
      <c r="AH182" s="500"/>
      <c r="AI182" s="500"/>
      <c r="AJ182" s="500"/>
      <c r="AK182" s="500"/>
      <c r="AL182" s="500"/>
      <c r="AM182" s="500"/>
      <c r="AN182" s="500"/>
      <c r="AO182" s="500"/>
      <c r="AP182" s="500"/>
    </row>
    <row r="183" spans="1:42" ht="16.5" customHeight="1">
      <c r="A183" s="434"/>
      <c r="B183" s="437" t="s">
        <v>3419</v>
      </c>
      <c r="C183" s="513">
        <f>E183+D183+F183</f>
        <v>250</v>
      </c>
      <c r="D183" s="513">
        <f>SUMIF(N177:N182,M183,D177:D182)</f>
        <v>0</v>
      </c>
      <c r="E183" s="513">
        <f>SUMIF(N177:N182,M183,E177:E182)</f>
        <v>250</v>
      </c>
      <c r="F183" s="513">
        <f>SUMIF(N177:N182,M183,F177:F182)</f>
        <v>0</v>
      </c>
      <c r="G183" s="451" t="s">
        <v>3439</v>
      </c>
      <c r="M183" s="501" t="s">
        <v>3416</v>
      </c>
      <c r="N183" s="501" t="s">
        <v>3421</v>
      </c>
      <c r="Z183" s="500"/>
      <c r="AA183" s="500"/>
      <c r="AB183" s="500"/>
      <c r="AC183" s="500"/>
      <c r="AD183" s="500"/>
      <c r="AE183" s="500"/>
      <c r="AF183" s="500"/>
      <c r="AG183" s="500"/>
      <c r="AH183" s="500"/>
      <c r="AI183" s="500"/>
      <c r="AJ183" s="500"/>
      <c r="AK183" s="500"/>
      <c r="AL183" s="500"/>
      <c r="AM183" s="500"/>
      <c r="AN183" s="500"/>
      <c r="AO183" s="500"/>
      <c r="AP183" s="500"/>
    </row>
    <row r="184" spans="1:42" ht="16.5" customHeight="1">
      <c r="A184" s="439"/>
      <c r="B184" s="439"/>
      <c r="C184" s="504"/>
      <c r="D184" s="504"/>
      <c r="E184" s="504"/>
      <c r="F184" s="504"/>
      <c r="G184" s="451" t="s">
        <v>3406</v>
      </c>
      <c r="Z184" s="500"/>
      <c r="AA184" s="500"/>
      <c r="AB184" s="500"/>
      <c r="AC184" s="500"/>
      <c r="AD184" s="500"/>
      <c r="AE184" s="500"/>
      <c r="AF184" s="500"/>
      <c r="AG184" s="500"/>
      <c r="AH184" s="500"/>
      <c r="AI184" s="500"/>
      <c r="AJ184" s="500"/>
      <c r="AK184" s="500"/>
      <c r="AL184" s="500"/>
      <c r="AM184" s="500"/>
      <c r="AN184" s="500"/>
      <c r="AO184" s="500"/>
      <c r="AP184" s="500"/>
    </row>
    <row r="185" spans="1:42" ht="16.5" customHeight="1">
      <c r="A185" s="434"/>
      <c r="B185" s="437" t="s">
        <v>3440</v>
      </c>
      <c r="C185" s="513">
        <f>E185+D185+F185</f>
        <v>3175.5</v>
      </c>
      <c r="D185" s="513">
        <f>SUMIF(N157:N184,M185,D157:D184)</f>
        <v>2925.5</v>
      </c>
      <c r="E185" s="513">
        <f>SUMIF(N157:N184,M185,E157:E184)</f>
        <v>250</v>
      </c>
      <c r="F185" s="513">
        <f>SUMIF(N157:N184,M185,F157:F184)</f>
        <v>0</v>
      </c>
      <c r="G185" s="451" t="s">
        <v>3441</v>
      </c>
      <c r="M185" s="501" t="s">
        <v>3421</v>
      </c>
      <c r="N185" s="501" t="s">
        <v>2354</v>
      </c>
      <c r="Z185" s="500"/>
      <c r="AA185" s="500"/>
      <c r="AB185" s="500"/>
      <c r="AC185" s="500"/>
      <c r="AD185" s="500"/>
      <c r="AE185" s="500"/>
      <c r="AF185" s="500"/>
      <c r="AG185" s="500"/>
      <c r="AH185" s="500"/>
      <c r="AI185" s="500"/>
      <c r="AJ185" s="500"/>
      <c r="AK185" s="500"/>
      <c r="AL185" s="500"/>
      <c r="AM185" s="500"/>
      <c r="AN185" s="500"/>
      <c r="AO185" s="500"/>
      <c r="AP185" s="500"/>
    </row>
    <row r="186" spans="1:42" ht="16.5" customHeight="1">
      <c r="A186" s="439"/>
      <c r="B186" s="439"/>
      <c r="C186" s="504"/>
      <c r="D186" s="504"/>
      <c r="E186" s="504"/>
      <c r="F186" s="504"/>
      <c r="G186" s="451" t="s">
        <v>3413</v>
      </c>
      <c r="Z186" s="500"/>
      <c r="AA186" s="500"/>
      <c r="AB186" s="500"/>
      <c r="AC186" s="500"/>
      <c r="AD186" s="500"/>
      <c r="AE186" s="500"/>
      <c r="AF186" s="500"/>
      <c r="AG186" s="500"/>
      <c r="AH186" s="500"/>
      <c r="AI186" s="500"/>
      <c r="AJ186" s="500"/>
      <c r="AK186" s="500"/>
      <c r="AL186" s="500"/>
      <c r="AM186" s="500"/>
      <c r="AN186" s="500"/>
      <c r="AO186" s="500"/>
      <c r="AP186" s="500"/>
    </row>
    <row r="187" spans="1:42" ht="16.5" customHeight="1">
      <c r="A187" s="439"/>
      <c r="B187" s="439"/>
      <c r="C187" s="439"/>
      <c r="D187" s="439"/>
      <c r="E187" s="439"/>
      <c r="F187" s="439"/>
      <c r="Z187" s="500"/>
      <c r="AA187" s="500"/>
      <c r="AB187" s="500"/>
      <c r="AC187" s="500"/>
      <c r="AD187" s="500"/>
      <c r="AE187" s="500"/>
      <c r="AF187" s="500"/>
      <c r="AG187" s="500"/>
      <c r="AH187" s="500"/>
      <c r="AI187" s="500"/>
      <c r="AJ187" s="500"/>
      <c r="AK187" s="500"/>
      <c r="AL187" s="500"/>
      <c r="AM187" s="500"/>
      <c r="AN187" s="500"/>
      <c r="AO187" s="500"/>
      <c r="AP187" s="500"/>
    </row>
    <row r="188" spans="1:42" ht="16.5" customHeight="1">
      <c r="A188" s="439"/>
      <c r="B188" s="439"/>
      <c r="C188" s="439"/>
      <c r="D188" s="439"/>
      <c r="E188" s="439"/>
      <c r="F188" s="439"/>
      <c r="Z188" s="500"/>
      <c r="AA188" s="500"/>
      <c r="AB188" s="500"/>
      <c r="AC188" s="500"/>
      <c r="AD188" s="500"/>
      <c r="AE188" s="500"/>
      <c r="AF188" s="500"/>
      <c r="AG188" s="500"/>
      <c r="AH188" s="500"/>
      <c r="AI188" s="500"/>
      <c r="AJ188" s="500"/>
      <c r="AK188" s="500"/>
      <c r="AL188" s="500"/>
      <c r="AM188" s="500"/>
      <c r="AN188" s="500"/>
      <c r="AO188" s="500"/>
      <c r="AP188" s="500"/>
    </row>
    <row r="189" spans="1:42" ht="16.5" customHeight="1">
      <c r="A189" s="439"/>
      <c r="B189" s="439"/>
      <c r="C189" s="439"/>
      <c r="D189" s="439"/>
      <c r="E189" s="439"/>
      <c r="F189" s="439"/>
      <c r="Z189" s="500"/>
      <c r="AA189" s="500"/>
      <c r="AB189" s="500"/>
      <c r="AC189" s="500"/>
      <c r="AD189" s="500"/>
      <c r="AE189" s="500"/>
      <c r="AF189" s="500"/>
      <c r="AG189" s="500"/>
      <c r="AH189" s="500"/>
      <c r="AI189" s="500"/>
      <c r="AJ189" s="500"/>
      <c r="AK189" s="500"/>
      <c r="AL189" s="500"/>
      <c r="AM189" s="500"/>
      <c r="AN189" s="500"/>
      <c r="AO189" s="500"/>
      <c r="AP189" s="500"/>
    </row>
    <row r="190" spans="1:42" ht="16.5" customHeight="1">
      <c r="A190" s="439"/>
      <c r="B190" s="439"/>
      <c r="C190" s="439"/>
      <c r="D190" s="439"/>
      <c r="E190" s="439"/>
      <c r="F190" s="439"/>
      <c r="Z190" s="500"/>
      <c r="AA190" s="500"/>
      <c r="AB190" s="500"/>
      <c r="AC190" s="500"/>
      <c r="AD190" s="500"/>
      <c r="AE190" s="500"/>
      <c r="AF190" s="500"/>
      <c r="AG190" s="500"/>
      <c r="AH190" s="500"/>
      <c r="AI190" s="500"/>
      <c r="AJ190" s="500"/>
      <c r="AK190" s="500"/>
      <c r="AL190" s="500"/>
      <c r="AM190" s="500"/>
      <c r="AN190" s="500"/>
      <c r="AO190" s="500"/>
      <c r="AP190" s="500"/>
    </row>
    <row r="191" spans="1:42" ht="16.5" customHeight="1">
      <c r="A191" s="439"/>
      <c r="B191" s="439"/>
      <c r="C191" s="439"/>
      <c r="D191" s="439"/>
      <c r="E191" s="439"/>
      <c r="F191" s="439"/>
      <c r="Z191" s="500"/>
      <c r="AA191" s="500"/>
      <c r="AB191" s="500"/>
      <c r="AC191" s="500"/>
      <c r="AD191" s="500"/>
      <c r="AE191" s="500"/>
      <c r="AF191" s="500"/>
      <c r="AG191" s="500"/>
      <c r="AH191" s="500"/>
      <c r="AI191" s="500"/>
      <c r="AJ191" s="500"/>
      <c r="AK191" s="500"/>
      <c r="AL191" s="500"/>
      <c r="AM191" s="500"/>
      <c r="AN191" s="500"/>
      <c r="AO191" s="500"/>
      <c r="AP191" s="500"/>
    </row>
    <row r="192" spans="1:42" ht="16.5" customHeight="1">
      <c r="A192" s="439"/>
      <c r="B192" s="439"/>
      <c r="C192" s="439"/>
      <c r="D192" s="439"/>
      <c r="E192" s="439"/>
      <c r="F192" s="439"/>
      <c r="Z192" s="500"/>
      <c r="AA192" s="500"/>
      <c r="AB192" s="500"/>
      <c r="AC192" s="500"/>
      <c r="AD192" s="500"/>
      <c r="AE192" s="500"/>
      <c r="AF192" s="500"/>
      <c r="AG192" s="500"/>
      <c r="AH192" s="500"/>
      <c r="AI192" s="500"/>
      <c r="AJ192" s="500"/>
      <c r="AK192" s="500"/>
      <c r="AL192" s="500"/>
      <c r="AM192" s="500"/>
      <c r="AN192" s="500"/>
      <c r="AO192" s="500"/>
      <c r="AP192" s="500"/>
    </row>
    <row r="193" spans="1:42" ht="16.5" customHeight="1">
      <c r="A193" s="439"/>
      <c r="B193" s="439"/>
      <c r="C193" s="439"/>
      <c r="D193" s="439"/>
      <c r="E193" s="439"/>
      <c r="F193" s="439"/>
      <c r="Z193" s="500"/>
      <c r="AA193" s="500"/>
      <c r="AB193" s="500"/>
      <c r="AC193" s="500"/>
      <c r="AD193" s="500"/>
      <c r="AE193" s="500"/>
      <c r="AF193" s="500"/>
      <c r="AG193" s="500"/>
      <c r="AH193" s="500"/>
      <c r="AI193" s="500"/>
      <c r="AJ193" s="500"/>
      <c r="AK193" s="500"/>
      <c r="AL193" s="500"/>
      <c r="AM193" s="500"/>
      <c r="AN193" s="500"/>
      <c r="AO193" s="500"/>
      <c r="AP193" s="500"/>
    </row>
    <row r="194" spans="1:42" ht="16.5" customHeight="1">
      <c r="A194" s="439"/>
      <c r="B194" s="439"/>
      <c r="C194" s="439"/>
      <c r="D194" s="439"/>
      <c r="E194" s="439"/>
      <c r="F194" s="439"/>
      <c r="Z194" s="500"/>
      <c r="AA194" s="500"/>
      <c r="AB194" s="500"/>
      <c r="AC194" s="500"/>
      <c r="AD194" s="500"/>
      <c r="AE194" s="500"/>
      <c r="AF194" s="500"/>
      <c r="AG194" s="500"/>
      <c r="AH194" s="500"/>
      <c r="AI194" s="500"/>
      <c r="AJ194" s="500"/>
      <c r="AK194" s="500"/>
      <c r="AL194" s="500"/>
      <c r="AM194" s="500"/>
      <c r="AN194" s="500"/>
      <c r="AO194" s="500"/>
      <c r="AP194" s="500"/>
    </row>
    <row r="195" spans="1:42" ht="16.5" customHeight="1">
      <c r="A195" s="439"/>
      <c r="B195" s="439"/>
      <c r="C195" s="439"/>
      <c r="D195" s="439"/>
      <c r="E195" s="439"/>
      <c r="F195" s="439"/>
      <c r="Z195" s="500"/>
      <c r="AA195" s="500"/>
      <c r="AB195" s="500"/>
      <c r="AC195" s="500"/>
      <c r="AD195" s="500"/>
      <c r="AE195" s="500"/>
      <c r="AF195" s="500"/>
      <c r="AG195" s="500"/>
      <c r="AH195" s="500"/>
      <c r="AI195" s="500"/>
      <c r="AJ195" s="500"/>
      <c r="AK195" s="500"/>
      <c r="AL195" s="500"/>
      <c r="AM195" s="500"/>
      <c r="AN195" s="500"/>
      <c r="AO195" s="500"/>
      <c r="AP195" s="500"/>
    </row>
    <row r="196" spans="1:42" ht="16.5" customHeight="1">
      <c r="A196" s="439"/>
      <c r="B196" s="439"/>
      <c r="C196" s="439"/>
      <c r="D196" s="439"/>
      <c r="E196" s="439"/>
      <c r="F196" s="439"/>
      <c r="Z196" s="500"/>
      <c r="AA196" s="500"/>
      <c r="AB196" s="500"/>
      <c r="AC196" s="500"/>
      <c r="AD196" s="500"/>
      <c r="AE196" s="500"/>
      <c r="AF196" s="500"/>
      <c r="AG196" s="500"/>
      <c r="AH196" s="500"/>
      <c r="AI196" s="500"/>
      <c r="AJ196" s="500"/>
      <c r="AK196" s="500"/>
      <c r="AL196" s="500"/>
      <c r="AM196" s="500"/>
      <c r="AN196" s="500"/>
      <c r="AO196" s="500"/>
      <c r="AP196" s="500"/>
    </row>
    <row r="197" spans="1:42" ht="16.5" customHeight="1">
      <c r="A197" s="439"/>
      <c r="B197" s="439"/>
      <c r="C197" s="439"/>
      <c r="D197" s="439"/>
      <c r="E197" s="439"/>
      <c r="F197" s="439"/>
      <c r="Z197" s="500"/>
      <c r="AA197" s="500"/>
      <c r="AB197" s="500"/>
      <c r="AC197" s="500"/>
      <c r="AD197" s="500"/>
      <c r="AE197" s="500"/>
      <c r="AF197" s="500"/>
      <c r="AG197" s="500"/>
      <c r="AH197" s="500"/>
      <c r="AI197" s="500"/>
      <c r="AJ197" s="500"/>
      <c r="AK197" s="500"/>
      <c r="AL197" s="500"/>
      <c r="AM197" s="500"/>
      <c r="AN197" s="500"/>
      <c r="AO197" s="500"/>
      <c r="AP197" s="500"/>
    </row>
    <row r="198" spans="1:42" ht="16.5" customHeight="1">
      <c r="A198" s="439"/>
      <c r="B198" s="439"/>
      <c r="C198" s="439"/>
      <c r="D198" s="439"/>
      <c r="E198" s="439"/>
      <c r="F198" s="439"/>
      <c r="Z198" s="500"/>
      <c r="AA198" s="500"/>
      <c r="AB198" s="500"/>
      <c r="AC198" s="500"/>
      <c r="AD198" s="500"/>
      <c r="AE198" s="500"/>
      <c r="AF198" s="500"/>
      <c r="AG198" s="500"/>
      <c r="AH198" s="500"/>
      <c r="AI198" s="500"/>
      <c r="AJ198" s="500"/>
      <c r="AK198" s="500"/>
      <c r="AL198" s="500"/>
      <c r="AM198" s="500"/>
      <c r="AN198" s="500"/>
      <c r="AO198" s="500"/>
      <c r="AP198" s="500"/>
    </row>
    <row r="199" spans="1:42" ht="16.5" customHeight="1">
      <c r="A199" s="439"/>
      <c r="B199" s="439"/>
      <c r="C199" s="439"/>
      <c r="D199" s="439"/>
      <c r="E199" s="439"/>
      <c r="F199" s="439"/>
      <c r="Z199" s="500"/>
      <c r="AA199" s="500"/>
      <c r="AB199" s="500"/>
      <c r="AC199" s="500"/>
      <c r="AD199" s="500"/>
      <c r="AE199" s="500"/>
      <c r="AF199" s="500"/>
      <c r="AG199" s="500"/>
      <c r="AH199" s="500"/>
      <c r="AI199" s="500"/>
      <c r="AJ199" s="500"/>
      <c r="AK199" s="500"/>
      <c r="AL199" s="500"/>
      <c r="AM199" s="500"/>
      <c r="AN199" s="500"/>
      <c r="AO199" s="500"/>
      <c r="AP199" s="500"/>
    </row>
    <row r="200" spans="1:42" ht="16.5" customHeight="1">
      <c r="A200" s="439"/>
      <c r="B200" s="439"/>
      <c r="C200" s="439"/>
      <c r="D200" s="439"/>
      <c r="E200" s="439"/>
      <c r="F200" s="439"/>
      <c r="Z200" s="500"/>
      <c r="AA200" s="500"/>
      <c r="AB200" s="500"/>
      <c r="AC200" s="500"/>
      <c r="AD200" s="500"/>
      <c r="AE200" s="500"/>
      <c r="AF200" s="500"/>
      <c r="AG200" s="500"/>
      <c r="AH200" s="500"/>
      <c r="AI200" s="500"/>
      <c r="AJ200" s="500"/>
      <c r="AK200" s="500"/>
      <c r="AL200" s="500"/>
      <c r="AM200" s="500"/>
      <c r="AN200" s="500"/>
      <c r="AO200" s="500"/>
      <c r="AP200" s="500"/>
    </row>
    <row r="201" spans="1:42" ht="16.5" customHeight="1">
      <c r="A201" s="439"/>
      <c r="B201" s="439"/>
      <c r="C201" s="439"/>
      <c r="D201" s="439"/>
      <c r="E201" s="439"/>
      <c r="F201" s="439"/>
      <c r="Z201" s="500"/>
      <c r="AA201" s="500"/>
      <c r="AB201" s="500"/>
      <c r="AC201" s="500"/>
      <c r="AD201" s="500"/>
      <c r="AE201" s="500"/>
      <c r="AF201" s="500"/>
      <c r="AG201" s="500"/>
      <c r="AH201" s="500"/>
      <c r="AI201" s="500"/>
      <c r="AJ201" s="500"/>
      <c r="AK201" s="500"/>
      <c r="AL201" s="500"/>
      <c r="AM201" s="500"/>
      <c r="AN201" s="500"/>
      <c r="AO201" s="500"/>
      <c r="AP201" s="500"/>
    </row>
    <row r="202" spans="1:42" ht="16.5" customHeight="1">
      <c r="A202" s="439"/>
      <c r="B202" s="439"/>
      <c r="C202" s="439"/>
      <c r="D202" s="439"/>
      <c r="E202" s="439"/>
      <c r="F202" s="439"/>
      <c r="Z202" s="500"/>
      <c r="AA202" s="500"/>
      <c r="AB202" s="500"/>
      <c r="AC202" s="500"/>
      <c r="AD202" s="500"/>
      <c r="AE202" s="500"/>
      <c r="AF202" s="500"/>
      <c r="AG202" s="500"/>
      <c r="AH202" s="500"/>
      <c r="AI202" s="500"/>
      <c r="AJ202" s="500"/>
      <c r="AK202" s="500"/>
      <c r="AL202" s="500"/>
      <c r="AM202" s="500"/>
      <c r="AN202" s="500"/>
      <c r="AO202" s="500"/>
      <c r="AP202" s="500"/>
    </row>
    <row r="203" spans="1:42" ht="16.5" customHeight="1">
      <c r="A203" s="497"/>
      <c r="B203" s="497"/>
      <c r="C203" s="497"/>
      <c r="D203" s="497"/>
      <c r="E203" s="497"/>
      <c r="F203" s="497"/>
      <c r="Z203" s="500"/>
      <c r="AA203" s="500"/>
      <c r="AB203" s="500"/>
      <c r="AC203" s="500"/>
      <c r="AD203" s="500"/>
      <c r="AE203" s="500"/>
      <c r="AF203" s="500"/>
      <c r="AG203" s="500"/>
      <c r="AH203" s="500"/>
      <c r="AI203" s="500"/>
      <c r="AJ203" s="500"/>
      <c r="AK203" s="500"/>
      <c r="AL203" s="500"/>
      <c r="AM203" s="500"/>
      <c r="AN203" s="500"/>
      <c r="AO203" s="500"/>
      <c r="AP203" s="500"/>
    </row>
    <row r="204" spans="1:42" ht="16.5" customHeight="1">
      <c r="A204" s="616" t="s">
        <v>3487</v>
      </c>
      <c r="B204" s="605"/>
      <c r="C204" s="446">
        <f>E204+D204+F204</f>
        <v>3175</v>
      </c>
      <c r="D204" s="453">
        <f>ROUNDDOWN(SUMIF(N157:N186,M204,D157:D186),0)</f>
        <v>2925</v>
      </c>
      <c r="E204" s="454">
        <f>ROUNDDOWN(SUMIF(N157:N186,M204,E157:E186),0)</f>
        <v>250</v>
      </c>
      <c r="F204" s="446">
        <f>ROUNDDOWN(SUMIF(N157:N186,M204,F157:F186),0)</f>
        <v>0</v>
      </c>
      <c r="M204" s="501" t="s">
        <v>2354</v>
      </c>
      <c r="Z204" s="500"/>
      <c r="AA204" s="500"/>
      <c r="AB204" s="500"/>
      <c r="AC204" s="500"/>
      <c r="AD204" s="500"/>
      <c r="AE204" s="500"/>
      <c r="AF204" s="500"/>
      <c r="AG204" s="500"/>
      <c r="AH204" s="500"/>
      <c r="AI204" s="500"/>
      <c r="AJ204" s="500"/>
      <c r="AK204" s="500"/>
      <c r="AL204" s="500"/>
      <c r="AM204" s="500"/>
      <c r="AN204" s="500"/>
      <c r="AO204" s="500"/>
      <c r="AP204" s="500"/>
    </row>
    <row r="205" spans="1:42" ht="16.5" customHeight="1">
      <c r="A205" s="502"/>
      <c r="B205" s="503" t="s">
        <v>1887</v>
      </c>
      <c r="C205" s="615">
        <f>C254</f>
        <v>2244</v>
      </c>
      <c r="D205" s="615">
        <f>D254</f>
        <v>1994</v>
      </c>
      <c r="E205" s="615">
        <f>E254</f>
        <v>250</v>
      </c>
      <c r="F205" s="615">
        <f>F254</f>
        <v>0</v>
      </c>
      <c r="G205" s="486" t="str">
        <f>HYPERLINK("#G"&amp;ROW(G236),"_x0005_`BDCOD|D01293_x0007_`POSS|"&amp;ROW(G207)&amp;"_x0007_`POSE|"&amp;ROW(G236)&amp;"_x0007_`")</f>
        <v>_x0005_`BDCOD|D01293_x0007_`POSS|207_x0007_`POSE|236_x0007_`</v>
      </c>
      <c r="Z205" s="500"/>
      <c r="AA205" s="500"/>
      <c r="AB205" s="500"/>
      <c r="AC205" s="500"/>
      <c r="AD205" s="500"/>
      <c r="AE205" s="500"/>
      <c r="AF205" s="500"/>
      <c r="AG205" s="500"/>
      <c r="AH205" s="500"/>
      <c r="AI205" s="500"/>
      <c r="AJ205" s="500"/>
      <c r="AK205" s="500"/>
      <c r="AL205" s="500"/>
      <c r="AM205" s="500"/>
      <c r="AN205" s="500"/>
      <c r="AO205" s="500"/>
      <c r="AP205" s="500"/>
    </row>
    <row r="206" spans="1:42" ht="16.5" customHeight="1">
      <c r="A206" s="485"/>
      <c r="B206" s="503" t="s">
        <v>3507</v>
      </c>
      <c r="C206" s="593"/>
      <c r="D206" s="593"/>
      <c r="E206" s="593"/>
      <c r="F206" s="593"/>
      <c r="M206" s="501" t="s">
        <v>1887</v>
      </c>
      <c r="Z206" s="500"/>
      <c r="AA206" s="500"/>
      <c r="AB206" s="500"/>
      <c r="AC206" s="500"/>
      <c r="AD206" s="500"/>
      <c r="AE206" s="500"/>
      <c r="AF206" s="500"/>
      <c r="AG206" s="500"/>
      <c r="AH206" s="500"/>
      <c r="AI206" s="500"/>
      <c r="AJ206" s="500"/>
      <c r="AK206" s="500"/>
      <c r="AL206" s="500"/>
      <c r="AM206" s="500"/>
      <c r="AN206" s="500"/>
      <c r="AO206" s="500"/>
      <c r="AP206" s="500"/>
    </row>
    <row r="207" spans="1:42" ht="16.5" customHeight="1">
      <c r="A207" s="439"/>
      <c r="B207" s="439"/>
      <c r="C207" s="504"/>
      <c r="D207" s="504"/>
      <c r="E207" s="504"/>
      <c r="F207" s="504"/>
      <c r="G207" s="451" t="s">
        <v>3406</v>
      </c>
      <c r="Z207" s="500"/>
      <c r="AA207" s="500"/>
      <c r="AB207" s="500"/>
      <c r="AC207" s="500"/>
      <c r="AD207" s="500"/>
      <c r="AE207" s="500"/>
      <c r="AF207" s="500"/>
      <c r="AG207" s="500"/>
      <c r="AH207" s="500"/>
      <c r="AI207" s="500"/>
      <c r="AJ207" s="500"/>
      <c r="AK207" s="500"/>
      <c r="AL207" s="500"/>
      <c r="AM207" s="500"/>
      <c r="AN207" s="500"/>
      <c r="AO207" s="500"/>
      <c r="AP207" s="500"/>
    </row>
    <row r="208" spans="1:42" ht="16.5" customHeight="1">
      <c r="A208" s="434"/>
      <c r="B208" s="437" t="s">
        <v>3508</v>
      </c>
      <c r="C208" s="439"/>
      <c r="D208" s="439"/>
      <c r="E208" s="439"/>
      <c r="F208" s="439"/>
      <c r="G208" s="451" t="s">
        <v>3509</v>
      </c>
      <c r="Z208" s="500"/>
      <c r="AA208" s="500"/>
      <c r="AB208" s="500"/>
      <c r="AC208" s="500"/>
      <c r="AD208" s="500"/>
      <c r="AE208" s="500"/>
      <c r="AF208" s="500"/>
      <c r="AG208" s="500"/>
      <c r="AH208" s="500"/>
      <c r="AI208" s="500"/>
      <c r="AJ208" s="500"/>
      <c r="AK208" s="500"/>
      <c r="AL208" s="500"/>
      <c r="AM208" s="500"/>
      <c r="AN208" s="500"/>
      <c r="AO208" s="500"/>
      <c r="AP208" s="500"/>
    </row>
    <row r="209" spans="1:42" ht="16.5" customHeight="1">
      <c r="A209" s="439"/>
      <c r="B209" s="439"/>
      <c r="C209" s="439"/>
      <c r="D209" s="439"/>
      <c r="E209" s="439"/>
      <c r="F209" s="439"/>
      <c r="G209" s="451" t="s">
        <v>3406</v>
      </c>
      <c r="Z209" s="500"/>
      <c r="AA209" s="500"/>
      <c r="AB209" s="500"/>
      <c r="AC209" s="500"/>
      <c r="AD209" s="500"/>
      <c r="AE209" s="500"/>
      <c r="AF209" s="500"/>
      <c r="AG209" s="500"/>
      <c r="AH209" s="500"/>
      <c r="AI209" s="500"/>
      <c r="AJ209" s="500"/>
      <c r="AK209" s="500"/>
      <c r="AL209" s="500"/>
      <c r="AM209" s="500"/>
      <c r="AN209" s="500"/>
      <c r="AO209" s="500"/>
      <c r="AP209" s="500"/>
    </row>
    <row r="210" spans="1:42" ht="16.5" customHeight="1">
      <c r="A210" s="434"/>
      <c r="B210" s="437" t="s">
        <v>3491</v>
      </c>
      <c r="C210" s="439"/>
      <c r="D210" s="439"/>
      <c r="E210" s="439"/>
      <c r="F210" s="439"/>
      <c r="G210" s="451" t="s">
        <v>3492</v>
      </c>
      <c r="Z210" s="500"/>
      <c r="AA210" s="500"/>
      <c r="AB210" s="500"/>
      <c r="AC210" s="500"/>
      <c r="AD210" s="500"/>
      <c r="AE210" s="500"/>
      <c r="AF210" s="500"/>
      <c r="AG210" s="500"/>
      <c r="AH210" s="500"/>
      <c r="AI210" s="500"/>
      <c r="AJ210" s="500"/>
      <c r="AK210" s="500"/>
      <c r="AL210" s="500"/>
      <c r="AM210" s="500"/>
      <c r="AN210" s="500"/>
      <c r="AO210" s="500"/>
      <c r="AP210" s="500"/>
    </row>
    <row r="211" spans="1:42" ht="16.5" customHeight="1">
      <c r="A211" s="439"/>
      <c r="B211" s="439"/>
      <c r="C211" s="439"/>
      <c r="D211" s="439"/>
      <c r="E211" s="439"/>
      <c r="F211" s="439"/>
      <c r="G211" s="451" t="s">
        <v>3406</v>
      </c>
      <c r="Z211" s="500"/>
      <c r="AA211" s="500"/>
      <c r="AB211" s="500"/>
      <c r="AC211" s="500"/>
      <c r="AD211" s="500"/>
      <c r="AE211" s="500"/>
      <c r="AF211" s="500"/>
      <c r="AG211" s="500"/>
      <c r="AH211" s="500"/>
      <c r="AI211" s="500"/>
      <c r="AJ211" s="500"/>
      <c r="AK211" s="500"/>
      <c r="AL211" s="500"/>
      <c r="AM211" s="500"/>
      <c r="AN211" s="500"/>
      <c r="AO211" s="500"/>
      <c r="AP211" s="500"/>
    </row>
    <row r="212" spans="1:42" ht="16.5" customHeight="1">
      <c r="A212" s="434"/>
      <c r="B212" s="437" t="str">
        <f>" 일당 작업량 :   Q1 = "&amp;Z212&amp;"  주 "</f>
        <v xml:space="preserve"> 일당 작업량 :   Q1 = 440  주 </v>
      </c>
      <c r="C212" s="439"/>
      <c r="D212" s="439"/>
      <c r="E212" s="439"/>
      <c r="F212" s="439"/>
      <c r="G212" s="451" t="s">
        <v>3510</v>
      </c>
      <c r="Z212" s="515">
        <v>440</v>
      </c>
      <c r="AA212" s="501" t="s">
        <v>3418</v>
      </c>
      <c r="AB212" s="512">
        <f>Z212</f>
        <v>440</v>
      </c>
      <c r="AC212" s="500"/>
      <c r="AD212" s="500"/>
      <c r="AE212" s="500"/>
      <c r="AF212" s="500"/>
      <c r="AG212" s="500"/>
      <c r="AH212" s="500"/>
      <c r="AI212" s="500"/>
      <c r="AJ212" s="500"/>
      <c r="AK212" s="500"/>
      <c r="AL212" s="500"/>
      <c r="AM212" s="500"/>
      <c r="AN212" s="500"/>
      <c r="AO212" s="500"/>
      <c r="AP212" s="500"/>
    </row>
    <row r="213" spans="1:42" ht="16.5" customHeight="1">
      <c r="A213" s="439"/>
      <c r="B213" s="439"/>
      <c r="C213" s="439"/>
      <c r="D213" s="439"/>
      <c r="E213" s="439"/>
      <c r="F213" s="439"/>
      <c r="G213" s="451" t="s">
        <v>3406</v>
      </c>
      <c r="Z213" s="500"/>
      <c r="AA213" s="500"/>
      <c r="AB213" s="500"/>
      <c r="AC213" s="500"/>
      <c r="AD213" s="500"/>
      <c r="AE213" s="500"/>
      <c r="AF213" s="500"/>
      <c r="AG213" s="500"/>
      <c r="AH213" s="500"/>
      <c r="AI213" s="500"/>
      <c r="AJ213" s="500"/>
      <c r="AK213" s="500"/>
      <c r="AL213" s="500"/>
      <c r="AM213" s="500"/>
      <c r="AN213" s="500"/>
      <c r="AO213" s="500"/>
      <c r="AP213" s="500"/>
    </row>
    <row r="214" spans="1:42" ht="16.5" customHeight="1">
      <c r="A214" s="434"/>
      <c r="B214" s="437" t="s">
        <v>3494</v>
      </c>
      <c r="C214" s="439"/>
      <c r="D214" s="439"/>
      <c r="E214" s="439"/>
      <c r="F214" s="439"/>
      <c r="G214" s="451" t="s">
        <v>3495</v>
      </c>
      <c r="Z214" s="500"/>
      <c r="AA214" s="500"/>
      <c r="AB214" s="500"/>
      <c r="AC214" s="500"/>
      <c r="AD214" s="500"/>
      <c r="AE214" s="500"/>
      <c r="AF214" s="500"/>
      <c r="AG214" s="500"/>
      <c r="AH214" s="500"/>
      <c r="AI214" s="500"/>
      <c r="AJ214" s="500"/>
      <c r="AK214" s="500"/>
      <c r="AL214" s="500"/>
      <c r="AM214" s="500"/>
      <c r="AN214" s="500"/>
      <c r="AO214" s="500"/>
      <c r="AP214" s="500"/>
    </row>
    <row r="215" spans="1:42" ht="16.5" customHeight="1">
      <c r="A215" s="439"/>
      <c r="B215" s="439"/>
      <c r="C215" s="439"/>
      <c r="D215" s="439"/>
      <c r="E215" s="439"/>
      <c r="F215" s="439"/>
      <c r="G215" s="451" t="s">
        <v>3406</v>
      </c>
      <c r="Z215" s="500"/>
      <c r="AA215" s="500"/>
      <c r="AB215" s="500"/>
      <c r="AC215" s="500"/>
      <c r="AD215" s="500"/>
      <c r="AE215" s="500"/>
      <c r="AF215" s="500"/>
      <c r="AG215" s="500"/>
      <c r="AH215" s="500"/>
      <c r="AI215" s="500"/>
      <c r="AJ215" s="500"/>
      <c r="AK215" s="500"/>
      <c r="AL215" s="500"/>
      <c r="AM215" s="500"/>
      <c r="AN215" s="500"/>
      <c r="AO215" s="500"/>
      <c r="AP215" s="500"/>
    </row>
    <row r="216" spans="1:42" ht="16.5" customHeight="1">
      <c r="A216" s="439"/>
      <c r="B216" s="439"/>
      <c r="C216" s="439"/>
      <c r="D216" s="439"/>
      <c r="E216" s="439"/>
      <c r="F216" s="439"/>
      <c r="G216" s="451" t="s">
        <v>3406</v>
      </c>
      <c r="Z216" s="500"/>
      <c r="AA216" s="500"/>
      <c r="AB216" s="500"/>
      <c r="AC216" s="500"/>
      <c r="AD216" s="500"/>
      <c r="AE216" s="500"/>
      <c r="AF216" s="500"/>
      <c r="AG216" s="500"/>
      <c r="AH216" s="500"/>
      <c r="AI216" s="500"/>
      <c r="AJ216" s="500"/>
      <c r="AK216" s="500"/>
      <c r="AL216" s="500"/>
      <c r="AM216" s="500"/>
      <c r="AN216" s="500"/>
      <c r="AO216" s="500"/>
      <c r="AP216" s="500"/>
    </row>
    <row r="217" spans="1:42" ht="16.5" customHeight="1">
      <c r="A217" s="439"/>
      <c r="B217" s="439"/>
      <c r="C217" s="439"/>
      <c r="D217" s="439"/>
      <c r="E217" s="439"/>
      <c r="F217" s="439"/>
      <c r="G217" s="451" t="s">
        <v>3406</v>
      </c>
      <c r="Z217" s="500"/>
      <c r="AA217" s="500"/>
      <c r="AB217" s="500"/>
      <c r="AC217" s="500"/>
      <c r="AD217" s="500"/>
      <c r="AE217" s="500"/>
      <c r="AF217" s="500"/>
      <c r="AG217" s="500"/>
      <c r="AH217" s="500"/>
      <c r="AI217" s="500"/>
      <c r="AJ217" s="500"/>
      <c r="AK217" s="500"/>
      <c r="AL217" s="500"/>
      <c r="AM217" s="500"/>
      <c r="AN217" s="500"/>
      <c r="AO217" s="500"/>
      <c r="AP217" s="500"/>
    </row>
    <row r="218" spans="1:42" ht="16.5" customHeight="1">
      <c r="A218" s="439"/>
      <c r="B218" s="439"/>
      <c r="C218" s="439"/>
      <c r="D218" s="439"/>
      <c r="E218" s="439"/>
      <c r="F218" s="439"/>
      <c r="G218" s="451" t="s">
        <v>3406</v>
      </c>
      <c r="Z218" s="500"/>
      <c r="AA218" s="500"/>
      <c r="AB218" s="500"/>
      <c r="AC218" s="500"/>
      <c r="AD218" s="500"/>
      <c r="AE218" s="500"/>
      <c r="AF218" s="500"/>
      <c r="AG218" s="500"/>
      <c r="AH218" s="500"/>
      <c r="AI218" s="500"/>
      <c r="AJ218" s="500"/>
      <c r="AK218" s="500"/>
      <c r="AL218" s="500"/>
      <c r="AM218" s="500"/>
      <c r="AN218" s="500"/>
      <c r="AO218" s="500"/>
      <c r="AP218" s="500"/>
    </row>
    <row r="219" spans="1:42" ht="16.5" customHeight="1">
      <c r="A219" s="434"/>
      <c r="B219" s="437" t="s">
        <v>3496</v>
      </c>
      <c r="C219" s="439"/>
      <c r="D219" s="439"/>
      <c r="E219" s="439"/>
      <c r="F219" s="439"/>
      <c r="G219" s="451" t="s">
        <v>3497</v>
      </c>
      <c r="Z219" s="500"/>
      <c r="AA219" s="500"/>
      <c r="AB219" s="500"/>
      <c r="AC219" s="500"/>
      <c r="AD219" s="500"/>
      <c r="AE219" s="500"/>
      <c r="AF219" s="500"/>
      <c r="AG219" s="500"/>
      <c r="AH219" s="500"/>
      <c r="AI219" s="500"/>
      <c r="AJ219" s="500"/>
      <c r="AK219" s="500"/>
      <c r="AL219" s="500"/>
      <c r="AM219" s="500"/>
      <c r="AN219" s="500"/>
      <c r="AO219" s="500"/>
      <c r="AP219" s="500"/>
    </row>
    <row r="220" spans="1:42" ht="16.5" customHeight="1">
      <c r="A220" s="439"/>
      <c r="B220" s="439"/>
      <c r="C220" s="439"/>
      <c r="D220" s="439"/>
      <c r="E220" s="439"/>
      <c r="F220" s="439"/>
      <c r="G220" s="451" t="s">
        <v>3406</v>
      </c>
      <c r="Z220" s="500"/>
      <c r="AA220" s="500"/>
      <c r="AB220" s="500"/>
      <c r="AC220" s="500"/>
      <c r="AD220" s="500"/>
      <c r="AE220" s="500"/>
      <c r="AF220" s="500"/>
      <c r="AG220" s="500"/>
      <c r="AH220" s="500"/>
      <c r="AI220" s="500"/>
      <c r="AJ220" s="500"/>
      <c r="AK220" s="500"/>
      <c r="AL220" s="500"/>
      <c r="AM220" s="500"/>
      <c r="AN220" s="500"/>
      <c r="AO220" s="500"/>
      <c r="AP220" s="500"/>
    </row>
    <row r="221" spans="1:42" ht="16.5" customHeight="1">
      <c r="A221" s="434" t="s">
        <v>3498</v>
      </c>
      <c r="B221" s="505" t="str">
        <f>" 조경공 :  "&amp;TEXT(I221,"#,##0"&amp;IF(I221&lt;&gt;INT(I221),".###",""))&amp;" * "&amp;AA221&amp;" 인  / Q1 = "&amp;TEXT(C221,"#,##0.0")&amp;""</f>
        <v xml:space="preserve"> 조경공 :  235,204 * 3 인  / Q1 = 1,603.6</v>
      </c>
      <c r="C221" s="506">
        <f>E221+D221+F221</f>
        <v>1603.6</v>
      </c>
      <c r="D221" s="506">
        <f>IF(H221=0,0,ROUNDDOWN(J221*H221,1))</f>
        <v>1603.6</v>
      </c>
      <c r="E221" s="506">
        <f>IF(H221=0,0,ROUNDDOWN(K221*H221,1))</f>
        <v>0</v>
      </c>
      <c r="F221" s="506">
        <f>IF(H221=0,0,ROUNDDOWN(L221*H221,1))</f>
        <v>0</v>
      </c>
      <c r="G221" s="451" t="s">
        <v>3499</v>
      </c>
      <c r="H221" s="507">
        <f>ROUNDUP(AE221,14-LEN(ABS(INT(AE221))))</f>
        <v>6.8181818181999995E-3</v>
      </c>
      <c r="I221" s="508">
        <f>K221+J221+L221</f>
        <v>235204</v>
      </c>
      <c r="J221" s="509">
        <f>노무비목록표!E15</f>
        <v>235204</v>
      </c>
      <c r="M221" s="501" t="s">
        <v>2359</v>
      </c>
      <c r="N221" s="501" t="s">
        <v>3416</v>
      </c>
      <c r="X221" s="510" t="str">
        <f>노무비목록표!B15&amp;" / "&amp;노무비목록표!C15</f>
        <v xml:space="preserve">조경공 / </v>
      </c>
      <c r="Y221" s="433" t="str">
        <f ca="1">HYPERLINK("#"&amp;노무비목록표!G2&amp;"!A"&amp;ROW(노무비목록표!A15),"L00184 →")</f>
        <v>L00184 →</v>
      </c>
      <c r="Z221" s="501" t="s">
        <v>3500</v>
      </c>
      <c r="AA221" s="515">
        <v>3</v>
      </c>
      <c r="AB221" s="501" t="s">
        <v>3428</v>
      </c>
      <c r="AC221" s="512">
        <f>AB212</f>
        <v>440</v>
      </c>
      <c r="AD221" s="501" t="s">
        <v>3418</v>
      </c>
      <c r="AE221" s="512">
        <f>1*AA221/AB212</f>
        <v>6.8181818181818179E-3</v>
      </c>
      <c r="AF221" s="500"/>
      <c r="AG221" s="500"/>
      <c r="AH221" s="500"/>
      <c r="AI221" s="500"/>
      <c r="AJ221" s="500"/>
      <c r="AK221" s="500"/>
      <c r="AL221" s="500"/>
      <c r="AM221" s="500"/>
      <c r="AN221" s="500"/>
      <c r="AO221" s="500"/>
      <c r="AP221" s="500"/>
    </row>
    <row r="222" spans="1:42" ht="16.5" customHeight="1">
      <c r="A222" s="439"/>
      <c r="B222" s="439"/>
      <c r="C222" s="439"/>
      <c r="D222" s="439"/>
      <c r="E222" s="439"/>
      <c r="F222" s="439"/>
      <c r="G222" s="451" t="s">
        <v>3406</v>
      </c>
      <c r="Z222" s="500"/>
      <c r="AA222" s="500"/>
      <c r="AB222" s="500"/>
      <c r="AC222" s="500"/>
      <c r="AD222" s="500"/>
      <c r="AE222" s="500"/>
      <c r="AF222" s="500"/>
      <c r="AG222" s="500"/>
      <c r="AH222" s="500"/>
      <c r="AI222" s="500"/>
      <c r="AJ222" s="500"/>
      <c r="AK222" s="500"/>
      <c r="AL222" s="500"/>
      <c r="AM222" s="500"/>
      <c r="AN222" s="500"/>
      <c r="AO222" s="500"/>
      <c r="AP222" s="500"/>
    </row>
    <row r="223" spans="1:42" ht="16.5" customHeight="1">
      <c r="A223" s="439"/>
      <c r="B223" s="439"/>
      <c r="C223" s="439"/>
      <c r="D223" s="439"/>
      <c r="E223" s="439"/>
      <c r="F223" s="439"/>
      <c r="G223" s="451" t="s">
        <v>3406</v>
      </c>
      <c r="Z223" s="500"/>
      <c r="AA223" s="500"/>
      <c r="AB223" s="500"/>
      <c r="AC223" s="500"/>
      <c r="AD223" s="500"/>
      <c r="AE223" s="500"/>
      <c r="AF223" s="500"/>
      <c r="AG223" s="500"/>
      <c r="AH223" s="500"/>
      <c r="AI223" s="500"/>
      <c r="AJ223" s="500"/>
      <c r="AK223" s="500"/>
      <c r="AL223" s="500"/>
      <c r="AM223" s="500"/>
      <c r="AN223" s="500"/>
      <c r="AO223" s="500"/>
      <c r="AP223" s="500"/>
    </row>
    <row r="224" spans="1:42" ht="16.5" customHeight="1">
      <c r="A224" s="434" t="s">
        <v>3414</v>
      </c>
      <c r="B224" s="505" t="str">
        <f>" 보통인부 : "&amp;TEXT(I224,"#,##0"&amp;IF(I224&lt;&gt;INT(I224),".###",""))&amp;" * "&amp;AA224&amp;" 인  / Q1 = "&amp;TEXT(C224,"#,##0.0")&amp;""</f>
        <v xml:space="preserve"> 보통인부 : 172,068 * 1 인  / Q1 = 391.0</v>
      </c>
      <c r="C224" s="506">
        <f>E224+D224+F224</f>
        <v>391</v>
      </c>
      <c r="D224" s="506">
        <f>IF(H224=0,0,ROUNDDOWN(J224*H224,1))</f>
        <v>391</v>
      </c>
      <c r="E224" s="506">
        <f>IF(H224=0,0,ROUNDDOWN(K224*H224,1))</f>
        <v>0</v>
      </c>
      <c r="F224" s="506">
        <f>IF(H224=0,0,ROUNDDOWN(L224*H224,1))</f>
        <v>0</v>
      </c>
      <c r="G224" s="451" t="s">
        <v>3501</v>
      </c>
      <c r="H224" s="507">
        <f>ROUNDUP(AE224,14-LEN(ABS(INT(AE224))))</f>
        <v>2.2727272728E-3</v>
      </c>
      <c r="I224" s="508">
        <f>K224+J224+L224</f>
        <v>172068</v>
      </c>
      <c r="J224" s="509">
        <f>노무비목록표!E10</f>
        <v>172068</v>
      </c>
      <c r="M224" s="501" t="s">
        <v>2363</v>
      </c>
      <c r="N224" s="501" t="s">
        <v>3416</v>
      </c>
      <c r="X224" s="510" t="str">
        <f>노무비목록표!B10&amp;" / "&amp;노무비목록표!C10</f>
        <v xml:space="preserve">보통인부 / </v>
      </c>
      <c r="Y224" s="433" t="str">
        <f ca="1">HYPERLINK("#"&amp;노무비목록표!G2&amp;"!A"&amp;ROW(노무비목록표!A10),"L00017 →")</f>
        <v>L00017 →</v>
      </c>
      <c r="Z224" s="501" t="s">
        <v>3500</v>
      </c>
      <c r="AA224" s="515">
        <v>1</v>
      </c>
      <c r="AB224" s="501" t="s">
        <v>3428</v>
      </c>
      <c r="AC224" s="512">
        <f>AB212</f>
        <v>440</v>
      </c>
      <c r="AD224" s="501" t="s">
        <v>3418</v>
      </c>
      <c r="AE224" s="512">
        <f>1*AA224/AB212</f>
        <v>2.2727272727272726E-3</v>
      </c>
      <c r="AF224" s="500"/>
      <c r="AG224" s="500"/>
      <c r="AH224" s="500"/>
      <c r="AI224" s="500"/>
      <c r="AJ224" s="500"/>
      <c r="AK224" s="500"/>
      <c r="AL224" s="500"/>
      <c r="AM224" s="500"/>
      <c r="AN224" s="500"/>
      <c r="AO224" s="500"/>
      <c r="AP224" s="500"/>
    </row>
    <row r="225" spans="1:42" ht="16.5" customHeight="1">
      <c r="A225" s="439"/>
      <c r="B225" s="439"/>
      <c r="C225" s="439"/>
      <c r="D225" s="439"/>
      <c r="E225" s="439"/>
      <c r="F225" s="439"/>
      <c r="G225" s="451" t="s">
        <v>3406</v>
      </c>
      <c r="Z225" s="500"/>
      <c r="AA225" s="500"/>
      <c r="AB225" s="500"/>
      <c r="AC225" s="500"/>
      <c r="AD225" s="500"/>
      <c r="AE225" s="500"/>
      <c r="AF225" s="500"/>
      <c r="AG225" s="500"/>
      <c r="AH225" s="500"/>
      <c r="AI225" s="500"/>
      <c r="AJ225" s="500"/>
      <c r="AK225" s="500"/>
      <c r="AL225" s="500"/>
      <c r="AM225" s="500"/>
      <c r="AN225" s="500"/>
      <c r="AO225" s="500"/>
      <c r="AP225" s="500"/>
    </row>
    <row r="226" spans="1:42" ht="16.5" customHeight="1">
      <c r="A226" s="434"/>
      <c r="B226" s="437" t="s">
        <v>3419</v>
      </c>
      <c r="C226" s="513">
        <f>E226+D226+F226</f>
        <v>1994.6</v>
      </c>
      <c r="D226" s="513">
        <f>SUMIF(N207:N225,M226,D207:D225)</f>
        <v>1994.6</v>
      </c>
      <c r="E226" s="513">
        <f>SUMIF(N207:N225,M226,E207:E225)</f>
        <v>0</v>
      </c>
      <c r="F226" s="513">
        <f>SUMIF(N207:N225,M226,F207:F225)</f>
        <v>0</v>
      </c>
      <c r="G226" s="451" t="s">
        <v>3439</v>
      </c>
      <c r="M226" s="501" t="s">
        <v>3416</v>
      </c>
      <c r="N226" s="501" t="s">
        <v>3421</v>
      </c>
      <c r="Z226" s="500"/>
      <c r="AA226" s="500"/>
      <c r="AB226" s="500"/>
      <c r="AC226" s="500"/>
      <c r="AD226" s="500"/>
      <c r="AE226" s="500"/>
      <c r="AF226" s="500"/>
      <c r="AG226" s="500"/>
      <c r="AH226" s="500"/>
      <c r="AI226" s="500"/>
      <c r="AJ226" s="500"/>
      <c r="AK226" s="500"/>
      <c r="AL226" s="500"/>
      <c r="AM226" s="500"/>
      <c r="AN226" s="500"/>
      <c r="AO226" s="500"/>
      <c r="AP226" s="500"/>
    </row>
    <row r="227" spans="1:42" ht="16.5" customHeight="1">
      <c r="A227" s="439"/>
      <c r="B227" s="439"/>
      <c r="C227" s="504"/>
      <c r="D227" s="504"/>
      <c r="E227" s="504"/>
      <c r="F227" s="504"/>
      <c r="G227" s="451" t="s">
        <v>3406</v>
      </c>
      <c r="Z227" s="500"/>
      <c r="AA227" s="500"/>
      <c r="AB227" s="500"/>
      <c r="AC227" s="500"/>
      <c r="AD227" s="500"/>
      <c r="AE227" s="500"/>
      <c r="AF227" s="500"/>
      <c r="AG227" s="500"/>
      <c r="AH227" s="500"/>
      <c r="AI227" s="500"/>
      <c r="AJ227" s="500"/>
      <c r="AK227" s="500"/>
      <c r="AL227" s="500"/>
      <c r="AM227" s="500"/>
      <c r="AN227" s="500"/>
      <c r="AO227" s="500"/>
      <c r="AP227" s="500"/>
    </row>
    <row r="228" spans="1:42" ht="16.5" customHeight="1">
      <c r="A228" s="439"/>
      <c r="B228" s="439"/>
      <c r="C228" s="439"/>
      <c r="D228" s="439"/>
      <c r="E228" s="439"/>
      <c r="F228" s="439"/>
      <c r="G228" s="451" t="s">
        <v>3406</v>
      </c>
      <c r="Z228" s="500"/>
      <c r="AA228" s="500"/>
      <c r="AB228" s="500"/>
      <c r="AC228" s="500"/>
      <c r="AD228" s="500"/>
      <c r="AE228" s="500"/>
      <c r="AF228" s="500"/>
      <c r="AG228" s="500"/>
      <c r="AH228" s="500"/>
      <c r="AI228" s="500"/>
      <c r="AJ228" s="500"/>
      <c r="AK228" s="500"/>
      <c r="AL228" s="500"/>
      <c r="AM228" s="500"/>
      <c r="AN228" s="500"/>
      <c r="AO228" s="500"/>
      <c r="AP228" s="500"/>
    </row>
    <row r="229" spans="1:42" ht="16.5" customHeight="1">
      <c r="A229" s="434"/>
      <c r="B229" s="437" t="s">
        <v>3502</v>
      </c>
      <c r="C229" s="439"/>
      <c r="D229" s="439"/>
      <c r="E229" s="439"/>
      <c r="F229" s="439"/>
      <c r="G229" s="451" t="s">
        <v>3503</v>
      </c>
      <c r="Z229" s="500"/>
      <c r="AA229" s="500"/>
      <c r="AB229" s="500"/>
      <c r="AC229" s="500"/>
      <c r="AD229" s="500"/>
      <c r="AE229" s="500"/>
      <c r="AF229" s="500"/>
      <c r="AG229" s="500"/>
      <c r="AH229" s="500"/>
      <c r="AI229" s="500"/>
      <c r="AJ229" s="500"/>
      <c r="AK229" s="500"/>
      <c r="AL229" s="500"/>
      <c r="AM229" s="500"/>
      <c r="AN229" s="500"/>
      <c r="AO229" s="500"/>
      <c r="AP229" s="500"/>
    </row>
    <row r="230" spans="1:42" ht="16.5" customHeight="1">
      <c r="A230" s="439"/>
      <c r="B230" s="439"/>
      <c r="C230" s="439"/>
      <c r="D230" s="439"/>
      <c r="E230" s="439"/>
      <c r="F230" s="439"/>
      <c r="G230" s="451" t="s">
        <v>3406</v>
      </c>
      <c r="Z230" s="500"/>
      <c r="AA230" s="500"/>
      <c r="AB230" s="500"/>
      <c r="AC230" s="500"/>
      <c r="AD230" s="500"/>
      <c r="AE230" s="500"/>
      <c r="AF230" s="500"/>
      <c r="AG230" s="500"/>
      <c r="AH230" s="500"/>
      <c r="AI230" s="500"/>
      <c r="AJ230" s="500"/>
      <c r="AK230" s="500"/>
      <c r="AL230" s="500"/>
      <c r="AM230" s="500"/>
      <c r="AN230" s="500"/>
      <c r="AO230" s="500"/>
      <c r="AP230" s="500"/>
    </row>
    <row r="231" spans="1:42" ht="16.5" customHeight="1">
      <c r="A231" s="434" t="s">
        <v>3504</v>
      </c>
      <c r="B231" s="505" t="str">
        <f>"  유기질비료 수목이식·식재용 : "&amp;TEXT(I231,"#,##0"&amp;IF(I231&lt;&gt;INT(I231),".###",""))&amp;" * "&amp;AA231&amp;" KG  / Q1 = "&amp;TEXT(C231,"#,##0.0")&amp;""</f>
        <v xml:space="preserve">  유기질비료 수목이식·식재용 : 500 * 220 KG  / Q1 = 250.0</v>
      </c>
      <c r="C231" s="506">
        <f>E231+D231+F231</f>
        <v>250</v>
      </c>
      <c r="D231" s="506">
        <f>IF(H231=0,0,ROUNDDOWN(J231*H231,1))</f>
        <v>0</v>
      </c>
      <c r="E231" s="506">
        <f>IF(H231=0,0,ROUNDDOWN(K231*H231,1))</f>
        <v>250</v>
      </c>
      <c r="F231" s="506">
        <f>IF(H231=0,0,ROUNDDOWN(L231*H231,1))</f>
        <v>0</v>
      </c>
      <c r="G231" s="451" t="s">
        <v>3511</v>
      </c>
      <c r="H231" s="507">
        <f>ROUNDUP(AE231,14-LEN(ABS(INT(AE231))))</f>
        <v>0.5</v>
      </c>
      <c r="I231" s="508">
        <f>K231+J231+L231</f>
        <v>500</v>
      </c>
      <c r="K231" s="509">
        <f>재료비목록표!E78</f>
        <v>500</v>
      </c>
      <c r="M231" s="501" t="s">
        <v>3506</v>
      </c>
      <c r="N231" s="501" t="s">
        <v>3416</v>
      </c>
      <c r="X231" s="510" t="str">
        <f>재료비목록표!B78&amp;" / "&amp;재료비목록표!C78</f>
        <v>유기질비료 / 수목이식·식재용</v>
      </c>
      <c r="Y231" s="433" t="str">
        <f ca="1">HYPERLINK("#"&amp;재료비목록표!G2&amp;"!A"&amp;ROW(재료비목록표!A78),"M01159 →")</f>
        <v>M01159 →</v>
      </c>
      <c r="Z231" s="501" t="s">
        <v>3500</v>
      </c>
      <c r="AA231" s="515">
        <v>220</v>
      </c>
      <c r="AB231" s="501" t="s">
        <v>3428</v>
      </c>
      <c r="AC231" s="512">
        <f>AB212</f>
        <v>440</v>
      </c>
      <c r="AD231" s="501" t="s">
        <v>3418</v>
      </c>
      <c r="AE231" s="512">
        <f>1*AA231/AB212</f>
        <v>0.5</v>
      </c>
      <c r="AF231" s="500"/>
      <c r="AG231" s="500"/>
      <c r="AH231" s="500"/>
      <c r="AI231" s="500"/>
      <c r="AJ231" s="500"/>
      <c r="AK231" s="500"/>
      <c r="AL231" s="500"/>
      <c r="AM231" s="500"/>
      <c r="AN231" s="500"/>
      <c r="AO231" s="500"/>
      <c r="AP231" s="500"/>
    </row>
    <row r="232" spans="1:42" ht="16.5" customHeight="1">
      <c r="A232" s="439"/>
      <c r="B232" s="439"/>
      <c r="C232" s="439"/>
      <c r="D232" s="439"/>
      <c r="E232" s="439"/>
      <c r="F232" s="439"/>
      <c r="G232" s="451" t="s">
        <v>3406</v>
      </c>
      <c r="Z232" s="500"/>
      <c r="AA232" s="500"/>
      <c r="AB232" s="500"/>
      <c r="AC232" s="500"/>
      <c r="AD232" s="500"/>
      <c r="AE232" s="500"/>
      <c r="AF232" s="500"/>
      <c r="AG232" s="500"/>
      <c r="AH232" s="500"/>
      <c r="AI232" s="500"/>
      <c r="AJ232" s="500"/>
      <c r="AK232" s="500"/>
      <c r="AL232" s="500"/>
      <c r="AM232" s="500"/>
      <c r="AN232" s="500"/>
      <c r="AO232" s="500"/>
      <c r="AP232" s="500"/>
    </row>
    <row r="233" spans="1:42" ht="16.5" customHeight="1">
      <c r="A233" s="434"/>
      <c r="B233" s="437" t="s">
        <v>3419</v>
      </c>
      <c r="C233" s="513">
        <f>E233+D233+F233</f>
        <v>250</v>
      </c>
      <c r="D233" s="513">
        <f>SUMIF(N227:N232,M233,D227:D232)</f>
        <v>0</v>
      </c>
      <c r="E233" s="513">
        <f>SUMIF(N227:N232,M233,E227:E232)</f>
        <v>250</v>
      </c>
      <c r="F233" s="513">
        <f>SUMIF(N227:N232,M233,F227:F232)</f>
        <v>0</v>
      </c>
      <c r="G233" s="451" t="s">
        <v>3439</v>
      </c>
      <c r="M233" s="501" t="s">
        <v>3416</v>
      </c>
      <c r="N233" s="501" t="s">
        <v>3421</v>
      </c>
      <c r="Z233" s="500"/>
      <c r="AA233" s="500"/>
      <c r="AB233" s="500"/>
      <c r="AC233" s="500"/>
      <c r="AD233" s="500"/>
      <c r="AE233" s="500"/>
      <c r="AF233" s="500"/>
      <c r="AG233" s="500"/>
      <c r="AH233" s="500"/>
      <c r="AI233" s="500"/>
      <c r="AJ233" s="500"/>
      <c r="AK233" s="500"/>
      <c r="AL233" s="500"/>
      <c r="AM233" s="500"/>
      <c r="AN233" s="500"/>
      <c r="AO233" s="500"/>
      <c r="AP233" s="500"/>
    </row>
    <row r="234" spans="1:42" ht="16.5" customHeight="1">
      <c r="A234" s="439"/>
      <c r="B234" s="439"/>
      <c r="C234" s="504"/>
      <c r="D234" s="504"/>
      <c r="E234" s="504"/>
      <c r="F234" s="504"/>
      <c r="G234" s="451" t="s">
        <v>3406</v>
      </c>
      <c r="Z234" s="500"/>
      <c r="AA234" s="500"/>
      <c r="AB234" s="500"/>
      <c r="AC234" s="500"/>
      <c r="AD234" s="500"/>
      <c r="AE234" s="500"/>
      <c r="AF234" s="500"/>
      <c r="AG234" s="500"/>
      <c r="AH234" s="500"/>
      <c r="AI234" s="500"/>
      <c r="AJ234" s="500"/>
      <c r="AK234" s="500"/>
      <c r="AL234" s="500"/>
      <c r="AM234" s="500"/>
      <c r="AN234" s="500"/>
      <c r="AO234" s="500"/>
      <c r="AP234" s="500"/>
    </row>
    <row r="235" spans="1:42" ht="16.5" customHeight="1">
      <c r="A235" s="434"/>
      <c r="B235" s="437" t="s">
        <v>3440</v>
      </c>
      <c r="C235" s="513">
        <f>E235+D235+F235</f>
        <v>2244.6</v>
      </c>
      <c r="D235" s="513">
        <f>SUMIF(N207:N234,M235,D207:D234)</f>
        <v>1994.6</v>
      </c>
      <c r="E235" s="513">
        <f>SUMIF(N207:N234,M235,E207:E234)</f>
        <v>250</v>
      </c>
      <c r="F235" s="513">
        <f>SUMIF(N207:N234,M235,F207:F234)</f>
        <v>0</v>
      </c>
      <c r="G235" s="451" t="s">
        <v>3441</v>
      </c>
      <c r="M235" s="501" t="s">
        <v>3421</v>
      </c>
      <c r="N235" s="501" t="s">
        <v>2354</v>
      </c>
      <c r="Z235" s="500"/>
      <c r="AA235" s="500"/>
      <c r="AB235" s="500"/>
      <c r="AC235" s="500"/>
      <c r="AD235" s="500"/>
      <c r="AE235" s="500"/>
      <c r="AF235" s="500"/>
      <c r="AG235" s="500"/>
      <c r="AH235" s="500"/>
      <c r="AI235" s="500"/>
      <c r="AJ235" s="500"/>
      <c r="AK235" s="500"/>
      <c r="AL235" s="500"/>
      <c r="AM235" s="500"/>
      <c r="AN235" s="500"/>
      <c r="AO235" s="500"/>
      <c r="AP235" s="500"/>
    </row>
    <row r="236" spans="1:42" ht="16.5" customHeight="1">
      <c r="A236" s="439"/>
      <c r="B236" s="439"/>
      <c r="C236" s="504"/>
      <c r="D236" s="504"/>
      <c r="E236" s="504"/>
      <c r="F236" s="504"/>
      <c r="G236" s="451" t="s">
        <v>3413</v>
      </c>
      <c r="Z236" s="500"/>
      <c r="AA236" s="500"/>
      <c r="AB236" s="500"/>
      <c r="AC236" s="500"/>
      <c r="AD236" s="500"/>
      <c r="AE236" s="500"/>
      <c r="AF236" s="500"/>
      <c r="AG236" s="500"/>
      <c r="AH236" s="500"/>
      <c r="AI236" s="500"/>
      <c r="AJ236" s="500"/>
      <c r="AK236" s="500"/>
      <c r="AL236" s="500"/>
      <c r="AM236" s="500"/>
      <c r="AN236" s="500"/>
      <c r="AO236" s="500"/>
      <c r="AP236" s="500"/>
    </row>
    <row r="237" spans="1:42" ht="16.5" customHeight="1">
      <c r="A237" s="439"/>
      <c r="B237" s="439"/>
      <c r="C237" s="439"/>
      <c r="D237" s="439"/>
      <c r="E237" s="439"/>
      <c r="F237" s="439"/>
      <c r="Z237" s="500"/>
      <c r="AA237" s="500"/>
      <c r="AB237" s="500"/>
      <c r="AC237" s="500"/>
      <c r="AD237" s="500"/>
      <c r="AE237" s="500"/>
      <c r="AF237" s="500"/>
      <c r="AG237" s="500"/>
      <c r="AH237" s="500"/>
      <c r="AI237" s="500"/>
      <c r="AJ237" s="500"/>
      <c r="AK237" s="500"/>
      <c r="AL237" s="500"/>
      <c r="AM237" s="500"/>
      <c r="AN237" s="500"/>
      <c r="AO237" s="500"/>
      <c r="AP237" s="500"/>
    </row>
    <row r="238" spans="1:42" ht="16.5" customHeight="1">
      <c r="A238" s="439"/>
      <c r="B238" s="439"/>
      <c r="C238" s="439"/>
      <c r="D238" s="439"/>
      <c r="E238" s="439"/>
      <c r="F238" s="439"/>
      <c r="Z238" s="500"/>
      <c r="AA238" s="500"/>
      <c r="AB238" s="500"/>
      <c r="AC238" s="500"/>
      <c r="AD238" s="500"/>
      <c r="AE238" s="500"/>
      <c r="AF238" s="500"/>
      <c r="AG238" s="500"/>
      <c r="AH238" s="500"/>
      <c r="AI238" s="500"/>
      <c r="AJ238" s="500"/>
      <c r="AK238" s="500"/>
      <c r="AL238" s="500"/>
      <c r="AM238" s="500"/>
      <c r="AN238" s="500"/>
      <c r="AO238" s="500"/>
      <c r="AP238" s="500"/>
    </row>
    <row r="239" spans="1:42" ht="16.5" customHeight="1">
      <c r="A239" s="439"/>
      <c r="B239" s="439"/>
      <c r="C239" s="439"/>
      <c r="D239" s="439"/>
      <c r="E239" s="439"/>
      <c r="F239" s="439"/>
      <c r="Z239" s="500"/>
      <c r="AA239" s="500"/>
      <c r="AB239" s="500"/>
      <c r="AC239" s="500"/>
      <c r="AD239" s="500"/>
      <c r="AE239" s="500"/>
      <c r="AF239" s="500"/>
      <c r="AG239" s="500"/>
      <c r="AH239" s="500"/>
      <c r="AI239" s="500"/>
      <c r="AJ239" s="500"/>
      <c r="AK239" s="500"/>
      <c r="AL239" s="500"/>
      <c r="AM239" s="500"/>
      <c r="AN239" s="500"/>
      <c r="AO239" s="500"/>
      <c r="AP239" s="500"/>
    </row>
    <row r="240" spans="1:42" ht="16.5" customHeight="1">
      <c r="A240" s="439"/>
      <c r="B240" s="439"/>
      <c r="C240" s="439"/>
      <c r="D240" s="439"/>
      <c r="E240" s="439"/>
      <c r="F240" s="439"/>
      <c r="Z240" s="500"/>
      <c r="AA240" s="500"/>
      <c r="AB240" s="500"/>
      <c r="AC240" s="500"/>
      <c r="AD240" s="500"/>
      <c r="AE240" s="500"/>
      <c r="AF240" s="500"/>
      <c r="AG240" s="500"/>
      <c r="AH240" s="500"/>
      <c r="AI240" s="500"/>
      <c r="AJ240" s="500"/>
      <c r="AK240" s="500"/>
      <c r="AL240" s="500"/>
      <c r="AM240" s="500"/>
      <c r="AN240" s="500"/>
      <c r="AO240" s="500"/>
      <c r="AP240" s="500"/>
    </row>
    <row r="241" spans="1:42" ht="16.5" customHeight="1">
      <c r="A241" s="439"/>
      <c r="B241" s="439"/>
      <c r="C241" s="439"/>
      <c r="D241" s="439"/>
      <c r="E241" s="439"/>
      <c r="F241" s="439"/>
      <c r="Z241" s="500"/>
      <c r="AA241" s="500"/>
      <c r="AB241" s="500"/>
      <c r="AC241" s="500"/>
      <c r="AD241" s="500"/>
      <c r="AE241" s="500"/>
      <c r="AF241" s="500"/>
      <c r="AG241" s="500"/>
      <c r="AH241" s="500"/>
      <c r="AI241" s="500"/>
      <c r="AJ241" s="500"/>
      <c r="AK241" s="500"/>
      <c r="AL241" s="500"/>
      <c r="AM241" s="500"/>
      <c r="AN241" s="500"/>
      <c r="AO241" s="500"/>
      <c r="AP241" s="500"/>
    </row>
    <row r="242" spans="1:42" ht="16.5" customHeight="1">
      <c r="A242" s="439"/>
      <c r="B242" s="439"/>
      <c r="C242" s="439"/>
      <c r="D242" s="439"/>
      <c r="E242" s="439"/>
      <c r="F242" s="439"/>
      <c r="Z242" s="500"/>
      <c r="AA242" s="500"/>
      <c r="AB242" s="500"/>
      <c r="AC242" s="500"/>
      <c r="AD242" s="500"/>
      <c r="AE242" s="500"/>
      <c r="AF242" s="500"/>
      <c r="AG242" s="500"/>
      <c r="AH242" s="500"/>
      <c r="AI242" s="500"/>
      <c r="AJ242" s="500"/>
      <c r="AK242" s="500"/>
      <c r="AL242" s="500"/>
      <c r="AM242" s="500"/>
      <c r="AN242" s="500"/>
      <c r="AO242" s="500"/>
      <c r="AP242" s="500"/>
    </row>
    <row r="243" spans="1:42" ht="16.5" customHeight="1">
      <c r="A243" s="439"/>
      <c r="B243" s="439"/>
      <c r="C243" s="439"/>
      <c r="D243" s="439"/>
      <c r="E243" s="439"/>
      <c r="F243" s="439"/>
      <c r="Z243" s="500"/>
      <c r="AA243" s="500"/>
      <c r="AB243" s="500"/>
      <c r="AC243" s="500"/>
      <c r="AD243" s="500"/>
      <c r="AE243" s="500"/>
      <c r="AF243" s="500"/>
      <c r="AG243" s="500"/>
      <c r="AH243" s="500"/>
      <c r="AI243" s="500"/>
      <c r="AJ243" s="500"/>
      <c r="AK243" s="500"/>
      <c r="AL243" s="500"/>
      <c r="AM243" s="500"/>
      <c r="AN243" s="500"/>
      <c r="AO243" s="500"/>
      <c r="AP243" s="500"/>
    </row>
    <row r="244" spans="1:42" ht="16.5" customHeight="1">
      <c r="A244" s="439"/>
      <c r="B244" s="439"/>
      <c r="C244" s="439"/>
      <c r="D244" s="439"/>
      <c r="E244" s="439"/>
      <c r="F244" s="439"/>
      <c r="Z244" s="500"/>
      <c r="AA244" s="500"/>
      <c r="AB244" s="500"/>
      <c r="AC244" s="500"/>
      <c r="AD244" s="500"/>
      <c r="AE244" s="500"/>
      <c r="AF244" s="500"/>
      <c r="AG244" s="500"/>
      <c r="AH244" s="500"/>
      <c r="AI244" s="500"/>
      <c r="AJ244" s="500"/>
      <c r="AK244" s="500"/>
      <c r="AL244" s="500"/>
      <c r="AM244" s="500"/>
      <c r="AN244" s="500"/>
      <c r="AO244" s="500"/>
      <c r="AP244" s="500"/>
    </row>
    <row r="245" spans="1:42" ht="16.5" customHeight="1">
      <c r="A245" s="439"/>
      <c r="B245" s="439"/>
      <c r="C245" s="439"/>
      <c r="D245" s="439"/>
      <c r="E245" s="439"/>
      <c r="F245" s="439"/>
      <c r="Z245" s="500"/>
      <c r="AA245" s="500"/>
      <c r="AB245" s="500"/>
      <c r="AC245" s="500"/>
      <c r="AD245" s="500"/>
      <c r="AE245" s="500"/>
      <c r="AF245" s="500"/>
      <c r="AG245" s="500"/>
      <c r="AH245" s="500"/>
      <c r="AI245" s="500"/>
      <c r="AJ245" s="500"/>
      <c r="AK245" s="500"/>
      <c r="AL245" s="500"/>
      <c r="AM245" s="500"/>
      <c r="AN245" s="500"/>
      <c r="AO245" s="500"/>
      <c r="AP245" s="500"/>
    </row>
    <row r="246" spans="1:42" ht="16.5" customHeight="1">
      <c r="A246" s="439"/>
      <c r="B246" s="439"/>
      <c r="C246" s="439"/>
      <c r="D246" s="439"/>
      <c r="E246" s="439"/>
      <c r="F246" s="439"/>
      <c r="Z246" s="500"/>
      <c r="AA246" s="500"/>
      <c r="AB246" s="500"/>
      <c r="AC246" s="500"/>
      <c r="AD246" s="500"/>
      <c r="AE246" s="500"/>
      <c r="AF246" s="500"/>
      <c r="AG246" s="500"/>
      <c r="AH246" s="500"/>
      <c r="AI246" s="500"/>
      <c r="AJ246" s="500"/>
      <c r="AK246" s="500"/>
      <c r="AL246" s="500"/>
      <c r="AM246" s="500"/>
      <c r="AN246" s="500"/>
      <c r="AO246" s="500"/>
      <c r="AP246" s="500"/>
    </row>
    <row r="247" spans="1:42" ht="16.5" customHeight="1">
      <c r="A247" s="439"/>
      <c r="B247" s="439"/>
      <c r="C247" s="439"/>
      <c r="D247" s="439"/>
      <c r="E247" s="439"/>
      <c r="F247" s="439"/>
      <c r="Z247" s="500"/>
      <c r="AA247" s="500"/>
      <c r="AB247" s="500"/>
      <c r="AC247" s="500"/>
      <c r="AD247" s="500"/>
      <c r="AE247" s="500"/>
      <c r="AF247" s="500"/>
      <c r="AG247" s="500"/>
      <c r="AH247" s="500"/>
      <c r="AI247" s="500"/>
      <c r="AJ247" s="500"/>
      <c r="AK247" s="500"/>
      <c r="AL247" s="500"/>
      <c r="AM247" s="500"/>
      <c r="AN247" s="500"/>
      <c r="AO247" s="500"/>
      <c r="AP247" s="500"/>
    </row>
    <row r="248" spans="1:42" ht="16.5" customHeight="1">
      <c r="A248" s="439"/>
      <c r="B248" s="439"/>
      <c r="C248" s="439"/>
      <c r="D248" s="439"/>
      <c r="E248" s="439"/>
      <c r="F248" s="439"/>
      <c r="Z248" s="500"/>
      <c r="AA248" s="500"/>
      <c r="AB248" s="500"/>
      <c r="AC248" s="500"/>
      <c r="AD248" s="500"/>
      <c r="AE248" s="500"/>
      <c r="AF248" s="500"/>
      <c r="AG248" s="500"/>
      <c r="AH248" s="500"/>
      <c r="AI248" s="500"/>
      <c r="AJ248" s="500"/>
      <c r="AK248" s="500"/>
      <c r="AL248" s="500"/>
      <c r="AM248" s="500"/>
      <c r="AN248" s="500"/>
      <c r="AO248" s="500"/>
      <c r="AP248" s="500"/>
    </row>
    <row r="249" spans="1:42" ht="16.5" customHeight="1">
      <c r="A249" s="439"/>
      <c r="B249" s="439"/>
      <c r="C249" s="439"/>
      <c r="D249" s="439"/>
      <c r="E249" s="439"/>
      <c r="F249" s="439"/>
      <c r="Z249" s="500"/>
      <c r="AA249" s="500"/>
      <c r="AB249" s="500"/>
      <c r="AC249" s="500"/>
      <c r="AD249" s="500"/>
      <c r="AE249" s="500"/>
      <c r="AF249" s="500"/>
      <c r="AG249" s="500"/>
      <c r="AH249" s="500"/>
      <c r="AI249" s="500"/>
      <c r="AJ249" s="500"/>
      <c r="AK249" s="500"/>
      <c r="AL249" s="500"/>
      <c r="AM249" s="500"/>
      <c r="AN249" s="500"/>
      <c r="AO249" s="500"/>
      <c r="AP249" s="500"/>
    </row>
    <row r="250" spans="1:42" ht="16.5" customHeight="1">
      <c r="A250" s="439"/>
      <c r="B250" s="439"/>
      <c r="C250" s="439"/>
      <c r="D250" s="439"/>
      <c r="E250" s="439"/>
      <c r="F250" s="439"/>
      <c r="Z250" s="500"/>
      <c r="AA250" s="500"/>
      <c r="AB250" s="500"/>
      <c r="AC250" s="500"/>
      <c r="AD250" s="500"/>
      <c r="AE250" s="500"/>
      <c r="AF250" s="500"/>
      <c r="AG250" s="500"/>
      <c r="AH250" s="500"/>
      <c r="AI250" s="500"/>
      <c r="AJ250" s="500"/>
      <c r="AK250" s="500"/>
      <c r="AL250" s="500"/>
      <c r="AM250" s="500"/>
      <c r="AN250" s="500"/>
      <c r="AO250" s="500"/>
      <c r="AP250" s="500"/>
    </row>
    <row r="251" spans="1:42" ht="16.5" customHeight="1">
      <c r="A251" s="439"/>
      <c r="B251" s="439"/>
      <c r="C251" s="439"/>
      <c r="D251" s="439"/>
      <c r="E251" s="439"/>
      <c r="F251" s="439"/>
      <c r="Z251" s="500"/>
      <c r="AA251" s="500"/>
      <c r="AB251" s="500"/>
      <c r="AC251" s="500"/>
      <c r="AD251" s="500"/>
      <c r="AE251" s="500"/>
      <c r="AF251" s="500"/>
      <c r="AG251" s="500"/>
      <c r="AH251" s="500"/>
      <c r="AI251" s="500"/>
      <c r="AJ251" s="500"/>
      <c r="AK251" s="500"/>
      <c r="AL251" s="500"/>
      <c r="AM251" s="500"/>
      <c r="AN251" s="500"/>
      <c r="AO251" s="500"/>
      <c r="AP251" s="500"/>
    </row>
    <row r="252" spans="1:42" ht="16.5" customHeight="1">
      <c r="A252" s="439"/>
      <c r="B252" s="439"/>
      <c r="C252" s="439"/>
      <c r="D252" s="439"/>
      <c r="E252" s="439"/>
      <c r="F252" s="439"/>
      <c r="Z252" s="500"/>
      <c r="AA252" s="500"/>
      <c r="AB252" s="500"/>
      <c r="AC252" s="500"/>
      <c r="AD252" s="500"/>
      <c r="AE252" s="500"/>
      <c r="AF252" s="500"/>
      <c r="AG252" s="500"/>
      <c r="AH252" s="500"/>
      <c r="AI252" s="500"/>
      <c r="AJ252" s="500"/>
      <c r="AK252" s="500"/>
      <c r="AL252" s="500"/>
      <c r="AM252" s="500"/>
      <c r="AN252" s="500"/>
      <c r="AO252" s="500"/>
      <c r="AP252" s="500"/>
    </row>
    <row r="253" spans="1:42" ht="16.5" customHeight="1">
      <c r="A253" s="497"/>
      <c r="B253" s="497"/>
      <c r="C253" s="497"/>
      <c r="D253" s="497"/>
      <c r="E253" s="497"/>
      <c r="F253" s="497"/>
      <c r="Z253" s="500"/>
      <c r="AA253" s="500"/>
      <c r="AB253" s="500"/>
      <c r="AC253" s="500"/>
      <c r="AD253" s="500"/>
      <c r="AE253" s="500"/>
      <c r="AF253" s="500"/>
      <c r="AG253" s="500"/>
      <c r="AH253" s="500"/>
      <c r="AI253" s="500"/>
      <c r="AJ253" s="500"/>
      <c r="AK253" s="500"/>
      <c r="AL253" s="500"/>
      <c r="AM253" s="500"/>
      <c r="AN253" s="500"/>
      <c r="AO253" s="500"/>
      <c r="AP253" s="500"/>
    </row>
    <row r="254" spans="1:42" ht="16.5" customHeight="1">
      <c r="A254" s="616" t="s">
        <v>3487</v>
      </c>
      <c r="B254" s="605"/>
      <c r="C254" s="446">
        <f>E254+D254+F254</f>
        <v>2244</v>
      </c>
      <c r="D254" s="453">
        <f>ROUNDDOWN(SUMIF(N207:N236,M254,D207:D236),0)</f>
        <v>1994</v>
      </c>
      <c r="E254" s="454">
        <f>ROUNDDOWN(SUMIF(N207:N236,M254,E207:E236),0)</f>
        <v>250</v>
      </c>
      <c r="F254" s="446">
        <f>ROUNDDOWN(SUMIF(N207:N236,M254,F207:F236),0)</f>
        <v>0</v>
      </c>
      <c r="M254" s="501" t="s">
        <v>2354</v>
      </c>
      <c r="Z254" s="500"/>
      <c r="AA254" s="500"/>
      <c r="AB254" s="500"/>
      <c r="AC254" s="500"/>
      <c r="AD254" s="500"/>
      <c r="AE254" s="500"/>
      <c r="AF254" s="500"/>
      <c r="AG254" s="500"/>
      <c r="AH254" s="500"/>
      <c r="AI254" s="500"/>
      <c r="AJ254" s="500"/>
      <c r="AK254" s="500"/>
      <c r="AL254" s="500"/>
      <c r="AM254" s="500"/>
      <c r="AN254" s="500"/>
      <c r="AO254" s="500"/>
      <c r="AP254" s="500"/>
    </row>
    <row r="255" spans="1:42" ht="16.5" customHeight="1">
      <c r="A255" s="502"/>
      <c r="B255" s="503" t="s">
        <v>1893</v>
      </c>
      <c r="C255" s="615">
        <f>C304</f>
        <v>4888</v>
      </c>
      <c r="D255" s="615">
        <f>D304</f>
        <v>4388</v>
      </c>
      <c r="E255" s="615">
        <f>E304</f>
        <v>500</v>
      </c>
      <c r="F255" s="615">
        <f>F304</f>
        <v>0</v>
      </c>
      <c r="G255" s="486" t="str">
        <f>HYPERLINK("#G"&amp;ROW(G286),"_x0005_`BDCOD|D01258_x0007_`POSS|"&amp;ROW(G257)&amp;"_x0007_`POSE|"&amp;ROW(G286)&amp;"_x0007_`")</f>
        <v>_x0005_`BDCOD|D01258_x0007_`POSS|257_x0007_`POSE|286_x0007_`</v>
      </c>
      <c r="Z255" s="500"/>
      <c r="AA255" s="500"/>
      <c r="AB255" s="500"/>
      <c r="AC255" s="500"/>
      <c r="AD255" s="500"/>
      <c r="AE255" s="500"/>
      <c r="AF255" s="500"/>
      <c r="AG255" s="500"/>
      <c r="AH255" s="500"/>
      <c r="AI255" s="500"/>
      <c r="AJ255" s="500"/>
      <c r="AK255" s="500"/>
      <c r="AL255" s="500"/>
      <c r="AM255" s="500"/>
      <c r="AN255" s="500"/>
      <c r="AO255" s="500"/>
      <c r="AP255" s="500"/>
    </row>
    <row r="256" spans="1:42" ht="16.5" customHeight="1">
      <c r="A256" s="485"/>
      <c r="B256" s="503" t="s">
        <v>3512</v>
      </c>
      <c r="C256" s="593"/>
      <c r="D256" s="593"/>
      <c r="E256" s="593"/>
      <c r="F256" s="593"/>
      <c r="M256" s="501" t="s">
        <v>1893</v>
      </c>
      <c r="Z256" s="500"/>
      <c r="AA256" s="500"/>
      <c r="AB256" s="500"/>
      <c r="AC256" s="500"/>
      <c r="AD256" s="500"/>
      <c r="AE256" s="500"/>
      <c r="AF256" s="500"/>
      <c r="AG256" s="500"/>
      <c r="AH256" s="500"/>
      <c r="AI256" s="500"/>
      <c r="AJ256" s="500"/>
      <c r="AK256" s="500"/>
      <c r="AL256" s="500"/>
      <c r="AM256" s="500"/>
      <c r="AN256" s="500"/>
      <c r="AO256" s="500"/>
      <c r="AP256" s="500"/>
    </row>
    <row r="257" spans="1:42" ht="16.5" customHeight="1">
      <c r="A257" s="439"/>
      <c r="B257" s="439"/>
      <c r="C257" s="504"/>
      <c r="D257" s="504"/>
      <c r="E257" s="504"/>
      <c r="F257" s="504"/>
      <c r="G257" s="451" t="s">
        <v>3406</v>
      </c>
      <c r="Z257" s="500"/>
      <c r="AA257" s="500"/>
      <c r="AB257" s="500"/>
      <c r="AC257" s="500"/>
      <c r="AD257" s="500"/>
      <c r="AE257" s="500"/>
      <c r="AF257" s="500"/>
      <c r="AG257" s="500"/>
      <c r="AH257" s="500"/>
      <c r="AI257" s="500"/>
      <c r="AJ257" s="500"/>
      <c r="AK257" s="500"/>
      <c r="AL257" s="500"/>
      <c r="AM257" s="500"/>
      <c r="AN257" s="500"/>
      <c r="AO257" s="500"/>
      <c r="AP257" s="500"/>
    </row>
    <row r="258" spans="1:42" ht="16.5" customHeight="1">
      <c r="A258" s="434"/>
      <c r="B258" s="437" t="s">
        <v>3513</v>
      </c>
      <c r="C258" s="439"/>
      <c r="D258" s="439"/>
      <c r="E258" s="439"/>
      <c r="F258" s="439"/>
      <c r="G258" s="451" t="s">
        <v>3514</v>
      </c>
      <c r="Z258" s="500"/>
      <c r="AA258" s="500"/>
      <c r="AB258" s="500"/>
      <c r="AC258" s="500"/>
      <c r="AD258" s="500"/>
      <c r="AE258" s="500"/>
      <c r="AF258" s="500"/>
      <c r="AG258" s="500"/>
      <c r="AH258" s="500"/>
      <c r="AI258" s="500"/>
      <c r="AJ258" s="500"/>
      <c r="AK258" s="500"/>
      <c r="AL258" s="500"/>
      <c r="AM258" s="500"/>
      <c r="AN258" s="500"/>
      <c r="AO258" s="500"/>
      <c r="AP258" s="500"/>
    </row>
    <row r="259" spans="1:42" ht="16.5" customHeight="1">
      <c r="A259" s="439"/>
      <c r="B259" s="439"/>
      <c r="C259" s="439"/>
      <c r="D259" s="439"/>
      <c r="E259" s="439"/>
      <c r="F259" s="439"/>
      <c r="G259" s="451" t="s">
        <v>3406</v>
      </c>
      <c r="Z259" s="500"/>
      <c r="AA259" s="500"/>
      <c r="AB259" s="500"/>
      <c r="AC259" s="500"/>
      <c r="AD259" s="500"/>
      <c r="AE259" s="500"/>
      <c r="AF259" s="500"/>
      <c r="AG259" s="500"/>
      <c r="AH259" s="500"/>
      <c r="AI259" s="500"/>
      <c r="AJ259" s="500"/>
      <c r="AK259" s="500"/>
      <c r="AL259" s="500"/>
      <c r="AM259" s="500"/>
      <c r="AN259" s="500"/>
      <c r="AO259" s="500"/>
      <c r="AP259" s="500"/>
    </row>
    <row r="260" spans="1:42" ht="16.5" customHeight="1">
      <c r="A260" s="434"/>
      <c r="B260" s="437" t="s">
        <v>3491</v>
      </c>
      <c r="C260" s="439"/>
      <c r="D260" s="439"/>
      <c r="E260" s="439"/>
      <c r="F260" s="439"/>
      <c r="G260" s="451" t="s">
        <v>3492</v>
      </c>
      <c r="Z260" s="500"/>
      <c r="AA260" s="500"/>
      <c r="AB260" s="500"/>
      <c r="AC260" s="500"/>
      <c r="AD260" s="500"/>
      <c r="AE260" s="500"/>
      <c r="AF260" s="500"/>
      <c r="AG260" s="500"/>
      <c r="AH260" s="500"/>
      <c r="AI260" s="500"/>
      <c r="AJ260" s="500"/>
      <c r="AK260" s="500"/>
      <c r="AL260" s="500"/>
      <c r="AM260" s="500"/>
      <c r="AN260" s="500"/>
      <c r="AO260" s="500"/>
      <c r="AP260" s="500"/>
    </row>
    <row r="261" spans="1:42" ht="16.5" customHeight="1">
      <c r="A261" s="439"/>
      <c r="B261" s="439"/>
      <c r="C261" s="439"/>
      <c r="D261" s="439"/>
      <c r="E261" s="439"/>
      <c r="F261" s="439"/>
      <c r="G261" s="451" t="s">
        <v>3406</v>
      </c>
      <c r="Z261" s="500"/>
      <c r="AA261" s="500"/>
      <c r="AB261" s="500"/>
      <c r="AC261" s="500"/>
      <c r="AD261" s="500"/>
      <c r="AE261" s="500"/>
      <c r="AF261" s="500"/>
      <c r="AG261" s="500"/>
      <c r="AH261" s="500"/>
      <c r="AI261" s="500"/>
      <c r="AJ261" s="500"/>
      <c r="AK261" s="500"/>
      <c r="AL261" s="500"/>
      <c r="AM261" s="500"/>
      <c r="AN261" s="500"/>
      <c r="AO261" s="500"/>
      <c r="AP261" s="500"/>
    </row>
    <row r="262" spans="1:42" ht="16.5" customHeight="1">
      <c r="A262" s="434"/>
      <c r="B262" s="437" t="str">
        <f>" 일당 작업량 :   Q1 = "&amp;Z262&amp;"  주 "</f>
        <v xml:space="preserve"> 일당 작업량 :   Q1 = 200  주 </v>
      </c>
      <c r="C262" s="439"/>
      <c r="D262" s="439"/>
      <c r="E262" s="439"/>
      <c r="F262" s="439"/>
      <c r="G262" s="451" t="s">
        <v>3515</v>
      </c>
      <c r="Z262" s="515">
        <v>200</v>
      </c>
      <c r="AA262" s="501" t="s">
        <v>3418</v>
      </c>
      <c r="AB262" s="512">
        <f>Z262</f>
        <v>200</v>
      </c>
      <c r="AC262" s="500"/>
      <c r="AD262" s="500"/>
      <c r="AE262" s="500"/>
      <c r="AF262" s="500"/>
      <c r="AG262" s="500"/>
      <c r="AH262" s="500"/>
      <c r="AI262" s="500"/>
      <c r="AJ262" s="500"/>
      <c r="AK262" s="500"/>
      <c r="AL262" s="500"/>
      <c r="AM262" s="500"/>
      <c r="AN262" s="500"/>
      <c r="AO262" s="500"/>
      <c r="AP262" s="500"/>
    </row>
    <row r="263" spans="1:42" ht="16.5" customHeight="1">
      <c r="A263" s="439"/>
      <c r="B263" s="439"/>
      <c r="C263" s="439"/>
      <c r="D263" s="439"/>
      <c r="E263" s="439"/>
      <c r="F263" s="439"/>
      <c r="G263" s="451" t="s">
        <v>3406</v>
      </c>
      <c r="Z263" s="500"/>
      <c r="AA263" s="500"/>
      <c r="AB263" s="500"/>
      <c r="AC263" s="500"/>
      <c r="AD263" s="500"/>
      <c r="AE263" s="500"/>
      <c r="AF263" s="500"/>
      <c r="AG263" s="500"/>
      <c r="AH263" s="500"/>
      <c r="AI263" s="500"/>
      <c r="AJ263" s="500"/>
      <c r="AK263" s="500"/>
      <c r="AL263" s="500"/>
      <c r="AM263" s="500"/>
      <c r="AN263" s="500"/>
      <c r="AO263" s="500"/>
      <c r="AP263" s="500"/>
    </row>
    <row r="264" spans="1:42" ht="16.5" customHeight="1">
      <c r="A264" s="434"/>
      <c r="B264" s="437" t="s">
        <v>3494</v>
      </c>
      <c r="C264" s="439"/>
      <c r="D264" s="439"/>
      <c r="E264" s="439"/>
      <c r="F264" s="439"/>
      <c r="G264" s="451" t="s">
        <v>3495</v>
      </c>
      <c r="Z264" s="500"/>
      <c r="AA264" s="500"/>
      <c r="AB264" s="500"/>
      <c r="AC264" s="500"/>
      <c r="AD264" s="500"/>
      <c r="AE264" s="500"/>
      <c r="AF264" s="500"/>
      <c r="AG264" s="500"/>
      <c r="AH264" s="500"/>
      <c r="AI264" s="500"/>
      <c r="AJ264" s="500"/>
      <c r="AK264" s="500"/>
      <c r="AL264" s="500"/>
      <c r="AM264" s="500"/>
      <c r="AN264" s="500"/>
      <c r="AO264" s="500"/>
      <c r="AP264" s="500"/>
    </row>
    <row r="265" spans="1:42" ht="16.5" customHeight="1">
      <c r="A265" s="439"/>
      <c r="B265" s="439"/>
      <c r="C265" s="439"/>
      <c r="D265" s="439"/>
      <c r="E265" s="439"/>
      <c r="F265" s="439"/>
      <c r="G265" s="451" t="s">
        <v>3406</v>
      </c>
      <c r="Z265" s="500"/>
      <c r="AA265" s="500"/>
      <c r="AB265" s="500"/>
      <c r="AC265" s="500"/>
      <c r="AD265" s="500"/>
      <c r="AE265" s="500"/>
      <c r="AF265" s="500"/>
      <c r="AG265" s="500"/>
      <c r="AH265" s="500"/>
      <c r="AI265" s="500"/>
      <c r="AJ265" s="500"/>
      <c r="AK265" s="500"/>
      <c r="AL265" s="500"/>
      <c r="AM265" s="500"/>
      <c r="AN265" s="500"/>
      <c r="AO265" s="500"/>
      <c r="AP265" s="500"/>
    </row>
    <row r="266" spans="1:42" ht="16.5" customHeight="1">
      <c r="A266" s="439"/>
      <c r="B266" s="439"/>
      <c r="C266" s="439"/>
      <c r="D266" s="439"/>
      <c r="E266" s="439"/>
      <c r="F266" s="439"/>
      <c r="G266" s="451" t="s">
        <v>3406</v>
      </c>
      <c r="Z266" s="500"/>
      <c r="AA266" s="500"/>
      <c r="AB266" s="500"/>
      <c r="AC266" s="500"/>
      <c r="AD266" s="500"/>
      <c r="AE266" s="500"/>
      <c r="AF266" s="500"/>
      <c r="AG266" s="500"/>
      <c r="AH266" s="500"/>
      <c r="AI266" s="500"/>
      <c r="AJ266" s="500"/>
      <c r="AK266" s="500"/>
      <c r="AL266" s="500"/>
      <c r="AM266" s="500"/>
      <c r="AN266" s="500"/>
      <c r="AO266" s="500"/>
      <c r="AP266" s="500"/>
    </row>
    <row r="267" spans="1:42" ht="16.5" customHeight="1">
      <c r="A267" s="439"/>
      <c r="B267" s="439"/>
      <c r="C267" s="439"/>
      <c r="D267" s="439"/>
      <c r="E267" s="439"/>
      <c r="F267" s="439"/>
      <c r="G267" s="451" t="s">
        <v>3406</v>
      </c>
      <c r="Z267" s="500"/>
      <c r="AA267" s="500"/>
      <c r="AB267" s="500"/>
      <c r="AC267" s="500"/>
      <c r="AD267" s="500"/>
      <c r="AE267" s="500"/>
      <c r="AF267" s="500"/>
      <c r="AG267" s="500"/>
      <c r="AH267" s="500"/>
      <c r="AI267" s="500"/>
      <c r="AJ267" s="500"/>
      <c r="AK267" s="500"/>
      <c r="AL267" s="500"/>
      <c r="AM267" s="500"/>
      <c r="AN267" s="500"/>
      <c r="AO267" s="500"/>
      <c r="AP267" s="500"/>
    </row>
    <row r="268" spans="1:42" ht="16.5" customHeight="1">
      <c r="A268" s="439"/>
      <c r="B268" s="439"/>
      <c r="C268" s="439"/>
      <c r="D268" s="439"/>
      <c r="E268" s="439"/>
      <c r="F268" s="439"/>
      <c r="G268" s="451" t="s">
        <v>3406</v>
      </c>
      <c r="Z268" s="500"/>
      <c r="AA268" s="500"/>
      <c r="AB268" s="500"/>
      <c r="AC268" s="500"/>
      <c r="AD268" s="500"/>
      <c r="AE268" s="500"/>
      <c r="AF268" s="500"/>
      <c r="AG268" s="500"/>
      <c r="AH268" s="500"/>
      <c r="AI268" s="500"/>
      <c r="AJ268" s="500"/>
      <c r="AK268" s="500"/>
      <c r="AL268" s="500"/>
      <c r="AM268" s="500"/>
      <c r="AN268" s="500"/>
      <c r="AO268" s="500"/>
      <c r="AP268" s="500"/>
    </row>
    <row r="269" spans="1:42" ht="16.5" customHeight="1">
      <c r="A269" s="434"/>
      <c r="B269" s="437" t="s">
        <v>3496</v>
      </c>
      <c r="C269" s="439"/>
      <c r="D269" s="439"/>
      <c r="E269" s="439"/>
      <c r="F269" s="439"/>
      <c r="G269" s="451" t="s">
        <v>3497</v>
      </c>
      <c r="Z269" s="500"/>
      <c r="AA269" s="500"/>
      <c r="AB269" s="500"/>
      <c r="AC269" s="500"/>
      <c r="AD269" s="500"/>
      <c r="AE269" s="500"/>
      <c r="AF269" s="500"/>
      <c r="AG269" s="500"/>
      <c r="AH269" s="500"/>
      <c r="AI269" s="500"/>
      <c r="AJ269" s="500"/>
      <c r="AK269" s="500"/>
      <c r="AL269" s="500"/>
      <c r="AM269" s="500"/>
      <c r="AN269" s="500"/>
      <c r="AO269" s="500"/>
      <c r="AP269" s="500"/>
    </row>
    <row r="270" spans="1:42" ht="16.5" customHeight="1">
      <c r="A270" s="439"/>
      <c r="B270" s="439"/>
      <c r="C270" s="439"/>
      <c r="D270" s="439"/>
      <c r="E270" s="439"/>
      <c r="F270" s="439"/>
      <c r="G270" s="451" t="s">
        <v>3406</v>
      </c>
      <c r="Z270" s="500"/>
      <c r="AA270" s="500"/>
      <c r="AB270" s="500"/>
      <c r="AC270" s="500"/>
      <c r="AD270" s="500"/>
      <c r="AE270" s="500"/>
      <c r="AF270" s="500"/>
      <c r="AG270" s="500"/>
      <c r="AH270" s="500"/>
      <c r="AI270" s="500"/>
      <c r="AJ270" s="500"/>
      <c r="AK270" s="500"/>
      <c r="AL270" s="500"/>
      <c r="AM270" s="500"/>
      <c r="AN270" s="500"/>
      <c r="AO270" s="500"/>
      <c r="AP270" s="500"/>
    </row>
    <row r="271" spans="1:42" ht="16.5" customHeight="1">
      <c r="A271" s="434" t="s">
        <v>3498</v>
      </c>
      <c r="B271" s="505" t="str">
        <f>" 조경공 :  "&amp;TEXT(I271,"#,##0"&amp;IF(I271&lt;&gt;INT(I271),".###",""))&amp;" * "&amp;AA271&amp;" 인  / Q1 = "&amp;TEXT(C271,"#,##0.0")&amp;""</f>
        <v xml:space="preserve"> 조경공 :  235,204 * 3 인  / Q1 = 3,528.0</v>
      </c>
      <c r="C271" s="506">
        <f>E271+D271+F271</f>
        <v>3528</v>
      </c>
      <c r="D271" s="506">
        <f>IF(H271=0,0,ROUNDDOWN(J271*H271,1))</f>
        <v>3528</v>
      </c>
      <c r="E271" s="506">
        <f>IF(H271=0,0,ROUNDDOWN(K271*H271,1))</f>
        <v>0</v>
      </c>
      <c r="F271" s="506">
        <f>IF(H271=0,0,ROUNDDOWN(L271*H271,1))</f>
        <v>0</v>
      </c>
      <c r="G271" s="451" t="s">
        <v>3499</v>
      </c>
      <c r="H271" s="507">
        <f>ROUNDUP(AE271,14-LEN(ABS(INT(AE271))))</f>
        <v>1.4999999999999999E-2</v>
      </c>
      <c r="I271" s="508">
        <f>K271+J271+L271</f>
        <v>235204</v>
      </c>
      <c r="J271" s="509">
        <f>노무비목록표!E15</f>
        <v>235204</v>
      </c>
      <c r="M271" s="501" t="s">
        <v>2359</v>
      </c>
      <c r="N271" s="501" t="s">
        <v>3416</v>
      </c>
      <c r="X271" s="510" t="str">
        <f>노무비목록표!B15&amp;" / "&amp;노무비목록표!C15</f>
        <v xml:space="preserve">조경공 / </v>
      </c>
      <c r="Y271" s="433" t="str">
        <f ca="1">HYPERLINK("#"&amp;노무비목록표!G2&amp;"!A"&amp;ROW(노무비목록표!A15),"L00184 →")</f>
        <v>L00184 →</v>
      </c>
      <c r="Z271" s="501" t="s">
        <v>3500</v>
      </c>
      <c r="AA271" s="515">
        <v>3</v>
      </c>
      <c r="AB271" s="501" t="s">
        <v>3428</v>
      </c>
      <c r="AC271" s="512">
        <f>AB262</f>
        <v>200</v>
      </c>
      <c r="AD271" s="501" t="s">
        <v>3418</v>
      </c>
      <c r="AE271" s="512">
        <f>1*AA271/AB262</f>
        <v>1.4999999999999999E-2</v>
      </c>
      <c r="AF271" s="500"/>
      <c r="AG271" s="500"/>
      <c r="AH271" s="500"/>
      <c r="AI271" s="500"/>
      <c r="AJ271" s="500"/>
      <c r="AK271" s="500"/>
      <c r="AL271" s="500"/>
      <c r="AM271" s="500"/>
      <c r="AN271" s="500"/>
      <c r="AO271" s="500"/>
      <c r="AP271" s="500"/>
    </row>
    <row r="272" spans="1:42" ht="16.5" customHeight="1">
      <c r="A272" s="439"/>
      <c r="B272" s="439"/>
      <c r="C272" s="439"/>
      <c r="D272" s="439"/>
      <c r="E272" s="439"/>
      <c r="F272" s="439"/>
      <c r="G272" s="451" t="s">
        <v>3406</v>
      </c>
      <c r="Z272" s="500"/>
      <c r="AA272" s="500"/>
      <c r="AB272" s="500"/>
      <c r="AC272" s="500"/>
      <c r="AD272" s="500"/>
      <c r="AE272" s="500"/>
      <c r="AF272" s="500"/>
      <c r="AG272" s="500"/>
      <c r="AH272" s="500"/>
      <c r="AI272" s="500"/>
      <c r="AJ272" s="500"/>
      <c r="AK272" s="500"/>
      <c r="AL272" s="500"/>
      <c r="AM272" s="500"/>
      <c r="AN272" s="500"/>
      <c r="AO272" s="500"/>
      <c r="AP272" s="500"/>
    </row>
    <row r="273" spans="1:42" ht="16.5" customHeight="1">
      <c r="A273" s="439"/>
      <c r="B273" s="439"/>
      <c r="C273" s="439"/>
      <c r="D273" s="439"/>
      <c r="E273" s="439"/>
      <c r="F273" s="439"/>
      <c r="G273" s="451" t="s">
        <v>3406</v>
      </c>
      <c r="Z273" s="500"/>
      <c r="AA273" s="500"/>
      <c r="AB273" s="500"/>
      <c r="AC273" s="500"/>
      <c r="AD273" s="500"/>
      <c r="AE273" s="500"/>
      <c r="AF273" s="500"/>
      <c r="AG273" s="500"/>
      <c r="AH273" s="500"/>
      <c r="AI273" s="500"/>
      <c r="AJ273" s="500"/>
      <c r="AK273" s="500"/>
      <c r="AL273" s="500"/>
      <c r="AM273" s="500"/>
      <c r="AN273" s="500"/>
      <c r="AO273" s="500"/>
      <c r="AP273" s="500"/>
    </row>
    <row r="274" spans="1:42" ht="16.5" customHeight="1">
      <c r="A274" s="434" t="s">
        <v>3414</v>
      </c>
      <c r="B274" s="505" t="str">
        <f>" 보통인부 : "&amp;TEXT(I274,"#,##0"&amp;IF(I274&lt;&gt;INT(I274),".###",""))&amp;" * "&amp;AA274&amp;" 인  / Q1 = "&amp;TEXT(C274,"#,##0.0")&amp;""</f>
        <v xml:space="preserve"> 보통인부 : 172,068 * 1 인  / Q1 = 860.3</v>
      </c>
      <c r="C274" s="506">
        <f>E274+D274+F274</f>
        <v>860.3</v>
      </c>
      <c r="D274" s="506">
        <f>IF(H274=0,0,ROUNDDOWN(J274*H274,1))</f>
        <v>860.3</v>
      </c>
      <c r="E274" s="506">
        <f>IF(H274=0,0,ROUNDDOWN(K274*H274,1))</f>
        <v>0</v>
      </c>
      <c r="F274" s="506">
        <f>IF(H274=0,0,ROUNDDOWN(L274*H274,1))</f>
        <v>0</v>
      </c>
      <c r="G274" s="451" t="s">
        <v>3501</v>
      </c>
      <c r="H274" s="507">
        <f>ROUNDUP(AE274,14-LEN(ABS(INT(AE274))))</f>
        <v>5.0000000000000001E-3</v>
      </c>
      <c r="I274" s="508">
        <f>K274+J274+L274</f>
        <v>172068</v>
      </c>
      <c r="J274" s="509">
        <f>노무비목록표!E10</f>
        <v>172068</v>
      </c>
      <c r="M274" s="501" t="s">
        <v>2363</v>
      </c>
      <c r="N274" s="501" t="s">
        <v>3416</v>
      </c>
      <c r="X274" s="510" t="str">
        <f>노무비목록표!B10&amp;" / "&amp;노무비목록표!C10</f>
        <v xml:space="preserve">보통인부 / </v>
      </c>
      <c r="Y274" s="433" t="str">
        <f ca="1">HYPERLINK("#"&amp;노무비목록표!G2&amp;"!A"&amp;ROW(노무비목록표!A10),"L00017 →")</f>
        <v>L00017 →</v>
      </c>
      <c r="Z274" s="501" t="s">
        <v>3500</v>
      </c>
      <c r="AA274" s="515">
        <v>1</v>
      </c>
      <c r="AB274" s="501" t="s">
        <v>3428</v>
      </c>
      <c r="AC274" s="512">
        <f>AB262</f>
        <v>200</v>
      </c>
      <c r="AD274" s="501" t="s">
        <v>3418</v>
      </c>
      <c r="AE274" s="512">
        <f>1*AA274/AB262</f>
        <v>5.0000000000000001E-3</v>
      </c>
      <c r="AF274" s="500"/>
      <c r="AG274" s="500"/>
      <c r="AH274" s="500"/>
      <c r="AI274" s="500"/>
      <c r="AJ274" s="500"/>
      <c r="AK274" s="500"/>
      <c r="AL274" s="500"/>
      <c r="AM274" s="500"/>
      <c r="AN274" s="500"/>
      <c r="AO274" s="500"/>
      <c r="AP274" s="500"/>
    </row>
    <row r="275" spans="1:42" ht="16.5" customHeight="1">
      <c r="A275" s="439"/>
      <c r="B275" s="439"/>
      <c r="C275" s="439"/>
      <c r="D275" s="439"/>
      <c r="E275" s="439"/>
      <c r="F275" s="439"/>
      <c r="G275" s="451" t="s">
        <v>3406</v>
      </c>
      <c r="Z275" s="500"/>
      <c r="AA275" s="500"/>
      <c r="AB275" s="500"/>
      <c r="AC275" s="500"/>
      <c r="AD275" s="500"/>
      <c r="AE275" s="500"/>
      <c r="AF275" s="500"/>
      <c r="AG275" s="500"/>
      <c r="AH275" s="500"/>
      <c r="AI275" s="500"/>
      <c r="AJ275" s="500"/>
      <c r="AK275" s="500"/>
      <c r="AL275" s="500"/>
      <c r="AM275" s="500"/>
      <c r="AN275" s="500"/>
      <c r="AO275" s="500"/>
      <c r="AP275" s="500"/>
    </row>
    <row r="276" spans="1:42" ht="16.5" customHeight="1">
      <c r="A276" s="434"/>
      <c r="B276" s="437" t="s">
        <v>3419</v>
      </c>
      <c r="C276" s="513">
        <f>E276+D276+F276</f>
        <v>4388.3</v>
      </c>
      <c r="D276" s="513">
        <f>SUMIF(N257:N275,M276,D257:D275)</f>
        <v>4388.3</v>
      </c>
      <c r="E276" s="513">
        <f>SUMIF(N257:N275,M276,E257:E275)</f>
        <v>0</v>
      </c>
      <c r="F276" s="513">
        <f>SUMIF(N257:N275,M276,F257:F275)</f>
        <v>0</v>
      </c>
      <c r="G276" s="451" t="s">
        <v>3439</v>
      </c>
      <c r="M276" s="501" t="s">
        <v>3416</v>
      </c>
      <c r="N276" s="501" t="s">
        <v>3421</v>
      </c>
      <c r="Z276" s="500"/>
      <c r="AA276" s="500"/>
      <c r="AB276" s="500"/>
      <c r="AC276" s="500"/>
      <c r="AD276" s="500"/>
      <c r="AE276" s="500"/>
      <c r="AF276" s="500"/>
      <c r="AG276" s="500"/>
      <c r="AH276" s="500"/>
      <c r="AI276" s="500"/>
      <c r="AJ276" s="500"/>
      <c r="AK276" s="500"/>
      <c r="AL276" s="500"/>
      <c r="AM276" s="500"/>
      <c r="AN276" s="500"/>
      <c r="AO276" s="500"/>
      <c r="AP276" s="500"/>
    </row>
    <row r="277" spans="1:42" ht="16.5" customHeight="1">
      <c r="A277" s="439"/>
      <c r="B277" s="439"/>
      <c r="C277" s="504"/>
      <c r="D277" s="504"/>
      <c r="E277" s="504"/>
      <c r="F277" s="504"/>
      <c r="G277" s="451" t="s">
        <v>3406</v>
      </c>
      <c r="Z277" s="500"/>
      <c r="AA277" s="500"/>
      <c r="AB277" s="500"/>
      <c r="AC277" s="500"/>
      <c r="AD277" s="500"/>
      <c r="AE277" s="500"/>
      <c r="AF277" s="500"/>
      <c r="AG277" s="500"/>
      <c r="AH277" s="500"/>
      <c r="AI277" s="500"/>
      <c r="AJ277" s="500"/>
      <c r="AK277" s="500"/>
      <c r="AL277" s="500"/>
      <c r="AM277" s="500"/>
      <c r="AN277" s="500"/>
      <c r="AO277" s="500"/>
      <c r="AP277" s="500"/>
    </row>
    <row r="278" spans="1:42" ht="16.5" customHeight="1">
      <c r="A278" s="439"/>
      <c r="B278" s="439"/>
      <c r="C278" s="439"/>
      <c r="D278" s="439"/>
      <c r="E278" s="439"/>
      <c r="F278" s="439"/>
      <c r="G278" s="451" t="s">
        <v>3406</v>
      </c>
      <c r="Z278" s="500"/>
      <c r="AA278" s="500"/>
      <c r="AB278" s="500"/>
      <c r="AC278" s="500"/>
      <c r="AD278" s="500"/>
      <c r="AE278" s="500"/>
      <c r="AF278" s="500"/>
      <c r="AG278" s="500"/>
      <c r="AH278" s="500"/>
      <c r="AI278" s="500"/>
      <c r="AJ278" s="500"/>
      <c r="AK278" s="500"/>
      <c r="AL278" s="500"/>
      <c r="AM278" s="500"/>
      <c r="AN278" s="500"/>
      <c r="AO278" s="500"/>
      <c r="AP278" s="500"/>
    </row>
    <row r="279" spans="1:42" ht="16.5" customHeight="1">
      <c r="A279" s="434"/>
      <c r="B279" s="437" t="s">
        <v>3502</v>
      </c>
      <c r="C279" s="439"/>
      <c r="D279" s="439"/>
      <c r="E279" s="439"/>
      <c r="F279" s="439"/>
      <c r="G279" s="451" t="s">
        <v>3503</v>
      </c>
      <c r="Z279" s="500"/>
      <c r="AA279" s="500"/>
      <c r="AB279" s="500"/>
      <c r="AC279" s="500"/>
      <c r="AD279" s="500"/>
      <c r="AE279" s="500"/>
      <c r="AF279" s="500"/>
      <c r="AG279" s="500"/>
      <c r="AH279" s="500"/>
      <c r="AI279" s="500"/>
      <c r="AJ279" s="500"/>
      <c r="AK279" s="500"/>
      <c r="AL279" s="500"/>
      <c r="AM279" s="500"/>
      <c r="AN279" s="500"/>
      <c r="AO279" s="500"/>
      <c r="AP279" s="500"/>
    </row>
    <row r="280" spans="1:42" ht="16.5" customHeight="1">
      <c r="A280" s="439"/>
      <c r="B280" s="439"/>
      <c r="C280" s="439"/>
      <c r="D280" s="439"/>
      <c r="E280" s="439"/>
      <c r="F280" s="439"/>
      <c r="G280" s="451" t="s">
        <v>3406</v>
      </c>
      <c r="Z280" s="500"/>
      <c r="AA280" s="500"/>
      <c r="AB280" s="500"/>
      <c r="AC280" s="500"/>
      <c r="AD280" s="500"/>
      <c r="AE280" s="500"/>
      <c r="AF280" s="500"/>
      <c r="AG280" s="500"/>
      <c r="AH280" s="500"/>
      <c r="AI280" s="500"/>
      <c r="AJ280" s="500"/>
      <c r="AK280" s="500"/>
      <c r="AL280" s="500"/>
      <c r="AM280" s="500"/>
      <c r="AN280" s="500"/>
      <c r="AO280" s="500"/>
      <c r="AP280" s="500"/>
    </row>
    <row r="281" spans="1:42" ht="16.5" customHeight="1">
      <c r="A281" s="434" t="s">
        <v>3504</v>
      </c>
      <c r="B281" s="505" t="str">
        <f>"  유기질비료 수목이식·식재용 : "&amp;TEXT(I281,"#,##0"&amp;IF(I281&lt;&gt;INT(I281),".###",""))&amp;" * "&amp;AA281&amp;" KG  / Q1 = "&amp;TEXT(C281,"#,##0.0")&amp;""</f>
        <v xml:space="preserve">  유기질비료 수목이식·식재용 : 500 * 200 KG  / Q1 = 500.0</v>
      </c>
      <c r="C281" s="506">
        <f>E281+D281+F281</f>
        <v>500</v>
      </c>
      <c r="D281" s="506">
        <f>IF(H281=0,0,ROUNDDOWN(J281*H281,1))</f>
        <v>0</v>
      </c>
      <c r="E281" s="506">
        <f>IF(H281=0,0,ROUNDDOWN(K281*H281,1))</f>
        <v>500</v>
      </c>
      <c r="F281" s="506">
        <f>IF(H281=0,0,ROUNDDOWN(L281*H281,1))</f>
        <v>0</v>
      </c>
      <c r="G281" s="451" t="s">
        <v>3516</v>
      </c>
      <c r="H281" s="507">
        <f>ROUNDUP(AE281,14-LEN(ABS(INT(AE281))))</f>
        <v>1</v>
      </c>
      <c r="I281" s="508">
        <f>K281+J281+L281</f>
        <v>500</v>
      </c>
      <c r="K281" s="509">
        <f>재료비목록표!E78</f>
        <v>500</v>
      </c>
      <c r="M281" s="501" t="s">
        <v>3506</v>
      </c>
      <c r="N281" s="501" t="s">
        <v>3416</v>
      </c>
      <c r="X281" s="510" t="str">
        <f>재료비목록표!B78&amp;" / "&amp;재료비목록표!C78</f>
        <v>유기질비료 / 수목이식·식재용</v>
      </c>
      <c r="Y281" s="433" t="str">
        <f ca="1">HYPERLINK("#"&amp;재료비목록표!G2&amp;"!A"&amp;ROW(재료비목록표!A78),"M01159 →")</f>
        <v>M01159 →</v>
      </c>
      <c r="Z281" s="501" t="s">
        <v>3500</v>
      </c>
      <c r="AA281" s="515">
        <v>200</v>
      </c>
      <c r="AB281" s="501" t="s">
        <v>3428</v>
      </c>
      <c r="AC281" s="512">
        <f>AB262</f>
        <v>200</v>
      </c>
      <c r="AD281" s="501" t="s">
        <v>3418</v>
      </c>
      <c r="AE281" s="512">
        <f>1*AA281/AB262</f>
        <v>1</v>
      </c>
      <c r="AF281" s="500"/>
      <c r="AG281" s="500"/>
      <c r="AH281" s="500"/>
      <c r="AI281" s="500"/>
      <c r="AJ281" s="500"/>
      <c r="AK281" s="500"/>
      <c r="AL281" s="500"/>
      <c r="AM281" s="500"/>
      <c r="AN281" s="500"/>
      <c r="AO281" s="500"/>
      <c r="AP281" s="500"/>
    </row>
    <row r="282" spans="1:42" ht="16.5" customHeight="1">
      <c r="A282" s="439"/>
      <c r="B282" s="439"/>
      <c r="C282" s="439"/>
      <c r="D282" s="439"/>
      <c r="E282" s="439"/>
      <c r="F282" s="439"/>
      <c r="G282" s="451" t="s">
        <v>3406</v>
      </c>
      <c r="Z282" s="500"/>
      <c r="AA282" s="500"/>
      <c r="AB282" s="500"/>
      <c r="AC282" s="500"/>
      <c r="AD282" s="500"/>
      <c r="AE282" s="500"/>
      <c r="AF282" s="500"/>
      <c r="AG282" s="500"/>
      <c r="AH282" s="500"/>
      <c r="AI282" s="500"/>
      <c r="AJ282" s="500"/>
      <c r="AK282" s="500"/>
      <c r="AL282" s="500"/>
      <c r="AM282" s="500"/>
      <c r="AN282" s="500"/>
      <c r="AO282" s="500"/>
      <c r="AP282" s="500"/>
    </row>
    <row r="283" spans="1:42" ht="16.5" customHeight="1">
      <c r="A283" s="434"/>
      <c r="B283" s="437" t="s">
        <v>3419</v>
      </c>
      <c r="C283" s="513">
        <f>E283+D283+F283</f>
        <v>500</v>
      </c>
      <c r="D283" s="513">
        <f>SUMIF(N277:N282,M283,D277:D282)</f>
        <v>0</v>
      </c>
      <c r="E283" s="513">
        <f>SUMIF(N277:N282,M283,E277:E282)</f>
        <v>500</v>
      </c>
      <c r="F283" s="513">
        <f>SUMIF(N277:N282,M283,F277:F282)</f>
        <v>0</v>
      </c>
      <c r="G283" s="451" t="s">
        <v>3439</v>
      </c>
      <c r="M283" s="501" t="s">
        <v>3416</v>
      </c>
      <c r="N283" s="501" t="s">
        <v>3421</v>
      </c>
      <c r="Z283" s="500"/>
      <c r="AA283" s="500"/>
      <c r="AB283" s="500"/>
      <c r="AC283" s="500"/>
      <c r="AD283" s="500"/>
      <c r="AE283" s="500"/>
      <c r="AF283" s="500"/>
      <c r="AG283" s="500"/>
      <c r="AH283" s="500"/>
      <c r="AI283" s="500"/>
      <c r="AJ283" s="500"/>
      <c r="AK283" s="500"/>
      <c r="AL283" s="500"/>
      <c r="AM283" s="500"/>
      <c r="AN283" s="500"/>
      <c r="AO283" s="500"/>
      <c r="AP283" s="500"/>
    </row>
    <row r="284" spans="1:42" ht="16.5" customHeight="1">
      <c r="A284" s="439"/>
      <c r="B284" s="439"/>
      <c r="C284" s="504"/>
      <c r="D284" s="504"/>
      <c r="E284" s="504"/>
      <c r="F284" s="504"/>
      <c r="G284" s="451" t="s">
        <v>3406</v>
      </c>
      <c r="Z284" s="500"/>
      <c r="AA284" s="500"/>
      <c r="AB284" s="500"/>
      <c r="AC284" s="500"/>
      <c r="AD284" s="500"/>
      <c r="AE284" s="500"/>
      <c r="AF284" s="500"/>
      <c r="AG284" s="500"/>
      <c r="AH284" s="500"/>
      <c r="AI284" s="500"/>
      <c r="AJ284" s="500"/>
      <c r="AK284" s="500"/>
      <c r="AL284" s="500"/>
      <c r="AM284" s="500"/>
      <c r="AN284" s="500"/>
      <c r="AO284" s="500"/>
      <c r="AP284" s="500"/>
    </row>
    <row r="285" spans="1:42" ht="16.5" customHeight="1">
      <c r="A285" s="434"/>
      <c r="B285" s="437" t="s">
        <v>3440</v>
      </c>
      <c r="C285" s="513">
        <f>E285+D285+F285</f>
        <v>4888.3</v>
      </c>
      <c r="D285" s="513">
        <f>SUMIF(N257:N284,M285,D257:D284)</f>
        <v>4388.3</v>
      </c>
      <c r="E285" s="513">
        <f>SUMIF(N257:N284,M285,E257:E284)</f>
        <v>500</v>
      </c>
      <c r="F285" s="513">
        <f>SUMIF(N257:N284,M285,F257:F284)</f>
        <v>0</v>
      </c>
      <c r="G285" s="451" t="s">
        <v>3441</v>
      </c>
      <c r="M285" s="501" t="s">
        <v>3421</v>
      </c>
      <c r="N285" s="501" t="s">
        <v>2354</v>
      </c>
      <c r="Z285" s="500"/>
      <c r="AA285" s="500"/>
      <c r="AB285" s="500"/>
      <c r="AC285" s="500"/>
      <c r="AD285" s="500"/>
      <c r="AE285" s="500"/>
      <c r="AF285" s="500"/>
      <c r="AG285" s="500"/>
      <c r="AH285" s="500"/>
      <c r="AI285" s="500"/>
      <c r="AJ285" s="500"/>
      <c r="AK285" s="500"/>
      <c r="AL285" s="500"/>
      <c r="AM285" s="500"/>
      <c r="AN285" s="500"/>
      <c r="AO285" s="500"/>
      <c r="AP285" s="500"/>
    </row>
    <row r="286" spans="1:42" ht="16.5" customHeight="1">
      <c r="A286" s="439"/>
      <c r="B286" s="439"/>
      <c r="C286" s="504"/>
      <c r="D286" s="504"/>
      <c r="E286" s="504"/>
      <c r="F286" s="504"/>
      <c r="G286" s="451" t="s">
        <v>3413</v>
      </c>
      <c r="Z286" s="500"/>
      <c r="AA286" s="500"/>
      <c r="AB286" s="500"/>
      <c r="AC286" s="500"/>
      <c r="AD286" s="500"/>
      <c r="AE286" s="500"/>
      <c r="AF286" s="500"/>
      <c r="AG286" s="500"/>
      <c r="AH286" s="500"/>
      <c r="AI286" s="500"/>
      <c r="AJ286" s="500"/>
      <c r="AK286" s="500"/>
      <c r="AL286" s="500"/>
      <c r="AM286" s="500"/>
      <c r="AN286" s="500"/>
      <c r="AO286" s="500"/>
      <c r="AP286" s="500"/>
    </row>
    <row r="287" spans="1:42" ht="16.5" customHeight="1">
      <c r="A287" s="439"/>
      <c r="B287" s="439"/>
      <c r="C287" s="439"/>
      <c r="D287" s="439"/>
      <c r="E287" s="439"/>
      <c r="F287" s="439"/>
      <c r="Z287" s="500"/>
      <c r="AA287" s="500"/>
      <c r="AB287" s="500"/>
      <c r="AC287" s="500"/>
      <c r="AD287" s="500"/>
      <c r="AE287" s="500"/>
      <c r="AF287" s="500"/>
      <c r="AG287" s="500"/>
      <c r="AH287" s="500"/>
      <c r="AI287" s="500"/>
      <c r="AJ287" s="500"/>
      <c r="AK287" s="500"/>
      <c r="AL287" s="500"/>
      <c r="AM287" s="500"/>
      <c r="AN287" s="500"/>
      <c r="AO287" s="500"/>
      <c r="AP287" s="500"/>
    </row>
    <row r="288" spans="1:42" ht="16.5" customHeight="1">
      <c r="A288" s="439"/>
      <c r="B288" s="439"/>
      <c r="C288" s="439"/>
      <c r="D288" s="439"/>
      <c r="E288" s="439"/>
      <c r="F288" s="439"/>
      <c r="Z288" s="500"/>
      <c r="AA288" s="500"/>
      <c r="AB288" s="500"/>
      <c r="AC288" s="500"/>
      <c r="AD288" s="500"/>
      <c r="AE288" s="500"/>
      <c r="AF288" s="500"/>
      <c r="AG288" s="500"/>
      <c r="AH288" s="500"/>
      <c r="AI288" s="500"/>
      <c r="AJ288" s="500"/>
      <c r="AK288" s="500"/>
      <c r="AL288" s="500"/>
      <c r="AM288" s="500"/>
      <c r="AN288" s="500"/>
      <c r="AO288" s="500"/>
      <c r="AP288" s="500"/>
    </row>
    <row r="289" spans="1:42" ht="16.5" customHeight="1">
      <c r="A289" s="439"/>
      <c r="B289" s="439"/>
      <c r="C289" s="439"/>
      <c r="D289" s="439"/>
      <c r="E289" s="439"/>
      <c r="F289" s="439"/>
      <c r="Z289" s="500"/>
      <c r="AA289" s="500"/>
      <c r="AB289" s="500"/>
      <c r="AC289" s="500"/>
      <c r="AD289" s="500"/>
      <c r="AE289" s="500"/>
      <c r="AF289" s="500"/>
      <c r="AG289" s="500"/>
      <c r="AH289" s="500"/>
      <c r="AI289" s="500"/>
      <c r="AJ289" s="500"/>
      <c r="AK289" s="500"/>
      <c r="AL289" s="500"/>
      <c r="AM289" s="500"/>
      <c r="AN289" s="500"/>
      <c r="AO289" s="500"/>
      <c r="AP289" s="500"/>
    </row>
    <row r="290" spans="1:42" ht="16.5" customHeight="1">
      <c r="A290" s="439"/>
      <c r="B290" s="439"/>
      <c r="C290" s="439"/>
      <c r="D290" s="439"/>
      <c r="E290" s="439"/>
      <c r="F290" s="439"/>
      <c r="Z290" s="500"/>
      <c r="AA290" s="500"/>
      <c r="AB290" s="500"/>
      <c r="AC290" s="500"/>
      <c r="AD290" s="500"/>
      <c r="AE290" s="500"/>
      <c r="AF290" s="500"/>
      <c r="AG290" s="500"/>
      <c r="AH290" s="500"/>
      <c r="AI290" s="500"/>
      <c r="AJ290" s="500"/>
      <c r="AK290" s="500"/>
      <c r="AL290" s="500"/>
      <c r="AM290" s="500"/>
      <c r="AN290" s="500"/>
      <c r="AO290" s="500"/>
      <c r="AP290" s="500"/>
    </row>
    <row r="291" spans="1:42" ht="16.5" customHeight="1">
      <c r="A291" s="439"/>
      <c r="B291" s="439"/>
      <c r="C291" s="439"/>
      <c r="D291" s="439"/>
      <c r="E291" s="439"/>
      <c r="F291" s="439"/>
      <c r="Z291" s="500"/>
      <c r="AA291" s="500"/>
      <c r="AB291" s="500"/>
      <c r="AC291" s="500"/>
      <c r="AD291" s="500"/>
      <c r="AE291" s="500"/>
      <c r="AF291" s="500"/>
      <c r="AG291" s="500"/>
      <c r="AH291" s="500"/>
      <c r="AI291" s="500"/>
      <c r="AJ291" s="500"/>
      <c r="AK291" s="500"/>
      <c r="AL291" s="500"/>
      <c r="AM291" s="500"/>
      <c r="AN291" s="500"/>
      <c r="AO291" s="500"/>
      <c r="AP291" s="500"/>
    </row>
    <row r="292" spans="1:42" ht="16.5" customHeight="1">
      <c r="A292" s="439"/>
      <c r="B292" s="439"/>
      <c r="C292" s="439"/>
      <c r="D292" s="439"/>
      <c r="E292" s="439"/>
      <c r="F292" s="439"/>
      <c r="Z292" s="500"/>
      <c r="AA292" s="500"/>
      <c r="AB292" s="500"/>
      <c r="AC292" s="500"/>
      <c r="AD292" s="500"/>
      <c r="AE292" s="500"/>
      <c r="AF292" s="500"/>
      <c r="AG292" s="500"/>
      <c r="AH292" s="500"/>
      <c r="AI292" s="500"/>
      <c r="AJ292" s="500"/>
      <c r="AK292" s="500"/>
      <c r="AL292" s="500"/>
      <c r="AM292" s="500"/>
      <c r="AN292" s="500"/>
      <c r="AO292" s="500"/>
      <c r="AP292" s="500"/>
    </row>
    <row r="293" spans="1:42" ht="16.5" customHeight="1">
      <c r="A293" s="439"/>
      <c r="B293" s="439"/>
      <c r="C293" s="439"/>
      <c r="D293" s="439"/>
      <c r="E293" s="439"/>
      <c r="F293" s="439"/>
      <c r="Z293" s="500"/>
      <c r="AA293" s="500"/>
      <c r="AB293" s="500"/>
      <c r="AC293" s="500"/>
      <c r="AD293" s="500"/>
      <c r="AE293" s="500"/>
      <c r="AF293" s="500"/>
      <c r="AG293" s="500"/>
      <c r="AH293" s="500"/>
      <c r="AI293" s="500"/>
      <c r="AJ293" s="500"/>
      <c r="AK293" s="500"/>
      <c r="AL293" s="500"/>
      <c r="AM293" s="500"/>
      <c r="AN293" s="500"/>
      <c r="AO293" s="500"/>
      <c r="AP293" s="500"/>
    </row>
    <row r="294" spans="1:42" ht="16.5" customHeight="1">
      <c r="A294" s="439"/>
      <c r="B294" s="439"/>
      <c r="C294" s="439"/>
      <c r="D294" s="439"/>
      <c r="E294" s="439"/>
      <c r="F294" s="439"/>
      <c r="Z294" s="500"/>
      <c r="AA294" s="500"/>
      <c r="AB294" s="500"/>
      <c r="AC294" s="500"/>
      <c r="AD294" s="500"/>
      <c r="AE294" s="500"/>
      <c r="AF294" s="500"/>
      <c r="AG294" s="500"/>
      <c r="AH294" s="500"/>
      <c r="AI294" s="500"/>
      <c r="AJ294" s="500"/>
      <c r="AK294" s="500"/>
      <c r="AL294" s="500"/>
      <c r="AM294" s="500"/>
      <c r="AN294" s="500"/>
      <c r="AO294" s="500"/>
      <c r="AP294" s="500"/>
    </row>
    <row r="295" spans="1:42" ht="16.5" customHeight="1">
      <c r="A295" s="439"/>
      <c r="B295" s="439"/>
      <c r="C295" s="439"/>
      <c r="D295" s="439"/>
      <c r="E295" s="439"/>
      <c r="F295" s="439"/>
      <c r="Z295" s="500"/>
      <c r="AA295" s="500"/>
      <c r="AB295" s="500"/>
      <c r="AC295" s="500"/>
      <c r="AD295" s="500"/>
      <c r="AE295" s="500"/>
      <c r="AF295" s="500"/>
      <c r="AG295" s="500"/>
      <c r="AH295" s="500"/>
      <c r="AI295" s="500"/>
      <c r="AJ295" s="500"/>
      <c r="AK295" s="500"/>
      <c r="AL295" s="500"/>
      <c r="AM295" s="500"/>
      <c r="AN295" s="500"/>
      <c r="AO295" s="500"/>
      <c r="AP295" s="500"/>
    </row>
    <row r="296" spans="1:42" ht="16.5" customHeight="1">
      <c r="A296" s="439"/>
      <c r="B296" s="439"/>
      <c r="C296" s="439"/>
      <c r="D296" s="439"/>
      <c r="E296" s="439"/>
      <c r="F296" s="439"/>
      <c r="Z296" s="500"/>
      <c r="AA296" s="500"/>
      <c r="AB296" s="500"/>
      <c r="AC296" s="500"/>
      <c r="AD296" s="500"/>
      <c r="AE296" s="500"/>
      <c r="AF296" s="500"/>
      <c r="AG296" s="500"/>
      <c r="AH296" s="500"/>
      <c r="AI296" s="500"/>
      <c r="AJ296" s="500"/>
      <c r="AK296" s="500"/>
      <c r="AL296" s="500"/>
      <c r="AM296" s="500"/>
      <c r="AN296" s="500"/>
      <c r="AO296" s="500"/>
      <c r="AP296" s="500"/>
    </row>
    <row r="297" spans="1:42" ht="16.5" customHeight="1">
      <c r="A297" s="439"/>
      <c r="B297" s="439"/>
      <c r="C297" s="439"/>
      <c r="D297" s="439"/>
      <c r="E297" s="439"/>
      <c r="F297" s="439"/>
      <c r="Z297" s="500"/>
      <c r="AA297" s="500"/>
      <c r="AB297" s="500"/>
      <c r="AC297" s="500"/>
      <c r="AD297" s="500"/>
      <c r="AE297" s="500"/>
      <c r="AF297" s="500"/>
      <c r="AG297" s="500"/>
      <c r="AH297" s="500"/>
      <c r="AI297" s="500"/>
      <c r="AJ297" s="500"/>
      <c r="AK297" s="500"/>
      <c r="AL297" s="500"/>
      <c r="AM297" s="500"/>
      <c r="AN297" s="500"/>
      <c r="AO297" s="500"/>
      <c r="AP297" s="500"/>
    </row>
    <row r="298" spans="1:42" ht="16.5" customHeight="1">
      <c r="A298" s="439"/>
      <c r="B298" s="439"/>
      <c r="C298" s="439"/>
      <c r="D298" s="439"/>
      <c r="E298" s="439"/>
      <c r="F298" s="439"/>
      <c r="Z298" s="500"/>
      <c r="AA298" s="500"/>
      <c r="AB298" s="500"/>
      <c r="AC298" s="500"/>
      <c r="AD298" s="500"/>
      <c r="AE298" s="500"/>
      <c r="AF298" s="500"/>
      <c r="AG298" s="500"/>
      <c r="AH298" s="500"/>
      <c r="AI298" s="500"/>
      <c r="AJ298" s="500"/>
      <c r="AK298" s="500"/>
      <c r="AL298" s="500"/>
      <c r="AM298" s="500"/>
      <c r="AN298" s="500"/>
      <c r="AO298" s="500"/>
      <c r="AP298" s="500"/>
    </row>
    <row r="299" spans="1:42" ht="16.5" customHeight="1">
      <c r="A299" s="439"/>
      <c r="B299" s="439"/>
      <c r="C299" s="439"/>
      <c r="D299" s="439"/>
      <c r="E299" s="439"/>
      <c r="F299" s="439"/>
      <c r="Z299" s="500"/>
      <c r="AA299" s="500"/>
      <c r="AB299" s="500"/>
      <c r="AC299" s="500"/>
      <c r="AD299" s="500"/>
      <c r="AE299" s="500"/>
      <c r="AF299" s="500"/>
      <c r="AG299" s="500"/>
      <c r="AH299" s="500"/>
      <c r="AI299" s="500"/>
      <c r="AJ299" s="500"/>
      <c r="AK299" s="500"/>
      <c r="AL299" s="500"/>
      <c r="AM299" s="500"/>
      <c r="AN299" s="500"/>
      <c r="AO299" s="500"/>
      <c r="AP299" s="500"/>
    </row>
    <row r="300" spans="1:42" ht="16.5" customHeight="1">
      <c r="A300" s="439"/>
      <c r="B300" s="439"/>
      <c r="C300" s="439"/>
      <c r="D300" s="439"/>
      <c r="E300" s="439"/>
      <c r="F300" s="439"/>
      <c r="Z300" s="500"/>
      <c r="AA300" s="500"/>
      <c r="AB300" s="500"/>
      <c r="AC300" s="500"/>
      <c r="AD300" s="500"/>
      <c r="AE300" s="500"/>
      <c r="AF300" s="500"/>
      <c r="AG300" s="500"/>
      <c r="AH300" s="500"/>
      <c r="AI300" s="500"/>
      <c r="AJ300" s="500"/>
      <c r="AK300" s="500"/>
      <c r="AL300" s="500"/>
      <c r="AM300" s="500"/>
      <c r="AN300" s="500"/>
      <c r="AO300" s="500"/>
      <c r="AP300" s="500"/>
    </row>
    <row r="301" spans="1:42" ht="16.5" customHeight="1">
      <c r="A301" s="439"/>
      <c r="B301" s="439"/>
      <c r="C301" s="439"/>
      <c r="D301" s="439"/>
      <c r="E301" s="439"/>
      <c r="F301" s="439"/>
      <c r="Z301" s="500"/>
      <c r="AA301" s="500"/>
      <c r="AB301" s="500"/>
      <c r="AC301" s="500"/>
      <c r="AD301" s="500"/>
      <c r="AE301" s="500"/>
      <c r="AF301" s="500"/>
      <c r="AG301" s="500"/>
      <c r="AH301" s="500"/>
      <c r="AI301" s="500"/>
      <c r="AJ301" s="500"/>
      <c r="AK301" s="500"/>
      <c r="AL301" s="500"/>
      <c r="AM301" s="500"/>
      <c r="AN301" s="500"/>
      <c r="AO301" s="500"/>
      <c r="AP301" s="500"/>
    </row>
    <row r="302" spans="1:42" ht="16.5" customHeight="1">
      <c r="A302" s="439"/>
      <c r="B302" s="439"/>
      <c r="C302" s="439"/>
      <c r="D302" s="439"/>
      <c r="E302" s="439"/>
      <c r="F302" s="439"/>
      <c r="Z302" s="500"/>
      <c r="AA302" s="500"/>
      <c r="AB302" s="500"/>
      <c r="AC302" s="500"/>
      <c r="AD302" s="500"/>
      <c r="AE302" s="500"/>
      <c r="AF302" s="500"/>
      <c r="AG302" s="500"/>
      <c r="AH302" s="500"/>
      <c r="AI302" s="500"/>
      <c r="AJ302" s="500"/>
      <c r="AK302" s="500"/>
      <c r="AL302" s="500"/>
      <c r="AM302" s="500"/>
      <c r="AN302" s="500"/>
      <c r="AO302" s="500"/>
      <c r="AP302" s="500"/>
    </row>
    <row r="303" spans="1:42" ht="16.5" customHeight="1">
      <c r="A303" s="497"/>
      <c r="B303" s="497"/>
      <c r="C303" s="497"/>
      <c r="D303" s="497"/>
      <c r="E303" s="497"/>
      <c r="F303" s="497"/>
      <c r="Z303" s="500"/>
      <c r="AA303" s="500"/>
      <c r="AB303" s="500"/>
      <c r="AC303" s="500"/>
      <c r="AD303" s="500"/>
      <c r="AE303" s="500"/>
      <c r="AF303" s="500"/>
      <c r="AG303" s="500"/>
      <c r="AH303" s="500"/>
      <c r="AI303" s="500"/>
      <c r="AJ303" s="500"/>
      <c r="AK303" s="500"/>
      <c r="AL303" s="500"/>
      <c r="AM303" s="500"/>
      <c r="AN303" s="500"/>
      <c r="AO303" s="500"/>
      <c r="AP303" s="500"/>
    </row>
    <row r="304" spans="1:42" ht="16.5" customHeight="1">
      <c r="A304" s="616" t="s">
        <v>3487</v>
      </c>
      <c r="B304" s="605"/>
      <c r="C304" s="446">
        <f>E304+D304+F304</f>
        <v>4888</v>
      </c>
      <c r="D304" s="453">
        <f>ROUNDDOWN(SUMIF(N257:N286,M304,D257:D286),0)</f>
        <v>4388</v>
      </c>
      <c r="E304" s="454">
        <f>ROUNDDOWN(SUMIF(N257:N286,M304,E257:E286),0)</f>
        <v>500</v>
      </c>
      <c r="F304" s="446">
        <f>ROUNDDOWN(SUMIF(N257:N286,M304,F257:F286),0)</f>
        <v>0</v>
      </c>
      <c r="M304" s="501" t="s">
        <v>2354</v>
      </c>
      <c r="Z304" s="500"/>
      <c r="AA304" s="500"/>
      <c r="AB304" s="500"/>
      <c r="AC304" s="500"/>
      <c r="AD304" s="500"/>
      <c r="AE304" s="500"/>
      <c r="AF304" s="500"/>
      <c r="AG304" s="500"/>
      <c r="AH304" s="500"/>
      <c r="AI304" s="500"/>
      <c r="AJ304" s="500"/>
      <c r="AK304" s="500"/>
      <c r="AL304" s="500"/>
      <c r="AM304" s="500"/>
      <c r="AN304" s="500"/>
      <c r="AO304" s="500"/>
      <c r="AP304" s="500"/>
    </row>
    <row r="305" spans="1:42" ht="16.5" customHeight="1">
      <c r="A305" s="502"/>
      <c r="B305" s="503" t="s">
        <v>1896</v>
      </c>
      <c r="C305" s="615">
        <f>C354</f>
        <v>7269</v>
      </c>
      <c r="D305" s="615">
        <f>D354</f>
        <v>6269</v>
      </c>
      <c r="E305" s="615">
        <f>E354</f>
        <v>1000</v>
      </c>
      <c r="F305" s="615">
        <f>F354</f>
        <v>0</v>
      </c>
      <c r="G305" s="486" t="str">
        <f>HYPERLINK("#G"&amp;ROW(G336),"_x0005_`BDCOD|D01294_x0007_`POSS|"&amp;ROW(G307)&amp;"_x0007_`POSE|"&amp;ROW(G336)&amp;"_x0007_`")</f>
        <v>_x0005_`BDCOD|D01294_x0007_`POSS|307_x0007_`POSE|336_x0007_`</v>
      </c>
      <c r="Z305" s="500"/>
      <c r="AA305" s="500"/>
      <c r="AB305" s="500"/>
      <c r="AC305" s="500"/>
      <c r="AD305" s="500"/>
      <c r="AE305" s="500"/>
      <c r="AF305" s="500"/>
      <c r="AG305" s="500"/>
      <c r="AH305" s="500"/>
      <c r="AI305" s="500"/>
      <c r="AJ305" s="500"/>
      <c r="AK305" s="500"/>
      <c r="AL305" s="500"/>
      <c r="AM305" s="500"/>
      <c r="AN305" s="500"/>
      <c r="AO305" s="500"/>
      <c r="AP305" s="500"/>
    </row>
    <row r="306" spans="1:42" ht="16.5" customHeight="1">
      <c r="A306" s="485"/>
      <c r="B306" s="503" t="s">
        <v>3517</v>
      </c>
      <c r="C306" s="593"/>
      <c r="D306" s="593"/>
      <c r="E306" s="593"/>
      <c r="F306" s="593"/>
      <c r="M306" s="501" t="s">
        <v>1896</v>
      </c>
      <c r="Z306" s="500"/>
      <c r="AA306" s="500"/>
      <c r="AB306" s="500"/>
      <c r="AC306" s="500"/>
      <c r="AD306" s="500"/>
      <c r="AE306" s="500"/>
      <c r="AF306" s="500"/>
      <c r="AG306" s="500"/>
      <c r="AH306" s="500"/>
      <c r="AI306" s="500"/>
      <c r="AJ306" s="500"/>
      <c r="AK306" s="500"/>
      <c r="AL306" s="500"/>
      <c r="AM306" s="500"/>
      <c r="AN306" s="500"/>
      <c r="AO306" s="500"/>
      <c r="AP306" s="500"/>
    </row>
    <row r="307" spans="1:42" ht="16.5" customHeight="1">
      <c r="A307" s="439"/>
      <c r="B307" s="439"/>
      <c r="C307" s="504"/>
      <c r="D307" s="504"/>
      <c r="E307" s="504"/>
      <c r="F307" s="504"/>
      <c r="G307" s="451" t="s">
        <v>3406</v>
      </c>
      <c r="Z307" s="500"/>
      <c r="AA307" s="500"/>
      <c r="AB307" s="500"/>
      <c r="AC307" s="500"/>
      <c r="AD307" s="500"/>
      <c r="AE307" s="500"/>
      <c r="AF307" s="500"/>
      <c r="AG307" s="500"/>
      <c r="AH307" s="500"/>
      <c r="AI307" s="500"/>
      <c r="AJ307" s="500"/>
      <c r="AK307" s="500"/>
      <c r="AL307" s="500"/>
      <c r="AM307" s="500"/>
      <c r="AN307" s="500"/>
      <c r="AO307" s="500"/>
      <c r="AP307" s="500"/>
    </row>
    <row r="308" spans="1:42" ht="16.5" customHeight="1">
      <c r="A308" s="434"/>
      <c r="B308" s="437" t="s">
        <v>3518</v>
      </c>
      <c r="C308" s="439"/>
      <c r="D308" s="439"/>
      <c r="E308" s="439"/>
      <c r="F308" s="439"/>
      <c r="G308" s="451" t="s">
        <v>3519</v>
      </c>
      <c r="Z308" s="500"/>
      <c r="AA308" s="500"/>
      <c r="AB308" s="500"/>
      <c r="AC308" s="500"/>
      <c r="AD308" s="500"/>
      <c r="AE308" s="500"/>
      <c r="AF308" s="500"/>
      <c r="AG308" s="500"/>
      <c r="AH308" s="500"/>
      <c r="AI308" s="500"/>
      <c r="AJ308" s="500"/>
      <c r="AK308" s="500"/>
      <c r="AL308" s="500"/>
      <c r="AM308" s="500"/>
      <c r="AN308" s="500"/>
      <c r="AO308" s="500"/>
      <c r="AP308" s="500"/>
    </row>
    <row r="309" spans="1:42" ht="16.5" customHeight="1">
      <c r="A309" s="439"/>
      <c r="B309" s="439"/>
      <c r="C309" s="439"/>
      <c r="D309" s="439"/>
      <c r="E309" s="439"/>
      <c r="F309" s="439"/>
      <c r="G309" s="451" t="s">
        <v>3406</v>
      </c>
      <c r="Z309" s="500"/>
      <c r="AA309" s="500"/>
      <c r="AB309" s="500"/>
      <c r="AC309" s="500"/>
      <c r="AD309" s="500"/>
      <c r="AE309" s="500"/>
      <c r="AF309" s="500"/>
      <c r="AG309" s="500"/>
      <c r="AH309" s="500"/>
      <c r="AI309" s="500"/>
      <c r="AJ309" s="500"/>
      <c r="AK309" s="500"/>
      <c r="AL309" s="500"/>
      <c r="AM309" s="500"/>
      <c r="AN309" s="500"/>
      <c r="AO309" s="500"/>
      <c r="AP309" s="500"/>
    </row>
    <row r="310" spans="1:42" ht="16.5" customHeight="1">
      <c r="A310" s="434"/>
      <c r="B310" s="437" t="s">
        <v>3491</v>
      </c>
      <c r="C310" s="439"/>
      <c r="D310" s="439"/>
      <c r="E310" s="439"/>
      <c r="F310" s="439"/>
      <c r="G310" s="451" t="s">
        <v>3492</v>
      </c>
      <c r="Z310" s="500"/>
      <c r="AA310" s="500"/>
      <c r="AB310" s="500"/>
      <c r="AC310" s="500"/>
      <c r="AD310" s="500"/>
      <c r="AE310" s="500"/>
      <c r="AF310" s="500"/>
      <c r="AG310" s="500"/>
      <c r="AH310" s="500"/>
      <c r="AI310" s="500"/>
      <c r="AJ310" s="500"/>
      <c r="AK310" s="500"/>
      <c r="AL310" s="500"/>
      <c r="AM310" s="500"/>
      <c r="AN310" s="500"/>
      <c r="AO310" s="500"/>
      <c r="AP310" s="500"/>
    </row>
    <row r="311" spans="1:42" ht="16.5" customHeight="1">
      <c r="A311" s="439"/>
      <c r="B311" s="439"/>
      <c r="C311" s="439"/>
      <c r="D311" s="439"/>
      <c r="E311" s="439"/>
      <c r="F311" s="439"/>
      <c r="G311" s="451" t="s">
        <v>3406</v>
      </c>
      <c r="Z311" s="500"/>
      <c r="AA311" s="500"/>
      <c r="AB311" s="500"/>
      <c r="AC311" s="500"/>
      <c r="AD311" s="500"/>
      <c r="AE311" s="500"/>
      <c r="AF311" s="500"/>
      <c r="AG311" s="500"/>
      <c r="AH311" s="500"/>
      <c r="AI311" s="500"/>
      <c r="AJ311" s="500"/>
      <c r="AK311" s="500"/>
      <c r="AL311" s="500"/>
      <c r="AM311" s="500"/>
      <c r="AN311" s="500"/>
      <c r="AO311" s="500"/>
      <c r="AP311" s="500"/>
    </row>
    <row r="312" spans="1:42" ht="16.5" customHeight="1">
      <c r="A312" s="434"/>
      <c r="B312" s="437" t="str">
        <f>" 일당 작업량 :   Q1 = "&amp;Z312&amp;"  주 "</f>
        <v xml:space="preserve"> 일당 작업량 :   Q1 = 140  주 </v>
      </c>
      <c r="C312" s="439"/>
      <c r="D312" s="439"/>
      <c r="E312" s="439"/>
      <c r="F312" s="439"/>
      <c r="G312" s="451" t="s">
        <v>3520</v>
      </c>
      <c r="Z312" s="515">
        <v>140</v>
      </c>
      <c r="AA312" s="501" t="s">
        <v>3418</v>
      </c>
      <c r="AB312" s="512">
        <f>Z312</f>
        <v>140</v>
      </c>
      <c r="AC312" s="500"/>
      <c r="AD312" s="500"/>
      <c r="AE312" s="500"/>
      <c r="AF312" s="500"/>
      <c r="AG312" s="500"/>
      <c r="AH312" s="500"/>
      <c r="AI312" s="500"/>
      <c r="AJ312" s="500"/>
      <c r="AK312" s="500"/>
      <c r="AL312" s="500"/>
      <c r="AM312" s="500"/>
      <c r="AN312" s="500"/>
      <c r="AO312" s="500"/>
      <c r="AP312" s="500"/>
    </row>
    <row r="313" spans="1:42" ht="16.5" customHeight="1">
      <c r="A313" s="439"/>
      <c r="B313" s="439"/>
      <c r="C313" s="439"/>
      <c r="D313" s="439"/>
      <c r="E313" s="439"/>
      <c r="F313" s="439"/>
      <c r="G313" s="451" t="s">
        <v>3406</v>
      </c>
      <c r="Z313" s="500"/>
      <c r="AA313" s="500"/>
      <c r="AB313" s="500"/>
      <c r="AC313" s="500"/>
      <c r="AD313" s="500"/>
      <c r="AE313" s="500"/>
      <c r="AF313" s="500"/>
      <c r="AG313" s="500"/>
      <c r="AH313" s="500"/>
      <c r="AI313" s="500"/>
      <c r="AJ313" s="500"/>
      <c r="AK313" s="500"/>
      <c r="AL313" s="500"/>
      <c r="AM313" s="500"/>
      <c r="AN313" s="500"/>
      <c r="AO313" s="500"/>
      <c r="AP313" s="500"/>
    </row>
    <row r="314" spans="1:42" ht="16.5" customHeight="1">
      <c r="A314" s="434"/>
      <c r="B314" s="437" t="s">
        <v>3494</v>
      </c>
      <c r="C314" s="439"/>
      <c r="D314" s="439"/>
      <c r="E314" s="439"/>
      <c r="F314" s="439"/>
      <c r="G314" s="451" t="s">
        <v>3495</v>
      </c>
      <c r="Z314" s="500"/>
      <c r="AA314" s="500"/>
      <c r="AB314" s="500"/>
      <c r="AC314" s="500"/>
      <c r="AD314" s="500"/>
      <c r="AE314" s="500"/>
      <c r="AF314" s="500"/>
      <c r="AG314" s="500"/>
      <c r="AH314" s="500"/>
      <c r="AI314" s="500"/>
      <c r="AJ314" s="500"/>
      <c r="AK314" s="500"/>
      <c r="AL314" s="500"/>
      <c r="AM314" s="500"/>
      <c r="AN314" s="500"/>
      <c r="AO314" s="500"/>
      <c r="AP314" s="500"/>
    </row>
    <row r="315" spans="1:42" ht="16.5" customHeight="1">
      <c r="A315" s="439"/>
      <c r="B315" s="439"/>
      <c r="C315" s="439"/>
      <c r="D315" s="439"/>
      <c r="E315" s="439"/>
      <c r="F315" s="439"/>
      <c r="G315" s="451" t="s">
        <v>3406</v>
      </c>
      <c r="Z315" s="500"/>
      <c r="AA315" s="500"/>
      <c r="AB315" s="500"/>
      <c r="AC315" s="500"/>
      <c r="AD315" s="500"/>
      <c r="AE315" s="500"/>
      <c r="AF315" s="500"/>
      <c r="AG315" s="500"/>
      <c r="AH315" s="500"/>
      <c r="AI315" s="500"/>
      <c r="AJ315" s="500"/>
      <c r="AK315" s="500"/>
      <c r="AL315" s="500"/>
      <c r="AM315" s="500"/>
      <c r="AN315" s="500"/>
      <c r="AO315" s="500"/>
      <c r="AP315" s="500"/>
    </row>
    <row r="316" spans="1:42" ht="16.5" customHeight="1">
      <c r="A316" s="439"/>
      <c r="B316" s="439"/>
      <c r="C316" s="439"/>
      <c r="D316" s="439"/>
      <c r="E316" s="439"/>
      <c r="F316" s="439"/>
      <c r="G316" s="451" t="s">
        <v>3406</v>
      </c>
      <c r="Z316" s="500"/>
      <c r="AA316" s="500"/>
      <c r="AB316" s="500"/>
      <c r="AC316" s="500"/>
      <c r="AD316" s="500"/>
      <c r="AE316" s="500"/>
      <c r="AF316" s="500"/>
      <c r="AG316" s="500"/>
      <c r="AH316" s="500"/>
      <c r="AI316" s="500"/>
      <c r="AJ316" s="500"/>
      <c r="AK316" s="500"/>
      <c r="AL316" s="500"/>
      <c r="AM316" s="500"/>
      <c r="AN316" s="500"/>
      <c r="AO316" s="500"/>
      <c r="AP316" s="500"/>
    </row>
    <row r="317" spans="1:42" ht="16.5" customHeight="1">
      <c r="A317" s="439"/>
      <c r="B317" s="439"/>
      <c r="C317" s="439"/>
      <c r="D317" s="439"/>
      <c r="E317" s="439"/>
      <c r="F317" s="439"/>
      <c r="G317" s="451" t="s">
        <v>3406</v>
      </c>
      <c r="Z317" s="500"/>
      <c r="AA317" s="500"/>
      <c r="AB317" s="500"/>
      <c r="AC317" s="500"/>
      <c r="AD317" s="500"/>
      <c r="AE317" s="500"/>
      <c r="AF317" s="500"/>
      <c r="AG317" s="500"/>
      <c r="AH317" s="500"/>
      <c r="AI317" s="500"/>
      <c r="AJ317" s="500"/>
      <c r="AK317" s="500"/>
      <c r="AL317" s="500"/>
      <c r="AM317" s="500"/>
      <c r="AN317" s="500"/>
      <c r="AO317" s="500"/>
      <c r="AP317" s="500"/>
    </row>
    <row r="318" spans="1:42" ht="16.5" customHeight="1">
      <c r="A318" s="439"/>
      <c r="B318" s="439"/>
      <c r="C318" s="439"/>
      <c r="D318" s="439"/>
      <c r="E318" s="439"/>
      <c r="F318" s="439"/>
      <c r="G318" s="451" t="s">
        <v>3406</v>
      </c>
      <c r="Z318" s="500"/>
      <c r="AA318" s="500"/>
      <c r="AB318" s="500"/>
      <c r="AC318" s="500"/>
      <c r="AD318" s="500"/>
      <c r="AE318" s="500"/>
      <c r="AF318" s="500"/>
      <c r="AG318" s="500"/>
      <c r="AH318" s="500"/>
      <c r="AI318" s="500"/>
      <c r="AJ318" s="500"/>
      <c r="AK318" s="500"/>
      <c r="AL318" s="500"/>
      <c r="AM318" s="500"/>
      <c r="AN318" s="500"/>
      <c r="AO318" s="500"/>
      <c r="AP318" s="500"/>
    </row>
    <row r="319" spans="1:42" ht="16.5" customHeight="1">
      <c r="A319" s="434"/>
      <c r="B319" s="437" t="s">
        <v>3496</v>
      </c>
      <c r="C319" s="439"/>
      <c r="D319" s="439"/>
      <c r="E319" s="439"/>
      <c r="F319" s="439"/>
      <c r="G319" s="451" t="s">
        <v>3497</v>
      </c>
      <c r="Z319" s="500"/>
      <c r="AA319" s="500"/>
      <c r="AB319" s="500"/>
      <c r="AC319" s="500"/>
      <c r="AD319" s="500"/>
      <c r="AE319" s="500"/>
      <c r="AF319" s="500"/>
      <c r="AG319" s="500"/>
      <c r="AH319" s="500"/>
      <c r="AI319" s="500"/>
      <c r="AJ319" s="500"/>
      <c r="AK319" s="500"/>
      <c r="AL319" s="500"/>
      <c r="AM319" s="500"/>
      <c r="AN319" s="500"/>
      <c r="AO319" s="500"/>
      <c r="AP319" s="500"/>
    </row>
    <row r="320" spans="1:42" ht="16.5" customHeight="1">
      <c r="A320" s="439"/>
      <c r="B320" s="439"/>
      <c r="C320" s="439"/>
      <c r="D320" s="439"/>
      <c r="E320" s="439"/>
      <c r="F320" s="439"/>
      <c r="G320" s="451" t="s">
        <v>3406</v>
      </c>
      <c r="Z320" s="500"/>
      <c r="AA320" s="500"/>
      <c r="AB320" s="500"/>
      <c r="AC320" s="500"/>
      <c r="AD320" s="500"/>
      <c r="AE320" s="500"/>
      <c r="AF320" s="500"/>
      <c r="AG320" s="500"/>
      <c r="AH320" s="500"/>
      <c r="AI320" s="500"/>
      <c r="AJ320" s="500"/>
      <c r="AK320" s="500"/>
      <c r="AL320" s="500"/>
      <c r="AM320" s="500"/>
      <c r="AN320" s="500"/>
      <c r="AO320" s="500"/>
      <c r="AP320" s="500"/>
    </row>
    <row r="321" spans="1:42" ht="16.5" customHeight="1">
      <c r="A321" s="434" t="s">
        <v>3498</v>
      </c>
      <c r="B321" s="505" t="str">
        <f>" 조경공 :  "&amp;TEXT(I321,"#,##0"&amp;IF(I321&lt;&gt;INT(I321),".###",""))&amp;" * "&amp;AA321&amp;" 인  / Q1 = "&amp;TEXT(C321,"#,##0.0")&amp;""</f>
        <v xml:space="preserve"> 조경공 :  235,204 * 3 인  / Q1 = 5,040.0</v>
      </c>
      <c r="C321" s="506">
        <f>E321+D321+F321</f>
        <v>5040</v>
      </c>
      <c r="D321" s="506">
        <f>IF(H321=0,0,ROUNDDOWN(J321*H321,1))</f>
        <v>5040</v>
      </c>
      <c r="E321" s="506">
        <f>IF(H321=0,0,ROUNDDOWN(K321*H321,1))</f>
        <v>0</v>
      </c>
      <c r="F321" s="506">
        <f>IF(H321=0,0,ROUNDDOWN(L321*H321,1))</f>
        <v>0</v>
      </c>
      <c r="G321" s="451" t="s">
        <v>3499</v>
      </c>
      <c r="H321" s="507">
        <f>ROUNDUP(AE321,14-LEN(ABS(INT(AE321))))</f>
        <v>2.14285714286E-2</v>
      </c>
      <c r="I321" s="508">
        <f>K321+J321+L321</f>
        <v>235204</v>
      </c>
      <c r="J321" s="509">
        <f>노무비목록표!E15</f>
        <v>235204</v>
      </c>
      <c r="M321" s="501" t="s">
        <v>2359</v>
      </c>
      <c r="N321" s="501" t="s">
        <v>3416</v>
      </c>
      <c r="X321" s="510" t="str">
        <f>노무비목록표!B15&amp;" / "&amp;노무비목록표!C15</f>
        <v xml:space="preserve">조경공 / </v>
      </c>
      <c r="Y321" s="433" t="str">
        <f ca="1">HYPERLINK("#"&amp;노무비목록표!G2&amp;"!A"&amp;ROW(노무비목록표!A15),"L00184 →")</f>
        <v>L00184 →</v>
      </c>
      <c r="Z321" s="501" t="s">
        <v>3500</v>
      </c>
      <c r="AA321" s="515">
        <v>3</v>
      </c>
      <c r="AB321" s="501" t="s">
        <v>3428</v>
      </c>
      <c r="AC321" s="512">
        <f>AB312</f>
        <v>140</v>
      </c>
      <c r="AD321" s="501" t="s">
        <v>3418</v>
      </c>
      <c r="AE321" s="512">
        <f>1*AA321/AB312</f>
        <v>2.1428571428571429E-2</v>
      </c>
      <c r="AF321" s="500"/>
      <c r="AG321" s="500"/>
      <c r="AH321" s="500"/>
      <c r="AI321" s="500"/>
      <c r="AJ321" s="500"/>
      <c r="AK321" s="500"/>
      <c r="AL321" s="500"/>
      <c r="AM321" s="500"/>
      <c r="AN321" s="500"/>
      <c r="AO321" s="500"/>
      <c r="AP321" s="500"/>
    </row>
    <row r="322" spans="1:42" ht="16.5" customHeight="1">
      <c r="A322" s="439"/>
      <c r="B322" s="439"/>
      <c r="C322" s="439"/>
      <c r="D322" s="439"/>
      <c r="E322" s="439"/>
      <c r="F322" s="439"/>
      <c r="G322" s="451" t="s">
        <v>3406</v>
      </c>
      <c r="Z322" s="500"/>
      <c r="AA322" s="500"/>
      <c r="AB322" s="500"/>
      <c r="AC322" s="500"/>
      <c r="AD322" s="500"/>
      <c r="AE322" s="500"/>
      <c r="AF322" s="500"/>
      <c r="AG322" s="500"/>
      <c r="AH322" s="500"/>
      <c r="AI322" s="500"/>
      <c r="AJ322" s="500"/>
      <c r="AK322" s="500"/>
      <c r="AL322" s="500"/>
      <c r="AM322" s="500"/>
      <c r="AN322" s="500"/>
      <c r="AO322" s="500"/>
      <c r="AP322" s="500"/>
    </row>
    <row r="323" spans="1:42" ht="16.5" customHeight="1">
      <c r="A323" s="439"/>
      <c r="B323" s="439"/>
      <c r="C323" s="439"/>
      <c r="D323" s="439"/>
      <c r="E323" s="439"/>
      <c r="F323" s="439"/>
      <c r="G323" s="451" t="s">
        <v>3406</v>
      </c>
      <c r="Z323" s="500"/>
      <c r="AA323" s="500"/>
      <c r="AB323" s="500"/>
      <c r="AC323" s="500"/>
      <c r="AD323" s="500"/>
      <c r="AE323" s="500"/>
      <c r="AF323" s="500"/>
      <c r="AG323" s="500"/>
      <c r="AH323" s="500"/>
      <c r="AI323" s="500"/>
      <c r="AJ323" s="500"/>
      <c r="AK323" s="500"/>
      <c r="AL323" s="500"/>
      <c r="AM323" s="500"/>
      <c r="AN323" s="500"/>
      <c r="AO323" s="500"/>
      <c r="AP323" s="500"/>
    </row>
    <row r="324" spans="1:42" ht="16.5" customHeight="1">
      <c r="A324" s="434" t="s">
        <v>3414</v>
      </c>
      <c r="B324" s="505" t="str">
        <f>" 보통인부 : "&amp;TEXT(I324,"#,##0"&amp;IF(I324&lt;&gt;INT(I324),".###",""))&amp;" * "&amp;AA324&amp;" 인  / Q1 = "&amp;TEXT(C324,"#,##0.0")&amp;""</f>
        <v xml:space="preserve"> 보통인부 : 172,068 * 1 인  / Q1 = 1,229.0</v>
      </c>
      <c r="C324" s="506">
        <f>E324+D324+F324</f>
        <v>1229</v>
      </c>
      <c r="D324" s="506">
        <f>IF(H324=0,0,ROUNDDOWN(J324*H324,1))</f>
        <v>1229</v>
      </c>
      <c r="E324" s="506">
        <f>IF(H324=0,0,ROUNDDOWN(K324*H324,1))</f>
        <v>0</v>
      </c>
      <c r="F324" s="506">
        <f>IF(H324=0,0,ROUNDDOWN(L324*H324,1))</f>
        <v>0</v>
      </c>
      <c r="G324" s="451" t="s">
        <v>3501</v>
      </c>
      <c r="H324" s="507">
        <f>ROUNDUP(AE324,14-LEN(ABS(INT(AE324))))</f>
        <v>7.1428571428999998E-3</v>
      </c>
      <c r="I324" s="508">
        <f>K324+J324+L324</f>
        <v>172068</v>
      </c>
      <c r="J324" s="509">
        <f>노무비목록표!E10</f>
        <v>172068</v>
      </c>
      <c r="M324" s="501" t="s">
        <v>2363</v>
      </c>
      <c r="N324" s="501" t="s">
        <v>3416</v>
      </c>
      <c r="X324" s="510" t="str">
        <f>노무비목록표!B10&amp;" / "&amp;노무비목록표!C10</f>
        <v xml:space="preserve">보통인부 / </v>
      </c>
      <c r="Y324" s="433" t="str">
        <f ca="1">HYPERLINK("#"&amp;노무비목록표!G2&amp;"!A"&amp;ROW(노무비목록표!A10),"L00017 →")</f>
        <v>L00017 →</v>
      </c>
      <c r="Z324" s="501" t="s">
        <v>3500</v>
      </c>
      <c r="AA324" s="515">
        <v>1</v>
      </c>
      <c r="AB324" s="501" t="s">
        <v>3428</v>
      </c>
      <c r="AC324" s="512">
        <f>AB312</f>
        <v>140</v>
      </c>
      <c r="AD324" s="501" t="s">
        <v>3418</v>
      </c>
      <c r="AE324" s="512">
        <f>1*AA324/AB312</f>
        <v>7.1428571428571426E-3</v>
      </c>
      <c r="AF324" s="500"/>
      <c r="AG324" s="500"/>
      <c r="AH324" s="500"/>
      <c r="AI324" s="500"/>
      <c r="AJ324" s="500"/>
      <c r="AK324" s="500"/>
      <c r="AL324" s="500"/>
      <c r="AM324" s="500"/>
      <c r="AN324" s="500"/>
      <c r="AO324" s="500"/>
      <c r="AP324" s="500"/>
    </row>
    <row r="325" spans="1:42" ht="16.5" customHeight="1">
      <c r="A325" s="439"/>
      <c r="B325" s="439"/>
      <c r="C325" s="439"/>
      <c r="D325" s="439"/>
      <c r="E325" s="439"/>
      <c r="F325" s="439"/>
      <c r="G325" s="451" t="s">
        <v>3406</v>
      </c>
      <c r="Z325" s="500"/>
      <c r="AA325" s="500"/>
      <c r="AB325" s="500"/>
      <c r="AC325" s="500"/>
      <c r="AD325" s="500"/>
      <c r="AE325" s="500"/>
      <c r="AF325" s="500"/>
      <c r="AG325" s="500"/>
      <c r="AH325" s="500"/>
      <c r="AI325" s="500"/>
      <c r="AJ325" s="500"/>
      <c r="AK325" s="500"/>
      <c r="AL325" s="500"/>
      <c r="AM325" s="500"/>
      <c r="AN325" s="500"/>
      <c r="AO325" s="500"/>
      <c r="AP325" s="500"/>
    </row>
    <row r="326" spans="1:42" ht="16.5" customHeight="1">
      <c r="A326" s="434"/>
      <c r="B326" s="437" t="s">
        <v>3419</v>
      </c>
      <c r="C326" s="513">
        <f>E326+D326+F326</f>
        <v>6269</v>
      </c>
      <c r="D326" s="513">
        <f>SUMIF(N307:N325,M326,D307:D325)</f>
        <v>6269</v>
      </c>
      <c r="E326" s="513">
        <f>SUMIF(N307:N325,M326,E307:E325)</f>
        <v>0</v>
      </c>
      <c r="F326" s="513">
        <f>SUMIF(N307:N325,M326,F307:F325)</f>
        <v>0</v>
      </c>
      <c r="G326" s="451" t="s">
        <v>3439</v>
      </c>
      <c r="M326" s="501" t="s">
        <v>3416</v>
      </c>
      <c r="N326" s="501" t="s">
        <v>3421</v>
      </c>
      <c r="Z326" s="500"/>
      <c r="AA326" s="500"/>
      <c r="AB326" s="500"/>
      <c r="AC326" s="500"/>
      <c r="AD326" s="500"/>
      <c r="AE326" s="500"/>
      <c r="AF326" s="500"/>
      <c r="AG326" s="500"/>
      <c r="AH326" s="500"/>
      <c r="AI326" s="500"/>
      <c r="AJ326" s="500"/>
      <c r="AK326" s="500"/>
      <c r="AL326" s="500"/>
      <c r="AM326" s="500"/>
      <c r="AN326" s="500"/>
      <c r="AO326" s="500"/>
      <c r="AP326" s="500"/>
    </row>
    <row r="327" spans="1:42" ht="16.5" customHeight="1">
      <c r="A327" s="439"/>
      <c r="B327" s="439"/>
      <c r="C327" s="504"/>
      <c r="D327" s="504"/>
      <c r="E327" s="504"/>
      <c r="F327" s="504"/>
      <c r="G327" s="451" t="s">
        <v>3406</v>
      </c>
      <c r="Z327" s="500"/>
      <c r="AA327" s="500"/>
      <c r="AB327" s="500"/>
      <c r="AC327" s="500"/>
      <c r="AD327" s="500"/>
      <c r="AE327" s="500"/>
      <c r="AF327" s="500"/>
      <c r="AG327" s="500"/>
      <c r="AH327" s="500"/>
      <c r="AI327" s="500"/>
      <c r="AJ327" s="500"/>
      <c r="AK327" s="500"/>
      <c r="AL327" s="500"/>
      <c r="AM327" s="500"/>
      <c r="AN327" s="500"/>
      <c r="AO327" s="500"/>
      <c r="AP327" s="500"/>
    </row>
    <row r="328" spans="1:42" ht="16.5" customHeight="1">
      <c r="A328" s="439"/>
      <c r="B328" s="439"/>
      <c r="C328" s="439"/>
      <c r="D328" s="439"/>
      <c r="E328" s="439"/>
      <c r="F328" s="439"/>
      <c r="G328" s="451" t="s">
        <v>3406</v>
      </c>
      <c r="Z328" s="500"/>
      <c r="AA328" s="500"/>
      <c r="AB328" s="500"/>
      <c r="AC328" s="500"/>
      <c r="AD328" s="500"/>
      <c r="AE328" s="500"/>
      <c r="AF328" s="500"/>
      <c r="AG328" s="500"/>
      <c r="AH328" s="500"/>
      <c r="AI328" s="500"/>
      <c r="AJ328" s="500"/>
      <c r="AK328" s="500"/>
      <c r="AL328" s="500"/>
      <c r="AM328" s="500"/>
      <c r="AN328" s="500"/>
      <c r="AO328" s="500"/>
      <c r="AP328" s="500"/>
    </row>
    <row r="329" spans="1:42" ht="16.5" customHeight="1">
      <c r="A329" s="434"/>
      <c r="B329" s="437" t="s">
        <v>3502</v>
      </c>
      <c r="C329" s="439"/>
      <c r="D329" s="439"/>
      <c r="E329" s="439"/>
      <c r="F329" s="439"/>
      <c r="G329" s="451" t="s">
        <v>3503</v>
      </c>
      <c r="Z329" s="500"/>
      <c r="AA329" s="500"/>
      <c r="AB329" s="500"/>
      <c r="AC329" s="500"/>
      <c r="AD329" s="500"/>
      <c r="AE329" s="500"/>
      <c r="AF329" s="500"/>
      <c r="AG329" s="500"/>
      <c r="AH329" s="500"/>
      <c r="AI329" s="500"/>
      <c r="AJ329" s="500"/>
      <c r="AK329" s="500"/>
      <c r="AL329" s="500"/>
      <c r="AM329" s="500"/>
      <c r="AN329" s="500"/>
      <c r="AO329" s="500"/>
      <c r="AP329" s="500"/>
    </row>
    <row r="330" spans="1:42" ht="16.5" customHeight="1">
      <c r="A330" s="439"/>
      <c r="B330" s="439"/>
      <c r="C330" s="439"/>
      <c r="D330" s="439"/>
      <c r="E330" s="439"/>
      <c r="F330" s="439"/>
      <c r="G330" s="451" t="s">
        <v>3406</v>
      </c>
      <c r="Z330" s="500"/>
      <c r="AA330" s="500"/>
      <c r="AB330" s="500"/>
      <c r="AC330" s="500"/>
      <c r="AD330" s="500"/>
      <c r="AE330" s="500"/>
      <c r="AF330" s="500"/>
      <c r="AG330" s="500"/>
      <c r="AH330" s="500"/>
      <c r="AI330" s="500"/>
      <c r="AJ330" s="500"/>
      <c r="AK330" s="500"/>
      <c r="AL330" s="500"/>
      <c r="AM330" s="500"/>
      <c r="AN330" s="500"/>
      <c r="AO330" s="500"/>
      <c r="AP330" s="500"/>
    </row>
    <row r="331" spans="1:42" ht="16.5" customHeight="1">
      <c r="A331" s="434" t="s">
        <v>3504</v>
      </c>
      <c r="B331" s="505" t="str">
        <f>"  유기질비료 수목이식·식재용 : "&amp;TEXT(I331,"#,##0"&amp;IF(I331&lt;&gt;INT(I331),".###",""))&amp;" * "&amp;AA331&amp;" KG  / Q1 = "&amp;TEXT(C331,"#,##0.0")&amp;""</f>
        <v xml:space="preserve">  유기질비료 수목이식·식재용 : 500 * 280 KG  / Q1 = 1,000.0</v>
      </c>
      <c r="C331" s="506">
        <f>E331+D331+F331</f>
        <v>1000</v>
      </c>
      <c r="D331" s="506">
        <f>IF(H331=0,0,ROUNDDOWN(J331*H331,1))</f>
        <v>0</v>
      </c>
      <c r="E331" s="506">
        <f>IF(H331=0,0,ROUNDDOWN(K331*H331,1))</f>
        <v>1000</v>
      </c>
      <c r="F331" s="506">
        <f>IF(H331=0,0,ROUNDDOWN(L331*H331,1))</f>
        <v>0</v>
      </c>
      <c r="G331" s="451" t="s">
        <v>3521</v>
      </c>
      <c r="H331" s="507">
        <f>ROUNDUP(AE331,14-LEN(ABS(INT(AE331))))</f>
        <v>2</v>
      </c>
      <c r="I331" s="508">
        <f>K331+J331+L331</f>
        <v>500</v>
      </c>
      <c r="K331" s="509">
        <f>재료비목록표!E78</f>
        <v>500</v>
      </c>
      <c r="M331" s="501" t="s">
        <v>3506</v>
      </c>
      <c r="N331" s="501" t="s">
        <v>3416</v>
      </c>
      <c r="X331" s="510" t="str">
        <f>재료비목록표!B78&amp;" / "&amp;재료비목록표!C78</f>
        <v>유기질비료 / 수목이식·식재용</v>
      </c>
      <c r="Y331" s="433" t="str">
        <f ca="1">HYPERLINK("#"&amp;재료비목록표!G2&amp;"!A"&amp;ROW(재료비목록표!A78),"M01159 →")</f>
        <v>M01159 →</v>
      </c>
      <c r="Z331" s="501" t="s">
        <v>3500</v>
      </c>
      <c r="AA331" s="515">
        <v>280</v>
      </c>
      <c r="AB331" s="501" t="s">
        <v>3428</v>
      </c>
      <c r="AC331" s="512">
        <f>AB312</f>
        <v>140</v>
      </c>
      <c r="AD331" s="501" t="s">
        <v>3418</v>
      </c>
      <c r="AE331" s="512">
        <f>1*AA331/AB312</f>
        <v>2</v>
      </c>
      <c r="AF331" s="500"/>
      <c r="AG331" s="500"/>
      <c r="AH331" s="500"/>
      <c r="AI331" s="500"/>
      <c r="AJ331" s="500"/>
      <c r="AK331" s="500"/>
      <c r="AL331" s="500"/>
      <c r="AM331" s="500"/>
      <c r="AN331" s="500"/>
      <c r="AO331" s="500"/>
      <c r="AP331" s="500"/>
    </row>
    <row r="332" spans="1:42" ht="16.5" customHeight="1">
      <c r="A332" s="439"/>
      <c r="B332" s="439"/>
      <c r="C332" s="439"/>
      <c r="D332" s="439"/>
      <c r="E332" s="439"/>
      <c r="F332" s="439"/>
      <c r="G332" s="451" t="s">
        <v>3406</v>
      </c>
      <c r="Z332" s="500"/>
      <c r="AA332" s="500"/>
      <c r="AB332" s="500"/>
      <c r="AC332" s="500"/>
      <c r="AD332" s="500"/>
      <c r="AE332" s="500"/>
      <c r="AF332" s="500"/>
      <c r="AG332" s="500"/>
      <c r="AH332" s="500"/>
      <c r="AI332" s="500"/>
      <c r="AJ332" s="500"/>
      <c r="AK332" s="500"/>
      <c r="AL332" s="500"/>
      <c r="AM332" s="500"/>
      <c r="AN332" s="500"/>
      <c r="AO332" s="500"/>
      <c r="AP332" s="500"/>
    </row>
    <row r="333" spans="1:42" ht="16.5" customHeight="1">
      <c r="A333" s="434"/>
      <c r="B333" s="437" t="s">
        <v>3419</v>
      </c>
      <c r="C333" s="513">
        <f>E333+D333+F333</f>
        <v>1000</v>
      </c>
      <c r="D333" s="513">
        <f>SUMIF(N327:N332,M333,D327:D332)</f>
        <v>0</v>
      </c>
      <c r="E333" s="513">
        <f>SUMIF(N327:N332,M333,E327:E332)</f>
        <v>1000</v>
      </c>
      <c r="F333" s="513">
        <f>SUMIF(N327:N332,M333,F327:F332)</f>
        <v>0</v>
      </c>
      <c r="G333" s="451" t="s">
        <v>3439</v>
      </c>
      <c r="M333" s="501" t="s">
        <v>3416</v>
      </c>
      <c r="N333" s="501" t="s">
        <v>3421</v>
      </c>
      <c r="Z333" s="500"/>
      <c r="AA333" s="500"/>
      <c r="AB333" s="500"/>
      <c r="AC333" s="500"/>
      <c r="AD333" s="500"/>
      <c r="AE333" s="500"/>
      <c r="AF333" s="500"/>
      <c r="AG333" s="500"/>
      <c r="AH333" s="500"/>
      <c r="AI333" s="500"/>
      <c r="AJ333" s="500"/>
      <c r="AK333" s="500"/>
      <c r="AL333" s="500"/>
      <c r="AM333" s="500"/>
      <c r="AN333" s="500"/>
      <c r="AO333" s="500"/>
      <c r="AP333" s="500"/>
    </row>
    <row r="334" spans="1:42" ht="16.5" customHeight="1">
      <c r="A334" s="439"/>
      <c r="B334" s="439"/>
      <c r="C334" s="504"/>
      <c r="D334" s="504"/>
      <c r="E334" s="504"/>
      <c r="F334" s="504"/>
      <c r="G334" s="451" t="s">
        <v>3406</v>
      </c>
      <c r="Z334" s="500"/>
      <c r="AA334" s="500"/>
      <c r="AB334" s="500"/>
      <c r="AC334" s="500"/>
      <c r="AD334" s="500"/>
      <c r="AE334" s="500"/>
      <c r="AF334" s="500"/>
      <c r="AG334" s="500"/>
      <c r="AH334" s="500"/>
      <c r="AI334" s="500"/>
      <c r="AJ334" s="500"/>
      <c r="AK334" s="500"/>
      <c r="AL334" s="500"/>
      <c r="AM334" s="500"/>
      <c r="AN334" s="500"/>
      <c r="AO334" s="500"/>
      <c r="AP334" s="500"/>
    </row>
    <row r="335" spans="1:42" ht="16.5" customHeight="1">
      <c r="A335" s="434"/>
      <c r="B335" s="437" t="s">
        <v>3440</v>
      </c>
      <c r="C335" s="513">
        <f>E335+D335+F335</f>
        <v>7269</v>
      </c>
      <c r="D335" s="513">
        <f>SUMIF(N307:N334,M335,D307:D334)</f>
        <v>6269</v>
      </c>
      <c r="E335" s="513">
        <f>SUMIF(N307:N334,M335,E307:E334)</f>
        <v>1000</v>
      </c>
      <c r="F335" s="513">
        <f>SUMIF(N307:N334,M335,F307:F334)</f>
        <v>0</v>
      </c>
      <c r="G335" s="451" t="s">
        <v>3441</v>
      </c>
      <c r="M335" s="501" t="s">
        <v>3421</v>
      </c>
      <c r="N335" s="501" t="s">
        <v>2354</v>
      </c>
      <c r="Z335" s="500"/>
      <c r="AA335" s="500"/>
      <c r="AB335" s="500"/>
      <c r="AC335" s="500"/>
      <c r="AD335" s="500"/>
      <c r="AE335" s="500"/>
      <c r="AF335" s="500"/>
      <c r="AG335" s="500"/>
      <c r="AH335" s="500"/>
      <c r="AI335" s="500"/>
      <c r="AJ335" s="500"/>
      <c r="AK335" s="500"/>
      <c r="AL335" s="500"/>
      <c r="AM335" s="500"/>
      <c r="AN335" s="500"/>
      <c r="AO335" s="500"/>
      <c r="AP335" s="500"/>
    </row>
    <row r="336" spans="1:42" ht="16.5" customHeight="1">
      <c r="A336" s="439"/>
      <c r="B336" s="439"/>
      <c r="C336" s="504"/>
      <c r="D336" s="504"/>
      <c r="E336" s="504"/>
      <c r="F336" s="504"/>
      <c r="G336" s="451" t="s">
        <v>3413</v>
      </c>
      <c r="Z336" s="500"/>
      <c r="AA336" s="500"/>
      <c r="AB336" s="500"/>
      <c r="AC336" s="500"/>
      <c r="AD336" s="500"/>
      <c r="AE336" s="500"/>
      <c r="AF336" s="500"/>
      <c r="AG336" s="500"/>
      <c r="AH336" s="500"/>
      <c r="AI336" s="500"/>
      <c r="AJ336" s="500"/>
      <c r="AK336" s="500"/>
      <c r="AL336" s="500"/>
      <c r="AM336" s="500"/>
      <c r="AN336" s="500"/>
      <c r="AO336" s="500"/>
      <c r="AP336" s="500"/>
    </row>
    <row r="337" spans="1:42" ht="16.5" customHeight="1">
      <c r="A337" s="439"/>
      <c r="B337" s="439"/>
      <c r="C337" s="439"/>
      <c r="D337" s="439"/>
      <c r="E337" s="439"/>
      <c r="F337" s="439"/>
      <c r="Z337" s="500"/>
      <c r="AA337" s="500"/>
      <c r="AB337" s="500"/>
      <c r="AC337" s="500"/>
      <c r="AD337" s="500"/>
      <c r="AE337" s="500"/>
      <c r="AF337" s="500"/>
      <c r="AG337" s="500"/>
      <c r="AH337" s="500"/>
      <c r="AI337" s="500"/>
      <c r="AJ337" s="500"/>
      <c r="AK337" s="500"/>
      <c r="AL337" s="500"/>
      <c r="AM337" s="500"/>
      <c r="AN337" s="500"/>
      <c r="AO337" s="500"/>
      <c r="AP337" s="500"/>
    </row>
    <row r="338" spans="1:42" ht="16.5" customHeight="1">
      <c r="A338" s="439"/>
      <c r="B338" s="439"/>
      <c r="C338" s="439"/>
      <c r="D338" s="439"/>
      <c r="E338" s="439"/>
      <c r="F338" s="439"/>
      <c r="Z338" s="500"/>
      <c r="AA338" s="500"/>
      <c r="AB338" s="500"/>
      <c r="AC338" s="500"/>
      <c r="AD338" s="500"/>
      <c r="AE338" s="500"/>
      <c r="AF338" s="500"/>
      <c r="AG338" s="500"/>
      <c r="AH338" s="500"/>
      <c r="AI338" s="500"/>
      <c r="AJ338" s="500"/>
      <c r="AK338" s="500"/>
      <c r="AL338" s="500"/>
      <c r="AM338" s="500"/>
      <c r="AN338" s="500"/>
      <c r="AO338" s="500"/>
      <c r="AP338" s="500"/>
    </row>
    <row r="339" spans="1:42" ht="16.5" customHeight="1">
      <c r="A339" s="439"/>
      <c r="B339" s="439"/>
      <c r="C339" s="439"/>
      <c r="D339" s="439"/>
      <c r="E339" s="439"/>
      <c r="F339" s="439"/>
      <c r="Z339" s="500"/>
      <c r="AA339" s="500"/>
      <c r="AB339" s="500"/>
      <c r="AC339" s="500"/>
      <c r="AD339" s="500"/>
      <c r="AE339" s="500"/>
      <c r="AF339" s="500"/>
      <c r="AG339" s="500"/>
      <c r="AH339" s="500"/>
      <c r="AI339" s="500"/>
      <c r="AJ339" s="500"/>
      <c r="AK339" s="500"/>
      <c r="AL339" s="500"/>
      <c r="AM339" s="500"/>
      <c r="AN339" s="500"/>
      <c r="AO339" s="500"/>
      <c r="AP339" s="500"/>
    </row>
    <row r="340" spans="1:42" ht="16.5" customHeight="1">
      <c r="A340" s="439"/>
      <c r="B340" s="439"/>
      <c r="C340" s="439"/>
      <c r="D340" s="439"/>
      <c r="E340" s="439"/>
      <c r="F340" s="439"/>
      <c r="Z340" s="500"/>
      <c r="AA340" s="500"/>
      <c r="AB340" s="500"/>
      <c r="AC340" s="500"/>
      <c r="AD340" s="500"/>
      <c r="AE340" s="500"/>
      <c r="AF340" s="500"/>
      <c r="AG340" s="500"/>
      <c r="AH340" s="500"/>
      <c r="AI340" s="500"/>
      <c r="AJ340" s="500"/>
      <c r="AK340" s="500"/>
      <c r="AL340" s="500"/>
      <c r="AM340" s="500"/>
      <c r="AN340" s="500"/>
      <c r="AO340" s="500"/>
      <c r="AP340" s="500"/>
    </row>
    <row r="341" spans="1:42" ht="16.5" customHeight="1">
      <c r="A341" s="439"/>
      <c r="B341" s="439"/>
      <c r="C341" s="439"/>
      <c r="D341" s="439"/>
      <c r="E341" s="439"/>
      <c r="F341" s="439"/>
      <c r="Z341" s="500"/>
      <c r="AA341" s="500"/>
      <c r="AB341" s="500"/>
      <c r="AC341" s="500"/>
      <c r="AD341" s="500"/>
      <c r="AE341" s="500"/>
      <c r="AF341" s="500"/>
      <c r="AG341" s="500"/>
      <c r="AH341" s="500"/>
      <c r="AI341" s="500"/>
      <c r="AJ341" s="500"/>
      <c r="AK341" s="500"/>
      <c r="AL341" s="500"/>
      <c r="AM341" s="500"/>
      <c r="AN341" s="500"/>
      <c r="AO341" s="500"/>
      <c r="AP341" s="500"/>
    </row>
    <row r="342" spans="1:42" ht="16.5" customHeight="1">
      <c r="A342" s="439"/>
      <c r="B342" s="439"/>
      <c r="C342" s="439"/>
      <c r="D342" s="439"/>
      <c r="E342" s="439"/>
      <c r="F342" s="439"/>
      <c r="Z342" s="500"/>
      <c r="AA342" s="500"/>
      <c r="AB342" s="500"/>
      <c r="AC342" s="500"/>
      <c r="AD342" s="500"/>
      <c r="AE342" s="500"/>
      <c r="AF342" s="500"/>
      <c r="AG342" s="500"/>
      <c r="AH342" s="500"/>
      <c r="AI342" s="500"/>
      <c r="AJ342" s="500"/>
      <c r="AK342" s="500"/>
      <c r="AL342" s="500"/>
      <c r="AM342" s="500"/>
      <c r="AN342" s="500"/>
      <c r="AO342" s="500"/>
      <c r="AP342" s="500"/>
    </row>
    <row r="343" spans="1:42" ht="16.5" customHeight="1">
      <c r="A343" s="439"/>
      <c r="B343" s="439"/>
      <c r="C343" s="439"/>
      <c r="D343" s="439"/>
      <c r="E343" s="439"/>
      <c r="F343" s="439"/>
      <c r="Z343" s="500"/>
      <c r="AA343" s="500"/>
      <c r="AB343" s="500"/>
      <c r="AC343" s="500"/>
      <c r="AD343" s="500"/>
      <c r="AE343" s="500"/>
      <c r="AF343" s="500"/>
      <c r="AG343" s="500"/>
      <c r="AH343" s="500"/>
      <c r="AI343" s="500"/>
      <c r="AJ343" s="500"/>
      <c r="AK343" s="500"/>
      <c r="AL343" s="500"/>
      <c r="AM343" s="500"/>
      <c r="AN343" s="500"/>
      <c r="AO343" s="500"/>
      <c r="AP343" s="500"/>
    </row>
    <row r="344" spans="1:42" ht="16.5" customHeight="1">
      <c r="A344" s="439"/>
      <c r="B344" s="439"/>
      <c r="C344" s="439"/>
      <c r="D344" s="439"/>
      <c r="E344" s="439"/>
      <c r="F344" s="439"/>
      <c r="Z344" s="500"/>
      <c r="AA344" s="500"/>
      <c r="AB344" s="500"/>
      <c r="AC344" s="500"/>
      <c r="AD344" s="500"/>
      <c r="AE344" s="500"/>
      <c r="AF344" s="500"/>
      <c r="AG344" s="500"/>
      <c r="AH344" s="500"/>
      <c r="AI344" s="500"/>
      <c r="AJ344" s="500"/>
      <c r="AK344" s="500"/>
      <c r="AL344" s="500"/>
      <c r="AM344" s="500"/>
      <c r="AN344" s="500"/>
      <c r="AO344" s="500"/>
      <c r="AP344" s="500"/>
    </row>
    <row r="345" spans="1:42" ht="16.5" customHeight="1">
      <c r="A345" s="439"/>
      <c r="B345" s="439"/>
      <c r="C345" s="439"/>
      <c r="D345" s="439"/>
      <c r="E345" s="439"/>
      <c r="F345" s="439"/>
      <c r="Z345" s="500"/>
      <c r="AA345" s="500"/>
      <c r="AB345" s="500"/>
      <c r="AC345" s="500"/>
      <c r="AD345" s="500"/>
      <c r="AE345" s="500"/>
      <c r="AF345" s="500"/>
      <c r="AG345" s="500"/>
      <c r="AH345" s="500"/>
      <c r="AI345" s="500"/>
      <c r="AJ345" s="500"/>
      <c r="AK345" s="500"/>
      <c r="AL345" s="500"/>
      <c r="AM345" s="500"/>
      <c r="AN345" s="500"/>
      <c r="AO345" s="500"/>
      <c r="AP345" s="500"/>
    </row>
    <row r="346" spans="1:42" ht="16.5" customHeight="1">
      <c r="A346" s="439"/>
      <c r="B346" s="439"/>
      <c r="C346" s="439"/>
      <c r="D346" s="439"/>
      <c r="E346" s="439"/>
      <c r="F346" s="439"/>
      <c r="Z346" s="500"/>
      <c r="AA346" s="500"/>
      <c r="AB346" s="500"/>
      <c r="AC346" s="500"/>
      <c r="AD346" s="500"/>
      <c r="AE346" s="500"/>
      <c r="AF346" s="500"/>
      <c r="AG346" s="500"/>
      <c r="AH346" s="500"/>
      <c r="AI346" s="500"/>
      <c r="AJ346" s="500"/>
      <c r="AK346" s="500"/>
      <c r="AL346" s="500"/>
      <c r="AM346" s="500"/>
      <c r="AN346" s="500"/>
      <c r="AO346" s="500"/>
      <c r="AP346" s="500"/>
    </row>
    <row r="347" spans="1:42" ht="16.5" customHeight="1">
      <c r="A347" s="439"/>
      <c r="B347" s="439"/>
      <c r="C347" s="439"/>
      <c r="D347" s="439"/>
      <c r="E347" s="439"/>
      <c r="F347" s="439"/>
      <c r="Z347" s="500"/>
      <c r="AA347" s="500"/>
      <c r="AB347" s="500"/>
      <c r="AC347" s="500"/>
      <c r="AD347" s="500"/>
      <c r="AE347" s="500"/>
      <c r="AF347" s="500"/>
      <c r="AG347" s="500"/>
      <c r="AH347" s="500"/>
      <c r="AI347" s="500"/>
      <c r="AJ347" s="500"/>
      <c r="AK347" s="500"/>
      <c r="AL347" s="500"/>
      <c r="AM347" s="500"/>
      <c r="AN347" s="500"/>
      <c r="AO347" s="500"/>
      <c r="AP347" s="500"/>
    </row>
    <row r="348" spans="1:42" ht="16.5" customHeight="1">
      <c r="A348" s="439"/>
      <c r="B348" s="439"/>
      <c r="C348" s="439"/>
      <c r="D348" s="439"/>
      <c r="E348" s="439"/>
      <c r="F348" s="439"/>
      <c r="Z348" s="500"/>
      <c r="AA348" s="500"/>
      <c r="AB348" s="500"/>
      <c r="AC348" s="500"/>
      <c r="AD348" s="500"/>
      <c r="AE348" s="500"/>
      <c r="AF348" s="500"/>
      <c r="AG348" s="500"/>
      <c r="AH348" s="500"/>
      <c r="AI348" s="500"/>
      <c r="AJ348" s="500"/>
      <c r="AK348" s="500"/>
      <c r="AL348" s="500"/>
      <c r="AM348" s="500"/>
      <c r="AN348" s="500"/>
      <c r="AO348" s="500"/>
      <c r="AP348" s="500"/>
    </row>
    <row r="349" spans="1:42" ht="16.5" customHeight="1">
      <c r="A349" s="439"/>
      <c r="B349" s="439"/>
      <c r="C349" s="439"/>
      <c r="D349" s="439"/>
      <c r="E349" s="439"/>
      <c r="F349" s="439"/>
      <c r="Z349" s="500"/>
      <c r="AA349" s="500"/>
      <c r="AB349" s="500"/>
      <c r="AC349" s="500"/>
      <c r="AD349" s="500"/>
      <c r="AE349" s="500"/>
      <c r="AF349" s="500"/>
      <c r="AG349" s="500"/>
      <c r="AH349" s="500"/>
      <c r="AI349" s="500"/>
      <c r="AJ349" s="500"/>
      <c r="AK349" s="500"/>
      <c r="AL349" s="500"/>
      <c r="AM349" s="500"/>
      <c r="AN349" s="500"/>
      <c r="AO349" s="500"/>
      <c r="AP349" s="500"/>
    </row>
    <row r="350" spans="1:42" ht="16.5" customHeight="1">
      <c r="A350" s="439"/>
      <c r="B350" s="439"/>
      <c r="C350" s="439"/>
      <c r="D350" s="439"/>
      <c r="E350" s="439"/>
      <c r="F350" s="439"/>
      <c r="Z350" s="500"/>
      <c r="AA350" s="500"/>
      <c r="AB350" s="500"/>
      <c r="AC350" s="500"/>
      <c r="AD350" s="500"/>
      <c r="AE350" s="500"/>
      <c r="AF350" s="500"/>
      <c r="AG350" s="500"/>
      <c r="AH350" s="500"/>
      <c r="AI350" s="500"/>
      <c r="AJ350" s="500"/>
      <c r="AK350" s="500"/>
      <c r="AL350" s="500"/>
      <c r="AM350" s="500"/>
      <c r="AN350" s="500"/>
      <c r="AO350" s="500"/>
      <c r="AP350" s="500"/>
    </row>
    <row r="351" spans="1:42" ht="16.5" customHeight="1">
      <c r="A351" s="439"/>
      <c r="B351" s="439"/>
      <c r="C351" s="439"/>
      <c r="D351" s="439"/>
      <c r="E351" s="439"/>
      <c r="F351" s="439"/>
      <c r="Z351" s="500"/>
      <c r="AA351" s="500"/>
      <c r="AB351" s="500"/>
      <c r="AC351" s="500"/>
      <c r="AD351" s="500"/>
      <c r="AE351" s="500"/>
      <c r="AF351" s="500"/>
      <c r="AG351" s="500"/>
      <c r="AH351" s="500"/>
      <c r="AI351" s="500"/>
      <c r="AJ351" s="500"/>
      <c r="AK351" s="500"/>
      <c r="AL351" s="500"/>
      <c r="AM351" s="500"/>
      <c r="AN351" s="500"/>
      <c r="AO351" s="500"/>
      <c r="AP351" s="500"/>
    </row>
    <row r="352" spans="1:42" ht="16.5" customHeight="1">
      <c r="A352" s="439"/>
      <c r="B352" s="439"/>
      <c r="C352" s="439"/>
      <c r="D352" s="439"/>
      <c r="E352" s="439"/>
      <c r="F352" s="439"/>
      <c r="Z352" s="500"/>
      <c r="AA352" s="500"/>
      <c r="AB352" s="500"/>
      <c r="AC352" s="500"/>
      <c r="AD352" s="500"/>
      <c r="AE352" s="500"/>
      <c r="AF352" s="500"/>
      <c r="AG352" s="500"/>
      <c r="AH352" s="500"/>
      <c r="AI352" s="500"/>
      <c r="AJ352" s="500"/>
      <c r="AK352" s="500"/>
      <c r="AL352" s="500"/>
      <c r="AM352" s="500"/>
      <c r="AN352" s="500"/>
      <c r="AO352" s="500"/>
      <c r="AP352" s="500"/>
    </row>
    <row r="353" spans="1:42" ht="16.5" customHeight="1">
      <c r="A353" s="497"/>
      <c r="B353" s="497"/>
      <c r="C353" s="497"/>
      <c r="D353" s="497"/>
      <c r="E353" s="497"/>
      <c r="F353" s="497"/>
      <c r="Z353" s="500"/>
      <c r="AA353" s="500"/>
      <c r="AB353" s="500"/>
      <c r="AC353" s="500"/>
      <c r="AD353" s="500"/>
      <c r="AE353" s="500"/>
      <c r="AF353" s="500"/>
      <c r="AG353" s="500"/>
      <c r="AH353" s="500"/>
      <c r="AI353" s="500"/>
      <c r="AJ353" s="500"/>
      <c r="AK353" s="500"/>
      <c r="AL353" s="500"/>
      <c r="AM353" s="500"/>
      <c r="AN353" s="500"/>
      <c r="AO353" s="500"/>
      <c r="AP353" s="500"/>
    </row>
    <row r="354" spans="1:42" ht="16.5" customHeight="1">
      <c r="A354" s="616" t="s">
        <v>3487</v>
      </c>
      <c r="B354" s="605"/>
      <c r="C354" s="446">
        <f>E354+D354+F354</f>
        <v>7269</v>
      </c>
      <c r="D354" s="453">
        <f>ROUNDDOWN(SUMIF(N307:N336,M354,D307:D336),0)</f>
        <v>6269</v>
      </c>
      <c r="E354" s="454">
        <f>ROUNDDOWN(SUMIF(N307:N336,M354,E307:E336),0)</f>
        <v>1000</v>
      </c>
      <c r="F354" s="446">
        <f>ROUNDDOWN(SUMIF(N307:N336,M354,F307:F336),0)</f>
        <v>0</v>
      </c>
      <c r="M354" s="501" t="s">
        <v>2354</v>
      </c>
      <c r="Z354" s="500"/>
      <c r="AA354" s="500"/>
      <c r="AB354" s="500"/>
      <c r="AC354" s="500"/>
      <c r="AD354" s="500"/>
      <c r="AE354" s="500"/>
      <c r="AF354" s="500"/>
      <c r="AG354" s="500"/>
      <c r="AH354" s="500"/>
      <c r="AI354" s="500"/>
      <c r="AJ354" s="500"/>
      <c r="AK354" s="500"/>
      <c r="AL354" s="500"/>
      <c r="AM354" s="500"/>
      <c r="AN354" s="500"/>
      <c r="AO354" s="500"/>
      <c r="AP354" s="500"/>
    </row>
    <row r="355" spans="1:42" ht="16.5" customHeight="1">
      <c r="A355" s="502"/>
      <c r="B355" s="503" t="s">
        <v>5383</v>
      </c>
      <c r="C355" s="615">
        <f>C404</f>
        <v>3614</v>
      </c>
      <c r="D355" s="615">
        <f>D404</f>
        <v>3364</v>
      </c>
      <c r="E355" s="615">
        <f>E404</f>
        <v>250</v>
      </c>
      <c r="F355" s="615">
        <f>F404</f>
        <v>0</v>
      </c>
      <c r="G355" s="486" t="str">
        <f>HYPERLINK("#G"&amp;ROW(G390),"_x0005_`BDCOD|D01356_x0007_`POSS|"&amp;ROW(G357)&amp;"_x0007_`POSE|"&amp;ROW(G390)&amp;"_x0007_`")</f>
        <v>_x0005_`BDCOD|D01356_x0007_`POSS|357_x0007_`POSE|390_x0007_`</v>
      </c>
      <c r="Z355" s="500"/>
      <c r="AA355" s="500"/>
      <c r="AB355" s="500"/>
      <c r="AC355" s="500"/>
      <c r="AD355" s="500"/>
      <c r="AE355" s="500"/>
      <c r="AF355" s="500"/>
      <c r="AG355" s="500"/>
      <c r="AH355" s="500"/>
      <c r="AI355" s="500"/>
      <c r="AJ355" s="500"/>
      <c r="AK355" s="500"/>
      <c r="AL355" s="500"/>
      <c r="AM355" s="500"/>
      <c r="AN355" s="500"/>
      <c r="AO355" s="500"/>
      <c r="AP355" s="500"/>
    </row>
    <row r="356" spans="1:42" ht="16.5" customHeight="1">
      <c r="A356" s="485"/>
      <c r="B356" s="503" t="s">
        <v>5586</v>
      </c>
      <c r="C356" s="593"/>
      <c r="D356" s="593"/>
      <c r="E356" s="593"/>
      <c r="F356" s="593"/>
      <c r="M356" s="501" t="s">
        <v>5383</v>
      </c>
      <c r="Z356" s="500"/>
      <c r="AA356" s="500"/>
      <c r="AB356" s="500"/>
      <c r="AC356" s="500"/>
      <c r="AD356" s="500"/>
      <c r="AE356" s="500"/>
      <c r="AF356" s="500"/>
      <c r="AG356" s="500"/>
      <c r="AH356" s="500"/>
      <c r="AI356" s="500"/>
      <c r="AJ356" s="500"/>
      <c r="AK356" s="500"/>
      <c r="AL356" s="500"/>
      <c r="AM356" s="500"/>
      <c r="AN356" s="500"/>
      <c r="AO356" s="500"/>
      <c r="AP356" s="500"/>
    </row>
    <row r="357" spans="1:42" ht="16.5" customHeight="1">
      <c r="A357" s="439"/>
      <c r="B357" s="439"/>
      <c r="C357" s="504"/>
      <c r="D357" s="504"/>
      <c r="E357" s="504"/>
      <c r="F357" s="504"/>
      <c r="G357" s="451" t="s">
        <v>3406</v>
      </c>
      <c r="Z357" s="500"/>
      <c r="AA357" s="500"/>
      <c r="AB357" s="500"/>
      <c r="AC357" s="500"/>
      <c r="AD357" s="500"/>
      <c r="AE357" s="500"/>
      <c r="AF357" s="500"/>
      <c r="AG357" s="500"/>
      <c r="AH357" s="500"/>
      <c r="AI357" s="500"/>
      <c r="AJ357" s="500"/>
      <c r="AK357" s="500"/>
      <c r="AL357" s="500"/>
      <c r="AM357" s="500"/>
      <c r="AN357" s="500"/>
      <c r="AO357" s="500"/>
      <c r="AP357" s="500"/>
    </row>
    <row r="358" spans="1:42" ht="16.5" customHeight="1">
      <c r="A358" s="434"/>
      <c r="B358" s="437" t="s">
        <v>3489</v>
      </c>
      <c r="C358" s="439"/>
      <c r="D358" s="439"/>
      <c r="E358" s="439"/>
      <c r="F358" s="439"/>
      <c r="G358" s="451" t="s">
        <v>3490</v>
      </c>
      <c r="Z358" s="500"/>
      <c r="AA358" s="500"/>
      <c r="AB358" s="500"/>
      <c r="AC358" s="500"/>
      <c r="AD358" s="500"/>
      <c r="AE358" s="500"/>
      <c r="AF358" s="500"/>
      <c r="AG358" s="500"/>
      <c r="AH358" s="500"/>
      <c r="AI358" s="500"/>
      <c r="AJ358" s="500"/>
      <c r="AK358" s="500"/>
      <c r="AL358" s="500"/>
      <c r="AM358" s="500"/>
      <c r="AN358" s="500"/>
      <c r="AO358" s="500"/>
      <c r="AP358" s="500"/>
    </row>
    <row r="359" spans="1:42" ht="16.5" customHeight="1">
      <c r="A359" s="439"/>
      <c r="B359" s="439"/>
      <c r="C359" s="439"/>
      <c r="D359" s="439"/>
      <c r="E359" s="439"/>
      <c r="F359" s="439"/>
      <c r="G359" s="451" t="s">
        <v>3406</v>
      </c>
      <c r="Z359" s="500"/>
      <c r="AA359" s="500"/>
      <c r="AB359" s="500"/>
      <c r="AC359" s="500"/>
      <c r="AD359" s="500"/>
      <c r="AE359" s="500"/>
      <c r="AF359" s="500"/>
      <c r="AG359" s="500"/>
      <c r="AH359" s="500"/>
      <c r="AI359" s="500"/>
      <c r="AJ359" s="500"/>
      <c r="AK359" s="500"/>
      <c r="AL359" s="500"/>
      <c r="AM359" s="500"/>
      <c r="AN359" s="500"/>
      <c r="AO359" s="500"/>
      <c r="AP359" s="500"/>
    </row>
    <row r="360" spans="1:42" ht="16.5" customHeight="1">
      <c r="A360" s="434"/>
      <c r="B360" s="437" t="s">
        <v>3491</v>
      </c>
      <c r="C360" s="439"/>
      <c r="D360" s="439"/>
      <c r="E360" s="439"/>
      <c r="F360" s="439"/>
      <c r="G360" s="451" t="s">
        <v>3492</v>
      </c>
      <c r="Z360" s="500"/>
      <c r="AA360" s="500"/>
      <c r="AB360" s="500"/>
      <c r="AC360" s="500"/>
      <c r="AD360" s="500"/>
      <c r="AE360" s="500"/>
      <c r="AF360" s="500"/>
      <c r="AG360" s="500"/>
      <c r="AH360" s="500"/>
      <c r="AI360" s="500"/>
      <c r="AJ360" s="500"/>
      <c r="AK360" s="500"/>
      <c r="AL360" s="500"/>
      <c r="AM360" s="500"/>
      <c r="AN360" s="500"/>
      <c r="AO360" s="500"/>
      <c r="AP360" s="500"/>
    </row>
    <row r="361" spans="1:42" ht="16.5" customHeight="1">
      <c r="A361" s="439"/>
      <c r="B361" s="439"/>
      <c r="C361" s="439"/>
      <c r="D361" s="439"/>
      <c r="E361" s="439"/>
      <c r="F361" s="439"/>
      <c r="G361" s="451" t="s">
        <v>3406</v>
      </c>
      <c r="Z361" s="500"/>
      <c r="AA361" s="500"/>
      <c r="AB361" s="500"/>
      <c r="AC361" s="500"/>
      <c r="AD361" s="500"/>
      <c r="AE361" s="500"/>
      <c r="AF361" s="500"/>
      <c r="AG361" s="500"/>
      <c r="AH361" s="500"/>
      <c r="AI361" s="500"/>
      <c r="AJ361" s="500"/>
      <c r="AK361" s="500"/>
      <c r="AL361" s="500"/>
      <c r="AM361" s="500"/>
      <c r="AN361" s="500"/>
      <c r="AO361" s="500"/>
      <c r="AP361" s="500"/>
    </row>
    <row r="362" spans="1:42" ht="16.5" customHeight="1">
      <c r="A362" s="434"/>
      <c r="B362" s="437" t="str">
        <f>" 일당 작업량 :   Q1 = "&amp;Z362&amp;"  주 "</f>
        <v xml:space="preserve"> 일당 작업량 :   Q1 = 300  주 </v>
      </c>
      <c r="C362" s="439"/>
      <c r="D362" s="439"/>
      <c r="E362" s="439"/>
      <c r="F362" s="439"/>
      <c r="G362" s="451" t="s">
        <v>3493</v>
      </c>
      <c r="Z362" s="515">
        <v>300</v>
      </c>
      <c r="AA362" s="501" t="s">
        <v>3418</v>
      </c>
      <c r="AB362" s="512">
        <f>Z362</f>
        <v>300</v>
      </c>
      <c r="AC362" s="500"/>
      <c r="AD362" s="500"/>
      <c r="AE362" s="500"/>
      <c r="AF362" s="500"/>
      <c r="AG362" s="500"/>
      <c r="AH362" s="500"/>
      <c r="AI362" s="500"/>
      <c r="AJ362" s="500"/>
      <c r="AK362" s="500"/>
      <c r="AL362" s="500"/>
      <c r="AM362" s="500"/>
      <c r="AN362" s="500"/>
      <c r="AO362" s="500"/>
      <c r="AP362" s="500"/>
    </row>
    <row r="363" spans="1:42" ht="16.5" customHeight="1">
      <c r="A363" s="439"/>
      <c r="B363" s="439"/>
      <c r="C363" s="439"/>
      <c r="D363" s="439"/>
      <c r="E363" s="439"/>
      <c r="F363" s="439"/>
      <c r="G363" s="451" t="s">
        <v>3406</v>
      </c>
      <c r="Z363" s="500"/>
      <c r="AA363" s="500"/>
      <c r="AB363" s="500"/>
      <c r="AC363" s="500"/>
      <c r="AD363" s="500"/>
      <c r="AE363" s="500"/>
      <c r="AF363" s="500"/>
      <c r="AG363" s="500"/>
      <c r="AH363" s="500"/>
      <c r="AI363" s="500"/>
      <c r="AJ363" s="500"/>
      <c r="AK363" s="500"/>
      <c r="AL363" s="500"/>
      <c r="AM363" s="500"/>
      <c r="AN363" s="500"/>
      <c r="AO363" s="500"/>
      <c r="AP363" s="500"/>
    </row>
    <row r="364" spans="1:42" ht="16.5" customHeight="1">
      <c r="A364" s="434"/>
      <c r="B364" s="437" t="s">
        <v>3494</v>
      </c>
      <c r="C364" s="439"/>
      <c r="D364" s="439"/>
      <c r="E364" s="439"/>
      <c r="F364" s="439"/>
      <c r="G364" s="451" t="s">
        <v>3495</v>
      </c>
      <c r="Z364" s="500"/>
      <c r="AA364" s="500"/>
      <c r="AB364" s="500"/>
      <c r="AC364" s="500"/>
      <c r="AD364" s="500"/>
      <c r="AE364" s="500"/>
      <c r="AF364" s="500"/>
      <c r="AG364" s="500"/>
      <c r="AH364" s="500"/>
      <c r="AI364" s="500"/>
      <c r="AJ364" s="500"/>
      <c r="AK364" s="500"/>
      <c r="AL364" s="500"/>
      <c r="AM364" s="500"/>
      <c r="AN364" s="500"/>
      <c r="AO364" s="500"/>
      <c r="AP364" s="500"/>
    </row>
    <row r="365" spans="1:42" ht="16.5" customHeight="1">
      <c r="A365" s="439"/>
      <c r="B365" s="439"/>
      <c r="C365" s="439"/>
      <c r="D365" s="439"/>
      <c r="E365" s="439"/>
      <c r="F365" s="439"/>
      <c r="G365" s="451" t="s">
        <v>3406</v>
      </c>
      <c r="Z365" s="500"/>
      <c r="AA365" s="500"/>
      <c r="AB365" s="500"/>
      <c r="AC365" s="500"/>
      <c r="AD365" s="500"/>
      <c r="AE365" s="500"/>
      <c r="AF365" s="500"/>
      <c r="AG365" s="500"/>
      <c r="AH365" s="500"/>
      <c r="AI365" s="500"/>
      <c r="AJ365" s="500"/>
      <c r="AK365" s="500"/>
      <c r="AL365" s="500"/>
      <c r="AM365" s="500"/>
      <c r="AN365" s="500"/>
      <c r="AO365" s="500"/>
      <c r="AP365" s="500"/>
    </row>
    <row r="366" spans="1:42" ht="16.5" customHeight="1">
      <c r="A366" s="439"/>
      <c r="B366" s="439"/>
      <c r="C366" s="439"/>
      <c r="D366" s="439"/>
      <c r="E366" s="439"/>
      <c r="F366" s="439"/>
      <c r="G366" s="451" t="s">
        <v>3406</v>
      </c>
      <c r="Z366" s="500"/>
      <c r="AA366" s="500"/>
      <c r="AB366" s="500"/>
      <c r="AC366" s="500"/>
      <c r="AD366" s="500"/>
      <c r="AE366" s="500"/>
      <c r="AF366" s="500"/>
      <c r="AG366" s="500"/>
      <c r="AH366" s="500"/>
      <c r="AI366" s="500"/>
      <c r="AJ366" s="500"/>
      <c r="AK366" s="500"/>
      <c r="AL366" s="500"/>
      <c r="AM366" s="500"/>
      <c r="AN366" s="500"/>
      <c r="AO366" s="500"/>
      <c r="AP366" s="500"/>
    </row>
    <row r="367" spans="1:42" ht="16.5" customHeight="1">
      <c r="A367" s="439"/>
      <c r="B367" s="439"/>
      <c r="C367" s="439"/>
      <c r="D367" s="439"/>
      <c r="E367" s="439"/>
      <c r="F367" s="439"/>
      <c r="G367" s="451" t="s">
        <v>3406</v>
      </c>
      <c r="Z367" s="500"/>
      <c r="AA367" s="500"/>
      <c r="AB367" s="500"/>
      <c r="AC367" s="500"/>
      <c r="AD367" s="500"/>
      <c r="AE367" s="500"/>
      <c r="AF367" s="500"/>
      <c r="AG367" s="500"/>
      <c r="AH367" s="500"/>
      <c r="AI367" s="500"/>
      <c r="AJ367" s="500"/>
      <c r="AK367" s="500"/>
      <c r="AL367" s="500"/>
      <c r="AM367" s="500"/>
      <c r="AN367" s="500"/>
      <c r="AO367" s="500"/>
      <c r="AP367" s="500"/>
    </row>
    <row r="368" spans="1:42" ht="16.5" customHeight="1">
      <c r="A368" s="439"/>
      <c r="B368" s="439"/>
      <c r="C368" s="439"/>
      <c r="D368" s="439"/>
      <c r="E368" s="439"/>
      <c r="F368" s="439"/>
      <c r="G368" s="451" t="s">
        <v>3406</v>
      </c>
      <c r="Z368" s="500"/>
      <c r="AA368" s="500"/>
      <c r="AB368" s="500"/>
      <c r="AC368" s="500"/>
      <c r="AD368" s="500"/>
      <c r="AE368" s="500"/>
      <c r="AF368" s="500"/>
      <c r="AG368" s="500"/>
      <c r="AH368" s="500"/>
      <c r="AI368" s="500"/>
      <c r="AJ368" s="500"/>
      <c r="AK368" s="500"/>
      <c r="AL368" s="500"/>
      <c r="AM368" s="500"/>
      <c r="AN368" s="500"/>
      <c r="AO368" s="500"/>
      <c r="AP368" s="500"/>
    </row>
    <row r="369" spans="1:42" ht="16.5" customHeight="1">
      <c r="A369" s="434"/>
      <c r="B369" s="437" t="s">
        <v>3496</v>
      </c>
      <c r="C369" s="439"/>
      <c r="D369" s="439"/>
      <c r="E369" s="439"/>
      <c r="F369" s="439"/>
      <c r="G369" s="451" t="s">
        <v>3497</v>
      </c>
      <c r="Z369" s="500"/>
      <c r="AA369" s="500"/>
      <c r="AB369" s="500"/>
      <c r="AC369" s="500"/>
      <c r="AD369" s="500"/>
      <c r="AE369" s="500"/>
      <c r="AF369" s="500"/>
      <c r="AG369" s="500"/>
      <c r="AH369" s="500"/>
      <c r="AI369" s="500"/>
      <c r="AJ369" s="500"/>
      <c r="AK369" s="500"/>
      <c r="AL369" s="500"/>
      <c r="AM369" s="500"/>
      <c r="AN369" s="500"/>
      <c r="AO369" s="500"/>
      <c r="AP369" s="500"/>
    </row>
    <row r="370" spans="1:42" ht="16.5" customHeight="1">
      <c r="A370" s="439"/>
      <c r="B370" s="439"/>
      <c r="C370" s="439"/>
      <c r="D370" s="439"/>
      <c r="E370" s="439"/>
      <c r="F370" s="439"/>
      <c r="G370" s="451" t="s">
        <v>3406</v>
      </c>
      <c r="Z370" s="500"/>
      <c r="AA370" s="500"/>
      <c r="AB370" s="500"/>
      <c r="AC370" s="500"/>
      <c r="AD370" s="500"/>
      <c r="AE370" s="500"/>
      <c r="AF370" s="500"/>
      <c r="AG370" s="500"/>
      <c r="AH370" s="500"/>
      <c r="AI370" s="500"/>
      <c r="AJ370" s="500"/>
      <c r="AK370" s="500"/>
      <c r="AL370" s="500"/>
      <c r="AM370" s="500"/>
      <c r="AN370" s="500"/>
      <c r="AO370" s="500"/>
      <c r="AP370" s="500"/>
    </row>
    <row r="371" spans="1:42" ht="16.5" customHeight="1">
      <c r="A371" s="434" t="s">
        <v>3498</v>
      </c>
      <c r="B371" s="505" t="str">
        <f>" 조경공 :  "&amp;TEXT(I371,"#,##0"&amp;IF(I371&lt;&gt;INT(I371),".###",""))&amp;" * "&amp;AA371&amp;" 인  / Q1 = "&amp;TEXT(C371,"#,##0.0")&amp;""</f>
        <v xml:space="preserve"> 조경공 :  235,204 * 3 인  / Q1 = 2,352.0</v>
      </c>
      <c r="C371" s="506">
        <f>E371+D371+F371</f>
        <v>2352</v>
      </c>
      <c r="D371" s="506">
        <f>IF(H371=0,0,ROUNDDOWN(J371*H371,1))</f>
        <v>2352</v>
      </c>
      <c r="E371" s="506">
        <f>IF(H371=0,0,ROUNDDOWN(K371*H371,1))</f>
        <v>0</v>
      </c>
      <c r="F371" s="506">
        <f>IF(H371=0,0,ROUNDDOWN(L371*H371,1))</f>
        <v>0</v>
      </c>
      <c r="G371" s="451" t="s">
        <v>3499</v>
      </c>
      <c r="H371" s="507">
        <f>ROUNDUP(AE371,14-LEN(ABS(INT(AE371))))</f>
        <v>0.01</v>
      </c>
      <c r="I371" s="508">
        <f>K371+J371+L371</f>
        <v>235204</v>
      </c>
      <c r="J371" s="509">
        <f>노무비목록표!E15</f>
        <v>235204</v>
      </c>
      <c r="M371" s="501" t="s">
        <v>2359</v>
      </c>
      <c r="N371" s="501" t="s">
        <v>3416</v>
      </c>
      <c r="X371" s="510" t="str">
        <f>노무비목록표!B15&amp;" / "&amp;노무비목록표!C15</f>
        <v xml:space="preserve">조경공 / </v>
      </c>
      <c r="Y371" s="433" t="str">
        <f ca="1">HYPERLINK("#"&amp;노무비목록표!G2&amp;"!A"&amp;ROW(노무비목록표!A15),"L00184 →")</f>
        <v>L00184 →</v>
      </c>
      <c r="Z371" s="501" t="s">
        <v>3500</v>
      </c>
      <c r="AA371" s="515">
        <v>3</v>
      </c>
      <c r="AB371" s="501" t="s">
        <v>3428</v>
      </c>
      <c r="AC371" s="512">
        <f>AB362</f>
        <v>300</v>
      </c>
      <c r="AD371" s="501" t="s">
        <v>3418</v>
      </c>
      <c r="AE371" s="512">
        <f>1*AA371/AB362</f>
        <v>0.01</v>
      </c>
      <c r="AF371" s="500"/>
      <c r="AG371" s="500"/>
      <c r="AH371" s="500"/>
      <c r="AI371" s="500"/>
      <c r="AJ371" s="500"/>
      <c r="AK371" s="500"/>
      <c r="AL371" s="500"/>
      <c r="AM371" s="500"/>
      <c r="AN371" s="500"/>
      <c r="AO371" s="500"/>
      <c r="AP371" s="500"/>
    </row>
    <row r="372" spans="1:42" ht="16.5" customHeight="1">
      <c r="A372" s="439"/>
      <c r="B372" s="439"/>
      <c r="C372" s="439"/>
      <c r="D372" s="439"/>
      <c r="E372" s="439"/>
      <c r="F372" s="439"/>
      <c r="G372" s="451" t="s">
        <v>3406</v>
      </c>
      <c r="Z372" s="500"/>
      <c r="AA372" s="500"/>
      <c r="AB372" s="500"/>
      <c r="AC372" s="500"/>
      <c r="AD372" s="500"/>
      <c r="AE372" s="500"/>
      <c r="AF372" s="500"/>
      <c r="AG372" s="500"/>
      <c r="AH372" s="500"/>
      <c r="AI372" s="500"/>
      <c r="AJ372" s="500"/>
      <c r="AK372" s="500"/>
      <c r="AL372" s="500"/>
      <c r="AM372" s="500"/>
      <c r="AN372" s="500"/>
      <c r="AO372" s="500"/>
      <c r="AP372" s="500"/>
    </row>
    <row r="373" spans="1:42" ht="16.5" customHeight="1">
      <c r="A373" s="439"/>
      <c r="B373" s="439"/>
      <c r="C373" s="439"/>
      <c r="D373" s="439"/>
      <c r="E373" s="439"/>
      <c r="F373" s="439"/>
      <c r="G373" s="451" t="s">
        <v>3406</v>
      </c>
      <c r="Z373" s="500"/>
      <c r="AA373" s="500"/>
      <c r="AB373" s="500"/>
      <c r="AC373" s="500"/>
      <c r="AD373" s="500"/>
      <c r="AE373" s="500"/>
      <c r="AF373" s="500"/>
      <c r="AG373" s="500"/>
      <c r="AH373" s="500"/>
      <c r="AI373" s="500"/>
      <c r="AJ373" s="500"/>
      <c r="AK373" s="500"/>
      <c r="AL373" s="500"/>
      <c r="AM373" s="500"/>
      <c r="AN373" s="500"/>
      <c r="AO373" s="500"/>
      <c r="AP373" s="500"/>
    </row>
    <row r="374" spans="1:42" ht="16.5" customHeight="1">
      <c r="A374" s="434" t="s">
        <v>3414</v>
      </c>
      <c r="B374" s="505" t="str">
        <f>" 보통인부 : "&amp;TEXT(I374,"#,##0"&amp;IF(I374&lt;&gt;INT(I374),".###",""))&amp;" * "&amp;AA374&amp;" 인  / Q1 = "&amp;TEXT(C374,"#,##0.0")&amp;""</f>
        <v xml:space="preserve"> 보통인부 : 172,068 * 1 인  / Q1 = 573.5</v>
      </c>
      <c r="C374" s="506">
        <f>E374+D374+F374</f>
        <v>573.5</v>
      </c>
      <c r="D374" s="506">
        <f>IF(H374=0,0,ROUNDDOWN(J374*H374,1))</f>
        <v>573.5</v>
      </c>
      <c r="E374" s="506">
        <f>IF(H374=0,0,ROUNDDOWN(K374*H374,1))</f>
        <v>0</v>
      </c>
      <c r="F374" s="506">
        <f>IF(H374=0,0,ROUNDDOWN(L374*H374,1))</f>
        <v>0</v>
      </c>
      <c r="G374" s="451" t="s">
        <v>3501</v>
      </c>
      <c r="H374" s="507">
        <f>ROUNDUP(AE374,14-LEN(ABS(INT(AE374))))</f>
        <v>3.3333333333999998E-3</v>
      </c>
      <c r="I374" s="508">
        <f>K374+J374+L374</f>
        <v>172068</v>
      </c>
      <c r="J374" s="509">
        <f>노무비목록표!E10</f>
        <v>172068</v>
      </c>
      <c r="M374" s="501" t="s">
        <v>2363</v>
      </c>
      <c r="N374" s="501" t="s">
        <v>3416</v>
      </c>
      <c r="X374" s="510" t="str">
        <f>노무비목록표!B10&amp;" / "&amp;노무비목록표!C10</f>
        <v xml:space="preserve">보통인부 / </v>
      </c>
      <c r="Y374" s="433" t="str">
        <f ca="1">HYPERLINK("#"&amp;노무비목록표!G2&amp;"!A"&amp;ROW(노무비목록표!A10),"L00017 →")</f>
        <v>L00017 →</v>
      </c>
      <c r="Z374" s="501" t="s">
        <v>3500</v>
      </c>
      <c r="AA374" s="515">
        <v>1</v>
      </c>
      <c r="AB374" s="501" t="s">
        <v>3428</v>
      </c>
      <c r="AC374" s="512">
        <f>AB362</f>
        <v>300</v>
      </c>
      <c r="AD374" s="501" t="s">
        <v>3418</v>
      </c>
      <c r="AE374" s="512">
        <f>1*AA374/AB362</f>
        <v>3.3333333333333335E-3</v>
      </c>
      <c r="AF374" s="500"/>
      <c r="AG374" s="500"/>
      <c r="AH374" s="500"/>
      <c r="AI374" s="500"/>
      <c r="AJ374" s="500"/>
      <c r="AK374" s="500"/>
      <c r="AL374" s="500"/>
      <c r="AM374" s="500"/>
      <c r="AN374" s="500"/>
      <c r="AO374" s="500"/>
      <c r="AP374" s="500"/>
    </row>
    <row r="375" spans="1:42" ht="16.5" customHeight="1">
      <c r="A375" s="439"/>
      <c r="B375" s="439"/>
      <c r="C375" s="439"/>
      <c r="D375" s="439"/>
      <c r="E375" s="439"/>
      <c r="F375" s="439"/>
      <c r="G375" s="451" t="s">
        <v>3406</v>
      </c>
      <c r="Z375" s="500"/>
      <c r="AA375" s="500"/>
      <c r="AB375" s="500"/>
      <c r="AC375" s="500"/>
      <c r="AD375" s="500"/>
      <c r="AE375" s="500"/>
      <c r="AF375" s="500"/>
      <c r="AG375" s="500"/>
      <c r="AH375" s="500"/>
      <c r="AI375" s="500"/>
      <c r="AJ375" s="500"/>
      <c r="AK375" s="500"/>
      <c r="AL375" s="500"/>
      <c r="AM375" s="500"/>
      <c r="AN375" s="500"/>
      <c r="AO375" s="500"/>
      <c r="AP375" s="500"/>
    </row>
    <row r="376" spans="1:42" ht="16.5" customHeight="1">
      <c r="A376" s="434"/>
      <c r="B376" s="437" t="s">
        <v>3419</v>
      </c>
      <c r="C376" s="513">
        <f>E376+D376+F376</f>
        <v>2925.5</v>
      </c>
      <c r="D376" s="513">
        <f>SUMIF(N357:N375,M376,D357:D375)</f>
        <v>2925.5</v>
      </c>
      <c r="E376" s="513">
        <f>SUMIF(N357:N375,M376,E357:E375)</f>
        <v>0</v>
      </c>
      <c r="F376" s="513">
        <f>SUMIF(N357:N375,M376,F357:F375)</f>
        <v>0</v>
      </c>
      <c r="G376" s="451" t="s">
        <v>3439</v>
      </c>
      <c r="M376" s="501" t="s">
        <v>3416</v>
      </c>
      <c r="N376" s="501" t="s">
        <v>3421</v>
      </c>
      <c r="Z376" s="500"/>
      <c r="AA376" s="500"/>
      <c r="AB376" s="500"/>
      <c r="AC376" s="500"/>
      <c r="AD376" s="500"/>
      <c r="AE376" s="500"/>
      <c r="AF376" s="500"/>
      <c r="AG376" s="500"/>
      <c r="AH376" s="500"/>
      <c r="AI376" s="500"/>
      <c r="AJ376" s="500"/>
      <c r="AK376" s="500"/>
      <c r="AL376" s="500"/>
      <c r="AM376" s="500"/>
      <c r="AN376" s="500"/>
      <c r="AO376" s="500"/>
      <c r="AP376" s="500"/>
    </row>
    <row r="377" spans="1:42" ht="16.5" customHeight="1">
      <c r="A377" s="439"/>
      <c r="B377" s="439"/>
      <c r="C377" s="504"/>
      <c r="D377" s="504"/>
      <c r="E377" s="504"/>
      <c r="F377" s="504"/>
      <c r="G377" s="451" t="s">
        <v>3406</v>
      </c>
      <c r="Z377" s="500"/>
      <c r="AA377" s="500"/>
      <c r="AB377" s="500"/>
      <c r="AC377" s="500"/>
      <c r="AD377" s="500"/>
      <c r="AE377" s="500"/>
      <c r="AF377" s="500"/>
      <c r="AG377" s="500"/>
      <c r="AH377" s="500"/>
      <c r="AI377" s="500"/>
      <c r="AJ377" s="500"/>
      <c r="AK377" s="500"/>
      <c r="AL377" s="500"/>
      <c r="AM377" s="500"/>
      <c r="AN377" s="500"/>
      <c r="AO377" s="500"/>
      <c r="AP377" s="500"/>
    </row>
    <row r="378" spans="1:42" ht="16.5" customHeight="1">
      <c r="A378" s="439"/>
      <c r="B378" s="439"/>
      <c r="C378" s="439"/>
      <c r="D378" s="439"/>
      <c r="E378" s="439"/>
      <c r="F378" s="439"/>
      <c r="G378" s="451" t="s">
        <v>3406</v>
      </c>
      <c r="Z378" s="500"/>
      <c r="AA378" s="500"/>
      <c r="AB378" s="500"/>
      <c r="AC378" s="500"/>
      <c r="AD378" s="500"/>
      <c r="AE378" s="500"/>
      <c r="AF378" s="500"/>
      <c r="AG378" s="500"/>
      <c r="AH378" s="500"/>
      <c r="AI378" s="500"/>
      <c r="AJ378" s="500"/>
      <c r="AK378" s="500"/>
      <c r="AL378" s="500"/>
      <c r="AM378" s="500"/>
      <c r="AN378" s="500"/>
      <c r="AO378" s="500"/>
      <c r="AP378" s="500"/>
    </row>
    <row r="379" spans="1:42" ht="16.5" customHeight="1">
      <c r="A379" s="434"/>
      <c r="B379" s="437" t="s">
        <v>3502</v>
      </c>
      <c r="C379" s="439"/>
      <c r="D379" s="439"/>
      <c r="E379" s="439"/>
      <c r="F379" s="439"/>
      <c r="G379" s="451" t="s">
        <v>3503</v>
      </c>
      <c r="Z379" s="500"/>
      <c r="AA379" s="500"/>
      <c r="AB379" s="500"/>
      <c r="AC379" s="500"/>
      <c r="AD379" s="500"/>
      <c r="AE379" s="500"/>
      <c r="AF379" s="500"/>
      <c r="AG379" s="500"/>
      <c r="AH379" s="500"/>
      <c r="AI379" s="500"/>
      <c r="AJ379" s="500"/>
      <c r="AK379" s="500"/>
      <c r="AL379" s="500"/>
      <c r="AM379" s="500"/>
      <c r="AN379" s="500"/>
      <c r="AO379" s="500"/>
      <c r="AP379" s="500"/>
    </row>
    <row r="380" spans="1:42" ht="16.5" customHeight="1">
      <c r="A380" s="439"/>
      <c r="B380" s="439"/>
      <c r="C380" s="439"/>
      <c r="D380" s="439"/>
      <c r="E380" s="439"/>
      <c r="F380" s="439"/>
      <c r="G380" s="451" t="s">
        <v>3406</v>
      </c>
      <c r="Z380" s="500"/>
      <c r="AA380" s="500"/>
      <c r="AB380" s="500"/>
      <c r="AC380" s="500"/>
      <c r="AD380" s="500"/>
      <c r="AE380" s="500"/>
      <c r="AF380" s="500"/>
      <c r="AG380" s="500"/>
      <c r="AH380" s="500"/>
      <c r="AI380" s="500"/>
      <c r="AJ380" s="500"/>
      <c r="AK380" s="500"/>
      <c r="AL380" s="500"/>
      <c r="AM380" s="500"/>
      <c r="AN380" s="500"/>
      <c r="AO380" s="500"/>
      <c r="AP380" s="500"/>
    </row>
    <row r="381" spans="1:42" ht="16.5" customHeight="1">
      <c r="A381" s="434" t="s">
        <v>3504</v>
      </c>
      <c r="B381" s="505" t="str">
        <f>"  유기질비료 수목이식·식재용 : "&amp;TEXT(I381,"#,##0"&amp;IF(I381&lt;&gt;INT(I381),".###",""))&amp;" * "&amp;AA381&amp;" KG  / Q1 = "&amp;TEXT(C381,"#,##0.0")&amp;""</f>
        <v xml:space="preserve">  유기질비료 수목이식·식재용 : 500 * 150 KG  / Q1 = 250.0</v>
      </c>
      <c r="C381" s="506">
        <f>E381+D381+F381</f>
        <v>250</v>
      </c>
      <c r="D381" s="506">
        <f>IF(H381=0,0,ROUNDDOWN(J381*H381,1))</f>
        <v>0</v>
      </c>
      <c r="E381" s="506">
        <f>IF(H381=0,0,ROUNDDOWN(K381*H381,1))</f>
        <v>250</v>
      </c>
      <c r="F381" s="506">
        <f>IF(H381=0,0,ROUNDDOWN(L381*H381,1))</f>
        <v>0</v>
      </c>
      <c r="G381" s="451" t="s">
        <v>3505</v>
      </c>
      <c r="H381" s="507">
        <f>ROUNDUP(AE381,14-LEN(ABS(INT(AE381))))</f>
        <v>0.5</v>
      </c>
      <c r="I381" s="508">
        <f>K381+J381+L381</f>
        <v>500</v>
      </c>
      <c r="K381" s="509">
        <f>재료비목록표!E78</f>
        <v>500</v>
      </c>
      <c r="M381" s="501" t="s">
        <v>3506</v>
      </c>
      <c r="N381" s="501" t="s">
        <v>3416</v>
      </c>
      <c r="X381" s="510" t="str">
        <f>재료비목록표!B78&amp;" / "&amp;재료비목록표!C78</f>
        <v>유기질비료 / 수목이식·식재용</v>
      </c>
      <c r="Y381" s="433" t="str">
        <f ca="1">HYPERLINK("#"&amp;재료비목록표!G2&amp;"!A"&amp;ROW(재료비목록표!A78),"M01159 →")</f>
        <v>M01159 →</v>
      </c>
      <c r="Z381" s="501" t="s">
        <v>3500</v>
      </c>
      <c r="AA381" s="515">
        <v>150</v>
      </c>
      <c r="AB381" s="501" t="s">
        <v>3428</v>
      </c>
      <c r="AC381" s="512">
        <f>AB362</f>
        <v>300</v>
      </c>
      <c r="AD381" s="501" t="s">
        <v>3418</v>
      </c>
      <c r="AE381" s="512">
        <f>1*AA381/AB362</f>
        <v>0.5</v>
      </c>
      <c r="AF381" s="500"/>
      <c r="AG381" s="500"/>
      <c r="AH381" s="500"/>
      <c r="AI381" s="500"/>
      <c r="AJ381" s="500"/>
      <c r="AK381" s="500"/>
      <c r="AL381" s="500"/>
      <c r="AM381" s="500"/>
      <c r="AN381" s="500"/>
      <c r="AO381" s="500"/>
      <c r="AP381" s="500"/>
    </row>
    <row r="382" spans="1:42" ht="16.5" customHeight="1">
      <c r="A382" s="439"/>
      <c r="B382" s="439"/>
      <c r="C382" s="439"/>
      <c r="D382" s="439"/>
      <c r="E382" s="439"/>
      <c r="F382" s="439"/>
      <c r="G382" s="451" t="s">
        <v>3406</v>
      </c>
      <c r="Z382" s="500"/>
      <c r="AA382" s="500"/>
      <c r="AB382" s="500"/>
      <c r="AC382" s="500"/>
      <c r="AD382" s="500"/>
      <c r="AE382" s="500"/>
      <c r="AF382" s="500"/>
      <c r="AG382" s="500"/>
      <c r="AH382" s="500"/>
      <c r="AI382" s="500"/>
      <c r="AJ382" s="500"/>
      <c r="AK382" s="500"/>
      <c r="AL382" s="500"/>
      <c r="AM382" s="500"/>
      <c r="AN382" s="500"/>
      <c r="AO382" s="500"/>
      <c r="AP382" s="500"/>
    </row>
    <row r="383" spans="1:42" ht="16.5" customHeight="1">
      <c r="A383" s="434"/>
      <c r="B383" s="437" t="s">
        <v>3419</v>
      </c>
      <c r="C383" s="513">
        <f>E383+D383+F383</f>
        <v>250</v>
      </c>
      <c r="D383" s="513">
        <f>SUMIF(N377:N382,M383,D377:D382)</f>
        <v>0</v>
      </c>
      <c r="E383" s="513">
        <f>SUMIF(N377:N382,M383,E377:E382)</f>
        <v>250</v>
      </c>
      <c r="F383" s="513">
        <f>SUMIF(N377:N382,M383,F377:F382)</f>
        <v>0</v>
      </c>
      <c r="G383" s="451" t="s">
        <v>3439</v>
      </c>
      <c r="M383" s="501" t="s">
        <v>3416</v>
      </c>
      <c r="N383" s="501" t="s">
        <v>3421</v>
      </c>
      <c r="Z383" s="500"/>
      <c r="AA383" s="500"/>
      <c r="AB383" s="500"/>
      <c r="AC383" s="500"/>
      <c r="AD383" s="500"/>
      <c r="AE383" s="500"/>
      <c r="AF383" s="500"/>
      <c r="AG383" s="500"/>
      <c r="AH383" s="500"/>
      <c r="AI383" s="500"/>
      <c r="AJ383" s="500"/>
      <c r="AK383" s="500"/>
      <c r="AL383" s="500"/>
      <c r="AM383" s="500"/>
      <c r="AN383" s="500"/>
      <c r="AO383" s="500"/>
      <c r="AP383" s="500"/>
    </row>
    <row r="384" spans="1:42" ht="16.5" customHeight="1">
      <c r="A384" s="439"/>
      <c r="B384" s="439"/>
      <c r="C384" s="504"/>
      <c r="D384" s="504"/>
      <c r="E384" s="504"/>
      <c r="F384" s="504"/>
      <c r="G384" s="451" t="s">
        <v>3406</v>
      </c>
      <c r="Z384" s="500"/>
      <c r="AA384" s="500"/>
      <c r="AB384" s="500"/>
      <c r="AC384" s="500"/>
      <c r="AD384" s="500"/>
      <c r="AE384" s="500"/>
      <c r="AF384" s="500"/>
      <c r="AG384" s="500"/>
      <c r="AH384" s="500"/>
      <c r="AI384" s="500"/>
      <c r="AJ384" s="500"/>
      <c r="AK384" s="500"/>
      <c r="AL384" s="500"/>
      <c r="AM384" s="500"/>
      <c r="AN384" s="500"/>
      <c r="AO384" s="500"/>
      <c r="AP384" s="500"/>
    </row>
    <row r="385" spans="1:42" ht="16.5" customHeight="1">
      <c r="A385" s="434"/>
      <c r="B385" s="505" t="str">
        <f>"  산지할증 : "&amp;TEXT(I385,"#,##0.0")&amp;" * "&amp;AA385&amp;" %  = "&amp;TEXT(C385,"#,##0.0")&amp;""</f>
        <v xml:space="preserve">  산지할증 : 2,925.5 * 15 %  = 438.8</v>
      </c>
      <c r="C385" s="506">
        <f>E385+D385+F385</f>
        <v>438.8</v>
      </c>
      <c r="D385" s="506">
        <f>IF(H385=0,0,ROUNDDOWN(J385*H385/100,1))</f>
        <v>438.8</v>
      </c>
      <c r="E385" s="506">
        <f>IF(H385=0,0,ROUNDDOWN(K385*H385/100,1))</f>
        <v>0</v>
      </c>
      <c r="F385" s="506">
        <f>IF(H385=0,0,ROUNDDOWN(L385*H385/100,1))</f>
        <v>0</v>
      </c>
      <c r="G385" s="451" t="s">
        <v>5587</v>
      </c>
      <c r="H385" s="507">
        <f>ROUNDUP(AC385,14-LEN(ABS(INT(AC385))))</f>
        <v>15</v>
      </c>
      <c r="I385" s="508">
        <f>K385+J385+L385</f>
        <v>2925.5</v>
      </c>
      <c r="J385" s="508">
        <f>D376+D383+SUMIF(N384:N384,N385,D384:D384)</f>
        <v>2925.5</v>
      </c>
      <c r="K385" s="456">
        <v>0</v>
      </c>
      <c r="L385" s="456">
        <v>0</v>
      </c>
      <c r="M385" s="501" t="s">
        <v>4208</v>
      </c>
      <c r="N385" s="501" t="s">
        <v>3416</v>
      </c>
      <c r="Z385" s="501" t="s">
        <v>3500</v>
      </c>
      <c r="AA385" s="515">
        <v>15</v>
      </c>
      <c r="AB385" s="501" t="s">
        <v>3418</v>
      </c>
      <c r="AC385" s="512">
        <f>1*AA385</f>
        <v>15</v>
      </c>
      <c r="AD385" s="500"/>
      <c r="AE385" s="500"/>
      <c r="AF385" s="500"/>
      <c r="AG385" s="500"/>
      <c r="AH385" s="500"/>
      <c r="AI385" s="500"/>
      <c r="AJ385" s="500"/>
      <c r="AK385" s="500"/>
      <c r="AL385" s="500"/>
      <c r="AM385" s="500"/>
      <c r="AN385" s="500"/>
      <c r="AO385" s="500"/>
      <c r="AP385" s="500"/>
    </row>
    <row r="386" spans="1:42" ht="16.5" customHeight="1">
      <c r="A386" s="439"/>
      <c r="B386" s="439"/>
      <c r="C386" s="439"/>
      <c r="D386" s="439"/>
      <c r="E386" s="439"/>
      <c r="F386" s="439"/>
      <c r="G386" s="451" t="s">
        <v>3406</v>
      </c>
      <c r="Z386" s="500"/>
      <c r="AA386" s="500"/>
      <c r="AB386" s="500"/>
      <c r="AC386" s="500"/>
      <c r="AD386" s="500"/>
      <c r="AE386" s="500"/>
      <c r="AF386" s="500"/>
      <c r="AG386" s="500"/>
      <c r="AH386" s="500"/>
      <c r="AI386" s="500"/>
      <c r="AJ386" s="500"/>
      <c r="AK386" s="500"/>
      <c r="AL386" s="500"/>
      <c r="AM386" s="500"/>
      <c r="AN386" s="500"/>
      <c r="AO386" s="500"/>
      <c r="AP386" s="500"/>
    </row>
    <row r="387" spans="1:42" ht="16.5" customHeight="1">
      <c r="A387" s="434"/>
      <c r="B387" s="437" t="s">
        <v>3419</v>
      </c>
      <c r="C387" s="513">
        <f>E387+D387+F387</f>
        <v>438.8</v>
      </c>
      <c r="D387" s="513">
        <f>SUMIF(N384:N386,M387,D384:D386)</f>
        <v>438.8</v>
      </c>
      <c r="E387" s="513">
        <f>SUMIF(N384:N386,M387,E384:E386)</f>
        <v>0</v>
      </c>
      <c r="F387" s="513">
        <f>SUMIF(N384:N386,M387,F384:F386)</f>
        <v>0</v>
      </c>
      <c r="G387" s="451" t="s">
        <v>3439</v>
      </c>
      <c r="M387" s="501" t="s">
        <v>3416</v>
      </c>
      <c r="N387" s="501" t="s">
        <v>3421</v>
      </c>
      <c r="Z387" s="500"/>
      <c r="AA387" s="500"/>
      <c r="AB387" s="500"/>
      <c r="AC387" s="500"/>
      <c r="AD387" s="500"/>
      <c r="AE387" s="500"/>
      <c r="AF387" s="500"/>
      <c r="AG387" s="500"/>
      <c r="AH387" s="500"/>
      <c r="AI387" s="500"/>
      <c r="AJ387" s="500"/>
      <c r="AK387" s="500"/>
      <c r="AL387" s="500"/>
      <c r="AM387" s="500"/>
      <c r="AN387" s="500"/>
      <c r="AO387" s="500"/>
      <c r="AP387" s="500"/>
    </row>
    <row r="388" spans="1:42" ht="16.5" customHeight="1">
      <c r="A388" s="439"/>
      <c r="B388" s="439"/>
      <c r="C388" s="504"/>
      <c r="D388" s="504"/>
      <c r="E388" s="504"/>
      <c r="F388" s="504"/>
      <c r="G388" s="451" t="s">
        <v>3406</v>
      </c>
      <c r="Z388" s="500"/>
      <c r="AA388" s="500"/>
      <c r="AB388" s="500"/>
      <c r="AC388" s="500"/>
      <c r="AD388" s="500"/>
      <c r="AE388" s="500"/>
      <c r="AF388" s="500"/>
      <c r="AG388" s="500"/>
      <c r="AH388" s="500"/>
      <c r="AI388" s="500"/>
      <c r="AJ388" s="500"/>
      <c r="AK388" s="500"/>
      <c r="AL388" s="500"/>
      <c r="AM388" s="500"/>
      <c r="AN388" s="500"/>
      <c r="AO388" s="500"/>
      <c r="AP388" s="500"/>
    </row>
    <row r="389" spans="1:42" ht="16.5" customHeight="1">
      <c r="A389" s="434"/>
      <c r="B389" s="437" t="s">
        <v>3440</v>
      </c>
      <c r="C389" s="513">
        <f>E389+D389+F389</f>
        <v>3614.3</v>
      </c>
      <c r="D389" s="513">
        <f>SUMIF(N357:N388,M389,D357:D388)</f>
        <v>3364.3</v>
      </c>
      <c r="E389" s="513">
        <f>SUMIF(N357:N388,M389,E357:E388)</f>
        <v>250</v>
      </c>
      <c r="F389" s="513">
        <f>SUMIF(N357:N388,M389,F357:F388)</f>
        <v>0</v>
      </c>
      <c r="G389" s="451" t="s">
        <v>3441</v>
      </c>
      <c r="M389" s="501" t="s">
        <v>3421</v>
      </c>
      <c r="N389" s="501" t="s">
        <v>2354</v>
      </c>
      <c r="Z389" s="500"/>
      <c r="AA389" s="500"/>
      <c r="AB389" s="500"/>
      <c r="AC389" s="500"/>
      <c r="AD389" s="500"/>
      <c r="AE389" s="500"/>
      <c r="AF389" s="500"/>
      <c r="AG389" s="500"/>
      <c r="AH389" s="500"/>
      <c r="AI389" s="500"/>
      <c r="AJ389" s="500"/>
      <c r="AK389" s="500"/>
      <c r="AL389" s="500"/>
      <c r="AM389" s="500"/>
      <c r="AN389" s="500"/>
      <c r="AO389" s="500"/>
      <c r="AP389" s="500"/>
    </row>
    <row r="390" spans="1:42" ht="16.5" customHeight="1">
      <c r="A390" s="439"/>
      <c r="B390" s="439"/>
      <c r="C390" s="504"/>
      <c r="D390" s="504"/>
      <c r="E390" s="504"/>
      <c r="F390" s="504"/>
      <c r="G390" s="451" t="s">
        <v>3413</v>
      </c>
      <c r="Z390" s="500"/>
      <c r="AA390" s="500"/>
      <c r="AB390" s="500"/>
      <c r="AC390" s="500"/>
      <c r="AD390" s="500"/>
      <c r="AE390" s="500"/>
      <c r="AF390" s="500"/>
      <c r="AG390" s="500"/>
      <c r="AH390" s="500"/>
      <c r="AI390" s="500"/>
      <c r="AJ390" s="500"/>
      <c r="AK390" s="500"/>
      <c r="AL390" s="500"/>
      <c r="AM390" s="500"/>
      <c r="AN390" s="500"/>
      <c r="AO390" s="500"/>
      <c r="AP390" s="500"/>
    </row>
    <row r="391" spans="1:42" ht="16.5" customHeight="1">
      <c r="A391" s="439"/>
      <c r="B391" s="439"/>
      <c r="C391" s="439"/>
      <c r="D391" s="439"/>
      <c r="E391" s="439"/>
      <c r="F391" s="439"/>
      <c r="Z391" s="500"/>
      <c r="AA391" s="500"/>
      <c r="AB391" s="500"/>
      <c r="AC391" s="500"/>
      <c r="AD391" s="500"/>
      <c r="AE391" s="500"/>
      <c r="AF391" s="500"/>
      <c r="AG391" s="500"/>
      <c r="AH391" s="500"/>
      <c r="AI391" s="500"/>
      <c r="AJ391" s="500"/>
      <c r="AK391" s="500"/>
      <c r="AL391" s="500"/>
      <c r="AM391" s="500"/>
      <c r="AN391" s="500"/>
      <c r="AO391" s="500"/>
      <c r="AP391" s="500"/>
    </row>
    <row r="392" spans="1:42" ht="16.5" customHeight="1">
      <c r="A392" s="439"/>
      <c r="B392" s="439"/>
      <c r="C392" s="439"/>
      <c r="D392" s="439"/>
      <c r="E392" s="439"/>
      <c r="F392" s="439"/>
      <c r="Z392" s="500"/>
      <c r="AA392" s="500"/>
      <c r="AB392" s="500"/>
      <c r="AC392" s="500"/>
      <c r="AD392" s="500"/>
      <c r="AE392" s="500"/>
      <c r="AF392" s="500"/>
      <c r="AG392" s="500"/>
      <c r="AH392" s="500"/>
      <c r="AI392" s="500"/>
      <c r="AJ392" s="500"/>
      <c r="AK392" s="500"/>
      <c r="AL392" s="500"/>
      <c r="AM392" s="500"/>
      <c r="AN392" s="500"/>
      <c r="AO392" s="500"/>
      <c r="AP392" s="500"/>
    </row>
    <row r="393" spans="1:42" ht="16.5" customHeight="1">
      <c r="A393" s="439"/>
      <c r="B393" s="439"/>
      <c r="C393" s="439"/>
      <c r="D393" s="439"/>
      <c r="E393" s="439"/>
      <c r="F393" s="439"/>
      <c r="Z393" s="500"/>
      <c r="AA393" s="500"/>
      <c r="AB393" s="500"/>
      <c r="AC393" s="500"/>
      <c r="AD393" s="500"/>
      <c r="AE393" s="500"/>
      <c r="AF393" s="500"/>
      <c r="AG393" s="500"/>
      <c r="AH393" s="500"/>
      <c r="AI393" s="500"/>
      <c r="AJ393" s="500"/>
      <c r="AK393" s="500"/>
      <c r="AL393" s="500"/>
      <c r="AM393" s="500"/>
      <c r="AN393" s="500"/>
      <c r="AO393" s="500"/>
      <c r="AP393" s="500"/>
    </row>
    <row r="394" spans="1:42" ht="16.5" customHeight="1">
      <c r="A394" s="439"/>
      <c r="B394" s="439"/>
      <c r="C394" s="439"/>
      <c r="D394" s="439"/>
      <c r="E394" s="439"/>
      <c r="F394" s="439"/>
      <c r="Z394" s="500"/>
      <c r="AA394" s="500"/>
      <c r="AB394" s="500"/>
      <c r="AC394" s="500"/>
      <c r="AD394" s="500"/>
      <c r="AE394" s="500"/>
      <c r="AF394" s="500"/>
      <c r="AG394" s="500"/>
      <c r="AH394" s="500"/>
      <c r="AI394" s="500"/>
      <c r="AJ394" s="500"/>
      <c r="AK394" s="500"/>
      <c r="AL394" s="500"/>
      <c r="AM394" s="500"/>
      <c r="AN394" s="500"/>
      <c r="AO394" s="500"/>
      <c r="AP394" s="500"/>
    </row>
    <row r="395" spans="1:42" ht="16.5" customHeight="1">
      <c r="A395" s="439"/>
      <c r="B395" s="439"/>
      <c r="C395" s="439"/>
      <c r="D395" s="439"/>
      <c r="E395" s="439"/>
      <c r="F395" s="439"/>
      <c r="Z395" s="500"/>
      <c r="AA395" s="500"/>
      <c r="AB395" s="500"/>
      <c r="AC395" s="500"/>
      <c r="AD395" s="500"/>
      <c r="AE395" s="500"/>
      <c r="AF395" s="500"/>
      <c r="AG395" s="500"/>
      <c r="AH395" s="500"/>
      <c r="AI395" s="500"/>
      <c r="AJ395" s="500"/>
      <c r="AK395" s="500"/>
      <c r="AL395" s="500"/>
      <c r="AM395" s="500"/>
      <c r="AN395" s="500"/>
      <c r="AO395" s="500"/>
      <c r="AP395" s="500"/>
    </row>
    <row r="396" spans="1:42" ht="16.5" customHeight="1">
      <c r="A396" s="439"/>
      <c r="B396" s="439"/>
      <c r="C396" s="439"/>
      <c r="D396" s="439"/>
      <c r="E396" s="439"/>
      <c r="F396" s="439"/>
      <c r="Z396" s="500"/>
      <c r="AA396" s="500"/>
      <c r="AB396" s="500"/>
      <c r="AC396" s="500"/>
      <c r="AD396" s="500"/>
      <c r="AE396" s="500"/>
      <c r="AF396" s="500"/>
      <c r="AG396" s="500"/>
      <c r="AH396" s="500"/>
      <c r="AI396" s="500"/>
      <c r="AJ396" s="500"/>
      <c r="AK396" s="500"/>
      <c r="AL396" s="500"/>
      <c r="AM396" s="500"/>
      <c r="AN396" s="500"/>
      <c r="AO396" s="500"/>
      <c r="AP396" s="500"/>
    </row>
    <row r="397" spans="1:42" ht="16.5" customHeight="1">
      <c r="A397" s="439"/>
      <c r="B397" s="439"/>
      <c r="C397" s="439"/>
      <c r="D397" s="439"/>
      <c r="E397" s="439"/>
      <c r="F397" s="439"/>
      <c r="Z397" s="500"/>
      <c r="AA397" s="500"/>
      <c r="AB397" s="500"/>
      <c r="AC397" s="500"/>
      <c r="AD397" s="500"/>
      <c r="AE397" s="500"/>
      <c r="AF397" s="500"/>
      <c r="AG397" s="500"/>
      <c r="AH397" s="500"/>
      <c r="AI397" s="500"/>
      <c r="AJ397" s="500"/>
      <c r="AK397" s="500"/>
      <c r="AL397" s="500"/>
      <c r="AM397" s="500"/>
      <c r="AN397" s="500"/>
      <c r="AO397" s="500"/>
      <c r="AP397" s="500"/>
    </row>
    <row r="398" spans="1:42" ht="16.5" customHeight="1">
      <c r="A398" s="439"/>
      <c r="B398" s="439"/>
      <c r="C398" s="439"/>
      <c r="D398" s="439"/>
      <c r="E398" s="439"/>
      <c r="F398" s="439"/>
      <c r="Z398" s="500"/>
      <c r="AA398" s="500"/>
      <c r="AB398" s="500"/>
      <c r="AC398" s="500"/>
      <c r="AD398" s="500"/>
      <c r="AE398" s="500"/>
      <c r="AF398" s="500"/>
      <c r="AG398" s="500"/>
      <c r="AH398" s="500"/>
      <c r="AI398" s="500"/>
      <c r="AJ398" s="500"/>
      <c r="AK398" s="500"/>
      <c r="AL398" s="500"/>
      <c r="AM398" s="500"/>
      <c r="AN398" s="500"/>
      <c r="AO398" s="500"/>
      <c r="AP398" s="500"/>
    </row>
    <row r="399" spans="1:42" ht="16.5" customHeight="1">
      <c r="A399" s="439"/>
      <c r="B399" s="439"/>
      <c r="C399" s="439"/>
      <c r="D399" s="439"/>
      <c r="E399" s="439"/>
      <c r="F399" s="439"/>
      <c r="Z399" s="500"/>
      <c r="AA399" s="500"/>
      <c r="AB399" s="500"/>
      <c r="AC399" s="500"/>
      <c r="AD399" s="500"/>
      <c r="AE399" s="500"/>
      <c r="AF399" s="500"/>
      <c r="AG399" s="500"/>
      <c r="AH399" s="500"/>
      <c r="AI399" s="500"/>
      <c r="AJ399" s="500"/>
      <c r="AK399" s="500"/>
      <c r="AL399" s="500"/>
      <c r="AM399" s="500"/>
      <c r="AN399" s="500"/>
      <c r="AO399" s="500"/>
      <c r="AP399" s="500"/>
    </row>
    <row r="400" spans="1:42" ht="16.5" customHeight="1">
      <c r="A400" s="439"/>
      <c r="B400" s="439"/>
      <c r="C400" s="439"/>
      <c r="D400" s="439"/>
      <c r="E400" s="439"/>
      <c r="F400" s="439"/>
      <c r="Z400" s="500"/>
      <c r="AA400" s="500"/>
      <c r="AB400" s="500"/>
      <c r="AC400" s="500"/>
      <c r="AD400" s="500"/>
      <c r="AE400" s="500"/>
      <c r="AF400" s="500"/>
      <c r="AG400" s="500"/>
      <c r="AH400" s="500"/>
      <c r="AI400" s="500"/>
      <c r="AJ400" s="500"/>
      <c r="AK400" s="500"/>
      <c r="AL400" s="500"/>
      <c r="AM400" s="500"/>
      <c r="AN400" s="500"/>
      <c r="AO400" s="500"/>
      <c r="AP400" s="500"/>
    </row>
    <row r="401" spans="1:42" ht="16.5" customHeight="1">
      <c r="A401" s="439"/>
      <c r="B401" s="439"/>
      <c r="C401" s="439"/>
      <c r="D401" s="439"/>
      <c r="E401" s="439"/>
      <c r="F401" s="439"/>
      <c r="Z401" s="500"/>
      <c r="AA401" s="500"/>
      <c r="AB401" s="500"/>
      <c r="AC401" s="500"/>
      <c r="AD401" s="500"/>
      <c r="AE401" s="500"/>
      <c r="AF401" s="500"/>
      <c r="AG401" s="500"/>
      <c r="AH401" s="500"/>
      <c r="AI401" s="500"/>
      <c r="AJ401" s="500"/>
      <c r="AK401" s="500"/>
      <c r="AL401" s="500"/>
      <c r="AM401" s="500"/>
      <c r="AN401" s="500"/>
      <c r="AO401" s="500"/>
      <c r="AP401" s="500"/>
    </row>
    <row r="402" spans="1:42" ht="16.5" customHeight="1">
      <c r="A402" s="439"/>
      <c r="B402" s="439"/>
      <c r="C402" s="439"/>
      <c r="D402" s="439"/>
      <c r="E402" s="439"/>
      <c r="F402" s="439"/>
      <c r="Z402" s="500"/>
      <c r="AA402" s="500"/>
      <c r="AB402" s="500"/>
      <c r="AC402" s="500"/>
      <c r="AD402" s="500"/>
      <c r="AE402" s="500"/>
      <c r="AF402" s="500"/>
      <c r="AG402" s="500"/>
      <c r="AH402" s="500"/>
      <c r="AI402" s="500"/>
      <c r="AJ402" s="500"/>
      <c r="AK402" s="500"/>
      <c r="AL402" s="500"/>
      <c r="AM402" s="500"/>
      <c r="AN402" s="500"/>
      <c r="AO402" s="500"/>
      <c r="AP402" s="500"/>
    </row>
    <row r="403" spans="1:42" ht="16.5" customHeight="1">
      <c r="A403" s="497"/>
      <c r="B403" s="497"/>
      <c r="C403" s="497"/>
      <c r="D403" s="497"/>
      <c r="E403" s="497"/>
      <c r="F403" s="497"/>
      <c r="Z403" s="500"/>
      <c r="AA403" s="500"/>
      <c r="AB403" s="500"/>
      <c r="AC403" s="500"/>
      <c r="AD403" s="500"/>
      <c r="AE403" s="500"/>
      <c r="AF403" s="500"/>
      <c r="AG403" s="500"/>
      <c r="AH403" s="500"/>
      <c r="AI403" s="500"/>
      <c r="AJ403" s="500"/>
      <c r="AK403" s="500"/>
      <c r="AL403" s="500"/>
      <c r="AM403" s="500"/>
      <c r="AN403" s="500"/>
      <c r="AO403" s="500"/>
      <c r="AP403" s="500"/>
    </row>
    <row r="404" spans="1:42" ht="16.5" customHeight="1">
      <c r="A404" s="616" t="s">
        <v>3487</v>
      </c>
      <c r="B404" s="605"/>
      <c r="C404" s="446">
        <f>E404+D404+F404</f>
        <v>3614</v>
      </c>
      <c r="D404" s="453">
        <f>ROUNDDOWN(SUMIF(N357:N390,M404,D357:D390),0)</f>
        <v>3364</v>
      </c>
      <c r="E404" s="454">
        <f>ROUNDDOWN(SUMIF(N357:N390,M404,E357:E390),0)</f>
        <v>250</v>
      </c>
      <c r="F404" s="446">
        <f>ROUNDDOWN(SUMIF(N357:N390,M404,F357:F390),0)</f>
        <v>0</v>
      </c>
      <c r="M404" s="501" t="s">
        <v>2354</v>
      </c>
      <c r="Z404" s="500"/>
      <c r="AA404" s="500"/>
      <c r="AB404" s="500"/>
      <c r="AC404" s="500"/>
      <c r="AD404" s="500"/>
      <c r="AE404" s="500"/>
      <c r="AF404" s="500"/>
      <c r="AG404" s="500"/>
      <c r="AH404" s="500"/>
      <c r="AI404" s="500"/>
      <c r="AJ404" s="500"/>
      <c r="AK404" s="500"/>
      <c r="AL404" s="500"/>
      <c r="AM404" s="500"/>
      <c r="AN404" s="500"/>
      <c r="AO404" s="500"/>
      <c r="AP404" s="500"/>
    </row>
    <row r="405" spans="1:42" ht="16.5" customHeight="1">
      <c r="A405" s="502"/>
      <c r="B405" s="503" t="s">
        <v>5380</v>
      </c>
      <c r="C405" s="615">
        <f>C454</f>
        <v>2543</v>
      </c>
      <c r="D405" s="615">
        <f>D454</f>
        <v>2293</v>
      </c>
      <c r="E405" s="615">
        <f>E454</f>
        <v>250</v>
      </c>
      <c r="F405" s="615">
        <f>F454</f>
        <v>0</v>
      </c>
      <c r="G405" s="486" t="str">
        <f>HYPERLINK("#G"&amp;ROW(G440),"_x0005_`BDCOD|D01355_x0007_`POSS|"&amp;ROW(G407)&amp;"_x0007_`POSE|"&amp;ROW(G440)&amp;"_x0007_`")</f>
        <v>_x0005_`BDCOD|D01355_x0007_`POSS|407_x0007_`POSE|440_x0007_`</v>
      </c>
      <c r="Z405" s="500"/>
      <c r="AA405" s="500"/>
      <c r="AB405" s="500"/>
      <c r="AC405" s="500"/>
      <c r="AD405" s="500"/>
      <c r="AE405" s="500"/>
      <c r="AF405" s="500"/>
      <c r="AG405" s="500"/>
      <c r="AH405" s="500"/>
      <c r="AI405" s="500"/>
      <c r="AJ405" s="500"/>
      <c r="AK405" s="500"/>
      <c r="AL405" s="500"/>
      <c r="AM405" s="500"/>
      <c r="AN405" s="500"/>
      <c r="AO405" s="500"/>
      <c r="AP405" s="500"/>
    </row>
    <row r="406" spans="1:42" ht="16.5" customHeight="1">
      <c r="A406" s="485"/>
      <c r="B406" s="503" t="s">
        <v>5588</v>
      </c>
      <c r="C406" s="593"/>
      <c r="D406" s="593"/>
      <c r="E406" s="593"/>
      <c r="F406" s="593"/>
      <c r="M406" s="501" t="s">
        <v>5380</v>
      </c>
      <c r="Z406" s="500"/>
      <c r="AA406" s="500"/>
      <c r="AB406" s="500"/>
      <c r="AC406" s="500"/>
      <c r="AD406" s="500"/>
      <c r="AE406" s="500"/>
      <c r="AF406" s="500"/>
      <c r="AG406" s="500"/>
      <c r="AH406" s="500"/>
      <c r="AI406" s="500"/>
      <c r="AJ406" s="500"/>
      <c r="AK406" s="500"/>
      <c r="AL406" s="500"/>
      <c r="AM406" s="500"/>
      <c r="AN406" s="500"/>
      <c r="AO406" s="500"/>
      <c r="AP406" s="500"/>
    </row>
    <row r="407" spans="1:42" ht="16.5" customHeight="1">
      <c r="A407" s="439"/>
      <c r="B407" s="439"/>
      <c r="C407" s="504"/>
      <c r="D407" s="504"/>
      <c r="E407" s="504"/>
      <c r="F407" s="504"/>
      <c r="G407" s="451" t="s">
        <v>3406</v>
      </c>
      <c r="Z407" s="500"/>
      <c r="AA407" s="500"/>
      <c r="AB407" s="500"/>
      <c r="AC407" s="500"/>
      <c r="AD407" s="500"/>
      <c r="AE407" s="500"/>
      <c r="AF407" s="500"/>
      <c r="AG407" s="500"/>
      <c r="AH407" s="500"/>
      <c r="AI407" s="500"/>
      <c r="AJ407" s="500"/>
      <c r="AK407" s="500"/>
      <c r="AL407" s="500"/>
      <c r="AM407" s="500"/>
      <c r="AN407" s="500"/>
      <c r="AO407" s="500"/>
      <c r="AP407" s="500"/>
    </row>
    <row r="408" spans="1:42" ht="16.5" customHeight="1">
      <c r="A408" s="434"/>
      <c r="B408" s="437" t="s">
        <v>3508</v>
      </c>
      <c r="C408" s="439"/>
      <c r="D408" s="439"/>
      <c r="E408" s="439"/>
      <c r="F408" s="439"/>
      <c r="G408" s="451" t="s">
        <v>3509</v>
      </c>
      <c r="Z408" s="500"/>
      <c r="AA408" s="500"/>
      <c r="AB408" s="500"/>
      <c r="AC408" s="500"/>
      <c r="AD408" s="500"/>
      <c r="AE408" s="500"/>
      <c r="AF408" s="500"/>
      <c r="AG408" s="500"/>
      <c r="AH408" s="500"/>
      <c r="AI408" s="500"/>
      <c r="AJ408" s="500"/>
      <c r="AK408" s="500"/>
      <c r="AL408" s="500"/>
      <c r="AM408" s="500"/>
      <c r="AN408" s="500"/>
      <c r="AO408" s="500"/>
      <c r="AP408" s="500"/>
    </row>
    <row r="409" spans="1:42" ht="16.5" customHeight="1">
      <c r="A409" s="439"/>
      <c r="B409" s="439"/>
      <c r="C409" s="439"/>
      <c r="D409" s="439"/>
      <c r="E409" s="439"/>
      <c r="F409" s="439"/>
      <c r="G409" s="451" t="s">
        <v>3406</v>
      </c>
      <c r="Z409" s="500"/>
      <c r="AA409" s="500"/>
      <c r="AB409" s="500"/>
      <c r="AC409" s="500"/>
      <c r="AD409" s="500"/>
      <c r="AE409" s="500"/>
      <c r="AF409" s="500"/>
      <c r="AG409" s="500"/>
      <c r="AH409" s="500"/>
      <c r="AI409" s="500"/>
      <c r="AJ409" s="500"/>
      <c r="AK409" s="500"/>
      <c r="AL409" s="500"/>
      <c r="AM409" s="500"/>
      <c r="AN409" s="500"/>
      <c r="AO409" s="500"/>
      <c r="AP409" s="500"/>
    </row>
    <row r="410" spans="1:42" ht="16.5" customHeight="1">
      <c r="A410" s="434"/>
      <c r="B410" s="437" t="s">
        <v>3491</v>
      </c>
      <c r="C410" s="439"/>
      <c r="D410" s="439"/>
      <c r="E410" s="439"/>
      <c r="F410" s="439"/>
      <c r="G410" s="451" t="s">
        <v>3492</v>
      </c>
      <c r="Z410" s="500"/>
      <c r="AA410" s="500"/>
      <c r="AB410" s="500"/>
      <c r="AC410" s="500"/>
      <c r="AD410" s="500"/>
      <c r="AE410" s="500"/>
      <c r="AF410" s="500"/>
      <c r="AG410" s="500"/>
      <c r="AH410" s="500"/>
      <c r="AI410" s="500"/>
      <c r="AJ410" s="500"/>
      <c r="AK410" s="500"/>
      <c r="AL410" s="500"/>
      <c r="AM410" s="500"/>
      <c r="AN410" s="500"/>
      <c r="AO410" s="500"/>
      <c r="AP410" s="500"/>
    </row>
    <row r="411" spans="1:42" ht="16.5" customHeight="1">
      <c r="A411" s="439"/>
      <c r="B411" s="439"/>
      <c r="C411" s="439"/>
      <c r="D411" s="439"/>
      <c r="E411" s="439"/>
      <c r="F411" s="439"/>
      <c r="G411" s="451" t="s">
        <v>3406</v>
      </c>
      <c r="Z411" s="500"/>
      <c r="AA411" s="500"/>
      <c r="AB411" s="500"/>
      <c r="AC411" s="500"/>
      <c r="AD411" s="500"/>
      <c r="AE411" s="500"/>
      <c r="AF411" s="500"/>
      <c r="AG411" s="500"/>
      <c r="AH411" s="500"/>
      <c r="AI411" s="500"/>
      <c r="AJ411" s="500"/>
      <c r="AK411" s="500"/>
      <c r="AL411" s="500"/>
      <c r="AM411" s="500"/>
      <c r="AN411" s="500"/>
      <c r="AO411" s="500"/>
      <c r="AP411" s="500"/>
    </row>
    <row r="412" spans="1:42" ht="16.5" customHeight="1">
      <c r="A412" s="434"/>
      <c r="B412" s="437" t="str">
        <f>" 일당 작업량 :   Q1 = "&amp;Z412&amp;"  주 "</f>
        <v xml:space="preserve"> 일당 작업량 :   Q1 = 440  주 </v>
      </c>
      <c r="C412" s="439"/>
      <c r="D412" s="439"/>
      <c r="E412" s="439"/>
      <c r="F412" s="439"/>
      <c r="G412" s="451" t="s">
        <v>3510</v>
      </c>
      <c r="Z412" s="515">
        <v>440</v>
      </c>
      <c r="AA412" s="501" t="s">
        <v>3418</v>
      </c>
      <c r="AB412" s="512">
        <f>Z412</f>
        <v>440</v>
      </c>
      <c r="AC412" s="500"/>
      <c r="AD412" s="500"/>
      <c r="AE412" s="500"/>
      <c r="AF412" s="500"/>
      <c r="AG412" s="500"/>
      <c r="AH412" s="500"/>
      <c r="AI412" s="500"/>
      <c r="AJ412" s="500"/>
      <c r="AK412" s="500"/>
      <c r="AL412" s="500"/>
      <c r="AM412" s="500"/>
      <c r="AN412" s="500"/>
      <c r="AO412" s="500"/>
      <c r="AP412" s="500"/>
    </row>
    <row r="413" spans="1:42" ht="16.5" customHeight="1">
      <c r="A413" s="439"/>
      <c r="B413" s="439"/>
      <c r="C413" s="439"/>
      <c r="D413" s="439"/>
      <c r="E413" s="439"/>
      <c r="F413" s="439"/>
      <c r="G413" s="451" t="s">
        <v>3406</v>
      </c>
      <c r="Z413" s="500"/>
      <c r="AA413" s="500"/>
      <c r="AB413" s="500"/>
      <c r="AC413" s="500"/>
      <c r="AD413" s="500"/>
      <c r="AE413" s="500"/>
      <c r="AF413" s="500"/>
      <c r="AG413" s="500"/>
      <c r="AH413" s="500"/>
      <c r="AI413" s="500"/>
      <c r="AJ413" s="500"/>
      <c r="AK413" s="500"/>
      <c r="AL413" s="500"/>
      <c r="AM413" s="500"/>
      <c r="AN413" s="500"/>
      <c r="AO413" s="500"/>
      <c r="AP413" s="500"/>
    </row>
    <row r="414" spans="1:42" ht="16.5" customHeight="1">
      <c r="A414" s="434"/>
      <c r="B414" s="437" t="s">
        <v>3494</v>
      </c>
      <c r="C414" s="439"/>
      <c r="D414" s="439"/>
      <c r="E414" s="439"/>
      <c r="F414" s="439"/>
      <c r="G414" s="451" t="s">
        <v>3495</v>
      </c>
      <c r="Z414" s="500"/>
      <c r="AA414" s="500"/>
      <c r="AB414" s="500"/>
      <c r="AC414" s="500"/>
      <c r="AD414" s="500"/>
      <c r="AE414" s="500"/>
      <c r="AF414" s="500"/>
      <c r="AG414" s="500"/>
      <c r="AH414" s="500"/>
      <c r="AI414" s="500"/>
      <c r="AJ414" s="500"/>
      <c r="AK414" s="500"/>
      <c r="AL414" s="500"/>
      <c r="AM414" s="500"/>
      <c r="AN414" s="500"/>
      <c r="AO414" s="500"/>
      <c r="AP414" s="500"/>
    </row>
    <row r="415" spans="1:42" ht="16.5" customHeight="1">
      <c r="A415" s="439"/>
      <c r="B415" s="439"/>
      <c r="C415" s="439"/>
      <c r="D415" s="439"/>
      <c r="E415" s="439"/>
      <c r="F415" s="439"/>
      <c r="G415" s="451" t="s">
        <v>3406</v>
      </c>
      <c r="Z415" s="500"/>
      <c r="AA415" s="500"/>
      <c r="AB415" s="500"/>
      <c r="AC415" s="500"/>
      <c r="AD415" s="500"/>
      <c r="AE415" s="500"/>
      <c r="AF415" s="500"/>
      <c r="AG415" s="500"/>
      <c r="AH415" s="500"/>
      <c r="AI415" s="500"/>
      <c r="AJ415" s="500"/>
      <c r="AK415" s="500"/>
      <c r="AL415" s="500"/>
      <c r="AM415" s="500"/>
      <c r="AN415" s="500"/>
      <c r="AO415" s="500"/>
      <c r="AP415" s="500"/>
    </row>
    <row r="416" spans="1:42" ht="16.5" customHeight="1">
      <c r="A416" s="439"/>
      <c r="B416" s="439"/>
      <c r="C416" s="439"/>
      <c r="D416" s="439"/>
      <c r="E416" s="439"/>
      <c r="F416" s="439"/>
      <c r="G416" s="451" t="s">
        <v>3406</v>
      </c>
      <c r="Z416" s="500"/>
      <c r="AA416" s="500"/>
      <c r="AB416" s="500"/>
      <c r="AC416" s="500"/>
      <c r="AD416" s="500"/>
      <c r="AE416" s="500"/>
      <c r="AF416" s="500"/>
      <c r="AG416" s="500"/>
      <c r="AH416" s="500"/>
      <c r="AI416" s="500"/>
      <c r="AJ416" s="500"/>
      <c r="AK416" s="500"/>
      <c r="AL416" s="500"/>
      <c r="AM416" s="500"/>
      <c r="AN416" s="500"/>
      <c r="AO416" s="500"/>
      <c r="AP416" s="500"/>
    </row>
    <row r="417" spans="1:42" ht="16.5" customHeight="1">
      <c r="A417" s="439"/>
      <c r="B417" s="439"/>
      <c r="C417" s="439"/>
      <c r="D417" s="439"/>
      <c r="E417" s="439"/>
      <c r="F417" s="439"/>
      <c r="G417" s="451" t="s">
        <v>3406</v>
      </c>
      <c r="Z417" s="500"/>
      <c r="AA417" s="500"/>
      <c r="AB417" s="500"/>
      <c r="AC417" s="500"/>
      <c r="AD417" s="500"/>
      <c r="AE417" s="500"/>
      <c r="AF417" s="500"/>
      <c r="AG417" s="500"/>
      <c r="AH417" s="500"/>
      <c r="AI417" s="500"/>
      <c r="AJ417" s="500"/>
      <c r="AK417" s="500"/>
      <c r="AL417" s="500"/>
      <c r="AM417" s="500"/>
      <c r="AN417" s="500"/>
      <c r="AO417" s="500"/>
      <c r="AP417" s="500"/>
    </row>
    <row r="418" spans="1:42" ht="16.5" customHeight="1">
      <c r="A418" s="439"/>
      <c r="B418" s="439"/>
      <c r="C418" s="439"/>
      <c r="D418" s="439"/>
      <c r="E418" s="439"/>
      <c r="F418" s="439"/>
      <c r="G418" s="451" t="s">
        <v>3406</v>
      </c>
      <c r="Z418" s="500"/>
      <c r="AA418" s="500"/>
      <c r="AB418" s="500"/>
      <c r="AC418" s="500"/>
      <c r="AD418" s="500"/>
      <c r="AE418" s="500"/>
      <c r="AF418" s="500"/>
      <c r="AG418" s="500"/>
      <c r="AH418" s="500"/>
      <c r="AI418" s="500"/>
      <c r="AJ418" s="500"/>
      <c r="AK418" s="500"/>
      <c r="AL418" s="500"/>
      <c r="AM418" s="500"/>
      <c r="AN418" s="500"/>
      <c r="AO418" s="500"/>
      <c r="AP418" s="500"/>
    </row>
    <row r="419" spans="1:42" ht="16.5" customHeight="1">
      <c r="A419" s="434"/>
      <c r="B419" s="437" t="s">
        <v>3496</v>
      </c>
      <c r="C419" s="439"/>
      <c r="D419" s="439"/>
      <c r="E419" s="439"/>
      <c r="F419" s="439"/>
      <c r="G419" s="451" t="s">
        <v>3497</v>
      </c>
      <c r="Z419" s="500"/>
      <c r="AA419" s="500"/>
      <c r="AB419" s="500"/>
      <c r="AC419" s="500"/>
      <c r="AD419" s="500"/>
      <c r="AE419" s="500"/>
      <c r="AF419" s="500"/>
      <c r="AG419" s="500"/>
      <c r="AH419" s="500"/>
      <c r="AI419" s="500"/>
      <c r="AJ419" s="500"/>
      <c r="AK419" s="500"/>
      <c r="AL419" s="500"/>
      <c r="AM419" s="500"/>
      <c r="AN419" s="500"/>
      <c r="AO419" s="500"/>
      <c r="AP419" s="500"/>
    </row>
    <row r="420" spans="1:42" ht="16.5" customHeight="1">
      <c r="A420" s="439"/>
      <c r="B420" s="439"/>
      <c r="C420" s="439"/>
      <c r="D420" s="439"/>
      <c r="E420" s="439"/>
      <c r="F420" s="439"/>
      <c r="G420" s="451" t="s">
        <v>3406</v>
      </c>
      <c r="Z420" s="500"/>
      <c r="AA420" s="500"/>
      <c r="AB420" s="500"/>
      <c r="AC420" s="500"/>
      <c r="AD420" s="500"/>
      <c r="AE420" s="500"/>
      <c r="AF420" s="500"/>
      <c r="AG420" s="500"/>
      <c r="AH420" s="500"/>
      <c r="AI420" s="500"/>
      <c r="AJ420" s="500"/>
      <c r="AK420" s="500"/>
      <c r="AL420" s="500"/>
      <c r="AM420" s="500"/>
      <c r="AN420" s="500"/>
      <c r="AO420" s="500"/>
      <c r="AP420" s="500"/>
    </row>
    <row r="421" spans="1:42" ht="16.5" customHeight="1">
      <c r="A421" s="434" t="s">
        <v>3498</v>
      </c>
      <c r="B421" s="505" t="str">
        <f>" 조경공 :  "&amp;TEXT(I421,"#,##0"&amp;IF(I421&lt;&gt;INT(I421),".###",""))&amp;" * "&amp;AA421&amp;" 인  / Q1 = "&amp;TEXT(C421,"#,##0.0")&amp;""</f>
        <v xml:space="preserve"> 조경공 :  235,204 * 3 인  / Q1 = 1,603.6</v>
      </c>
      <c r="C421" s="506">
        <f>E421+D421+F421</f>
        <v>1603.6</v>
      </c>
      <c r="D421" s="506">
        <f>IF(H421=0,0,ROUNDDOWN(J421*H421,1))</f>
        <v>1603.6</v>
      </c>
      <c r="E421" s="506">
        <f>IF(H421=0,0,ROUNDDOWN(K421*H421,1))</f>
        <v>0</v>
      </c>
      <c r="F421" s="506">
        <f>IF(H421=0,0,ROUNDDOWN(L421*H421,1))</f>
        <v>0</v>
      </c>
      <c r="G421" s="451" t="s">
        <v>3499</v>
      </c>
      <c r="H421" s="507">
        <f>ROUNDUP(AE421,14-LEN(ABS(INT(AE421))))</f>
        <v>6.8181818181999995E-3</v>
      </c>
      <c r="I421" s="508">
        <f>K421+J421+L421</f>
        <v>235204</v>
      </c>
      <c r="J421" s="509">
        <f>노무비목록표!E15</f>
        <v>235204</v>
      </c>
      <c r="M421" s="501" t="s">
        <v>2359</v>
      </c>
      <c r="N421" s="501" t="s">
        <v>3416</v>
      </c>
      <c r="X421" s="510" t="str">
        <f>노무비목록표!B15&amp;" / "&amp;노무비목록표!C15</f>
        <v xml:space="preserve">조경공 / </v>
      </c>
      <c r="Y421" s="433" t="str">
        <f ca="1">HYPERLINK("#"&amp;노무비목록표!G2&amp;"!A"&amp;ROW(노무비목록표!A15),"L00184 →")</f>
        <v>L00184 →</v>
      </c>
      <c r="Z421" s="501" t="s">
        <v>3500</v>
      </c>
      <c r="AA421" s="515">
        <v>3</v>
      </c>
      <c r="AB421" s="501" t="s">
        <v>3428</v>
      </c>
      <c r="AC421" s="512">
        <f>AB412</f>
        <v>440</v>
      </c>
      <c r="AD421" s="501" t="s">
        <v>3418</v>
      </c>
      <c r="AE421" s="512">
        <f>1*AA421/AB412</f>
        <v>6.8181818181818179E-3</v>
      </c>
      <c r="AF421" s="500"/>
      <c r="AG421" s="500"/>
      <c r="AH421" s="500"/>
      <c r="AI421" s="500"/>
      <c r="AJ421" s="500"/>
      <c r="AK421" s="500"/>
      <c r="AL421" s="500"/>
      <c r="AM421" s="500"/>
      <c r="AN421" s="500"/>
      <c r="AO421" s="500"/>
      <c r="AP421" s="500"/>
    </row>
    <row r="422" spans="1:42" ht="16.5" customHeight="1">
      <c r="A422" s="439"/>
      <c r="B422" s="439"/>
      <c r="C422" s="439"/>
      <c r="D422" s="439"/>
      <c r="E422" s="439"/>
      <c r="F422" s="439"/>
      <c r="G422" s="451" t="s">
        <v>3406</v>
      </c>
      <c r="Z422" s="500"/>
      <c r="AA422" s="500"/>
      <c r="AB422" s="500"/>
      <c r="AC422" s="500"/>
      <c r="AD422" s="500"/>
      <c r="AE422" s="500"/>
      <c r="AF422" s="500"/>
      <c r="AG422" s="500"/>
      <c r="AH422" s="500"/>
      <c r="AI422" s="500"/>
      <c r="AJ422" s="500"/>
      <c r="AK422" s="500"/>
      <c r="AL422" s="500"/>
      <c r="AM422" s="500"/>
      <c r="AN422" s="500"/>
      <c r="AO422" s="500"/>
      <c r="AP422" s="500"/>
    </row>
    <row r="423" spans="1:42" ht="16.5" customHeight="1">
      <c r="A423" s="439"/>
      <c r="B423" s="439"/>
      <c r="C423" s="439"/>
      <c r="D423" s="439"/>
      <c r="E423" s="439"/>
      <c r="F423" s="439"/>
      <c r="G423" s="451" t="s">
        <v>3406</v>
      </c>
      <c r="Z423" s="500"/>
      <c r="AA423" s="500"/>
      <c r="AB423" s="500"/>
      <c r="AC423" s="500"/>
      <c r="AD423" s="500"/>
      <c r="AE423" s="500"/>
      <c r="AF423" s="500"/>
      <c r="AG423" s="500"/>
      <c r="AH423" s="500"/>
      <c r="AI423" s="500"/>
      <c r="AJ423" s="500"/>
      <c r="AK423" s="500"/>
      <c r="AL423" s="500"/>
      <c r="AM423" s="500"/>
      <c r="AN423" s="500"/>
      <c r="AO423" s="500"/>
      <c r="AP423" s="500"/>
    </row>
    <row r="424" spans="1:42" ht="16.5" customHeight="1">
      <c r="A424" s="434" t="s">
        <v>3414</v>
      </c>
      <c r="B424" s="505" t="str">
        <f>" 보통인부 : "&amp;TEXT(I424,"#,##0"&amp;IF(I424&lt;&gt;INT(I424),".###",""))&amp;" * "&amp;AA424&amp;" 인  / Q1 = "&amp;TEXT(C424,"#,##0.0")&amp;""</f>
        <v xml:space="preserve"> 보통인부 : 172,068 * 1 인  / Q1 = 391.0</v>
      </c>
      <c r="C424" s="506">
        <f>E424+D424+F424</f>
        <v>391</v>
      </c>
      <c r="D424" s="506">
        <f>IF(H424=0,0,ROUNDDOWN(J424*H424,1))</f>
        <v>391</v>
      </c>
      <c r="E424" s="506">
        <f>IF(H424=0,0,ROUNDDOWN(K424*H424,1))</f>
        <v>0</v>
      </c>
      <c r="F424" s="506">
        <f>IF(H424=0,0,ROUNDDOWN(L424*H424,1))</f>
        <v>0</v>
      </c>
      <c r="G424" s="451" t="s">
        <v>3501</v>
      </c>
      <c r="H424" s="507">
        <f>ROUNDUP(AE424,14-LEN(ABS(INT(AE424))))</f>
        <v>2.2727272728E-3</v>
      </c>
      <c r="I424" s="508">
        <f>K424+J424+L424</f>
        <v>172068</v>
      </c>
      <c r="J424" s="509">
        <f>노무비목록표!E10</f>
        <v>172068</v>
      </c>
      <c r="M424" s="501" t="s">
        <v>2363</v>
      </c>
      <c r="N424" s="501" t="s">
        <v>3416</v>
      </c>
      <c r="X424" s="510" t="str">
        <f>노무비목록표!B10&amp;" / "&amp;노무비목록표!C10</f>
        <v xml:space="preserve">보통인부 / </v>
      </c>
      <c r="Y424" s="433" t="str">
        <f ca="1">HYPERLINK("#"&amp;노무비목록표!G2&amp;"!A"&amp;ROW(노무비목록표!A10),"L00017 →")</f>
        <v>L00017 →</v>
      </c>
      <c r="Z424" s="501" t="s">
        <v>3500</v>
      </c>
      <c r="AA424" s="515">
        <v>1</v>
      </c>
      <c r="AB424" s="501" t="s">
        <v>3428</v>
      </c>
      <c r="AC424" s="512">
        <f>AB412</f>
        <v>440</v>
      </c>
      <c r="AD424" s="501" t="s">
        <v>3418</v>
      </c>
      <c r="AE424" s="512">
        <f>1*AA424/AB412</f>
        <v>2.2727272727272726E-3</v>
      </c>
      <c r="AF424" s="500"/>
      <c r="AG424" s="500"/>
      <c r="AH424" s="500"/>
      <c r="AI424" s="500"/>
      <c r="AJ424" s="500"/>
      <c r="AK424" s="500"/>
      <c r="AL424" s="500"/>
      <c r="AM424" s="500"/>
      <c r="AN424" s="500"/>
      <c r="AO424" s="500"/>
      <c r="AP424" s="500"/>
    </row>
    <row r="425" spans="1:42" ht="16.5" customHeight="1">
      <c r="A425" s="439"/>
      <c r="B425" s="439"/>
      <c r="C425" s="439"/>
      <c r="D425" s="439"/>
      <c r="E425" s="439"/>
      <c r="F425" s="439"/>
      <c r="G425" s="451" t="s">
        <v>3406</v>
      </c>
      <c r="Z425" s="500"/>
      <c r="AA425" s="500"/>
      <c r="AB425" s="500"/>
      <c r="AC425" s="500"/>
      <c r="AD425" s="500"/>
      <c r="AE425" s="500"/>
      <c r="AF425" s="500"/>
      <c r="AG425" s="500"/>
      <c r="AH425" s="500"/>
      <c r="AI425" s="500"/>
      <c r="AJ425" s="500"/>
      <c r="AK425" s="500"/>
      <c r="AL425" s="500"/>
      <c r="AM425" s="500"/>
      <c r="AN425" s="500"/>
      <c r="AO425" s="500"/>
      <c r="AP425" s="500"/>
    </row>
    <row r="426" spans="1:42" ht="16.5" customHeight="1">
      <c r="A426" s="434"/>
      <c r="B426" s="437" t="s">
        <v>3419</v>
      </c>
      <c r="C426" s="513">
        <f>E426+D426+F426</f>
        <v>1994.6</v>
      </c>
      <c r="D426" s="513">
        <f>SUMIF(N407:N425,M426,D407:D425)</f>
        <v>1994.6</v>
      </c>
      <c r="E426" s="513">
        <f>SUMIF(N407:N425,M426,E407:E425)</f>
        <v>0</v>
      </c>
      <c r="F426" s="513">
        <f>SUMIF(N407:N425,M426,F407:F425)</f>
        <v>0</v>
      </c>
      <c r="G426" s="451" t="s">
        <v>3439</v>
      </c>
      <c r="M426" s="501" t="s">
        <v>3416</v>
      </c>
      <c r="N426" s="501" t="s">
        <v>3421</v>
      </c>
      <c r="Z426" s="500"/>
      <c r="AA426" s="500"/>
      <c r="AB426" s="500"/>
      <c r="AC426" s="500"/>
      <c r="AD426" s="500"/>
      <c r="AE426" s="500"/>
      <c r="AF426" s="500"/>
      <c r="AG426" s="500"/>
      <c r="AH426" s="500"/>
      <c r="AI426" s="500"/>
      <c r="AJ426" s="500"/>
      <c r="AK426" s="500"/>
      <c r="AL426" s="500"/>
      <c r="AM426" s="500"/>
      <c r="AN426" s="500"/>
      <c r="AO426" s="500"/>
      <c r="AP426" s="500"/>
    </row>
    <row r="427" spans="1:42" ht="16.5" customHeight="1">
      <c r="A427" s="439"/>
      <c r="B427" s="439"/>
      <c r="C427" s="504"/>
      <c r="D427" s="504"/>
      <c r="E427" s="504"/>
      <c r="F427" s="504"/>
      <c r="G427" s="451" t="s">
        <v>3406</v>
      </c>
      <c r="Z427" s="500"/>
      <c r="AA427" s="500"/>
      <c r="AB427" s="500"/>
      <c r="AC427" s="500"/>
      <c r="AD427" s="500"/>
      <c r="AE427" s="500"/>
      <c r="AF427" s="500"/>
      <c r="AG427" s="500"/>
      <c r="AH427" s="500"/>
      <c r="AI427" s="500"/>
      <c r="AJ427" s="500"/>
      <c r="AK427" s="500"/>
      <c r="AL427" s="500"/>
      <c r="AM427" s="500"/>
      <c r="AN427" s="500"/>
      <c r="AO427" s="500"/>
      <c r="AP427" s="500"/>
    </row>
    <row r="428" spans="1:42" ht="16.5" customHeight="1">
      <c r="A428" s="439"/>
      <c r="B428" s="439"/>
      <c r="C428" s="439"/>
      <c r="D428" s="439"/>
      <c r="E428" s="439"/>
      <c r="F428" s="439"/>
      <c r="G428" s="451" t="s">
        <v>3406</v>
      </c>
      <c r="Z428" s="500"/>
      <c r="AA428" s="500"/>
      <c r="AB428" s="500"/>
      <c r="AC428" s="500"/>
      <c r="AD428" s="500"/>
      <c r="AE428" s="500"/>
      <c r="AF428" s="500"/>
      <c r="AG428" s="500"/>
      <c r="AH428" s="500"/>
      <c r="AI428" s="500"/>
      <c r="AJ428" s="500"/>
      <c r="AK428" s="500"/>
      <c r="AL428" s="500"/>
      <c r="AM428" s="500"/>
      <c r="AN428" s="500"/>
      <c r="AO428" s="500"/>
      <c r="AP428" s="500"/>
    </row>
    <row r="429" spans="1:42" ht="16.5" customHeight="1">
      <c r="A429" s="434"/>
      <c r="B429" s="437" t="s">
        <v>3502</v>
      </c>
      <c r="C429" s="439"/>
      <c r="D429" s="439"/>
      <c r="E429" s="439"/>
      <c r="F429" s="439"/>
      <c r="G429" s="451" t="s">
        <v>3503</v>
      </c>
      <c r="Z429" s="500"/>
      <c r="AA429" s="500"/>
      <c r="AB429" s="500"/>
      <c r="AC429" s="500"/>
      <c r="AD429" s="500"/>
      <c r="AE429" s="500"/>
      <c r="AF429" s="500"/>
      <c r="AG429" s="500"/>
      <c r="AH429" s="500"/>
      <c r="AI429" s="500"/>
      <c r="AJ429" s="500"/>
      <c r="AK429" s="500"/>
      <c r="AL429" s="500"/>
      <c r="AM429" s="500"/>
      <c r="AN429" s="500"/>
      <c r="AO429" s="500"/>
      <c r="AP429" s="500"/>
    </row>
    <row r="430" spans="1:42" ht="16.5" customHeight="1">
      <c r="A430" s="439"/>
      <c r="B430" s="439"/>
      <c r="C430" s="439"/>
      <c r="D430" s="439"/>
      <c r="E430" s="439"/>
      <c r="F430" s="439"/>
      <c r="G430" s="451" t="s">
        <v>3406</v>
      </c>
      <c r="Z430" s="500"/>
      <c r="AA430" s="500"/>
      <c r="AB430" s="500"/>
      <c r="AC430" s="500"/>
      <c r="AD430" s="500"/>
      <c r="AE430" s="500"/>
      <c r="AF430" s="500"/>
      <c r="AG430" s="500"/>
      <c r="AH430" s="500"/>
      <c r="AI430" s="500"/>
      <c r="AJ430" s="500"/>
      <c r="AK430" s="500"/>
      <c r="AL430" s="500"/>
      <c r="AM430" s="500"/>
      <c r="AN430" s="500"/>
      <c r="AO430" s="500"/>
      <c r="AP430" s="500"/>
    </row>
    <row r="431" spans="1:42" ht="16.5" customHeight="1">
      <c r="A431" s="434" t="s">
        <v>3504</v>
      </c>
      <c r="B431" s="505" t="str">
        <f>"  유기질비료 수목이식·식재용 : "&amp;TEXT(I431,"#,##0"&amp;IF(I431&lt;&gt;INT(I431),".###",""))&amp;" * "&amp;AA431&amp;" KG  / Q1 = "&amp;TEXT(C431,"#,##0.0")&amp;""</f>
        <v xml:space="preserve">  유기질비료 수목이식·식재용 : 500 * 220 KG  / Q1 = 250.0</v>
      </c>
      <c r="C431" s="506">
        <f>E431+D431+F431</f>
        <v>250</v>
      </c>
      <c r="D431" s="506">
        <f>IF(H431=0,0,ROUNDDOWN(J431*H431,1))</f>
        <v>0</v>
      </c>
      <c r="E431" s="506">
        <f>IF(H431=0,0,ROUNDDOWN(K431*H431,1))</f>
        <v>250</v>
      </c>
      <c r="F431" s="506">
        <f>IF(H431=0,0,ROUNDDOWN(L431*H431,1))</f>
        <v>0</v>
      </c>
      <c r="G431" s="451" t="s">
        <v>3511</v>
      </c>
      <c r="H431" s="507">
        <f>ROUNDUP(AE431,14-LEN(ABS(INT(AE431))))</f>
        <v>0.5</v>
      </c>
      <c r="I431" s="508">
        <f>K431+J431+L431</f>
        <v>500</v>
      </c>
      <c r="K431" s="509">
        <f>재료비목록표!E78</f>
        <v>500</v>
      </c>
      <c r="M431" s="501" t="s">
        <v>3506</v>
      </c>
      <c r="N431" s="501" t="s">
        <v>3416</v>
      </c>
      <c r="X431" s="510" t="str">
        <f>재료비목록표!B78&amp;" / "&amp;재료비목록표!C78</f>
        <v>유기질비료 / 수목이식·식재용</v>
      </c>
      <c r="Y431" s="433" t="str">
        <f ca="1">HYPERLINK("#"&amp;재료비목록표!G2&amp;"!A"&amp;ROW(재료비목록표!A78),"M01159 →")</f>
        <v>M01159 →</v>
      </c>
      <c r="Z431" s="501" t="s">
        <v>3500</v>
      </c>
      <c r="AA431" s="515">
        <v>220</v>
      </c>
      <c r="AB431" s="501" t="s">
        <v>3428</v>
      </c>
      <c r="AC431" s="512">
        <f>AB412</f>
        <v>440</v>
      </c>
      <c r="AD431" s="501" t="s">
        <v>3418</v>
      </c>
      <c r="AE431" s="512">
        <f>1*AA431/AB412</f>
        <v>0.5</v>
      </c>
      <c r="AF431" s="500"/>
      <c r="AG431" s="500"/>
      <c r="AH431" s="500"/>
      <c r="AI431" s="500"/>
      <c r="AJ431" s="500"/>
      <c r="AK431" s="500"/>
      <c r="AL431" s="500"/>
      <c r="AM431" s="500"/>
      <c r="AN431" s="500"/>
      <c r="AO431" s="500"/>
      <c r="AP431" s="500"/>
    </row>
    <row r="432" spans="1:42" ht="16.5" customHeight="1">
      <c r="A432" s="439"/>
      <c r="B432" s="439"/>
      <c r="C432" s="439"/>
      <c r="D432" s="439"/>
      <c r="E432" s="439"/>
      <c r="F432" s="439"/>
      <c r="G432" s="451" t="s">
        <v>3406</v>
      </c>
      <c r="Z432" s="500"/>
      <c r="AA432" s="500"/>
      <c r="AB432" s="500"/>
      <c r="AC432" s="500"/>
      <c r="AD432" s="500"/>
      <c r="AE432" s="500"/>
      <c r="AF432" s="500"/>
      <c r="AG432" s="500"/>
      <c r="AH432" s="500"/>
      <c r="AI432" s="500"/>
      <c r="AJ432" s="500"/>
      <c r="AK432" s="500"/>
      <c r="AL432" s="500"/>
      <c r="AM432" s="500"/>
      <c r="AN432" s="500"/>
      <c r="AO432" s="500"/>
      <c r="AP432" s="500"/>
    </row>
    <row r="433" spans="1:42" ht="16.5" customHeight="1">
      <c r="A433" s="434"/>
      <c r="B433" s="437" t="s">
        <v>3419</v>
      </c>
      <c r="C433" s="513">
        <f>E433+D433+F433</f>
        <v>250</v>
      </c>
      <c r="D433" s="513">
        <f>SUMIF(N427:N432,M433,D427:D432)</f>
        <v>0</v>
      </c>
      <c r="E433" s="513">
        <f>SUMIF(N427:N432,M433,E427:E432)</f>
        <v>250</v>
      </c>
      <c r="F433" s="513">
        <f>SUMIF(N427:N432,M433,F427:F432)</f>
        <v>0</v>
      </c>
      <c r="G433" s="451" t="s">
        <v>3439</v>
      </c>
      <c r="M433" s="501" t="s">
        <v>3416</v>
      </c>
      <c r="N433" s="501" t="s">
        <v>3421</v>
      </c>
      <c r="Z433" s="500"/>
      <c r="AA433" s="500"/>
      <c r="AB433" s="500"/>
      <c r="AC433" s="500"/>
      <c r="AD433" s="500"/>
      <c r="AE433" s="500"/>
      <c r="AF433" s="500"/>
      <c r="AG433" s="500"/>
      <c r="AH433" s="500"/>
      <c r="AI433" s="500"/>
      <c r="AJ433" s="500"/>
      <c r="AK433" s="500"/>
      <c r="AL433" s="500"/>
      <c r="AM433" s="500"/>
      <c r="AN433" s="500"/>
      <c r="AO433" s="500"/>
      <c r="AP433" s="500"/>
    </row>
    <row r="434" spans="1:42" ht="16.5" customHeight="1">
      <c r="A434" s="439"/>
      <c r="B434" s="439"/>
      <c r="C434" s="504"/>
      <c r="D434" s="504"/>
      <c r="E434" s="504"/>
      <c r="F434" s="504"/>
      <c r="G434" s="451" t="s">
        <v>3406</v>
      </c>
      <c r="Z434" s="500"/>
      <c r="AA434" s="500"/>
      <c r="AB434" s="500"/>
      <c r="AC434" s="500"/>
      <c r="AD434" s="500"/>
      <c r="AE434" s="500"/>
      <c r="AF434" s="500"/>
      <c r="AG434" s="500"/>
      <c r="AH434" s="500"/>
      <c r="AI434" s="500"/>
      <c r="AJ434" s="500"/>
      <c r="AK434" s="500"/>
      <c r="AL434" s="500"/>
      <c r="AM434" s="500"/>
      <c r="AN434" s="500"/>
      <c r="AO434" s="500"/>
      <c r="AP434" s="500"/>
    </row>
    <row r="435" spans="1:42" ht="16.5" customHeight="1">
      <c r="A435" s="434"/>
      <c r="B435" s="505" t="str">
        <f>"  산지할증 : "&amp;TEXT(I435,"#,##0.0")&amp;" * "&amp;AA435&amp;" %  = "&amp;TEXT(C435,"#,##0.0")&amp;""</f>
        <v xml:space="preserve">  산지할증 : 1,994.6 * 15 %  = 299.1</v>
      </c>
      <c r="C435" s="506">
        <f>E435+D435+F435</f>
        <v>299.10000000000002</v>
      </c>
      <c r="D435" s="506">
        <f>IF(H435=0,0,ROUNDDOWN(J435*H435/100,1))</f>
        <v>299.10000000000002</v>
      </c>
      <c r="E435" s="506">
        <f>IF(H435=0,0,ROUNDDOWN(K435*H435/100,1))</f>
        <v>0</v>
      </c>
      <c r="F435" s="506">
        <f>IF(H435=0,0,ROUNDDOWN(L435*H435/100,1))</f>
        <v>0</v>
      </c>
      <c r="G435" s="451" t="s">
        <v>5587</v>
      </c>
      <c r="H435" s="507">
        <f>ROUNDUP(AC435,14-LEN(ABS(INT(AC435))))</f>
        <v>15</v>
      </c>
      <c r="I435" s="508">
        <f>K435+J435+L435</f>
        <v>1994.6</v>
      </c>
      <c r="J435" s="508">
        <f>D426+D433+SUMIF(N434:N434,N435,D434:D434)</f>
        <v>1994.6</v>
      </c>
      <c r="K435" s="456">
        <v>0</v>
      </c>
      <c r="L435" s="456">
        <v>0</v>
      </c>
      <c r="M435" s="501" t="s">
        <v>4208</v>
      </c>
      <c r="N435" s="501" t="s">
        <v>3416</v>
      </c>
      <c r="Z435" s="501" t="s">
        <v>3500</v>
      </c>
      <c r="AA435" s="515">
        <v>15</v>
      </c>
      <c r="AB435" s="501" t="s">
        <v>3418</v>
      </c>
      <c r="AC435" s="512">
        <f>1*AA435</f>
        <v>15</v>
      </c>
      <c r="AD435" s="500"/>
      <c r="AE435" s="500"/>
      <c r="AF435" s="500"/>
      <c r="AG435" s="500"/>
      <c r="AH435" s="500"/>
      <c r="AI435" s="500"/>
      <c r="AJ435" s="500"/>
      <c r="AK435" s="500"/>
      <c r="AL435" s="500"/>
      <c r="AM435" s="500"/>
      <c r="AN435" s="500"/>
      <c r="AO435" s="500"/>
      <c r="AP435" s="500"/>
    </row>
    <row r="436" spans="1:42" ht="16.5" customHeight="1">
      <c r="A436" s="439"/>
      <c r="B436" s="439"/>
      <c r="C436" s="439"/>
      <c r="D436" s="439"/>
      <c r="E436" s="439"/>
      <c r="F436" s="439"/>
      <c r="G436" s="451" t="s">
        <v>3406</v>
      </c>
      <c r="Z436" s="500"/>
      <c r="AA436" s="500"/>
      <c r="AB436" s="500"/>
      <c r="AC436" s="500"/>
      <c r="AD436" s="500"/>
      <c r="AE436" s="500"/>
      <c r="AF436" s="500"/>
      <c r="AG436" s="500"/>
      <c r="AH436" s="500"/>
      <c r="AI436" s="500"/>
      <c r="AJ436" s="500"/>
      <c r="AK436" s="500"/>
      <c r="AL436" s="500"/>
      <c r="AM436" s="500"/>
      <c r="AN436" s="500"/>
      <c r="AO436" s="500"/>
      <c r="AP436" s="500"/>
    </row>
    <row r="437" spans="1:42" ht="16.5" customHeight="1">
      <c r="A437" s="434"/>
      <c r="B437" s="437" t="s">
        <v>3419</v>
      </c>
      <c r="C437" s="513">
        <f>E437+D437+F437</f>
        <v>299.10000000000002</v>
      </c>
      <c r="D437" s="513">
        <f>SUMIF(N434:N436,M437,D434:D436)</f>
        <v>299.10000000000002</v>
      </c>
      <c r="E437" s="513">
        <f>SUMIF(N434:N436,M437,E434:E436)</f>
        <v>0</v>
      </c>
      <c r="F437" s="513">
        <f>SUMIF(N434:N436,M437,F434:F436)</f>
        <v>0</v>
      </c>
      <c r="G437" s="451" t="s">
        <v>3439</v>
      </c>
      <c r="M437" s="501" t="s">
        <v>3416</v>
      </c>
      <c r="N437" s="501" t="s">
        <v>3421</v>
      </c>
      <c r="Z437" s="500"/>
      <c r="AA437" s="500"/>
      <c r="AB437" s="500"/>
      <c r="AC437" s="500"/>
      <c r="AD437" s="500"/>
      <c r="AE437" s="500"/>
      <c r="AF437" s="500"/>
      <c r="AG437" s="500"/>
      <c r="AH437" s="500"/>
      <c r="AI437" s="500"/>
      <c r="AJ437" s="500"/>
      <c r="AK437" s="500"/>
      <c r="AL437" s="500"/>
      <c r="AM437" s="500"/>
      <c r="AN437" s="500"/>
      <c r="AO437" s="500"/>
      <c r="AP437" s="500"/>
    </row>
    <row r="438" spans="1:42" ht="16.5" customHeight="1">
      <c r="A438" s="439"/>
      <c r="B438" s="439"/>
      <c r="C438" s="504"/>
      <c r="D438" s="504"/>
      <c r="E438" s="504"/>
      <c r="F438" s="504"/>
      <c r="G438" s="451" t="s">
        <v>3406</v>
      </c>
      <c r="Z438" s="500"/>
      <c r="AA438" s="500"/>
      <c r="AB438" s="500"/>
      <c r="AC438" s="500"/>
      <c r="AD438" s="500"/>
      <c r="AE438" s="500"/>
      <c r="AF438" s="500"/>
      <c r="AG438" s="500"/>
      <c r="AH438" s="500"/>
      <c r="AI438" s="500"/>
      <c r="AJ438" s="500"/>
      <c r="AK438" s="500"/>
      <c r="AL438" s="500"/>
      <c r="AM438" s="500"/>
      <c r="AN438" s="500"/>
      <c r="AO438" s="500"/>
      <c r="AP438" s="500"/>
    </row>
    <row r="439" spans="1:42" ht="16.5" customHeight="1">
      <c r="A439" s="434"/>
      <c r="B439" s="437" t="s">
        <v>3440</v>
      </c>
      <c r="C439" s="513">
        <f>E439+D439+F439</f>
        <v>2543.6999999999998</v>
      </c>
      <c r="D439" s="513">
        <f>SUMIF(N407:N438,M439,D407:D438)</f>
        <v>2293.6999999999998</v>
      </c>
      <c r="E439" s="513">
        <f>SUMIF(N407:N438,M439,E407:E438)</f>
        <v>250</v>
      </c>
      <c r="F439" s="513">
        <f>SUMIF(N407:N438,M439,F407:F438)</f>
        <v>0</v>
      </c>
      <c r="G439" s="451" t="s">
        <v>3441</v>
      </c>
      <c r="M439" s="501" t="s">
        <v>3421</v>
      </c>
      <c r="N439" s="501" t="s">
        <v>2354</v>
      </c>
      <c r="Z439" s="500"/>
      <c r="AA439" s="500"/>
      <c r="AB439" s="500"/>
      <c r="AC439" s="500"/>
      <c r="AD439" s="500"/>
      <c r="AE439" s="500"/>
      <c r="AF439" s="500"/>
      <c r="AG439" s="500"/>
      <c r="AH439" s="500"/>
      <c r="AI439" s="500"/>
      <c r="AJ439" s="500"/>
      <c r="AK439" s="500"/>
      <c r="AL439" s="500"/>
      <c r="AM439" s="500"/>
      <c r="AN439" s="500"/>
      <c r="AO439" s="500"/>
      <c r="AP439" s="500"/>
    </row>
    <row r="440" spans="1:42" ht="16.5" customHeight="1">
      <c r="A440" s="439"/>
      <c r="B440" s="439"/>
      <c r="C440" s="504"/>
      <c r="D440" s="504"/>
      <c r="E440" s="504"/>
      <c r="F440" s="504"/>
      <c r="G440" s="451" t="s">
        <v>3413</v>
      </c>
      <c r="Z440" s="500"/>
      <c r="AA440" s="500"/>
      <c r="AB440" s="500"/>
      <c r="AC440" s="500"/>
      <c r="AD440" s="500"/>
      <c r="AE440" s="500"/>
      <c r="AF440" s="500"/>
      <c r="AG440" s="500"/>
      <c r="AH440" s="500"/>
      <c r="AI440" s="500"/>
      <c r="AJ440" s="500"/>
      <c r="AK440" s="500"/>
      <c r="AL440" s="500"/>
      <c r="AM440" s="500"/>
      <c r="AN440" s="500"/>
      <c r="AO440" s="500"/>
      <c r="AP440" s="500"/>
    </row>
    <row r="441" spans="1:42" ht="16.5" customHeight="1">
      <c r="A441" s="439"/>
      <c r="B441" s="439"/>
      <c r="C441" s="439"/>
      <c r="D441" s="439"/>
      <c r="E441" s="439"/>
      <c r="F441" s="439"/>
      <c r="Z441" s="500"/>
      <c r="AA441" s="500"/>
      <c r="AB441" s="500"/>
      <c r="AC441" s="500"/>
      <c r="AD441" s="500"/>
      <c r="AE441" s="500"/>
      <c r="AF441" s="500"/>
      <c r="AG441" s="500"/>
      <c r="AH441" s="500"/>
      <c r="AI441" s="500"/>
      <c r="AJ441" s="500"/>
      <c r="AK441" s="500"/>
      <c r="AL441" s="500"/>
      <c r="AM441" s="500"/>
      <c r="AN441" s="500"/>
      <c r="AO441" s="500"/>
      <c r="AP441" s="500"/>
    </row>
    <row r="442" spans="1:42" ht="16.5" customHeight="1">
      <c r="A442" s="439"/>
      <c r="B442" s="439"/>
      <c r="C442" s="439"/>
      <c r="D442" s="439"/>
      <c r="E442" s="439"/>
      <c r="F442" s="439"/>
      <c r="Z442" s="500"/>
      <c r="AA442" s="500"/>
      <c r="AB442" s="500"/>
      <c r="AC442" s="500"/>
      <c r="AD442" s="500"/>
      <c r="AE442" s="500"/>
      <c r="AF442" s="500"/>
      <c r="AG442" s="500"/>
      <c r="AH442" s="500"/>
      <c r="AI442" s="500"/>
      <c r="AJ442" s="500"/>
      <c r="AK442" s="500"/>
      <c r="AL442" s="500"/>
      <c r="AM442" s="500"/>
      <c r="AN442" s="500"/>
      <c r="AO442" s="500"/>
      <c r="AP442" s="500"/>
    </row>
    <row r="443" spans="1:42" ht="16.5" customHeight="1">
      <c r="A443" s="439"/>
      <c r="B443" s="439"/>
      <c r="C443" s="439"/>
      <c r="D443" s="439"/>
      <c r="E443" s="439"/>
      <c r="F443" s="439"/>
      <c r="Z443" s="500"/>
      <c r="AA443" s="500"/>
      <c r="AB443" s="500"/>
      <c r="AC443" s="500"/>
      <c r="AD443" s="500"/>
      <c r="AE443" s="500"/>
      <c r="AF443" s="500"/>
      <c r="AG443" s="500"/>
      <c r="AH443" s="500"/>
      <c r="AI443" s="500"/>
      <c r="AJ443" s="500"/>
      <c r="AK443" s="500"/>
      <c r="AL443" s="500"/>
      <c r="AM443" s="500"/>
      <c r="AN443" s="500"/>
      <c r="AO443" s="500"/>
      <c r="AP443" s="500"/>
    </row>
    <row r="444" spans="1:42" ht="16.5" customHeight="1">
      <c r="A444" s="439"/>
      <c r="B444" s="439"/>
      <c r="C444" s="439"/>
      <c r="D444" s="439"/>
      <c r="E444" s="439"/>
      <c r="F444" s="439"/>
      <c r="Z444" s="500"/>
      <c r="AA444" s="500"/>
      <c r="AB444" s="500"/>
      <c r="AC444" s="500"/>
      <c r="AD444" s="500"/>
      <c r="AE444" s="500"/>
      <c r="AF444" s="500"/>
      <c r="AG444" s="500"/>
      <c r="AH444" s="500"/>
      <c r="AI444" s="500"/>
      <c r="AJ444" s="500"/>
      <c r="AK444" s="500"/>
      <c r="AL444" s="500"/>
      <c r="AM444" s="500"/>
      <c r="AN444" s="500"/>
      <c r="AO444" s="500"/>
      <c r="AP444" s="500"/>
    </row>
    <row r="445" spans="1:42" ht="16.5" customHeight="1">
      <c r="A445" s="439"/>
      <c r="B445" s="439"/>
      <c r="C445" s="439"/>
      <c r="D445" s="439"/>
      <c r="E445" s="439"/>
      <c r="F445" s="439"/>
      <c r="Z445" s="500"/>
      <c r="AA445" s="500"/>
      <c r="AB445" s="500"/>
      <c r="AC445" s="500"/>
      <c r="AD445" s="500"/>
      <c r="AE445" s="500"/>
      <c r="AF445" s="500"/>
      <c r="AG445" s="500"/>
      <c r="AH445" s="500"/>
      <c r="AI445" s="500"/>
      <c r="AJ445" s="500"/>
      <c r="AK445" s="500"/>
      <c r="AL445" s="500"/>
      <c r="AM445" s="500"/>
      <c r="AN445" s="500"/>
      <c r="AO445" s="500"/>
      <c r="AP445" s="500"/>
    </row>
    <row r="446" spans="1:42" ht="16.5" customHeight="1">
      <c r="A446" s="439"/>
      <c r="B446" s="439"/>
      <c r="C446" s="439"/>
      <c r="D446" s="439"/>
      <c r="E446" s="439"/>
      <c r="F446" s="439"/>
      <c r="Z446" s="500"/>
      <c r="AA446" s="500"/>
      <c r="AB446" s="500"/>
      <c r="AC446" s="500"/>
      <c r="AD446" s="500"/>
      <c r="AE446" s="500"/>
      <c r="AF446" s="500"/>
      <c r="AG446" s="500"/>
      <c r="AH446" s="500"/>
      <c r="AI446" s="500"/>
      <c r="AJ446" s="500"/>
      <c r="AK446" s="500"/>
      <c r="AL446" s="500"/>
      <c r="AM446" s="500"/>
      <c r="AN446" s="500"/>
      <c r="AO446" s="500"/>
      <c r="AP446" s="500"/>
    </row>
    <row r="447" spans="1:42" ht="16.5" customHeight="1">
      <c r="A447" s="439"/>
      <c r="B447" s="439"/>
      <c r="C447" s="439"/>
      <c r="D447" s="439"/>
      <c r="E447" s="439"/>
      <c r="F447" s="439"/>
      <c r="Z447" s="500"/>
      <c r="AA447" s="500"/>
      <c r="AB447" s="500"/>
      <c r="AC447" s="500"/>
      <c r="AD447" s="500"/>
      <c r="AE447" s="500"/>
      <c r="AF447" s="500"/>
      <c r="AG447" s="500"/>
      <c r="AH447" s="500"/>
      <c r="AI447" s="500"/>
      <c r="AJ447" s="500"/>
      <c r="AK447" s="500"/>
      <c r="AL447" s="500"/>
      <c r="AM447" s="500"/>
      <c r="AN447" s="500"/>
      <c r="AO447" s="500"/>
      <c r="AP447" s="500"/>
    </row>
    <row r="448" spans="1:42" ht="16.5" customHeight="1">
      <c r="A448" s="439"/>
      <c r="B448" s="439"/>
      <c r="C448" s="439"/>
      <c r="D448" s="439"/>
      <c r="E448" s="439"/>
      <c r="F448" s="439"/>
      <c r="Z448" s="500"/>
      <c r="AA448" s="500"/>
      <c r="AB448" s="500"/>
      <c r="AC448" s="500"/>
      <c r="AD448" s="500"/>
      <c r="AE448" s="500"/>
      <c r="AF448" s="500"/>
      <c r="AG448" s="500"/>
      <c r="AH448" s="500"/>
      <c r="AI448" s="500"/>
      <c r="AJ448" s="500"/>
      <c r="AK448" s="500"/>
      <c r="AL448" s="500"/>
      <c r="AM448" s="500"/>
      <c r="AN448" s="500"/>
      <c r="AO448" s="500"/>
      <c r="AP448" s="500"/>
    </row>
    <row r="449" spans="1:42" ht="16.5" customHeight="1">
      <c r="A449" s="439"/>
      <c r="B449" s="439"/>
      <c r="C449" s="439"/>
      <c r="D449" s="439"/>
      <c r="E449" s="439"/>
      <c r="F449" s="439"/>
      <c r="Z449" s="500"/>
      <c r="AA449" s="500"/>
      <c r="AB449" s="500"/>
      <c r="AC449" s="500"/>
      <c r="AD449" s="500"/>
      <c r="AE449" s="500"/>
      <c r="AF449" s="500"/>
      <c r="AG449" s="500"/>
      <c r="AH449" s="500"/>
      <c r="AI449" s="500"/>
      <c r="AJ449" s="500"/>
      <c r="AK449" s="500"/>
      <c r="AL449" s="500"/>
      <c r="AM449" s="500"/>
      <c r="AN449" s="500"/>
      <c r="AO449" s="500"/>
      <c r="AP449" s="500"/>
    </row>
    <row r="450" spans="1:42" ht="16.5" customHeight="1">
      <c r="A450" s="439"/>
      <c r="B450" s="439"/>
      <c r="C450" s="439"/>
      <c r="D450" s="439"/>
      <c r="E450" s="439"/>
      <c r="F450" s="439"/>
      <c r="Z450" s="500"/>
      <c r="AA450" s="500"/>
      <c r="AB450" s="500"/>
      <c r="AC450" s="500"/>
      <c r="AD450" s="500"/>
      <c r="AE450" s="500"/>
      <c r="AF450" s="500"/>
      <c r="AG450" s="500"/>
      <c r="AH450" s="500"/>
      <c r="AI450" s="500"/>
      <c r="AJ450" s="500"/>
      <c r="AK450" s="500"/>
      <c r="AL450" s="500"/>
      <c r="AM450" s="500"/>
      <c r="AN450" s="500"/>
      <c r="AO450" s="500"/>
      <c r="AP450" s="500"/>
    </row>
    <row r="451" spans="1:42" ht="16.5" customHeight="1">
      <c r="A451" s="439"/>
      <c r="B451" s="439"/>
      <c r="C451" s="439"/>
      <c r="D451" s="439"/>
      <c r="E451" s="439"/>
      <c r="F451" s="439"/>
      <c r="Z451" s="500"/>
      <c r="AA451" s="500"/>
      <c r="AB451" s="500"/>
      <c r="AC451" s="500"/>
      <c r="AD451" s="500"/>
      <c r="AE451" s="500"/>
      <c r="AF451" s="500"/>
      <c r="AG451" s="500"/>
      <c r="AH451" s="500"/>
      <c r="AI451" s="500"/>
      <c r="AJ451" s="500"/>
      <c r="AK451" s="500"/>
      <c r="AL451" s="500"/>
      <c r="AM451" s="500"/>
      <c r="AN451" s="500"/>
      <c r="AO451" s="500"/>
      <c r="AP451" s="500"/>
    </row>
    <row r="452" spans="1:42" ht="16.5" customHeight="1">
      <c r="A452" s="439"/>
      <c r="B452" s="439"/>
      <c r="C452" s="439"/>
      <c r="D452" s="439"/>
      <c r="E452" s="439"/>
      <c r="F452" s="439"/>
      <c r="Z452" s="500"/>
      <c r="AA452" s="500"/>
      <c r="AB452" s="500"/>
      <c r="AC452" s="500"/>
      <c r="AD452" s="500"/>
      <c r="AE452" s="500"/>
      <c r="AF452" s="500"/>
      <c r="AG452" s="500"/>
      <c r="AH452" s="500"/>
      <c r="AI452" s="500"/>
      <c r="AJ452" s="500"/>
      <c r="AK452" s="500"/>
      <c r="AL452" s="500"/>
      <c r="AM452" s="500"/>
      <c r="AN452" s="500"/>
      <c r="AO452" s="500"/>
      <c r="AP452" s="500"/>
    </row>
    <row r="453" spans="1:42" ht="16.5" customHeight="1">
      <c r="A453" s="497"/>
      <c r="B453" s="497"/>
      <c r="C453" s="497"/>
      <c r="D453" s="497"/>
      <c r="E453" s="497"/>
      <c r="F453" s="497"/>
      <c r="Z453" s="500"/>
      <c r="AA453" s="500"/>
      <c r="AB453" s="500"/>
      <c r="AC453" s="500"/>
      <c r="AD453" s="500"/>
      <c r="AE453" s="500"/>
      <c r="AF453" s="500"/>
      <c r="AG453" s="500"/>
      <c r="AH453" s="500"/>
      <c r="AI453" s="500"/>
      <c r="AJ453" s="500"/>
      <c r="AK453" s="500"/>
      <c r="AL453" s="500"/>
      <c r="AM453" s="500"/>
      <c r="AN453" s="500"/>
      <c r="AO453" s="500"/>
      <c r="AP453" s="500"/>
    </row>
    <row r="454" spans="1:42" ht="16.5" customHeight="1">
      <c r="A454" s="616" t="s">
        <v>3487</v>
      </c>
      <c r="B454" s="605"/>
      <c r="C454" s="446">
        <f>E454+D454+F454</f>
        <v>2543</v>
      </c>
      <c r="D454" s="453">
        <f>ROUNDDOWN(SUMIF(N407:N440,M454,D407:D440),0)</f>
        <v>2293</v>
      </c>
      <c r="E454" s="454">
        <f>ROUNDDOWN(SUMIF(N407:N440,M454,E407:E440),0)</f>
        <v>250</v>
      </c>
      <c r="F454" s="446">
        <f>ROUNDDOWN(SUMIF(N407:N440,M454,F407:F440),0)</f>
        <v>0</v>
      </c>
      <c r="M454" s="501" t="s">
        <v>2354</v>
      </c>
      <c r="Z454" s="500"/>
      <c r="AA454" s="500"/>
      <c r="AB454" s="500"/>
      <c r="AC454" s="500"/>
      <c r="AD454" s="500"/>
      <c r="AE454" s="500"/>
      <c r="AF454" s="500"/>
      <c r="AG454" s="500"/>
      <c r="AH454" s="500"/>
      <c r="AI454" s="500"/>
      <c r="AJ454" s="500"/>
      <c r="AK454" s="500"/>
      <c r="AL454" s="500"/>
      <c r="AM454" s="500"/>
      <c r="AN454" s="500"/>
      <c r="AO454" s="500"/>
      <c r="AP454" s="500"/>
    </row>
    <row r="455" spans="1:42" ht="16.5" customHeight="1">
      <c r="A455" s="502"/>
      <c r="B455" s="503" t="s">
        <v>5386</v>
      </c>
      <c r="C455" s="615">
        <f>C504</f>
        <v>5546</v>
      </c>
      <c r="D455" s="615">
        <f>D504</f>
        <v>5046</v>
      </c>
      <c r="E455" s="615">
        <f>E504</f>
        <v>500</v>
      </c>
      <c r="F455" s="615">
        <f>F504</f>
        <v>0</v>
      </c>
      <c r="G455" s="486" t="str">
        <f>HYPERLINK("#G"&amp;ROW(G490),"_x0005_`BDCOD|D01357_x0007_`POSS|"&amp;ROW(G457)&amp;"_x0007_`POSE|"&amp;ROW(G490)&amp;"_x0007_`")</f>
        <v>_x0005_`BDCOD|D01357_x0007_`POSS|457_x0007_`POSE|490_x0007_`</v>
      </c>
      <c r="Z455" s="500"/>
      <c r="AA455" s="500"/>
      <c r="AB455" s="500"/>
      <c r="AC455" s="500"/>
      <c r="AD455" s="500"/>
      <c r="AE455" s="500"/>
      <c r="AF455" s="500"/>
      <c r="AG455" s="500"/>
      <c r="AH455" s="500"/>
      <c r="AI455" s="500"/>
      <c r="AJ455" s="500"/>
      <c r="AK455" s="500"/>
      <c r="AL455" s="500"/>
      <c r="AM455" s="500"/>
      <c r="AN455" s="500"/>
      <c r="AO455" s="500"/>
      <c r="AP455" s="500"/>
    </row>
    <row r="456" spans="1:42" ht="16.5" customHeight="1">
      <c r="A456" s="485"/>
      <c r="B456" s="503" t="s">
        <v>5589</v>
      </c>
      <c r="C456" s="593"/>
      <c r="D456" s="593"/>
      <c r="E456" s="593"/>
      <c r="F456" s="593"/>
      <c r="M456" s="501" t="s">
        <v>5386</v>
      </c>
      <c r="Z456" s="500"/>
      <c r="AA456" s="500"/>
      <c r="AB456" s="500"/>
      <c r="AC456" s="500"/>
      <c r="AD456" s="500"/>
      <c r="AE456" s="500"/>
      <c r="AF456" s="500"/>
      <c r="AG456" s="500"/>
      <c r="AH456" s="500"/>
      <c r="AI456" s="500"/>
      <c r="AJ456" s="500"/>
      <c r="AK456" s="500"/>
      <c r="AL456" s="500"/>
      <c r="AM456" s="500"/>
      <c r="AN456" s="500"/>
      <c r="AO456" s="500"/>
      <c r="AP456" s="500"/>
    </row>
    <row r="457" spans="1:42" ht="16.5" customHeight="1">
      <c r="A457" s="439"/>
      <c r="B457" s="439"/>
      <c r="C457" s="504"/>
      <c r="D457" s="504"/>
      <c r="E457" s="504"/>
      <c r="F457" s="504"/>
      <c r="G457" s="451" t="s">
        <v>3406</v>
      </c>
      <c r="Z457" s="500"/>
      <c r="AA457" s="500"/>
      <c r="AB457" s="500"/>
      <c r="AC457" s="500"/>
      <c r="AD457" s="500"/>
      <c r="AE457" s="500"/>
      <c r="AF457" s="500"/>
      <c r="AG457" s="500"/>
      <c r="AH457" s="500"/>
      <c r="AI457" s="500"/>
      <c r="AJ457" s="500"/>
      <c r="AK457" s="500"/>
      <c r="AL457" s="500"/>
      <c r="AM457" s="500"/>
      <c r="AN457" s="500"/>
      <c r="AO457" s="500"/>
      <c r="AP457" s="500"/>
    </row>
    <row r="458" spans="1:42" ht="16.5" customHeight="1">
      <c r="A458" s="434"/>
      <c r="B458" s="437" t="s">
        <v>3513</v>
      </c>
      <c r="C458" s="439"/>
      <c r="D458" s="439"/>
      <c r="E458" s="439"/>
      <c r="F458" s="439"/>
      <c r="G458" s="451" t="s">
        <v>3514</v>
      </c>
      <c r="Z458" s="500"/>
      <c r="AA458" s="500"/>
      <c r="AB458" s="500"/>
      <c r="AC458" s="500"/>
      <c r="AD458" s="500"/>
      <c r="AE458" s="500"/>
      <c r="AF458" s="500"/>
      <c r="AG458" s="500"/>
      <c r="AH458" s="500"/>
      <c r="AI458" s="500"/>
      <c r="AJ458" s="500"/>
      <c r="AK458" s="500"/>
      <c r="AL458" s="500"/>
      <c r="AM458" s="500"/>
      <c r="AN458" s="500"/>
      <c r="AO458" s="500"/>
      <c r="AP458" s="500"/>
    </row>
    <row r="459" spans="1:42" ht="16.5" customHeight="1">
      <c r="A459" s="439"/>
      <c r="B459" s="439"/>
      <c r="C459" s="439"/>
      <c r="D459" s="439"/>
      <c r="E459" s="439"/>
      <c r="F459" s="439"/>
      <c r="G459" s="451" t="s">
        <v>3406</v>
      </c>
      <c r="Z459" s="500"/>
      <c r="AA459" s="500"/>
      <c r="AB459" s="500"/>
      <c r="AC459" s="500"/>
      <c r="AD459" s="500"/>
      <c r="AE459" s="500"/>
      <c r="AF459" s="500"/>
      <c r="AG459" s="500"/>
      <c r="AH459" s="500"/>
      <c r="AI459" s="500"/>
      <c r="AJ459" s="500"/>
      <c r="AK459" s="500"/>
      <c r="AL459" s="500"/>
      <c r="AM459" s="500"/>
      <c r="AN459" s="500"/>
      <c r="AO459" s="500"/>
      <c r="AP459" s="500"/>
    </row>
    <row r="460" spans="1:42" ht="16.5" customHeight="1">
      <c r="A460" s="434"/>
      <c r="B460" s="437" t="s">
        <v>3491</v>
      </c>
      <c r="C460" s="439"/>
      <c r="D460" s="439"/>
      <c r="E460" s="439"/>
      <c r="F460" s="439"/>
      <c r="G460" s="451" t="s">
        <v>3492</v>
      </c>
      <c r="Z460" s="500"/>
      <c r="AA460" s="500"/>
      <c r="AB460" s="500"/>
      <c r="AC460" s="500"/>
      <c r="AD460" s="500"/>
      <c r="AE460" s="500"/>
      <c r="AF460" s="500"/>
      <c r="AG460" s="500"/>
      <c r="AH460" s="500"/>
      <c r="AI460" s="500"/>
      <c r="AJ460" s="500"/>
      <c r="AK460" s="500"/>
      <c r="AL460" s="500"/>
      <c r="AM460" s="500"/>
      <c r="AN460" s="500"/>
      <c r="AO460" s="500"/>
      <c r="AP460" s="500"/>
    </row>
    <row r="461" spans="1:42" ht="16.5" customHeight="1">
      <c r="A461" s="439"/>
      <c r="B461" s="439"/>
      <c r="C461" s="439"/>
      <c r="D461" s="439"/>
      <c r="E461" s="439"/>
      <c r="F461" s="439"/>
      <c r="G461" s="451" t="s">
        <v>3406</v>
      </c>
      <c r="Z461" s="500"/>
      <c r="AA461" s="500"/>
      <c r="AB461" s="500"/>
      <c r="AC461" s="500"/>
      <c r="AD461" s="500"/>
      <c r="AE461" s="500"/>
      <c r="AF461" s="500"/>
      <c r="AG461" s="500"/>
      <c r="AH461" s="500"/>
      <c r="AI461" s="500"/>
      <c r="AJ461" s="500"/>
      <c r="AK461" s="500"/>
      <c r="AL461" s="500"/>
      <c r="AM461" s="500"/>
      <c r="AN461" s="500"/>
      <c r="AO461" s="500"/>
      <c r="AP461" s="500"/>
    </row>
    <row r="462" spans="1:42" ht="16.5" customHeight="1">
      <c r="A462" s="434"/>
      <c r="B462" s="437" t="str">
        <f>" 일당 작업량 :   Q1 = "&amp;Z462&amp;"  주 "</f>
        <v xml:space="preserve"> 일당 작업량 :   Q1 = 200  주 </v>
      </c>
      <c r="C462" s="439"/>
      <c r="D462" s="439"/>
      <c r="E462" s="439"/>
      <c r="F462" s="439"/>
      <c r="G462" s="451" t="s">
        <v>3515</v>
      </c>
      <c r="Z462" s="515">
        <v>200</v>
      </c>
      <c r="AA462" s="501" t="s">
        <v>3418</v>
      </c>
      <c r="AB462" s="512">
        <f>Z462</f>
        <v>200</v>
      </c>
      <c r="AC462" s="500"/>
      <c r="AD462" s="500"/>
      <c r="AE462" s="500"/>
      <c r="AF462" s="500"/>
      <c r="AG462" s="500"/>
      <c r="AH462" s="500"/>
      <c r="AI462" s="500"/>
      <c r="AJ462" s="500"/>
      <c r="AK462" s="500"/>
      <c r="AL462" s="500"/>
      <c r="AM462" s="500"/>
      <c r="AN462" s="500"/>
      <c r="AO462" s="500"/>
      <c r="AP462" s="500"/>
    </row>
    <row r="463" spans="1:42" ht="16.5" customHeight="1">
      <c r="A463" s="439"/>
      <c r="B463" s="439"/>
      <c r="C463" s="439"/>
      <c r="D463" s="439"/>
      <c r="E463" s="439"/>
      <c r="F463" s="439"/>
      <c r="G463" s="451" t="s">
        <v>3406</v>
      </c>
      <c r="Z463" s="500"/>
      <c r="AA463" s="500"/>
      <c r="AB463" s="500"/>
      <c r="AC463" s="500"/>
      <c r="AD463" s="500"/>
      <c r="AE463" s="500"/>
      <c r="AF463" s="500"/>
      <c r="AG463" s="500"/>
      <c r="AH463" s="500"/>
      <c r="AI463" s="500"/>
      <c r="AJ463" s="500"/>
      <c r="AK463" s="500"/>
      <c r="AL463" s="500"/>
      <c r="AM463" s="500"/>
      <c r="AN463" s="500"/>
      <c r="AO463" s="500"/>
      <c r="AP463" s="500"/>
    </row>
    <row r="464" spans="1:42" ht="16.5" customHeight="1">
      <c r="A464" s="434"/>
      <c r="B464" s="437" t="s">
        <v>3494</v>
      </c>
      <c r="C464" s="439"/>
      <c r="D464" s="439"/>
      <c r="E464" s="439"/>
      <c r="F464" s="439"/>
      <c r="G464" s="451" t="s">
        <v>3495</v>
      </c>
      <c r="Z464" s="500"/>
      <c r="AA464" s="500"/>
      <c r="AB464" s="500"/>
      <c r="AC464" s="500"/>
      <c r="AD464" s="500"/>
      <c r="AE464" s="500"/>
      <c r="AF464" s="500"/>
      <c r="AG464" s="500"/>
      <c r="AH464" s="500"/>
      <c r="AI464" s="500"/>
      <c r="AJ464" s="500"/>
      <c r="AK464" s="500"/>
      <c r="AL464" s="500"/>
      <c r="AM464" s="500"/>
      <c r="AN464" s="500"/>
      <c r="AO464" s="500"/>
      <c r="AP464" s="500"/>
    </row>
    <row r="465" spans="1:42" ht="16.5" customHeight="1">
      <c r="A465" s="439"/>
      <c r="B465" s="439"/>
      <c r="C465" s="439"/>
      <c r="D465" s="439"/>
      <c r="E465" s="439"/>
      <c r="F465" s="439"/>
      <c r="G465" s="451" t="s">
        <v>3406</v>
      </c>
      <c r="Z465" s="500"/>
      <c r="AA465" s="500"/>
      <c r="AB465" s="500"/>
      <c r="AC465" s="500"/>
      <c r="AD465" s="500"/>
      <c r="AE465" s="500"/>
      <c r="AF465" s="500"/>
      <c r="AG465" s="500"/>
      <c r="AH465" s="500"/>
      <c r="AI465" s="500"/>
      <c r="AJ465" s="500"/>
      <c r="AK465" s="500"/>
      <c r="AL465" s="500"/>
      <c r="AM465" s="500"/>
      <c r="AN465" s="500"/>
      <c r="AO465" s="500"/>
      <c r="AP465" s="500"/>
    </row>
    <row r="466" spans="1:42" ht="16.5" customHeight="1">
      <c r="A466" s="439"/>
      <c r="B466" s="439"/>
      <c r="C466" s="439"/>
      <c r="D466" s="439"/>
      <c r="E466" s="439"/>
      <c r="F466" s="439"/>
      <c r="G466" s="451" t="s">
        <v>3406</v>
      </c>
      <c r="Z466" s="500"/>
      <c r="AA466" s="500"/>
      <c r="AB466" s="500"/>
      <c r="AC466" s="500"/>
      <c r="AD466" s="500"/>
      <c r="AE466" s="500"/>
      <c r="AF466" s="500"/>
      <c r="AG466" s="500"/>
      <c r="AH466" s="500"/>
      <c r="AI466" s="500"/>
      <c r="AJ466" s="500"/>
      <c r="AK466" s="500"/>
      <c r="AL466" s="500"/>
      <c r="AM466" s="500"/>
      <c r="AN466" s="500"/>
      <c r="AO466" s="500"/>
      <c r="AP466" s="500"/>
    </row>
    <row r="467" spans="1:42" ht="16.5" customHeight="1">
      <c r="A467" s="439"/>
      <c r="B467" s="439"/>
      <c r="C467" s="439"/>
      <c r="D467" s="439"/>
      <c r="E467" s="439"/>
      <c r="F467" s="439"/>
      <c r="G467" s="451" t="s">
        <v>3406</v>
      </c>
      <c r="Z467" s="500"/>
      <c r="AA467" s="500"/>
      <c r="AB467" s="500"/>
      <c r="AC467" s="500"/>
      <c r="AD467" s="500"/>
      <c r="AE467" s="500"/>
      <c r="AF467" s="500"/>
      <c r="AG467" s="500"/>
      <c r="AH467" s="500"/>
      <c r="AI467" s="500"/>
      <c r="AJ467" s="500"/>
      <c r="AK467" s="500"/>
      <c r="AL467" s="500"/>
      <c r="AM467" s="500"/>
      <c r="AN467" s="500"/>
      <c r="AO467" s="500"/>
      <c r="AP467" s="500"/>
    </row>
    <row r="468" spans="1:42" ht="16.5" customHeight="1">
      <c r="A468" s="439"/>
      <c r="B468" s="439"/>
      <c r="C468" s="439"/>
      <c r="D468" s="439"/>
      <c r="E468" s="439"/>
      <c r="F468" s="439"/>
      <c r="G468" s="451" t="s">
        <v>3406</v>
      </c>
      <c r="Z468" s="500"/>
      <c r="AA468" s="500"/>
      <c r="AB468" s="500"/>
      <c r="AC468" s="500"/>
      <c r="AD468" s="500"/>
      <c r="AE468" s="500"/>
      <c r="AF468" s="500"/>
      <c r="AG468" s="500"/>
      <c r="AH468" s="500"/>
      <c r="AI468" s="500"/>
      <c r="AJ468" s="500"/>
      <c r="AK468" s="500"/>
      <c r="AL468" s="500"/>
      <c r="AM468" s="500"/>
      <c r="AN468" s="500"/>
      <c r="AO468" s="500"/>
      <c r="AP468" s="500"/>
    </row>
    <row r="469" spans="1:42" ht="16.5" customHeight="1">
      <c r="A469" s="434"/>
      <c r="B469" s="437" t="s">
        <v>3496</v>
      </c>
      <c r="C469" s="439"/>
      <c r="D469" s="439"/>
      <c r="E469" s="439"/>
      <c r="F469" s="439"/>
      <c r="G469" s="451" t="s">
        <v>3497</v>
      </c>
      <c r="Z469" s="500"/>
      <c r="AA469" s="500"/>
      <c r="AB469" s="500"/>
      <c r="AC469" s="500"/>
      <c r="AD469" s="500"/>
      <c r="AE469" s="500"/>
      <c r="AF469" s="500"/>
      <c r="AG469" s="500"/>
      <c r="AH469" s="500"/>
      <c r="AI469" s="500"/>
      <c r="AJ469" s="500"/>
      <c r="AK469" s="500"/>
      <c r="AL469" s="500"/>
      <c r="AM469" s="500"/>
      <c r="AN469" s="500"/>
      <c r="AO469" s="500"/>
      <c r="AP469" s="500"/>
    </row>
    <row r="470" spans="1:42" ht="16.5" customHeight="1">
      <c r="A470" s="439"/>
      <c r="B470" s="439"/>
      <c r="C470" s="439"/>
      <c r="D470" s="439"/>
      <c r="E470" s="439"/>
      <c r="F470" s="439"/>
      <c r="G470" s="451" t="s">
        <v>3406</v>
      </c>
      <c r="Z470" s="500"/>
      <c r="AA470" s="500"/>
      <c r="AB470" s="500"/>
      <c r="AC470" s="500"/>
      <c r="AD470" s="500"/>
      <c r="AE470" s="500"/>
      <c r="AF470" s="500"/>
      <c r="AG470" s="500"/>
      <c r="AH470" s="500"/>
      <c r="AI470" s="500"/>
      <c r="AJ470" s="500"/>
      <c r="AK470" s="500"/>
      <c r="AL470" s="500"/>
      <c r="AM470" s="500"/>
      <c r="AN470" s="500"/>
      <c r="AO470" s="500"/>
      <c r="AP470" s="500"/>
    </row>
    <row r="471" spans="1:42" ht="16.5" customHeight="1">
      <c r="A471" s="434" t="s">
        <v>3498</v>
      </c>
      <c r="B471" s="505" t="str">
        <f>" 조경공 :  "&amp;TEXT(I471,"#,##0"&amp;IF(I471&lt;&gt;INT(I471),".###",""))&amp;" * "&amp;AA471&amp;" 인  / Q1 = "&amp;TEXT(C471,"#,##0.0")&amp;""</f>
        <v xml:space="preserve"> 조경공 :  235,204 * 3 인  / Q1 = 3,528.0</v>
      </c>
      <c r="C471" s="506">
        <f>E471+D471+F471</f>
        <v>3528</v>
      </c>
      <c r="D471" s="506">
        <f>IF(H471=0,0,ROUNDDOWN(J471*H471,1))</f>
        <v>3528</v>
      </c>
      <c r="E471" s="506">
        <f>IF(H471=0,0,ROUNDDOWN(K471*H471,1))</f>
        <v>0</v>
      </c>
      <c r="F471" s="506">
        <f>IF(H471=0,0,ROUNDDOWN(L471*H471,1))</f>
        <v>0</v>
      </c>
      <c r="G471" s="451" t="s">
        <v>3499</v>
      </c>
      <c r="H471" s="507">
        <f>ROUNDUP(AE471,14-LEN(ABS(INT(AE471))))</f>
        <v>1.4999999999999999E-2</v>
      </c>
      <c r="I471" s="508">
        <f>K471+J471+L471</f>
        <v>235204</v>
      </c>
      <c r="J471" s="509">
        <f>노무비목록표!E15</f>
        <v>235204</v>
      </c>
      <c r="M471" s="501" t="s">
        <v>2359</v>
      </c>
      <c r="N471" s="501" t="s">
        <v>3416</v>
      </c>
      <c r="X471" s="510" t="str">
        <f>노무비목록표!B15&amp;" / "&amp;노무비목록표!C15</f>
        <v xml:space="preserve">조경공 / </v>
      </c>
      <c r="Y471" s="433" t="str">
        <f ca="1">HYPERLINK("#"&amp;노무비목록표!G2&amp;"!A"&amp;ROW(노무비목록표!A15),"L00184 →")</f>
        <v>L00184 →</v>
      </c>
      <c r="Z471" s="501" t="s">
        <v>3500</v>
      </c>
      <c r="AA471" s="515">
        <v>3</v>
      </c>
      <c r="AB471" s="501" t="s">
        <v>3428</v>
      </c>
      <c r="AC471" s="512">
        <f>AB462</f>
        <v>200</v>
      </c>
      <c r="AD471" s="501" t="s">
        <v>3418</v>
      </c>
      <c r="AE471" s="512">
        <f>1*AA471/AB462</f>
        <v>1.4999999999999999E-2</v>
      </c>
      <c r="AF471" s="500"/>
      <c r="AG471" s="500"/>
      <c r="AH471" s="500"/>
      <c r="AI471" s="500"/>
      <c r="AJ471" s="500"/>
      <c r="AK471" s="500"/>
      <c r="AL471" s="500"/>
      <c r="AM471" s="500"/>
      <c r="AN471" s="500"/>
      <c r="AO471" s="500"/>
      <c r="AP471" s="500"/>
    </row>
    <row r="472" spans="1:42" ht="16.5" customHeight="1">
      <c r="A472" s="439"/>
      <c r="B472" s="439"/>
      <c r="C472" s="439"/>
      <c r="D472" s="439"/>
      <c r="E472" s="439"/>
      <c r="F472" s="439"/>
      <c r="G472" s="451" t="s">
        <v>3406</v>
      </c>
      <c r="Z472" s="500"/>
      <c r="AA472" s="500"/>
      <c r="AB472" s="500"/>
      <c r="AC472" s="500"/>
      <c r="AD472" s="500"/>
      <c r="AE472" s="500"/>
      <c r="AF472" s="500"/>
      <c r="AG472" s="500"/>
      <c r="AH472" s="500"/>
      <c r="AI472" s="500"/>
      <c r="AJ472" s="500"/>
      <c r="AK472" s="500"/>
      <c r="AL472" s="500"/>
      <c r="AM472" s="500"/>
      <c r="AN472" s="500"/>
      <c r="AO472" s="500"/>
      <c r="AP472" s="500"/>
    </row>
    <row r="473" spans="1:42" ht="16.5" customHeight="1">
      <c r="A473" s="439"/>
      <c r="B473" s="439"/>
      <c r="C473" s="439"/>
      <c r="D473" s="439"/>
      <c r="E473" s="439"/>
      <c r="F473" s="439"/>
      <c r="G473" s="451" t="s">
        <v>3406</v>
      </c>
      <c r="Z473" s="500"/>
      <c r="AA473" s="500"/>
      <c r="AB473" s="500"/>
      <c r="AC473" s="500"/>
      <c r="AD473" s="500"/>
      <c r="AE473" s="500"/>
      <c r="AF473" s="500"/>
      <c r="AG473" s="500"/>
      <c r="AH473" s="500"/>
      <c r="AI473" s="500"/>
      <c r="AJ473" s="500"/>
      <c r="AK473" s="500"/>
      <c r="AL473" s="500"/>
      <c r="AM473" s="500"/>
      <c r="AN473" s="500"/>
      <c r="AO473" s="500"/>
      <c r="AP473" s="500"/>
    </row>
    <row r="474" spans="1:42" ht="16.5" customHeight="1">
      <c r="A474" s="434" t="s">
        <v>3414</v>
      </c>
      <c r="B474" s="505" t="str">
        <f>" 보통인부 : "&amp;TEXT(I474,"#,##0"&amp;IF(I474&lt;&gt;INT(I474),".###",""))&amp;" * "&amp;AA474&amp;" 인  / Q1 = "&amp;TEXT(C474,"#,##0.0")&amp;""</f>
        <v xml:space="preserve"> 보통인부 : 172,068 * 1 인  / Q1 = 860.3</v>
      </c>
      <c r="C474" s="506">
        <f>E474+D474+F474</f>
        <v>860.3</v>
      </c>
      <c r="D474" s="506">
        <f>IF(H474=0,0,ROUNDDOWN(J474*H474,1))</f>
        <v>860.3</v>
      </c>
      <c r="E474" s="506">
        <f>IF(H474=0,0,ROUNDDOWN(K474*H474,1))</f>
        <v>0</v>
      </c>
      <c r="F474" s="506">
        <f>IF(H474=0,0,ROUNDDOWN(L474*H474,1))</f>
        <v>0</v>
      </c>
      <c r="G474" s="451" t="s">
        <v>3501</v>
      </c>
      <c r="H474" s="507">
        <f>ROUNDUP(AE474,14-LEN(ABS(INT(AE474))))</f>
        <v>5.0000000000000001E-3</v>
      </c>
      <c r="I474" s="508">
        <f>K474+J474+L474</f>
        <v>172068</v>
      </c>
      <c r="J474" s="509">
        <f>노무비목록표!E10</f>
        <v>172068</v>
      </c>
      <c r="M474" s="501" t="s">
        <v>2363</v>
      </c>
      <c r="N474" s="501" t="s">
        <v>3416</v>
      </c>
      <c r="X474" s="510" t="str">
        <f>노무비목록표!B10&amp;" / "&amp;노무비목록표!C10</f>
        <v xml:space="preserve">보통인부 / </v>
      </c>
      <c r="Y474" s="433" t="str">
        <f ca="1">HYPERLINK("#"&amp;노무비목록표!G2&amp;"!A"&amp;ROW(노무비목록표!A10),"L00017 →")</f>
        <v>L00017 →</v>
      </c>
      <c r="Z474" s="501" t="s">
        <v>3500</v>
      </c>
      <c r="AA474" s="515">
        <v>1</v>
      </c>
      <c r="AB474" s="501" t="s">
        <v>3428</v>
      </c>
      <c r="AC474" s="512">
        <f>AB462</f>
        <v>200</v>
      </c>
      <c r="AD474" s="501" t="s">
        <v>3418</v>
      </c>
      <c r="AE474" s="512">
        <f>1*AA474/AB462</f>
        <v>5.0000000000000001E-3</v>
      </c>
      <c r="AF474" s="500"/>
      <c r="AG474" s="500"/>
      <c r="AH474" s="500"/>
      <c r="AI474" s="500"/>
      <c r="AJ474" s="500"/>
      <c r="AK474" s="500"/>
      <c r="AL474" s="500"/>
      <c r="AM474" s="500"/>
      <c r="AN474" s="500"/>
      <c r="AO474" s="500"/>
      <c r="AP474" s="500"/>
    </row>
    <row r="475" spans="1:42" ht="16.5" customHeight="1">
      <c r="A475" s="439"/>
      <c r="B475" s="439"/>
      <c r="C475" s="439"/>
      <c r="D475" s="439"/>
      <c r="E475" s="439"/>
      <c r="F475" s="439"/>
      <c r="G475" s="451" t="s">
        <v>3406</v>
      </c>
      <c r="Z475" s="500"/>
      <c r="AA475" s="500"/>
      <c r="AB475" s="500"/>
      <c r="AC475" s="500"/>
      <c r="AD475" s="500"/>
      <c r="AE475" s="500"/>
      <c r="AF475" s="500"/>
      <c r="AG475" s="500"/>
      <c r="AH475" s="500"/>
      <c r="AI475" s="500"/>
      <c r="AJ475" s="500"/>
      <c r="AK475" s="500"/>
      <c r="AL475" s="500"/>
      <c r="AM475" s="500"/>
      <c r="AN475" s="500"/>
      <c r="AO475" s="500"/>
      <c r="AP475" s="500"/>
    </row>
    <row r="476" spans="1:42" ht="16.5" customHeight="1">
      <c r="A476" s="434"/>
      <c r="B476" s="437" t="s">
        <v>3419</v>
      </c>
      <c r="C476" s="513">
        <f>E476+D476+F476</f>
        <v>4388.3</v>
      </c>
      <c r="D476" s="513">
        <f>SUMIF(N457:N475,M476,D457:D475)</f>
        <v>4388.3</v>
      </c>
      <c r="E476" s="513">
        <f>SUMIF(N457:N475,M476,E457:E475)</f>
        <v>0</v>
      </c>
      <c r="F476" s="513">
        <f>SUMIF(N457:N475,M476,F457:F475)</f>
        <v>0</v>
      </c>
      <c r="G476" s="451" t="s">
        <v>3439</v>
      </c>
      <c r="M476" s="501" t="s">
        <v>3416</v>
      </c>
      <c r="N476" s="501" t="s">
        <v>3421</v>
      </c>
      <c r="Z476" s="500"/>
      <c r="AA476" s="500"/>
      <c r="AB476" s="500"/>
      <c r="AC476" s="500"/>
      <c r="AD476" s="500"/>
      <c r="AE476" s="500"/>
      <c r="AF476" s="500"/>
      <c r="AG476" s="500"/>
      <c r="AH476" s="500"/>
      <c r="AI476" s="500"/>
      <c r="AJ476" s="500"/>
      <c r="AK476" s="500"/>
      <c r="AL476" s="500"/>
      <c r="AM476" s="500"/>
      <c r="AN476" s="500"/>
      <c r="AO476" s="500"/>
      <c r="AP476" s="500"/>
    </row>
    <row r="477" spans="1:42" ht="16.5" customHeight="1">
      <c r="A477" s="439"/>
      <c r="B477" s="439"/>
      <c r="C477" s="504"/>
      <c r="D477" s="504"/>
      <c r="E477" s="504"/>
      <c r="F477" s="504"/>
      <c r="G477" s="451" t="s">
        <v>3406</v>
      </c>
      <c r="Z477" s="500"/>
      <c r="AA477" s="500"/>
      <c r="AB477" s="500"/>
      <c r="AC477" s="500"/>
      <c r="AD477" s="500"/>
      <c r="AE477" s="500"/>
      <c r="AF477" s="500"/>
      <c r="AG477" s="500"/>
      <c r="AH477" s="500"/>
      <c r="AI477" s="500"/>
      <c r="AJ477" s="500"/>
      <c r="AK477" s="500"/>
      <c r="AL477" s="500"/>
      <c r="AM477" s="500"/>
      <c r="AN477" s="500"/>
      <c r="AO477" s="500"/>
      <c r="AP477" s="500"/>
    </row>
    <row r="478" spans="1:42" ht="16.5" customHeight="1">
      <c r="A478" s="439"/>
      <c r="B478" s="439"/>
      <c r="C478" s="439"/>
      <c r="D478" s="439"/>
      <c r="E478" s="439"/>
      <c r="F478" s="439"/>
      <c r="G478" s="451" t="s">
        <v>3406</v>
      </c>
      <c r="Z478" s="500"/>
      <c r="AA478" s="500"/>
      <c r="AB478" s="500"/>
      <c r="AC478" s="500"/>
      <c r="AD478" s="500"/>
      <c r="AE478" s="500"/>
      <c r="AF478" s="500"/>
      <c r="AG478" s="500"/>
      <c r="AH478" s="500"/>
      <c r="AI478" s="500"/>
      <c r="AJ478" s="500"/>
      <c r="AK478" s="500"/>
      <c r="AL478" s="500"/>
      <c r="AM478" s="500"/>
      <c r="AN478" s="500"/>
      <c r="AO478" s="500"/>
      <c r="AP478" s="500"/>
    </row>
    <row r="479" spans="1:42" ht="16.5" customHeight="1">
      <c r="A479" s="434"/>
      <c r="B479" s="437" t="s">
        <v>3502</v>
      </c>
      <c r="C479" s="439"/>
      <c r="D479" s="439"/>
      <c r="E479" s="439"/>
      <c r="F479" s="439"/>
      <c r="G479" s="451" t="s">
        <v>3503</v>
      </c>
      <c r="Z479" s="500"/>
      <c r="AA479" s="500"/>
      <c r="AB479" s="500"/>
      <c r="AC479" s="500"/>
      <c r="AD479" s="500"/>
      <c r="AE479" s="500"/>
      <c r="AF479" s="500"/>
      <c r="AG479" s="500"/>
      <c r="AH479" s="500"/>
      <c r="AI479" s="500"/>
      <c r="AJ479" s="500"/>
      <c r="AK479" s="500"/>
      <c r="AL479" s="500"/>
      <c r="AM479" s="500"/>
      <c r="AN479" s="500"/>
      <c r="AO479" s="500"/>
      <c r="AP479" s="500"/>
    </row>
    <row r="480" spans="1:42" ht="16.5" customHeight="1">
      <c r="A480" s="439"/>
      <c r="B480" s="439"/>
      <c r="C480" s="439"/>
      <c r="D480" s="439"/>
      <c r="E480" s="439"/>
      <c r="F480" s="439"/>
      <c r="G480" s="451" t="s">
        <v>3406</v>
      </c>
      <c r="Z480" s="500"/>
      <c r="AA480" s="500"/>
      <c r="AB480" s="500"/>
      <c r="AC480" s="500"/>
      <c r="AD480" s="500"/>
      <c r="AE480" s="500"/>
      <c r="AF480" s="500"/>
      <c r="AG480" s="500"/>
      <c r="AH480" s="500"/>
      <c r="AI480" s="500"/>
      <c r="AJ480" s="500"/>
      <c r="AK480" s="500"/>
      <c r="AL480" s="500"/>
      <c r="AM480" s="500"/>
      <c r="AN480" s="500"/>
      <c r="AO480" s="500"/>
      <c r="AP480" s="500"/>
    </row>
    <row r="481" spans="1:42" ht="16.5" customHeight="1">
      <c r="A481" s="434" t="s">
        <v>3504</v>
      </c>
      <c r="B481" s="505" t="str">
        <f>"  유기질비료 수목이식·식재용 : "&amp;TEXT(I481,"#,##0"&amp;IF(I481&lt;&gt;INT(I481),".###",""))&amp;" * "&amp;AA481&amp;" KG  / Q1 = "&amp;TEXT(C481,"#,##0.0")&amp;""</f>
        <v xml:space="preserve">  유기질비료 수목이식·식재용 : 500 * 200 KG  / Q1 = 500.0</v>
      </c>
      <c r="C481" s="506">
        <f>E481+D481+F481</f>
        <v>500</v>
      </c>
      <c r="D481" s="506">
        <f>IF(H481=0,0,ROUNDDOWN(J481*H481,1))</f>
        <v>0</v>
      </c>
      <c r="E481" s="506">
        <f>IF(H481=0,0,ROUNDDOWN(K481*H481,1))</f>
        <v>500</v>
      </c>
      <c r="F481" s="506">
        <f>IF(H481=0,0,ROUNDDOWN(L481*H481,1))</f>
        <v>0</v>
      </c>
      <c r="G481" s="451" t="s">
        <v>3516</v>
      </c>
      <c r="H481" s="507">
        <f>ROUNDUP(AE481,14-LEN(ABS(INT(AE481))))</f>
        <v>1</v>
      </c>
      <c r="I481" s="508">
        <f>K481+J481+L481</f>
        <v>500</v>
      </c>
      <c r="K481" s="509">
        <f>재료비목록표!E78</f>
        <v>500</v>
      </c>
      <c r="M481" s="501" t="s">
        <v>3506</v>
      </c>
      <c r="N481" s="501" t="s">
        <v>3416</v>
      </c>
      <c r="X481" s="510" t="str">
        <f>재료비목록표!B78&amp;" / "&amp;재료비목록표!C78</f>
        <v>유기질비료 / 수목이식·식재용</v>
      </c>
      <c r="Y481" s="433" t="str">
        <f ca="1">HYPERLINK("#"&amp;재료비목록표!G2&amp;"!A"&amp;ROW(재료비목록표!A78),"M01159 →")</f>
        <v>M01159 →</v>
      </c>
      <c r="Z481" s="501" t="s">
        <v>3500</v>
      </c>
      <c r="AA481" s="515">
        <v>200</v>
      </c>
      <c r="AB481" s="501" t="s">
        <v>3428</v>
      </c>
      <c r="AC481" s="512">
        <f>AB462</f>
        <v>200</v>
      </c>
      <c r="AD481" s="501" t="s">
        <v>3418</v>
      </c>
      <c r="AE481" s="512">
        <f>1*AA481/AB462</f>
        <v>1</v>
      </c>
      <c r="AF481" s="500"/>
      <c r="AG481" s="500"/>
      <c r="AH481" s="500"/>
      <c r="AI481" s="500"/>
      <c r="AJ481" s="500"/>
      <c r="AK481" s="500"/>
      <c r="AL481" s="500"/>
      <c r="AM481" s="500"/>
      <c r="AN481" s="500"/>
      <c r="AO481" s="500"/>
      <c r="AP481" s="500"/>
    </row>
    <row r="482" spans="1:42" ht="16.5" customHeight="1">
      <c r="A482" s="439"/>
      <c r="B482" s="439"/>
      <c r="C482" s="439"/>
      <c r="D482" s="439"/>
      <c r="E482" s="439"/>
      <c r="F482" s="439"/>
      <c r="G482" s="451" t="s">
        <v>3406</v>
      </c>
      <c r="Z482" s="500"/>
      <c r="AA482" s="500"/>
      <c r="AB482" s="500"/>
      <c r="AC482" s="500"/>
      <c r="AD482" s="500"/>
      <c r="AE482" s="500"/>
      <c r="AF482" s="500"/>
      <c r="AG482" s="500"/>
      <c r="AH482" s="500"/>
      <c r="AI482" s="500"/>
      <c r="AJ482" s="500"/>
      <c r="AK482" s="500"/>
      <c r="AL482" s="500"/>
      <c r="AM482" s="500"/>
      <c r="AN482" s="500"/>
      <c r="AO482" s="500"/>
      <c r="AP482" s="500"/>
    </row>
    <row r="483" spans="1:42" ht="16.5" customHeight="1">
      <c r="A483" s="434"/>
      <c r="B483" s="437" t="s">
        <v>3419</v>
      </c>
      <c r="C483" s="513">
        <f>E483+D483+F483</f>
        <v>500</v>
      </c>
      <c r="D483" s="513">
        <f>SUMIF(N477:N482,M483,D477:D482)</f>
        <v>0</v>
      </c>
      <c r="E483" s="513">
        <f>SUMIF(N477:N482,M483,E477:E482)</f>
        <v>500</v>
      </c>
      <c r="F483" s="513">
        <f>SUMIF(N477:N482,M483,F477:F482)</f>
        <v>0</v>
      </c>
      <c r="G483" s="451" t="s">
        <v>3439</v>
      </c>
      <c r="M483" s="501" t="s">
        <v>3416</v>
      </c>
      <c r="N483" s="501" t="s">
        <v>3421</v>
      </c>
      <c r="Z483" s="500"/>
      <c r="AA483" s="500"/>
      <c r="AB483" s="500"/>
      <c r="AC483" s="500"/>
      <c r="AD483" s="500"/>
      <c r="AE483" s="500"/>
      <c r="AF483" s="500"/>
      <c r="AG483" s="500"/>
      <c r="AH483" s="500"/>
      <c r="AI483" s="500"/>
      <c r="AJ483" s="500"/>
      <c r="AK483" s="500"/>
      <c r="AL483" s="500"/>
      <c r="AM483" s="500"/>
      <c r="AN483" s="500"/>
      <c r="AO483" s="500"/>
      <c r="AP483" s="500"/>
    </row>
    <row r="484" spans="1:42" ht="16.5" customHeight="1">
      <c r="A484" s="439"/>
      <c r="B484" s="439"/>
      <c r="C484" s="504"/>
      <c r="D484" s="504"/>
      <c r="E484" s="504"/>
      <c r="F484" s="504"/>
      <c r="G484" s="451" t="s">
        <v>3406</v>
      </c>
      <c r="Z484" s="500"/>
      <c r="AA484" s="500"/>
      <c r="AB484" s="500"/>
      <c r="AC484" s="500"/>
      <c r="AD484" s="500"/>
      <c r="AE484" s="500"/>
      <c r="AF484" s="500"/>
      <c r="AG484" s="500"/>
      <c r="AH484" s="500"/>
      <c r="AI484" s="500"/>
      <c r="AJ484" s="500"/>
      <c r="AK484" s="500"/>
      <c r="AL484" s="500"/>
      <c r="AM484" s="500"/>
      <c r="AN484" s="500"/>
      <c r="AO484" s="500"/>
      <c r="AP484" s="500"/>
    </row>
    <row r="485" spans="1:42" ht="16.5" customHeight="1">
      <c r="A485" s="434"/>
      <c r="B485" s="505" t="str">
        <f>"  산지할증 : "&amp;TEXT(I485,"#,##0.0")&amp;" * "&amp;AA485&amp;" %  = "&amp;TEXT(C485,"#,##0.0")&amp;""</f>
        <v xml:space="preserve">  산지할증 : 4,388.3 * 15 %  = 658.2</v>
      </c>
      <c r="C485" s="506">
        <f>E485+D485+F485</f>
        <v>658.2</v>
      </c>
      <c r="D485" s="506">
        <f>IF(H485=0,0,ROUNDDOWN(J485*H485/100,1))</f>
        <v>658.2</v>
      </c>
      <c r="E485" s="506">
        <f>IF(H485=0,0,ROUNDDOWN(K485*H485/100,1))</f>
        <v>0</v>
      </c>
      <c r="F485" s="506">
        <f>IF(H485=0,0,ROUNDDOWN(L485*H485/100,1))</f>
        <v>0</v>
      </c>
      <c r="G485" s="451" t="s">
        <v>5587</v>
      </c>
      <c r="H485" s="507">
        <f>ROUNDUP(AC485,14-LEN(ABS(INT(AC485))))</f>
        <v>15</v>
      </c>
      <c r="I485" s="508">
        <f>K485+J485+L485</f>
        <v>4388.3</v>
      </c>
      <c r="J485" s="508">
        <f>D476+D483+SUMIF(N484:N484,N485,D484:D484)</f>
        <v>4388.3</v>
      </c>
      <c r="K485" s="456">
        <v>0</v>
      </c>
      <c r="L485" s="456">
        <v>0</v>
      </c>
      <c r="M485" s="501" t="s">
        <v>4208</v>
      </c>
      <c r="N485" s="501" t="s">
        <v>3416</v>
      </c>
      <c r="Z485" s="501" t="s">
        <v>3500</v>
      </c>
      <c r="AA485" s="515">
        <v>15</v>
      </c>
      <c r="AB485" s="501" t="s">
        <v>3418</v>
      </c>
      <c r="AC485" s="512">
        <f>1*AA485</f>
        <v>15</v>
      </c>
      <c r="AD485" s="500"/>
      <c r="AE485" s="500"/>
      <c r="AF485" s="500"/>
      <c r="AG485" s="500"/>
      <c r="AH485" s="500"/>
      <c r="AI485" s="500"/>
      <c r="AJ485" s="500"/>
      <c r="AK485" s="500"/>
      <c r="AL485" s="500"/>
      <c r="AM485" s="500"/>
      <c r="AN485" s="500"/>
      <c r="AO485" s="500"/>
      <c r="AP485" s="500"/>
    </row>
    <row r="486" spans="1:42" ht="16.5" customHeight="1">
      <c r="A486" s="439"/>
      <c r="B486" s="439"/>
      <c r="C486" s="439"/>
      <c r="D486" s="439"/>
      <c r="E486" s="439"/>
      <c r="F486" s="439"/>
      <c r="G486" s="451" t="s">
        <v>3406</v>
      </c>
      <c r="Z486" s="500"/>
      <c r="AA486" s="500"/>
      <c r="AB486" s="500"/>
      <c r="AC486" s="500"/>
      <c r="AD486" s="500"/>
      <c r="AE486" s="500"/>
      <c r="AF486" s="500"/>
      <c r="AG486" s="500"/>
      <c r="AH486" s="500"/>
      <c r="AI486" s="500"/>
      <c r="AJ486" s="500"/>
      <c r="AK486" s="500"/>
      <c r="AL486" s="500"/>
      <c r="AM486" s="500"/>
      <c r="AN486" s="500"/>
      <c r="AO486" s="500"/>
      <c r="AP486" s="500"/>
    </row>
    <row r="487" spans="1:42" ht="16.5" customHeight="1">
      <c r="A487" s="434"/>
      <c r="B487" s="437" t="s">
        <v>3419</v>
      </c>
      <c r="C487" s="513">
        <f>E487+D487+F487</f>
        <v>658.2</v>
      </c>
      <c r="D487" s="513">
        <f>SUMIF(N484:N486,M487,D484:D486)</f>
        <v>658.2</v>
      </c>
      <c r="E487" s="513">
        <f>SUMIF(N484:N486,M487,E484:E486)</f>
        <v>0</v>
      </c>
      <c r="F487" s="513">
        <f>SUMIF(N484:N486,M487,F484:F486)</f>
        <v>0</v>
      </c>
      <c r="G487" s="451" t="s">
        <v>3439</v>
      </c>
      <c r="M487" s="501" t="s">
        <v>3416</v>
      </c>
      <c r="N487" s="501" t="s">
        <v>3421</v>
      </c>
      <c r="Z487" s="500"/>
      <c r="AA487" s="500"/>
      <c r="AB487" s="500"/>
      <c r="AC487" s="500"/>
      <c r="AD487" s="500"/>
      <c r="AE487" s="500"/>
      <c r="AF487" s="500"/>
      <c r="AG487" s="500"/>
      <c r="AH487" s="500"/>
      <c r="AI487" s="500"/>
      <c r="AJ487" s="500"/>
      <c r="AK487" s="500"/>
      <c r="AL487" s="500"/>
      <c r="AM487" s="500"/>
      <c r="AN487" s="500"/>
      <c r="AO487" s="500"/>
      <c r="AP487" s="500"/>
    </row>
    <row r="488" spans="1:42" ht="16.5" customHeight="1">
      <c r="A488" s="439"/>
      <c r="B488" s="439"/>
      <c r="C488" s="504"/>
      <c r="D488" s="504"/>
      <c r="E488" s="504"/>
      <c r="F488" s="504"/>
      <c r="G488" s="451" t="s">
        <v>3406</v>
      </c>
      <c r="Z488" s="500"/>
      <c r="AA488" s="500"/>
      <c r="AB488" s="500"/>
      <c r="AC488" s="500"/>
      <c r="AD488" s="500"/>
      <c r="AE488" s="500"/>
      <c r="AF488" s="500"/>
      <c r="AG488" s="500"/>
      <c r="AH488" s="500"/>
      <c r="AI488" s="500"/>
      <c r="AJ488" s="500"/>
      <c r="AK488" s="500"/>
      <c r="AL488" s="500"/>
      <c r="AM488" s="500"/>
      <c r="AN488" s="500"/>
      <c r="AO488" s="500"/>
      <c r="AP488" s="500"/>
    </row>
    <row r="489" spans="1:42" ht="16.5" customHeight="1">
      <c r="A489" s="434"/>
      <c r="B489" s="437" t="s">
        <v>3440</v>
      </c>
      <c r="C489" s="513">
        <f>E489+D489+F489</f>
        <v>5546.5</v>
      </c>
      <c r="D489" s="513">
        <f>SUMIF(N457:N488,M489,D457:D488)</f>
        <v>5046.5</v>
      </c>
      <c r="E489" s="513">
        <f>SUMIF(N457:N488,M489,E457:E488)</f>
        <v>500</v>
      </c>
      <c r="F489" s="513">
        <f>SUMIF(N457:N488,M489,F457:F488)</f>
        <v>0</v>
      </c>
      <c r="G489" s="451" t="s">
        <v>3441</v>
      </c>
      <c r="M489" s="501" t="s">
        <v>3421</v>
      </c>
      <c r="N489" s="501" t="s">
        <v>2354</v>
      </c>
      <c r="Z489" s="500"/>
      <c r="AA489" s="500"/>
      <c r="AB489" s="500"/>
      <c r="AC489" s="500"/>
      <c r="AD489" s="500"/>
      <c r="AE489" s="500"/>
      <c r="AF489" s="500"/>
      <c r="AG489" s="500"/>
      <c r="AH489" s="500"/>
      <c r="AI489" s="500"/>
      <c r="AJ489" s="500"/>
      <c r="AK489" s="500"/>
      <c r="AL489" s="500"/>
      <c r="AM489" s="500"/>
      <c r="AN489" s="500"/>
      <c r="AO489" s="500"/>
      <c r="AP489" s="500"/>
    </row>
    <row r="490" spans="1:42" ht="16.5" customHeight="1">
      <c r="A490" s="439"/>
      <c r="B490" s="439"/>
      <c r="C490" s="504"/>
      <c r="D490" s="504"/>
      <c r="E490" s="504"/>
      <c r="F490" s="504"/>
      <c r="G490" s="451" t="s">
        <v>3413</v>
      </c>
      <c r="Z490" s="500"/>
      <c r="AA490" s="500"/>
      <c r="AB490" s="500"/>
      <c r="AC490" s="500"/>
      <c r="AD490" s="500"/>
      <c r="AE490" s="500"/>
      <c r="AF490" s="500"/>
      <c r="AG490" s="500"/>
      <c r="AH490" s="500"/>
      <c r="AI490" s="500"/>
      <c r="AJ490" s="500"/>
      <c r="AK490" s="500"/>
      <c r="AL490" s="500"/>
      <c r="AM490" s="500"/>
      <c r="AN490" s="500"/>
      <c r="AO490" s="500"/>
      <c r="AP490" s="500"/>
    </row>
    <row r="491" spans="1:42" ht="16.5" customHeight="1">
      <c r="A491" s="439"/>
      <c r="B491" s="439"/>
      <c r="C491" s="439"/>
      <c r="D491" s="439"/>
      <c r="E491" s="439"/>
      <c r="F491" s="439"/>
      <c r="Z491" s="500"/>
      <c r="AA491" s="500"/>
      <c r="AB491" s="500"/>
      <c r="AC491" s="500"/>
      <c r="AD491" s="500"/>
      <c r="AE491" s="500"/>
      <c r="AF491" s="500"/>
      <c r="AG491" s="500"/>
      <c r="AH491" s="500"/>
      <c r="AI491" s="500"/>
      <c r="AJ491" s="500"/>
      <c r="AK491" s="500"/>
      <c r="AL491" s="500"/>
      <c r="AM491" s="500"/>
      <c r="AN491" s="500"/>
      <c r="AO491" s="500"/>
      <c r="AP491" s="500"/>
    </row>
    <row r="492" spans="1:42" ht="16.5" customHeight="1">
      <c r="A492" s="439"/>
      <c r="B492" s="439"/>
      <c r="C492" s="439"/>
      <c r="D492" s="439"/>
      <c r="E492" s="439"/>
      <c r="F492" s="439"/>
      <c r="Z492" s="500"/>
      <c r="AA492" s="500"/>
      <c r="AB492" s="500"/>
      <c r="AC492" s="500"/>
      <c r="AD492" s="500"/>
      <c r="AE492" s="500"/>
      <c r="AF492" s="500"/>
      <c r="AG492" s="500"/>
      <c r="AH492" s="500"/>
      <c r="AI492" s="500"/>
      <c r="AJ492" s="500"/>
      <c r="AK492" s="500"/>
      <c r="AL492" s="500"/>
      <c r="AM492" s="500"/>
      <c r="AN492" s="500"/>
      <c r="AO492" s="500"/>
      <c r="AP492" s="500"/>
    </row>
    <row r="493" spans="1:42" ht="16.5" customHeight="1">
      <c r="A493" s="439"/>
      <c r="B493" s="439"/>
      <c r="C493" s="439"/>
      <c r="D493" s="439"/>
      <c r="E493" s="439"/>
      <c r="F493" s="439"/>
      <c r="Z493" s="500"/>
      <c r="AA493" s="500"/>
      <c r="AB493" s="500"/>
      <c r="AC493" s="500"/>
      <c r="AD493" s="500"/>
      <c r="AE493" s="500"/>
      <c r="AF493" s="500"/>
      <c r="AG493" s="500"/>
      <c r="AH493" s="500"/>
      <c r="AI493" s="500"/>
      <c r="AJ493" s="500"/>
      <c r="AK493" s="500"/>
      <c r="AL493" s="500"/>
      <c r="AM493" s="500"/>
      <c r="AN493" s="500"/>
      <c r="AO493" s="500"/>
      <c r="AP493" s="500"/>
    </row>
    <row r="494" spans="1:42" ht="16.5" customHeight="1">
      <c r="A494" s="439"/>
      <c r="B494" s="439"/>
      <c r="C494" s="439"/>
      <c r="D494" s="439"/>
      <c r="E494" s="439"/>
      <c r="F494" s="439"/>
      <c r="Z494" s="500"/>
      <c r="AA494" s="500"/>
      <c r="AB494" s="500"/>
      <c r="AC494" s="500"/>
      <c r="AD494" s="500"/>
      <c r="AE494" s="500"/>
      <c r="AF494" s="500"/>
      <c r="AG494" s="500"/>
      <c r="AH494" s="500"/>
      <c r="AI494" s="500"/>
      <c r="AJ494" s="500"/>
      <c r="AK494" s="500"/>
      <c r="AL494" s="500"/>
      <c r="AM494" s="500"/>
      <c r="AN494" s="500"/>
      <c r="AO494" s="500"/>
      <c r="AP494" s="500"/>
    </row>
    <row r="495" spans="1:42" ht="16.5" customHeight="1">
      <c r="A495" s="439"/>
      <c r="B495" s="439"/>
      <c r="C495" s="439"/>
      <c r="D495" s="439"/>
      <c r="E495" s="439"/>
      <c r="F495" s="439"/>
      <c r="Z495" s="500"/>
      <c r="AA495" s="500"/>
      <c r="AB495" s="500"/>
      <c r="AC495" s="500"/>
      <c r="AD495" s="500"/>
      <c r="AE495" s="500"/>
      <c r="AF495" s="500"/>
      <c r="AG495" s="500"/>
      <c r="AH495" s="500"/>
      <c r="AI495" s="500"/>
      <c r="AJ495" s="500"/>
      <c r="AK495" s="500"/>
      <c r="AL495" s="500"/>
      <c r="AM495" s="500"/>
      <c r="AN495" s="500"/>
      <c r="AO495" s="500"/>
      <c r="AP495" s="500"/>
    </row>
    <row r="496" spans="1:42" ht="16.5" customHeight="1">
      <c r="A496" s="439"/>
      <c r="B496" s="439"/>
      <c r="C496" s="439"/>
      <c r="D496" s="439"/>
      <c r="E496" s="439"/>
      <c r="F496" s="439"/>
      <c r="Z496" s="500"/>
      <c r="AA496" s="500"/>
      <c r="AB496" s="500"/>
      <c r="AC496" s="500"/>
      <c r="AD496" s="500"/>
      <c r="AE496" s="500"/>
      <c r="AF496" s="500"/>
      <c r="AG496" s="500"/>
      <c r="AH496" s="500"/>
      <c r="AI496" s="500"/>
      <c r="AJ496" s="500"/>
      <c r="AK496" s="500"/>
      <c r="AL496" s="500"/>
      <c r="AM496" s="500"/>
      <c r="AN496" s="500"/>
      <c r="AO496" s="500"/>
      <c r="AP496" s="500"/>
    </row>
    <row r="497" spans="1:42" ht="16.5" customHeight="1">
      <c r="A497" s="439"/>
      <c r="B497" s="439"/>
      <c r="C497" s="439"/>
      <c r="D497" s="439"/>
      <c r="E497" s="439"/>
      <c r="F497" s="439"/>
      <c r="Z497" s="500"/>
      <c r="AA497" s="500"/>
      <c r="AB497" s="500"/>
      <c r="AC497" s="500"/>
      <c r="AD497" s="500"/>
      <c r="AE497" s="500"/>
      <c r="AF497" s="500"/>
      <c r="AG497" s="500"/>
      <c r="AH497" s="500"/>
      <c r="AI497" s="500"/>
      <c r="AJ497" s="500"/>
      <c r="AK497" s="500"/>
      <c r="AL497" s="500"/>
      <c r="AM497" s="500"/>
      <c r="AN497" s="500"/>
      <c r="AO497" s="500"/>
      <c r="AP497" s="500"/>
    </row>
    <row r="498" spans="1:42" ht="16.5" customHeight="1">
      <c r="A498" s="439"/>
      <c r="B498" s="439"/>
      <c r="C498" s="439"/>
      <c r="D498" s="439"/>
      <c r="E498" s="439"/>
      <c r="F498" s="439"/>
      <c r="Z498" s="500"/>
      <c r="AA498" s="500"/>
      <c r="AB498" s="500"/>
      <c r="AC498" s="500"/>
      <c r="AD498" s="500"/>
      <c r="AE498" s="500"/>
      <c r="AF498" s="500"/>
      <c r="AG498" s="500"/>
      <c r="AH498" s="500"/>
      <c r="AI498" s="500"/>
      <c r="AJ498" s="500"/>
      <c r="AK498" s="500"/>
      <c r="AL498" s="500"/>
      <c r="AM498" s="500"/>
      <c r="AN498" s="500"/>
      <c r="AO498" s="500"/>
      <c r="AP498" s="500"/>
    </row>
    <row r="499" spans="1:42" ht="16.5" customHeight="1">
      <c r="A499" s="439"/>
      <c r="B499" s="439"/>
      <c r="C499" s="439"/>
      <c r="D499" s="439"/>
      <c r="E499" s="439"/>
      <c r="F499" s="439"/>
      <c r="Z499" s="500"/>
      <c r="AA499" s="500"/>
      <c r="AB499" s="500"/>
      <c r="AC499" s="500"/>
      <c r="AD499" s="500"/>
      <c r="AE499" s="500"/>
      <c r="AF499" s="500"/>
      <c r="AG499" s="500"/>
      <c r="AH499" s="500"/>
      <c r="AI499" s="500"/>
      <c r="AJ499" s="500"/>
      <c r="AK499" s="500"/>
      <c r="AL499" s="500"/>
      <c r="AM499" s="500"/>
      <c r="AN499" s="500"/>
      <c r="AO499" s="500"/>
      <c r="AP499" s="500"/>
    </row>
    <row r="500" spans="1:42" ht="16.5" customHeight="1">
      <c r="A500" s="439"/>
      <c r="B500" s="439"/>
      <c r="C500" s="439"/>
      <c r="D500" s="439"/>
      <c r="E500" s="439"/>
      <c r="F500" s="439"/>
      <c r="Z500" s="500"/>
      <c r="AA500" s="500"/>
      <c r="AB500" s="500"/>
      <c r="AC500" s="500"/>
      <c r="AD500" s="500"/>
      <c r="AE500" s="500"/>
      <c r="AF500" s="500"/>
      <c r="AG500" s="500"/>
      <c r="AH500" s="500"/>
      <c r="AI500" s="500"/>
      <c r="AJ500" s="500"/>
      <c r="AK500" s="500"/>
      <c r="AL500" s="500"/>
      <c r="AM500" s="500"/>
      <c r="AN500" s="500"/>
      <c r="AO500" s="500"/>
      <c r="AP500" s="500"/>
    </row>
    <row r="501" spans="1:42" ht="16.5" customHeight="1">
      <c r="A501" s="439"/>
      <c r="B501" s="439"/>
      <c r="C501" s="439"/>
      <c r="D501" s="439"/>
      <c r="E501" s="439"/>
      <c r="F501" s="439"/>
      <c r="Z501" s="500"/>
      <c r="AA501" s="500"/>
      <c r="AB501" s="500"/>
      <c r="AC501" s="500"/>
      <c r="AD501" s="500"/>
      <c r="AE501" s="500"/>
      <c r="AF501" s="500"/>
      <c r="AG501" s="500"/>
      <c r="AH501" s="500"/>
      <c r="AI501" s="500"/>
      <c r="AJ501" s="500"/>
      <c r="AK501" s="500"/>
      <c r="AL501" s="500"/>
      <c r="AM501" s="500"/>
      <c r="AN501" s="500"/>
      <c r="AO501" s="500"/>
      <c r="AP501" s="500"/>
    </row>
    <row r="502" spans="1:42" ht="16.5" customHeight="1">
      <c r="A502" s="439"/>
      <c r="B502" s="439"/>
      <c r="C502" s="439"/>
      <c r="D502" s="439"/>
      <c r="E502" s="439"/>
      <c r="F502" s="439"/>
      <c r="Z502" s="500"/>
      <c r="AA502" s="500"/>
      <c r="AB502" s="500"/>
      <c r="AC502" s="500"/>
      <c r="AD502" s="500"/>
      <c r="AE502" s="500"/>
      <c r="AF502" s="500"/>
      <c r="AG502" s="500"/>
      <c r="AH502" s="500"/>
      <c r="AI502" s="500"/>
      <c r="AJ502" s="500"/>
      <c r="AK502" s="500"/>
      <c r="AL502" s="500"/>
      <c r="AM502" s="500"/>
      <c r="AN502" s="500"/>
      <c r="AO502" s="500"/>
      <c r="AP502" s="500"/>
    </row>
    <row r="503" spans="1:42" ht="16.5" customHeight="1">
      <c r="A503" s="497"/>
      <c r="B503" s="497"/>
      <c r="C503" s="497"/>
      <c r="D503" s="497"/>
      <c r="E503" s="497"/>
      <c r="F503" s="497"/>
      <c r="Z503" s="500"/>
      <c r="AA503" s="500"/>
      <c r="AB503" s="500"/>
      <c r="AC503" s="500"/>
      <c r="AD503" s="500"/>
      <c r="AE503" s="500"/>
      <c r="AF503" s="500"/>
      <c r="AG503" s="500"/>
      <c r="AH503" s="500"/>
      <c r="AI503" s="500"/>
      <c r="AJ503" s="500"/>
      <c r="AK503" s="500"/>
      <c r="AL503" s="500"/>
      <c r="AM503" s="500"/>
      <c r="AN503" s="500"/>
      <c r="AO503" s="500"/>
      <c r="AP503" s="500"/>
    </row>
    <row r="504" spans="1:42" ht="16.5" customHeight="1">
      <c r="A504" s="616" t="s">
        <v>3487</v>
      </c>
      <c r="B504" s="605"/>
      <c r="C504" s="446">
        <f>E504+D504+F504</f>
        <v>5546</v>
      </c>
      <c r="D504" s="453">
        <f>ROUNDDOWN(SUMIF(N457:N490,M504,D457:D490),0)</f>
        <v>5046</v>
      </c>
      <c r="E504" s="454">
        <f>ROUNDDOWN(SUMIF(N457:N490,M504,E457:E490),0)</f>
        <v>500</v>
      </c>
      <c r="F504" s="446">
        <f>ROUNDDOWN(SUMIF(N457:N490,M504,F457:F490),0)</f>
        <v>0</v>
      </c>
      <c r="M504" s="501" t="s">
        <v>2354</v>
      </c>
      <c r="Z504" s="500"/>
      <c r="AA504" s="500"/>
      <c r="AB504" s="500"/>
      <c r="AC504" s="500"/>
      <c r="AD504" s="500"/>
      <c r="AE504" s="500"/>
      <c r="AF504" s="500"/>
      <c r="AG504" s="500"/>
      <c r="AH504" s="500"/>
      <c r="AI504" s="500"/>
      <c r="AJ504" s="500"/>
      <c r="AK504" s="500"/>
      <c r="AL504" s="500"/>
      <c r="AM504" s="500"/>
      <c r="AN504" s="500"/>
      <c r="AO504" s="500"/>
      <c r="AP504" s="500"/>
    </row>
    <row r="505" spans="1:42" ht="16.5" customHeight="1">
      <c r="A505" s="502"/>
      <c r="B505" s="503" t="s">
        <v>5389</v>
      </c>
      <c r="C505" s="615">
        <f>C554</f>
        <v>8209</v>
      </c>
      <c r="D505" s="615">
        <f>D554</f>
        <v>7209</v>
      </c>
      <c r="E505" s="615">
        <f>E554</f>
        <v>1000</v>
      </c>
      <c r="F505" s="615">
        <f>F554</f>
        <v>0</v>
      </c>
      <c r="G505" s="486" t="str">
        <f>HYPERLINK("#G"&amp;ROW(G540),"_x0005_`BDCOD|D01358_x0007_`POSS|"&amp;ROW(G507)&amp;"_x0007_`POSE|"&amp;ROW(G540)&amp;"_x0007_`")</f>
        <v>_x0005_`BDCOD|D01358_x0007_`POSS|507_x0007_`POSE|540_x0007_`</v>
      </c>
      <c r="Z505" s="500"/>
      <c r="AA505" s="500"/>
      <c r="AB505" s="500"/>
      <c r="AC505" s="500"/>
      <c r="AD505" s="500"/>
      <c r="AE505" s="500"/>
      <c r="AF505" s="500"/>
      <c r="AG505" s="500"/>
      <c r="AH505" s="500"/>
      <c r="AI505" s="500"/>
      <c r="AJ505" s="500"/>
      <c r="AK505" s="500"/>
      <c r="AL505" s="500"/>
      <c r="AM505" s="500"/>
      <c r="AN505" s="500"/>
      <c r="AO505" s="500"/>
      <c r="AP505" s="500"/>
    </row>
    <row r="506" spans="1:42" ht="16.5" customHeight="1">
      <c r="A506" s="485"/>
      <c r="B506" s="503" t="s">
        <v>5590</v>
      </c>
      <c r="C506" s="593"/>
      <c r="D506" s="593"/>
      <c r="E506" s="593"/>
      <c r="F506" s="593"/>
      <c r="M506" s="501" t="s">
        <v>5389</v>
      </c>
      <c r="Z506" s="500"/>
      <c r="AA506" s="500"/>
      <c r="AB506" s="500"/>
      <c r="AC506" s="500"/>
      <c r="AD506" s="500"/>
      <c r="AE506" s="500"/>
      <c r="AF506" s="500"/>
      <c r="AG506" s="500"/>
      <c r="AH506" s="500"/>
      <c r="AI506" s="500"/>
      <c r="AJ506" s="500"/>
      <c r="AK506" s="500"/>
      <c r="AL506" s="500"/>
      <c r="AM506" s="500"/>
      <c r="AN506" s="500"/>
      <c r="AO506" s="500"/>
      <c r="AP506" s="500"/>
    </row>
    <row r="507" spans="1:42" ht="16.5" customHeight="1">
      <c r="A507" s="439"/>
      <c r="B507" s="439"/>
      <c r="C507" s="504"/>
      <c r="D507" s="504"/>
      <c r="E507" s="504"/>
      <c r="F507" s="504"/>
      <c r="G507" s="451" t="s">
        <v>3406</v>
      </c>
      <c r="Z507" s="500"/>
      <c r="AA507" s="500"/>
      <c r="AB507" s="500"/>
      <c r="AC507" s="500"/>
      <c r="AD507" s="500"/>
      <c r="AE507" s="500"/>
      <c r="AF507" s="500"/>
      <c r="AG507" s="500"/>
      <c r="AH507" s="500"/>
      <c r="AI507" s="500"/>
      <c r="AJ507" s="500"/>
      <c r="AK507" s="500"/>
      <c r="AL507" s="500"/>
      <c r="AM507" s="500"/>
      <c r="AN507" s="500"/>
      <c r="AO507" s="500"/>
      <c r="AP507" s="500"/>
    </row>
    <row r="508" spans="1:42" ht="16.5" customHeight="1">
      <c r="A508" s="434"/>
      <c r="B508" s="437" t="s">
        <v>3518</v>
      </c>
      <c r="C508" s="439"/>
      <c r="D508" s="439"/>
      <c r="E508" s="439"/>
      <c r="F508" s="439"/>
      <c r="G508" s="451" t="s">
        <v>3519</v>
      </c>
      <c r="Z508" s="500"/>
      <c r="AA508" s="500"/>
      <c r="AB508" s="500"/>
      <c r="AC508" s="500"/>
      <c r="AD508" s="500"/>
      <c r="AE508" s="500"/>
      <c r="AF508" s="500"/>
      <c r="AG508" s="500"/>
      <c r="AH508" s="500"/>
      <c r="AI508" s="500"/>
      <c r="AJ508" s="500"/>
      <c r="AK508" s="500"/>
      <c r="AL508" s="500"/>
      <c r="AM508" s="500"/>
      <c r="AN508" s="500"/>
      <c r="AO508" s="500"/>
      <c r="AP508" s="500"/>
    </row>
    <row r="509" spans="1:42" ht="16.5" customHeight="1">
      <c r="A509" s="439"/>
      <c r="B509" s="439"/>
      <c r="C509" s="439"/>
      <c r="D509" s="439"/>
      <c r="E509" s="439"/>
      <c r="F509" s="439"/>
      <c r="G509" s="451" t="s">
        <v>3406</v>
      </c>
      <c r="Z509" s="500"/>
      <c r="AA509" s="500"/>
      <c r="AB509" s="500"/>
      <c r="AC509" s="500"/>
      <c r="AD509" s="500"/>
      <c r="AE509" s="500"/>
      <c r="AF509" s="500"/>
      <c r="AG509" s="500"/>
      <c r="AH509" s="500"/>
      <c r="AI509" s="500"/>
      <c r="AJ509" s="500"/>
      <c r="AK509" s="500"/>
      <c r="AL509" s="500"/>
      <c r="AM509" s="500"/>
      <c r="AN509" s="500"/>
      <c r="AO509" s="500"/>
      <c r="AP509" s="500"/>
    </row>
    <row r="510" spans="1:42" ht="16.5" customHeight="1">
      <c r="A510" s="434"/>
      <c r="B510" s="437" t="s">
        <v>3491</v>
      </c>
      <c r="C510" s="439"/>
      <c r="D510" s="439"/>
      <c r="E510" s="439"/>
      <c r="F510" s="439"/>
      <c r="G510" s="451" t="s">
        <v>3492</v>
      </c>
      <c r="Z510" s="500"/>
      <c r="AA510" s="500"/>
      <c r="AB510" s="500"/>
      <c r="AC510" s="500"/>
      <c r="AD510" s="500"/>
      <c r="AE510" s="500"/>
      <c r="AF510" s="500"/>
      <c r="AG510" s="500"/>
      <c r="AH510" s="500"/>
      <c r="AI510" s="500"/>
      <c r="AJ510" s="500"/>
      <c r="AK510" s="500"/>
      <c r="AL510" s="500"/>
      <c r="AM510" s="500"/>
      <c r="AN510" s="500"/>
      <c r="AO510" s="500"/>
      <c r="AP510" s="500"/>
    </row>
    <row r="511" spans="1:42" ht="16.5" customHeight="1">
      <c r="A511" s="439"/>
      <c r="B511" s="439"/>
      <c r="C511" s="439"/>
      <c r="D511" s="439"/>
      <c r="E511" s="439"/>
      <c r="F511" s="439"/>
      <c r="G511" s="451" t="s">
        <v>3406</v>
      </c>
      <c r="Z511" s="500"/>
      <c r="AA511" s="500"/>
      <c r="AB511" s="500"/>
      <c r="AC511" s="500"/>
      <c r="AD511" s="500"/>
      <c r="AE511" s="500"/>
      <c r="AF511" s="500"/>
      <c r="AG511" s="500"/>
      <c r="AH511" s="500"/>
      <c r="AI511" s="500"/>
      <c r="AJ511" s="500"/>
      <c r="AK511" s="500"/>
      <c r="AL511" s="500"/>
      <c r="AM511" s="500"/>
      <c r="AN511" s="500"/>
      <c r="AO511" s="500"/>
      <c r="AP511" s="500"/>
    </row>
    <row r="512" spans="1:42" ht="16.5" customHeight="1">
      <c r="A512" s="434"/>
      <c r="B512" s="437" t="str">
        <f>" 일당 작업량 :   Q1 = "&amp;Z512&amp;"  주 "</f>
        <v xml:space="preserve"> 일당 작업량 :   Q1 = 140  주 </v>
      </c>
      <c r="C512" s="439"/>
      <c r="D512" s="439"/>
      <c r="E512" s="439"/>
      <c r="F512" s="439"/>
      <c r="G512" s="451" t="s">
        <v>3520</v>
      </c>
      <c r="Z512" s="515">
        <v>140</v>
      </c>
      <c r="AA512" s="501" t="s">
        <v>3418</v>
      </c>
      <c r="AB512" s="512">
        <f>Z512</f>
        <v>140</v>
      </c>
      <c r="AC512" s="500"/>
      <c r="AD512" s="500"/>
      <c r="AE512" s="500"/>
      <c r="AF512" s="500"/>
      <c r="AG512" s="500"/>
      <c r="AH512" s="500"/>
      <c r="AI512" s="500"/>
      <c r="AJ512" s="500"/>
      <c r="AK512" s="500"/>
      <c r="AL512" s="500"/>
      <c r="AM512" s="500"/>
      <c r="AN512" s="500"/>
      <c r="AO512" s="500"/>
      <c r="AP512" s="500"/>
    </row>
    <row r="513" spans="1:42" ht="16.5" customHeight="1">
      <c r="A513" s="439"/>
      <c r="B513" s="439"/>
      <c r="C513" s="439"/>
      <c r="D513" s="439"/>
      <c r="E513" s="439"/>
      <c r="F513" s="439"/>
      <c r="G513" s="451" t="s">
        <v>3406</v>
      </c>
      <c r="Z513" s="500"/>
      <c r="AA513" s="500"/>
      <c r="AB513" s="500"/>
      <c r="AC513" s="500"/>
      <c r="AD513" s="500"/>
      <c r="AE513" s="500"/>
      <c r="AF513" s="500"/>
      <c r="AG513" s="500"/>
      <c r="AH513" s="500"/>
      <c r="AI513" s="500"/>
      <c r="AJ513" s="500"/>
      <c r="AK513" s="500"/>
      <c r="AL513" s="500"/>
      <c r="AM513" s="500"/>
      <c r="AN513" s="500"/>
      <c r="AO513" s="500"/>
      <c r="AP513" s="500"/>
    </row>
    <row r="514" spans="1:42" ht="16.5" customHeight="1">
      <c r="A514" s="434"/>
      <c r="B514" s="437" t="s">
        <v>3494</v>
      </c>
      <c r="C514" s="439"/>
      <c r="D514" s="439"/>
      <c r="E514" s="439"/>
      <c r="F514" s="439"/>
      <c r="G514" s="451" t="s">
        <v>3495</v>
      </c>
      <c r="Z514" s="500"/>
      <c r="AA514" s="500"/>
      <c r="AB514" s="500"/>
      <c r="AC514" s="500"/>
      <c r="AD514" s="500"/>
      <c r="AE514" s="500"/>
      <c r="AF514" s="500"/>
      <c r="AG514" s="500"/>
      <c r="AH514" s="500"/>
      <c r="AI514" s="500"/>
      <c r="AJ514" s="500"/>
      <c r="AK514" s="500"/>
      <c r="AL514" s="500"/>
      <c r="AM514" s="500"/>
      <c r="AN514" s="500"/>
      <c r="AO514" s="500"/>
      <c r="AP514" s="500"/>
    </row>
    <row r="515" spans="1:42" ht="16.5" customHeight="1">
      <c r="A515" s="439"/>
      <c r="B515" s="439"/>
      <c r="C515" s="439"/>
      <c r="D515" s="439"/>
      <c r="E515" s="439"/>
      <c r="F515" s="439"/>
      <c r="G515" s="451" t="s">
        <v>3406</v>
      </c>
      <c r="Z515" s="500"/>
      <c r="AA515" s="500"/>
      <c r="AB515" s="500"/>
      <c r="AC515" s="500"/>
      <c r="AD515" s="500"/>
      <c r="AE515" s="500"/>
      <c r="AF515" s="500"/>
      <c r="AG515" s="500"/>
      <c r="AH515" s="500"/>
      <c r="AI515" s="500"/>
      <c r="AJ515" s="500"/>
      <c r="AK515" s="500"/>
      <c r="AL515" s="500"/>
      <c r="AM515" s="500"/>
      <c r="AN515" s="500"/>
      <c r="AO515" s="500"/>
      <c r="AP515" s="500"/>
    </row>
    <row r="516" spans="1:42" ht="16.5" customHeight="1">
      <c r="A516" s="439"/>
      <c r="B516" s="439"/>
      <c r="C516" s="439"/>
      <c r="D516" s="439"/>
      <c r="E516" s="439"/>
      <c r="F516" s="439"/>
      <c r="G516" s="451" t="s">
        <v>3406</v>
      </c>
      <c r="Z516" s="500"/>
      <c r="AA516" s="500"/>
      <c r="AB516" s="500"/>
      <c r="AC516" s="500"/>
      <c r="AD516" s="500"/>
      <c r="AE516" s="500"/>
      <c r="AF516" s="500"/>
      <c r="AG516" s="500"/>
      <c r="AH516" s="500"/>
      <c r="AI516" s="500"/>
      <c r="AJ516" s="500"/>
      <c r="AK516" s="500"/>
      <c r="AL516" s="500"/>
      <c r="AM516" s="500"/>
      <c r="AN516" s="500"/>
      <c r="AO516" s="500"/>
      <c r="AP516" s="500"/>
    </row>
    <row r="517" spans="1:42" ht="16.5" customHeight="1">
      <c r="A517" s="439"/>
      <c r="B517" s="439"/>
      <c r="C517" s="439"/>
      <c r="D517" s="439"/>
      <c r="E517" s="439"/>
      <c r="F517" s="439"/>
      <c r="G517" s="451" t="s">
        <v>3406</v>
      </c>
      <c r="Z517" s="500"/>
      <c r="AA517" s="500"/>
      <c r="AB517" s="500"/>
      <c r="AC517" s="500"/>
      <c r="AD517" s="500"/>
      <c r="AE517" s="500"/>
      <c r="AF517" s="500"/>
      <c r="AG517" s="500"/>
      <c r="AH517" s="500"/>
      <c r="AI517" s="500"/>
      <c r="AJ517" s="500"/>
      <c r="AK517" s="500"/>
      <c r="AL517" s="500"/>
      <c r="AM517" s="500"/>
      <c r="AN517" s="500"/>
      <c r="AO517" s="500"/>
      <c r="AP517" s="500"/>
    </row>
    <row r="518" spans="1:42" ht="16.5" customHeight="1">
      <c r="A518" s="439"/>
      <c r="B518" s="439"/>
      <c r="C518" s="439"/>
      <c r="D518" s="439"/>
      <c r="E518" s="439"/>
      <c r="F518" s="439"/>
      <c r="G518" s="451" t="s">
        <v>3406</v>
      </c>
      <c r="Z518" s="500"/>
      <c r="AA518" s="500"/>
      <c r="AB518" s="500"/>
      <c r="AC518" s="500"/>
      <c r="AD518" s="500"/>
      <c r="AE518" s="500"/>
      <c r="AF518" s="500"/>
      <c r="AG518" s="500"/>
      <c r="AH518" s="500"/>
      <c r="AI518" s="500"/>
      <c r="AJ518" s="500"/>
      <c r="AK518" s="500"/>
      <c r="AL518" s="500"/>
      <c r="AM518" s="500"/>
      <c r="AN518" s="500"/>
      <c r="AO518" s="500"/>
      <c r="AP518" s="500"/>
    </row>
    <row r="519" spans="1:42" ht="16.5" customHeight="1">
      <c r="A519" s="434"/>
      <c r="B519" s="437" t="s">
        <v>3496</v>
      </c>
      <c r="C519" s="439"/>
      <c r="D519" s="439"/>
      <c r="E519" s="439"/>
      <c r="F519" s="439"/>
      <c r="G519" s="451" t="s">
        <v>3497</v>
      </c>
      <c r="Z519" s="500"/>
      <c r="AA519" s="500"/>
      <c r="AB519" s="500"/>
      <c r="AC519" s="500"/>
      <c r="AD519" s="500"/>
      <c r="AE519" s="500"/>
      <c r="AF519" s="500"/>
      <c r="AG519" s="500"/>
      <c r="AH519" s="500"/>
      <c r="AI519" s="500"/>
      <c r="AJ519" s="500"/>
      <c r="AK519" s="500"/>
      <c r="AL519" s="500"/>
      <c r="AM519" s="500"/>
      <c r="AN519" s="500"/>
      <c r="AO519" s="500"/>
      <c r="AP519" s="500"/>
    </row>
    <row r="520" spans="1:42" ht="16.5" customHeight="1">
      <c r="A520" s="439"/>
      <c r="B520" s="439"/>
      <c r="C520" s="439"/>
      <c r="D520" s="439"/>
      <c r="E520" s="439"/>
      <c r="F520" s="439"/>
      <c r="G520" s="451" t="s">
        <v>3406</v>
      </c>
      <c r="Z520" s="500"/>
      <c r="AA520" s="500"/>
      <c r="AB520" s="500"/>
      <c r="AC520" s="500"/>
      <c r="AD520" s="500"/>
      <c r="AE520" s="500"/>
      <c r="AF520" s="500"/>
      <c r="AG520" s="500"/>
      <c r="AH520" s="500"/>
      <c r="AI520" s="500"/>
      <c r="AJ520" s="500"/>
      <c r="AK520" s="500"/>
      <c r="AL520" s="500"/>
      <c r="AM520" s="500"/>
      <c r="AN520" s="500"/>
      <c r="AO520" s="500"/>
      <c r="AP520" s="500"/>
    </row>
    <row r="521" spans="1:42" ht="16.5" customHeight="1">
      <c r="A521" s="434" t="s">
        <v>3498</v>
      </c>
      <c r="B521" s="505" t="str">
        <f>" 조경공 :  "&amp;TEXT(I521,"#,##0"&amp;IF(I521&lt;&gt;INT(I521),".###",""))&amp;" * "&amp;AA521&amp;" 인  / Q1 = "&amp;TEXT(C521,"#,##0.0")&amp;""</f>
        <v xml:space="preserve"> 조경공 :  235,204 * 3 인  / Q1 = 5,040.0</v>
      </c>
      <c r="C521" s="506">
        <f>E521+D521+F521</f>
        <v>5040</v>
      </c>
      <c r="D521" s="506">
        <f>IF(H521=0,0,ROUNDDOWN(J521*H521,1))</f>
        <v>5040</v>
      </c>
      <c r="E521" s="506">
        <f>IF(H521=0,0,ROUNDDOWN(K521*H521,1))</f>
        <v>0</v>
      </c>
      <c r="F521" s="506">
        <f>IF(H521=0,0,ROUNDDOWN(L521*H521,1))</f>
        <v>0</v>
      </c>
      <c r="G521" s="451" t="s">
        <v>3499</v>
      </c>
      <c r="H521" s="507">
        <f>ROUNDUP(AE521,14-LEN(ABS(INT(AE521))))</f>
        <v>2.14285714286E-2</v>
      </c>
      <c r="I521" s="508">
        <f>K521+J521+L521</f>
        <v>235204</v>
      </c>
      <c r="J521" s="509">
        <f>노무비목록표!E15</f>
        <v>235204</v>
      </c>
      <c r="M521" s="501" t="s">
        <v>2359</v>
      </c>
      <c r="N521" s="501" t="s">
        <v>3416</v>
      </c>
      <c r="X521" s="510" t="str">
        <f>노무비목록표!B15&amp;" / "&amp;노무비목록표!C15</f>
        <v xml:space="preserve">조경공 / </v>
      </c>
      <c r="Y521" s="433" t="str">
        <f ca="1">HYPERLINK("#"&amp;노무비목록표!G2&amp;"!A"&amp;ROW(노무비목록표!A15),"L00184 →")</f>
        <v>L00184 →</v>
      </c>
      <c r="Z521" s="501" t="s">
        <v>3500</v>
      </c>
      <c r="AA521" s="515">
        <v>3</v>
      </c>
      <c r="AB521" s="501" t="s">
        <v>3428</v>
      </c>
      <c r="AC521" s="512">
        <f>AB512</f>
        <v>140</v>
      </c>
      <c r="AD521" s="501" t="s">
        <v>3418</v>
      </c>
      <c r="AE521" s="512">
        <f>1*AA521/AB512</f>
        <v>2.1428571428571429E-2</v>
      </c>
      <c r="AF521" s="500"/>
      <c r="AG521" s="500"/>
      <c r="AH521" s="500"/>
      <c r="AI521" s="500"/>
      <c r="AJ521" s="500"/>
      <c r="AK521" s="500"/>
      <c r="AL521" s="500"/>
      <c r="AM521" s="500"/>
      <c r="AN521" s="500"/>
      <c r="AO521" s="500"/>
      <c r="AP521" s="500"/>
    </row>
    <row r="522" spans="1:42" ht="16.5" customHeight="1">
      <c r="A522" s="439"/>
      <c r="B522" s="439"/>
      <c r="C522" s="439"/>
      <c r="D522" s="439"/>
      <c r="E522" s="439"/>
      <c r="F522" s="439"/>
      <c r="G522" s="451" t="s">
        <v>3406</v>
      </c>
      <c r="Z522" s="500"/>
      <c r="AA522" s="500"/>
      <c r="AB522" s="500"/>
      <c r="AC522" s="500"/>
      <c r="AD522" s="500"/>
      <c r="AE522" s="500"/>
      <c r="AF522" s="500"/>
      <c r="AG522" s="500"/>
      <c r="AH522" s="500"/>
      <c r="AI522" s="500"/>
      <c r="AJ522" s="500"/>
      <c r="AK522" s="500"/>
      <c r="AL522" s="500"/>
      <c r="AM522" s="500"/>
      <c r="AN522" s="500"/>
      <c r="AO522" s="500"/>
      <c r="AP522" s="500"/>
    </row>
    <row r="523" spans="1:42" ht="16.5" customHeight="1">
      <c r="A523" s="439"/>
      <c r="B523" s="439"/>
      <c r="C523" s="439"/>
      <c r="D523" s="439"/>
      <c r="E523" s="439"/>
      <c r="F523" s="439"/>
      <c r="G523" s="451" t="s">
        <v>3406</v>
      </c>
      <c r="Z523" s="500"/>
      <c r="AA523" s="500"/>
      <c r="AB523" s="500"/>
      <c r="AC523" s="500"/>
      <c r="AD523" s="500"/>
      <c r="AE523" s="500"/>
      <c r="AF523" s="500"/>
      <c r="AG523" s="500"/>
      <c r="AH523" s="500"/>
      <c r="AI523" s="500"/>
      <c r="AJ523" s="500"/>
      <c r="AK523" s="500"/>
      <c r="AL523" s="500"/>
      <c r="AM523" s="500"/>
      <c r="AN523" s="500"/>
      <c r="AO523" s="500"/>
      <c r="AP523" s="500"/>
    </row>
    <row r="524" spans="1:42" ht="16.5" customHeight="1">
      <c r="A524" s="434" t="s">
        <v>3414</v>
      </c>
      <c r="B524" s="505" t="str">
        <f>" 보통인부 : "&amp;TEXT(I524,"#,##0"&amp;IF(I524&lt;&gt;INT(I524),".###",""))&amp;" * "&amp;AA524&amp;" 인  / Q1 = "&amp;TEXT(C524,"#,##0.0")&amp;""</f>
        <v xml:space="preserve"> 보통인부 : 172,068 * 1 인  / Q1 = 1,229.0</v>
      </c>
      <c r="C524" s="506">
        <f>E524+D524+F524</f>
        <v>1229</v>
      </c>
      <c r="D524" s="506">
        <f>IF(H524=0,0,ROUNDDOWN(J524*H524,1))</f>
        <v>1229</v>
      </c>
      <c r="E524" s="506">
        <f>IF(H524=0,0,ROUNDDOWN(K524*H524,1))</f>
        <v>0</v>
      </c>
      <c r="F524" s="506">
        <f>IF(H524=0,0,ROUNDDOWN(L524*H524,1))</f>
        <v>0</v>
      </c>
      <c r="G524" s="451" t="s">
        <v>3501</v>
      </c>
      <c r="H524" s="507">
        <f>ROUNDUP(AE524,14-LEN(ABS(INT(AE524))))</f>
        <v>7.1428571428999998E-3</v>
      </c>
      <c r="I524" s="508">
        <f>K524+J524+L524</f>
        <v>172068</v>
      </c>
      <c r="J524" s="509">
        <f>노무비목록표!E10</f>
        <v>172068</v>
      </c>
      <c r="M524" s="501" t="s">
        <v>2363</v>
      </c>
      <c r="N524" s="501" t="s">
        <v>3416</v>
      </c>
      <c r="X524" s="510" t="str">
        <f>노무비목록표!B10&amp;" / "&amp;노무비목록표!C10</f>
        <v xml:space="preserve">보통인부 / </v>
      </c>
      <c r="Y524" s="433" t="str">
        <f ca="1">HYPERLINK("#"&amp;노무비목록표!G2&amp;"!A"&amp;ROW(노무비목록표!A10),"L00017 →")</f>
        <v>L00017 →</v>
      </c>
      <c r="Z524" s="501" t="s">
        <v>3500</v>
      </c>
      <c r="AA524" s="515">
        <v>1</v>
      </c>
      <c r="AB524" s="501" t="s">
        <v>3428</v>
      </c>
      <c r="AC524" s="512">
        <f>AB512</f>
        <v>140</v>
      </c>
      <c r="AD524" s="501" t="s">
        <v>3418</v>
      </c>
      <c r="AE524" s="512">
        <f>1*AA524/AB512</f>
        <v>7.1428571428571426E-3</v>
      </c>
      <c r="AF524" s="500"/>
      <c r="AG524" s="500"/>
      <c r="AH524" s="500"/>
      <c r="AI524" s="500"/>
      <c r="AJ524" s="500"/>
      <c r="AK524" s="500"/>
      <c r="AL524" s="500"/>
      <c r="AM524" s="500"/>
      <c r="AN524" s="500"/>
      <c r="AO524" s="500"/>
      <c r="AP524" s="500"/>
    </row>
    <row r="525" spans="1:42" ht="16.5" customHeight="1">
      <c r="A525" s="439"/>
      <c r="B525" s="439"/>
      <c r="C525" s="439"/>
      <c r="D525" s="439"/>
      <c r="E525" s="439"/>
      <c r="F525" s="439"/>
      <c r="G525" s="451" t="s">
        <v>3406</v>
      </c>
      <c r="Z525" s="500"/>
      <c r="AA525" s="500"/>
      <c r="AB525" s="500"/>
      <c r="AC525" s="500"/>
      <c r="AD525" s="500"/>
      <c r="AE525" s="500"/>
      <c r="AF525" s="500"/>
      <c r="AG525" s="500"/>
      <c r="AH525" s="500"/>
      <c r="AI525" s="500"/>
      <c r="AJ525" s="500"/>
      <c r="AK525" s="500"/>
      <c r="AL525" s="500"/>
      <c r="AM525" s="500"/>
      <c r="AN525" s="500"/>
      <c r="AO525" s="500"/>
      <c r="AP525" s="500"/>
    </row>
    <row r="526" spans="1:42" ht="16.5" customHeight="1">
      <c r="A526" s="434"/>
      <c r="B526" s="437" t="s">
        <v>3419</v>
      </c>
      <c r="C526" s="513">
        <f>E526+D526+F526</f>
        <v>6269</v>
      </c>
      <c r="D526" s="513">
        <f>SUMIF(N507:N525,M526,D507:D525)</f>
        <v>6269</v>
      </c>
      <c r="E526" s="513">
        <f>SUMIF(N507:N525,M526,E507:E525)</f>
        <v>0</v>
      </c>
      <c r="F526" s="513">
        <f>SUMIF(N507:N525,M526,F507:F525)</f>
        <v>0</v>
      </c>
      <c r="G526" s="451" t="s">
        <v>3439</v>
      </c>
      <c r="M526" s="501" t="s">
        <v>3416</v>
      </c>
      <c r="N526" s="501" t="s">
        <v>3421</v>
      </c>
      <c r="Z526" s="500"/>
      <c r="AA526" s="500"/>
      <c r="AB526" s="500"/>
      <c r="AC526" s="500"/>
      <c r="AD526" s="500"/>
      <c r="AE526" s="500"/>
      <c r="AF526" s="500"/>
      <c r="AG526" s="500"/>
      <c r="AH526" s="500"/>
      <c r="AI526" s="500"/>
      <c r="AJ526" s="500"/>
      <c r="AK526" s="500"/>
      <c r="AL526" s="500"/>
      <c r="AM526" s="500"/>
      <c r="AN526" s="500"/>
      <c r="AO526" s="500"/>
      <c r="AP526" s="500"/>
    </row>
    <row r="527" spans="1:42" ht="16.5" customHeight="1">
      <c r="A527" s="439"/>
      <c r="B527" s="439"/>
      <c r="C527" s="504"/>
      <c r="D527" s="504"/>
      <c r="E527" s="504"/>
      <c r="F527" s="504"/>
      <c r="G527" s="451" t="s">
        <v>3406</v>
      </c>
      <c r="Z527" s="500"/>
      <c r="AA527" s="500"/>
      <c r="AB527" s="500"/>
      <c r="AC527" s="500"/>
      <c r="AD527" s="500"/>
      <c r="AE527" s="500"/>
      <c r="AF527" s="500"/>
      <c r="AG527" s="500"/>
      <c r="AH527" s="500"/>
      <c r="AI527" s="500"/>
      <c r="AJ527" s="500"/>
      <c r="AK527" s="500"/>
      <c r="AL527" s="500"/>
      <c r="AM527" s="500"/>
      <c r="AN527" s="500"/>
      <c r="AO527" s="500"/>
      <c r="AP527" s="500"/>
    </row>
    <row r="528" spans="1:42" ht="16.5" customHeight="1">
      <c r="A528" s="439"/>
      <c r="B528" s="439"/>
      <c r="C528" s="439"/>
      <c r="D528" s="439"/>
      <c r="E528" s="439"/>
      <c r="F528" s="439"/>
      <c r="G528" s="451" t="s">
        <v>3406</v>
      </c>
      <c r="Z528" s="500"/>
      <c r="AA528" s="500"/>
      <c r="AB528" s="500"/>
      <c r="AC528" s="500"/>
      <c r="AD528" s="500"/>
      <c r="AE528" s="500"/>
      <c r="AF528" s="500"/>
      <c r="AG528" s="500"/>
      <c r="AH528" s="500"/>
      <c r="AI528" s="500"/>
      <c r="AJ528" s="500"/>
      <c r="AK528" s="500"/>
      <c r="AL528" s="500"/>
      <c r="AM528" s="500"/>
      <c r="AN528" s="500"/>
      <c r="AO528" s="500"/>
      <c r="AP528" s="500"/>
    </row>
    <row r="529" spans="1:42" ht="16.5" customHeight="1">
      <c r="A529" s="434"/>
      <c r="B529" s="437" t="s">
        <v>3502</v>
      </c>
      <c r="C529" s="439"/>
      <c r="D529" s="439"/>
      <c r="E529" s="439"/>
      <c r="F529" s="439"/>
      <c r="G529" s="451" t="s">
        <v>3503</v>
      </c>
      <c r="Z529" s="500"/>
      <c r="AA529" s="500"/>
      <c r="AB529" s="500"/>
      <c r="AC529" s="500"/>
      <c r="AD529" s="500"/>
      <c r="AE529" s="500"/>
      <c r="AF529" s="500"/>
      <c r="AG529" s="500"/>
      <c r="AH529" s="500"/>
      <c r="AI529" s="500"/>
      <c r="AJ529" s="500"/>
      <c r="AK529" s="500"/>
      <c r="AL529" s="500"/>
      <c r="AM529" s="500"/>
      <c r="AN529" s="500"/>
      <c r="AO529" s="500"/>
      <c r="AP529" s="500"/>
    </row>
    <row r="530" spans="1:42" ht="16.5" customHeight="1">
      <c r="A530" s="439"/>
      <c r="B530" s="439"/>
      <c r="C530" s="439"/>
      <c r="D530" s="439"/>
      <c r="E530" s="439"/>
      <c r="F530" s="439"/>
      <c r="G530" s="451" t="s">
        <v>3406</v>
      </c>
      <c r="Z530" s="500"/>
      <c r="AA530" s="500"/>
      <c r="AB530" s="500"/>
      <c r="AC530" s="500"/>
      <c r="AD530" s="500"/>
      <c r="AE530" s="500"/>
      <c r="AF530" s="500"/>
      <c r="AG530" s="500"/>
      <c r="AH530" s="500"/>
      <c r="AI530" s="500"/>
      <c r="AJ530" s="500"/>
      <c r="AK530" s="500"/>
      <c r="AL530" s="500"/>
      <c r="AM530" s="500"/>
      <c r="AN530" s="500"/>
      <c r="AO530" s="500"/>
      <c r="AP530" s="500"/>
    </row>
    <row r="531" spans="1:42" ht="16.5" customHeight="1">
      <c r="A531" s="434" t="s">
        <v>3504</v>
      </c>
      <c r="B531" s="505" t="str">
        <f>"  유기질비료 수목이식·식재용 : "&amp;TEXT(I531,"#,##0"&amp;IF(I531&lt;&gt;INT(I531),".###",""))&amp;" * "&amp;AA531&amp;" KG  / Q1 = "&amp;TEXT(C531,"#,##0.0")&amp;""</f>
        <v xml:space="preserve">  유기질비료 수목이식·식재용 : 500 * 280 KG  / Q1 = 1,000.0</v>
      </c>
      <c r="C531" s="506">
        <f>E531+D531+F531</f>
        <v>1000</v>
      </c>
      <c r="D531" s="506">
        <f>IF(H531=0,0,ROUNDDOWN(J531*H531,1))</f>
        <v>0</v>
      </c>
      <c r="E531" s="506">
        <f>IF(H531=0,0,ROUNDDOWN(K531*H531,1))</f>
        <v>1000</v>
      </c>
      <c r="F531" s="506">
        <f>IF(H531=0,0,ROUNDDOWN(L531*H531,1))</f>
        <v>0</v>
      </c>
      <c r="G531" s="451" t="s">
        <v>3521</v>
      </c>
      <c r="H531" s="507">
        <f>ROUNDUP(AE531,14-LEN(ABS(INT(AE531))))</f>
        <v>2</v>
      </c>
      <c r="I531" s="508">
        <f>K531+J531+L531</f>
        <v>500</v>
      </c>
      <c r="K531" s="509">
        <f>재료비목록표!E78</f>
        <v>500</v>
      </c>
      <c r="M531" s="501" t="s">
        <v>3506</v>
      </c>
      <c r="N531" s="501" t="s">
        <v>3416</v>
      </c>
      <c r="X531" s="510" t="str">
        <f>재료비목록표!B78&amp;" / "&amp;재료비목록표!C78</f>
        <v>유기질비료 / 수목이식·식재용</v>
      </c>
      <c r="Y531" s="433" t="str">
        <f ca="1">HYPERLINK("#"&amp;재료비목록표!G2&amp;"!A"&amp;ROW(재료비목록표!A78),"M01159 →")</f>
        <v>M01159 →</v>
      </c>
      <c r="Z531" s="501" t="s">
        <v>3500</v>
      </c>
      <c r="AA531" s="515">
        <v>280</v>
      </c>
      <c r="AB531" s="501" t="s">
        <v>3428</v>
      </c>
      <c r="AC531" s="512">
        <f>AB512</f>
        <v>140</v>
      </c>
      <c r="AD531" s="501" t="s">
        <v>3418</v>
      </c>
      <c r="AE531" s="512">
        <f>1*AA531/AB512</f>
        <v>2</v>
      </c>
      <c r="AF531" s="500"/>
      <c r="AG531" s="500"/>
      <c r="AH531" s="500"/>
      <c r="AI531" s="500"/>
      <c r="AJ531" s="500"/>
      <c r="AK531" s="500"/>
      <c r="AL531" s="500"/>
      <c r="AM531" s="500"/>
      <c r="AN531" s="500"/>
      <c r="AO531" s="500"/>
      <c r="AP531" s="500"/>
    </row>
    <row r="532" spans="1:42" ht="16.5" customHeight="1">
      <c r="A532" s="439"/>
      <c r="B532" s="439"/>
      <c r="C532" s="439"/>
      <c r="D532" s="439"/>
      <c r="E532" s="439"/>
      <c r="F532" s="439"/>
      <c r="G532" s="451" t="s">
        <v>3406</v>
      </c>
      <c r="Z532" s="500"/>
      <c r="AA532" s="500"/>
      <c r="AB532" s="500"/>
      <c r="AC532" s="500"/>
      <c r="AD532" s="500"/>
      <c r="AE532" s="500"/>
      <c r="AF532" s="500"/>
      <c r="AG532" s="500"/>
      <c r="AH532" s="500"/>
      <c r="AI532" s="500"/>
      <c r="AJ532" s="500"/>
      <c r="AK532" s="500"/>
      <c r="AL532" s="500"/>
      <c r="AM532" s="500"/>
      <c r="AN532" s="500"/>
      <c r="AO532" s="500"/>
      <c r="AP532" s="500"/>
    </row>
    <row r="533" spans="1:42" ht="16.5" customHeight="1">
      <c r="A533" s="434"/>
      <c r="B533" s="437" t="s">
        <v>3419</v>
      </c>
      <c r="C533" s="513">
        <f>E533+D533+F533</f>
        <v>1000</v>
      </c>
      <c r="D533" s="513">
        <f>SUMIF(N527:N532,M533,D527:D532)</f>
        <v>0</v>
      </c>
      <c r="E533" s="513">
        <f>SUMIF(N527:N532,M533,E527:E532)</f>
        <v>1000</v>
      </c>
      <c r="F533" s="513">
        <f>SUMIF(N527:N532,M533,F527:F532)</f>
        <v>0</v>
      </c>
      <c r="G533" s="451" t="s">
        <v>3439</v>
      </c>
      <c r="M533" s="501" t="s">
        <v>3416</v>
      </c>
      <c r="N533" s="501" t="s">
        <v>3421</v>
      </c>
      <c r="Z533" s="500"/>
      <c r="AA533" s="500"/>
      <c r="AB533" s="500"/>
      <c r="AC533" s="500"/>
      <c r="AD533" s="500"/>
      <c r="AE533" s="500"/>
      <c r="AF533" s="500"/>
      <c r="AG533" s="500"/>
      <c r="AH533" s="500"/>
      <c r="AI533" s="500"/>
      <c r="AJ533" s="500"/>
      <c r="AK533" s="500"/>
      <c r="AL533" s="500"/>
      <c r="AM533" s="500"/>
      <c r="AN533" s="500"/>
      <c r="AO533" s="500"/>
      <c r="AP533" s="500"/>
    </row>
    <row r="534" spans="1:42" ht="16.5" customHeight="1">
      <c r="A534" s="439"/>
      <c r="B534" s="439"/>
      <c r="C534" s="504"/>
      <c r="D534" s="504"/>
      <c r="E534" s="504"/>
      <c r="F534" s="504"/>
      <c r="G534" s="451" t="s">
        <v>3406</v>
      </c>
      <c r="Z534" s="500"/>
      <c r="AA534" s="500"/>
      <c r="AB534" s="500"/>
      <c r="AC534" s="500"/>
      <c r="AD534" s="500"/>
      <c r="AE534" s="500"/>
      <c r="AF534" s="500"/>
      <c r="AG534" s="500"/>
      <c r="AH534" s="500"/>
      <c r="AI534" s="500"/>
      <c r="AJ534" s="500"/>
      <c r="AK534" s="500"/>
      <c r="AL534" s="500"/>
      <c r="AM534" s="500"/>
      <c r="AN534" s="500"/>
      <c r="AO534" s="500"/>
      <c r="AP534" s="500"/>
    </row>
    <row r="535" spans="1:42" ht="16.5" customHeight="1">
      <c r="A535" s="434"/>
      <c r="B535" s="505" t="str">
        <f>"  산지할증 : "&amp;TEXT(I535,"#,##0.0")&amp;" * "&amp;AA535&amp;" %  = "&amp;TEXT(C535,"#,##0.0")&amp;""</f>
        <v xml:space="preserve">  산지할증 : 6,269.0 * 15 %  = 940.3</v>
      </c>
      <c r="C535" s="506">
        <f>E535+D535+F535</f>
        <v>940.3</v>
      </c>
      <c r="D535" s="506">
        <f>IF(H535=0,0,ROUNDDOWN(J535*H535/100,1))</f>
        <v>940.3</v>
      </c>
      <c r="E535" s="506">
        <f>IF(H535=0,0,ROUNDDOWN(K535*H535/100,1))</f>
        <v>0</v>
      </c>
      <c r="F535" s="506">
        <f>IF(H535=0,0,ROUNDDOWN(L535*H535/100,1))</f>
        <v>0</v>
      </c>
      <c r="G535" s="451" t="s">
        <v>5587</v>
      </c>
      <c r="H535" s="507">
        <f>ROUNDUP(AC535,14-LEN(ABS(INT(AC535))))</f>
        <v>15</v>
      </c>
      <c r="I535" s="508">
        <f>K535+J535+L535</f>
        <v>6269</v>
      </c>
      <c r="J535" s="508">
        <f>D526+D533+SUMIF(N534:N534,N535,D534:D534)</f>
        <v>6269</v>
      </c>
      <c r="K535" s="456">
        <v>0</v>
      </c>
      <c r="L535" s="456">
        <v>0</v>
      </c>
      <c r="M535" s="501" t="s">
        <v>4208</v>
      </c>
      <c r="N535" s="501" t="s">
        <v>3416</v>
      </c>
      <c r="Z535" s="501" t="s">
        <v>3500</v>
      </c>
      <c r="AA535" s="515">
        <v>15</v>
      </c>
      <c r="AB535" s="501" t="s">
        <v>3418</v>
      </c>
      <c r="AC535" s="512">
        <f>1*AA535</f>
        <v>15</v>
      </c>
      <c r="AD535" s="500"/>
      <c r="AE535" s="500"/>
      <c r="AF535" s="500"/>
      <c r="AG535" s="500"/>
      <c r="AH535" s="500"/>
      <c r="AI535" s="500"/>
      <c r="AJ535" s="500"/>
      <c r="AK535" s="500"/>
      <c r="AL535" s="500"/>
      <c r="AM535" s="500"/>
      <c r="AN535" s="500"/>
      <c r="AO535" s="500"/>
      <c r="AP535" s="500"/>
    </row>
    <row r="536" spans="1:42" ht="16.5" customHeight="1">
      <c r="A536" s="439"/>
      <c r="B536" s="439"/>
      <c r="C536" s="439"/>
      <c r="D536" s="439"/>
      <c r="E536" s="439"/>
      <c r="F536" s="439"/>
      <c r="G536" s="451" t="s">
        <v>3406</v>
      </c>
      <c r="Z536" s="500"/>
      <c r="AA536" s="500"/>
      <c r="AB536" s="500"/>
      <c r="AC536" s="500"/>
      <c r="AD536" s="500"/>
      <c r="AE536" s="500"/>
      <c r="AF536" s="500"/>
      <c r="AG536" s="500"/>
      <c r="AH536" s="500"/>
      <c r="AI536" s="500"/>
      <c r="AJ536" s="500"/>
      <c r="AK536" s="500"/>
      <c r="AL536" s="500"/>
      <c r="AM536" s="500"/>
      <c r="AN536" s="500"/>
      <c r="AO536" s="500"/>
      <c r="AP536" s="500"/>
    </row>
    <row r="537" spans="1:42" ht="16.5" customHeight="1">
      <c r="A537" s="434"/>
      <c r="B537" s="437" t="s">
        <v>3419</v>
      </c>
      <c r="C537" s="513">
        <f>E537+D537+F537</f>
        <v>940.3</v>
      </c>
      <c r="D537" s="513">
        <f>SUMIF(N534:N536,M537,D534:D536)</f>
        <v>940.3</v>
      </c>
      <c r="E537" s="513">
        <f>SUMIF(N534:N536,M537,E534:E536)</f>
        <v>0</v>
      </c>
      <c r="F537" s="513">
        <f>SUMIF(N534:N536,M537,F534:F536)</f>
        <v>0</v>
      </c>
      <c r="G537" s="451" t="s">
        <v>3439</v>
      </c>
      <c r="M537" s="501" t="s">
        <v>3416</v>
      </c>
      <c r="N537" s="501" t="s">
        <v>3421</v>
      </c>
      <c r="Z537" s="500"/>
      <c r="AA537" s="500"/>
      <c r="AB537" s="500"/>
      <c r="AC537" s="500"/>
      <c r="AD537" s="500"/>
      <c r="AE537" s="500"/>
      <c r="AF537" s="500"/>
      <c r="AG537" s="500"/>
      <c r="AH537" s="500"/>
      <c r="AI537" s="500"/>
      <c r="AJ537" s="500"/>
      <c r="AK537" s="500"/>
      <c r="AL537" s="500"/>
      <c r="AM537" s="500"/>
      <c r="AN537" s="500"/>
      <c r="AO537" s="500"/>
      <c r="AP537" s="500"/>
    </row>
    <row r="538" spans="1:42" ht="16.5" customHeight="1">
      <c r="A538" s="439"/>
      <c r="B538" s="439"/>
      <c r="C538" s="504"/>
      <c r="D538" s="504"/>
      <c r="E538" s="504"/>
      <c r="F538" s="504"/>
      <c r="G538" s="451" t="s">
        <v>3406</v>
      </c>
      <c r="Z538" s="500"/>
      <c r="AA538" s="500"/>
      <c r="AB538" s="500"/>
      <c r="AC538" s="500"/>
      <c r="AD538" s="500"/>
      <c r="AE538" s="500"/>
      <c r="AF538" s="500"/>
      <c r="AG538" s="500"/>
      <c r="AH538" s="500"/>
      <c r="AI538" s="500"/>
      <c r="AJ538" s="500"/>
      <c r="AK538" s="500"/>
      <c r="AL538" s="500"/>
      <c r="AM538" s="500"/>
      <c r="AN538" s="500"/>
      <c r="AO538" s="500"/>
      <c r="AP538" s="500"/>
    </row>
    <row r="539" spans="1:42" ht="16.5" customHeight="1">
      <c r="A539" s="434"/>
      <c r="B539" s="437" t="s">
        <v>3440</v>
      </c>
      <c r="C539" s="513">
        <f>E539+D539+F539</f>
        <v>8209.2999999999993</v>
      </c>
      <c r="D539" s="513">
        <f>SUMIF(N507:N538,M539,D507:D538)</f>
        <v>7209.3</v>
      </c>
      <c r="E539" s="513">
        <f>SUMIF(N507:N538,M539,E507:E538)</f>
        <v>1000</v>
      </c>
      <c r="F539" s="513">
        <f>SUMIF(N507:N538,M539,F507:F538)</f>
        <v>0</v>
      </c>
      <c r="G539" s="451" t="s">
        <v>3441</v>
      </c>
      <c r="M539" s="501" t="s">
        <v>3421</v>
      </c>
      <c r="N539" s="501" t="s">
        <v>2354</v>
      </c>
      <c r="Z539" s="500"/>
      <c r="AA539" s="500"/>
      <c r="AB539" s="500"/>
      <c r="AC539" s="500"/>
      <c r="AD539" s="500"/>
      <c r="AE539" s="500"/>
      <c r="AF539" s="500"/>
      <c r="AG539" s="500"/>
      <c r="AH539" s="500"/>
      <c r="AI539" s="500"/>
      <c r="AJ539" s="500"/>
      <c r="AK539" s="500"/>
      <c r="AL539" s="500"/>
      <c r="AM539" s="500"/>
      <c r="AN539" s="500"/>
      <c r="AO539" s="500"/>
      <c r="AP539" s="500"/>
    </row>
    <row r="540" spans="1:42" ht="16.5" customHeight="1">
      <c r="A540" s="439"/>
      <c r="B540" s="439"/>
      <c r="C540" s="504"/>
      <c r="D540" s="504"/>
      <c r="E540" s="504"/>
      <c r="F540" s="504"/>
      <c r="G540" s="451" t="s">
        <v>3413</v>
      </c>
      <c r="Z540" s="500"/>
      <c r="AA540" s="500"/>
      <c r="AB540" s="500"/>
      <c r="AC540" s="500"/>
      <c r="AD540" s="500"/>
      <c r="AE540" s="500"/>
      <c r="AF540" s="500"/>
      <c r="AG540" s="500"/>
      <c r="AH540" s="500"/>
      <c r="AI540" s="500"/>
      <c r="AJ540" s="500"/>
      <c r="AK540" s="500"/>
      <c r="AL540" s="500"/>
      <c r="AM540" s="500"/>
      <c r="AN540" s="500"/>
      <c r="AO540" s="500"/>
      <c r="AP540" s="500"/>
    </row>
    <row r="541" spans="1:42" ht="16.5" customHeight="1">
      <c r="A541" s="439"/>
      <c r="B541" s="439"/>
      <c r="C541" s="439"/>
      <c r="D541" s="439"/>
      <c r="E541" s="439"/>
      <c r="F541" s="439"/>
      <c r="Z541" s="500"/>
      <c r="AA541" s="500"/>
      <c r="AB541" s="500"/>
      <c r="AC541" s="500"/>
      <c r="AD541" s="500"/>
      <c r="AE541" s="500"/>
      <c r="AF541" s="500"/>
      <c r="AG541" s="500"/>
      <c r="AH541" s="500"/>
      <c r="AI541" s="500"/>
      <c r="AJ541" s="500"/>
      <c r="AK541" s="500"/>
      <c r="AL541" s="500"/>
      <c r="AM541" s="500"/>
      <c r="AN541" s="500"/>
      <c r="AO541" s="500"/>
      <c r="AP541" s="500"/>
    </row>
    <row r="542" spans="1:42" ht="16.5" customHeight="1">
      <c r="A542" s="439"/>
      <c r="B542" s="439"/>
      <c r="C542" s="439"/>
      <c r="D542" s="439"/>
      <c r="E542" s="439"/>
      <c r="F542" s="439"/>
      <c r="Z542" s="500"/>
      <c r="AA542" s="500"/>
      <c r="AB542" s="500"/>
      <c r="AC542" s="500"/>
      <c r="AD542" s="500"/>
      <c r="AE542" s="500"/>
      <c r="AF542" s="500"/>
      <c r="AG542" s="500"/>
      <c r="AH542" s="500"/>
      <c r="AI542" s="500"/>
      <c r="AJ542" s="500"/>
      <c r="AK542" s="500"/>
      <c r="AL542" s="500"/>
      <c r="AM542" s="500"/>
      <c r="AN542" s="500"/>
      <c r="AO542" s="500"/>
      <c r="AP542" s="500"/>
    </row>
    <row r="543" spans="1:42" ht="16.5" customHeight="1">
      <c r="A543" s="439"/>
      <c r="B543" s="439"/>
      <c r="C543" s="439"/>
      <c r="D543" s="439"/>
      <c r="E543" s="439"/>
      <c r="F543" s="439"/>
      <c r="Z543" s="500"/>
      <c r="AA543" s="500"/>
      <c r="AB543" s="500"/>
      <c r="AC543" s="500"/>
      <c r="AD543" s="500"/>
      <c r="AE543" s="500"/>
      <c r="AF543" s="500"/>
      <c r="AG543" s="500"/>
      <c r="AH543" s="500"/>
      <c r="AI543" s="500"/>
      <c r="AJ543" s="500"/>
      <c r="AK543" s="500"/>
      <c r="AL543" s="500"/>
      <c r="AM543" s="500"/>
      <c r="AN543" s="500"/>
      <c r="AO543" s="500"/>
      <c r="AP543" s="500"/>
    </row>
    <row r="544" spans="1:42" ht="16.5" customHeight="1">
      <c r="A544" s="439"/>
      <c r="B544" s="439"/>
      <c r="C544" s="439"/>
      <c r="D544" s="439"/>
      <c r="E544" s="439"/>
      <c r="F544" s="439"/>
      <c r="Z544" s="500"/>
      <c r="AA544" s="500"/>
      <c r="AB544" s="500"/>
      <c r="AC544" s="500"/>
      <c r="AD544" s="500"/>
      <c r="AE544" s="500"/>
      <c r="AF544" s="500"/>
      <c r="AG544" s="500"/>
      <c r="AH544" s="500"/>
      <c r="AI544" s="500"/>
      <c r="AJ544" s="500"/>
      <c r="AK544" s="500"/>
      <c r="AL544" s="500"/>
      <c r="AM544" s="500"/>
      <c r="AN544" s="500"/>
      <c r="AO544" s="500"/>
      <c r="AP544" s="500"/>
    </row>
    <row r="545" spans="1:42" ht="16.5" customHeight="1">
      <c r="A545" s="439"/>
      <c r="B545" s="439"/>
      <c r="C545" s="439"/>
      <c r="D545" s="439"/>
      <c r="E545" s="439"/>
      <c r="F545" s="439"/>
      <c r="Z545" s="500"/>
      <c r="AA545" s="500"/>
      <c r="AB545" s="500"/>
      <c r="AC545" s="500"/>
      <c r="AD545" s="500"/>
      <c r="AE545" s="500"/>
      <c r="AF545" s="500"/>
      <c r="AG545" s="500"/>
      <c r="AH545" s="500"/>
      <c r="AI545" s="500"/>
      <c r="AJ545" s="500"/>
      <c r="AK545" s="500"/>
      <c r="AL545" s="500"/>
      <c r="AM545" s="500"/>
      <c r="AN545" s="500"/>
      <c r="AO545" s="500"/>
      <c r="AP545" s="500"/>
    </row>
    <row r="546" spans="1:42" ht="16.5" customHeight="1">
      <c r="A546" s="439"/>
      <c r="B546" s="439"/>
      <c r="C546" s="439"/>
      <c r="D546" s="439"/>
      <c r="E546" s="439"/>
      <c r="F546" s="439"/>
      <c r="Z546" s="500"/>
      <c r="AA546" s="500"/>
      <c r="AB546" s="500"/>
      <c r="AC546" s="500"/>
      <c r="AD546" s="500"/>
      <c r="AE546" s="500"/>
      <c r="AF546" s="500"/>
      <c r="AG546" s="500"/>
      <c r="AH546" s="500"/>
      <c r="AI546" s="500"/>
      <c r="AJ546" s="500"/>
      <c r="AK546" s="500"/>
      <c r="AL546" s="500"/>
      <c r="AM546" s="500"/>
      <c r="AN546" s="500"/>
      <c r="AO546" s="500"/>
      <c r="AP546" s="500"/>
    </row>
    <row r="547" spans="1:42" ht="16.5" customHeight="1">
      <c r="A547" s="439"/>
      <c r="B547" s="439"/>
      <c r="C547" s="439"/>
      <c r="D547" s="439"/>
      <c r="E547" s="439"/>
      <c r="F547" s="439"/>
      <c r="Z547" s="500"/>
      <c r="AA547" s="500"/>
      <c r="AB547" s="500"/>
      <c r="AC547" s="500"/>
      <c r="AD547" s="500"/>
      <c r="AE547" s="500"/>
      <c r="AF547" s="500"/>
      <c r="AG547" s="500"/>
      <c r="AH547" s="500"/>
      <c r="AI547" s="500"/>
      <c r="AJ547" s="500"/>
      <c r="AK547" s="500"/>
      <c r="AL547" s="500"/>
      <c r="AM547" s="500"/>
      <c r="AN547" s="500"/>
      <c r="AO547" s="500"/>
      <c r="AP547" s="500"/>
    </row>
    <row r="548" spans="1:42" ht="16.5" customHeight="1">
      <c r="A548" s="439"/>
      <c r="B548" s="439"/>
      <c r="C548" s="439"/>
      <c r="D548" s="439"/>
      <c r="E548" s="439"/>
      <c r="F548" s="439"/>
      <c r="Z548" s="500"/>
      <c r="AA548" s="500"/>
      <c r="AB548" s="500"/>
      <c r="AC548" s="500"/>
      <c r="AD548" s="500"/>
      <c r="AE548" s="500"/>
      <c r="AF548" s="500"/>
      <c r="AG548" s="500"/>
      <c r="AH548" s="500"/>
      <c r="AI548" s="500"/>
      <c r="AJ548" s="500"/>
      <c r="AK548" s="500"/>
      <c r="AL548" s="500"/>
      <c r="AM548" s="500"/>
      <c r="AN548" s="500"/>
      <c r="AO548" s="500"/>
      <c r="AP548" s="500"/>
    </row>
    <row r="549" spans="1:42" ht="16.5" customHeight="1">
      <c r="A549" s="439"/>
      <c r="B549" s="439"/>
      <c r="C549" s="439"/>
      <c r="D549" s="439"/>
      <c r="E549" s="439"/>
      <c r="F549" s="439"/>
      <c r="Z549" s="500"/>
      <c r="AA549" s="500"/>
      <c r="AB549" s="500"/>
      <c r="AC549" s="500"/>
      <c r="AD549" s="500"/>
      <c r="AE549" s="500"/>
      <c r="AF549" s="500"/>
      <c r="AG549" s="500"/>
      <c r="AH549" s="500"/>
      <c r="AI549" s="500"/>
      <c r="AJ549" s="500"/>
      <c r="AK549" s="500"/>
      <c r="AL549" s="500"/>
      <c r="AM549" s="500"/>
      <c r="AN549" s="500"/>
      <c r="AO549" s="500"/>
      <c r="AP549" s="500"/>
    </row>
    <row r="550" spans="1:42" ht="16.5" customHeight="1">
      <c r="A550" s="439"/>
      <c r="B550" s="439"/>
      <c r="C550" s="439"/>
      <c r="D550" s="439"/>
      <c r="E550" s="439"/>
      <c r="F550" s="439"/>
      <c r="Z550" s="500"/>
      <c r="AA550" s="500"/>
      <c r="AB550" s="500"/>
      <c r="AC550" s="500"/>
      <c r="AD550" s="500"/>
      <c r="AE550" s="500"/>
      <c r="AF550" s="500"/>
      <c r="AG550" s="500"/>
      <c r="AH550" s="500"/>
      <c r="AI550" s="500"/>
      <c r="AJ550" s="500"/>
      <c r="AK550" s="500"/>
      <c r="AL550" s="500"/>
      <c r="AM550" s="500"/>
      <c r="AN550" s="500"/>
      <c r="AO550" s="500"/>
      <c r="AP550" s="500"/>
    </row>
    <row r="551" spans="1:42" ht="16.5" customHeight="1">
      <c r="A551" s="439"/>
      <c r="B551" s="439"/>
      <c r="C551" s="439"/>
      <c r="D551" s="439"/>
      <c r="E551" s="439"/>
      <c r="F551" s="439"/>
      <c r="Z551" s="500"/>
      <c r="AA551" s="500"/>
      <c r="AB551" s="500"/>
      <c r="AC551" s="500"/>
      <c r="AD551" s="500"/>
      <c r="AE551" s="500"/>
      <c r="AF551" s="500"/>
      <c r="AG551" s="500"/>
      <c r="AH551" s="500"/>
      <c r="AI551" s="500"/>
      <c r="AJ551" s="500"/>
      <c r="AK551" s="500"/>
      <c r="AL551" s="500"/>
      <c r="AM551" s="500"/>
      <c r="AN551" s="500"/>
      <c r="AO551" s="500"/>
      <c r="AP551" s="500"/>
    </row>
    <row r="552" spans="1:42" ht="16.5" customHeight="1">
      <c r="A552" s="439"/>
      <c r="B552" s="439"/>
      <c r="C552" s="439"/>
      <c r="D552" s="439"/>
      <c r="E552" s="439"/>
      <c r="F552" s="439"/>
      <c r="Z552" s="500"/>
      <c r="AA552" s="500"/>
      <c r="AB552" s="500"/>
      <c r="AC552" s="500"/>
      <c r="AD552" s="500"/>
      <c r="AE552" s="500"/>
      <c r="AF552" s="500"/>
      <c r="AG552" s="500"/>
      <c r="AH552" s="500"/>
      <c r="AI552" s="500"/>
      <c r="AJ552" s="500"/>
      <c r="AK552" s="500"/>
      <c r="AL552" s="500"/>
      <c r="AM552" s="500"/>
      <c r="AN552" s="500"/>
      <c r="AO552" s="500"/>
      <c r="AP552" s="500"/>
    </row>
    <row r="553" spans="1:42" ht="16.5" customHeight="1">
      <c r="A553" s="497"/>
      <c r="B553" s="497"/>
      <c r="C553" s="497"/>
      <c r="D553" s="497"/>
      <c r="E553" s="497"/>
      <c r="F553" s="497"/>
      <c r="Z553" s="500"/>
      <c r="AA553" s="500"/>
      <c r="AB553" s="500"/>
      <c r="AC553" s="500"/>
      <c r="AD553" s="500"/>
      <c r="AE553" s="500"/>
      <c r="AF553" s="500"/>
      <c r="AG553" s="500"/>
      <c r="AH553" s="500"/>
      <c r="AI553" s="500"/>
      <c r="AJ553" s="500"/>
      <c r="AK553" s="500"/>
      <c r="AL553" s="500"/>
      <c r="AM553" s="500"/>
      <c r="AN553" s="500"/>
      <c r="AO553" s="500"/>
      <c r="AP553" s="500"/>
    </row>
    <row r="554" spans="1:42" ht="16.5" customHeight="1">
      <c r="A554" s="616" t="s">
        <v>3487</v>
      </c>
      <c r="B554" s="605"/>
      <c r="C554" s="446">
        <f>E554+D554+F554</f>
        <v>8209</v>
      </c>
      <c r="D554" s="453">
        <f>ROUNDDOWN(SUMIF(N507:N540,M554,D507:D540),0)</f>
        <v>7209</v>
      </c>
      <c r="E554" s="454">
        <f>ROUNDDOWN(SUMIF(N507:N540,M554,E507:E540),0)</f>
        <v>1000</v>
      </c>
      <c r="F554" s="446">
        <f>ROUNDDOWN(SUMIF(N507:N540,M554,F507:F540),0)</f>
        <v>0</v>
      </c>
      <c r="M554" s="501" t="s">
        <v>2354</v>
      </c>
      <c r="Z554" s="500"/>
      <c r="AA554" s="500"/>
      <c r="AB554" s="500"/>
      <c r="AC554" s="500"/>
      <c r="AD554" s="500"/>
      <c r="AE554" s="500"/>
      <c r="AF554" s="500"/>
      <c r="AG554" s="500"/>
      <c r="AH554" s="500"/>
      <c r="AI554" s="500"/>
      <c r="AJ554" s="500"/>
      <c r="AK554" s="500"/>
      <c r="AL554" s="500"/>
      <c r="AM554" s="500"/>
      <c r="AN554" s="500"/>
      <c r="AO554" s="500"/>
      <c r="AP554" s="500"/>
    </row>
    <row r="555" spans="1:42" ht="16.5" customHeight="1">
      <c r="A555" s="502"/>
      <c r="B555" s="503" t="s">
        <v>5396</v>
      </c>
      <c r="C555" s="615">
        <f>C604</f>
        <v>3906</v>
      </c>
      <c r="D555" s="615">
        <f>D604</f>
        <v>3656</v>
      </c>
      <c r="E555" s="615">
        <f>E604</f>
        <v>250</v>
      </c>
      <c r="F555" s="615">
        <f>F604</f>
        <v>0</v>
      </c>
      <c r="G555" s="486" t="str">
        <f>HYPERLINK("#G"&amp;ROW(G590),"_x0005_`BDCOD|D01326_x0007_`POSS|"&amp;ROW(G557)&amp;"_x0007_`POSE|"&amp;ROW(G590)&amp;"_x0007_`")</f>
        <v>_x0005_`BDCOD|D01326_x0007_`POSS|557_x0007_`POSE|590_x0007_`</v>
      </c>
      <c r="Z555" s="500"/>
      <c r="AA555" s="500"/>
      <c r="AB555" s="500"/>
      <c r="AC555" s="500"/>
      <c r="AD555" s="500"/>
      <c r="AE555" s="500"/>
      <c r="AF555" s="500"/>
      <c r="AG555" s="500"/>
      <c r="AH555" s="500"/>
      <c r="AI555" s="500"/>
      <c r="AJ555" s="500"/>
      <c r="AK555" s="500"/>
      <c r="AL555" s="500"/>
      <c r="AM555" s="500"/>
      <c r="AN555" s="500"/>
      <c r="AO555" s="500"/>
      <c r="AP555" s="500"/>
    </row>
    <row r="556" spans="1:42" ht="16.5" customHeight="1">
      <c r="A556" s="485"/>
      <c r="B556" s="503" t="s">
        <v>5591</v>
      </c>
      <c r="C556" s="593"/>
      <c r="D556" s="593"/>
      <c r="E556" s="593"/>
      <c r="F556" s="593"/>
      <c r="M556" s="501" t="s">
        <v>5396</v>
      </c>
      <c r="Z556" s="500"/>
      <c r="AA556" s="500"/>
      <c r="AB556" s="500"/>
      <c r="AC556" s="500"/>
      <c r="AD556" s="500"/>
      <c r="AE556" s="500"/>
      <c r="AF556" s="500"/>
      <c r="AG556" s="500"/>
      <c r="AH556" s="500"/>
      <c r="AI556" s="500"/>
      <c r="AJ556" s="500"/>
      <c r="AK556" s="500"/>
      <c r="AL556" s="500"/>
      <c r="AM556" s="500"/>
      <c r="AN556" s="500"/>
      <c r="AO556" s="500"/>
      <c r="AP556" s="500"/>
    </row>
    <row r="557" spans="1:42" ht="16.5" customHeight="1">
      <c r="A557" s="439"/>
      <c r="B557" s="439"/>
      <c r="C557" s="504"/>
      <c r="D557" s="504"/>
      <c r="E557" s="504"/>
      <c r="F557" s="504"/>
      <c r="G557" s="451" t="s">
        <v>3406</v>
      </c>
      <c r="Z557" s="500"/>
      <c r="AA557" s="500"/>
      <c r="AB557" s="500"/>
      <c r="AC557" s="500"/>
      <c r="AD557" s="500"/>
      <c r="AE557" s="500"/>
      <c r="AF557" s="500"/>
      <c r="AG557" s="500"/>
      <c r="AH557" s="500"/>
      <c r="AI557" s="500"/>
      <c r="AJ557" s="500"/>
      <c r="AK557" s="500"/>
      <c r="AL557" s="500"/>
      <c r="AM557" s="500"/>
      <c r="AN557" s="500"/>
      <c r="AO557" s="500"/>
      <c r="AP557" s="500"/>
    </row>
    <row r="558" spans="1:42" ht="16.5" customHeight="1">
      <c r="A558" s="434"/>
      <c r="B558" s="437" t="s">
        <v>3489</v>
      </c>
      <c r="C558" s="439"/>
      <c r="D558" s="439"/>
      <c r="E558" s="439"/>
      <c r="F558" s="439"/>
      <c r="G558" s="451" t="s">
        <v>3490</v>
      </c>
      <c r="Z558" s="500"/>
      <c r="AA558" s="500"/>
      <c r="AB558" s="500"/>
      <c r="AC558" s="500"/>
      <c r="AD558" s="500"/>
      <c r="AE558" s="500"/>
      <c r="AF558" s="500"/>
      <c r="AG558" s="500"/>
      <c r="AH558" s="500"/>
      <c r="AI558" s="500"/>
      <c r="AJ558" s="500"/>
      <c r="AK558" s="500"/>
      <c r="AL558" s="500"/>
      <c r="AM558" s="500"/>
      <c r="AN558" s="500"/>
      <c r="AO558" s="500"/>
      <c r="AP558" s="500"/>
    </row>
    <row r="559" spans="1:42" ht="16.5" customHeight="1">
      <c r="A559" s="439"/>
      <c r="B559" s="439"/>
      <c r="C559" s="439"/>
      <c r="D559" s="439"/>
      <c r="E559" s="439"/>
      <c r="F559" s="439"/>
      <c r="G559" s="451" t="s">
        <v>3406</v>
      </c>
      <c r="Z559" s="500"/>
      <c r="AA559" s="500"/>
      <c r="AB559" s="500"/>
      <c r="AC559" s="500"/>
      <c r="AD559" s="500"/>
      <c r="AE559" s="500"/>
      <c r="AF559" s="500"/>
      <c r="AG559" s="500"/>
      <c r="AH559" s="500"/>
      <c r="AI559" s="500"/>
      <c r="AJ559" s="500"/>
      <c r="AK559" s="500"/>
      <c r="AL559" s="500"/>
      <c r="AM559" s="500"/>
      <c r="AN559" s="500"/>
      <c r="AO559" s="500"/>
      <c r="AP559" s="500"/>
    </row>
    <row r="560" spans="1:42" ht="16.5" customHeight="1">
      <c r="A560" s="434"/>
      <c r="B560" s="437" t="s">
        <v>3491</v>
      </c>
      <c r="C560" s="439"/>
      <c r="D560" s="439"/>
      <c r="E560" s="439"/>
      <c r="F560" s="439"/>
      <c r="G560" s="451" t="s">
        <v>3492</v>
      </c>
      <c r="Z560" s="500"/>
      <c r="AA560" s="500"/>
      <c r="AB560" s="500"/>
      <c r="AC560" s="500"/>
      <c r="AD560" s="500"/>
      <c r="AE560" s="500"/>
      <c r="AF560" s="500"/>
      <c r="AG560" s="500"/>
      <c r="AH560" s="500"/>
      <c r="AI560" s="500"/>
      <c r="AJ560" s="500"/>
      <c r="AK560" s="500"/>
      <c r="AL560" s="500"/>
      <c r="AM560" s="500"/>
      <c r="AN560" s="500"/>
      <c r="AO560" s="500"/>
      <c r="AP560" s="500"/>
    </row>
    <row r="561" spans="1:42" ht="16.5" customHeight="1">
      <c r="A561" s="439"/>
      <c r="B561" s="439"/>
      <c r="C561" s="439"/>
      <c r="D561" s="439"/>
      <c r="E561" s="439"/>
      <c r="F561" s="439"/>
      <c r="G561" s="451" t="s">
        <v>3406</v>
      </c>
      <c r="Z561" s="500"/>
      <c r="AA561" s="500"/>
      <c r="AB561" s="500"/>
      <c r="AC561" s="500"/>
      <c r="AD561" s="500"/>
      <c r="AE561" s="500"/>
      <c r="AF561" s="500"/>
      <c r="AG561" s="500"/>
      <c r="AH561" s="500"/>
      <c r="AI561" s="500"/>
      <c r="AJ561" s="500"/>
      <c r="AK561" s="500"/>
      <c r="AL561" s="500"/>
      <c r="AM561" s="500"/>
      <c r="AN561" s="500"/>
      <c r="AO561" s="500"/>
      <c r="AP561" s="500"/>
    </row>
    <row r="562" spans="1:42" ht="16.5" customHeight="1">
      <c r="A562" s="434"/>
      <c r="B562" s="437" t="str">
        <f>" 일당 작업량 :   Q1 = "&amp;Z562&amp;"  주 "</f>
        <v xml:space="preserve"> 일당 작업량 :   Q1 = 300  주 </v>
      </c>
      <c r="C562" s="439"/>
      <c r="D562" s="439"/>
      <c r="E562" s="439"/>
      <c r="F562" s="439"/>
      <c r="G562" s="451" t="s">
        <v>3493</v>
      </c>
      <c r="Z562" s="515">
        <v>300</v>
      </c>
      <c r="AA562" s="501" t="s">
        <v>3418</v>
      </c>
      <c r="AB562" s="512">
        <f>Z562</f>
        <v>300</v>
      </c>
      <c r="AC562" s="500"/>
      <c r="AD562" s="500"/>
      <c r="AE562" s="500"/>
      <c r="AF562" s="500"/>
      <c r="AG562" s="500"/>
      <c r="AH562" s="500"/>
      <c r="AI562" s="500"/>
      <c r="AJ562" s="500"/>
      <c r="AK562" s="500"/>
      <c r="AL562" s="500"/>
      <c r="AM562" s="500"/>
      <c r="AN562" s="500"/>
      <c r="AO562" s="500"/>
      <c r="AP562" s="500"/>
    </row>
    <row r="563" spans="1:42" ht="16.5" customHeight="1">
      <c r="A563" s="439"/>
      <c r="B563" s="439"/>
      <c r="C563" s="439"/>
      <c r="D563" s="439"/>
      <c r="E563" s="439"/>
      <c r="F563" s="439"/>
      <c r="G563" s="451" t="s">
        <v>3406</v>
      </c>
      <c r="Z563" s="500"/>
      <c r="AA563" s="500"/>
      <c r="AB563" s="500"/>
      <c r="AC563" s="500"/>
      <c r="AD563" s="500"/>
      <c r="AE563" s="500"/>
      <c r="AF563" s="500"/>
      <c r="AG563" s="500"/>
      <c r="AH563" s="500"/>
      <c r="AI563" s="500"/>
      <c r="AJ563" s="500"/>
      <c r="AK563" s="500"/>
      <c r="AL563" s="500"/>
      <c r="AM563" s="500"/>
      <c r="AN563" s="500"/>
      <c r="AO563" s="500"/>
      <c r="AP563" s="500"/>
    </row>
    <row r="564" spans="1:42" ht="16.5" customHeight="1">
      <c r="A564" s="434"/>
      <c r="B564" s="437" t="s">
        <v>3494</v>
      </c>
      <c r="C564" s="439"/>
      <c r="D564" s="439"/>
      <c r="E564" s="439"/>
      <c r="F564" s="439"/>
      <c r="G564" s="451" t="s">
        <v>3495</v>
      </c>
      <c r="Z564" s="500"/>
      <c r="AA564" s="500"/>
      <c r="AB564" s="500"/>
      <c r="AC564" s="500"/>
      <c r="AD564" s="500"/>
      <c r="AE564" s="500"/>
      <c r="AF564" s="500"/>
      <c r="AG564" s="500"/>
      <c r="AH564" s="500"/>
      <c r="AI564" s="500"/>
      <c r="AJ564" s="500"/>
      <c r="AK564" s="500"/>
      <c r="AL564" s="500"/>
      <c r="AM564" s="500"/>
      <c r="AN564" s="500"/>
      <c r="AO564" s="500"/>
      <c r="AP564" s="500"/>
    </row>
    <row r="565" spans="1:42" ht="16.5" customHeight="1">
      <c r="A565" s="439"/>
      <c r="B565" s="439"/>
      <c r="C565" s="439"/>
      <c r="D565" s="439"/>
      <c r="E565" s="439"/>
      <c r="F565" s="439"/>
      <c r="G565" s="451" t="s">
        <v>3406</v>
      </c>
      <c r="Z565" s="500"/>
      <c r="AA565" s="500"/>
      <c r="AB565" s="500"/>
      <c r="AC565" s="500"/>
      <c r="AD565" s="500"/>
      <c r="AE565" s="500"/>
      <c r="AF565" s="500"/>
      <c r="AG565" s="500"/>
      <c r="AH565" s="500"/>
      <c r="AI565" s="500"/>
      <c r="AJ565" s="500"/>
      <c r="AK565" s="500"/>
      <c r="AL565" s="500"/>
      <c r="AM565" s="500"/>
      <c r="AN565" s="500"/>
      <c r="AO565" s="500"/>
      <c r="AP565" s="500"/>
    </row>
    <row r="566" spans="1:42" ht="16.5" customHeight="1">
      <c r="A566" s="439"/>
      <c r="B566" s="439"/>
      <c r="C566" s="439"/>
      <c r="D566" s="439"/>
      <c r="E566" s="439"/>
      <c r="F566" s="439"/>
      <c r="G566" s="451" t="s">
        <v>3406</v>
      </c>
      <c r="Z566" s="500"/>
      <c r="AA566" s="500"/>
      <c r="AB566" s="500"/>
      <c r="AC566" s="500"/>
      <c r="AD566" s="500"/>
      <c r="AE566" s="500"/>
      <c r="AF566" s="500"/>
      <c r="AG566" s="500"/>
      <c r="AH566" s="500"/>
      <c r="AI566" s="500"/>
      <c r="AJ566" s="500"/>
      <c r="AK566" s="500"/>
      <c r="AL566" s="500"/>
      <c r="AM566" s="500"/>
      <c r="AN566" s="500"/>
      <c r="AO566" s="500"/>
      <c r="AP566" s="500"/>
    </row>
    <row r="567" spans="1:42" ht="16.5" customHeight="1">
      <c r="A567" s="439"/>
      <c r="B567" s="439"/>
      <c r="C567" s="439"/>
      <c r="D567" s="439"/>
      <c r="E567" s="439"/>
      <c r="F567" s="439"/>
      <c r="G567" s="451" t="s">
        <v>3406</v>
      </c>
      <c r="Z567" s="500"/>
      <c r="AA567" s="500"/>
      <c r="AB567" s="500"/>
      <c r="AC567" s="500"/>
      <c r="AD567" s="500"/>
      <c r="AE567" s="500"/>
      <c r="AF567" s="500"/>
      <c r="AG567" s="500"/>
      <c r="AH567" s="500"/>
      <c r="AI567" s="500"/>
      <c r="AJ567" s="500"/>
      <c r="AK567" s="500"/>
      <c r="AL567" s="500"/>
      <c r="AM567" s="500"/>
      <c r="AN567" s="500"/>
      <c r="AO567" s="500"/>
      <c r="AP567" s="500"/>
    </row>
    <row r="568" spans="1:42" ht="16.5" customHeight="1">
      <c r="A568" s="439"/>
      <c r="B568" s="439"/>
      <c r="C568" s="439"/>
      <c r="D568" s="439"/>
      <c r="E568" s="439"/>
      <c r="F568" s="439"/>
      <c r="G568" s="451" t="s">
        <v>3406</v>
      </c>
      <c r="Z568" s="500"/>
      <c r="AA568" s="500"/>
      <c r="AB568" s="500"/>
      <c r="AC568" s="500"/>
      <c r="AD568" s="500"/>
      <c r="AE568" s="500"/>
      <c r="AF568" s="500"/>
      <c r="AG568" s="500"/>
      <c r="AH568" s="500"/>
      <c r="AI568" s="500"/>
      <c r="AJ568" s="500"/>
      <c r="AK568" s="500"/>
      <c r="AL568" s="500"/>
      <c r="AM568" s="500"/>
      <c r="AN568" s="500"/>
      <c r="AO568" s="500"/>
      <c r="AP568" s="500"/>
    </row>
    <row r="569" spans="1:42" ht="16.5" customHeight="1">
      <c r="A569" s="434"/>
      <c r="B569" s="437" t="s">
        <v>3496</v>
      </c>
      <c r="C569" s="439"/>
      <c r="D569" s="439"/>
      <c r="E569" s="439"/>
      <c r="F569" s="439"/>
      <c r="G569" s="451" t="s">
        <v>3497</v>
      </c>
      <c r="Z569" s="500"/>
      <c r="AA569" s="500"/>
      <c r="AB569" s="500"/>
      <c r="AC569" s="500"/>
      <c r="AD569" s="500"/>
      <c r="AE569" s="500"/>
      <c r="AF569" s="500"/>
      <c r="AG569" s="500"/>
      <c r="AH569" s="500"/>
      <c r="AI569" s="500"/>
      <c r="AJ569" s="500"/>
      <c r="AK569" s="500"/>
      <c r="AL569" s="500"/>
      <c r="AM569" s="500"/>
      <c r="AN569" s="500"/>
      <c r="AO569" s="500"/>
      <c r="AP569" s="500"/>
    </row>
    <row r="570" spans="1:42" ht="16.5" customHeight="1">
      <c r="A570" s="439"/>
      <c r="B570" s="439"/>
      <c r="C570" s="439"/>
      <c r="D570" s="439"/>
      <c r="E570" s="439"/>
      <c r="F570" s="439"/>
      <c r="G570" s="451" t="s">
        <v>3406</v>
      </c>
      <c r="Z570" s="500"/>
      <c r="AA570" s="500"/>
      <c r="AB570" s="500"/>
      <c r="AC570" s="500"/>
      <c r="AD570" s="500"/>
      <c r="AE570" s="500"/>
      <c r="AF570" s="500"/>
      <c r="AG570" s="500"/>
      <c r="AH570" s="500"/>
      <c r="AI570" s="500"/>
      <c r="AJ570" s="500"/>
      <c r="AK570" s="500"/>
      <c r="AL570" s="500"/>
      <c r="AM570" s="500"/>
      <c r="AN570" s="500"/>
      <c r="AO570" s="500"/>
      <c r="AP570" s="500"/>
    </row>
    <row r="571" spans="1:42" ht="16.5" customHeight="1">
      <c r="A571" s="434" t="s">
        <v>3498</v>
      </c>
      <c r="B571" s="505" t="str">
        <f>" 조경공 :  "&amp;TEXT(I571,"#,##0"&amp;IF(I571&lt;&gt;INT(I571),".###",""))&amp;" * "&amp;AA571&amp;" 인  / Q1 = "&amp;TEXT(C571,"#,##0.0")&amp;""</f>
        <v xml:space="preserve"> 조경공 :  235,204 * 3 인  / Q1 = 2,352.0</v>
      </c>
      <c r="C571" s="506">
        <f>E571+D571+F571</f>
        <v>2352</v>
      </c>
      <c r="D571" s="506">
        <f>IF(H571=0,0,ROUNDDOWN(J571*H571,1))</f>
        <v>2352</v>
      </c>
      <c r="E571" s="506">
        <f>IF(H571=0,0,ROUNDDOWN(K571*H571,1))</f>
        <v>0</v>
      </c>
      <c r="F571" s="506">
        <f>IF(H571=0,0,ROUNDDOWN(L571*H571,1))</f>
        <v>0</v>
      </c>
      <c r="G571" s="451" t="s">
        <v>3499</v>
      </c>
      <c r="H571" s="507">
        <f>ROUNDUP(AE571,14-LEN(ABS(INT(AE571))))</f>
        <v>0.01</v>
      </c>
      <c r="I571" s="508">
        <f>K571+J571+L571</f>
        <v>235204</v>
      </c>
      <c r="J571" s="509">
        <f>노무비목록표!E15</f>
        <v>235204</v>
      </c>
      <c r="M571" s="501" t="s">
        <v>2359</v>
      </c>
      <c r="N571" s="501" t="s">
        <v>3416</v>
      </c>
      <c r="X571" s="510" t="str">
        <f>노무비목록표!B15&amp;" / "&amp;노무비목록표!C15</f>
        <v xml:space="preserve">조경공 / </v>
      </c>
      <c r="Y571" s="433" t="str">
        <f ca="1">HYPERLINK("#"&amp;노무비목록표!G2&amp;"!A"&amp;ROW(노무비목록표!A15),"L00184 →")</f>
        <v>L00184 →</v>
      </c>
      <c r="Z571" s="501" t="s">
        <v>3500</v>
      </c>
      <c r="AA571" s="515">
        <v>3</v>
      </c>
      <c r="AB571" s="501" t="s">
        <v>3428</v>
      </c>
      <c r="AC571" s="512">
        <f>AB562</f>
        <v>300</v>
      </c>
      <c r="AD571" s="501" t="s">
        <v>3418</v>
      </c>
      <c r="AE571" s="512">
        <f>1*AA571/AB562</f>
        <v>0.01</v>
      </c>
      <c r="AF571" s="500"/>
      <c r="AG571" s="500"/>
      <c r="AH571" s="500"/>
      <c r="AI571" s="500"/>
      <c r="AJ571" s="500"/>
      <c r="AK571" s="500"/>
      <c r="AL571" s="500"/>
      <c r="AM571" s="500"/>
      <c r="AN571" s="500"/>
      <c r="AO571" s="500"/>
      <c r="AP571" s="500"/>
    </row>
    <row r="572" spans="1:42" ht="16.5" customHeight="1">
      <c r="A572" s="439"/>
      <c r="B572" s="439"/>
      <c r="C572" s="439"/>
      <c r="D572" s="439"/>
      <c r="E572" s="439"/>
      <c r="F572" s="439"/>
      <c r="G572" s="451" t="s">
        <v>3406</v>
      </c>
      <c r="Z572" s="500"/>
      <c r="AA572" s="500"/>
      <c r="AB572" s="500"/>
      <c r="AC572" s="500"/>
      <c r="AD572" s="500"/>
      <c r="AE572" s="500"/>
      <c r="AF572" s="500"/>
      <c r="AG572" s="500"/>
      <c r="AH572" s="500"/>
      <c r="AI572" s="500"/>
      <c r="AJ572" s="500"/>
      <c r="AK572" s="500"/>
      <c r="AL572" s="500"/>
      <c r="AM572" s="500"/>
      <c r="AN572" s="500"/>
      <c r="AO572" s="500"/>
      <c r="AP572" s="500"/>
    </row>
    <row r="573" spans="1:42" ht="16.5" customHeight="1">
      <c r="A573" s="439"/>
      <c r="B573" s="439"/>
      <c r="C573" s="439"/>
      <c r="D573" s="439"/>
      <c r="E573" s="439"/>
      <c r="F573" s="439"/>
      <c r="G573" s="451" t="s">
        <v>3406</v>
      </c>
      <c r="Z573" s="500"/>
      <c r="AA573" s="500"/>
      <c r="AB573" s="500"/>
      <c r="AC573" s="500"/>
      <c r="AD573" s="500"/>
      <c r="AE573" s="500"/>
      <c r="AF573" s="500"/>
      <c r="AG573" s="500"/>
      <c r="AH573" s="500"/>
      <c r="AI573" s="500"/>
      <c r="AJ573" s="500"/>
      <c r="AK573" s="500"/>
      <c r="AL573" s="500"/>
      <c r="AM573" s="500"/>
      <c r="AN573" s="500"/>
      <c r="AO573" s="500"/>
      <c r="AP573" s="500"/>
    </row>
    <row r="574" spans="1:42" ht="16.5" customHeight="1">
      <c r="A574" s="434" t="s">
        <v>3414</v>
      </c>
      <c r="B574" s="505" t="str">
        <f>" 보통인부 : "&amp;TEXT(I574,"#,##0"&amp;IF(I574&lt;&gt;INT(I574),".###",""))&amp;" * "&amp;AA574&amp;" 인  / Q1 = "&amp;TEXT(C574,"#,##0.0")&amp;""</f>
        <v xml:space="preserve"> 보통인부 : 172,068 * 1 인  / Q1 = 573.5</v>
      </c>
      <c r="C574" s="506">
        <f>E574+D574+F574</f>
        <v>573.5</v>
      </c>
      <c r="D574" s="506">
        <f>IF(H574=0,0,ROUNDDOWN(J574*H574,1))</f>
        <v>573.5</v>
      </c>
      <c r="E574" s="506">
        <f>IF(H574=0,0,ROUNDDOWN(K574*H574,1))</f>
        <v>0</v>
      </c>
      <c r="F574" s="506">
        <f>IF(H574=0,0,ROUNDDOWN(L574*H574,1))</f>
        <v>0</v>
      </c>
      <c r="G574" s="451" t="s">
        <v>3501</v>
      </c>
      <c r="H574" s="507">
        <f>ROUNDUP(AE574,14-LEN(ABS(INT(AE574))))</f>
        <v>3.3333333333999998E-3</v>
      </c>
      <c r="I574" s="508">
        <f>K574+J574+L574</f>
        <v>172068</v>
      </c>
      <c r="J574" s="509">
        <f>노무비목록표!E10</f>
        <v>172068</v>
      </c>
      <c r="M574" s="501" t="s">
        <v>2363</v>
      </c>
      <c r="N574" s="501" t="s">
        <v>3416</v>
      </c>
      <c r="X574" s="510" t="str">
        <f>노무비목록표!B10&amp;" / "&amp;노무비목록표!C10</f>
        <v xml:space="preserve">보통인부 / </v>
      </c>
      <c r="Y574" s="433" t="str">
        <f ca="1">HYPERLINK("#"&amp;노무비목록표!G2&amp;"!A"&amp;ROW(노무비목록표!A10),"L00017 →")</f>
        <v>L00017 →</v>
      </c>
      <c r="Z574" s="501" t="s">
        <v>3500</v>
      </c>
      <c r="AA574" s="515">
        <v>1</v>
      </c>
      <c r="AB574" s="501" t="s">
        <v>3428</v>
      </c>
      <c r="AC574" s="512">
        <f>AB562</f>
        <v>300</v>
      </c>
      <c r="AD574" s="501" t="s">
        <v>3418</v>
      </c>
      <c r="AE574" s="512">
        <f>1*AA574/AB562</f>
        <v>3.3333333333333335E-3</v>
      </c>
      <c r="AF574" s="500"/>
      <c r="AG574" s="500"/>
      <c r="AH574" s="500"/>
      <c r="AI574" s="500"/>
      <c r="AJ574" s="500"/>
      <c r="AK574" s="500"/>
      <c r="AL574" s="500"/>
      <c r="AM574" s="500"/>
      <c r="AN574" s="500"/>
      <c r="AO574" s="500"/>
      <c r="AP574" s="500"/>
    </row>
    <row r="575" spans="1:42" ht="16.5" customHeight="1">
      <c r="A575" s="439"/>
      <c r="B575" s="439"/>
      <c r="C575" s="439"/>
      <c r="D575" s="439"/>
      <c r="E575" s="439"/>
      <c r="F575" s="439"/>
      <c r="G575" s="451" t="s">
        <v>3406</v>
      </c>
      <c r="Z575" s="500"/>
      <c r="AA575" s="500"/>
      <c r="AB575" s="500"/>
      <c r="AC575" s="500"/>
      <c r="AD575" s="500"/>
      <c r="AE575" s="500"/>
      <c r="AF575" s="500"/>
      <c r="AG575" s="500"/>
      <c r="AH575" s="500"/>
      <c r="AI575" s="500"/>
      <c r="AJ575" s="500"/>
      <c r="AK575" s="500"/>
      <c r="AL575" s="500"/>
      <c r="AM575" s="500"/>
      <c r="AN575" s="500"/>
      <c r="AO575" s="500"/>
      <c r="AP575" s="500"/>
    </row>
    <row r="576" spans="1:42" ht="16.5" customHeight="1">
      <c r="A576" s="434"/>
      <c r="B576" s="437" t="s">
        <v>3419</v>
      </c>
      <c r="C576" s="513">
        <f>E576+D576+F576</f>
        <v>2925.5</v>
      </c>
      <c r="D576" s="513">
        <f>SUMIF(N557:N575,M576,D557:D575)</f>
        <v>2925.5</v>
      </c>
      <c r="E576" s="513">
        <f>SUMIF(N557:N575,M576,E557:E575)</f>
        <v>0</v>
      </c>
      <c r="F576" s="513">
        <f>SUMIF(N557:N575,M576,F557:F575)</f>
        <v>0</v>
      </c>
      <c r="G576" s="451" t="s">
        <v>3439</v>
      </c>
      <c r="M576" s="501" t="s">
        <v>3416</v>
      </c>
      <c r="N576" s="501" t="s">
        <v>3421</v>
      </c>
      <c r="Z576" s="500"/>
      <c r="AA576" s="500"/>
      <c r="AB576" s="500"/>
      <c r="AC576" s="500"/>
      <c r="AD576" s="500"/>
      <c r="AE576" s="500"/>
      <c r="AF576" s="500"/>
      <c r="AG576" s="500"/>
      <c r="AH576" s="500"/>
      <c r="AI576" s="500"/>
      <c r="AJ576" s="500"/>
      <c r="AK576" s="500"/>
      <c r="AL576" s="500"/>
      <c r="AM576" s="500"/>
      <c r="AN576" s="500"/>
      <c r="AO576" s="500"/>
      <c r="AP576" s="500"/>
    </row>
    <row r="577" spans="1:42" ht="16.5" customHeight="1">
      <c r="A577" s="439"/>
      <c r="B577" s="439"/>
      <c r="C577" s="504"/>
      <c r="D577" s="504"/>
      <c r="E577" s="504"/>
      <c r="F577" s="504"/>
      <c r="G577" s="451" t="s">
        <v>3406</v>
      </c>
      <c r="Z577" s="500"/>
      <c r="AA577" s="500"/>
      <c r="AB577" s="500"/>
      <c r="AC577" s="500"/>
      <c r="AD577" s="500"/>
      <c r="AE577" s="500"/>
      <c r="AF577" s="500"/>
      <c r="AG577" s="500"/>
      <c r="AH577" s="500"/>
      <c r="AI577" s="500"/>
      <c r="AJ577" s="500"/>
      <c r="AK577" s="500"/>
      <c r="AL577" s="500"/>
      <c r="AM577" s="500"/>
      <c r="AN577" s="500"/>
      <c r="AO577" s="500"/>
      <c r="AP577" s="500"/>
    </row>
    <row r="578" spans="1:42" ht="16.5" customHeight="1">
      <c r="A578" s="439"/>
      <c r="B578" s="439"/>
      <c r="C578" s="439"/>
      <c r="D578" s="439"/>
      <c r="E578" s="439"/>
      <c r="F578" s="439"/>
      <c r="G578" s="451" t="s">
        <v>3406</v>
      </c>
      <c r="Z578" s="500"/>
      <c r="AA578" s="500"/>
      <c r="AB578" s="500"/>
      <c r="AC578" s="500"/>
      <c r="AD578" s="500"/>
      <c r="AE578" s="500"/>
      <c r="AF578" s="500"/>
      <c r="AG578" s="500"/>
      <c r="AH578" s="500"/>
      <c r="AI578" s="500"/>
      <c r="AJ578" s="500"/>
      <c r="AK578" s="500"/>
      <c r="AL578" s="500"/>
      <c r="AM578" s="500"/>
      <c r="AN578" s="500"/>
      <c r="AO578" s="500"/>
      <c r="AP578" s="500"/>
    </row>
    <row r="579" spans="1:42" ht="16.5" customHeight="1">
      <c r="A579" s="434"/>
      <c r="B579" s="437" t="s">
        <v>3502</v>
      </c>
      <c r="C579" s="439"/>
      <c r="D579" s="439"/>
      <c r="E579" s="439"/>
      <c r="F579" s="439"/>
      <c r="G579" s="451" t="s">
        <v>3503</v>
      </c>
      <c r="Z579" s="500"/>
      <c r="AA579" s="500"/>
      <c r="AB579" s="500"/>
      <c r="AC579" s="500"/>
      <c r="AD579" s="500"/>
      <c r="AE579" s="500"/>
      <c r="AF579" s="500"/>
      <c r="AG579" s="500"/>
      <c r="AH579" s="500"/>
      <c r="AI579" s="500"/>
      <c r="AJ579" s="500"/>
      <c r="AK579" s="500"/>
      <c r="AL579" s="500"/>
      <c r="AM579" s="500"/>
      <c r="AN579" s="500"/>
      <c r="AO579" s="500"/>
      <c r="AP579" s="500"/>
    </row>
    <row r="580" spans="1:42" ht="16.5" customHeight="1">
      <c r="A580" s="439"/>
      <c r="B580" s="439"/>
      <c r="C580" s="439"/>
      <c r="D580" s="439"/>
      <c r="E580" s="439"/>
      <c r="F580" s="439"/>
      <c r="G580" s="451" t="s">
        <v>3406</v>
      </c>
      <c r="Z580" s="500"/>
      <c r="AA580" s="500"/>
      <c r="AB580" s="500"/>
      <c r="AC580" s="500"/>
      <c r="AD580" s="500"/>
      <c r="AE580" s="500"/>
      <c r="AF580" s="500"/>
      <c r="AG580" s="500"/>
      <c r="AH580" s="500"/>
      <c r="AI580" s="500"/>
      <c r="AJ580" s="500"/>
      <c r="AK580" s="500"/>
      <c r="AL580" s="500"/>
      <c r="AM580" s="500"/>
      <c r="AN580" s="500"/>
      <c r="AO580" s="500"/>
      <c r="AP580" s="500"/>
    </row>
    <row r="581" spans="1:42" ht="16.5" customHeight="1">
      <c r="A581" s="434" t="s">
        <v>3504</v>
      </c>
      <c r="B581" s="505" t="str">
        <f>"  유기질비료 수목이식·식재용 : "&amp;TEXT(I581,"#,##0"&amp;IF(I581&lt;&gt;INT(I581),".###",""))&amp;" * "&amp;AA581&amp;" KG  / Q1 = "&amp;TEXT(C581,"#,##0.0")&amp;""</f>
        <v xml:space="preserve">  유기질비료 수목이식·식재용 : 500 * 150 KG  / Q1 = 250.0</v>
      </c>
      <c r="C581" s="506">
        <f>E581+D581+F581</f>
        <v>250</v>
      </c>
      <c r="D581" s="506">
        <f>IF(H581=0,0,ROUNDDOWN(J581*H581,1))</f>
        <v>0</v>
      </c>
      <c r="E581" s="506">
        <f>IF(H581=0,0,ROUNDDOWN(K581*H581,1))</f>
        <v>250</v>
      </c>
      <c r="F581" s="506">
        <f>IF(H581=0,0,ROUNDDOWN(L581*H581,1))</f>
        <v>0</v>
      </c>
      <c r="G581" s="451" t="s">
        <v>3505</v>
      </c>
      <c r="H581" s="507">
        <f>ROUNDUP(AE581,14-LEN(ABS(INT(AE581))))</f>
        <v>0.5</v>
      </c>
      <c r="I581" s="508">
        <f>K581+J581+L581</f>
        <v>500</v>
      </c>
      <c r="K581" s="509">
        <f>재료비목록표!E78</f>
        <v>500</v>
      </c>
      <c r="M581" s="501" t="s">
        <v>3506</v>
      </c>
      <c r="N581" s="501" t="s">
        <v>3416</v>
      </c>
      <c r="X581" s="510" t="str">
        <f>재료비목록표!B78&amp;" / "&amp;재료비목록표!C78</f>
        <v>유기질비료 / 수목이식·식재용</v>
      </c>
      <c r="Y581" s="433" t="str">
        <f ca="1">HYPERLINK("#"&amp;재료비목록표!G2&amp;"!A"&amp;ROW(재료비목록표!A78),"M01159 →")</f>
        <v>M01159 →</v>
      </c>
      <c r="Z581" s="501" t="s">
        <v>3500</v>
      </c>
      <c r="AA581" s="515">
        <v>150</v>
      </c>
      <c r="AB581" s="501" t="s">
        <v>3428</v>
      </c>
      <c r="AC581" s="512">
        <f>AB562</f>
        <v>300</v>
      </c>
      <c r="AD581" s="501" t="s">
        <v>3418</v>
      </c>
      <c r="AE581" s="512">
        <f>1*AA581/AB562</f>
        <v>0.5</v>
      </c>
      <c r="AF581" s="500"/>
      <c r="AG581" s="500"/>
      <c r="AH581" s="500"/>
      <c r="AI581" s="500"/>
      <c r="AJ581" s="500"/>
      <c r="AK581" s="500"/>
      <c r="AL581" s="500"/>
      <c r="AM581" s="500"/>
      <c r="AN581" s="500"/>
      <c r="AO581" s="500"/>
      <c r="AP581" s="500"/>
    </row>
    <row r="582" spans="1:42" ht="16.5" customHeight="1">
      <c r="A582" s="439"/>
      <c r="B582" s="439"/>
      <c r="C582" s="439"/>
      <c r="D582" s="439"/>
      <c r="E582" s="439"/>
      <c r="F582" s="439"/>
      <c r="G582" s="451" t="s">
        <v>3406</v>
      </c>
      <c r="Z582" s="500"/>
      <c r="AA582" s="500"/>
      <c r="AB582" s="500"/>
      <c r="AC582" s="500"/>
      <c r="AD582" s="500"/>
      <c r="AE582" s="500"/>
      <c r="AF582" s="500"/>
      <c r="AG582" s="500"/>
      <c r="AH582" s="500"/>
      <c r="AI582" s="500"/>
      <c r="AJ582" s="500"/>
      <c r="AK582" s="500"/>
      <c r="AL582" s="500"/>
      <c r="AM582" s="500"/>
      <c r="AN582" s="500"/>
      <c r="AO582" s="500"/>
      <c r="AP582" s="500"/>
    </row>
    <row r="583" spans="1:42" ht="16.5" customHeight="1">
      <c r="A583" s="434"/>
      <c r="B583" s="437" t="s">
        <v>3419</v>
      </c>
      <c r="C583" s="513">
        <f>E583+D583+F583</f>
        <v>250</v>
      </c>
      <c r="D583" s="513">
        <f>SUMIF(N577:N582,M583,D577:D582)</f>
        <v>0</v>
      </c>
      <c r="E583" s="513">
        <f>SUMIF(N577:N582,M583,E577:E582)</f>
        <v>250</v>
      </c>
      <c r="F583" s="513">
        <f>SUMIF(N577:N582,M583,F577:F582)</f>
        <v>0</v>
      </c>
      <c r="G583" s="451" t="s">
        <v>3439</v>
      </c>
      <c r="M583" s="501" t="s">
        <v>3416</v>
      </c>
      <c r="N583" s="501" t="s">
        <v>3421</v>
      </c>
      <c r="Z583" s="500"/>
      <c r="AA583" s="500"/>
      <c r="AB583" s="500"/>
      <c r="AC583" s="500"/>
      <c r="AD583" s="500"/>
      <c r="AE583" s="500"/>
      <c r="AF583" s="500"/>
      <c r="AG583" s="500"/>
      <c r="AH583" s="500"/>
      <c r="AI583" s="500"/>
      <c r="AJ583" s="500"/>
      <c r="AK583" s="500"/>
      <c r="AL583" s="500"/>
      <c r="AM583" s="500"/>
      <c r="AN583" s="500"/>
      <c r="AO583" s="500"/>
      <c r="AP583" s="500"/>
    </row>
    <row r="584" spans="1:42" ht="16.5" customHeight="1">
      <c r="A584" s="439"/>
      <c r="B584" s="439"/>
      <c r="C584" s="504"/>
      <c r="D584" s="504"/>
      <c r="E584" s="504"/>
      <c r="F584" s="504"/>
      <c r="G584" s="451" t="s">
        <v>3406</v>
      </c>
      <c r="Z584" s="500"/>
      <c r="AA584" s="500"/>
      <c r="AB584" s="500"/>
      <c r="AC584" s="500"/>
      <c r="AD584" s="500"/>
      <c r="AE584" s="500"/>
      <c r="AF584" s="500"/>
      <c r="AG584" s="500"/>
      <c r="AH584" s="500"/>
      <c r="AI584" s="500"/>
      <c r="AJ584" s="500"/>
      <c r="AK584" s="500"/>
      <c r="AL584" s="500"/>
      <c r="AM584" s="500"/>
      <c r="AN584" s="500"/>
      <c r="AO584" s="500"/>
      <c r="AP584" s="500"/>
    </row>
    <row r="585" spans="1:42" ht="16.5" customHeight="1">
      <c r="A585" s="434"/>
      <c r="B585" s="505" t="str">
        <f>"  산지할증 : "&amp;TEXT(I585,"#,##0.0")&amp;" * "&amp;AA585&amp;" %  = "&amp;TEXT(C585,"#,##0.0")&amp;""</f>
        <v xml:space="preserve">  산지할증 : 2,925.5 * 25 %  = 731.3</v>
      </c>
      <c r="C585" s="506">
        <f>E585+D585+F585</f>
        <v>731.3</v>
      </c>
      <c r="D585" s="506">
        <f>IF(H585=0,0,ROUNDDOWN(J585*H585/100,1))</f>
        <v>731.3</v>
      </c>
      <c r="E585" s="506">
        <f>IF(H585=0,0,ROUNDDOWN(K585*H585/100,1))</f>
        <v>0</v>
      </c>
      <c r="F585" s="506">
        <f>IF(H585=0,0,ROUNDDOWN(L585*H585/100,1))</f>
        <v>0</v>
      </c>
      <c r="G585" s="451" t="s">
        <v>5592</v>
      </c>
      <c r="H585" s="507">
        <f>ROUNDUP(AC585,14-LEN(ABS(INT(AC585))))</f>
        <v>25</v>
      </c>
      <c r="I585" s="508">
        <f>K585+J585+L585</f>
        <v>2925.5</v>
      </c>
      <c r="J585" s="508">
        <f>D576+D583+SUMIF(N584:N584,N585,D584:D584)</f>
        <v>2925.5</v>
      </c>
      <c r="K585" s="456">
        <v>0</v>
      </c>
      <c r="L585" s="456">
        <v>0</v>
      </c>
      <c r="M585" s="501" t="s">
        <v>4208</v>
      </c>
      <c r="N585" s="501" t="s">
        <v>3416</v>
      </c>
      <c r="Z585" s="501" t="s">
        <v>3500</v>
      </c>
      <c r="AA585" s="515">
        <v>25</v>
      </c>
      <c r="AB585" s="501" t="s">
        <v>3418</v>
      </c>
      <c r="AC585" s="512">
        <f>1*AA585</f>
        <v>25</v>
      </c>
      <c r="AD585" s="500"/>
      <c r="AE585" s="500"/>
      <c r="AF585" s="500"/>
      <c r="AG585" s="500"/>
      <c r="AH585" s="500"/>
      <c r="AI585" s="500"/>
      <c r="AJ585" s="500"/>
      <c r="AK585" s="500"/>
      <c r="AL585" s="500"/>
      <c r="AM585" s="500"/>
      <c r="AN585" s="500"/>
      <c r="AO585" s="500"/>
      <c r="AP585" s="500"/>
    </row>
    <row r="586" spans="1:42" ht="16.5" customHeight="1">
      <c r="A586" s="439"/>
      <c r="B586" s="439"/>
      <c r="C586" s="439"/>
      <c r="D586" s="439"/>
      <c r="E586" s="439"/>
      <c r="F586" s="439"/>
      <c r="G586" s="451" t="s">
        <v>3406</v>
      </c>
      <c r="Z586" s="500"/>
      <c r="AA586" s="500"/>
      <c r="AB586" s="500"/>
      <c r="AC586" s="500"/>
      <c r="AD586" s="500"/>
      <c r="AE586" s="500"/>
      <c r="AF586" s="500"/>
      <c r="AG586" s="500"/>
      <c r="AH586" s="500"/>
      <c r="AI586" s="500"/>
      <c r="AJ586" s="500"/>
      <c r="AK586" s="500"/>
      <c r="AL586" s="500"/>
      <c r="AM586" s="500"/>
      <c r="AN586" s="500"/>
      <c r="AO586" s="500"/>
      <c r="AP586" s="500"/>
    </row>
    <row r="587" spans="1:42" ht="16.5" customHeight="1">
      <c r="A587" s="434"/>
      <c r="B587" s="437" t="s">
        <v>3419</v>
      </c>
      <c r="C587" s="513">
        <f>E587+D587+F587</f>
        <v>731.3</v>
      </c>
      <c r="D587" s="513">
        <f>SUMIF(N584:N586,M587,D584:D586)</f>
        <v>731.3</v>
      </c>
      <c r="E587" s="513">
        <f>SUMIF(N584:N586,M587,E584:E586)</f>
        <v>0</v>
      </c>
      <c r="F587" s="513">
        <f>SUMIF(N584:N586,M587,F584:F586)</f>
        <v>0</v>
      </c>
      <c r="G587" s="451" t="s">
        <v>3439</v>
      </c>
      <c r="M587" s="501" t="s">
        <v>3416</v>
      </c>
      <c r="N587" s="501" t="s">
        <v>3421</v>
      </c>
      <c r="Z587" s="500"/>
      <c r="AA587" s="500"/>
      <c r="AB587" s="500"/>
      <c r="AC587" s="500"/>
      <c r="AD587" s="500"/>
      <c r="AE587" s="500"/>
      <c r="AF587" s="500"/>
      <c r="AG587" s="500"/>
      <c r="AH587" s="500"/>
      <c r="AI587" s="500"/>
      <c r="AJ587" s="500"/>
      <c r="AK587" s="500"/>
      <c r="AL587" s="500"/>
      <c r="AM587" s="500"/>
      <c r="AN587" s="500"/>
      <c r="AO587" s="500"/>
      <c r="AP587" s="500"/>
    </row>
    <row r="588" spans="1:42" ht="16.5" customHeight="1">
      <c r="A588" s="439"/>
      <c r="B588" s="439"/>
      <c r="C588" s="504"/>
      <c r="D588" s="504"/>
      <c r="E588" s="504"/>
      <c r="F588" s="504"/>
      <c r="G588" s="451" t="s">
        <v>3406</v>
      </c>
      <c r="Z588" s="500"/>
      <c r="AA588" s="500"/>
      <c r="AB588" s="500"/>
      <c r="AC588" s="500"/>
      <c r="AD588" s="500"/>
      <c r="AE588" s="500"/>
      <c r="AF588" s="500"/>
      <c r="AG588" s="500"/>
      <c r="AH588" s="500"/>
      <c r="AI588" s="500"/>
      <c r="AJ588" s="500"/>
      <c r="AK588" s="500"/>
      <c r="AL588" s="500"/>
      <c r="AM588" s="500"/>
      <c r="AN588" s="500"/>
      <c r="AO588" s="500"/>
      <c r="AP588" s="500"/>
    </row>
    <row r="589" spans="1:42" ht="16.5" customHeight="1">
      <c r="A589" s="434"/>
      <c r="B589" s="437" t="s">
        <v>3440</v>
      </c>
      <c r="C589" s="513">
        <f>E589+D589+F589</f>
        <v>3906.8</v>
      </c>
      <c r="D589" s="513">
        <f>SUMIF(N557:N588,M589,D557:D588)</f>
        <v>3656.8</v>
      </c>
      <c r="E589" s="513">
        <f>SUMIF(N557:N588,M589,E557:E588)</f>
        <v>250</v>
      </c>
      <c r="F589" s="513">
        <f>SUMIF(N557:N588,M589,F557:F588)</f>
        <v>0</v>
      </c>
      <c r="G589" s="451" t="s">
        <v>3441</v>
      </c>
      <c r="M589" s="501" t="s">
        <v>3421</v>
      </c>
      <c r="N589" s="501" t="s">
        <v>2354</v>
      </c>
      <c r="Z589" s="500"/>
      <c r="AA589" s="500"/>
      <c r="AB589" s="500"/>
      <c r="AC589" s="500"/>
      <c r="AD589" s="500"/>
      <c r="AE589" s="500"/>
      <c r="AF589" s="500"/>
      <c r="AG589" s="500"/>
      <c r="AH589" s="500"/>
      <c r="AI589" s="500"/>
      <c r="AJ589" s="500"/>
      <c r="AK589" s="500"/>
      <c r="AL589" s="500"/>
      <c r="AM589" s="500"/>
      <c r="AN589" s="500"/>
      <c r="AO589" s="500"/>
      <c r="AP589" s="500"/>
    </row>
    <row r="590" spans="1:42" ht="16.5" customHeight="1">
      <c r="A590" s="439"/>
      <c r="B590" s="439"/>
      <c r="C590" s="504"/>
      <c r="D590" s="504"/>
      <c r="E590" s="504"/>
      <c r="F590" s="504"/>
      <c r="G590" s="451" t="s">
        <v>3413</v>
      </c>
      <c r="Z590" s="500"/>
      <c r="AA590" s="500"/>
      <c r="AB590" s="500"/>
      <c r="AC590" s="500"/>
      <c r="AD590" s="500"/>
      <c r="AE590" s="500"/>
      <c r="AF590" s="500"/>
      <c r="AG590" s="500"/>
      <c r="AH590" s="500"/>
      <c r="AI590" s="500"/>
      <c r="AJ590" s="500"/>
      <c r="AK590" s="500"/>
      <c r="AL590" s="500"/>
      <c r="AM590" s="500"/>
      <c r="AN590" s="500"/>
      <c r="AO590" s="500"/>
      <c r="AP590" s="500"/>
    </row>
    <row r="591" spans="1:42" ht="16.5" customHeight="1">
      <c r="A591" s="439"/>
      <c r="B591" s="439"/>
      <c r="C591" s="439"/>
      <c r="D591" s="439"/>
      <c r="E591" s="439"/>
      <c r="F591" s="439"/>
      <c r="Z591" s="500"/>
      <c r="AA591" s="500"/>
      <c r="AB591" s="500"/>
      <c r="AC591" s="500"/>
      <c r="AD591" s="500"/>
      <c r="AE591" s="500"/>
      <c r="AF591" s="500"/>
      <c r="AG591" s="500"/>
      <c r="AH591" s="500"/>
      <c r="AI591" s="500"/>
      <c r="AJ591" s="500"/>
      <c r="AK591" s="500"/>
      <c r="AL591" s="500"/>
      <c r="AM591" s="500"/>
      <c r="AN591" s="500"/>
      <c r="AO591" s="500"/>
      <c r="AP591" s="500"/>
    </row>
    <row r="592" spans="1:42" ht="16.5" customHeight="1">
      <c r="A592" s="439"/>
      <c r="B592" s="439"/>
      <c r="C592" s="439"/>
      <c r="D592" s="439"/>
      <c r="E592" s="439"/>
      <c r="F592" s="439"/>
      <c r="Z592" s="500"/>
      <c r="AA592" s="500"/>
      <c r="AB592" s="500"/>
      <c r="AC592" s="500"/>
      <c r="AD592" s="500"/>
      <c r="AE592" s="500"/>
      <c r="AF592" s="500"/>
      <c r="AG592" s="500"/>
      <c r="AH592" s="500"/>
      <c r="AI592" s="500"/>
      <c r="AJ592" s="500"/>
      <c r="AK592" s="500"/>
      <c r="AL592" s="500"/>
      <c r="AM592" s="500"/>
      <c r="AN592" s="500"/>
      <c r="AO592" s="500"/>
      <c r="AP592" s="500"/>
    </row>
    <row r="593" spans="1:42" ht="16.5" customHeight="1">
      <c r="A593" s="439"/>
      <c r="B593" s="439"/>
      <c r="C593" s="439"/>
      <c r="D593" s="439"/>
      <c r="E593" s="439"/>
      <c r="F593" s="439"/>
      <c r="Z593" s="500"/>
      <c r="AA593" s="500"/>
      <c r="AB593" s="500"/>
      <c r="AC593" s="500"/>
      <c r="AD593" s="500"/>
      <c r="AE593" s="500"/>
      <c r="AF593" s="500"/>
      <c r="AG593" s="500"/>
      <c r="AH593" s="500"/>
      <c r="AI593" s="500"/>
      <c r="AJ593" s="500"/>
      <c r="AK593" s="500"/>
      <c r="AL593" s="500"/>
      <c r="AM593" s="500"/>
      <c r="AN593" s="500"/>
      <c r="AO593" s="500"/>
      <c r="AP593" s="500"/>
    </row>
    <row r="594" spans="1:42" ht="16.5" customHeight="1">
      <c r="A594" s="439"/>
      <c r="B594" s="439"/>
      <c r="C594" s="439"/>
      <c r="D594" s="439"/>
      <c r="E594" s="439"/>
      <c r="F594" s="439"/>
      <c r="Z594" s="500"/>
      <c r="AA594" s="500"/>
      <c r="AB594" s="500"/>
      <c r="AC594" s="500"/>
      <c r="AD594" s="500"/>
      <c r="AE594" s="500"/>
      <c r="AF594" s="500"/>
      <c r="AG594" s="500"/>
      <c r="AH594" s="500"/>
      <c r="AI594" s="500"/>
      <c r="AJ594" s="500"/>
      <c r="AK594" s="500"/>
      <c r="AL594" s="500"/>
      <c r="AM594" s="500"/>
      <c r="AN594" s="500"/>
      <c r="AO594" s="500"/>
      <c r="AP594" s="500"/>
    </row>
    <row r="595" spans="1:42" ht="16.5" customHeight="1">
      <c r="A595" s="439"/>
      <c r="B595" s="439"/>
      <c r="C595" s="439"/>
      <c r="D595" s="439"/>
      <c r="E595" s="439"/>
      <c r="F595" s="439"/>
      <c r="Z595" s="500"/>
      <c r="AA595" s="500"/>
      <c r="AB595" s="500"/>
      <c r="AC595" s="500"/>
      <c r="AD595" s="500"/>
      <c r="AE595" s="500"/>
      <c r="AF595" s="500"/>
      <c r="AG595" s="500"/>
      <c r="AH595" s="500"/>
      <c r="AI595" s="500"/>
      <c r="AJ595" s="500"/>
      <c r="AK595" s="500"/>
      <c r="AL595" s="500"/>
      <c r="AM595" s="500"/>
      <c r="AN595" s="500"/>
      <c r="AO595" s="500"/>
      <c r="AP595" s="500"/>
    </row>
    <row r="596" spans="1:42" ht="16.5" customHeight="1">
      <c r="A596" s="439"/>
      <c r="B596" s="439"/>
      <c r="C596" s="439"/>
      <c r="D596" s="439"/>
      <c r="E596" s="439"/>
      <c r="F596" s="439"/>
      <c r="Z596" s="500"/>
      <c r="AA596" s="500"/>
      <c r="AB596" s="500"/>
      <c r="AC596" s="500"/>
      <c r="AD596" s="500"/>
      <c r="AE596" s="500"/>
      <c r="AF596" s="500"/>
      <c r="AG596" s="500"/>
      <c r="AH596" s="500"/>
      <c r="AI596" s="500"/>
      <c r="AJ596" s="500"/>
      <c r="AK596" s="500"/>
      <c r="AL596" s="500"/>
      <c r="AM596" s="500"/>
      <c r="AN596" s="500"/>
      <c r="AO596" s="500"/>
      <c r="AP596" s="500"/>
    </row>
    <row r="597" spans="1:42" ht="16.5" customHeight="1">
      <c r="A597" s="439"/>
      <c r="B597" s="439"/>
      <c r="C597" s="439"/>
      <c r="D597" s="439"/>
      <c r="E597" s="439"/>
      <c r="F597" s="439"/>
      <c r="Z597" s="500"/>
      <c r="AA597" s="500"/>
      <c r="AB597" s="500"/>
      <c r="AC597" s="500"/>
      <c r="AD597" s="500"/>
      <c r="AE597" s="500"/>
      <c r="AF597" s="500"/>
      <c r="AG597" s="500"/>
      <c r="AH597" s="500"/>
      <c r="AI597" s="500"/>
      <c r="AJ597" s="500"/>
      <c r="AK597" s="500"/>
      <c r="AL597" s="500"/>
      <c r="AM597" s="500"/>
      <c r="AN597" s="500"/>
      <c r="AO597" s="500"/>
      <c r="AP597" s="500"/>
    </row>
    <row r="598" spans="1:42" ht="16.5" customHeight="1">
      <c r="A598" s="439"/>
      <c r="B598" s="439"/>
      <c r="C598" s="439"/>
      <c r="D598" s="439"/>
      <c r="E598" s="439"/>
      <c r="F598" s="439"/>
      <c r="Z598" s="500"/>
      <c r="AA598" s="500"/>
      <c r="AB598" s="500"/>
      <c r="AC598" s="500"/>
      <c r="AD598" s="500"/>
      <c r="AE598" s="500"/>
      <c r="AF598" s="500"/>
      <c r="AG598" s="500"/>
      <c r="AH598" s="500"/>
      <c r="AI598" s="500"/>
      <c r="AJ598" s="500"/>
      <c r="AK598" s="500"/>
      <c r="AL598" s="500"/>
      <c r="AM598" s="500"/>
      <c r="AN598" s="500"/>
      <c r="AO598" s="500"/>
      <c r="AP598" s="500"/>
    </row>
    <row r="599" spans="1:42" ht="16.5" customHeight="1">
      <c r="A599" s="439"/>
      <c r="B599" s="439"/>
      <c r="C599" s="439"/>
      <c r="D599" s="439"/>
      <c r="E599" s="439"/>
      <c r="F599" s="439"/>
      <c r="Z599" s="500"/>
      <c r="AA599" s="500"/>
      <c r="AB599" s="500"/>
      <c r="AC599" s="500"/>
      <c r="AD599" s="500"/>
      <c r="AE599" s="500"/>
      <c r="AF599" s="500"/>
      <c r="AG599" s="500"/>
      <c r="AH599" s="500"/>
      <c r="AI599" s="500"/>
      <c r="AJ599" s="500"/>
      <c r="AK599" s="500"/>
      <c r="AL599" s="500"/>
      <c r="AM599" s="500"/>
      <c r="AN599" s="500"/>
      <c r="AO599" s="500"/>
      <c r="AP599" s="500"/>
    </row>
    <row r="600" spans="1:42" ht="16.5" customHeight="1">
      <c r="A600" s="439"/>
      <c r="B600" s="439"/>
      <c r="C600" s="439"/>
      <c r="D600" s="439"/>
      <c r="E600" s="439"/>
      <c r="F600" s="439"/>
      <c r="Z600" s="500"/>
      <c r="AA600" s="500"/>
      <c r="AB600" s="500"/>
      <c r="AC600" s="500"/>
      <c r="AD600" s="500"/>
      <c r="AE600" s="500"/>
      <c r="AF600" s="500"/>
      <c r="AG600" s="500"/>
      <c r="AH600" s="500"/>
      <c r="AI600" s="500"/>
      <c r="AJ600" s="500"/>
      <c r="AK600" s="500"/>
      <c r="AL600" s="500"/>
      <c r="AM600" s="500"/>
      <c r="AN600" s="500"/>
      <c r="AO600" s="500"/>
      <c r="AP600" s="500"/>
    </row>
    <row r="601" spans="1:42" ht="16.5" customHeight="1">
      <c r="A601" s="439"/>
      <c r="B601" s="439"/>
      <c r="C601" s="439"/>
      <c r="D601" s="439"/>
      <c r="E601" s="439"/>
      <c r="F601" s="439"/>
      <c r="Z601" s="500"/>
      <c r="AA601" s="500"/>
      <c r="AB601" s="500"/>
      <c r="AC601" s="500"/>
      <c r="AD601" s="500"/>
      <c r="AE601" s="500"/>
      <c r="AF601" s="500"/>
      <c r="AG601" s="500"/>
      <c r="AH601" s="500"/>
      <c r="AI601" s="500"/>
      <c r="AJ601" s="500"/>
      <c r="AK601" s="500"/>
      <c r="AL601" s="500"/>
      <c r="AM601" s="500"/>
      <c r="AN601" s="500"/>
      <c r="AO601" s="500"/>
      <c r="AP601" s="500"/>
    </row>
    <row r="602" spans="1:42" ht="16.5" customHeight="1">
      <c r="A602" s="439"/>
      <c r="B602" s="439"/>
      <c r="C602" s="439"/>
      <c r="D602" s="439"/>
      <c r="E602" s="439"/>
      <c r="F602" s="439"/>
      <c r="Z602" s="500"/>
      <c r="AA602" s="500"/>
      <c r="AB602" s="500"/>
      <c r="AC602" s="500"/>
      <c r="AD602" s="500"/>
      <c r="AE602" s="500"/>
      <c r="AF602" s="500"/>
      <c r="AG602" s="500"/>
      <c r="AH602" s="500"/>
      <c r="AI602" s="500"/>
      <c r="AJ602" s="500"/>
      <c r="AK602" s="500"/>
      <c r="AL602" s="500"/>
      <c r="AM602" s="500"/>
      <c r="AN602" s="500"/>
      <c r="AO602" s="500"/>
      <c r="AP602" s="500"/>
    </row>
    <row r="603" spans="1:42" ht="16.5" customHeight="1">
      <c r="A603" s="497"/>
      <c r="B603" s="497"/>
      <c r="C603" s="497"/>
      <c r="D603" s="497"/>
      <c r="E603" s="497"/>
      <c r="F603" s="497"/>
      <c r="Z603" s="500"/>
      <c r="AA603" s="500"/>
      <c r="AB603" s="500"/>
      <c r="AC603" s="500"/>
      <c r="AD603" s="500"/>
      <c r="AE603" s="500"/>
      <c r="AF603" s="500"/>
      <c r="AG603" s="500"/>
      <c r="AH603" s="500"/>
      <c r="AI603" s="500"/>
      <c r="AJ603" s="500"/>
      <c r="AK603" s="500"/>
      <c r="AL603" s="500"/>
      <c r="AM603" s="500"/>
      <c r="AN603" s="500"/>
      <c r="AO603" s="500"/>
      <c r="AP603" s="500"/>
    </row>
    <row r="604" spans="1:42" ht="16.5" customHeight="1">
      <c r="A604" s="616" t="s">
        <v>3487</v>
      </c>
      <c r="B604" s="605"/>
      <c r="C604" s="446">
        <f>E604+D604+F604</f>
        <v>3906</v>
      </c>
      <c r="D604" s="453">
        <f>ROUNDDOWN(SUMIF(N557:N590,M604,D557:D590),0)</f>
        <v>3656</v>
      </c>
      <c r="E604" s="454">
        <f>ROUNDDOWN(SUMIF(N557:N590,M604,E557:E590),0)</f>
        <v>250</v>
      </c>
      <c r="F604" s="446">
        <f>ROUNDDOWN(SUMIF(N557:N590,M604,F557:F590),0)</f>
        <v>0</v>
      </c>
      <c r="M604" s="501" t="s">
        <v>2354</v>
      </c>
      <c r="Z604" s="500"/>
      <c r="AA604" s="500"/>
      <c r="AB604" s="500"/>
      <c r="AC604" s="500"/>
      <c r="AD604" s="500"/>
      <c r="AE604" s="500"/>
      <c r="AF604" s="500"/>
      <c r="AG604" s="500"/>
      <c r="AH604" s="500"/>
      <c r="AI604" s="500"/>
      <c r="AJ604" s="500"/>
      <c r="AK604" s="500"/>
      <c r="AL604" s="500"/>
      <c r="AM604" s="500"/>
      <c r="AN604" s="500"/>
      <c r="AO604" s="500"/>
      <c r="AP604" s="500"/>
    </row>
    <row r="605" spans="1:42" ht="16.5" customHeight="1">
      <c r="A605" s="502"/>
      <c r="B605" s="503" t="s">
        <v>5393</v>
      </c>
      <c r="C605" s="615">
        <f>C654</f>
        <v>2743</v>
      </c>
      <c r="D605" s="615">
        <f>D654</f>
        <v>2493</v>
      </c>
      <c r="E605" s="615">
        <f>E654</f>
        <v>250</v>
      </c>
      <c r="F605" s="615">
        <f>F654</f>
        <v>0</v>
      </c>
      <c r="G605" s="486" t="str">
        <f>HYPERLINK("#G"&amp;ROW(G640),"_x0005_`BDCOD|D01330_x0007_`POSS|"&amp;ROW(G607)&amp;"_x0007_`POSE|"&amp;ROW(G640)&amp;"_x0007_`")</f>
        <v>_x0005_`BDCOD|D01330_x0007_`POSS|607_x0007_`POSE|640_x0007_`</v>
      </c>
      <c r="Z605" s="500"/>
      <c r="AA605" s="500"/>
      <c r="AB605" s="500"/>
      <c r="AC605" s="500"/>
      <c r="AD605" s="500"/>
      <c r="AE605" s="500"/>
      <c r="AF605" s="500"/>
      <c r="AG605" s="500"/>
      <c r="AH605" s="500"/>
      <c r="AI605" s="500"/>
      <c r="AJ605" s="500"/>
      <c r="AK605" s="500"/>
      <c r="AL605" s="500"/>
      <c r="AM605" s="500"/>
      <c r="AN605" s="500"/>
      <c r="AO605" s="500"/>
      <c r="AP605" s="500"/>
    </row>
    <row r="606" spans="1:42" ht="16.5" customHeight="1">
      <c r="A606" s="485"/>
      <c r="B606" s="503" t="s">
        <v>5593</v>
      </c>
      <c r="C606" s="593"/>
      <c r="D606" s="593"/>
      <c r="E606" s="593"/>
      <c r="F606" s="593"/>
      <c r="M606" s="501" t="s">
        <v>5393</v>
      </c>
      <c r="Z606" s="500"/>
      <c r="AA606" s="500"/>
      <c r="AB606" s="500"/>
      <c r="AC606" s="500"/>
      <c r="AD606" s="500"/>
      <c r="AE606" s="500"/>
      <c r="AF606" s="500"/>
      <c r="AG606" s="500"/>
      <c r="AH606" s="500"/>
      <c r="AI606" s="500"/>
      <c r="AJ606" s="500"/>
      <c r="AK606" s="500"/>
      <c r="AL606" s="500"/>
      <c r="AM606" s="500"/>
      <c r="AN606" s="500"/>
      <c r="AO606" s="500"/>
      <c r="AP606" s="500"/>
    </row>
    <row r="607" spans="1:42" ht="16.5" customHeight="1">
      <c r="A607" s="439"/>
      <c r="B607" s="439"/>
      <c r="C607" s="504"/>
      <c r="D607" s="504"/>
      <c r="E607" s="504"/>
      <c r="F607" s="504"/>
      <c r="G607" s="451" t="s">
        <v>3406</v>
      </c>
      <c r="Z607" s="500"/>
      <c r="AA607" s="500"/>
      <c r="AB607" s="500"/>
      <c r="AC607" s="500"/>
      <c r="AD607" s="500"/>
      <c r="AE607" s="500"/>
      <c r="AF607" s="500"/>
      <c r="AG607" s="500"/>
      <c r="AH607" s="500"/>
      <c r="AI607" s="500"/>
      <c r="AJ607" s="500"/>
      <c r="AK607" s="500"/>
      <c r="AL607" s="500"/>
      <c r="AM607" s="500"/>
      <c r="AN607" s="500"/>
      <c r="AO607" s="500"/>
      <c r="AP607" s="500"/>
    </row>
    <row r="608" spans="1:42" ht="16.5" customHeight="1">
      <c r="A608" s="434"/>
      <c r="B608" s="437" t="s">
        <v>3508</v>
      </c>
      <c r="C608" s="439"/>
      <c r="D608" s="439"/>
      <c r="E608" s="439"/>
      <c r="F608" s="439"/>
      <c r="G608" s="451" t="s">
        <v>3509</v>
      </c>
      <c r="Z608" s="500"/>
      <c r="AA608" s="500"/>
      <c r="AB608" s="500"/>
      <c r="AC608" s="500"/>
      <c r="AD608" s="500"/>
      <c r="AE608" s="500"/>
      <c r="AF608" s="500"/>
      <c r="AG608" s="500"/>
      <c r="AH608" s="500"/>
      <c r="AI608" s="500"/>
      <c r="AJ608" s="500"/>
      <c r="AK608" s="500"/>
      <c r="AL608" s="500"/>
      <c r="AM608" s="500"/>
      <c r="AN608" s="500"/>
      <c r="AO608" s="500"/>
      <c r="AP608" s="500"/>
    </row>
    <row r="609" spans="1:42" ht="16.5" customHeight="1">
      <c r="A609" s="439"/>
      <c r="B609" s="439"/>
      <c r="C609" s="439"/>
      <c r="D609" s="439"/>
      <c r="E609" s="439"/>
      <c r="F609" s="439"/>
      <c r="G609" s="451" t="s">
        <v>3406</v>
      </c>
      <c r="Z609" s="500"/>
      <c r="AA609" s="500"/>
      <c r="AB609" s="500"/>
      <c r="AC609" s="500"/>
      <c r="AD609" s="500"/>
      <c r="AE609" s="500"/>
      <c r="AF609" s="500"/>
      <c r="AG609" s="500"/>
      <c r="AH609" s="500"/>
      <c r="AI609" s="500"/>
      <c r="AJ609" s="500"/>
      <c r="AK609" s="500"/>
      <c r="AL609" s="500"/>
      <c r="AM609" s="500"/>
      <c r="AN609" s="500"/>
      <c r="AO609" s="500"/>
      <c r="AP609" s="500"/>
    </row>
    <row r="610" spans="1:42" ht="16.5" customHeight="1">
      <c r="A610" s="434"/>
      <c r="B610" s="437" t="s">
        <v>3491</v>
      </c>
      <c r="C610" s="439"/>
      <c r="D610" s="439"/>
      <c r="E610" s="439"/>
      <c r="F610" s="439"/>
      <c r="G610" s="451" t="s">
        <v>3492</v>
      </c>
      <c r="Z610" s="500"/>
      <c r="AA610" s="500"/>
      <c r="AB610" s="500"/>
      <c r="AC610" s="500"/>
      <c r="AD610" s="500"/>
      <c r="AE610" s="500"/>
      <c r="AF610" s="500"/>
      <c r="AG610" s="500"/>
      <c r="AH610" s="500"/>
      <c r="AI610" s="500"/>
      <c r="AJ610" s="500"/>
      <c r="AK610" s="500"/>
      <c r="AL610" s="500"/>
      <c r="AM610" s="500"/>
      <c r="AN610" s="500"/>
      <c r="AO610" s="500"/>
      <c r="AP610" s="500"/>
    </row>
    <row r="611" spans="1:42" ht="16.5" customHeight="1">
      <c r="A611" s="439"/>
      <c r="B611" s="439"/>
      <c r="C611" s="439"/>
      <c r="D611" s="439"/>
      <c r="E611" s="439"/>
      <c r="F611" s="439"/>
      <c r="G611" s="451" t="s">
        <v>3406</v>
      </c>
      <c r="Z611" s="500"/>
      <c r="AA611" s="500"/>
      <c r="AB611" s="500"/>
      <c r="AC611" s="500"/>
      <c r="AD611" s="500"/>
      <c r="AE611" s="500"/>
      <c r="AF611" s="500"/>
      <c r="AG611" s="500"/>
      <c r="AH611" s="500"/>
      <c r="AI611" s="500"/>
      <c r="AJ611" s="500"/>
      <c r="AK611" s="500"/>
      <c r="AL611" s="500"/>
      <c r="AM611" s="500"/>
      <c r="AN611" s="500"/>
      <c r="AO611" s="500"/>
      <c r="AP611" s="500"/>
    </row>
    <row r="612" spans="1:42" ht="16.5" customHeight="1">
      <c r="A612" s="434"/>
      <c r="B612" s="437" t="str">
        <f>" 일당 작업량 :   Q1 = "&amp;Z612&amp;"  주 "</f>
        <v xml:space="preserve"> 일당 작업량 :   Q1 = 440  주 </v>
      </c>
      <c r="C612" s="439"/>
      <c r="D612" s="439"/>
      <c r="E612" s="439"/>
      <c r="F612" s="439"/>
      <c r="G612" s="451" t="s">
        <v>3510</v>
      </c>
      <c r="Z612" s="515">
        <v>440</v>
      </c>
      <c r="AA612" s="501" t="s">
        <v>3418</v>
      </c>
      <c r="AB612" s="512">
        <f>Z612</f>
        <v>440</v>
      </c>
      <c r="AC612" s="500"/>
      <c r="AD612" s="500"/>
      <c r="AE612" s="500"/>
      <c r="AF612" s="500"/>
      <c r="AG612" s="500"/>
      <c r="AH612" s="500"/>
      <c r="AI612" s="500"/>
      <c r="AJ612" s="500"/>
      <c r="AK612" s="500"/>
      <c r="AL612" s="500"/>
      <c r="AM612" s="500"/>
      <c r="AN612" s="500"/>
      <c r="AO612" s="500"/>
      <c r="AP612" s="500"/>
    </row>
    <row r="613" spans="1:42" ht="16.5" customHeight="1">
      <c r="A613" s="439"/>
      <c r="B613" s="439"/>
      <c r="C613" s="439"/>
      <c r="D613" s="439"/>
      <c r="E613" s="439"/>
      <c r="F613" s="439"/>
      <c r="G613" s="451" t="s">
        <v>3406</v>
      </c>
      <c r="Z613" s="500"/>
      <c r="AA613" s="500"/>
      <c r="AB613" s="500"/>
      <c r="AC613" s="500"/>
      <c r="AD613" s="500"/>
      <c r="AE613" s="500"/>
      <c r="AF613" s="500"/>
      <c r="AG613" s="500"/>
      <c r="AH613" s="500"/>
      <c r="AI613" s="500"/>
      <c r="AJ613" s="500"/>
      <c r="AK613" s="500"/>
      <c r="AL613" s="500"/>
      <c r="AM613" s="500"/>
      <c r="AN613" s="500"/>
      <c r="AO613" s="500"/>
      <c r="AP613" s="500"/>
    </row>
    <row r="614" spans="1:42" ht="16.5" customHeight="1">
      <c r="A614" s="434"/>
      <c r="B614" s="437" t="s">
        <v>3494</v>
      </c>
      <c r="C614" s="439"/>
      <c r="D614" s="439"/>
      <c r="E614" s="439"/>
      <c r="F614" s="439"/>
      <c r="G614" s="451" t="s">
        <v>3495</v>
      </c>
      <c r="Z614" s="500"/>
      <c r="AA614" s="500"/>
      <c r="AB614" s="500"/>
      <c r="AC614" s="500"/>
      <c r="AD614" s="500"/>
      <c r="AE614" s="500"/>
      <c r="AF614" s="500"/>
      <c r="AG614" s="500"/>
      <c r="AH614" s="500"/>
      <c r="AI614" s="500"/>
      <c r="AJ614" s="500"/>
      <c r="AK614" s="500"/>
      <c r="AL614" s="500"/>
      <c r="AM614" s="500"/>
      <c r="AN614" s="500"/>
      <c r="AO614" s="500"/>
      <c r="AP614" s="500"/>
    </row>
    <row r="615" spans="1:42" ht="16.5" customHeight="1">
      <c r="A615" s="439"/>
      <c r="B615" s="439"/>
      <c r="C615" s="439"/>
      <c r="D615" s="439"/>
      <c r="E615" s="439"/>
      <c r="F615" s="439"/>
      <c r="G615" s="451" t="s">
        <v>3406</v>
      </c>
      <c r="Z615" s="500"/>
      <c r="AA615" s="500"/>
      <c r="AB615" s="500"/>
      <c r="AC615" s="500"/>
      <c r="AD615" s="500"/>
      <c r="AE615" s="500"/>
      <c r="AF615" s="500"/>
      <c r="AG615" s="500"/>
      <c r="AH615" s="500"/>
      <c r="AI615" s="500"/>
      <c r="AJ615" s="500"/>
      <c r="AK615" s="500"/>
      <c r="AL615" s="500"/>
      <c r="AM615" s="500"/>
      <c r="AN615" s="500"/>
      <c r="AO615" s="500"/>
      <c r="AP615" s="500"/>
    </row>
    <row r="616" spans="1:42" ht="16.5" customHeight="1">
      <c r="A616" s="439"/>
      <c r="B616" s="439"/>
      <c r="C616" s="439"/>
      <c r="D616" s="439"/>
      <c r="E616" s="439"/>
      <c r="F616" s="439"/>
      <c r="G616" s="451" t="s">
        <v>3406</v>
      </c>
      <c r="Z616" s="500"/>
      <c r="AA616" s="500"/>
      <c r="AB616" s="500"/>
      <c r="AC616" s="500"/>
      <c r="AD616" s="500"/>
      <c r="AE616" s="500"/>
      <c r="AF616" s="500"/>
      <c r="AG616" s="500"/>
      <c r="AH616" s="500"/>
      <c r="AI616" s="500"/>
      <c r="AJ616" s="500"/>
      <c r="AK616" s="500"/>
      <c r="AL616" s="500"/>
      <c r="AM616" s="500"/>
      <c r="AN616" s="500"/>
      <c r="AO616" s="500"/>
      <c r="AP616" s="500"/>
    </row>
    <row r="617" spans="1:42" ht="16.5" customHeight="1">
      <c r="A617" s="439"/>
      <c r="B617" s="439"/>
      <c r="C617" s="439"/>
      <c r="D617" s="439"/>
      <c r="E617" s="439"/>
      <c r="F617" s="439"/>
      <c r="G617" s="451" t="s">
        <v>3406</v>
      </c>
      <c r="Z617" s="500"/>
      <c r="AA617" s="500"/>
      <c r="AB617" s="500"/>
      <c r="AC617" s="500"/>
      <c r="AD617" s="500"/>
      <c r="AE617" s="500"/>
      <c r="AF617" s="500"/>
      <c r="AG617" s="500"/>
      <c r="AH617" s="500"/>
      <c r="AI617" s="500"/>
      <c r="AJ617" s="500"/>
      <c r="AK617" s="500"/>
      <c r="AL617" s="500"/>
      <c r="AM617" s="500"/>
      <c r="AN617" s="500"/>
      <c r="AO617" s="500"/>
      <c r="AP617" s="500"/>
    </row>
    <row r="618" spans="1:42" ht="16.5" customHeight="1">
      <c r="A618" s="439"/>
      <c r="B618" s="439"/>
      <c r="C618" s="439"/>
      <c r="D618" s="439"/>
      <c r="E618" s="439"/>
      <c r="F618" s="439"/>
      <c r="G618" s="451" t="s">
        <v>3406</v>
      </c>
      <c r="Z618" s="500"/>
      <c r="AA618" s="500"/>
      <c r="AB618" s="500"/>
      <c r="AC618" s="500"/>
      <c r="AD618" s="500"/>
      <c r="AE618" s="500"/>
      <c r="AF618" s="500"/>
      <c r="AG618" s="500"/>
      <c r="AH618" s="500"/>
      <c r="AI618" s="500"/>
      <c r="AJ618" s="500"/>
      <c r="AK618" s="500"/>
      <c r="AL618" s="500"/>
      <c r="AM618" s="500"/>
      <c r="AN618" s="500"/>
      <c r="AO618" s="500"/>
      <c r="AP618" s="500"/>
    </row>
    <row r="619" spans="1:42" ht="16.5" customHeight="1">
      <c r="A619" s="434"/>
      <c r="B619" s="437" t="s">
        <v>3496</v>
      </c>
      <c r="C619" s="439"/>
      <c r="D619" s="439"/>
      <c r="E619" s="439"/>
      <c r="F619" s="439"/>
      <c r="G619" s="451" t="s">
        <v>3497</v>
      </c>
      <c r="Z619" s="500"/>
      <c r="AA619" s="500"/>
      <c r="AB619" s="500"/>
      <c r="AC619" s="500"/>
      <c r="AD619" s="500"/>
      <c r="AE619" s="500"/>
      <c r="AF619" s="500"/>
      <c r="AG619" s="500"/>
      <c r="AH619" s="500"/>
      <c r="AI619" s="500"/>
      <c r="AJ619" s="500"/>
      <c r="AK619" s="500"/>
      <c r="AL619" s="500"/>
      <c r="AM619" s="500"/>
      <c r="AN619" s="500"/>
      <c r="AO619" s="500"/>
      <c r="AP619" s="500"/>
    </row>
    <row r="620" spans="1:42" ht="16.5" customHeight="1">
      <c r="A620" s="439"/>
      <c r="B620" s="439"/>
      <c r="C620" s="439"/>
      <c r="D620" s="439"/>
      <c r="E620" s="439"/>
      <c r="F620" s="439"/>
      <c r="G620" s="451" t="s">
        <v>3406</v>
      </c>
      <c r="Z620" s="500"/>
      <c r="AA620" s="500"/>
      <c r="AB620" s="500"/>
      <c r="AC620" s="500"/>
      <c r="AD620" s="500"/>
      <c r="AE620" s="500"/>
      <c r="AF620" s="500"/>
      <c r="AG620" s="500"/>
      <c r="AH620" s="500"/>
      <c r="AI620" s="500"/>
      <c r="AJ620" s="500"/>
      <c r="AK620" s="500"/>
      <c r="AL620" s="500"/>
      <c r="AM620" s="500"/>
      <c r="AN620" s="500"/>
      <c r="AO620" s="500"/>
      <c r="AP620" s="500"/>
    </row>
    <row r="621" spans="1:42" ht="16.5" customHeight="1">
      <c r="A621" s="434" t="s">
        <v>3498</v>
      </c>
      <c r="B621" s="505" t="str">
        <f>" 조경공 :  "&amp;TEXT(I621,"#,##0"&amp;IF(I621&lt;&gt;INT(I621),".###",""))&amp;" * "&amp;AA621&amp;" 인  / Q1 = "&amp;TEXT(C621,"#,##0.0")&amp;""</f>
        <v xml:space="preserve"> 조경공 :  235,204 * 3 인  / Q1 = 1,603.6</v>
      </c>
      <c r="C621" s="506">
        <f>E621+D621+F621</f>
        <v>1603.6</v>
      </c>
      <c r="D621" s="506">
        <f>IF(H621=0,0,ROUNDDOWN(J621*H621,1))</f>
        <v>1603.6</v>
      </c>
      <c r="E621" s="506">
        <f>IF(H621=0,0,ROUNDDOWN(K621*H621,1))</f>
        <v>0</v>
      </c>
      <c r="F621" s="506">
        <f>IF(H621=0,0,ROUNDDOWN(L621*H621,1))</f>
        <v>0</v>
      </c>
      <c r="G621" s="451" t="s">
        <v>3499</v>
      </c>
      <c r="H621" s="507">
        <f>ROUNDUP(AE621,14-LEN(ABS(INT(AE621))))</f>
        <v>6.8181818181999995E-3</v>
      </c>
      <c r="I621" s="508">
        <f>K621+J621+L621</f>
        <v>235204</v>
      </c>
      <c r="J621" s="509">
        <f>노무비목록표!E15</f>
        <v>235204</v>
      </c>
      <c r="M621" s="501" t="s">
        <v>2359</v>
      </c>
      <c r="N621" s="501" t="s">
        <v>3416</v>
      </c>
      <c r="X621" s="510" t="str">
        <f>노무비목록표!B15&amp;" / "&amp;노무비목록표!C15</f>
        <v xml:space="preserve">조경공 / </v>
      </c>
      <c r="Y621" s="433" t="str">
        <f ca="1">HYPERLINK("#"&amp;노무비목록표!G2&amp;"!A"&amp;ROW(노무비목록표!A15),"L00184 →")</f>
        <v>L00184 →</v>
      </c>
      <c r="Z621" s="501" t="s">
        <v>3500</v>
      </c>
      <c r="AA621" s="515">
        <v>3</v>
      </c>
      <c r="AB621" s="501" t="s">
        <v>3428</v>
      </c>
      <c r="AC621" s="512">
        <f>AB612</f>
        <v>440</v>
      </c>
      <c r="AD621" s="501" t="s">
        <v>3418</v>
      </c>
      <c r="AE621" s="512">
        <f>1*AA621/AB612</f>
        <v>6.8181818181818179E-3</v>
      </c>
      <c r="AF621" s="500"/>
      <c r="AG621" s="500"/>
      <c r="AH621" s="500"/>
      <c r="AI621" s="500"/>
      <c r="AJ621" s="500"/>
      <c r="AK621" s="500"/>
      <c r="AL621" s="500"/>
      <c r="AM621" s="500"/>
      <c r="AN621" s="500"/>
      <c r="AO621" s="500"/>
      <c r="AP621" s="500"/>
    </row>
    <row r="622" spans="1:42" ht="16.5" customHeight="1">
      <c r="A622" s="439"/>
      <c r="B622" s="439"/>
      <c r="C622" s="439"/>
      <c r="D622" s="439"/>
      <c r="E622" s="439"/>
      <c r="F622" s="439"/>
      <c r="G622" s="451" t="s">
        <v>3406</v>
      </c>
      <c r="Z622" s="500"/>
      <c r="AA622" s="500"/>
      <c r="AB622" s="500"/>
      <c r="AC622" s="500"/>
      <c r="AD622" s="500"/>
      <c r="AE622" s="500"/>
      <c r="AF622" s="500"/>
      <c r="AG622" s="500"/>
      <c r="AH622" s="500"/>
      <c r="AI622" s="500"/>
      <c r="AJ622" s="500"/>
      <c r="AK622" s="500"/>
      <c r="AL622" s="500"/>
      <c r="AM622" s="500"/>
      <c r="AN622" s="500"/>
      <c r="AO622" s="500"/>
      <c r="AP622" s="500"/>
    </row>
    <row r="623" spans="1:42" ht="16.5" customHeight="1">
      <c r="A623" s="439"/>
      <c r="B623" s="439"/>
      <c r="C623" s="439"/>
      <c r="D623" s="439"/>
      <c r="E623" s="439"/>
      <c r="F623" s="439"/>
      <c r="G623" s="451" t="s">
        <v>3406</v>
      </c>
      <c r="Z623" s="500"/>
      <c r="AA623" s="500"/>
      <c r="AB623" s="500"/>
      <c r="AC623" s="500"/>
      <c r="AD623" s="500"/>
      <c r="AE623" s="500"/>
      <c r="AF623" s="500"/>
      <c r="AG623" s="500"/>
      <c r="AH623" s="500"/>
      <c r="AI623" s="500"/>
      <c r="AJ623" s="500"/>
      <c r="AK623" s="500"/>
      <c r="AL623" s="500"/>
      <c r="AM623" s="500"/>
      <c r="AN623" s="500"/>
      <c r="AO623" s="500"/>
      <c r="AP623" s="500"/>
    </row>
    <row r="624" spans="1:42" ht="16.5" customHeight="1">
      <c r="A624" s="434" t="s">
        <v>3414</v>
      </c>
      <c r="B624" s="505" t="str">
        <f>" 보통인부 : "&amp;TEXT(I624,"#,##0"&amp;IF(I624&lt;&gt;INT(I624),".###",""))&amp;" * "&amp;AA624&amp;" 인  / Q1 = "&amp;TEXT(C624,"#,##0.0")&amp;""</f>
        <v xml:space="preserve"> 보통인부 : 172,068 * 1 인  / Q1 = 391.0</v>
      </c>
      <c r="C624" s="506">
        <f>E624+D624+F624</f>
        <v>391</v>
      </c>
      <c r="D624" s="506">
        <f>IF(H624=0,0,ROUNDDOWN(J624*H624,1))</f>
        <v>391</v>
      </c>
      <c r="E624" s="506">
        <f>IF(H624=0,0,ROUNDDOWN(K624*H624,1))</f>
        <v>0</v>
      </c>
      <c r="F624" s="506">
        <f>IF(H624=0,0,ROUNDDOWN(L624*H624,1))</f>
        <v>0</v>
      </c>
      <c r="G624" s="451" t="s">
        <v>3501</v>
      </c>
      <c r="H624" s="507">
        <f>ROUNDUP(AE624,14-LEN(ABS(INT(AE624))))</f>
        <v>2.2727272728E-3</v>
      </c>
      <c r="I624" s="508">
        <f>K624+J624+L624</f>
        <v>172068</v>
      </c>
      <c r="J624" s="509">
        <f>노무비목록표!E10</f>
        <v>172068</v>
      </c>
      <c r="M624" s="501" t="s">
        <v>2363</v>
      </c>
      <c r="N624" s="501" t="s">
        <v>3416</v>
      </c>
      <c r="X624" s="510" t="str">
        <f>노무비목록표!B10&amp;" / "&amp;노무비목록표!C10</f>
        <v xml:space="preserve">보통인부 / </v>
      </c>
      <c r="Y624" s="433" t="str">
        <f ca="1">HYPERLINK("#"&amp;노무비목록표!G2&amp;"!A"&amp;ROW(노무비목록표!A10),"L00017 →")</f>
        <v>L00017 →</v>
      </c>
      <c r="Z624" s="501" t="s">
        <v>3500</v>
      </c>
      <c r="AA624" s="515">
        <v>1</v>
      </c>
      <c r="AB624" s="501" t="s">
        <v>3428</v>
      </c>
      <c r="AC624" s="512">
        <f>AB612</f>
        <v>440</v>
      </c>
      <c r="AD624" s="501" t="s">
        <v>3418</v>
      </c>
      <c r="AE624" s="512">
        <f>1*AA624/AB612</f>
        <v>2.2727272727272726E-3</v>
      </c>
      <c r="AF624" s="500"/>
      <c r="AG624" s="500"/>
      <c r="AH624" s="500"/>
      <c r="AI624" s="500"/>
      <c r="AJ624" s="500"/>
      <c r="AK624" s="500"/>
      <c r="AL624" s="500"/>
      <c r="AM624" s="500"/>
      <c r="AN624" s="500"/>
      <c r="AO624" s="500"/>
      <c r="AP624" s="500"/>
    </row>
    <row r="625" spans="1:42" ht="16.5" customHeight="1">
      <c r="A625" s="439"/>
      <c r="B625" s="439"/>
      <c r="C625" s="439"/>
      <c r="D625" s="439"/>
      <c r="E625" s="439"/>
      <c r="F625" s="439"/>
      <c r="G625" s="451" t="s">
        <v>3406</v>
      </c>
      <c r="Z625" s="500"/>
      <c r="AA625" s="500"/>
      <c r="AB625" s="500"/>
      <c r="AC625" s="500"/>
      <c r="AD625" s="500"/>
      <c r="AE625" s="500"/>
      <c r="AF625" s="500"/>
      <c r="AG625" s="500"/>
      <c r="AH625" s="500"/>
      <c r="AI625" s="500"/>
      <c r="AJ625" s="500"/>
      <c r="AK625" s="500"/>
      <c r="AL625" s="500"/>
      <c r="AM625" s="500"/>
      <c r="AN625" s="500"/>
      <c r="AO625" s="500"/>
      <c r="AP625" s="500"/>
    </row>
    <row r="626" spans="1:42" ht="16.5" customHeight="1">
      <c r="A626" s="434"/>
      <c r="B626" s="437" t="s">
        <v>3419</v>
      </c>
      <c r="C626" s="513">
        <f>E626+D626+F626</f>
        <v>1994.6</v>
      </c>
      <c r="D626" s="513">
        <f>SUMIF(N607:N625,M626,D607:D625)</f>
        <v>1994.6</v>
      </c>
      <c r="E626" s="513">
        <f>SUMIF(N607:N625,M626,E607:E625)</f>
        <v>0</v>
      </c>
      <c r="F626" s="513">
        <f>SUMIF(N607:N625,M626,F607:F625)</f>
        <v>0</v>
      </c>
      <c r="G626" s="451" t="s">
        <v>3439</v>
      </c>
      <c r="M626" s="501" t="s">
        <v>3416</v>
      </c>
      <c r="N626" s="501" t="s">
        <v>3421</v>
      </c>
      <c r="Z626" s="500"/>
      <c r="AA626" s="500"/>
      <c r="AB626" s="500"/>
      <c r="AC626" s="500"/>
      <c r="AD626" s="500"/>
      <c r="AE626" s="500"/>
      <c r="AF626" s="500"/>
      <c r="AG626" s="500"/>
      <c r="AH626" s="500"/>
      <c r="AI626" s="500"/>
      <c r="AJ626" s="500"/>
      <c r="AK626" s="500"/>
      <c r="AL626" s="500"/>
      <c r="AM626" s="500"/>
      <c r="AN626" s="500"/>
      <c r="AO626" s="500"/>
      <c r="AP626" s="500"/>
    </row>
    <row r="627" spans="1:42" ht="16.5" customHeight="1">
      <c r="A627" s="439"/>
      <c r="B627" s="439"/>
      <c r="C627" s="504"/>
      <c r="D627" s="504"/>
      <c r="E627" s="504"/>
      <c r="F627" s="504"/>
      <c r="G627" s="451" t="s">
        <v>3406</v>
      </c>
      <c r="Z627" s="500"/>
      <c r="AA627" s="500"/>
      <c r="AB627" s="500"/>
      <c r="AC627" s="500"/>
      <c r="AD627" s="500"/>
      <c r="AE627" s="500"/>
      <c r="AF627" s="500"/>
      <c r="AG627" s="500"/>
      <c r="AH627" s="500"/>
      <c r="AI627" s="500"/>
      <c r="AJ627" s="500"/>
      <c r="AK627" s="500"/>
      <c r="AL627" s="500"/>
      <c r="AM627" s="500"/>
      <c r="AN627" s="500"/>
      <c r="AO627" s="500"/>
      <c r="AP627" s="500"/>
    </row>
    <row r="628" spans="1:42" ht="16.5" customHeight="1">
      <c r="A628" s="439"/>
      <c r="B628" s="439"/>
      <c r="C628" s="439"/>
      <c r="D628" s="439"/>
      <c r="E628" s="439"/>
      <c r="F628" s="439"/>
      <c r="G628" s="451" t="s">
        <v>3406</v>
      </c>
      <c r="Z628" s="500"/>
      <c r="AA628" s="500"/>
      <c r="AB628" s="500"/>
      <c r="AC628" s="500"/>
      <c r="AD628" s="500"/>
      <c r="AE628" s="500"/>
      <c r="AF628" s="500"/>
      <c r="AG628" s="500"/>
      <c r="AH628" s="500"/>
      <c r="AI628" s="500"/>
      <c r="AJ628" s="500"/>
      <c r="AK628" s="500"/>
      <c r="AL628" s="500"/>
      <c r="AM628" s="500"/>
      <c r="AN628" s="500"/>
      <c r="AO628" s="500"/>
      <c r="AP628" s="500"/>
    </row>
    <row r="629" spans="1:42" ht="16.5" customHeight="1">
      <c r="A629" s="434"/>
      <c r="B629" s="437" t="s">
        <v>3502</v>
      </c>
      <c r="C629" s="439"/>
      <c r="D629" s="439"/>
      <c r="E629" s="439"/>
      <c r="F629" s="439"/>
      <c r="G629" s="451" t="s">
        <v>3503</v>
      </c>
      <c r="Z629" s="500"/>
      <c r="AA629" s="500"/>
      <c r="AB629" s="500"/>
      <c r="AC629" s="500"/>
      <c r="AD629" s="500"/>
      <c r="AE629" s="500"/>
      <c r="AF629" s="500"/>
      <c r="AG629" s="500"/>
      <c r="AH629" s="500"/>
      <c r="AI629" s="500"/>
      <c r="AJ629" s="500"/>
      <c r="AK629" s="500"/>
      <c r="AL629" s="500"/>
      <c r="AM629" s="500"/>
      <c r="AN629" s="500"/>
      <c r="AO629" s="500"/>
      <c r="AP629" s="500"/>
    </row>
    <row r="630" spans="1:42" ht="16.5" customHeight="1">
      <c r="A630" s="439"/>
      <c r="B630" s="439"/>
      <c r="C630" s="439"/>
      <c r="D630" s="439"/>
      <c r="E630" s="439"/>
      <c r="F630" s="439"/>
      <c r="G630" s="451" t="s">
        <v>3406</v>
      </c>
      <c r="Z630" s="500"/>
      <c r="AA630" s="500"/>
      <c r="AB630" s="500"/>
      <c r="AC630" s="500"/>
      <c r="AD630" s="500"/>
      <c r="AE630" s="500"/>
      <c r="AF630" s="500"/>
      <c r="AG630" s="500"/>
      <c r="AH630" s="500"/>
      <c r="AI630" s="500"/>
      <c r="AJ630" s="500"/>
      <c r="AK630" s="500"/>
      <c r="AL630" s="500"/>
      <c r="AM630" s="500"/>
      <c r="AN630" s="500"/>
      <c r="AO630" s="500"/>
      <c r="AP630" s="500"/>
    </row>
    <row r="631" spans="1:42" ht="16.5" customHeight="1">
      <c r="A631" s="434" t="s">
        <v>3504</v>
      </c>
      <c r="B631" s="505" t="str">
        <f>"  유기질비료 수목이식·식재용 : "&amp;TEXT(I631,"#,##0"&amp;IF(I631&lt;&gt;INT(I631),".###",""))&amp;" * "&amp;AA631&amp;" KG  / Q1 = "&amp;TEXT(C631,"#,##0.0")&amp;""</f>
        <v xml:space="preserve">  유기질비료 수목이식·식재용 : 500 * 220 KG  / Q1 = 250.0</v>
      </c>
      <c r="C631" s="506">
        <f>E631+D631+F631</f>
        <v>250</v>
      </c>
      <c r="D631" s="506">
        <f>IF(H631=0,0,ROUNDDOWN(J631*H631,1))</f>
        <v>0</v>
      </c>
      <c r="E631" s="506">
        <f>IF(H631=0,0,ROUNDDOWN(K631*H631,1))</f>
        <v>250</v>
      </c>
      <c r="F631" s="506">
        <f>IF(H631=0,0,ROUNDDOWN(L631*H631,1))</f>
        <v>0</v>
      </c>
      <c r="G631" s="451" t="s">
        <v>3511</v>
      </c>
      <c r="H631" s="507">
        <f>ROUNDUP(AE631,14-LEN(ABS(INT(AE631))))</f>
        <v>0.5</v>
      </c>
      <c r="I631" s="508">
        <f>K631+J631+L631</f>
        <v>500</v>
      </c>
      <c r="K631" s="509">
        <f>재료비목록표!E78</f>
        <v>500</v>
      </c>
      <c r="M631" s="501" t="s">
        <v>3506</v>
      </c>
      <c r="N631" s="501" t="s">
        <v>3416</v>
      </c>
      <c r="X631" s="510" t="str">
        <f>재료비목록표!B78&amp;" / "&amp;재료비목록표!C78</f>
        <v>유기질비료 / 수목이식·식재용</v>
      </c>
      <c r="Y631" s="433" t="str">
        <f ca="1">HYPERLINK("#"&amp;재료비목록표!G2&amp;"!A"&amp;ROW(재료비목록표!A78),"M01159 →")</f>
        <v>M01159 →</v>
      </c>
      <c r="Z631" s="501" t="s">
        <v>3500</v>
      </c>
      <c r="AA631" s="515">
        <v>220</v>
      </c>
      <c r="AB631" s="501" t="s">
        <v>3428</v>
      </c>
      <c r="AC631" s="512">
        <f>AB612</f>
        <v>440</v>
      </c>
      <c r="AD631" s="501" t="s">
        <v>3418</v>
      </c>
      <c r="AE631" s="512">
        <f>1*AA631/AB612</f>
        <v>0.5</v>
      </c>
      <c r="AF631" s="500"/>
      <c r="AG631" s="500"/>
      <c r="AH631" s="500"/>
      <c r="AI631" s="500"/>
      <c r="AJ631" s="500"/>
      <c r="AK631" s="500"/>
      <c r="AL631" s="500"/>
      <c r="AM631" s="500"/>
      <c r="AN631" s="500"/>
      <c r="AO631" s="500"/>
      <c r="AP631" s="500"/>
    </row>
    <row r="632" spans="1:42" ht="16.5" customHeight="1">
      <c r="A632" s="439"/>
      <c r="B632" s="439"/>
      <c r="C632" s="439"/>
      <c r="D632" s="439"/>
      <c r="E632" s="439"/>
      <c r="F632" s="439"/>
      <c r="G632" s="451" t="s">
        <v>3406</v>
      </c>
      <c r="Z632" s="500"/>
      <c r="AA632" s="500"/>
      <c r="AB632" s="500"/>
      <c r="AC632" s="500"/>
      <c r="AD632" s="500"/>
      <c r="AE632" s="500"/>
      <c r="AF632" s="500"/>
      <c r="AG632" s="500"/>
      <c r="AH632" s="500"/>
      <c r="AI632" s="500"/>
      <c r="AJ632" s="500"/>
      <c r="AK632" s="500"/>
      <c r="AL632" s="500"/>
      <c r="AM632" s="500"/>
      <c r="AN632" s="500"/>
      <c r="AO632" s="500"/>
      <c r="AP632" s="500"/>
    </row>
    <row r="633" spans="1:42" ht="16.5" customHeight="1">
      <c r="A633" s="434"/>
      <c r="B633" s="437" t="s">
        <v>3419</v>
      </c>
      <c r="C633" s="513">
        <f>E633+D633+F633</f>
        <v>250</v>
      </c>
      <c r="D633" s="513">
        <f>SUMIF(N627:N632,M633,D627:D632)</f>
        <v>0</v>
      </c>
      <c r="E633" s="513">
        <f>SUMIF(N627:N632,M633,E627:E632)</f>
        <v>250</v>
      </c>
      <c r="F633" s="513">
        <f>SUMIF(N627:N632,M633,F627:F632)</f>
        <v>0</v>
      </c>
      <c r="G633" s="451" t="s">
        <v>3439</v>
      </c>
      <c r="M633" s="501" t="s">
        <v>3416</v>
      </c>
      <c r="N633" s="501" t="s">
        <v>3421</v>
      </c>
      <c r="Z633" s="500"/>
      <c r="AA633" s="500"/>
      <c r="AB633" s="500"/>
      <c r="AC633" s="500"/>
      <c r="AD633" s="500"/>
      <c r="AE633" s="500"/>
      <c r="AF633" s="500"/>
      <c r="AG633" s="500"/>
      <c r="AH633" s="500"/>
      <c r="AI633" s="500"/>
      <c r="AJ633" s="500"/>
      <c r="AK633" s="500"/>
      <c r="AL633" s="500"/>
      <c r="AM633" s="500"/>
      <c r="AN633" s="500"/>
      <c r="AO633" s="500"/>
      <c r="AP633" s="500"/>
    </row>
    <row r="634" spans="1:42" ht="16.5" customHeight="1">
      <c r="A634" s="439"/>
      <c r="B634" s="439"/>
      <c r="C634" s="504"/>
      <c r="D634" s="504"/>
      <c r="E634" s="504"/>
      <c r="F634" s="504"/>
      <c r="G634" s="451" t="s">
        <v>3406</v>
      </c>
      <c r="Z634" s="500"/>
      <c r="AA634" s="500"/>
      <c r="AB634" s="500"/>
      <c r="AC634" s="500"/>
      <c r="AD634" s="500"/>
      <c r="AE634" s="500"/>
      <c r="AF634" s="500"/>
      <c r="AG634" s="500"/>
      <c r="AH634" s="500"/>
      <c r="AI634" s="500"/>
      <c r="AJ634" s="500"/>
      <c r="AK634" s="500"/>
      <c r="AL634" s="500"/>
      <c r="AM634" s="500"/>
      <c r="AN634" s="500"/>
      <c r="AO634" s="500"/>
      <c r="AP634" s="500"/>
    </row>
    <row r="635" spans="1:42" ht="16.5" customHeight="1">
      <c r="A635" s="434"/>
      <c r="B635" s="505" t="str">
        <f>"  산지할증 : "&amp;TEXT(I635,"#,##0.0")&amp;" * "&amp;AA635&amp;" %  = "&amp;TEXT(C635,"#,##0.0")&amp;""</f>
        <v xml:space="preserve">  산지할증 : 1,994.6 * 25 %  = 498.6</v>
      </c>
      <c r="C635" s="506">
        <f>E635+D635+F635</f>
        <v>498.6</v>
      </c>
      <c r="D635" s="506">
        <f>IF(H635=0,0,ROUNDDOWN(J635*H635/100,1))</f>
        <v>498.6</v>
      </c>
      <c r="E635" s="506">
        <f>IF(H635=0,0,ROUNDDOWN(K635*H635/100,1))</f>
        <v>0</v>
      </c>
      <c r="F635" s="506">
        <f>IF(H635=0,0,ROUNDDOWN(L635*H635/100,1))</f>
        <v>0</v>
      </c>
      <c r="G635" s="451" t="s">
        <v>5592</v>
      </c>
      <c r="H635" s="507">
        <f>ROUNDUP(AC635,14-LEN(ABS(INT(AC635))))</f>
        <v>25</v>
      </c>
      <c r="I635" s="508">
        <f>K635+J635+L635</f>
        <v>1994.6</v>
      </c>
      <c r="J635" s="508">
        <f>D626+D633+SUMIF(N634:N634,N635,D634:D634)</f>
        <v>1994.6</v>
      </c>
      <c r="K635" s="456">
        <v>0</v>
      </c>
      <c r="L635" s="456">
        <v>0</v>
      </c>
      <c r="M635" s="501" t="s">
        <v>4208</v>
      </c>
      <c r="N635" s="501" t="s">
        <v>3416</v>
      </c>
      <c r="Z635" s="501" t="s">
        <v>3500</v>
      </c>
      <c r="AA635" s="515">
        <v>25</v>
      </c>
      <c r="AB635" s="501" t="s">
        <v>3418</v>
      </c>
      <c r="AC635" s="512">
        <f>1*AA635</f>
        <v>25</v>
      </c>
      <c r="AD635" s="500"/>
      <c r="AE635" s="500"/>
      <c r="AF635" s="500"/>
      <c r="AG635" s="500"/>
      <c r="AH635" s="500"/>
      <c r="AI635" s="500"/>
      <c r="AJ635" s="500"/>
      <c r="AK635" s="500"/>
      <c r="AL635" s="500"/>
      <c r="AM635" s="500"/>
      <c r="AN635" s="500"/>
      <c r="AO635" s="500"/>
      <c r="AP635" s="500"/>
    </row>
    <row r="636" spans="1:42" ht="16.5" customHeight="1">
      <c r="A636" s="439"/>
      <c r="B636" s="439"/>
      <c r="C636" s="439"/>
      <c r="D636" s="439"/>
      <c r="E636" s="439"/>
      <c r="F636" s="439"/>
      <c r="G636" s="451" t="s">
        <v>3406</v>
      </c>
      <c r="Z636" s="500"/>
      <c r="AA636" s="500"/>
      <c r="AB636" s="500"/>
      <c r="AC636" s="500"/>
      <c r="AD636" s="500"/>
      <c r="AE636" s="500"/>
      <c r="AF636" s="500"/>
      <c r="AG636" s="500"/>
      <c r="AH636" s="500"/>
      <c r="AI636" s="500"/>
      <c r="AJ636" s="500"/>
      <c r="AK636" s="500"/>
      <c r="AL636" s="500"/>
      <c r="AM636" s="500"/>
      <c r="AN636" s="500"/>
      <c r="AO636" s="500"/>
      <c r="AP636" s="500"/>
    </row>
    <row r="637" spans="1:42" ht="16.5" customHeight="1">
      <c r="A637" s="434"/>
      <c r="B637" s="437" t="s">
        <v>3419</v>
      </c>
      <c r="C637" s="513">
        <f>E637+D637+F637</f>
        <v>498.6</v>
      </c>
      <c r="D637" s="513">
        <f>SUMIF(N634:N636,M637,D634:D636)</f>
        <v>498.6</v>
      </c>
      <c r="E637" s="513">
        <f>SUMIF(N634:N636,M637,E634:E636)</f>
        <v>0</v>
      </c>
      <c r="F637" s="513">
        <f>SUMIF(N634:N636,M637,F634:F636)</f>
        <v>0</v>
      </c>
      <c r="G637" s="451" t="s">
        <v>3439</v>
      </c>
      <c r="M637" s="501" t="s">
        <v>3416</v>
      </c>
      <c r="N637" s="501" t="s">
        <v>3421</v>
      </c>
      <c r="Z637" s="500"/>
      <c r="AA637" s="500"/>
      <c r="AB637" s="500"/>
      <c r="AC637" s="500"/>
      <c r="AD637" s="500"/>
      <c r="AE637" s="500"/>
      <c r="AF637" s="500"/>
      <c r="AG637" s="500"/>
      <c r="AH637" s="500"/>
      <c r="AI637" s="500"/>
      <c r="AJ637" s="500"/>
      <c r="AK637" s="500"/>
      <c r="AL637" s="500"/>
      <c r="AM637" s="500"/>
      <c r="AN637" s="500"/>
      <c r="AO637" s="500"/>
      <c r="AP637" s="500"/>
    </row>
    <row r="638" spans="1:42" ht="16.5" customHeight="1">
      <c r="A638" s="439"/>
      <c r="B638" s="439"/>
      <c r="C638" s="504"/>
      <c r="D638" s="504"/>
      <c r="E638" s="504"/>
      <c r="F638" s="504"/>
      <c r="G638" s="451" t="s">
        <v>3406</v>
      </c>
      <c r="Z638" s="500"/>
      <c r="AA638" s="500"/>
      <c r="AB638" s="500"/>
      <c r="AC638" s="500"/>
      <c r="AD638" s="500"/>
      <c r="AE638" s="500"/>
      <c r="AF638" s="500"/>
      <c r="AG638" s="500"/>
      <c r="AH638" s="500"/>
      <c r="AI638" s="500"/>
      <c r="AJ638" s="500"/>
      <c r="AK638" s="500"/>
      <c r="AL638" s="500"/>
      <c r="AM638" s="500"/>
      <c r="AN638" s="500"/>
      <c r="AO638" s="500"/>
      <c r="AP638" s="500"/>
    </row>
    <row r="639" spans="1:42" ht="16.5" customHeight="1">
      <c r="A639" s="434"/>
      <c r="B639" s="437" t="s">
        <v>3440</v>
      </c>
      <c r="C639" s="513">
        <f>E639+D639+F639</f>
        <v>2743.2</v>
      </c>
      <c r="D639" s="513">
        <f>SUMIF(N607:N638,M639,D607:D638)</f>
        <v>2493.1999999999998</v>
      </c>
      <c r="E639" s="513">
        <f>SUMIF(N607:N638,M639,E607:E638)</f>
        <v>250</v>
      </c>
      <c r="F639" s="513">
        <f>SUMIF(N607:N638,M639,F607:F638)</f>
        <v>0</v>
      </c>
      <c r="G639" s="451" t="s">
        <v>3441</v>
      </c>
      <c r="M639" s="501" t="s">
        <v>3421</v>
      </c>
      <c r="N639" s="501" t="s">
        <v>2354</v>
      </c>
      <c r="Z639" s="500"/>
      <c r="AA639" s="500"/>
      <c r="AB639" s="500"/>
      <c r="AC639" s="500"/>
      <c r="AD639" s="500"/>
      <c r="AE639" s="500"/>
      <c r="AF639" s="500"/>
      <c r="AG639" s="500"/>
      <c r="AH639" s="500"/>
      <c r="AI639" s="500"/>
      <c r="AJ639" s="500"/>
      <c r="AK639" s="500"/>
      <c r="AL639" s="500"/>
      <c r="AM639" s="500"/>
      <c r="AN639" s="500"/>
      <c r="AO639" s="500"/>
      <c r="AP639" s="500"/>
    </row>
    <row r="640" spans="1:42" ht="16.5" customHeight="1">
      <c r="A640" s="439"/>
      <c r="B640" s="439"/>
      <c r="C640" s="504"/>
      <c r="D640" s="504"/>
      <c r="E640" s="504"/>
      <c r="F640" s="504"/>
      <c r="G640" s="451" t="s">
        <v>3413</v>
      </c>
      <c r="Z640" s="500"/>
      <c r="AA640" s="500"/>
      <c r="AB640" s="500"/>
      <c r="AC640" s="500"/>
      <c r="AD640" s="500"/>
      <c r="AE640" s="500"/>
      <c r="AF640" s="500"/>
      <c r="AG640" s="500"/>
      <c r="AH640" s="500"/>
      <c r="AI640" s="500"/>
      <c r="AJ640" s="500"/>
      <c r="AK640" s="500"/>
      <c r="AL640" s="500"/>
      <c r="AM640" s="500"/>
      <c r="AN640" s="500"/>
      <c r="AO640" s="500"/>
      <c r="AP640" s="500"/>
    </row>
    <row r="641" spans="1:42" ht="16.5" customHeight="1">
      <c r="A641" s="439"/>
      <c r="B641" s="439"/>
      <c r="C641" s="439"/>
      <c r="D641" s="439"/>
      <c r="E641" s="439"/>
      <c r="F641" s="439"/>
      <c r="Z641" s="500"/>
      <c r="AA641" s="500"/>
      <c r="AB641" s="500"/>
      <c r="AC641" s="500"/>
      <c r="AD641" s="500"/>
      <c r="AE641" s="500"/>
      <c r="AF641" s="500"/>
      <c r="AG641" s="500"/>
      <c r="AH641" s="500"/>
      <c r="AI641" s="500"/>
      <c r="AJ641" s="500"/>
      <c r="AK641" s="500"/>
      <c r="AL641" s="500"/>
      <c r="AM641" s="500"/>
      <c r="AN641" s="500"/>
      <c r="AO641" s="500"/>
      <c r="AP641" s="500"/>
    </row>
    <row r="642" spans="1:42" ht="16.5" customHeight="1">
      <c r="A642" s="439"/>
      <c r="B642" s="439"/>
      <c r="C642" s="439"/>
      <c r="D642" s="439"/>
      <c r="E642" s="439"/>
      <c r="F642" s="439"/>
      <c r="Z642" s="500"/>
      <c r="AA642" s="500"/>
      <c r="AB642" s="500"/>
      <c r="AC642" s="500"/>
      <c r="AD642" s="500"/>
      <c r="AE642" s="500"/>
      <c r="AF642" s="500"/>
      <c r="AG642" s="500"/>
      <c r="AH642" s="500"/>
      <c r="AI642" s="500"/>
      <c r="AJ642" s="500"/>
      <c r="AK642" s="500"/>
      <c r="AL642" s="500"/>
      <c r="AM642" s="500"/>
      <c r="AN642" s="500"/>
      <c r="AO642" s="500"/>
      <c r="AP642" s="500"/>
    </row>
    <row r="643" spans="1:42" ht="16.5" customHeight="1">
      <c r="A643" s="439"/>
      <c r="B643" s="439"/>
      <c r="C643" s="439"/>
      <c r="D643" s="439"/>
      <c r="E643" s="439"/>
      <c r="F643" s="439"/>
      <c r="Z643" s="500"/>
      <c r="AA643" s="500"/>
      <c r="AB643" s="500"/>
      <c r="AC643" s="500"/>
      <c r="AD643" s="500"/>
      <c r="AE643" s="500"/>
      <c r="AF643" s="500"/>
      <c r="AG643" s="500"/>
      <c r="AH643" s="500"/>
      <c r="AI643" s="500"/>
      <c r="AJ643" s="500"/>
      <c r="AK643" s="500"/>
      <c r="AL643" s="500"/>
      <c r="AM643" s="500"/>
      <c r="AN643" s="500"/>
      <c r="AO643" s="500"/>
      <c r="AP643" s="500"/>
    </row>
    <row r="644" spans="1:42" ht="16.5" customHeight="1">
      <c r="A644" s="439"/>
      <c r="B644" s="439"/>
      <c r="C644" s="439"/>
      <c r="D644" s="439"/>
      <c r="E644" s="439"/>
      <c r="F644" s="439"/>
      <c r="Z644" s="500"/>
      <c r="AA644" s="500"/>
      <c r="AB644" s="500"/>
      <c r="AC644" s="500"/>
      <c r="AD644" s="500"/>
      <c r="AE644" s="500"/>
      <c r="AF644" s="500"/>
      <c r="AG644" s="500"/>
      <c r="AH644" s="500"/>
      <c r="AI644" s="500"/>
      <c r="AJ644" s="500"/>
      <c r="AK644" s="500"/>
      <c r="AL644" s="500"/>
      <c r="AM644" s="500"/>
      <c r="AN644" s="500"/>
      <c r="AO644" s="500"/>
      <c r="AP644" s="500"/>
    </row>
    <row r="645" spans="1:42" ht="16.5" customHeight="1">
      <c r="A645" s="439"/>
      <c r="B645" s="439"/>
      <c r="C645" s="439"/>
      <c r="D645" s="439"/>
      <c r="E645" s="439"/>
      <c r="F645" s="439"/>
      <c r="Z645" s="500"/>
      <c r="AA645" s="500"/>
      <c r="AB645" s="500"/>
      <c r="AC645" s="500"/>
      <c r="AD645" s="500"/>
      <c r="AE645" s="500"/>
      <c r="AF645" s="500"/>
      <c r="AG645" s="500"/>
      <c r="AH645" s="500"/>
      <c r="AI645" s="500"/>
      <c r="AJ645" s="500"/>
      <c r="AK645" s="500"/>
      <c r="AL645" s="500"/>
      <c r="AM645" s="500"/>
      <c r="AN645" s="500"/>
      <c r="AO645" s="500"/>
      <c r="AP645" s="500"/>
    </row>
    <row r="646" spans="1:42" ht="16.5" customHeight="1">
      <c r="A646" s="439"/>
      <c r="B646" s="439"/>
      <c r="C646" s="439"/>
      <c r="D646" s="439"/>
      <c r="E646" s="439"/>
      <c r="F646" s="439"/>
      <c r="Z646" s="500"/>
      <c r="AA646" s="500"/>
      <c r="AB646" s="500"/>
      <c r="AC646" s="500"/>
      <c r="AD646" s="500"/>
      <c r="AE646" s="500"/>
      <c r="AF646" s="500"/>
      <c r="AG646" s="500"/>
      <c r="AH646" s="500"/>
      <c r="AI646" s="500"/>
      <c r="AJ646" s="500"/>
      <c r="AK646" s="500"/>
      <c r="AL646" s="500"/>
      <c r="AM646" s="500"/>
      <c r="AN646" s="500"/>
      <c r="AO646" s="500"/>
      <c r="AP646" s="500"/>
    </row>
    <row r="647" spans="1:42" ht="16.5" customHeight="1">
      <c r="A647" s="439"/>
      <c r="B647" s="439"/>
      <c r="C647" s="439"/>
      <c r="D647" s="439"/>
      <c r="E647" s="439"/>
      <c r="F647" s="439"/>
      <c r="Z647" s="500"/>
      <c r="AA647" s="500"/>
      <c r="AB647" s="500"/>
      <c r="AC647" s="500"/>
      <c r="AD647" s="500"/>
      <c r="AE647" s="500"/>
      <c r="AF647" s="500"/>
      <c r="AG647" s="500"/>
      <c r="AH647" s="500"/>
      <c r="AI647" s="500"/>
      <c r="AJ647" s="500"/>
      <c r="AK647" s="500"/>
      <c r="AL647" s="500"/>
      <c r="AM647" s="500"/>
      <c r="AN647" s="500"/>
      <c r="AO647" s="500"/>
      <c r="AP647" s="500"/>
    </row>
    <row r="648" spans="1:42" ht="16.5" customHeight="1">
      <c r="A648" s="439"/>
      <c r="B648" s="439"/>
      <c r="C648" s="439"/>
      <c r="D648" s="439"/>
      <c r="E648" s="439"/>
      <c r="F648" s="439"/>
      <c r="Z648" s="500"/>
      <c r="AA648" s="500"/>
      <c r="AB648" s="500"/>
      <c r="AC648" s="500"/>
      <c r="AD648" s="500"/>
      <c r="AE648" s="500"/>
      <c r="AF648" s="500"/>
      <c r="AG648" s="500"/>
      <c r="AH648" s="500"/>
      <c r="AI648" s="500"/>
      <c r="AJ648" s="500"/>
      <c r="AK648" s="500"/>
      <c r="AL648" s="500"/>
      <c r="AM648" s="500"/>
      <c r="AN648" s="500"/>
      <c r="AO648" s="500"/>
      <c r="AP648" s="500"/>
    </row>
    <row r="649" spans="1:42" ht="16.5" customHeight="1">
      <c r="A649" s="439"/>
      <c r="B649" s="439"/>
      <c r="C649" s="439"/>
      <c r="D649" s="439"/>
      <c r="E649" s="439"/>
      <c r="F649" s="439"/>
      <c r="Z649" s="500"/>
      <c r="AA649" s="500"/>
      <c r="AB649" s="500"/>
      <c r="AC649" s="500"/>
      <c r="AD649" s="500"/>
      <c r="AE649" s="500"/>
      <c r="AF649" s="500"/>
      <c r="AG649" s="500"/>
      <c r="AH649" s="500"/>
      <c r="AI649" s="500"/>
      <c r="AJ649" s="500"/>
      <c r="AK649" s="500"/>
      <c r="AL649" s="500"/>
      <c r="AM649" s="500"/>
      <c r="AN649" s="500"/>
      <c r="AO649" s="500"/>
      <c r="AP649" s="500"/>
    </row>
    <row r="650" spans="1:42" ht="16.5" customHeight="1">
      <c r="A650" s="439"/>
      <c r="B650" s="439"/>
      <c r="C650" s="439"/>
      <c r="D650" s="439"/>
      <c r="E650" s="439"/>
      <c r="F650" s="439"/>
      <c r="Z650" s="500"/>
      <c r="AA650" s="500"/>
      <c r="AB650" s="500"/>
      <c r="AC650" s="500"/>
      <c r="AD650" s="500"/>
      <c r="AE650" s="500"/>
      <c r="AF650" s="500"/>
      <c r="AG650" s="500"/>
      <c r="AH650" s="500"/>
      <c r="AI650" s="500"/>
      <c r="AJ650" s="500"/>
      <c r="AK650" s="500"/>
      <c r="AL650" s="500"/>
      <c r="AM650" s="500"/>
      <c r="AN650" s="500"/>
      <c r="AO650" s="500"/>
      <c r="AP650" s="500"/>
    </row>
    <row r="651" spans="1:42" ht="16.5" customHeight="1">
      <c r="A651" s="439"/>
      <c r="B651" s="439"/>
      <c r="C651" s="439"/>
      <c r="D651" s="439"/>
      <c r="E651" s="439"/>
      <c r="F651" s="439"/>
      <c r="Z651" s="500"/>
      <c r="AA651" s="500"/>
      <c r="AB651" s="500"/>
      <c r="AC651" s="500"/>
      <c r="AD651" s="500"/>
      <c r="AE651" s="500"/>
      <c r="AF651" s="500"/>
      <c r="AG651" s="500"/>
      <c r="AH651" s="500"/>
      <c r="AI651" s="500"/>
      <c r="AJ651" s="500"/>
      <c r="AK651" s="500"/>
      <c r="AL651" s="500"/>
      <c r="AM651" s="500"/>
      <c r="AN651" s="500"/>
      <c r="AO651" s="500"/>
      <c r="AP651" s="500"/>
    </row>
    <row r="652" spans="1:42" ht="16.5" customHeight="1">
      <c r="A652" s="439"/>
      <c r="B652" s="439"/>
      <c r="C652" s="439"/>
      <c r="D652" s="439"/>
      <c r="E652" s="439"/>
      <c r="F652" s="439"/>
      <c r="Z652" s="500"/>
      <c r="AA652" s="500"/>
      <c r="AB652" s="500"/>
      <c r="AC652" s="500"/>
      <c r="AD652" s="500"/>
      <c r="AE652" s="500"/>
      <c r="AF652" s="500"/>
      <c r="AG652" s="500"/>
      <c r="AH652" s="500"/>
      <c r="AI652" s="500"/>
      <c r="AJ652" s="500"/>
      <c r="AK652" s="500"/>
      <c r="AL652" s="500"/>
      <c r="AM652" s="500"/>
      <c r="AN652" s="500"/>
      <c r="AO652" s="500"/>
      <c r="AP652" s="500"/>
    </row>
    <row r="653" spans="1:42" ht="16.5" customHeight="1">
      <c r="A653" s="497"/>
      <c r="B653" s="497"/>
      <c r="C653" s="497"/>
      <c r="D653" s="497"/>
      <c r="E653" s="497"/>
      <c r="F653" s="497"/>
      <c r="Z653" s="500"/>
      <c r="AA653" s="500"/>
      <c r="AB653" s="500"/>
      <c r="AC653" s="500"/>
      <c r="AD653" s="500"/>
      <c r="AE653" s="500"/>
      <c r="AF653" s="500"/>
      <c r="AG653" s="500"/>
      <c r="AH653" s="500"/>
      <c r="AI653" s="500"/>
      <c r="AJ653" s="500"/>
      <c r="AK653" s="500"/>
      <c r="AL653" s="500"/>
      <c r="AM653" s="500"/>
      <c r="AN653" s="500"/>
      <c r="AO653" s="500"/>
      <c r="AP653" s="500"/>
    </row>
    <row r="654" spans="1:42" ht="16.5" customHeight="1">
      <c r="A654" s="616" t="s">
        <v>3487</v>
      </c>
      <c r="B654" s="605"/>
      <c r="C654" s="446">
        <f>E654+D654+F654</f>
        <v>2743</v>
      </c>
      <c r="D654" s="453">
        <f>ROUNDDOWN(SUMIF(N607:N640,M654,D607:D640),0)</f>
        <v>2493</v>
      </c>
      <c r="E654" s="454">
        <f>ROUNDDOWN(SUMIF(N607:N640,M654,E607:E640),0)</f>
        <v>250</v>
      </c>
      <c r="F654" s="446">
        <f>ROUNDDOWN(SUMIF(N607:N640,M654,F607:F640),0)</f>
        <v>0</v>
      </c>
      <c r="M654" s="501" t="s">
        <v>2354</v>
      </c>
      <c r="Z654" s="500"/>
      <c r="AA654" s="500"/>
      <c r="AB654" s="500"/>
      <c r="AC654" s="500"/>
      <c r="AD654" s="500"/>
      <c r="AE654" s="500"/>
      <c r="AF654" s="500"/>
      <c r="AG654" s="500"/>
      <c r="AH654" s="500"/>
      <c r="AI654" s="500"/>
      <c r="AJ654" s="500"/>
      <c r="AK654" s="500"/>
      <c r="AL654" s="500"/>
      <c r="AM654" s="500"/>
      <c r="AN654" s="500"/>
      <c r="AO654" s="500"/>
      <c r="AP654" s="500"/>
    </row>
    <row r="655" spans="1:42" ht="16.5" customHeight="1">
      <c r="A655" s="502"/>
      <c r="B655" s="503" t="s">
        <v>5399</v>
      </c>
      <c r="C655" s="615">
        <f>C704</f>
        <v>5985</v>
      </c>
      <c r="D655" s="615">
        <f>D704</f>
        <v>5485</v>
      </c>
      <c r="E655" s="615">
        <f>E704</f>
        <v>500</v>
      </c>
      <c r="F655" s="615">
        <f>F704</f>
        <v>0</v>
      </c>
      <c r="G655" s="486" t="str">
        <f>HYPERLINK("#G"&amp;ROW(G690),"_x0005_`BDCOD|D01331_x0007_`POSS|"&amp;ROW(G657)&amp;"_x0007_`POSE|"&amp;ROW(G690)&amp;"_x0007_`")</f>
        <v>_x0005_`BDCOD|D01331_x0007_`POSS|657_x0007_`POSE|690_x0007_`</v>
      </c>
      <c r="Z655" s="500"/>
      <c r="AA655" s="500"/>
      <c r="AB655" s="500"/>
      <c r="AC655" s="500"/>
      <c r="AD655" s="500"/>
      <c r="AE655" s="500"/>
      <c r="AF655" s="500"/>
      <c r="AG655" s="500"/>
      <c r="AH655" s="500"/>
      <c r="AI655" s="500"/>
      <c r="AJ655" s="500"/>
      <c r="AK655" s="500"/>
      <c r="AL655" s="500"/>
      <c r="AM655" s="500"/>
      <c r="AN655" s="500"/>
      <c r="AO655" s="500"/>
      <c r="AP655" s="500"/>
    </row>
    <row r="656" spans="1:42" ht="16.5" customHeight="1">
      <c r="A656" s="485"/>
      <c r="B656" s="503" t="s">
        <v>5594</v>
      </c>
      <c r="C656" s="593"/>
      <c r="D656" s="593"/>
      <c r="E656" s="593"/>
      <c r="F656" s="593"/>
      <c r="M656" s="501" t="s">
        <v>5399</v>
      </c>
      <c r="Z656" s="500"/>
      <c r="AA656" s="500"/>
      <c r="AB656" s="500"/>
      <c r="AC656" s="500"/>
      <c r="AD656" s="500"/>
      <c r="AE656" s="500"/>
      <c r="AF656" s="500"/>
      <c r="AG656" s="500"/>
      <c r="AH656" s="500"/>
      <c r="AI656" s="500"/>
      <c r="AJ656" s="500"/>
      <c r="AK656" s="500"/>
      <c r="AL656" s="500"/>
      <c r="AM656" s="500"/>
      <c r="AN656" s="500"/>
      <c r="AO656" s="500"/>
      <c r="AP656" s="500"/>
    </row>
    <row r="657" spans="1:42" ht="16.5" customHeight="1">
      <c r="A657" s="439"/>
      <c r="B657" s="439"/>
      <c r="C657" s="504"/>
      <c r="D657" s="504"/>
      <c r="E657" s="504"/>
      <c r="F657" s="504"/>
      <c r="G657" s="451" t="s">
        <v>3406</v>
      </c>
      <c r="Z657" s="500"/>
      <c r="AA657" s="500"/>
      <c r="AB657" s="500"/>
      <c r="AC657" s="500"/>
      <c r="AD657" s="500"/>
      <c r="AE657" s="500"/>
      <c r="AF657" s="500"/>
      <c r="AG657" s="500"/>
      <c r="AH657" s="500"/>
      <c r="AI657" s="500"/>
      <c r="AJ657" s="500"/>
      <c r="AK657" s="500"/>
      <c r="AL657" s="500"/>
      <c r="AM657" s="500"/>
      <c r="AN657" s="500"/>
      <c r="AO657" s="500"/>
      <c r="AP657" s="500"/>
    </row>
    <row r="658" spans="1:42" ht="16.5" customHeight="1">
      <c r="A658" s="434"/>
      <c r="B658" s="437" t="s">
        <v>3513</v>
      </c>
      <c r="C658" s="439"/>
      <c r="D658" s="439"/>
      <c r="E658" s="439"/>
      <c r="F658" s="439"/>
      <c r="G658" s="451" t="s">
        <v>3514</v>
      </c>
      <c r="Z658" s="500"/>
      <c r="AA658" s="500"/>
      <c r="AB658" s="500"/>
      <c r="AC658" s="500"/>
      <c r="AD658" s="500"/>
      <c r="AE658" s="500"/>
      <c r="AF658" s="500"/>
      <c r="AG658" s="500"/>
      <c r="AH658" s="500"/>
      <c r="AI658" s="500"/>
      <c r="AJ658" s="500"/>
      <c r="AK658" s="500"/>
      <c r="AL658" s="500"/>
      <c r="AM658" s="500"/>
      <c r="AN658" s="500"/>
      <c r="AO658" s="500"/>
      <c r="AP658" s="500"/>
    </row>
    <row r="659" spans="1:42" ht="16.5" customHeight="1">
      <c r="A659" s="439"/>
      <c r="B659" s="439"/>
      <c r="C659" s="439"/>
      <c r="D659" s="439"/>
      <c r="E659" s="439"/>
      <c r="F659" s="439"/>
      <c r="G659" s="451" t="s">
        <v>3406</v>
      </c>
      <c r="Z659" s="500"/>
      <c r="AA659" s="500"/>
      <c r="AB659" s="500"/>
      <c r="AC659" s="500"/>
      <c r="AD659" s="500"/>
      <c r="AE659" s="500"/>
      <c r="AF659" s="500"/>
      <c r="AG659" s="500"/>
      <c r="AH659" s="500"/>
      <c r="AI659" s="500"/>
      <c r="AJ659" s="500"/>
      <c r="AK659" s="500"/>
      <c r="AL659" s="500"/>
      <c r="AM659" s="500"/>
      <c r="AN659" s="500"/>
      <c r="AO659" s="500"/>
      <c r="AP659" s="500"/>
    </row>
    <row r="660" spans="1:42" ht="16.5" customHeight="1">
      <c r="A660" s="434"/>
      <c r="B660" s="437" t="s">
        <v>3491</v>
      </c>
      <c r="C660" s="439"/>
      <c r="D660" s="439"/>
      <c r="E660" s="439"/>
      <c r="F660" s="439"/>
      <c r="G660" s="451" t="s">
        <v>3492</v>
      </c>
      <c r="Z660" s="500"/>
      <c r="AA660" s="500"/>
      <c r="AB660" s="500"/>
      <c r="AC660" s="500"/>
      <c r="AD660" s="500"/>
      <c r="AE660" s="500"/>
      <c r="AF660" s="500"/>
      <c r="AG660" s="500"/>
      <c r="AH660" s="500"/>
      <c r="AI660" s="500"/>
      <c r="AJ660" s="500"/>
      <c r="AK660" s="500"/>
      <c r="AL660" s="500"/>
      <c r="AM660" s="500"/>
      <c r="AN660" s="500"/>
      <c r="AO660" s="500"/>
      <c r="AP660" s="500"/>
    </row>
    <row r="661" spans="1:42" ht="16.5" customHeight="1">
      <c r="A661" s="439"/>
      <c r="B661" s="439"/>
      <c r="C661" s="439"/>
      <c r="D661" s="439"/>
      <c r="E661" s="439"/>
      <c r="F661" s="439"/>
      <c r="G661" s="451" t="s">
        <v>3406</v>
      </c>
      <c r="Z661" s="500"/>
      <c r="AA661" s="500"/>
      <c r="AB661" s="500"/>
      <c r="AC661" s="500"/>
      <c r="AD661" s="500"/>
      <c r="AE661" s="500"/>
      <c r="AF661" s="500"/>
      <c r="AG661" s="500"/>
      <c r="AH661" s="500"/>
      <c r="AI661" s="500"/>
      <c r="AJ661" s="500"/>
      <c r="AK661" s="500"/>
      <c r="AL661" s="500"/>
      <c r="AM661" s="500"/>
      <c r="AN661" s="500"/>
      <c r="AO661" s="500"/>
      <c r="AP661" s="500"/>
    </row>
    <row r="662" spans="1:42" ht="16.5" customHeight="1">
      <c r="A662" s="434"/>
      <c r="B662" s="437" t="str">
        <f>" 일당 작업량 :   Q1 = "&amp;Z662&amp;"  주 "</f>
        <v xml:space="preserve"> 일당 작업량 :   Q1 = 200  주 </v>
      </c>
      <c r="C662" s="439"/>
      <c r="D662" s="439"/>
      <c r="E662" s="439"/>
      <c r="F662" s="439"/>
      <c r="G662" s="451" t="s">
        <v>3515</v>
      </c>
      <c r="Z662" s="515">
        <v>200</v>
      </c>
      <c r="AA662" s="501" t="s">
        <v>3418</v>
      </c>
      <c r="AB662" s="512">
        <f>Z662</f>
        <v>200</v>
      </c>
      <c r="AC662" s="500"/>
      <c r="AD662" s="500"/>
      <c r="AE662" s="500"/>
      <c r="AF662" s="500"/>
      <c r="AG662" s="500"/>
      <c r="AH662" s="500"/>
      <c r="AI662" s="500"/>
      <c r="AJ662" s="500"/>
      <c r="AK662" s="500"/>
      <c r="AL662" s="500"/>
      <c r="AM662" s="500"/>
      <c r="AN662" s="500"/>
      <c r="AO662" s="500"/>
      <c r="AP662" s="500"/>
    </row>
    <row r="663" spans="1:42" ht="16.5" customHeight="1">
      <c r="A663" s="439"/>
      <c r="B663" s="439"/>
      <c r="C663" s="439"/>
      <c r="D663" s="439"/>
      <c r="E663" s="439"/>
      <c r="F663" s="439"/>
      <c r="G663" s="451" t="s">
        <v>3406</v>
      </c>
      <c r="Z663" s="500"/>
      <c r="AA663" s="500"/>
      <c r="AB663" s="500"/>
      <c r="AC663" s="500"/>
      <c r="AD663" s="500"/>
      <c r="AE663" s="500"/>
      <c r="AF663" s="500"/>
      <c r="AG663" s="500"/>
      <c r="AH663" s="500"/>
      <c r="AI663" s="500"/>
      <c r="AJ663" s="500"/>
      <c r="AK663" s="500"/>
      <c r="AL663" s="500"/>
      <c r="AM663" s="500"/>
      <c r="AN663" s="500"/>
      <c r="AO663" s="500"/>
      <c r="AP663" s="500"/>
    </row>
    <row r="664" spans="1:42" ht="16.5" customHeight="1">
      <c r="A664" s="434"/>
      <c r="B664" s="437" t="s">
        <v>3494</v>
      </c>
      <c r="C664" s="439"/>
      <c r="D664" s="439"/>
      <c r="E664" s="439"/>
      <c r="F664" s="439"/>
      <c r="G664" s="451" t="s">
        <v>3495</v>
      </c>
      <c r="Z664" s="500"/>
      <c r="AA664" s="500"/>
      <c r="AB664" s="500"/>
      <c r="AC664" s="500"/>
      <c r="AD664" s="500"/>
      <c r="AE664" s="500"/>
      <c r="AF664" s="500"/>
      <c r="AG664" s="500"/>
      <c r="AH664" s="500"/>
      <c r="AI664" s="500"/>
      <c r="AJ664" s="500"/>
      <c r="AK664" s="500"/>
      <c r="AL664" s="500"/>
      <c r="AM664" s="500"/>
      <c r="AN664" s="500"/>
      <c r="AO664" s="500"/>
      <c r="AP664" s="500"/>
    </row>
    <row r="665" spans="1:42" ht="16.5" customHeight="1">
      <c r="A665" s="439"/>
      <c r="B665" s="439"/>
      <c r="C665" s="439"/>
      <c r="D665" s="439"/>
      <c r="E665" s="439"/>
      <c r="F665" s="439"/>
      <c r="G665" s="451" t="s">
        <v>3406</v>
      </c>
      <c r="Z665" s="500"/>
      <c r="AA665" s="500"/>
      <c r="AB665" s="500"/>
      <c r="AC665" s="500"/>
      <c r="AD665" s="500"/>
      <c r="AE665" s="500"/>
      <c r="AF665" s="500"/>
      <c r="AG665" s="500"/>
      <c r="AH665" s="500"/>
      <c r="AI665" s="500"/>
      <c r="AJ665" s="500"/>
      <c r="AK665" s="500"/>
      <c r="AL665" s="500"/>
      <c r="AM665" s="500"/>
      <c r="AN665" s="500"/>
      <c r="AO665" s="500"/>
      <c r="AP665" s="500"/>
    </row>
    <row r="666" spans="1:42" ht="16.5" customHeight="1">
      <c r="A666" s="439"/>
      <c r="B666" s="439"/>
      <c r="C666" s="439"/>
      <c r="D666" s="439"/>
      <c r="E666" s="439"/>
      <c r="F666" s="439"/>
      <c r="G666" s="451" t="s">
        <v>3406</v>
      </c>
      <c r="Z666" s="500"/>
      <c r="AA666" s="500"/>
      <c r="AB666" s="500"/>
      <c r="AC666" s="500"/>
      <c r="AD666" s="500"/>
      <c r="AE666" s="500"/>
      <c r="AF666" s="500"/>
      <c r="AG666" s="500"/>
      <c r="AH666" s="500"/>
      <c r="AI666" s="500"/>
      <c r="AJ666" s="500"/>
      <c r="AK666" s="500"/>
      <c r="AL666" s="500"/>
      <c r="AM666" s="500"/>
      <c r="AN666" s="500"/>
      <c r="AO666" s="500"/>
      <c r="AP666" s="500"/>
    </row>
    <row r="667" spans="1:42" ht="16.5" customHeight="1">
      <c r="A667" s="439"/>
      <c r="B667" s="439"/>
      <c r="C667" s="439"/>
      <c r="D667" s="439"/>
      <c r="E667" s="439"/>
      <c r="F667" s="439"/>
      <c r="G667" s="451" t="s">
        <v>3406</v>
      </c>
      <c r="Z667" s="500"/>
      <c r="AA667" s="500"/>
      <c r="AB667" s="500"/>
      <c r="AC667" s="500"/>
      <c r="AD667" s="500"/>
      <c r="AE667" s="500"/>
      <c r="AF667" s="500"/>
      <c r="AG667" s="500"/>
      <c r="AH667" s="500"/>
      <c r="AI667" s="500"/>
      <c r="AJ667" s="500"/>
      <c r="AK667" s="500"/>
      <c r="AL667" s="500"/>
      <c r="AM667" s="500"/>
      <c r="AN667" s="500"/>
      <c r="AO667" s="500"/>
      <c r="AP667" s="500"/>
    </row>
    <row r="668" spans="1:42" ht="16.5" customHeight="1">
      <c r="A668" s="439"/>
      <c r="B668" s="439"/>
      <c r="C668" s="439"/>
      <c r="D668" s="439"/>
      <c r="E668" s="439"/>
      <c r="F668" s="439"/>
      <c r="G668" s="451" t="s">
        <v>3406</v>
      </c>
      <c r="Z668" s="500"/>
      <c r="AA668" s="500"/>
      <c r="AB668" s="500"/>
      <c r="AC668" s="500"/>
      <c r="AD668" s="500"/>
      <c r="AE668" s="500"/>
      <c r="AF668" s="500"/>
      <c r="AG668" s="500"/>
      <c r="AH668" s="500"/>
      <c r="AI668" s="500"/>
      <c r="AJ668" s="500"/>
      <c r="AK668" s="500"/>
      <c r="AL668" s="500"/>
      <c r="AM668" s="500"/>
      <c r="AN668" s="500"/>
      <c r="AO668" s="500"/>
      <c r="AP668" s="500"/>
    </row>
    <row r="669" spans="1:42" ht="16.5" customHeight="1">
      <c r="A669" s="434"/>
      <c r="B669" s="437" t="s">
        <v>3496</v>
      </c>
      <c r="C669" s="439"/>
      <c r="D669" s="439"/>
      <c r="E669" s="439"/>
      <c r="F669" s="439"/>
      <c r="G669" s="451" t="s">
        <v>3497</v>
      </c>
      <c r="Z669" s="500"/>
      <c r="AA669" s="500"/>
      <c r="AB669" s="500"/>
      <c r="AC669" s="500"/>
      <c r="AD669" s="500"/>
      <c r="AE669" s="500"/>
      <c r="AF669" s="500"/>
      <c r="AG669" s="500"/>
      <c r="AH669" s="500"/>
      <c r="AI669" s="500"/>
      <c r="AJ669" s="500"/>
      <c r="AK669" s="500"/>
      <c r="AL669" s="500"/>
      <c r="AM669" s="500"/>
      <c r="AN669" s="500"/>
      <c r="AO669" s="500"/>
      <c r="AP669" s="500"/>
    </row>
    <row r="670" spans="1:42" ht="16.5" customHeight="1">
      <c r="A670" s="439"/>
      <c r="B670" s="439"/>
      <c r="C670" s="439"/>
      <c r="D670" s="439"/>
      <c r="E670" s="439"/>
      <c r="F670" s="439"/>
      <c r="G670" s="451" t="s">
        <v>3406</v>
      </c>
      <c r="Z670" s="500"/>
      <c r="AA670" s="500"/>
      <c r="AB670" s="500"/>
      <c r="AC670" s="500"/>
      <c r="AD670" s="500"/>
      <c r="AE670" s="500"/>
      <c r="AF670" s="500"/>
      <c r="AG670" s="500"/>
      <c r="AH670" s="500"/>
      <c r="AI670" s="500"/>
      <c r="AJ670" s="500"/>
      <c r="AK670" s="500"/>
      <c r="AL670" s="500"/>
      <c r="AM670" s="500"/>
      <c r="AN670" s="500"/>
      <c r="AO670" s="500"/>
      <c r="AP670" s="500"/>
    </row>
    <row r="671" spans="1:42" ht="16.5" customHeight="1">
      <c r="A671" s="434" t="s">
        <v>3498</v>
      </c>
      <c r="B671" s="505" t="str">
        <f>" 조경공 :  "&amp;TEXT(I671,"#,##0"&amp;IF(I671&lt;&gt;INT(I671),".###",""))&amp;" * "&amp;AA671&amp;" 인  / Q1 = "&amp;TEXT(C671,"#,##0.0")&amp;""</f>
        <v xml:space="preserve"> 조경공 :  235,204 * 3 인  / Q1 = 3,528.0</v>
      </c>
      <c r="C671" s="506">
        <f>E671+D671+F671</f>
        <v>3528</v>
      </c>
      <c r="D671" s="506">
        <f>IF(H671=0,0,ROUNDDOWN(J671*H671,1))</f>
        <v>3528</v>
      </c>
      <c r="E671" s="506">
        <f>IF(H671=0,0,ROUNDDOWN(K671*H671,1))</f>
        <v>0</v>
      </c>
      <c r="F671" s="506">
        <f>IF(H671=0,0,ROUNDDOWN(L671*H671,1))</f>
        <v>0</v>
      </c>
      <c r="G671" s="451" t="s">
        <v>3499</v>
      </c>
      <c r="H671" s="507">
        <f>ROUNDUP(AE671,14-LEN(ABS(INT(AE671))))</f>
        <v>1.4999999999999999E-2</v>
      </c>
      <c r="I671" s="508">
        <f>K671+J671+L671</f>
        <v>235204</v>
      </c>
      <c r="J671" s="509">
        <f>노무비목록표!E15</f>
        <v>235204</v>
      </c>
      <c r="M671" s="501" t="s">
        <v>2359</v>
      </c>
      <c r="N671" s="501" t="s">
        <v>3416</v>
      </c>
      <c r="X671" s="510" t="str">
        <f>노무비목록표!B15&amp;" / "&amp;노무비목록표!C15</f>
        <v xml:space="preserve">조경공 / </v>
      </c>
      <c r="Y671" s="433" t="str">
        <f ca="1">HYPERLINK("#"&amp;노무비목록표!G2&amp;"!A"&amp;ROW(노무비목록표!A15),"L00184 →")</f>
        <v>L00184 →</v>
      </c>
      <c r="Z671" s="501" t="s">
        <v>3500</v>
      </c>
      <c r="AA671" s="515">
        <v>3</v>
      </c>
      <c r="AB671" s="501" t="s">
        <v>3428</v>
      </c>
      <c r="AC671" s="512">
        <f>AB662</f>
        <v>200</v>
      </c>
      <c r="AD671" s="501" t="s">
        <v>3418</v>
      </c>
      <c r="AE671" s="512">
        <f>1*AA671/AB662</f>
        <v>1.4999999999999999E-2</v>
      </c>
      <c r="AF671" s="500"/>
      <c r="AG671" s="500"/>
      <c r="AH671" s="500"/>
      <c r="AI671" s="500"/>
      <c r="AJ671" s="500"/>
      <c r="AK671" s="500"/>
      <c r="AL671" s="500"/>
      <c r="AM671" s="500"/>
      <c r="AN671" s="500"/>
      <c r="AO671" s="500"/>
      <c r="AP671" s="500"/>
    </row>
    <row r="672" spans="1:42" ht="16.5" customHeight="1">
      <c r="A672" s="439"/>
      <c r="B672" s="439"/>
      <c r="C672" s="439"/>
      <c r="D672" s="439"/>
      <c r="E672" s="439"/>
      <c r="F672" s="439"/>
      <c r="G672" s="451" t="s">
        <v>3406</v>
      </c>
      <c r="Z672" s="500"/>
      <c r="AA672" s="500"/>
      <c r="AB672" s="500"/>
      <c r="AC672" s="500"/>
      <c r="AD672" s="500"/>
      <c r="AE672" s="500"/>
      <c r="AF672" s="500"/>
      <c r="AG672" s="500"/>
      <c r="AH672" s="500"/>
      <c r="AI672" s="500"/>
      <c r="AJ672" s="500"/>
      <c r="AK672" s="500"/>
      <c r="AL672" s="500"/>
      <c r="AM672" s="500"/>
      <c r="AN672" s="500"/>
      <c r="AO672" s="500"/>
      <c r="AP672" s="500"/>
    </row>
    <row r="673" spans="1:42" ht="16.5" customHeight="1">
      <c r="A673" s="439"/>
      <c r="B673" s="439"/>
      <c r="C673" s="439"/>
      <c r="D673" s="439"/>
      <c r="E673" s="439"/>
      <c r="F673" s="439"/>
      <c r="G673" s="451" t="s">
        <v>3406</v>
      </c>
      <c r="Z673" s="500"/>
      <c r="AA673" s="500"/>
      <c r="AB673" s="500"/>
      <c r="AC673" s="500"/>
      <c r="AD673" s="500"/>
      <c r="AE673" s="500"/>
      <c r="AF673" s="500"/>
      <c r="AG673" s="500"/>
      <c r="AH673" s="500"/>
      <c r="AI673" s="500"/>
      <c r="AJ673" s="500"/>
      <c r="AK673" s="500"/>
      <c r="AL673" s="500"/>
      <c r="AM673" s="500"/>
      <c r="AN673" s="500"/>
      <c r="AO673" s="500"/>
      <c r="AP673" s="500"/>
    </row>
    <row r="674" spans="1:42" ht="16.5" customHeight="1">
      <c r="A674" s="434" t="s">
        <v>3414</v>
      </c>
      <c r="B674" s="505" t="str">
        <f>" 보통인부 : "&amp;TEXT(I674,"#,##0"&amp;IF(I674&lt;&gt;INT(I674),".###",""))&amp;" * "&amp;AA674&amp;" 인  / Q1 = "&amp;TEXT(C674,"#,##0.0")&amp;""</f>
        <v xml:space="preserve"> 보통인부 : 172,068 * 1 인  / Q1 = 860.3</v>
      </c>
      <c r="C674" s="506">
        <f>E674+D674+F674</f>
        <v>860.3</v>
      </c>
      <c r="D674" s="506">
        <f>IF(H674=0,0,ROUNDDOWN(J674*H674,1))</f>
        <v>860.3</v>
      </c>
      <c r="E674" s="506">
        <f>IF(H674=0,0,ROUNDDOWN(K674*H674,1))</f>
        <v>0</v>
      </c>
      <c r="F674" s="506">
        <f>IF(H674=0,0,ROUNDDOWN(L674*H674,1))</f>
        <v>0</v>
      </c>
      <c r="G674" s="451" t="s">
        <v>3501</v>
      </c>
      <c r="H674" s="507">
        <f>ROUNDUP(AE674,14-LEN(ABS(INT(AE674))))</f>
        <v>5.0000000000000001E-3</v>
      </c>
      <c r="I674" s="508">
        <f>K674+J674+L674</f>
        <v>172068</v>
      </c>
      <c r="J674" s="509">
        <f>노무비목록표!E10</f>
        <v>172068</v>
      </c>
      <c r="M674" s="501" t="s">
        <v>2363</v>
      </c>
      <c r="N674" s="501" t="s">
        <v>3416</v>
      </c>
      <c r="X674" s="510" t="str">
        <f>노무비목록표!B10&amp;" / "&amp;노무비목록표!C10</f>
        <v xml:space="preserve">보통인부 / </v>
      </c>
      <c r="Y674" s="433" t="str">
        <f ca="1">HYPERLINK("#"&amp;노무비목록표!G2&amp;"!A"&amp;ROW(노무비목록표!A10),"L00017 →")</f>
        <v>L00017 →</v>
      </c>
      <c r="Z674" s="501" t="s">
        <v>3500</v>
      </c>
      <c r="AA674" s="515">
        <v>1</v>
      </c>
      <c r="AB674" s="501" t="s">
        <v>3428</v>
      </c>
      <c r="AC674" s="512">
        <f>AB662</f>
        <v>200</v>
      </c>
      <c r="AD674" s="501" t="s">
        <v>3418</v>
      </c>
      <c r="AE674" s="512">
        <f>1*AA674/AB662</f>
        <v>5.0000000000000001E-3</v>
      </c>
      <c r="AF674" s="500"/>
      <c r="AG674" s="500"/>
      <c r="AH674" s="500"/>
      <c r="AI674" s="500"/>
      <c r="AJ674" s="500"/>
      <c r="AK674" s="500"/>
      <c r="AL674" s="500"/>
      <c r="AM674" s="500"/>
      <c r="AN674" s="500"/>
      <c r="AO674" s="500"/>
      <c r="AP674" s="500"/>
    </row>
    <row r="675" spans="1:42" ht="16.5" customHeight="1">
      <c r="A675" s="439"/>
      <c r="B675" s="439"/>
      <c r="C675" s="439"/>
      <c r="D675" s="439"/>
      <c r="E675" s="439"/>
      <c r="F675" s="439"/>
      <c r="G675" s="451" t="s">
        <v>3406</v>
      </c>
      <c r="Z675" s="500"/>
      <c r="AA675" s="500"/>
      <c r="AB675" s="500"/>
      <c r="AC675" s="500"/>
      <c r="AD675" s="500"/>
      <c r="AE675" s="500"/>
      <c r="AF675" s="500"/>
      <c r="AG675" s="500"/>
      <c r="AH675" s="500"/>
      <c r="AI675" s="500"/>
      <c r="AJ675" s="500"/>
      <c r="AK675" s="500"/>
      <c r="AL675" s="500"/>
      <c r="AM675" s="500"/>
      <c r="AN675" s="500"/>
      <c r="AO675" s="500"/>
      <c r="AP675" s="500"/>
    </row>
    <row r="676" spans="1:42" ht="16.5" customHeight="1">
      <c r="A676" s="434"/>
      <c r="B676" s="437" t="s">
        <v>3419</v>
      </c>
      <c r="C676" s="513">
        <f>E676+D676+F676</f>
        <v>4388.3</v>
      </c>
      <c r="D676" s="513">
        <f>SUMIF(N657:N675,M676,D657:D675)</f>
        <v>4388.3</v>
      </c>
      <c r="E676" s="513">
        <f>SUMIF(N657:N675,M676,E657:E675)</f>
        <v>0</v>
      </c>
      <c r="F676" s="513">
        <f>SUMIF(N657:N675,M676,F657:F675)</f>
        <v>0</v>
      </c>
      <c r="G676" s="451" t="s">
        <v>3439</v>
      </c>
      <c r="M676" s="501" t="s">
        <v>3416</v>
      </c>
      <c r="N676" s="501" t="s">
        <v>3421</v>
      </c>
      <c r="Z676" s="500"/>
      <c r="AA676" s="500"/>
      <c r="AB676" s="500"/>
      <c r="AC676" s="500"/>
      <c r="AD676" s="500"/>
      <c r="AE676" s="500"/>
      <c r="AF676" s="500"/>
      <c r="AG676" s="500"/>
      <c r="AH676" s="500"/>
      <c r="AI676" s="500"/>
      <c r="AJ676" s="500"/>
      <c r="AK676" s="500"/>
      <c r="AL676" s="500"/>
      <c r="AM676" s="500"/>
      <c r="AN676" s="500"/>
      <c r="AO676" s="500"/>
      <c r="AP676" s="500"/>
    </row>
    <row r="677" spans="1:42" ht="16.5" customHeight="1">
      <c r="A677" s="439"/>
      <c r="B677" s="439"/>
      <c r="C677" s="504"/>
      <c r="D677" s="504"/>
      <c r="E677" s="504"/>
      <c r="F677" s="504"/>
      <c r="G677" s="451" t="s">
        <v>3406</v>
      </c>
      <c r="Z677" s="500"/>
      <c r="AA677" s="500"/>
      <c r="AB677" s="500"/>
      <c r="AC677" s="500"/>
      <c r="AD677" s="500"/>
      <c r="AE677" s="500"/>
      <c r="AF677" s="500"/>
      <c r="AG677" s="500"/>
      <c r="AH677" s="500"/>
      <c r="AI677" s="500"/>
      <c r="AJ677" s="500"/>
      <c r="AK677" s="500"/>
      <c r="AL677" s="500"/>
      <c r="AM677" s="500"/>
      <c r="AN677" s="500"/>
      <c r="AO677" s="500"/>
      <c r="AP677" s="500"/>
    </row>
    <row r="678" spans="1:42" ht="16.5" customHeight="1">
      <c r="A678" s="439"/>
      <c r="B678" s="439"/>
      <c r="C678" s="439"/>
      <c r="D678" s="439"/>
      <c r="E678" s="439"/>
      <c r="F678" s="439"/>
      <c r="G678" s="451" t="s">
        <v>3406</v>
      </c>
      <c r="Z678" s="500"/>
      <c r="AA678" s="500"/>
      <c r="AB678" s="500"/>
      <c r="AC678" s="500"/>
      <c r="AD678" s="500"/>
      <c r="AE678" s="500"/>
      <c r="AF678" s="500"/>
      <c r="AG678" s="500"/>
      <c r="AH678" s="500"/>
      <c r="AI678" s="500"/>
      <c r="AJ678" s="500"/>
      <c r="AK678" s="500"/>
      <c r="AL678" s="500"/>
      <c r="AM678" s="500"/>
      <c r="AN678" s="500"/>
      <c r="AO678" s="500"/>
      <c r="AP678" s="500"/>
    </row>
    <row r="679" spans="1:42" ht="16.5" customHeight="1">
      <c r="A679" s="434"/>
      <c r="B679" s="437" t="s">
        <v>3502</v>
      </c>
      <c r="C679" s="439"/>
      <c r="D679" s="439"/>
      <c r="E679" s="439"/>
      <c r="F679" s="439"/>
      <c r="G679" s="451" t="s">
        <v>3503</v>
      </c>
      <c r="Z679" s="500"/>
      <c r="AA679" s="500"/>
      <c r="AB679" s="500"/>
      <c r="AC679" s="500"/>
      <c r="AD679" s="500"/>
      <c r="AE679" s="500"/>
      <c r="AF679" s="500"/>
      <c r="AG679" s="500"/>
      <c r="AH679" s="500"/>
      <c r="AI679" s="500"/>
      <c r="AJ679" s="500"/>
      <c r="AK679" s="500"/>
      <c r="AL679" s="500"/>
      <c r="AM679" s="500"/>
      <c r="AN679" s="500"/>
      <c r="AO679" s="500"/>
      <c r="AP679" s="500"/>
    </row>
    <row r="680" spans="1:42" ht="16.5" customHeight="1">
      <c r="A680" s="439"/>
      <c r="B680" s="439"/>
      <c r="C680" s="439"/>
      <c r="D680" s="439"/>
      <c r="E680" s="439"/>
      <c r="F680" s="439"/>
      <c r="G680" s="451" t="s">
        <v>3406</v>
      </c>
      <c r="Z680" s="500"/>
      <c r="AA680" s="500"/>
      <c r="AB680" s="500"/>
      <c r="AC680" s="500"/>
      <c r="AD680" s="500"/>
      <c r="AE680" s="500"/>
      <c r="AF680" s="500"/>
      <c r="AG680" s="500"/>
      <c r="AH680" s="500"/>
      <c r="AI680" s="500"/>
      <c r="AJ680" s="500"/>
      <c r="AK680" s="500"/>
      <c r="AL680" s="500"/>
      <c r="AM680" s="500"/>
      <c r="AN680" s="500"/>
      <c r="AO680" s="500"/>
      <c r="AP680" s="500"/>
    </row>
    <row r="681" spans="1:42" ht="16.5" customHeight="1">
      <c r="A681" s="434" t="s">
        <v>3504</v>
      </c>
      <c r="B681" s="505" t="str">
        <f>"  유기질비료 수목이식·식재용 : "&amp;TEXT(I681,"#,##0"&amp;IF(I681&lt;&gt;INT(I681),".###",""))&amp;" * "&amp;AA681&amp;" KG  / Q1 = "&amp;TEXT(C681,"#,##0.0")&amp;""</f>
        <v xml:space="preserve">  유기질비료 수목이식·식재용 : 500 * 200 KG  / Q1 = 500.0</v>
      </c>
      <c r="C681" s="506">
        <f>E681+D681+F681</f>
        <v>500</v>
      </c>
      <c r="D681" s="506">
        <f>IF(H681=0,0,ROUNDDOWN(J681*H681,1))</f>
        <v>0</v>
      </c>
      <c r="E681" s="506">
        <f>IF(H681=0,0,ROUNDDOWN(K681*H681,1))</f>
        <v>500</v>
      </c>
      <c r="F681" s="506">
        <f>IF(H681=0,0,ROUNDDOWN(L681*H681,1))</f>
        <v>0</v>
      </c>
      <c r="G681" s="451" t="s">
        <v>3516</v>
      </c>
      <c r="H681" s="507">
        <f>ROUNDUP(AE681,14-LEN(ABS(INT(AE681))))</f>
        <v>1</v>
      </c>
      <c r="I681" s="508">
        <f>K681+J681+L681</f>
        <v>500</v>
      </c>
      <c r="K681" s="509">
        <f>재료비목록표!E78</f>
        <v>500</v>
      </c>
      <c r="M681" s="501" t="s">
        <v>3506</v>
      </c>
      <c r="N681" s="501" t="s">
        <v>3416</v>
      </c>
      <c r="X681" s="510" t="str">
        <f>재료비목록표!B78&amp;" / "&amp;재료비목록표!C78</f>
        <v>유기질비료 / 수목이식·식재용</v>
      </c>
      <c r="Y681" s="433" t="str">
        <f ca="1">HYPERLINK("#"&amp;재료비목록표!G2&amp;"!A"&amp;ROW(재료비목록표!A78),"M01159 →")</f>
        <v>M01159 →</v>
      </c>
      <c r="Z681" s="501" t="s">
        <v>3500</v>
      </c>
      <c r="AA681" s="515">
        <v>200</v>
      </c>
      <c r="AB681" s="501" t="s">
        <v>3428</v>
      </c>
      <c r="AC681" s="512">
        <f>AB662</f>
        <v>200</v>
      </c>
      <c r="AD681" s="501" t="s">
        <v>3418</v>
      </c>
      <c r="AE681" s="512">
        <f>1*AA681/AB662</f>
        <v>1</v>
      </c>
      <c r="AF681" s="500"/>
      <c r="AG681" s="500"/>
      <c r="AH681" s="500"/>
      <c r="AI681" s="500"/>
      <c r="AJ681" s="500"/>
      <c r="AK681" s="500"/>
      <c r="AL681" s="500"/>
      <c r="AM681" s="500"/>
      <c r="AN681" s="500"/>
      <c r="AO681" s="500"/>
      <c r="AP681" s="500"/>
    </row>
    <row r="682" spans="1:42" ht="16.5" customHeight="1">
      <c r="A682" s="439"/>
      <c r="B682" s="439"/>
      <c r="C682" s="439"/>
      <c r="D682" s="439"/>
      <c r="E682" s="439"/>
      <c r="F682" s="439"/>
      <c r="G682" s="451" t="s">
        <v>3406</v>
      </c>
      <c r="Z682" s="500"/>
      <c r="AA682" s="500"/>
      <c r="AB682" s="500"/>
      <c r="AC682" s="500"/>
      <c r="AD682" s="500"/>
      <c r="AE682" s="500"/>
      <c r="AF682" s="500"/>
      <c r="AG682" s="500"/>
      <c r="AH682" s="500"/>
      <c r="AI682" s="500"/>
      <c r="AJ682" s="500"/>
      <c r="AK682" s="500"/>
      <c r="AL682" s="500"/>
      <c r="AM682" s="500"/>
      <c r="AN682" s="500"/>
      <c r="AO682" s="500"/>
      <c r="AP682" s="500"/>
    </row>
    <row r="683" spans="1:42" ht="16.5" customHeight="1">
      <c r="A683" s="434"/>
      <c r="B683" s="437" t="s">
        <v>3419</v>
      </c>
      <c r="C683" s="513">
        <f>E683+D683+F683</f>
        <v>500</v>
      </c>
      <c r="D683" s="513">
        <f>SUMIF(N677:N682,M683,D677:D682)</f>
        <v>0</v>
      </c>
      <c r="E683" s="513">
        <f>SUMIF(N677:N682,M683,E677:E682)</f>
        <v>500</v>
      </c>
      <c r="F683" s="513">
        <f>SUMIF(N677:N682,M683,F677:F682)</f>
        <v>0</v>
      </c>
      <c r="G683" s="451" t="s">
        <v>3439</v>
      </c>
      <c r="M683" s="501" t="s">
        <v>3416</v>
      </c>
      <c r="N683" s="501" t="s">
        <v>3421</v>
      </c>
      <c r="Z683" s="500"/>
      <c r="AA683" s="500"/>
      <c r="AB683" s="500"/>
      <c r="AC683" s="500"/>
      <c r="AD683" s="500"/>
      <c r="AE683" s="500"/>
      <c r="AF683" s="500"/>
      <c r="AG683" s="500"/>
      <c r="AH683" s="500"/>
      <c r="AI683" s="500"/>
      <c r="AJ683" s="500"/>
      <c r="AK683" s="500"/>
      <c r="AL683" s="500"/>
      <c r="AM683" s="500"/>
      <c r="AN683" s="500"/>
      <c r="AO683" s="500"/>
      <c r="AP683" s="500"/>
    </row>
    <row r="684" spans="1:42" ht="16.5" customHeight="1">
      <c r="A684" s="439"/>
      <c r="B684" s="439"/>
      <c r="C684" s="504"/>
      <c r="D684" s="504"/>
      <c r="E684" s="504"/>
      <c r="F684" s="504"/>
      <c r="G684" s="451" t="s">
        <v>3406</v>
      </c>
      <c r="Z684" s="500"/>
      <c r="AA684" s="500"/>
      <c r="AB684" s="500"/>
      <c r="AC684" s="500"/>
      <c r="AD684" s="500"/>
      <c r="AE684" s="500"/>
      <c r="AF684" s="500"/>
      <c r="AG684" s="500"/>
      <c r="AH684" s="500"/>
      <c r="AI684" s="500"/>
      <c r="AJ684" s="500"/>
      <c r="AK684" s="500"/>
      <c r="AL684" s="500"/>
      <c r="AM684" s="500"/>
      <c r="AN684" s="500"/>
      <c r="AO684" s="500"/>
      <c r="AP684" s="500"/>
    </row>
    <row r="685" spans="1:42" ht="16.5" customHeight="1">
      <c r="A685" s="434"/>
      <c r="B685" s="505" t="str">
        <f>"  산지할증 : "&amp;TEXT(I685,"#,##0.0")&amp;" * "&amp;AA685&amp;" %  = "&amp;TEXT(C685,"#,##0.0")&amp;""</f>
        <v xml:space="preserve">  산지할증 : 4,388.3 * 25 %  = 1,097.0</v>
      </c>
      <c r="C685" s="506">
        <f>E685+D685+F685</f>
        <v>1097</v>
      </c>
      <c r="D685" s="506">
        <f>IF(H685=0,0,ROUNDDOWN(J685*H685/100,1))</f>
        <v>1097</v>
      </c>
      <c r="E685" s="506">
        <f>IF(H685=0,0,ROUNDDOWN(K685*H685/100,1))</f>
        <v>0</v>
      </c>
      <c r="F685" s="506">
        <f>IF(H685=0,0,ROUNDDOWN(L685*H685/100,1))</f>
        <v>0</v>
      </c>
      <c r="G685" s="451" t="s">
        <v>5592</v>
      </c>
      <c r="H685" s="507">
        <f>ROUNDUP(AC685,14-LEN(ABS(INT(AC685))))</f>
        <v>25</v>
      </c>
      <c r="I685" s="508">
        <f>K685+J685+L685</f>
        <v>4388.3</v>
      </c>
      <c r="J685" s="508">
        <f>D676+D683+SUMIF(N684:N684,N685,D684:D684)</f>
        <v>4388.3</v>
      </c>
      <c r="K685" s="456">
        <v>0</v>
      </c>
      <c r="L685" s="456">
        <v>0</v>
      </c>
      <c r="M685" s="501" t="s">
        <v>4208</v>
      </c>
      <c r="N685" s="501" t="s">
        <v>3416</v>
      </c>
      <c r="Z685" s="501" t="s">
        <v>3500</v>
      </c>
      <c r="AA685" s="515">
        <v>25</v>
      </c>
      <c r="AB685" s="501" t="s">
        <v>3418</v>
      </c>
      <c r="AC685" s="512">
        <f>1*AA685</f>
        <v>25</v>
      </c>
      <c r="AD685" s="500"/>
      <c r="AE685" s="500"/>
      <c r="AF685" s="500"/>
      <c r="AG685" s="500"/>
      <c r="AH685" s="500"/>
      <c r="AI685" s="500"/>
      <c r="AJ685" s="500"/>
      <c r="AK685" s="500"/>
      <c r="AL685" s="500"/>
      <c r="AM685" s="500"/>
      <c r="AN685" s="500"/>
      <c r="AO685" s="500"/>
      <c r="AP685" s="500"/>
    </row>
    <row r="686" spans="1:42" ht="16.5" customHeight="1">
      <c r="A686" s="439"/>
      <c r="B686" s="439"/>
      <c r="C686" s="439"/>
      <c r="D686" s="439"/>
      <c r="E686" s="439"/>
      <c r="F686" s="439"/>
      <c r="G686" s="451" t="s">
        <v>3406</v>
      </c>
      <c r="Z686" s="500"/>
      <c r="AA686" s="500"/>
      <c r="AB686" s="500"/>
      <c r="AC686" s="500"/>
      <c r="AD686" s="500"/>
      <c r="AE686" s="500"/>
      <c r="AF686" s="500"/>
      <c r="AG686" s="500"/>
      <c r="AH686" s="500"/>
      <c r="AI686" s="500"/>
      <c r="AJ686" s="500"/>
      <c r="AK686" s="500"/>
      <c r="AL686" s="500"/>
      <c r="AM686" s="500"/>
      <c r="AN686" s="500"/>
      <c r="AO686" s="500"/>
      <c r="AP686" s="500"/>
    </row>
    <row r="687" spans="1:42" ht="16.5" customHeight="1">
      <c r="A687" s="434"/>
      <c r="B687" s="437" t="s">
        <v>3419</v>
      </c>
      <c r="C687" s="513">
        <f>E687+D687+F687</f>
        <v>1097</v>
      </c>
      <c r="D687" s="513">
        <f>SUMIF(N684:N686,M687,D684:D686)</f>
        <v>1097</v>
      </c>
      <c r="E687" s="513">
        <f>SUMIF(N684:N686,M687,E684:E686)</f>
        <v>0</v>
      </c>
      <c r="F687" s="513">
        <f>SUMIF(N684:N686,M687,F684:F686)</f>
        <v>0</v>
      </c>
      <c r="G687" s="451" t="s">
        <v>3439</v>
      </c>
      <c r="M687" s="501" t="s">
        <v>3416</v>
      </c>
      <c r="N687" s="501" t="s">
        <v>3421</v>
      </c>
      <c r="Z687" s="500"/>
      <c r="AA687" s="500"/>
      <c r="AB687" s="500"/>
      <c r="AC687" s="500"/>
      <c r="AD687" s="500"/>
      <c r="AE687" s="500"/>
      <c r="AF687" s="500"/>
      <c r="AG687" s="500"/>
      <c r="AH687" s="500"/>
      <c r="AI687" s="500"/>
      <c r="AJ687" s="500"/>
      <c r="AK687" s="500"/>
      <c r="AL687" s="500"/>
      <c r="AM687" s="500"/>
      <c r="AN687" s="500"/>
      <c r="AO687" s="500"/>
      <c r="AP687" s="500"/>
    </row>
    <row r="688" spans="1:42" ht="16.5" customHeight="1">
      <c r="A688" s="439"/>
      <c r="B688" s="439"/>
      <c r="C688" s="504"/>
      <c r="D688" s="504"/>
      <c r="E688" s="504"/>
      <c r="F688" s="504"/>
      <c r="G688" s="451" t="s">
        <v>3406</v>
      </c>
      <c r="Z688" s="500"/>
      <c r="AA688" s="500"/>
      <c r="AB688" s="500"/>
      <c r="AC688" s="500"/>
      <c r="AD688" s="500"/>
      <c r="AE688" s="500"/>
      <c r="AF688" s="500"/>
      <c r="AG688" s="500"/>
      <c r="AH688" s="500"/>
      <c r="AI688" s="500"/>
      <c r="AJ688" s="500"/>
      <c r="AK688" s="500"/>
      <c r="AL688" s="500"/>
      <c r="AM688" s="500"/>
      <c r="AN688" s="500"/>
      <c r="AO688" s="500"/>
      <c r="AP688" s="500"/>
    </row>
    <row r="689" spans="1:42" ht="16.5" customHeight="1">
      <c r="A689" s="434"/>
      <c r="B689" s="437" t="s">
        <v>3440</v>
      </c>
      <c r="C689" s="513">
        <f>E689+D689+F689</f>
        <v>5985.3</v>
      </c>
      <c r="D689" s="513">
        <f>SUMIF(N657:N688,M689,D657:D688)</f>
        <v>5485.3</v>
      </c>
      <c r="E689" s="513">
        <f>SUMIF(N657:N688,M689,E657:E688)</f>
        <v>500</v>
      </c>
      <c r="F689" s="513">
        <f>SUMIF(N657:N688,M689,F657:F688)</f>
        <v>0</v>
      </c>
      <c r="G689" s="451" t="s">
        <v>3441</v>
      </c>
      <c r="M689" s="501" t="s">
        <v>3421</v>
      </c>
      <c r="N689" s="501" t="s">
        <v>2354</v>
      </c>
      <c r="Z689" s="500"/>
      <c r="AA689" s="500"/>
      <c r="AB689" s="500"/>
      <c r="AC689" s="500"/>
      <c r="AD689" s="500"/>
      <c r="AE689" s="500"/>
      <c r="AF689" s="500"/>
      <c r="AG689" s="500"/>
      <c r="AH689" s="500"/>
      <c r="AI689" s="500"/>
      <c r="AJ689" s="500"/>
      <c r="AK689" s="500"/>
      <c r="AL689" s="500"/>
      <c r="AM689" s="500"/>
      <c r="AN689" s="500"/>
      <c r="AO689" s="500"/>
      <c r="AP689" s="500"/>
    </row>
    <row r="690" spans="1:42" ht="16.5" customHeight="1">
      <c r="A690" s="439"/>
      <c r="B690" s="439"/>
      <c r="C690" s="504"/>
      <c r="D690" s="504"/>
      <c r="E690" s="504"/>
      <c r="F690" s="504"/>
      <c r="G690" s="451" t="s">
        <v>3413</v>
      </c>
      <c r="Z690" s="500"/>
      <c r="AA690" s="500"/>
      <c r="AB690" s="500"/>
      <c r="AC690" s="500"/>
      <c r="AD690" s="500"/>
      <c r="AE690" s="500"/>
      <c r="AF690" s="500"/>
      <c r="AG690" s="500"/>
      <c r="AH690" s="500"/>
      <c r="AI690" s="500"/>
      <c r="AJ690" s="500"/>
      <c r="AK690" s="500"/>
      <c r="AL690" s="500"/>
      <c r="AM690" s="500"/>
      <c r="AN690" s="500"/>
      <c r="AO690" s="500"/>
      <c r="AP690" s="500"/>
    </row>
    <row r="691" spans="1:42" ht="16.5" customHeight="1">
      <c r="A691" s="439"/>
      <c r="B691" s="439"/>
      <c r="C691" s="439"/>
      <c r="D691" s="439"/>
      <c r="E691" s="439"/>
      <c r="F691" s="439"/>
      <c r="Z691" s="500"/>
      <c r="AA691" s="500"/>
      <c r="AB691" s="500"/>
      <c r="AC691" s="500"/>
      <c r="AD691" s="500"/>
      <c r="AE691" s="500"/>
      <c r="AF691" s="500"/>
      <c r="AG691" s="500"/>
      <c r="AH691" s="500"/>
      <c r="AI691" s="500"/>
      <c r="AJ691" s="500"/>
      <c r="AK691" s="500"/>
      <c r="AL691" s="500"/>
      <c r="AM691" s="500"/>
      <c r="AN691" s="500"/>
      <c r="AO691" s="500"/>
      <c r="AP691" s="500"/>
    </row>
    <row r="692" spans="1:42" ht="16.5" customHeight="1">
      <c r="A692" s="439"/>
      <c r="B692" s="439"/>
      <c r="C692" s="439"/>
      <c r="D692" s="439"/>
      <c r="E692" s="439"/>
      <c r="F692" s="439"/>
      <c r="Z692" s="500"/>
      <c r="AA692" s="500"/>
      <c r="AB692" s="500"/>
      <c r="AC692" s="500"/>
      <c r="AD692" s="500"/>
      <c r="AE692" s="500"/>
      <c r="AF692" s="500"/>
      <c r="AG692" s="500"/>
      <c r="AH692" s="500"/>
      <c r="AI692" s="500"/>
      <c r="AJ692" s="500"/>
      <c r="AK692" s="500"/>
      <c r="AL692" s="500"/>
      <c r="AM692" s="500"/>
      <c r="AN692" s="500"/>
      <c r="AO692" s="500"/>
      <c r="AP692" s="500"/>
    </row>
    <row r="693" spans="1:42" ht="16.5" customHeight="1">
      <c r="A693" s="439"/>
      <c r="B693" s="439"/>
      <c r="C693" s="439"/>
      <c r="D693" s="439"/>
      <c r="E693" s="439"/>
      <c r="F693" s="439"/>
      <c r="Z693" s="500"/>
      <c r="AA693" s="500"/>
      <c r="AB693" s="500"/>
      <c r="AC693" s="500"/>
      <c r="AD693" s="500"/>
      <c r="AE693" s="500"/>
      <c r="AF693" s="500"/>
      <c r="AG693" s="500"/>
      <c r="AH693" s="500"/>
      <c r="AI693" s="500"/>
      <c r="AJ693" s="500"/>
      <c r="AK693" s="500"/>
      <c r="AL693" s="500"/>
      <c r="AM693" s="500"/>
      <c r="AN693" s="500"/>
      <c r="AO693" s="500"/>
      <c r="AP693" s="500"/>
    </row>
    <row r="694" spans="1:42" ht="16.5" customHeight="1">
      <c r="A694" s="439"/>
      <c r="B694" s="439"/>
      <c r="C694" s="439"/>
      <c r="D694" s="439"/>
      <c r="E694" s="439"/>
      <c r="F694" s="439"/>
      <c r="Z694" s="500"/>
      <c r="AA694" s="500"/>
      <c r="AB694" s="500"/>
      <c r="AC694" s="500"/>
      <c r="AD694" s="500"/>
      <c r="AE694" s="500"/>
      <c r="AF694" s="500"/>
      <c r="AG694" s="500"/>
      <c r="AH694" s="500"/>
      <c r="AI694" s="500"/>
      <c r="AJ694" s="500"/>
      <c r="AK694" s="500"/>
      <c r="AL694" s="500"/>
      <c r="AM694" s="500"/>
      <c r="AN694" s="500"/>
      <c r="AO694" s="500"/>
      <c r="AP694" s="500"/>
    </row>
    <row r="695" spans="1:42" ht="16.5" customHeight="1">
      <c r="A695" s="439"/>
      <c r="B695" s="439"/>
      <c r="C695" s="439"/>
      <c r="D695" s="439"/>
      <c r="E695" s="439"/>
      <c r="F695" s="439"/>
      <c r="Z695" s="500"/>
      <c r="AA695" s="500"/>
      <c r="AB695" s="500"/>
      <c r="AC695" s="500"/>
      <c r="AD695" s="500"/>
      <c r="AE695" s="500"/>
      <c r="AF695" s="500"/>
      <c r="AG695" s="500"/>
      <c r="AH695" s="500"/>
      <c r="AI695" s="500"/>
      <c r="AJ695" s="500"/>
      <c r="AK695" s="500"/>
      <c r="AL695" s="500"/>
      <c r="AM695" s="500"/>
      <c r="AN695" s="500"/>
      <c r="AO695" s="500"/>
      <c r="AP695" s="500"/>
    </row>
    <row r="696" spans="1:42" ht="16.5" customHeight="1">
      <c r="A696" s="439"/>
      <c r="B696" s="439"/>
      <c r="C696" s="439"/>
      <c r="D696" s="439"/>
      <c r="E696" s="439"/>
      <c r="F696" s="439"/>
      <c r="Z696" s="500"/>
      <c r="AA696" s="500"/>
      <c r="AB696" s="500"/>
      <c r="AC696" s="500"/>
      <c r="AD696" s="500"/>
      <c r="AE696" s="500"/>
      <c r="AF696" s="500"/>
      <c r="AG696" s="500"/>
      <c r="AH696" s="500"/>
      <c r="AI696" s="500"/>
      <c r="AJ696" s="500"/>
      <c r="AK696" s="500"/>
      <c r="AL696" s="500"/>
      <c r="AM696" s="500"/>
      <c r="AN696" s="500"/>
      <c r="AO696" s="500"/>
      <c r="AP696" s="500"/>
    </row>
    <row r="697" spans="1:42" ht="16.5" customHeight="1">
      <c r="A697" s="439"/>
      <c r="B697" s="439"/>
      <c r="C697" s="439"/>
      <c r="D697" s="439"/>
      <c r="E697" s="439"/>
      <c r="F697" s="439"/>
      <c r="Z697" s="500"/>
      <c r="AA697" s="500"/>
      <c r="AB697" s="500"/>
      <c r="AC697" s="500"/>
      <c r="AD697" s="500"/>
      <c r="AE697" s="500"/>
      <c r="AF697" s="500"/>
      <c r="AG697" s="500"/>
      <c r="AH697" s="500"/>
      <c r="AI697" s="500"/>
      <c r="AJ697" s="500"/>
      <c r="AK697" s="500"/>
      <c r="AL697" s="500"/>
      <c r="AM697" s="500"/>
      <c r="AN697" s="500"/>
      <c r="AO697" s="500"/>
      <c r="AP697" s="500"/>
    </row>
    <row r="698" spans="1:42" ht="16.5" customHeight="1">
      <c r="A698" s="439"/>
      <c r="B698" s="439"/>
      <c r="C698" s="439"/>
      <c r="D698" s="439"/>
      <c r="E698" s="439"/>
      <c r="F698" s="439"/>
      <c r="Z698" s="500"/>
      <c r="AA698" s="500"/>
      <c r="AB698" s="500"/>
      <c r="AC698" s="500"/>
      <c r="AD698" s="500"/>
      <c r="AE698" s="500"/>
      <c r="AF698" s="500"/>
      <c r="AG698" s="500"/>
      <c r="AH698" s="500"/>
      <c r="AI698" s="500"/>
      <c r="AJ698" s="500"/>
      <c r="AK698" s="500"/>
      <c r="AL698" s="500"/>
      <c r="AM698" s="500"/>
      <c r="AN698" s="500"/>
      <c r="AO698" s="500"/>
      <c r="AP698" s="500"/>
    </row>
    <row r="699" spans="1:42" ht="16.5" customHeight="1">
      <c r="A699" s="439"/>
      <c r="B699" s="439"/>
      <c r="C699" s="439"/>
      <c r="D699" s="439"/>
      <c r="E699" s="439"/>
      <c r="F699" s="439"/>
      <c r="Z699" s="500"/>
      <c r="AA699" s="500"/>
      <c r="AB699" s="500"/>
      <c r="AC699" s="500"/>
      <c r="AD699" s="500"/>
      <c r="AE699" s="500"/>
      <c r="AF699" s="500"/>
      <c r="AG699" s="500"/>
      <c r="AH699" s="500"/>
      <c r="AI699" s="500"/>
      <c r="AJ699" s="500"/>
      <c r="AK699" s="500"/>
      <c r="AL699" s="500"/>
      <c r="AM699" s="500"/>
      <c r="AN699" s="500"/>
      <c r="AO699" s="500"/>
      <c r="AP699" s="500"/>
    </row>
    <row r="700" spans="1:42" ht="16.5" customHeight="1">
      <c r="A700" s="439"/>
      <c r="B700" s="439"/>
      <c r="C700" s="439"/>
      <c r="D700" s="439"/>
      <c r="E700" s="439"/>
      <c r="F700" s="439"/>
      <c r="Z700" s="500"/>
      <c r="AA700" s="500"/>
      <c r="AB700" s="500"/>
      <c r="AC700" s="500"/>
      <c r="AD700" s="500"/>
      <c r="AE700" s="500"/>
      <c r="AF700" s="500"/>
      <c r="AG700" s="500"/>
      <c r="AH700" s="500"/>
      <c r="AI700" s="500"/>
      <c r="AJ700" s="500"/>
      <c r="AK700" s="500"/>
      <c r="AL700" s="500"/>
      <c r="AM700" s="500"/>
      <c r="AN700" s="500"/>
      <c r="AO700" s="500"/>
      <c r="AP700" s="500"/>
    </row>
    <row r="701" spans="1:42" ht="16.5" customHeight="1">
      <c r="A701" s="439"/>
      <c r="B701" s="439"/>
      <c r="C701" s="439"/>
      <c r="D701" s="439"/>
      <c r="E701" s="439"/>
      <c r="F701" s="439"/>
      <c r="Z701" s="500"/>
      <c r="AA701" s="500"/>
      <c r="AB701" s="500"/>
      <c r="AC701" s="500"/>
      <c r="AD701" s="500"/>
      <c r="AE701" s="500"/>
      <c r="AF701" s="500"/>
      <c r="AG701" s="500"/>
      <c r="AH701" s="500"/>
      <c r="AI701" s="500"/>
      <c r="AJ701" s="500"/>
      <c r="AK701" s="500"/>
      <c r="AL701" s="500"/>
      <c r="AM701" s="500"/>
      <c r="AN701" s="500"/>
      <c r="AO701" s="500"/>
      <c r="AP701" s="500"/>
    </row>
    <row r="702" spans="1:42" ht="16.5" customHeight="1">
      <c r="A702" s="439"/>
      <c r="B702" s="439"/>
      <c r="C702" s="439"/>
      <c r="D702" s="439"/>
      <c r="E702" s="439"/>
      <c r="F702" s="439"/>
      <c r="Z702" s="500"/>
      <c r="AA702" s="500"/>
      <c r="AB702" s="500"/>
      <c r="AC702" s="500"/>
      <c r="AD702" s="500"/>
      <c r="AE702" s="500"/>
      <c r="AF702" s="500"/>
      <c r="AG702" s="500"/>
      <c r="AH702" s="500"/>
      <c r="AI702" s="500"/>
      <c r="AJ702" s="500"/>
      <c r="AK702" s="500"/>
      <c r="AL702" s="500"/>
      <c r="AM702" s="500"/>
      <c r="AN702" s="500"/>
      <c r="AO702" s="500"/>
      <c r="AP702" s="500"/>
    </row>
    <row r="703" spans="1:42" ht="16.5" customHeight="1">
      <c r="A703" s="497"/>
      <c r="B703" s="497"/>
      <c r="C703" s="497"/>
      <c r="D703" s="497"/>
      <c r="E703" s="497"/>
      <c r="F703" s="497"/>
      <c r="Z703" s="500"/>
      <c r="AA703" s="500"/>
      <c r="AB703" s="500"/>
      <c r="AC703" s="500"/>
      <c r="AD703" s="500"/>
      <c r="AE703" s="500"/>
      <c r="AF703" s="500"/>
      <c r="AG703" s="500"/>
      <c r="AH703" s="500"/>
      <c r="AI703" s="500"/>
      <c r="AJ703" s="500"/>
      <c r="AK703" s="500"/>
      <c r="AL703" s="500"/>
      <c r="AM703" s="500"/>
      <c r="AN703" s="500"/>
      <c r="AO703" s="500"/>
      <c r="AP703" s="500"/>
    </row>
    <row r="704" spans="1:42" ht="16.5" customHeight="1">
      <c r="A704" s="616" t="s">
        <v>3487</v>
      </c>
      <c r="B704" s="605"/>
      <c r="C704" s="446">
        <f>E704+D704+F704</f>
        <v>5985</v>
      </c>
      <c r="D704" s="453">
        <f>ROUNDDOWN(SUMIF(N657:N690,M704,D657:D690),0)</f>
        <v>5485</v>
      </c>
      <c r="E704" s="454">
        <f>ROUNDDOWN(SUMIF(N657:N690,M704,E657:E690),0)</f>
        <v>500</v>
      </c>
      <c r="F704" s="446">
        <f>ROUNDDOWN(SUMIF(N657:N690,M704,F657:F690),0)</f>
        <v>0</v>
      </c>
      <c r="M704" s="501" t="s">
        <v>2354</v>
      </c>
      <c r="Z704" s="500"/>
      <c r="AA704" s="500"/>
      <c r="AB704" s="500"/>
      <c r="AC704" s="500"/>
      <c r="AD704" s="500"/>
      <c r="AE704" s="500"/>
      <c r="AF704" s="500"/>
      <c r="AG704" s="500"/>
      <c r="AH704" s="500"/>
      <c r="AI704" s="500"/>
      <c r="AJ704" s="500"/>
      <c r="AK704" s="500"/>
      <c r="AL704" s="500"/>
      <c r="AM704" s="500"/>
      <c r="AN704" s="500"/>
      <c r="AO704" s="500"/>
      <c r="AP704" s="500"/>
    </row>
    <row r="705" spans="1:42" ht="16.5" customHeight="1">
      <c r="A705" s="502"/>
      <c r="B705" s="503" t="s">
        <v>5402</v>
      </c>
      <c r="C705" s="615">
        <f>C754</f>
        <v>8836</v>
      </c>
      <c r="D705" s="615">
        <f>D754</f>
        <v>7836</v>
      </c>
      <c r="E705" s="615">
        <f>E754</f>
        <v>1000</v>
      </c>
      <c r="F705" s="615">
        <f>F754</f>
        <v>0</v>
      </c>
      <c r="G705" s="486" t="str">
        <f>HYPERLINK("#G"&amp;ROW(G740),"_x0005_`BDCOD|D01332_x0007_`POSS|"&amp;ROW(G707)&amp;"_x0007_`POSE|"&amp;ROW(G740)&amp;"_x0007_`")</f>
        <v>_x0005_`BDCOD|D01332_x0007_`POSS|707_x0007_`POSE|740_x0007_`</v>
      </c>
      <c r="Z705" s="500"/>
      <c r="AA705" s="500"/>
      <c r="AB705" s="500"/>
      <c r="AC705" s="500"/>
      <c r="AD705" s="500"/>
      <c r="AE705" s="500"/>
      <c r="AF705" s="500"/>
      <c r="AG705" s="500"/>
      <c r="AH705" s="500"/>
      <c r="AI705" s="500"/>
      <c r="AJ705" s="500"/>
      <c r="AK705" s="500"/>
      <c r="AL705" s="500"/>
      <c r="AM705" s="500"/>
      <c r="AN705" s="500"/>
      <c r="AO705" s="500"/>
      <c r="AP705" s="500"/>
    </row>
    <row r="706" spans="1:42" ht="16.5" customHeight="1">
      <c r="A706" s="485"/>
      <c r="B706" s="503" t="s">
        <v>5595</v>
      </c>
      <c r="C706" s="593"/>
      <c r="D706" s="593"/>
      <c r="E706" s="593"/>
      <c r="F706" s="593"/>
      <c r="M706" s="501" t="s">
        <v>5402</v>
      </c>
      <c r="Z706" s="500"/>
      <c r="AA706" s="500"/>
      <c r="AB706" s="500"/>
      <c r="AC706" s="500"/>
      <c r="AD706" s="500"/>
      <c r="AE706" s="500"/>
      <c r="AF706" s="500"/>
      <c r="AG706" s="500"/>
      <c r="AH706" s="500"/>
      <c r="AI706" s="500"/>
      <c r="AJ706" s="500"/>
      <c r="AK706" s="500"/>
      <c r="AL706" s="500"/>
      <c r="AM706" s="500"/>
      <c r="AN706" s="500"/>
      <c r="AO706" s="500"/>
      <c r="AP706" s="500"/>
    </row>
    <row r="707" spans="1:42" ht="16.5" customHeight="1">
      <c r="A707" s="439"/>
      <c r="B707" s="439"/>
      <c r="C707" s="504"/>
      <c r="D707" s="504"/>
      <c r="E707" s="504"/>
      <c r="F707" s="504"/>
      <c r="G707" s="451" t="s">
        <v>3406</v>
      </c>
      <c r="Z707" s="500"/>
      <c r="AA707" s="500"/>
      <c r="AB707" s="500"/>
      <c r="AC707" s="500"/>
      <c r="AD707" s="500"/>
      <c r="AE707" s="500"/>
      <c r="AF707" s="500"/>
      <c r="AG707" s="500"/>
      <c r="AH707" s="500"/>
      <c r="AI707" s="500"/>
      <c r="AJ707" s="500"/>
      <c r="AK707" s="500"/>
      <c r="AL707" s="500"/>
      <c r="AM707" s="500"/>
      <c r="AN707" s="500"/>
      <c r="AO707" s="500"/>
      <c r="AP707" s="500"/>
    </row>
    <row r="708" spans="1:42" ht="16.5" customHeight="1">
      <c r="A708" s="434"/>
      <c r="B708" s="437" t="s">
        <v>3518</v>
      </c>
      <c r="C708" s="439"/>
      <c r="D708" s="439"/>
      <c r="E708" s="439"/>
      <c r="F708" s="439"/>
      <c r="G708" s="451" t="s">
        <v>3519</v>
      </c>
      <c r="Z708" s="500"/>
      <c r="AA708" s="500"/>
      <c r="AB708" s="500"/>
      <c r="AC708" s="500"/>
      <c r="AD708" s="500"/>
      <c r="AE708" s="500"/>
      <c r="AF708" s="500"/>
      <c r="AG708" s="500"/>
      <c r="AH708" s="500"/>
      <c r="AI708" s="500"/>
      <c r="AJ708" s="500"/>
      <c r="AK708" s="500"/>
      <c r="AL708" s="500"/>
      <c r="AM708" s="500"/>
      <c r="AN708" s="500"/>
      <c r="AO708" s="500"/>
      <c r="AP708" s="500"/>
    </row>
    <row r="709" spans="1:42" ht="16.5" customHeight="1">
      <c r="A709" s="439"/>
      <c r="B709" s="439"/>
      <c r="C709" s="439"/>
      <c r="D709" s="439"/>
      <c r="E709" s="439"/>
      <c r="F709" s="439"/>
      <c r="G709" s="451" t="s">
        <v>3406</v>
      </c>
      <c r="Z709" s="500"/>
      <c r="AA709" s="500"/>
      <c r="AB709" s="500"/>
      <c r="AC709" s="500"/>
      <c r="AD709" s="500"/>
      <c r="AE709" s="500"/>
      <c r="AF709" s="500"/>
      <c r="AG709" s="500"/>
      <c r="AH709" s="500"/>
      <c r="AI709" s="500"/>
      <c r="AJ709" s="500"/>
      <c r="AK709" s="500"/>
      <c r="AL709" s="500"/>
      <c r="AM709" s="500"/>
      <c r="AN709" s="500"/>
      <c r="AO709" s="500"/>
      <c r="AP709" s="500"/>
    </row>
    <row r="710" spans="1:42" ht="16.5" customHeight="1">
      <c r="A710" s="434"/>
      <c r="B710" s="437" t="s">
        <v>3491</v>
      </c>
      <c r="C710" s="439"/>
      <c r="D710" s="439"/>
      <c r="E710" s="439"/>
      <c r="F710" s="439"/>
      <c r="G710" s="451" t="s">
        <v>3492</v>
      </c>
      <c r="Z710" s="500"/>
      <c r="AA710" s="500"/>
      <c r="AB710" s="500"/>
      <c r="AC710" s="500"/>
      <c r="AD710" s="500"/>
      <c r="AE710" s="500"/>
      <c r="AF710" s="500"/>
      <c r="AG710" s="500"/>
      <c r="AH710" s="500"/>
      <c r="AI710" s="500"/>
      <c r="AJ710" s="500"/>
      <c r="AK710" s="500"/>
      <c r="AL710" s="500"/>
      <c r="AM710" s="500"/>
      <c r="AN710" s="500"/>
      <c r="AO710" s="500"/>
      <c r="AP710" s="500"/>
    </row>
    <row r="711" spans="1:42" ht="16.5" customHeight="1">
      <c r="A711" s="439"/>
      <c r="B711" s="439"/>
      <c r="C711" s="439"/>
      <c r="D711" s="439"/>
      <c r="E711" s="439"/>
      <c r="F711" s="439"/>
      <c r="G711" s="451" t="s">
        <v>3406</v>
      </c>
      <c r="Z711" s="500"/>
      <c r="AA711" s="500"/>
      <c r="AB711" s="500"/>
      <c r="AC711" s="500"/>
      <c r="AD711" s="500"/>
      <c r="AE711" s="500"/>
      <c r="AF711" s="500"/>
      <c r="AG711" s="500"/>
      <c r="AH711" s="500"/>
      <c r="AI711" s="500"/>
      <c r="AJ711" s="500"/>
      <c r="AK711" s="500"/>
      <c r="AL711" s="500"/>
      <c r="AM711" s="500"/>
      <c r="AN711" s="500"/>
      <c r="AO711" s="500"/>
      <c r="AP711" s="500"/>
    </row>
    <row r="712" spans="1:42" ht="16.5" customHeight="1">
      <c r="A712" s="434"/>
      <c r="B712" s="437" t="str">
        <f>" 일당 작업량 :   Q1 = "&amp;Z712&amp;"  주 "</f>
        <v xml:space="preserve"> 일당 작업량 :   Q1 = 140  주 </v>
      </c>
      <c r="C712" s="439"/>
      <c r="D712" s="439"/>
      <c r="E712" s="439"/>
      <c r="F712" s="439"/>
      <c r="G712" s="451" t="s">
        <v>3520</v>
      </c>
      <c r="Z712" s="515">
        <v>140</v>
      </c>
      <c r="AA712" s="501" t="s">
        <v>3418</v>
      </c>
      <c r="AB712" s="512">
        <f>Z712</f>
        <v>140</v>
      </c>
      <c r="AC712" s="500"/>
      <c r="AD712" s="500"/>
      <c r="AE712" s="500"/>
      <c r="AF712" s="500"/>
      <c r="AG712" s="500"/>
      <c r="AH712" s="500"/>
      <c r="AI712" s="500"/>
      <c r="AJ712" s="500"/>
      <c r="AK712" s="500"/>
      <c r="AL712" s="500"/>
      <c r="AM712" s="500"/>
      <c r="AN712" s="500"/>
      <c r="AO712" s="500"/>
      <c r="AP712" s="500"/>
    </row>
    <row r="713" spans="1:42" ht="16.5" customHeight="1">
      <c r="A713" s="439"/>
      <c r="B713" s="439"/>
      <c r="C713" s="439"/>
      <c r="D713" s="439"/>
      <c r="E713" s="439"/>
      <c r="F713" s="439"/>
      <c r="G713" s="451" t="s">
        <v>3406</v>
      </c>
      <c r="Z713" s="500"/>
      <c r="AA713" s="500"/>
      <c r="AB713" s="500"/>
      <c r="AC713" s="500"/>
      <c r="AD713" s="500"/>
      <c r="AE713" s="500"/>
      <c r="AF713" s="500"/>
      <c r="AG713" s="500"/>
      <c r="AH713" s="500"/>
      <c r="AI713" s="500"/>
      <c r="AJ713" s="500"/>
      <c r="AK713" s="500"/>
      <c r="AL713" s="500"/>
      <c r="AM713" s="500"/>
      <c r="AN713" s="500"/>
      <c r="AO713" s="500"/>
      <c r="AP713" s="500"/>
    </row>
    <row r="714" spans="1:42" ht="16.5" customHeight="1">
      <c r="A714" s="434"/>
      <c r="B714" s="437" t="s">
        <v>3494</v>
      </c>
      <c r="C714" s="439"/>
      <c r="D714" s="439"/>
      <c r="E714" s="439"/>
      <c r="F714" s="439"/>
      <c r="G714" s="451" t="s">
        <v>3495</v>
      </c>
      <c r="Z714" s="500"/>
      <c r="AA714" s="500"/>
      <c r="AB714" s="500"/>
      <c r="AC714" s="500"/>
      <c r="AD714" s="500"/>
      <c r="AE714" s="500"/>
      <c r="AF714" s="500"/>
      <c r="AG714" s="500"/>
      <c r="AH714" s="500"/>
      <c r="AI714" s="500"/>
      <c r="AJ714" s="500"/>
      <c r="AK714" s="500"/>
      <c r="AL714" s="500"/>
      <c r="AM714" s="500"/>
      <c r="AN714" s="500"/>
      <c r="AO714" s="500"/>
      <c r="AP714" s="500"/>
    </row>
    <row r="715" spans="1:42" ht="16.5" customHeight="1">
      <c r="A715" s="439"/>
      <c r="B715" s="439"/>
      <c r="C715" s="439"/>
      <c r="D715" s="439"/>
      <c r="E715" s="439"/>
      <c r="F715" s="439"/>
      <c r="G715" s="451" t="s">
        <v>3406</v>
      </c>
      <c r="Z715" s="500"/>
      <c r="AA715" s="500"/>
      <c r="AB715" s="500"/>
      <c r="AC715" s="500"/>
      <c r="AD715" s="500"/>
      <c r="AE715" s="500"/>
      <c r="AF715" s="500"/>
      <c r="AG715" s="500"/>
      <c r="AH715" s="500"/>
      <c r="AI715" s="500"/>
      <c r="AJ715" s="500"/>
      <c r="AK715" s="500"/>
      <c r="AL715" s="500"/>
      <c r="AM715" s="500"/>
      <c r="AN715" s="500"/>
      <c r="AO715" s="500"/>
      <c r="AP715" s="500"/>
    </row>
    <row r="716" spans="1:42" ht="16.5" customHeight="1">
      <c r="A716" s="439"/>
      <c r="B716" s="439"/>
      <c r="C716" s="439"/>
      <c r="D716" s="439"/>
      <c r="E716" s="439"/>
      <c r="F716" s="439"/>
      <c r="G716" s="451" t="s">
        <v>3406</v>
      </c>
      <c r="Z716" s="500"/>
      <c r="AA716" s="500"/>
      <c r="AB716" s="500"/>
      <c r="AC716" s="500"/>
      <c r="AD716" s="500"/>
      <c r="AE716" s="500"/>
      <c r="AF716" s="500"/>
      <c r="AG716" s="500"/>
      <c r="AH716" s="500"/>
      <c r="AI716" s="500"/>
      <c r="AJ716" s="500"/>
      <c r="AK716" s="500"/>
      <c r="AL716" s="500"/>
      <c r="AM716" s="500"/>
      <c r="AN716" s="500"/>
      <c r="AO716" s="500"/>
      <c r="AP716" s="500"/>
    </row>
    <row r="717" spans="1:42" ht="16.5" customHeight="1">
      <c r="A717" s="439"/>
      <c r="B717" s="439"/>
      <c r="C717" s="439"/>
      <c r="D717" s="439"/>
      <c r="E717" s="439"/>
      <c r="F717" s="439"/>
      <c r="G717" s="451" t="s">
        <v>3406</v>
      </c>
      <c r="Z717" s="500"/>
      <c r="AA717" s="500"/>
      <c r="AB717" s="500"/>
      <c r="AC717" s="500"/>
      <c r="AD717" s="500"/>
      <c r="AE717" s="500"/>
      <c r="AF717" s="500"/>
      <c r="AG717" s="500"/>
      <c r="AH717" s="500"/>
      <c r="AI717" s="500"/>
      <c r="AJ717" s="500"/>
      <c r="AK717" s="500"/>
      <c r="AL717" s="500"/>
      <c r="AM717" s="500"/>
      <c r="AN717" s="500"/>
      <c r="AO717" s="500"/>
      <c r="AP717" s="500"/>
    </row>
    <row r="718" spans="1:42" ht="16.5" customHeight="1">
      <c r="A718" s="439"/>
      <c r="B718" s="439"/>
      <c r="C718" s="439"/>
      <c r="D718" s="439"/>
      <c r="E718" s="439"/>
      <c r="F718" s="439"/>
      <c r="G718" s="451" t="s">
        <v>3406</v>
      </c>
      <c r="Z718" s="500"/>
      <c r="AA718" s="500"/>
      <c r="AB718" s="500"/>
      <c r="AC718" s="500"/>
      <c r="AD718" s="500"/>
      <c r="AE718" s="500"/>
      <c r="AF718" s="500"/>
      <c r="AG718" s="500"/>
      <c r="AH718" s="500"/>
      <c r="AI718" s="500"/>
      <c r="AJ718" s="500"/>
      <c r="AK718" s="500"/>
      <c r="AL718" s="500"/>
      <c r="AM718" s="500"/>
      <c r="AN718" s="500"/>
      <c r="AO718" s="500"/>
      <c r="AP718" s="500"/>
    </row>
    <row r="719" spans="1:42" ht="16.5" customHeight="1">
      <c r="A719" s="434"/>
      <c r="B719" s="437" t="s">
        <v>3496</v>
      </c>
      <c r="C719" s="439"/>
      <c r="D719" s="439"/>
      <c r="E719" s="439"/>
      <c r="F719" s="439"/>
      <c r="G719" s="451" t="s">
        <v>3497</v>
      </c>
      <c r="Z719" s="500"/>
      <c r="AA719" s="500"/>
      <c r="AB719" s="500"/>
      <c r="AC719" s="500"/>
      <c r="AD719" s="500"/>
      <c r="AE719" s="500"/>
      <c r="AF719" s="500"/>
      <c r="AG719" s="500"/>
      <c r="AH719" s="500"/>
      <c r="AI719" s="500"/>
      <c r="AJ719" s="500"/>
      <c r="AK719" s="500"/>
      <c r="AL719" s="500"/>
      <c r="AM719" s="500"/>
      <c r="AN719" s="500"/>
      <c r="AO719" s="500"/>
      <c r="AP719" s="500"/>
    </row>
    <row r="720" spans="1:42" ht="16.5" customHeight="1">
      <c r="A720" s="439"/>
      <c r="B720" s="439"/>
      <c r="C720" s="439"/>
      <c r="D720" s="439"/>
      <c r="E720" s="439"/>
      <c r="F720" s="439"/>
      <c r="G720" s="451" t="s">
        <v>3406</v>
      </c>
      <c r="Z720" s="500"/>
      <c r="AA720" s="500"/>
      <c r="AB720" s="500"/>
      <c r="AC720" s="500"/>
      <c r="AD720" s="500"/>
      <c r="AE720" s="500"/>
      <c r="AF720" s="500"/>
      <c r="AG720" s="500"/>
      <c r="AH720" s="500"/>
      <c r="AI720" s="500"/>
      <c r="AJ720" s="500"/>
      <c r="AK720" s="500"/>
      <c r="AL720" s="500"/>
      <c r="AM720" s="500"/>
      <c r="AN720" s="500"/>
      <c r="AO720" s="500"/>
      <c r="AP720" s="500"/>
    </row>
    <row r="721" spans="1:42" ht="16.5" customHeight="1">
      <c r="A721" s="434" t="s">
        <v>3498</v>
      </c>
      <c r="B721" s="505" t="str">
        <f>" 조경공 :  "&amp;TEXT(I721,"#,##0"&amp;IF(I721&lt;&gt;INT(I721),".###",""))&amp;" * "&amp;AA721&amp;" 인  / Q1 = "&amp;TEXT(C721,"#,##0.0")&amp;""</f>
        <v xml:space="preserve"> 조경공 :  235,204 * 3 인  / Q1 = 5,040.0</v>
      </c>
      <c r="C721" s="506">
        <f>E721+D721+F721</f>
        <v>5040</v>
      </c>
      <c r="D721" s="506">
        <f>IF(H721=0,0,ROUNDDOWN(J721*H721,1))</f>
        <v>5040</v>
      </c>
      <c r="E721" s="506">
        <f>IF(H721=0,0,ROUNDDOWN(K721*H721,1))</f>
        <v>0</v>
      </c>
      <c r="F721" s="506">
        <f>IF(H721=0,0,ROUNDDOWN(L721*H721,1))</f>
        <v>0</v>
      </c>
      <c r="G721" s="451" t="s">
        <v>3499</v>
      </c>
      <c r="H721" s="507">
        <f>ROUNDUP(AE721,14-LEN(ABS(INT(AE721))))</f>
        <v>2.14285714286E-2</v>
      </c>
      <c r="I721" s="508">
        <f>K721+J721+L721</f>
        <v>235204</v>
      </c>
      <c r="J721" s="509">
        <f>노무비목록표!E15</f>
        <v>235204</v>
      </c>
      <c r="M721" s="501" t="s">
        <v>2359</v>
      </c>
      <c r="N721" s="501" t="s">
        <v>3416</v>
      </c>
      <c r="X721" s="510" t="str">
        <f>노무비목록표!B15&amp;" / "&amp;노무비목록표!C15</f>
        <v xml:space="preserve">조경공 / </v>
      </c>
      <c r="Y721" s="433" t="str">
        <f ca="1">HYPERLINK("#"&amp;노무비목록표!G2&amp;"!A"&amp;ROW(노무비목록표!A15),"L00184 →")</f>
        <v>L00184 →</v>
      </c>
      <c r="Z721" s="501" t="s">
        <v>3500</v>
      </c>
      <c r="AA721" s="515">
        <v>3</v>
      </c>
      <c r="AB721" s="501" t="s">
        <v>3428</v>
      </c>
      <c r="AC721" s="512">
        <f>AB712</f>
        <v>140</v>
      </c>
      <c r="AD721" s="501" t="s">
        <v>3418</v>
      </c>
      <c r="AE721" s="512">
        <f>1*AA721/AB712</f>
        <v>2.1428571428571429E-2</v>
      </c>
      <c r="AF721" s="500"/>
      <c r="AG721" s="500"/>
      <c r="AH721" s="500"/>
      <c r="AI721" s="500"/>
      <c r="AJ721" s="500"/>
      <c r="AK721" s="500"/>
      <c r="AL721" s="500"/>
      <c r="AM721" s="500"/>
      <c r="AN721" s="500"/>
      <c r="AO721" s="500"/>
      <c r="AP721" s="500"/>
    </row>
    <row r="722" spans="1:42" ht="16.5" customHeight="1">
      <c r="A722" s="439"/>
      <c r="B722" s="439"/>
      <c r="C722" s="439"/>
      <c r="D722" s="439"/>
      <c r="E722" s="439"/>
      <c r="F722" s="439"/>
      <c r="G722" s="451" t="s">
        <v>3406</v>
      </c>
      <c r="Z722" s="500"/>
      <c r="AA722" s="500"/>
      <c r="AB722" s="500"/>
      <c r="AC722" s="500"/>
      <c r="AD722" s="500"/>
      <c r="AE722" s="500"/>
      <c r="AF722" s="500"/>
      <c r="AG722" s="500"/>
      <c r="AH722" s="500"/>
      <c r="AI722" s="500"/>
      <c r="AJ722" s="500"/>
      <c r="AK722" s="500"/>
      <c r="AL722" s="500"/>
      <c r="AM722" s="500"/>
      <c r="AN722" s="500"/>
      <c r="AO722" s="500"/>
      <c r="AP722" s="500"/>
    </row>
    <row r="723" spans="1:42" ht="16.5" customHeight="1">
      <c r="A723" s="439"/>
      <c r="B723" s="439"/>
      <c r="C723" s="439"/>
      <c r="D723" s="439"/>
      <c r="E723" s="439"/>
      <c r="F723" s="439"/>
      <c r="G723" s="451" t="s">
        <v>3406</v>
      </c>
      <c r="Z723" s="500"/>
      <c r="AA723" s="500"/>
      <c r="AB723" s="500"/>
      <c r="AC723" s="500"/>
      <c r="AD723" s="500"/>
      <c r="AE723" s="500"/>
      <c r="AF723" s="500"/>
      <c r="AG723" s="500"/>
      <c r="AH723" s="500"/>
      <c r="AI723" s="500"/>
      <c r="AJ723" s="500"/>
      <c r="AK723" s="500"/>
      <c r="AL723" s="500"/>
      <c r="AM723" s="500"/>
      <c r="AN723" s="500"/>
      <c r="AO723" s="500"/>
      <c r="AP723" s="500"/>
    </row>
    <row r="724" spans="1:42" ht="16.5" customHeight="1">
      <c r="A724" s="434" t="s">
        <v>3414</v>
      </c>
      <c r="B724" s="505" t="str">
        <f>" 보통인부 : "&amp;TEXT(I724,"#,##0"&amp;IF(I724&lt;&gt;INT(I724),".###",""))&amp;" * "&amp;AA724&amp;" 인  / Q1 = "&amp;TEXT(C724,"#,##0.0")&amp;""</f>
        <v xml:space="preserve"> 보통인부 : 172,068 * 1 인  / Q1 = 1,229.0</v>
      </c>
      <c r="C724" s="506">
        <f>E724+D724+F724</f>
        <v>1229</v>
      </c>
      <c r="D724" s="506">
        <f>IF(H724=0,0,ROUNDDOWN(J724*H724,1))</f>
        <v>1229</v>
      </c>
      <c r="E724" s="506">
        <f>IF(H724=0,0,ROUNDDOWN(K724*H724,1))</f>
        <v>0</v>
      </c>
      <c r="F724" s="506">
        <f>IF(H724=0,0,ROUNDDOWN(L724*H724,1))</f>
        <v>0</v>
      </c>
      <c r="G724" s="451" t="s">
        <v>3501</v>
      </c>
      <c r="H724" s="507">
        <f>ROUNDUP(AE724,14-LEN(ABS(INT(AE724))))</f>
        <v>7.1428571428999998E-3</v>
      </c>
      <c r="I724" s="508">
        <f>K724+J724+L724</f>
        <v>172068</v>
      </c>
      <c r="J724" s="509">
        <f>노무비목록표!E10</f>
        <v>172068</v>
      </c>
      <c r="M724" s="501" t="s">
        <v>2363</v>
      </c>
      <c r="N724" s="501" t="s">
        <v>3416</v>
      </c>
      <c r="X724" s="510" t="str">
        <f>노무비목록표!B10&amp;" / "&amp;노무비목록표!C10</f>
        <v xml:space="preserve">보통인부 / </v>
      </c>
      <c r="Y724" s="433" t="str">
        <f ca="1">HYPERLINK("#"&amp;노무비목록표!G2&amp;"!A"&amp;ROW(노무비목록표!A10),"L00017 →")</f>
        <v>L00017 →</v>
      </c>
      <c r="Z724" s="501" t="s">
        <v>3500</v>
      </c>
      <c r="AA724" s="515">
        <v>1</v>
      </c>
      <c r="AB724" s="501" t="s">
        <v>3428</v>
      </c>
      <c r="AC724" s="512">
        <f>AB712</f>
        <v>140</v>
      </c>
      <c r="AD724" s="501" t="s">
        <v>3418</v>
      </c>
      <c r="AE724" s="512">
        <f>1*AA724/AB712</f>
        <v>7.1428571428571426E-3</v>
      </c>
      <c r="AF724" s="500"/>
      <c r="AG724" s="500"/>
      <c r="AH724" s="500"/>
      <c r="AI724" s="500"/>
      <c r="AJ724" s="500"/>
      <c r="AK724" s="500"/>
      <c r="AL724" s="500"/>
      <c r="AM724" s="500"/>
      <c r="AN724" s="500"/>
      <c r="AO724" s="500"/>
      <c r="AP724" s="500"/>
    </row>
    <row r="725" spans="1:42" ht="16.5" customHeight="1">
      <c r="A725" s="439"/>
      <c r="B725" s="439"/>
      <c r="C725" s="439"/>
      <c r="D725" s="439"/>
      <c r="E725" s="439"/>
      <c r="F725" s="439"/>
      <c r="G725" s="451" t="s">
        <v>3406</v>
      </c>
      <c r="Z725" s="500"/>
      <c r="AA725" s="500"/>
      <c r="AB725" s="500"/>
      <c r="AC725" s="500"/>
      <c r="AD725" s="500"/>
      <c r="AE725" s="500"/>
      <c r="AF725" s="500"/>
      <c r="AG725" s="500"/>
      <c r="AH725" s="500"/>
      <c r="AI725" s="500"/>
      <c r="AJ725" s="500"/>
      <c r="AK725" s="500"/>
      <c r="AL725" s="500"/>
      <c r="AM725" s="500"/>
      <c r="AN725" s="500"/>
      <c r="AO725" s="500"/>
      <c r="AP725" s="500"/>
    </row>
    <row r="726" spans="1:42" ht="16.5" customHeight="1">
      <c r="A726" s="434"/>
      <c r="B726" s="437" t="s">
        <v>3419</v>
      </c>
      <c r="C726" s="513">
        <f>E726+D726+F726</f>
        <v>6269</v>
      </c>
      <c r="D726" s="513">
        <f>SUMIF(N707:N725,M726,D707:D725)</f>
        <v>6269</v>
      </c>
      <c r="E726" s="513">
        <f>SUMIF(N707:N725,M726,E707:E725)</f>
        <v>0</v>
      </c>
      <c r="F726" s="513">
        <f>SUMIF(N707:N725,M726,F707:F725)</f>
        <v>0</v>
      </c>
      <c r="G726" s="451" t="s">
        <v>3439</v>
      </c>
      <c r="M726" s="501" t="s">
        <v>3416</v>
      </c>
      <c r="N726" s="501" t="s">
        <v>3421</v>
      </c>
      <c r="Z726" s="500"/>
      <c r="AA726" s="500"/>
      <c r="AB726" s="500"/>
      <c r="AC726" s="500"/>
      <c r="AD726" s="500"/>
      <c r="AE726" s="500"/>
      <c r="AF726" s="500"/>
      <c r="AG726" s="500"/>
      <c r="AH726" s="500"/>
      <c r="AI726" s="500"/>
      <c r="AJ726" s="500"/>
      <c r="AK726" s="500"/>
      <c r="AL726" s="500"/>
      <c r="AM726" s="500"/>
      <c r="AN726" s="500"/>
      <c r="AO726" s="500"/>
      <c r="AP726" s="500"/>
    </row>
    <row r="727" spans="1:42" ht="16.5" customHeight="1">
      <c r="A727" s="439"/>
      <c r="B727" s="439"/>
      <c r="C727" s="504"/>
      <c r="D727" s="504"/>
      <c r="E727" s="504"/>
      <c r="F727" s="504"/>
      <c r="G727" s="451" t="s">
        <v>3406</v>
      </c>
      <c r="Z727" s="500"/>
      <c r="AA727" s="500"/>
      <c r="AB727" s="500"/>
      <c r="AC727" s="500"/>
      <c r="AD727" s="500"/>
      <c r="AE727" s="500"/>
      <c r="AF727" s="500"/>
      <c r="AG727" s="500"/>
      <c r="AH727" s="500"/>
      <c r="AI727" s="500"/>
      <c r="AJ727" s="500"/>
      <c r="AK727" s="500"/>
      <c r="AL727" s="500"/>
      <c r="AM727" s="500"/>
      <c r="AN727" s="500"/>
      <c r="AO727" s="500"/>
      <c r="AP727" s="500"/>
    </row>
    <row r="728" spans="1:42" ht="16.5" customHeight="1">
      <c r="A728" s="439"/>
      <c r="B728" s="439"/>
      <c r="C728" s="439"/>
      <c r="D728" s="439"/>
      <c r="E728" s="439"/>
      <c r="F728" s="439"/>
      <c r="G728" s="451" t="s">
        <v>3406</v>
      </c>
      <c r="Z728" s="500"/>
      <c r="AA728" s="500"/>
      <c r="AB728" s="500"/>
      <c r="AC728" s="500"/>
      <c r="AD728" s="500"/>
      <c r="AE728" s="500"/>
      <c r="AF728" s="500"/>
      <c r="AG728" s="500"/>
      <c r="AH728" s="500"/>
      <c r="AI728" s="500"/>
      <c r="AJ728" s="500"/>
      <c r="AK728" s="500"/>
      <c r="AL728" s="500"/>
      <c r="AM728" s="500"/>
      <c r="AN728" s="500"/>
      <c r="AO728" s="500"/>
      <c r="AP728" s="500"/>
    </row>
    <row r="729" spans="1:42" ht="16.5" customHeight="1">
      <c r="A729" s="434"/>
      <c r="B729" s="437" t="s">
        <v>3502</v>
      </c>
      <c r="C729" s="439"/>
      <c r="D729" s="439"/>
      <c r="E729" s="439"/>
      <c r="F729" s="439"/>
      <c r="G729" s="451" t="s">
        <v>3503</v>
      </c>
      <c r="Z729" s="500"/>
      <c r="AA729" s="500"/>
      <c r="AB729" s="500"/>
      <c r="AC729" s="500"/>
      <c r="AD729" s="500"/>
      <c r="AE729" s="500"/>
      <c r="AF729" s="500"/>
      <c r="AG729" s="500"/>
      <c r="AH729" s="500"/>
      <c r="AI729" s="500"/>
      <c r="AJ729" s="500"/>
      <c r="AK729" s="500"/>
      <c r="AL729" s="500"/>
      <c r="AM729" s="500"/>
      <c r="AN729" s="500"/>
      <c r="AO729" s="500"/>
      <c r="AP729" s="500"/>
    </row>
    <row r="730" spans="1:42" ht="16.5" customHeight="1">
      <c r="A730" s="439"/>
      <c r="B730" s="439"/>
      <c r="C730" s="439"/>
      <c r="D730" s="439"/>
      <c r="E730" s="439"/>
      <c r="F730" s="439"/>
      <c r="G730" s="451" t="s">
        <v>3406</v>
      </c>
      <c r="Z730" s="500"/>
      <c r="AA730" s="500"/>
      <c r="AB730" s="500"/>
      <c r="AC730" s="500"/>
      <c r="AD730" s="500"/>
      <c r="AE730" s="500"/>
      <c r="AF730" s="500"/>
      <c r="AG730" s="500"/>
      <c r="AH730" s="500"/>
      <c r="AI730" s="500"/>
      <c r="AJ730" s="500"/>
      <c r="AK730" s="500"/>
      <c r="AL730" s="500"/>
      <c r="AM730" s="500"/>
      <c r="AN730" s="500"/>
      <c r="AO730" s="500"/>
      <c r="AP730" s="500"/>
    </row>
    <row r="731" spans="1:42" ht="16.5" customHeight="1">
      <c r="A731" s="434" t="s">
        <v>3504</v>
      </c>
      <c r="B731" s="505" t="str">
        <f>"  유기질비료 수목이식·식재용 : "&amp;TEXT(I731,"#,##0"&amp;IF(I731&lt;&gt;INT(I731),".###",""))&amp;" * "&amp;AA731&amp;" KG  / Q1 = "&amp;TEXT(C731,"#,##0.0")&amp;""</f>
        <v xml:space="preserve">  유기질비료 수목이식·식재용 : 500 * 280 KG  / Q1 = 1,000.0</v>
      </c>
      <c r="C731" s="506">
        <f>E731+D731+F731</f>
        <v>1000</v>
      </c>
      <c r="D731" s="506">
        <f>IF(H731=0,0,ROUNDDOWN(J731*H731,1))</f>
        <v>0</v>
      </c>
      <c r="E731" s="506">
        <f>IF(H731=0,0,ROUNDDOWN(K731*H731,1))</f>
        <v>1000</v>
      </c>
      <c r="F731" s="506">
        <f>IF(H731=0,0,ROUNDDOWN(L731*H731,1))</f>
        <v>0</v>
      </c>
      <c r="G731" s="451" t="s">
        <v>3521</v>
      </c>
      <c r="H731" s="507">
        <f>ROUNDUP(AE731,14-LEN(ABS(INT(AE731))))</f>
        <v>2</v>
      </c>
      <c r="I731" s="508">
        <f>K731+J731+L731</f>
        <v>500</v>
      </c>
      <c r="K731" s="509">
        <f>재료비목록표!E78</f>
        <v>500</v>
      </c>
      <c r="M731" s="501" t="s">
        <v>3506</v>
      </c>
      <c r="N731" s="501" t="s">
        <v>3416</v>
      </c>
      <c r="X731" s="510" t="str">
        <f>재료비목록표!B78&amp;" / "&amp;재료비목록표!C78</f>
        <v>유기질비료 / 수목이식·식재용</v>
      </c>
      <c r="Y731" s="433" t="str">
        <f ca="1">HYPERLINK("#"&amp;재료비목록표!G2&amp;"!A"&amp;ROW(재료비목록표!A78),"M01159 →")</f>
        <v>M01159 →</v>
      </c>
      <c r="Z731" s="501" t="s">
        <v>3500</v>
      </c>
      <c r="AA731" s="515">
        <v>280</v>
      </c>
      <c r="AB731" s="501" t="s">
        <v>3428</v>
      </c>
      <c r="AC731" s="512">
        <f>AB712</f>
        <v>140</v>
      </c>
      <c r="AD731" s="501" t="s">
        <v>3418</v>
      </c>
      <c r="AE731" s="512">
        <f>1*AA731/AB712</f>
        <v>2</v>
      </c>
      <c r="AF731" s="500"/>
      <c r="AG731" s="500"/>
      <c r="AH731" s="500"/>
      <c r="AI731" s="500"/>
      <c r="AJ731" s="500"/>
      <c r="AK731" s="500"/>
      <c r="AL731" s="500"/>
      <c r="AM731" s="500"/>
      <c r="AN731" s="500"/>
      <c r="AO731" s="500"/>
      <c r="AP731" s="500"/>
    </row>
    <row r="732" spans="1:42" ht="16.5" customHeight="1">
      <c r="A732" s="439"/>
      <c r="B732" s="439"/>
      <c r="C732" s="439"/>
      <c r="D732" s="439"/>
      <c r="E732" s="439"/>
      <c r="F732" s="439"/>
      <c r="G732" s="451" t="s">
        <v>3406</v>
      </c>
      <c r="Z732" s="500"/>
      <c r="AA732" s="500"/>
      <c r="AB732" s="500"/>
      <c r="AC732" s="500"/>
      <c r="AD732" s="500"/>
      <c r="AE732" s="500"/>
      <c r="AF732" s="500"/>
      <c r="AG732" s="500"/>
      <c r="AH732" s="500"/>
      <c r="AI732" s="500"/>
      <c r="AJ732" s="500"/>
      <c r="AK732" s="500"/>
      <c r="AL732" s="500"/>
      <c r="AM732" s="500"/>
      <c r="AN732" s="500"/>
      <c r="AO732" s="500"/>
      <c r="AP732" s="500"/>
    </row>
    <row r="733" spans="1:42" ht="16.5" customHeight="1">
      <c r="A733" s="434"/>
      <c r="B733" s="437" t="s">
        <v>3419</v>
      </c>
      <c r="C733" s="513">
        <f>E733+D733+F733</f>
        <v>1000</v>
      </c>
      <c r="D733" s="513">
        <f>SUMIF(N727:N732,M733,D727:D732)</f>
        <v>0</v>
      </c>
      <c r="E733" s="513">
        <f>SUMIF(N727:N732,M733,E727:E732)</f>
        <v>1000</v>
      </c>
      <c r="F733" s="513">
        <f>SUMIF(N727:N732,M733,F727:F732)</f>
        <v>0</v>
      </c>
      <c r="G733" s="451" t="s">
        <v>3439</v>
      </c>
      <c r="M733" s="501" t="s">
        <v>3416</v>
      </c>
      <c r="N733" s="501" t="s">
        <v>3421</v>
      </c>
      <c r="Z733" s="500"/>
      <c r="AA733" s="500"/>
      <c r="AB733" s="500"/>
      <c r="AC733" s="500"/>
      <c r="AD733" s="500"/>
      <c r="AE733" s="500"/>
      <c r="AF733" s="500"/>
      <c r="AG733" s="500"/>
      <c r="AH733" s="500"/>
      <c r="AI733" s="500"/>
      <c r="AJ733" s="500"/>
      <c r="AK733" s="500"/>
      <c r="AL733" s="500"/>
      <c r="AM733" s="500"/>
      <c r="AN733" s="500"/>
      <c r="AO733" s="500"/>
      <c r="AP733" s="500"/>
    </row>
    <row r="734" spans="1:42" ht="16.5" customHeight="1">
      <c r="A734" s="439"/>
      <c r="B734" s="439"/>
      <c r="C734" s="504"/>
      <c r="D734" s="504"/>
      <c r="E734" s="504"/>
      <c r="F734" s="504"/>
      <c r="G734" s="451" t="s">
        <v>3406</v>
      </c>
      <c r="Z734" s="500"/>
      <c r="AA734" s="500"/>
      <c r="AB734" s="500"/>
      <c r="AC734" s="500"/>
      <c r="AD734" s="500"/>
      <c r="AE734" s="500"/>
      <c r="AF734" s="500"/>
      <c r="AG734" s="500"/>
      <c r="AH734" s="500"/>
      <c r="AI734" s="500"/>
      <c r="AJ734" s="500"/>
      <c r="AK734" s="500"/>
      <c r="AL734" s="500"/>
      <c r="AM734" s="500"/>
      <c r="AN734" s="500"/>
      <c r="AO734" s="500"/>
      <c r="AP734" s="500"/>
    </row>
    <row r="735" spans="1:42" ht="16.5" customHeight="1">
      <c r="A735" s="434"/>
      <c r="B735" s="505" t="str">
        <f>"  산지할증 : "&amp;TEXT(I735,"#,##0.0")&amp;" * "&amp;AA735&amp;" %  = "&amp;TEXT(C735,"#,##0.0")&amp;""</f>
        <v xml:space="preserve">  산지할증 : 6,269.0 * 25 %  = 1,567.2</v>
      </c>
      <c r="C735" s="506">
        <f>E735+D735+F735</f>
        <v>1567.2</v>
      </c>
      <c r="D735" s="506">
        <f>IF(H735=0,0,ROUNDDOWN(J735*H735/100,1))</f>
        <v>1567.2</v>
      </c>
      <c r="E735" s="506">
        <f>IF(H735=0,0,ROUNDDOWN(K735*H735/100,1))</f>
        <v>0</v>
      </c>
      <c r="F735" s="506">
        <f>IF(H735=0,0,ROUNDDOWN(L735*H735/100,1))</f>
        <v>0</v>
      </c>
      <c r="G735" s="451" t="s">
        <v>5592</v>
      </c>
      <c r="H735" s="507">
        <f>ROUNDUP(AC735,14-LEN(ABS(INT(AC735))))</f>
        <v>25</v>
      </c>
      <c r="I735" s="508">
        <f>K735+J735+L735</f>
        <v>6269</v>
      </c>
      <c r="J735" s="508">
        <f>D726+D733+SUMIF(N734:N734,N735,D734:D734)</f>
        <v>6269</v>
      </c>
      <c r="K735" s="456">
        <v>0</v>
      </c>
      <c r="L735" s="456">
        <v>0</v>
      </c>
      <c r="M735" s="501" t="s">
        <v>4208</v>
      </c>
      <c r="N735" s="501" t="s">
        <v>3416</v>
      </c>
      <c r="Z735" s="501" t="s">
        <v>3500</v>
      </c>
      <c r="AA735" s="515">
        <v>25</v>
      </c>
      <c r="AB735" s="501" t="s">
        <v>3418</v>
      </c>
      <c r="AC735" s="512">
        <f>1*AA735</f>
        <v>25</v>
      </c>
      <c r="AD735" s="500"/>
      <c r="AE735" s="500"/>
      <c r="AF735" s="500"/>
      <c r="AG735" s="500"/>
      <c r="AH735" s="500"/>
      <c r="AI735" s="500"/>
      <c r="AJ735" s="500"/>
      <c r="AK735" s="500"/>
      <c r="AL735" s="500"/>
      <c r="AM735" s="500"/>
      <c r="AN735" s="500"/>
      <c r="AO735" s="500"/>
      <c r="AP735" s="500"/>
    </row>
    <row r="736" spans="1:42" ht="16.5" customHeight="1">
      <c r="A736" s="439"/>
      <c r="B736" s="439"/>
      <c r="C736" s="439"/>
      <c r="D736" s="439"/>
      <c r="E736" s="439"/>
      <c r="F736" s="439"/>
      <c r="G736" s="451" t="s">
        <v>3406</v>
      </c>
      <c r="Z736" s="500"/>
      <c r="AA736" s="500"/>
      <c r="AB736" s="500"/>
      <c r="AC736" s="500"/>
      <c r="AD736" s="500"/>
      <c r="AE736" s="500"/>
      <c r="AF736" s="500"/>
      <c r="AG736" s="500"/>
      <c r="AH736" s="500"/>
      <c r="AI736" s="500"/>
      <c r="AJ736" s="500"/>
      <c r="AK736" s="500"/>
      <c r="AL736" s="500"/>
      <c r="AM736" s="500"/>
      <c r="AN736" s="500"/>
      <c r="AO736" s="500"/>
      <c r="AP736" s="500"/>
    </row>
    <row r="737" spans="1:42" ht="16.5" customHeight="1">
      <c r="A737" s="434"/>
      <c r="B737" s="437" t="s">
        <v>3419</v>
      </c>
      <c r="C737" s="513">
        <f>E737+D737+F737</f>
        <v>1567.2</v>
      </c>
      <c r="D737" s="513">
        <f>SUMIF(N734:N736,M737,D734:D736)</f>
        <v>1567.2</v>
      </c>
      <c r="E737" s="513">
        <f>SUMIF(N734:N736,M737,E734:E736)</f>
        <v>0</v>
      </c>
      <c r="F737" s="513">
        <f>SUMIF(N734:N736,M737,F734:F736)</f>
        <v>0</v>
      </c>
      <c r="G737" s="451" t="s">
        <v>3439</v>
      </c>
      <c r="M737" s="501" t="s">
        <v>3416</v>
      </c>
      <c r="N737" s="501" t="s">
        <v>3421</v>
      </c>
      <c r="Z737" s="500"/>
      <c r="AA737" s="500"/>
      <c r="AB737" s="500"/>
      <c r="AC737" s="500"/>
      <c r="AD737" s="500"/>
      <c r="AE737" s="500"/>
      <c r="AF737" s="500"/>
      <c r="AG737" s="500"/>
      <c r="AH737" s="500"/>
      <c r="AI737" s="500"/>
      <c r="AJ737" s="500"/>
      <c r="AK737" s="500"/>
      <c r="AL737" s="500"/>
      <c r="AM737" s="500"/>
      <c r="AN737" s="500"/>
      <c r="AO737" s="500"/>
      <c r="AP737" s="500"/>
    </row>
    <row r="738" spans="1:42" ht="16.5" customHeight="1">
      <c r="A738" s="439"/>
      <c r="B738" s="439"/>
      <c r="C738" s="504"/>
      <c r="D738" s="504"/>
      <c r="E738" s="504"/>
      <c r="F738" s="504"/>
      <c r="G738" s="451" t="s">
        <v>3406</v>
      </c>
      <c r="Z738" s="500"/>
      <c r="AA738" s="500"/>
      <c r="AB738" s="500"/>
      <c r="AC738" s="500"/>
      <c r="AD738" s="500"/>
      <c r="AE738" s="500"/>
      <c r="AF738" s="500"/>
      <c r="AG738" s="500"/>
      <c r="AH738" s="500"/>
      <c r="AI738" s="500"/>
      <c r="AJ738" s="500"/>
      <c r="AK738" s="500"/>
      <c r="AL738" s="500"/>
      <c r="AM738" s="500"/>
      <c r="AN738" s="500"/>
      <c r="AO738" s="500"/>
      <c r="AP738" s="500"/>
    </row>
    <row r="739" spans="1:42" ht="16.5" customHeight="1">
      <c r="A739" s="434"/>
      <c r="B739" s="437" t="s">
        <v>3440</v>
      </c>
      <c r="C739" s="513">
        <f>E739+D739+F739</f>
        <v>8836.2000000000007</v>
      </c>
      <c r="D739" s="513">
        <f>SUMIF(N707:N738,M739,D707:D738)</f>
        <v>7836.2</v>
      </c>
      <c r="E739" s="513">
        <f>SUMIF(N707:N738,M739,E707:E738)</f>
        <v>1000</v>
      </c>
      <c r="F739" s="513">
        <f>SUMIF(N707:N738,M739,F707:F738)</f>
        <v>0</v>
      </c>
      <c r="G739" s="451" t="s">
        <v>3441</v>
      </c>
      <c r="M739" s="501" t="s">
        <v>3421</v>
      </c>
      <c r="N739" s="501" t="s">
        <v>2354</v>
      </c>
      <c r="Z739" s="500"/>
      <c r="AA739" s="500"/>
      <c r="AB739" s="500"/>
      <c r="AC739" s="500"/>
      <c r="AD739" s="500"/>
      <c r="AE739" s="500"/>
      <c r="AF739" s="500"/>
      <c r="AG739" s="500"/>
      <c r="AH739" s="500"/>
      <c r="AI739" s="500"/>
      <c r="AJ739" s="500"/>
      <c r="AK739" s="500"/>
      <c r="AL739" s="500"/>
      <c r="AM739" s="500"/>
      <c r="AN739" s="500"/>
      <c r="AO739" s="500"/>
      <c r="AP739" s="500"/>
    </row>
    <row r="740" spans="1:42" ht="16.5" customHeight="1">
      <c r="A740" s="439"/>
      <c r="B740" s="439"/>
      <c r="C740" s="504"/>
      <c r="D740" s="504"/>
      <c r="E740" s="504"/>
      <c r="F740" s="504"/>
      <c r="G740" s="451" t="s">
        <v>3413</v>
      </c>
      <c r="Z740" s="500"/>
      <c r="AA740" s="500"/>
      <c r="AB740" s="500"/>
      <c r="AC740" s="500"/>
      <c r="AD740" s="500"/>
      <c r="AE740" s="500"/>
      <c r="AF740" s="500"/>
      <c r="AG740" s="500"/>
      <c r="AH740" s="500"/>
      <c r="AI740" s="500"/>
      <c r="AJ740" s="500"/>
      <c r="AK740" s="500"/>
      <c r="AL740" s="500"/>
      <c r="AM740" s="500"/>
      <c r="AN740" s="500"/>
      <c r="AO740" s="500"/>
      <c r="AP740" s="500"/>
    </row>
    <row r="741" spans="1:42" ht="16.5" customHeight="1">
      <c r="A741" s="439"/>
      <c r="B741" s="439"/>
      <c r="C741" s="439"/>
      <c r="D741" s="439"/>
      <c r="E741" s="439"/>
      <c r="F741" s="439"/>
      <c r="Z741" s="500"/>
      <c r="AA741" s="500"/>
      <c r="AB741" s="500"/>
      <c r="AC741" s="500"/>
      <c r="AD741" s="500"/>
      <c r="AE741" s="500"/>
      <c r="AF741" s="500"/>
      <c r="AG741" s="500"/>
      <c r="AH741" s="500"/>
      <c r="AI741" s="500"/>
      <c r="AJ741" s="500"/>
      <c r="AK741" s="500"/>
      <c r="AL741" s="500"/>
      <c r="AM741" s="500"/>
      <c r="AN741" s="500"/>
      <c r="AO741" s="500"/>
      <c r="AP741" s="500"/>
    </row>
    <row r="742" spans="1:42" ht="16.5" customHeight="1">
      <c r="A742" s="439"/>
      <c r="B742" s="439"/>
      <c r="C742" s="439"/>
      <c r="D742" s="439"/>
      <c r="E742" s="439"/>
      <c r="F742" s="439"/>
      <c r="Z742" s="500"/>
      <c r="AA742" s="500"/>
      <c r="AB742" s="500"/>
      <c r="AC742" s="500"/>
      <c r="AD742" s="500"/>
      <c r="AE742" s="500"/>
      <c r="AF742" s="500"/>
      <c r="AG742" s="500"/>
      <c r="AH742" s="500"/>
      <c r="AI742" s="500"/>
      <c r="AJ742" s="500"/>
      <c r="AK742" s="500"/>
      <c r="AL742" s="500"/>
      <c r="AM742" s="500"/>
      <c r="AN742" s="500"/>
      <c r="AO742" s="500"/>
      <c r="AP742" s="500"/>
    </row>
    <row r="743" spans="1:42" ht="16.5" customHeight="1">
      <c r="A743" s="439"/>
      <c r="B743" s="439"/>
      <c r="C743" s="439"/>
      <c r="D743" s="439"/>
      <c r="E743" s="439"/>
      <c r="F743" s="439"/>
      <c r="Z743" s="500"/>
      <c r="AA743" s="500"/>
      <c r="AB743" s="500"/>
      <c r="AC743" s="500"/>
      <c r="AD743" s="500"/>
      <c r="AE743" s="500"/>
      <c r="AF743" s="500"/>
      <c r="AG743" s="500"/>
      <c r="AH743" s="500"/>
      <c r="AI743" s="500"/>
      <c r="AJ743" s="500"/>
      <c r="AK743" s="500"/>
      <c r="AL743" s="500"/>
      <c r="AM743" s="500"/>
      <c r="AN743" s="500"/>
      <c r="AO743" s="500"/>
      <c r="AP743" s="500"/>
    </row>
    <row r="744" spans="1:42" ht="16.5" customHeight="1">
      <c r="A744" s="439"/>
      <c r="B744" s="439"/>
      <c r="C744" s="439"/>
      <c r="D744" s="439"/>
      <c r="E744" s="439"/>
      <c r="F744" s="439"/>
      <c r="Z744" s="500"/>
      <c r="AA744" s="500"/>
      <c r="AB744" s="500"/>
      <c r="AC744" s="500"/>
      <c r="AD744" s="500"/>
      <c r="AE744" s="500"/>
      <c r="AF744" s="500"/>
      <c r="AG744" s="500"/>
      <c r="AH744" s="500"/>
      <c r="AI744" s="500"/>
      <c r="AJ744" s="500"/>
      <c r="AK744" s="500"/>
      <c r="AL744" s="500"/>
      <c r="AM744" s="500"/>
      <c r="AN744" s="500"/>
      <c r="AO744" s="500"/>
      <c r="AP744" s="500"/>
    </row>
    <row r="745" spans="1:42" ht="16.5" customHeight="1">
      <c r="A745" s="439"/>
      <c r="B745" s="439"/>
      <c r="C745" s="439"/>
      <c r="D745" s="439"/>
      <c r="E745" s="439"/>
      <c r="F745" s="439"/>
      <c r="Z745" s="500"/>
      <c r="AA745" s="500"/>
      <c r="AB745" s="500"/>
      <c r="AC745" s="500"/>
      <c r="AD745" s="500"/>
      <c r="AE745" s="500"/>
      <c r="AF745" s="500"/>
      <c r="AG745" s="500"/>
      <c r="AH745" s="500"/>
      <c r="AI745" s="500"/>
      <c r="AJ745" s="500"/>
      <c r="AK745" s="500"/>
      <c r="AL745" s="500"/>
      <c r="AM745" s="500"/>
      <c r="AN745" s="500"/>
      <c r="AO745" s="500"/>
      <c r="AP745" s="500"/>
    </row>
    <row r="746" spans="1:42" ht="16.5" customHeight="1">
      <c r="A746" s="439"/>
      <c r="B746" s="439"/>
      <c r="C746" s="439"/>
      <c r="D746" s="439"/>
      <c r="E746" s="439"/>
      <c r="F746" s="439"/>
      <c r="Z746" s="500"/>
      <c r="AA746" s="500"/>
      <c r="AB746" s="500"/>
      <c r="AC746" s="500"/>
      <c r="AD746" s="500"/>
      <c r="AE746" s="500"/>
      <c r="AF746" s="500"/>
      <c r="AG746" s="500"/>
      <c r="AH746" s="500"/>
      <c r="AI746" s="500"/>
      <c r="AJ746" s="500"/>
      <c r="AK746" s="500"/>
      <c r="AL746" s="500"/>
      <c r="AM746" s="500"/>
      <c r="AN746" s="500"/>
      <c r="AO746" s="500"/>
      <c r="AP746" s="500"/>
    </row>
    <row r="747" spans="1:42" ht="16.5" customHeight="1">
      <c r="A747" s="439"/>
      <c r="B747" s="439"/>
      <c r="C747" s="439"/>
      <c r="D747" s="439"/>
      <c r="E747" s="439"/>
      <c r="F747" s="439"/>
      <c r="Z747" s="500"/>
      <c r="AA747" s="500"/>
      <c r="AB747" s="500"/>
      <c r="AC747" s="500"/>
      <c r="AD747" s="500"/>
      <c r="AE747" s="500"/>
      <c r="AF747" s="500"/>
      <c r="AG747" s="500"/>
      <c r="AH747" s="500"/>
      <c r="AI747" s="500"/>
      <c r="AJ747" s="500"/>
      <c r="AK747" s="500"/>
      <c r="AL747" s="500"/>
      <c r="AM747" s="500"/>
      <c r="AN747" s="500"/>
      <c r="AO747" s="500"/>
      <c r="AP747" s="500"/>
    </row>
    <row r="748" spans="1:42" ht="16.5" customHeight="1">
      <c r="A748" s="439"/>
      <c r="B748" s="439"/>
      <c r="C748" s="439"/>
      <c r="D748" s="439"/>
      <c r="E748" s="439"/>
      <c r="F748" s="439"/>
      <c r="Z748" s="500"/>
      <c r="AA748" s="500"/>
      <c r="AB748" s="500"/>
      <c r="AC748" s="500"/>
      <c r="AD748" s="500"/>
      <c r="AE748" s="500"/>
      <c r="AF748" s="500"/>
      <c r="AG748" s="500"/>
      <c r="AH748" s="500"/>
      <c r="AI748" s="500"/>
      <c r="AJ748" s="500"/>
      <c r="AK748" s="500"/>
      <c r="AL748" s="500"/>
      <c r="AM748" s="500"/>
      <c r="AN748" s="500"/>
      <c r="AO748" s="500"/>
      <c r="AP748" s="500"/>
    </row>
    <row r="749" spans="1:42" ht="16.5" customHeight="1">
      <c r="A749" s="439"/>
      <c r="B749" s="439"/>
      <c r="C749" s="439"/>
      <c r="D749" s="439"/>
      <c r="E749" s="439"/>
      <c r="F749" s="439"/>
      <c r="Z749" s="500"/>
      <c r="AA749" s="500"/>
      <c r="AB749" s="500"/>
      <c r="AC749" s="500"/>
      <c r="AD749" s="500"/>
      <c r="AE749" s="500"/>
      <c r="AF749" s="500"/>
      <c r="AG749" s="500"/>
      <c r="AH749" s="500"/>
      <c r="AI749" s="500"/>
      <c r="AJ749" s="500"/>
      <c r="AK749" s="500"/>
      <c r="AL749" s="500"/>
      <c r="AM749" s="500"/>
      <c r="AN749" s="500"/>
      <c r="AO749" s="500"/>
      <c r="AP749" s="500"/>
    </row>
    <row r="750" spans="1:42" ht="16.5" customHeight="1">
      <c r="A750" s="439"/>
      <c r="B750" s="439"/>
      <c r="C750" s="439"/>
      <c r="D750" s="439"/>
      <c r="E750" s="439"/>
      <c r="F750" s="439"/>
      <c r="Z750" s="500"/>
      <c r="AA750" s="500"/>
      <c r="AB750" s="500"/>
      <c r="AC750" s="500"/>
      <c r="AD750" s="500"/>
      <c r="AE750" s="500"/>
      <c r="AF750" s="500"/>
      <c r="AG750" s="500"/>
      <c r="AH750" s="500"/>
      <c r="AI750" s="500"/>
      <c r="AJ750" s="500"/>
      <c r="AK750" s="500"/>
      <c r="AL750" s="500"/>
      <c r="AM750" s="500"/>
      <c r="AN750" s="500"/>
      <c r="AO750" s="500"/>
      <c r="AP750" s="500"/>
    </row>
    <row r="751" spans="1:42" ht="16.5" customHeight="1">
      <c r="A751" s="439"/>
      <c r="B751" s="439"/>
      <c r="C751" s="439"/>
      <c r="D751" s="439"/>
      <c r="E751" s="439"/>
      <c r="F751" s="439"/>
      <c r="Z751" s="500"/>
      <c r="AA751" s="500"/>
      <c r="AB751" s="500"/>
      <c r="AC751" s="500"/>
      <c r="AD751" s="500"/>
      <c r="AE751" s="500"/>
      <c r="AF751" s="500"/>
      <c r="AG751" s="500"/>
      <c r="AH751" s="500"/>
      <c r="AI751" s="500"/>
      <c r="AJ751" s="500"/>
      <c r="AK751" s="500"/>
      <c r="AL751" s="500"/>
      <c r="AM751" s="500"/>
      <c r="AN751" s="500"/>
      <c r="AO751" s="500"/>
      <c r="AP751" s="500"/>
    </row>
    <row r="752" spans="1:42" ht="16.5" customHeight="1">
      <c r="A752" s="439"/>
      <c r="B752" s="439"/>
      <c r="C752" s="439"/>
      <c r="D752" s="439"/>
      <c r="E752" s="439"/>
      <c r="F752" s="439"/>
      <c r="Z752" s="500"/>
      <c r="AA752" s="500"/>
      <c r="AB752" s="500"/>
      <c r="AC752" s="500"/>
      <c r="AD752" s="500"/>
      <c r="AE752" s="500"/>
      <c r="AF752" s="500"/>
      <c r="AG752" s="500"/>
      <c r="AH752" s="500"/>
      <c r="AI752" s="500"/>
      <c r="AJ752" s="500"/>
      <c r="AK752" s="500"/>
      <c r="AL752" s="500"/>
      <c r="AM752" s="500"/>
      <c r="AN752" s="500"/>
      <c r="AO752" s="500"/>
      <c r="AP752" s="500"/>
    </row>
    <row r="753" spans="1:42" ht="16.5" customHeight="1">
      <c r="A753" s="497"/>
      <c r="B753" s="497"/>
      <c r="C753" s="497"/>
      <c r="D753" s="497"/>
      <c r="E753" s="497"/>
      <c r="F753" s="497"/>
      <c r="Z753" s="500"/>
      <c r="AA753" s="500"/>
      <c r="AB753" s="500"/>
      <c r="AC753" s="500"/>
      <c r="AD753" s="500"/>
      <c r="AE753" s="500"/>
      <c r="AF753" s="500"/>
      <c r="AG753" s="500"/>
      <c r="AH753" s="500"/>
      <c r="AI753" s="500"/>
      <c r="AJ753" s="500"/>
      <c r="AK753" s="500"/>
      <c r="AL753" s="500"/>
      <c r="AM753" s="500"/>
      <c r="AN753" s="500"/>
      <c r="AO753" s="500"/>
      <c r="AP753" s="500"/>
    </row>
    <row r="754" spans="1:42" ht="16.5" customHeight="1">
      <c r="A754" s="616" t="s">
        <v>3487</v>
      </c>
      <c r="B754" s="605"/>
      <c r="C754" s="446">
        <f>E754+D754+F754</f>
        <v>8836</v>
      </c>
      <c r="D754" s="453">
        <f>ROUNDDOWN(SUMIF(N707:N740,M754,D707:D740),0)</f>
        <v>7836</v>
      </c>
      <c r="E754" s="454">
        <f>ROUNDDOWN(SUMIF(N707:N740,M754,E707:E740),0)</f>
        <v>1000</v>
      </c>
      <c r="F754" s="446">
        <f>ROUNDDOWN(SUMIF(N707:N740,M754,F707:F740),0)</f>
        <v>0</v>
      </c>
      <c r="M754" s="501" t="s">
        <v>2354</v>
      </c>
      <c r="Z754" s="500"/>
      <c r="AA754" s="500"/>
      <c r="AB754" s="500"/>
      <c r="AC754" s="500"/>
      <c r="AD754" s="500"/>
      <c r="AE754" s="500"/>
      <c r="AF754" s="500"/>
      <c r="AG754" s="500"/>
      <c r="AH754" s="500"/>
      <c r="AI754" s="500"/>
      <c r="AJ754" s="500"/>
      <c r="AK754" s="500"/>
      <c r="AL754" s="500"/>
      <c r="AM754" s="500"/>
      <c r="AN754" s="500"/>
      <c r="AO754" s="500"/>
      <c r="AP754" s="500"/>
    </row>
    <row r="755" spans="1:42" ht="16.5" customHeight="1">
      <c r="A755" s="502"/>
      <c r="B755" s="503" t="s">
        <v>1875</v>
      </c>
      <c r="C755" s="615">
        <f>C804</f>
        <v>7621</v>
      </c>
      <c r="D755" s="615">
        <f>D804</f>
        <v>7021</v>
      </c>
      <c r="E755" s="615">
        <f>E804</f>
        <v>600</v>
      </c>
      <c r="F755" s="615">
        <f>F804</f>
        <v>0</v>
      </c>
      <c r="G755" s="486" t="str">
        <f>HYPERLINK("#G"&amp;ROW(G786),"_x0005_`BDCOD|D01262_x0007_`POSS|"&amp;ROW(G757)&amp;"_x0007_`POSE|"&amp;ROW(G786)&amp;"_x0007_`")</f>
        <v>_x0005_`BDCOD|D01262_x0007_`POSS|757_x0007_`POSE|786_x0007_`</v>
      </c>
      <c r="Z755" s="500"/>
      <c r="AA755" s="500"/>
      <c r="AB755" s="500"/>
      <c r="AC755" s="500"/>
      <c r="AD755" s="500"/>
      <c r="AE755" s="500"/>
      <c r="AF755" s="500"/>
      <c r="AG755" s="500"/>
      <c r="AH755" s="500"/>
      <c r="AI755" s="500"/>
      <c r="AJ755" s="500"/>
      <c r="AK755" s="500"/>
      <c r="AL755" s="500"/>
      <c r="AM755" s="500"/>
      <c r="AN755" s="500"/>
      <c r="AO755" s="500"/>
      <c r="AP755" s="500"/>
    </row>
    <row r="756" spans="1:42" ht="16.5" customHeight="1">
      <c r="A756" s="485"/>
      <c r="B756" s="503" t="s">
        <v>3522</v>
      </c>
      <c r="C756" s="593"/>
      <c r="D756" s="593"/>
      <c r="E756" s="593"/>
      <c r="F756" s="593"/>
      <c r="M756" s="501" t="s">
        <v>1875</v>
      </c>
      <c r="Z756" s="500"/>
      <c r="AA756" s="500"/>
      <c r="AB756" s="500"/>
      <c r="AC756" s="500"/>
      <c r="AD756" s="500"/>
      <c r="AE756" s="500"/>
      <c r="AF756" s="500"/>
      <c r="AG756" s="500"/>
      <c r="AH756" s="500"/>
      <c r="AI756" s="500"/>
      <c r="AJ756" s="500"/>
      <c r="AK756" s="500"/>
      <c r="AL756" s="500"/>
      <c r="AM756" s="500"/>
      <c r="AN756" s="500"/>
      <c r="AO756" s="500"/>
      <c r="AP756" s="500"/>
    </row>
    <row r="757" spans="1:42" ht="16.5" customHeight="1">
      <c r="A757" s="439"/>
      <c r="B757" s="439"/>
      <c r="C757" s="504"/>
      <c r="D757" s="504"/>
      <c r="E757" s="504"/>
      <c r="F757" s="504"/>
      <c r="G757" s="451" t="s">
        <v>3406</v>
      </c>
      <c r="Z757" s="500"/>
      <c r="AA757" s="500"/>
      <c r="AB757" s="500"/>
      <c r="AC757" s="500"/>
      <c r="AD757" s="500"/>
      <c r="AE757" s="500"/>
      <c r="AF757" s="500"/>
      <c r="AG757" s="500"/>
      <c r="AH757" s="500"/>
      <c r="AI757" s="500"/>
      <c r="AJ757" s="500"/>
      <c r="AK757" s="500"/>
      <c r="AL757" s="500"/>
      <c r="AM757" s="500"/>
      <c r="AN757" s="500"/>
      <c r="AO757" s="500"/>
      <c r="AP757" s="500"/>
    </row>
    <row r="758" spans="1:42" ht="16.5" customHeight="1">
      <c r="A758" s="434"/>
      <c r="B758" s="437" t="s">
        <v>3523</v>
      </c>
      <c r="C758" s="439"/>
      <c r="D758" s="439"/>
      <c r="E758" s="439"/>
      <c r="F758" s="439"/>
      <c r="G758" s="451" t="s">
        <v>3524</v>
      </c>
      <c r="Z758" s="500"/>
      <c r="AA758" s="500"/>
      <c r="AB758" s="500"/>
      <c r="AC758" s="500"/>
      <c r="AD758" s="500"/>
      <c r="AE758" s="500"/>
      <c r="AF758" s="500"/>
      <c r="AG758" s="500"/>
      <c r="AH758" s="500"/>
      <c r="AI758" s="500"/>
      <c r="AJ758" s="500"/>
      <c r="AK758" s="500"/>
      <c r="AL758" s="500"/>
      <c r="AM758" s="500"/>
      <c r="AN758" s="500"/>
      <c r="AO758" s="500"/>
      <c r="AP758" s="500"/>
    </row>
    <row r="759" spans="1:42" ht="16.5" customHeight="1">
      <c r="A759" s="439"/>
      <c r="B759" s="439"/>
      <c r="C759" s="439"/>
      <c r="D759" s="439"/>
      <c r="E759" s="439"/>
      <c r="F759" s="439"/>
      <c r="G759" s="451" t="s">
        <v>3406</v>
      </c>
      <c r="Z759" s="500"/>
      <c r="AA759" s="500"/>
      <c r="AB759" s="500"/>
      <c r="AC759" s="500"/>
      <c r="AD759" s="500"/>
      <c r="AE759" s="500"/>
      <c r="AF759" s="500"/>
      <c r="AG759" s="500"/>
      <c r="AH759" s="500"/>
      <c r="AI759" s="500"/>
      <c r="AJ759" s="500"/>
      <c r="AK759" s="500"/>
      <c r="AL759" s="500"/>
      <c r="AM759" s="500"/>
      <c r="AN759" s="500"/>
      <c r="AO759" s="500"/>
      <c r="AP759" s="500"/>
    </row>
    <row r="760" spans="1:42" ht="16.5" customHeight="1">
      <c r="A760" s="434"/>
      <c r="B760" s="437" t="s">
        <v>3525</v>
      </c>
      <c r="C760" s="439"/>
      <c r="D760" s="439"/>
      <c r="E760" s="439"/>
      <c r="F760" s="439"/>
      <c r="G760" s="451" t="s">
        <v>3526</v>
      </c>
      <c r="Z760" s="500"/>
      <c r="AA760" s="500"/>
      <c r="AB760" s="500"/>
      <c r="AC760" s="500"/>
      <c r="AD760" s="500"/>
      <c r="AE760" s="500"/>
      <c r="AF760" s="500"/>
      <c r="AG760" s="500"/>
      <c r="AH760" s="500"/>
      <c r="AI760" s="500"/>
      <c r="AJ760" s="500"/>
      <c r="AK760" s="500"/>
      <c r="AL760" s="500"/>
      <c r="AM760" s="500"/>
      <c r="AN760" s="500"/>
      <c r="AO760" s="500"/>
      <c r="AP760" s="500"/>
    </row>
    <row r="761" spans="1:42" ht="16.5" customHeight="1">
      <c r="A761" s="439"/>
      <c r="B761" s="439"/>
      <c r="C761" s="439"/>
      <c r="D761" s="439"/>
      <c r="E761" s="439"/>
      <c r="F761" s="439"/>
      <c r="G761" s="451" t="s">
        <v>3406</v>
      </c>
      <c r="Z761" s="500"/>
      <c r="AA761" s="500"/>
      <c r="AB761" s="500"/>
      <c r="AC761" s="500"/>
      <c r="AD761" s="500"/>
      <c r="AE761" s="500"/>
      <c r="AF761" s="500"/>
      <c r="AG761" s="500"/>
      <c r="AH761" s="500"/>
      <c r="AI761" s="500"/>
      <c r="AJ761" s="500"/>
      <c r="AK761" s="500"/>
      <c r="AL761" s="500"/>
      <c r="AM761" s="500"/>
      <c r="AN761" s="500"/>
      <c r="AO761" s="500"/>
      <c r="AP761" s="500"/>
    </row>
    <row r="762" spans="1:42" ht="16.5" customHeight="1">
      <c r="A762" s="434"/>
      <c r="B762" s="437" t="str">
        <f>" 일당 작업량 :   Q1 = "&amp;Z762&amp;"  주 "</f>
        <v xml:space="preserve"> 일당 작업량 :   Q1 = 125  주 </v>
      </c>
      <c r="C762" s="439"/>
      <c r="D762" s="439"/>
      <c r="E762" s="439"/>
      <c r="F762" s="439"/>
      <c r="G762" s="451" t="s">
        <v>3527</v>
      </c>
      <c r="Z762" s="515">
        <v>125</v>
      </c>
      <c r="AA762" s="501" t="s">
        <v>3418</v>
      </c>
      <c r="AB762" s="512">
        <f>Z762</f>
        <v>125</v>
      </c>
      <c r="AC762" s="500"/>
      <c r="AD762" s="500"/>
      <c r="AE762" s="500"/>
      <c r="AF762" s="500"/>
      <c r="AG762" s="500"/>
      <c r="AH762" s="500"/>
      <c r="AI762" s="500"/>
      <c r="AJ762" s="500"/>
      <c r="AK762" s="500"/>
      <c r="AL762" s="500"/>
      <c r="AM762" s="500"/>
      <c r="AN762" s="500"/>
      <c r="AO762" s="500"/>
      <c r="AP762" s="500"/>
    </row>
    <row r="763" spans="1:42" ht="16.5" customHeight="1">
      <c r="A763" s="439"/>
      <c r="B763" s="439"/>
      <c r="C763" s="439"/>
      <c r="D763" s="439"/>
      <c r="E763" s="439"/>
      <c r="F763" s="439"/>
      <c r="G763" s="451" t="s">
        <v>3406</v>
      </c>
      <c r="Z763" s="500"/>
      <c r="AA763" s="500"/>
      <c r="AB763" s="500"/>
      <c r="AC763" s="500"/>
      <c r="AD763" s="500"/>
      <c r="AE763" s="500"/>
      <c r="AF763" s="500"/>
      <c r="AG763" s="500"/>
      <c r="AH763" s="500"/>
      <c r="AI763" s="500"/>
      <c r="AJ763" s="500"/>
      <c r="AK763" s="500"/>
      <c r="AL763" s="500"/>
      <c r="AM763" s="500"/>
      <c r="AN763" s="500"/>
      <c r="AO763" s="500"/>
      <c r="AP763" s="500"/>
    </row>
    <row r="764" spans="1:42" ht="16.5" customHeight="1">
      <c r="A764" s="434"/>
      <c r="B764" s="437" t="s">
        <v>3494</v>
      </c>
      <c r="C764" s="439"/>
      <c r="D764" s="439"/>
      <c r="E764" s="439"/>
      <c r="F764" s="439"/>
      <c r="G764" s="451" t="s">
        <v>3495</v>
      </c>
      <c r="Z764" s="500"/>
      <c r="AA764" s="500"/>
      <c r="AB764" s="500"/>
      <c r="AC764" s="500"/>
      <c r="AD764" s="500"/>
      <c r="AE764" s="500"/>
      <c r="AF764" s="500"/>
      <c r="AG764" s="500"/>
      <c r="AH764" s="500"/>
      <c r="AI764" s="500"/>
      <c r="AJ764" s="500"/>
      <c r="AK764" s="500"/>
      <c r="AL764" s="500"/>
      <c r="AM764" s="500"/>
      <c r="AN764" s="500"/>
      <c r="AO764" s="500"/>
      <c r="AP764" s="500"/>
    </row>
    <row r="765" spans="1:42" ht="16.5" customHeight="1">
      <c r="A765" s="439"/>
      <c r="B765" s="439"/>
      <c r="C765" s="439"/>
      <c r="D765" s="439"/>
      <c r="E765" s="439"/>
      <c r="F765" s="439"/>
      <c r="G765" s="451" t="s">
        <v>3406</v>
      </c>
      <c r="Z765" s="500"/>
      <c r="AA765" s="500"/>
      <c r="AB765" s="500"/>
      <c r="AC765" s="500"/>
      <c r="AD765" s="500"/>
      <c r="AE765" s="500"/>
      <c r="AF765" s="500"/>
      <c r="AG765" s="500"/>
      <c r="AH765" s="500"/>
      <c r="AI765" s="500"/>
      <c r="AJ765" s="500"/>
      <c r="AK765" s="500"/>
      <c r="AL765" s="500"/>
      <c r="AM765" s="500"/>
      <c r="AN765" s="500"/>
      <c r="AO765" s="500"/>
      <c r="AP765" s="500"/>
    </row>
    <row r="766" spans="1:42" ht="16.5" customHeight="1">
      <c r="A766" s="439"/>
      <c r="B766" s="439"/>
      <c r="C766" s="439"/>
      <c r="D766" s="439"/>
      <c r="E766" s="439"/>
      <c r="F766" s="439"/>
      <c r="G766" s="451" t="s">
        <v>3406</v>
      </c>
      <c r="Z766" s="500"/>
      <c r="AA766" s="500"/>
      <c r="AB766" s="500"/>
      <c r="AC766" s="500"/>
      <c r="AD766" s="500"/>
      <c r="AE766" s="500"/>
      <c r="AF766" s="500"/>
      <c r="AG766" s="500"/>
      <c r="AH766" s="500"/>
      <c r="AI766" s="500"/>
      <c r="AJ766" s="500"/>
      <c r="AK766" s="500"/>
      <c r="AL766" s="500"/>
      <c r="AM766" s="500"/>
      <c r="AN766" s="500"/>
      <c r="AO766" s="500"/>
      <c r="AP766" s="500"/>
    </row>
    <row r="767" spans="1:42" ht="16.5" customHeight="1">
      <c r="A767" s="439"/>
      <c r="B767" s="439"/>
      <c r="C767" s="439"/>
      <c r="D767" s="439"/>
      <c r="E767" s="439"/>
      <c r="F767" s="439"/>
      <c r="G767" s="451" t="s">
        <v>3406</v>
      </c>
      <c r="Z767" s="500"/>
      <c r="AA767" s="500"/>
      <c r="AB767" s="500"/>
      <c r="AC767" s="500"/>
      <c r="AD767" s="500"/>
      <c r="AE767" s="500"/>
      <c r="AF767" s="500"/>
      <c r="AG767" s="500"/>
      <c r="AH767" s="500"/>
      <c r="AI767" s="500"/>
      <c r="AJ767" s="500"/>
      <c r="AK767" s="500"/>
      <c r="AL767" s="500"/>
      <c r="AM767" s="500"/>
      <c r="AN767" s="500"/>
      <c r="AO767" s="500"/>
      <c r="AP767" s="500"/>
    </row>
    <row r="768" spans="1:42" ht="16.5" customHeight="1">
      <c r="A768" s="439"/>
      <c r="B768" s="439"/>
      <c r="C768" s="439"/>
      <c r="D768" s="439"/>
      <c r="E768" s="439"/>
      <c r="F768" s="439"/>
      <c r="G768" s="451" t="s">
        <v>3406</v>
      </c>
      <c r="Z768" s="500"/>
      <c r="AA768" s="500"/>
      <c r="AB768" s="500"/>
      <c r="AC768" s="500"/>
      <c r="AD768" s="500"/>
      <c r="AE768" s="500"/>
      <c r="AF768" s="500"/>
      <c r="AG768" s="500"/>
      <c r="AH768" s="500"/>
      <c r="AI768" s="500"/>
      <c r="AJ768" s="500"/>
      <c r="AK768" s="500"/>
      <c r="AL768" s="500"/>
      <c r="AM768" s="500"/>
      <c r="AN768" s="500"/>
      <c r="AO768" s="500"/>
      <c r="AP768" s="500"/>
    </row>
    <row r="769" spans="1:42" ht="16.5" customHeight="1">
      <c r="A769" s="434"/>
      <c r="B769" s="437" t="s">
        <v>3496</v>
      </c>
      <c r="C769" s="439"/>
      <c r="D769" s="439"/>
      <c r="E769" s="439"/>
      <c r="F769" s="439"/>
      <c r="G769" s="451" t="s">
        <v>3497</v>
      </c>
      <c r="Z769" s="500"/>
      <c r="AA769" s="500"/>
      <c r="AB769" s="500"/>
      <c r="AC769" s="500"/>
      <c r="AD769" s="500"/>
      <c r="AE769" s="500"/>
      <c r="AF769" s="500"/>
      <c r="AG769" s="500"/>
      <c r="AH769" s="500"/>
      <c r="AI769" s="500"/>
      <c r="AJ769" s="500"/>
      <c r="AK769" s="500"/>
      <c r="AL769" s="500"/>
      <c r="AM769" s="500"/>
      <c r="AN769" s="500"/>
      <c r="AO769" s="500"/>
      <c r="AP769" s="500"/>
    </row>
    <row r="770" spans="1:42" ht="16.5" customHeight="1">
      <c r="A770" s="439"/>
      <c r="B770" s="439"/>
      <c r="C770" s="439"/>
      <c r="D770" s="439"/>
      <c r="E770" s="439"/>
      <c r="F770" s="439"/>
      <c r="G770" s="451" t="s">
        <v>3406</v>
      </c>
      <c r="Z770" s="500"/>
      <c r="AA770" s="500"/>
      <c r="AB770" s="500"/>
      <c r="AC770" s="500"/>
      <c r="AD770" s="500"/>
      <c r="AE770" s="500"/>
      <c r="AF770" s="500"/>
      <c r="AG770" s="500"/>
      <c r="AH770" s="500"/>
      <c r="AI770" s="500"/>
      <c r="AJ770" s="500"/>
      <c r="AK770" s="500"/>
      <c r="AL770" s="500"/>
      <c r="AM770" s="500"/>
      <c r="AN770" s="500"/>
      <c r="AO770" s="500"/>
      <c r="AP770" s="500"/>
    </row>
    <row r="771" spans="1:42" ht="16.5" customHeight="1">
      <c r="A771" s="434" t="s">
        <v>3498</v>
      </c>
      <c r="B771" s="505" t="str">
        <f>" 조경공 :  "&amp;TEXT(I771,"#,##0"&amp;IF(I771&lt;&gt;INT(I771),".###",""))&amp;" * "&amp;AA771&amp;" 인  / Q1 = "&amp;TEXT(C771,"#,##0.0")&amp;""</f>
        <v xml:space="preserve"> 조경공 :  235,204 * 3 인  / Q1 = 5,644.8</v>
      </c>
      <c r="C771" s="506">
        <f>E771+D771+F771</f>
        <v>5644.8</v>
      </c>
      <c r="D771" s="506">
        <f>IF(H771=0,0,ROUNDDOWN(J771*H771,1))</f>
        <v>5644.8</v>
      </c>
      <c r="E771" s="506">
        <f>IF(H771=0,0,ROUNDDOWN(K771*H771,1))</f>
        <v>0</v>
      </c>
      <c r="F771" s="506">
        <f>IF(H771=0,0,ROUNDDOWN(L771*H771,1))</f>
        <v>0</v>
      </c>
      <c r="G771" s="451" t="s">
        <v>3499</v>
      </c>
      <c r="H771" s="507">
        <f>ROUNDUP(AE771,14-LEN(ABS(INT(AE771))))</f>
        <v>2.4E-2</v>
      </c>
      <c r="I771" s="508">
        <f>K771+J771+L771</f>
        <v>235204</v>
      </c>
      <c r="J771" s="509">
        <f>노무비목록표!E15</f>
        <v>235204</v>
      </c>
      <c r="M771" s="501" t="s">
        <v>2359</v>
      </c>
      <c r="N771" s="501" t="s">
        <v>3416</v>
      </c>
      <c r="X771" s="510" t="str">
        <f>노무비목록표!B15&amp;" / "&amp;노무비목록표!C15</f>
        <v xml:space="preserve">조경공 / </v>
      </c>
      <c r="Y771" s="433" t="str">
        <f ca="1">HYPERLINK("#"&amp;노무비목록표!G2&amp;"!A"&amp;ROW(노무비목록표!A15),"L00184 →")</f>
        <v>L00184 →</v>
      </c>
      <c r="Z771" s="501" t="s">
        <v>3500</v>
      </c>
      <c r="AA771" s="515">
        <v>3</v>
      </c>
      <c r="AB771" s="501" t="s">
        <v>3428</v>
      </c>
      <c r="AC771" s="512">
        <f>AB762</f>
        <v>125</v>
      </c>
      <c r="AD771" s="501" t="s">
        <v>3418</v>
      </c>
      <c r="AE771" s="512">
        <f>1*AA771/AB762</f>
        <v>2.4E-2</v>
      </c>
      <c r="AF771" s="500"/>
      <c r="AG771" s="500"/>
      <c r="AH771" s="500"/>
      <c r="AI771" s="500"/>
      <c r="AJ771" s="500"/>
      <c r="AK771" s="500"/>
      <c r="AL771" s="500"/>
      <c r="AM771" s="500"/>
      <c r="AN771" s="500"/>
      <c r="AO771" s="500"/>
      <c r="AP771" s="500"/>
    </row>
    <row r="772" spans="1:42" ht="16.5" customHeight="1">
      <c r="A772" s="439"/>
      <c r="B772" s="439"/>
      <c r="C772" s="439"/>
      <c r="D772" s="439"/>
      <c r="E772" s="439"/>
      <c r="F772" s="439"/>
      <c r="G772" s="451" t="s">
        <v>3406</v>
      </c>
      <c r="Z772" s="500"/>
      <c r="AA772" s="500"/>
      <c r="AB772" s="500"/>
      <c r="AC772" s="500"/>
      <c r="AD772" s="500"/>
      <c r="AE772" s="500"/>
      <c r="AF772" s="500"/>
      <c r="AG772" s="500"/>
      <c r="AH772" s="500"/>
      <c r="AI772" s="500"/>
      <c r="AJ772" s="500"/>
      <c r="AK772" s="500"/>
      <c r="AL772" s="500"/>
      <c r="AM772" s="500"/>
      <c r="AN772" s="500"/>
      <c r="AO772" s="500"/>
      <c r="AP772" s="500"/>
    </row>
    <row r="773" spans="1:42" ht="16.5" customHeight="1">
      <c r="A773" s="439"/>
      <c r="B773" s="439"/>
      <c r="C773" s="439"/>
      <c r="D773" s="439"/>
      <c r="E773" s="439"/>
      <c r="F773" s="439"/>
      <c r="G773" s="451" t="s">
        <v>3406</v>
      </c>
      <c r="Z773" s="500"/>
      <c r="AA773" s="500"/>
      <c r="AB773" s="500"/>
      <c r="AC773" s="500"/>
      <c r="AD773" s="500"/>
      <c r="AE773" s="500"/>
      <c r="AF773" s="500"/>
      <c r="AG773" s="500"/>
      <c r="AH773" s="500"/>
      <c r="AI773" s="500"/>
      <c r="AJ773" s="500"/>
      <c r="AK773" s="500"/>
      <c r="AL773" s="500"/>
      <c r="AM773" s="500"/>
      <c r="AN773" s="500"/>
      <c r="AO773" s="500"/>
      <c r="AP773" s="500"/>
    </row>
    <row r="774" spans="1:42" ht="16.5" customHeight="1">
      <c r="A774" s="434" t="s">
        <v>3414</v>
      </c>
      <c r="B774" s="505" t="str">
        <f>" 보통인부 : "&amp;TEXT(I774,"#,##0"&amp;IF(I774&lt;&gt;INT(I774),".###",""))&amp;" * "&amp;AA774&amp;" 인  / Q1 = "&amp;TEXT(C774,"#,##0.0")&amp;""</f>
        <v xml:space="preserve"> 보통인부 : 172,068 * 1 인  / Q1 = 1,376.5</v>
      </c>
      <c r="C774" s="506">
        <f>E774+D774+F774</f>
        <v>1376.5</v>
      </c>
      <c r="D774" s="506">
        <f>IF(H774=0,0,ROUNDDOWN(J774*H774,1))</f>
        <v>1376.5</v>
      </c>
      <c r="E774" s="506">
        <f>IF(H774=0,0,ROUNDDOWN(K774*H774,1))</f>
        <v>0</v>
      </c>
      <c r="F774" s="506">
        <f>IF(H774=0,0,ROUNDDOWN(L774*H774,1))</f>
        <v>0</v>
      </c>
      <c r="G774" s="451" t="s">
        <v>3501</v>
      </c>
      <c r="H774" s="507">
        <f>ROUNDUP(AE774,14-LEN(ABS(INT(AE774))))</f>
        <v>8.0000000000000002E-3</v>
      </c>
      <c r="I774" s="508">
        <f>K774+J774+L774</f>
        <v>172068</v>
      </c>
      <c r="J774" s="509">
        <f>노무비목록표!E10</f>
        <v>172068</v>
      </c>
      <c r="M774" s="501" t="s">
        <v>2363</v>
      </c>
      <c r="N774" s="501" t="s">
        <v>3416</v>
      </c>
      <c r="X774" s="510" t="str">
        <f>노무비목록표!B10&amp;" / "&amp;노무비목록표!C10</f>
        <v xml:space="preserve">보통인부 / </v>
      </c>
      <c r="Y774" s="433" t="str">
        <f ca="1">HYPERLINK("#"&amp;노무비목록표!G2&amp;"!A"&amp;ROW(노무비목록표!A10),"L00017 →")</f>
        <v>L00017 →</v>
      </c>
      <c r="Z774" s="501" t="s">
        <v>3500</v>
      </c>
      <c r="AA774" s="515">
        <v>1</v>
      </c>
      <c r="AB774" s="501" t="s">
        <v>3428</v>
      </c>
      <c r="AC774" s="512">
        <f>AB762</f>
        <v>125</v>
      </c>
      <c r="AD774" s="501" t="s">
        <v>3418</v>
      </c>
      <c r="AE774" s="512">
        <f>1*AA774/AB762</f>
        <v>8.0000000000000002E-3</v>
      </c>
      <c r="AF774" s="500"/>
      <c r="AG774" s="500"/>
      <c r="AH774" s="500"/>
      <c r="AI774" s="500"/>
      <c r="AJ774" s="500"/>
      <c r="AK774" s="500"/>
      <c r="AL774" s="500"/>
      <c r="AM774" s="500"/>
      <c r="AN774" s="500"/>
      <c r="AO774" s="500"/>
      <c r="AP774" s="500"/>
    </row>
    <row r="775" spans="1:42" ht="16.5" customHeight="1">
      <c r="A775" s="439"/>
      <c r="B775" s="439"/>
      <c r="C775" s="439"/>
      <c r="D775" s="439"/>
      <c r="E775" s="439"/>
      <c r="F775" s="439"/>
      <c r="G775" s="451" t="s">
        <v>3406</v>
      </c>
      <c r="Z775" s="500"/>
      <c r="AA775" s="500"/>
      <c r="AB775" s="500"/>
      <c r="AC775" s="500"/>
      <c r="AD775" s="500"/>
      <c r="AE775" s="500"/>
      <c r="AF775" s="500"/>
      <c r="AG775" s="500"/>
      <c r="AH775" s="500"/>
      <c r="AI775" s="500"/>
      <c r="AJ775" s="500"/>
      <c r="AK775" s="500"/>
      <c r="AL775" s="500"/>
      <c r="AM775" s="500"/>
      <c r="AN775" s="500"/>
      <c r="AO775" s="500"/>
      <c r="AP775" s="500"/>
    </row>
    <row r="776" spans="1:42" ht="16.5" customHeight="1">
      <c r="A776" s="434"/>
      <c r="B776" s="437" t="s">
        <v>3419</v>
      </c>
      <c r="C776" s="513">
        <f>E776+D776+F776</f>
        <v>7021.3</v>
      </c>
      <c r="D776" s="513">
        <f>SUMIF(N757:N775,M776,D757:D775)</f>
        <v>7021.3</v>
      </c>
      <c r="E776" s="513">
        <f>SUMIF(N757:N775,M776,E757:E775)</f>
        <v>0</v>
      </c>
      <c r="F776" s="513">
        <f>SUMIF(N757:N775,M776,F757:F775)</f>
        <v>0</v>
      </c>
      <c r="G776" s="451" t="s">
        <v>3439</v>
      </c>
      <c r="M776" s="501" t="s">
        <v>3416</v>
      </c>
      <c r="N776" s="501" t="s">
        <v>3421</v>
      </c>
      <c r="Z776" s="500"/>
      <c r="AA776" s="500"/>
      <c r="AB776" s="500"/>
      <c r="AC776" s="500"/>
      <c r="AD776" s="500"/>
      <c r="AE776" s="500"/>
      <c r="AF776" s="500"/>
      <c r="AG776" s="500"/>
      <c r="AH776" s="500"/>
      <c r="AI776" s="500"/>
      <c r="AJ776" s="500"/>
      <c r="AK776" s="500"/>
      <c r="AL776" s="500"/>
      <c r="AM776" s="500"/>
      <c r="AN776" s="500"/>
      <c r="AO776" s="500"/>
      <c r="AP776" s="500"/>
    </row>
    <row r="777" spans="1:42" ht="16.5" customHeight="1">
      <c r="A777" s="439"/>
      <c r="B777" s="439"/>
      <c r="C777" s="504"/>
      <c r="D777" s="504"/>
      <c r="E777" s="504"/>
      <c r="F777" s="504"/>
      <c r="G777" s="451" t="s">
        <v>3406</v>
      </c>
      <c r="Z777" s="500"/>
      <c r="AA777" s="500"/>
      <c r="AB777" s="500"/>
      <c r="AC777" s="500"/>
      <c r="AD777" s="500"/>
      <c r="AE777" s="500"/>
      <c r="AF777" s="500"/>
      <c r="AG777" s="500"/>
      <c r="AH777" s="500"/>
      <c r="AI777" s="500"/>
      <c r="AJ777" s="500"/>
      <c r="AK777" s="500"/>
      <c r="AL777" s="500"/>
      <c r="AM777" s="500"/>
      <c r="AN777" s="500"/>
      <c r="AO777" s="500"/>
      <c r="AP777" s="500"/>
    </row>
    <row r="778" spans="1:42" ht="16.5" customHeight="1">
      <c r="A778" s="439"/>
      <c r="B778" s="439"/>
      <c r="C778" s="439"/>
      <c r="D778" s="439"/>
      <c r="E778" s="439"/>
      <c r="F778" s="439"/>
      <c r="G778" s="451" t="s">
        <v>3406</v>
      </c>
      <c r="Z778" s="500"/>
      <c r="AA778" s="500"/>
      <c r="AB778" s="500"/>
      <c r="AC778" s="500"/>
      <c r="AD778" s="500"/>
      <c r="AE778" s="500"/>
      <c r="AF778" s="500"/>
      <c r="AG778" s="500"/>
      <c r="AH778" s="500"/>
      <c r="AI778" s="500"/>
      <c r="AJ778" s="500"/>
      <c r="AK778" s="500"/>
      <c r="AL778" s="500"/>
      <c r="AM778" s="500"/>
      <c r="AN778" s="500"/>
      <c r="AO778" s="500"/>
      <c r="AP778" s="500"/>
    </row>
    <row r="779" spans="1:42" ht="16.5" customHeight="1">
      <c r="A779" s="434"/>
      <c r="B779" s="437" t="s">
        <v>3502</v>
      </c>
      <c r="C779" s="439"/>
      <c r="D779" s="439"/>
      <c r="E779" s="439"/>
      <c r="F779" s="439"/>
      <c r="G779" s="451" t="s">
        <v>3503</v>
      </c>
      <c r="Z779" s="500"/>
      <c r="AA779" s="500"/>
      <c r="AB779" s="500"/>
      <c r="AC779" s="500"/>
      <c r="AD779" s="500"/>
      <c r="AE779" s="500"/>
      <c r="AF779" s="500"/>
      <c r="AG779" s="500"/>
      <c r="AH779" s="500"/>
      <c r="AI779" s="500"/>
      <c r="AJ779" s="500"/>
      <c r="AK779" s="500"/>
      <c r="AL779" s="500"/>
      <c r="AM779" s="500"/>
      <c r="AN779" s="500"/>
      <c r="AO779" s="500"/>
      <c r="AP779" s="500"/>
    </row>
    <row r="780" spans="1:42" ht="16.5" customHeight="1">
      <c r="A780" s="439"/>
      <c r="B780" s="439"/>
      <c r="C780" s="439"/>
      <c r="D780" s="439"/>
      <c r="E780" s="439"/>
      <c r="F780" s="439"/>
      <c r="G780" s="451" t="s">
        <v>3406</v>
      </c>
      <c r="Z780" s="500"/>
      <c r="AA780" s="500"/>
      <c r="AB780" s="500"/>
      <c r="AC780" s="500"/>
      <c r="AD780" s="500"/>
      <c r="AE780" s="500"/>
      <c r="AF780" s="500"/>
      <c r="AG780" s="500"/>
      <c r="AH780" s="500"/>
      <c r="AI780" s="500"/>
      <c r="AJ780" s="500"/>
      <c r="AK780" s="500"/>
      <c r="AL780" s="500"/>
      <c r="AM780" s="500"/>
      <c r="AN780" s="500"/>
      <c r="AO780" s="500"/>
      <c r="AP780" s="500"/>
    </row>
    <row r="781" spans="1:42" ht="16.5" customHeight="1">
      <c r="A781" s="434" t="s">
        <v>3504</v>
      </c>
      <c r="B781" s="505" t="str">
        <f>"  유기질비료 수목이식·식재용 : "&amp;TEXT(I781,"#,##0"&amp;IF(I781&lt;&gt;INT(I781),".###",""))&amp;" * "&amp;AA781&amp;" KG  / Q1 = "&amp;TEXT(C781,"#,##0.0")&amp;""</f>
        <v xml:space="preserve">  유기질비료 수목이식·식재용 : 500 * 150 KG  / Q1 = 600.0</v>
      </c>
      <c r="C781" s="506">
        <f>E781+D781+F781</f>
        <v>600</v>
      </c>
      <c r="D781" s="506">
        <f>IF(H781=0,0,ROUNDDOWN(J781*H781,1))</f>
        <v>0</v>
      </c>
      <c r="E781" s="506">
        <f>IF(H781=0,0,ROUNDDOWN(K781*H781,1))</f>
        <v>600</v>
      </c>
      <c r="F781" s="506">
        <f>IF(H781=0,0,ROUNDDOWN(L781*H781,1))</f>
        <v>0</v>
      </c>
      <c r="G781" s="451" t="s">
        <v>3505</v>
      </c>
      <c r="H781" s="507">
        <f>ROUNDUP(AE781,14-LEN(ABS(INT(AE781))))</f>
        <v>1.2</v>
      </c>
      <c r="I781" s="508">
        <f>K781+J781+L781</f>
        <v>500</v>
      </c>
      <c r="K781" s="509">
        <f>재료비목록표!E78</f>
        <v>500</v>
      </c>
      <c r="M781" s="501" t="s">
        <v>3506</v>
      </c>
      <c r="N781" s="501" t="s">
        <v>3416</v>
      </c>
      <c r="X781" s="510" t="str">
        <f>재료비목록표!B78&amp;" / "&amp;재료비목록표!C78</f>
        <v>유기질비료 / 수목이식·식재용</v>
      </c>
      <c r="Y781" s="433" t="str">
        <f ca="1">HYPERLINK("#"&amp;재료비목록표!G2&amp;"!A"&amp;ROW(재료비목록표!A78),"M01159 →")</f>
        <v>M01159 →</v>
      </c>
      <c r="Z781" s="501" t="s">
        <v>3500</v>
      </c>
      <c r="AA781" s="515">
        <v>150</v>
      </c>
      <c r="AB781" s="501" t="s">
        <v>3428</v>
      </c>
      <c r="AC781" s="512">
        <f>AB762</f>
        <v>125</v>
      </c>
      <c r="AD781" s="501" t="s">
        <v>3418</v>
      </c>
      <c r="AE781" s="512">
        <f>1*AA781/AB762</f>
        <v>1.2</v>
      </c>
      <c r="AF781" s="500"/>
      <c r="AG781" s="500"/>
      <c r="AH781" s="500"/>
      <c r="AI781" s="500"/>
      <c r="AJ781" s="500"/>
      <c r="AK781" s="500"/>
      <c r="AL781" s="500"/>
      <c r="AM781" s="500"/>
      <c r="AN781" s="500"/>
      <c r="AO781" s="500"/>
      <c r="AP781" s="500"/>
    </row>
    <row r="782" spans="1:42" ht="16.5" customHeight="1">
      <c r="A782" s="439"/>
      <c r="B782" s="439"/>
      <c r="C782" s="439"/>
      <c r="D782" s="439"/>
      <c r="E782" s="439"/>
      <c r="F782" s="439"/>
      <c r="G782" s="451" t="s">
        <v>3406</v>
      </c>
      <c r="Z782" s="500"/>
      <c r="AA782" s="500"/>
      <c r="AB782" s="500"/>
      <c r="AC782" s="500"/>
      <c r="AD782" s="500"/>
      <c r="AE782" s="500"/>
      <c r="AF782" s="500"/>
      <c r="AG782" s="500"/>
      <c r="AH782" s="500"/>
      <c r="AI782" s="500"/>
      <c r="AJ782" s="500"/>
      <c r="AK782" s="500"/>
      <c r="AL782" s="500"/>
      <c r="AM782" s="500"/>
      <c r="AN782" s="500"/>
      <c r="AO782" s="500"/>
      <c r="AP782" s="500"/>
    </row>
    <row r="783" spans="1:42" ht="16.5" customHeight="1">
      <c r="A783" s="434"/>
      <c r="B783" s="437" t="s">
        <v>3419</v>
      </c>
      <c r="C783" s="513">
        <f>E783+D783+F783</f>
        <v>600</v>
      </c>
      <c r="D783" s="513">
        <f>SUMIF(N777:N782,M783,D777:D782)</f>
        <v>0</v>
      </c>
      <c r="E783" s="513">
        <f>SUMIF(N777:N782,M783,E777:E782)</f>
        <v>600</v>
      </c>
      <c r="F783" s="513">
        <f>SUMIF(N777:N782,M783,F777:F782)</f>
        <v>0</v>
      </c>
      <c r="G783" s="451" t="s">
        <v>3439</v>
      </c>
      <c r="M783" s="501" t="s">
        <v>3416</v>
      </c>
      <c r="N783" s="501" t="s">
        <v>3421</v>
      </c>
      <c r="Z783" s="500"/>
      <c r="AA783" s="500"/>
      <c r="AB783" s="500"/>
      <c r="AC783" s="500"/>
      <c r="AD783" s="500"/>
      <c r="AE783" s="500"/>
      <c r="AF783" s="500"/>
      <c r="AG783" s="500"/>
      <c r="AH783" s="500"/>
      <c r="AI783" s="500"/>
      <c r="AJ783" s="500"/>
      <c r="AK783" s="500"/>
      <c r="AL783" s="500"/>
      <c r="AM783" s="500"/>
      <c r="AN783" s="500"/>
      <c r="AO783" s="500"/>
      <c r="AP783" s="500"/>
    </row>
    <row r="784" spans="1:42" ht="16.5" customHeight="1">
      <c r="A784" s="439"/>
      <c r="B784" s="439"/>
      <c r="C784" s="504"/>
      <c r="D784" s="504"/>
      <c r="E784" s="504"/>
      <c r="F784" s="504"/>
      <c r="G784" s="451" t="s">
        <v>3406</v>
      </c>
      <c r="Z784" s="500"/>
      <c r="AA784" s="500"/>
      <c r="AB784" s="500"/>
      <c r="AC784" s="500"/>
      <c r="AD784" s="500"/>
      <c r="AE784" s="500"/>
      <c r="AF784" s="500"/>
      <c r="AG784" s="500"/>
      <c r="AH784" s="500"/>
      <c r="AI784" s="500"/>
      <c r="AJ784" s="500"/>
      <c r="AK784" s="500"/>
      <c r="AL784" s="500"/>
      <c r="AM784" s="500"/>
      <c r="AN784" s="500"/>
      <c r="AO784" s="500"/>
      <c r="AP784" s="500"/>
    </row>
    <row r="785" spans="1:42" ht="16.5" customHeight="1">
      <c r="A785" s="434"/>
      <c r="B785" s="437" t="s">
        <v>3440</v>
      </c>
      <c r="C785" s="513">
        <f>E785+D785+F785</f>
        <v>7621.3</v>
      </c>
      <c r="D785" s="513">
        <f>SUMIF(N757:N784,M785,D757:D784)</f>
        <v>7021.3</v>
      </c>
      <c r="E785" s="513">
        <f>SUMIF(N757:N784,M785,E757:E784)</f>
        <v>600</v>
      </c>
      <c r="F785" s="513">
        <f>SUMIF(N757:N784,M785,F757:F784)</f>
        <v>0</v>
      </c>
      <c r="G785" s="451" t="s">
        <v>3441</v>
      </c>
      <c r="M785" s="501" t="s">
        <v>3421</v>
      </c>
      <c r="N785" s="501" t="s">
        <v>2354</v>
      </c>
      <c r="Z785" s="500"/>
      <c r="AA785" s="500"/>
      <c r="AB785" s="500"/>
      <c r="AC785" s="500"/>
      <c r="AD785" s="500"/>
      <c r="AE785" s="500"/>
      <c r="AF785" s="500"/>
      <c r="AG785" s="500"/>
      <c r="AH785" s="500"/>
      <c r="AI785" s="500"/>
      <c r="AJ785" s="500"/>
      <c r="AK785" s="500"/>
      <c r="AL785" s="500"/>
      <c r="AM785" s="500"/>
      <c r="AN785" s="500"/>
      <c r="AO785" s="500"/>
      <c r="AP785" s="500"/>
    </row>
    <row r="786" spans="1:42" ht="16.5" customHeight="1">
      <c r="A786" s="439"/>
      <c r="B786" s="439"/>
      <c r="C786" s="504"/>
      <c r="D786" s="504"/>
      <c r="E786" s="504"/>
      <c r="F786" s="504"/>
      <c r="G786" s="451" t="s">
        <v>3413</v>
      </c>
      <c r="Z786" s="500"/>
      <c r="AA786" s="500"/>
      <c r="AB786" s="500"/>
      <c r="AC786" s="500"/>
      <c r="AD786" s="500"/>
      <c r="AE786" s="500"/>
      <c r="AF786" s="500"/>
      <c r="AG786" s="500"/>
      <c r="AH786" s="500"/>
      <c r="AI786" s="500"/>
      <c r="AJ786" s="500"/>
      <c r="AK786" s="500"/>
      <c r="AL786" s="500"/>
      <c r="AM786" s="500"/>
      <c r="AN786" s="500"/>
      <c r="AO786" s="500"/>
      <c r="AP786" s="500"/>
    </row>
    <row r="787" spans="1:42" ht="16.5" customHeight="1">
      <c r="A787" s="439"/>
      <c r="B787" s="439"/>
      <c r="C787" s="439"/>
      <c r="D787" s="439"/>
      <c r="E787" s="439"/>
      <c r="F787" s="439"/>
      <c r="Z787" s="500"/>
      <c r="AA787" s="500"/>
      <c r="AB787" s="500"/>
      <c r="AC787" s="500"/>
      <c r="AD787" s="500"/>
      <c r="AE787" s="500"/>
      <c r="AF787" s="500"/>
      <c r="AG787" s="500"/>
      <c r="AH787" s="500"/>
      <c r="AI787" s="500"/>
      <c r="AJ787" s="500"/>
      <c r="AK787" s="500"/>
      <c r="AL787" s="500"/>
      <c r="AM787" s="500"/>
      <c r="AN787" s="500"/>
      <c r="AO787" s="500"/>
      <c r="AP787" s="500"/>
    </row>
    <row r="788" spans="1:42" ht="16.5" customHeight="1">
      <c r="A788" s="439"/>
      <c r="B788" s="439"/>
      <c r="C788" s="439"/>
      <c r="D788" s="439"/>
      <c r="E788" s="439"/>
      <c r="F788" s="439"/>
      <c r="Z788" s="500"/>
      <c r="AA788" s="500"/>
      <c r="AB788" s="500"/>
      <c r="AC788" s="500"/>
      <c r="AD788" s="500"/>
      <c r="AE788" s="500"/>
      <c r="AF788" s="500"/>
      <c r="AG788" s="500"/>
      <c r="AH788" s="500"/>
      <c r="AI788" s="500"/>
      <c r="AJ788" s="500"/>
      <c r="AK788" s="500"/>
      <c r="AL788" s="500"/>
      <c r="AM788" s="500"/>
      <c r="AN788" s="500"/>
      <c r="AO788" s="500"/>
      <c r="AP788" s="500"/>
    </row>
    <row r="789" spans="1:42" ht="16.5" customHeight="1">
      <c r="A789" s="439"/>
      <c r="B789" s="439"/>
      <c r="C789" s="439"/>
      <c r="D789" s="439"/>
      <c r="E789" s="439"/>
      <c r="F789" s="439"/>
      <c r="Z789" s="500"/>
      <c r="AA789" s="500"/>
      <c r="AB789" s="500"/>
      <c r="AC789" s="500"/>
      <c r="AD789" s="500"/>
      <c r="AE789" s="500"/>
      <c r="AF789" s="500"/>
      <c r="AG789" s="500"/>
      <c r="AH789" s="500"/>
      <c r="AI789" s="500"/>
      <c r="AJ789" s="500"/>
      <c r="AK789" s="500"/>
      <c r="AL789" s="500"/>
      <c r="AM789" s="500"/>
      <c r="AN789" s="500"/>
      <c r="AO789" s="500"/>
      <c r="AP789" s="500"/>
    </row>
    <row r="790" spans="1:42" ht="16.5" customHeight="1">
      <c r="A790" s="439"/>
      <c r="B790" s="439"/>
      <c r="C790" s="439"/>
      <c r="D790" s="439"/>
      <c r="E790" s="439"/>
      <c r="F790" s="439"/>
      <c r="Z790" s="500"/>
      <c r="AA790" s="500"/>
      <c r="AB790" s="500"/>
      <c r="AC790" s="500"/>
      <c r="AD790" s="500"/>
      <c r="AE790" s="500"/>
      <c r="AF790" s="500"/>
      <c r="AG790" s="500"/>
      <c r="AH790" s="500"/>
      <c r="AI790" s="500"/>
      <c r="AJ790" s="500"/>
      <c r="AK790" s="500"/>
      <c r="AL790" s="500"/>
      <c r="AM790" s="500"/>
      <c r="AN790" s="500"/>
      <c r="AO790" s="500"/>
      <c r="AP790" s="500"/>
    </row>
    <row r="791" spans="1:42" ht="16.5" customHeight="1">
      <c r="A791" s="439"/>
      <c r="B791" s="439"/>
      <c r="C791" s="439"/>
      <c r="D791" s="439"/>
      <c r="E791" s="439"/>
      <c r="F791" s="439"/>
      <c r="Z791" s="500"/>
      <c r="AA791" s="500"/>
      <c r="AB791" s="500"/>
      <c r="AC791" s="500"/>
      <c r="AD791" s="500"/>
      <c r="AE791" s="500"/>
      <c r="AF791" s="500"/>
      <c r="AG791" s="500"/>
      <c r="AH791" s="500"/>
      <c r="AI791" s="500"/>
      <c r="AJ791" s="500"/>
      <c r="AK791" s="500"/>
      <c r="AL791" s="500"/>
      <c r="AM791" s="500"/>
      <c r="AN791" s="500"/>
      <c r="AO791" s="500"/>
      <c r="AP791" s="500"/>
    </row>
    <row r="792" spans="1:42" ht="16.5" customHeight="1">
      <c r="A792" s="439"/>
      <c r="B792" s="439"/>
      <c r="C792" s="439"/>
      <c r="D792" s="439"/>
      <c r="E792" s="439"/>
      <c r="F792" s="439"/>
      <c r="Z792" s="500"/>
      <c r="AA792" s="500"/>
      <c r="AB792" s="500"/>
      <c r="AC792" s="500"/>
      <c r="AD792" s="500"/>
      <c r="AE792" s="500"/>
      <c r="AF792" s="500"/>
      <c r="AG792" s="500"/>
      <c r="AH792" s="500"/>
      <c r="AI792" s="500"/>
      <c r="AJ792" s="500"/>
      <c r="AK792" s="500"/>
      <c r="AL792" s="500"/>
      <c r="AM792" s="500"/>
      <c r="AN792" s="500"/>
      <c r="AO792" s="500"/>
      <c r="AP792" s="500"/>
    </row>
    <row r="793" spans="1:42" ht="16.5" customHeight="1">
      <c r="A793" s="439"/>
      <c r="B793" s="439"/>
      <c r="C793" s="439"/>
      <c r="D793" s="439"/>
      <c r="E793" s="439"/>
      <c r="F793" s="439"/>
      <c r="Z793" s="500"/>
      <c r="AA793" s="500"/>
      <c r="AB793" s="500"/>
      <c r="AC793" s="500"/>
      <c r="AD793" s="500"/>
      <c r="AE793" s="500"/>
      <c r="AF793" s="500"/>
      <c r="AG793" s="500"/>
      <c r="AH793" s="500"/>
      <c r="AI793" s="500"/>
      <c r="AJ793" s="500"/>
      <c r="AK793" s="500"/>
      <c r="AL793" s="500"/>
      <c r="AM793" s="500"/>
      <c r="AN793" s="500"/>
      <c r="AO793" s="500"/>
      <c r="AP793" s="500"/>
    </row>
    <row r="794" spans="1:42" ht="16.5" customHeight="1">
      <c r="A794" s="439"/>
      <c r="B794" s="439"/>
      <c r="C794" s="439"/>
      <c r="D794" s="439"/>
      <c r="E794" s="439"/>
      <c r="F794" s="439"/>
      <c r="Z794" s="500"/>
      <c r="AA794" s="500"/>
      <c r="AB794" s="500"/>
      <c r="AC794" s="500"/>
      <c r="AD794" s="500"/>
      <c r="AE794" s="500"/>
      <c r="AF794" s="500"/>
      <c r="AG794" s="500"/>
      <c r="AH794" s="500"/>
      <c r="AI794" s="500"/>
      <c r="AJ794" s="500"/>
      <c r="AK794" s="500"/>
      <c r="AL794" s="500"/>
      <c r="AM794" s="500"/>
      <c r="AN794" s="500"/>
      <c r="AO794" s="500"/>
      <c r="AP794" s="500"/>
    </row>
    <row r="795" spans="1:42" ht="16.5" customHeight="1">
      <c r="A795" s="439"/>
      <c r="B795" s="439"/>
      <c r="C795" s="439"/>
      <c r="D795" s="439"/>
      <c r="E795" s="439"/>
      <c r="F795" s="439"/>
      <c r="Z795" s="500"/>
      <c r="AA795" s="500"/>
      <c r="AB795" s="500"/>
      <c r="AC795" s="500"/>
      <c r="AD795" s="500"/>
      <c r="AE795" s="500"/>
      <c r="AF795" s="500"/>
      <c r="AG795" s="500"/>
      <c r="AH795" s="500"/>
      <c r="AI795" s="500"/>
      <c r="AJ795" s="500"/>
      <c r="AK795" s="500"/>
      <c r="AL795" s="500"/>
      <c r="AM795" s="500"/>
      <c r="AN795" s="500"/>
      <c r="AO795" s="500"/>
      <c r="AP795" s="500"/>
    </row>
    <row r="796" spans="1:42" ht="16.5" customHeight="1">
      <c r="A796" s="439"/>
      <c r="B796" s="439"/>
      <c r="C796" s="439"/>
      <c r="D796" s="439"/>
      <c r="E796" s="439"/>
      <c r="F796" s="439"/>
      <c r="Z796" s="500"/>
      <c r="AA796" s="500"/>
      <c r="AB796" s="500"/>
      <c r="AC796" s="500"/>
      <c r="AD796" s="500"/>
      <c r="AE796" s="500"/>
      <c r="AF796" s="500"/>
      <c r="AG796" s="500"/>
      <c r="AH796" s="500"/>
      <c r="AI796" s="500"/>
      <c r="AJ796" s="500"/>
      <c r="AK796" s="500"/>
      <c r="AL796" s="500"/>
      <c r="AM796" s="500"/>
      <c r="AN796" s="500"/>
      <c r="AO796" s="500"/>
      <c r="AP796" s="500"/>
    </row>
    <row r="797" spans="1:42" ht="16.5" customHeight="1">
      <c r="A797" s="439"/>
      <c r="B797" s="439"/>
      <c r="C797" s="439"/>
      <c r="D797" s="439"/>
      <c r="E797" s="439"/>
      <c r="F797" s="439"/>
      <c r="Z797" s="500"/>
      <c r="AA797" s="500"/>
      <c r="AB797" s="500"/>
      <c r="AC797" s="500"/>
      <c r="AD797" s="500"/>
      <c r="AE797" s="500"/>
      <c r="AF797" s="500"/>
      <c r="AG797" s="500"/>
      <c r="AH797" s="500"/>
      <c r="AI797" s="500"/>
      <c r="AJ797" s="500"/>
      <c r="AK797" s="500"/>
      <c r="AL797" s="500"/>
      <c r="AM797" s="500"/>
      <c r="AN797" s="500"/>
      <c r="AO797" s="500"/>
      <c r="AP797" s="500"/>
    </row>
    <row r="798" spans="1:42" ht="16.5" customHeight="1">
      <c r="A798" s="439"/>
      <c r="B798" s="439"/>
      <c r="C798" s="439"/>
      <c r="D798" s="439"/>
      <c r="E798" s="439"/>
      <c r="F798" s="439"/>
      <c r="Z798" s="500"/>
      <c r="AA798" s="500"/>
      <c r="AB798" s="500"/>
      <c r="AC798" s="500"/>
      <c r="AD798" s="500"/>
      <c r="AE798" s="500"/>
      <c r="AF798" s="500"/>
      <c r="AG798" s="500"/>
      <c r="AH798" s="500"/>
      <c r="AI798" s="500"/>
      <c r="AJ798" s="500"/>
      <c r="AK798" s="500"/>
      <c r="AL798" s="500"/>
      <c r="AM798" s="500"/>
      <c r="AN798" s="500"/>
      <c r="AO798" s="500"/>
      <c r="AP798" s="500"/>
    </row>
    <row r="799" spans="1:42" ht="16.5" customHeight="1">
      <c r="A799" s="439"/>
      <c r="B799" s="439"/>
      <c r="C799" s="439"/>
      <c r="D799" s="439"/>
      <c r="E799" s="439"/>
      <c r="F799" s="439"/>
      <c r="Z799" s="500"/>
      <c r="AA799" s="500"/>
      <c r="AB799" s="500"/>
      <c r="AC799" s="500"/>
      <c r="AD799" s="500"/>
      <c r="AE799" s="500"/>
      <c r="AF799" s="500"/>
      <c r="AG799" s="500"/>
      <c r="AH799" s="500"/>
      <c r="AI799" s="500"/>
      <c r="AJ799" s="500"/>
      <c r="AK799" s="500"/>
      <c r="AL799" s="500"/>
      <c r="AM799" s="500"/>
      <c r="AN799" s="500"/>
      <c r="AO799" s="500"/>
      <c r="AP799" s="500"/>
    </row>
    <row r="800" spans="1:42" ht="16.5" customHeight="1">
      <c r="A800" s="439"/>
      <c r="B800" s="439"/>
      <c r="C800" s="439"/>
      <c r="D800" s="439"/>
      <c r="E800" s="439"/>
      <c r="F800" s="439"/>
      <c r="Z800" s="500"/>
      <c r="AA800" s="500"/>
      <c r="AB800" s="500"/>
      <c r="AC800" s="500"/>
      <c r="AD800" s="500"/>
      <c r="AE800" s="500"/>
      <c r="AF800" s="500"/>
      <c r="AG800" s="500"/>
      <c r="AH800" s="500"/>
      <c r="AI800" s="500"/>
      <c r="AJ800" s="500"/>
      <c r="AK800" s="500"/>
      <c r="AL800" s="500"/>
      <c r="AM800" s="500"/>
      <c r="AN800" s="500"/>
      <c r="AO800" s="500"/>
      <c r="AP800" s="500"/>
    </row>
    <row r="801" spans="1:42" ht="16.5" customHeight="1">
      <c r="A801" s="439"/>
      <c r="B801" s="439"/>
      <c r="C801" s="439"/>
      <c r="D801" s="439"/>
      <c r="E801" s="439"/>
      <c r="F801" s="439"/>
      <c r="Z801" s="500"/>
      <c r="AA801" s="500"/>
      <c r="AB801" s="500"/>
      <c r="AC801" s="500"/>
      <c r="AD801" s="500"/>
      <c r="AE801" s="500"/>
      <c r="AF801" s="500"/>
      <c r="AG801" s="500"/>
      <c r="AH801" s="500"/>
      <c r="AI801" s="500"/>
      <c r="AJ801" s="500"/>
      <c r="AK801" s="500"/>
      <c r="AL801" s="500"/>
      <c r="AM801" s="500"/>
      <c r="AN801" s="500"/>
      <c r="AO801" s="500"/>
      <c r="AP801" s="500"/>
    </row>
    <row r="802" spans="1:42" ht="16.5" customHeight="1">
      <c r="A802" s="439"/>
      <c r="B802" s="439"/>
      <c r="C802" s="439"/>
      <c r="D802" s="439"/>
      <c r="E802" s="439"/>
      <c r="F802" s="439"/>
      <c r="Z802" s="500"/>
      <c r="AA802" s="500"/>
      <c r="AB802" s="500"/>
      <c r="AC802" s="500"/>
      <c r="AD802" s="500"/>
      <c r="AE802" s="500"/>
      <c r="AF802" s="500"/>
      <c r="AG802" s="500"/>
      <c r="AH802" s="500"/>
      <c r="AI802" s="500"/>
      <c r="AJ802" s="500"/>
      <c r="AK802" s="500"/>
      <c r="AL802" s="500"/>
      <c r="AM802" s="500"/>
      <c r="AN802" s="500"/>
      <c r="AO802" s="500"/>
      <c r="AP802" s="500"/>
    </row>
    <row r="803" spans="1:42" ht="16.5" customHeight="1">
      <c r="A803" s="497"/>
      <c r="B803" s="497"/>
      <c r="C803" s="497"/>
      <c r="D803" s="497"/>
      <c r="E803" s="497"/>
      <c r="F803" s="497"/>
      <c r="Z803" s="500"/>
      <c r="AA803" s="500"/>
      <c r="AB803" s="500"/>
      <c r="AC803" s="500"/>
      <c r="AD803" s="500"/>
      <c r="AE803" s="500"/>
      <c r="AF803" s="500"/>
      <c r="AG803" s="500"/>
      <c r="AH803" s="500"/>
      <c r="AI803" s="500"/>
      <c r="AJ803" s="500"/>
      <c r="AK803" s="500"/>
      <c r="AL803" s="500"/>
      <c r="AM803" s="500"/>
      <c r="AN803" s="500"/>
      <c r="AO803" s="500"/>
      <c r="AP803" s="500"/>
    </row>
    <row r="804" spans="1:42" ht="16.5" customHeight="1">
      <c r="A804" s="616" t="s">
        <v>3487</v>
      </c>
      <c r="B804" s="605"/>
      <c r="C804" s="446">
        <f>E804+D804+F804</f>
        <v>7621</v>
      </c>
      <c r="D804" s="453">
        <f>ROUNDDOWN(SUMIF(N757:N786,M804,D757:D786),0)</f>
        <v>7021</v>
      </c>
      <c r="E804" s="454">
        <f>ROUNDDOWN(SUMIF(N757:N786,M804,E757:E786),0)</f>
        <v>600</v>
      </c>
      <c r="F804" s="446">
        <f>ROUNDDOWN(SUMIF(N757:N786,M804,F757:F786),0)</f>
        <v>0</v>
      </c>
      <c r="M804" s="501" t="s">
        <v>2354</v>
      </c>
      <c r="Z804" s="500"/>
      <c r="AA804" s="500"/>
      <c r="AB804" s="500"/>
      <c r="AC804" s="500"/>
      <c r="AD804" s="500"/>
      <c r="AE804" s="500"/>
      <c r="AF804" s="500"/>
      <c r="AG804" s="500"/>
      <c r="AH804" s="500"/>
      <c r="AI804" s="500"/>
      <c r="AJ804" s="500"/>
      <c r="AK804" s="500"/>
      <c r="AL804" s="500"/>
      <c r="AM804" s="500"/>
      <c r="AN804" s="500"/>
      <c r="AO804" s="500"/>
      <c r="AP804" s="500"/>
    </row>
    <row r="805" spans="1:42" ht="16.5" customHeight="1">
      <c r="A805" s="502"/>
      <c r="B805" s="503" t="s">
        <v>1866</v>
      </c>
      <c r="C805" s="615">
        <f>C854</f>
        <v>6172</v>
      </c>
      <c r="D805" s="615">
        <f>D854</f>
        <v>5485</v>
      </c>
      <c r="E805" s="615">
        <f>E854</f>
        <v>687</v>
      </c>
      <c r="F805" s="615">
        <f>F854</f>
        <v>0</v>
      </c>
      <c r="G805" s="486" t="str">
        <f>HYPERLINK("#G"&amp;ROW(G835),"_x0005_`BDCOD|D01290_x0007_`POSS|"&amp;ROW(G807)&amp;"_x0007_`POSE|"&amp;ROW(G835)&amp;"_x0007_`")</f>
        <v>_x0005_`BDCOD|D01290_x0007_`POSS|807_x0007_`POSE|835_x0007_`</v>
      </c>
      <c r="Z805" s="500"/>
      <c r="AA805" s="500"/>
      <c r="AB805" s="500"/>
      <c r="AC805" s="500"/>
      <c r="AD805" s="500"/>
      <c r="AE805" s="500"/>
      <c r="AF805" s="500"/>
      <c r="AG805" s="500"/>
      <c r="AH805" s="500"/>
      <c r="AI805" s="500"/>
      <c r="AJ805" s="500"/>
      <c r="AK805" s="500"/>
      <c r="AL805" s="500"/>
      <c r="AM805" s="500"/>
      <c r="AN805" s="500"/>
      <c r="AO805" s="500"/>
      <c r="AP805" s="500"/>
    </row>
    <row r="806" spans="1:42" ht="16.5" customHeight="1">
      <c r="A806" s="485"/>
      <c r="B806" s="503" t="s">
        <v>3528</v>
      </c>
      <c r="C806" s="593"/>
      <c r="D806" s="593"/>
      <c r="E806" s="593"/>
      <c r="F806" s="593"/>
      <c r="M806" s="501" t="s">
        <v>1866</v>
      </c>
      <c r="Z806" s="500"/>
      <c r="AA806" s="500"/>
      <c r="AB806" s="500"/>
      <c r="AC806" s="500"/>
      <c r="AD806" s="500"/>
      <c r="AE806" s="500"/>
      <c r="AF806" s="500"/>
      <c r="AG806" s="500"/>
      <c r="AH806" s="500"/>
      <c r="AI806" s="500"/>
      <c r="AJ806" s="500"/>
      <c r="AK806" s="500"/>
      <c r="AL806" s="500"/>
      <c r="AM806" s="500"/>
      <c r="AN806" s="500"/>
      <c r="AO806" s="500"/>
      <c r="AP806" s="500"/>
    </row>
    <row r="807" spans="1:42" ht="16.5" customHeight="1">
      <c r="A807" s="439"/>
      <c r="B807" s="439"/>
      <c r="C807" s="504"/>
      <c r="D807" s="504"/>
      <c r="E807" s="504"/>
      <c r="F807" s="504"/>
      <c r="G807" s="451" t="s">
        <v>3406</v>
      </c>
      <c r="Z807" s="500"/>
      <c r="AA807" s="500"/>
      <c r="AB807" s="500"/>
      <c r="AC807" s="500"/>
      <c r="AD807" s="500"/>
      <c r="AE807" s="500"/>
      <c r="AF807" s="500"/>
      <c r="AG807" s="500"/>
      <c r="AH807" s="500"/>
      <c r="AI807" s="500"/>
      <c r="AJ807" s="500"/>
      <c r="AK807" s="500"/>
      <c r="AL807" s="500"/>
      <c r="AM807" s="500"/>
      <c r="AN807" s="500"/>
      <c r="AO807" s="500"/>
      <c r="AP807" s="500"/>
    </row>
    <row r="808" spans="1:42" ht="16.5" customHeight="1">
      <c r="A808" s="434"/>
      <c r="B808" s="437" t="s">
        <v>3529</v>
      </c>
      <c r="C808" s="439"/>
      <c r="D808" s="439"/>
      <c r="E808" s="439"/>
      <c r="F808" s="439"/>
      <c r="G808" s="451" t="s">
        <v>3530</v>
      </c>
      <c r="Z808" s="500"/>
      <c r="AA808" s="500"/>
      <c r="AB808" s="500"/>
      <c r="AC808" s="500"/>
      <c r="AD808" s="500"/>
      <c r="AE808" s="500"/>
      <c r="AF808" s="500"/>
      <c r="AG808" s="500"/>
      <c r="AH808" s="500"/>
      <c r="AI808" s="500"/>
      <c r="AJ808" s="500"/>
      <c r="AK808" s="500"/>
      <c r="AL808" s="500"/>
      <c r="AM808" s="500"/>
      <c r="AN808" s="500"/>
      <c r="AO808" s="500"/>
      <c r="AP808" s="500"/>
    </row>
    <row r="809" spans="1:42" ht="16.5" customHeight="1">
      <c r="A809" s="439"/>
      <c r="B809" s="439"/>
      <c r="C809" s="439"/>
      <c r="D809" s="439"/>
      <c r="E809" s="439"/>
      <c r="F809" s="439"/>
      <c r="G809" s="451" t="s">
        <v>3406</v>
      </c>
      <c r="Z809" s="500"/>
      <c r="AA809" s="500"/>
      <c r="AB809" s="500"/>
      <c r="AC809" s="500"/>
      <c r="AD809" s="500"/>
      <c r="AE809" s="500"/>
      <c r="AF809" s="500"/>
      <c r="AG809" s="500"/>
      <c r="AH809" s="500"/>
      <c r="AI809" s="500"/>
      <c r="AJ809" s="500"/>
      <c r="AK809" s="500"/>
      <c r="AL809" s="500"/>
      <c r="AM809" s="500"/>
      <c r="AN809" s="500"/>
      <c r="AO809" s="500"/>
      <c r="AP809" s="500"/>
    </row>
    <row r="810" spans="1:42" ht="16.5" customHeight="1">
      <c r="A810" s="434"/>
      <c r="B810" s="437" t="s">
        <v>3525</v>
      </c>
      <c r="C810" s="439"/>
      <c r="D810" s="439"/>
      <c r="E810" s="439"/>
      <c r="F810" s="439"/>
      <c r="G810" s="451" t="s">
        <v>3526</v>
      </c>
      <c r="Z810" s="500"/>
      <c r="AA810" s="500"/>
      <c r="AB810" s="500"/>
      <c r="AC810" s="500"/>
      <c r="AD810" s="500"/>
      <c r="AE810" s="500"/>
      <c r="AF810" s="500"/>
      <c r="AG810" s="500"/>
      <c r="AH810" s="500"/>
      <c r="AI810" s="500"/>
      <c r="AJ810" s="500"/>
      <c r="AK810" s="500"/>
      <c r="AL810" s="500"/>
      <c r="AM810" s="500"/>
      <c r="AN810" s="500"/>
      <c r="AO810" s="500"/>
      <c r="AP810" s="500"/>
    </row>
    <row r="811" spans="1:42" ht="16.5" customHeight="1">
      <c r="A811" s="439"/>
      <c r="B811" s="439"/>
      <c r="C811" s="439"/>
      <c r="D811" s="439"/>
      <c r="E811" s="439"/>
      <c r="F811" s="439"/>
      <c r="G811" s="451" t="s">
        <v>3406</v>
      </c>
      <c r="Z811" s="500"/>
      <c r="AA811" s="500"/>
      <c r="AB811" s="500"/>
      <c r="AC811" s="500"/>
      <c r="AD811" s="500"/>
      <c r="AE811" s="500"/>
      <c r="AF811" s="500"/>
      <c r="AG811" s="500"/>
      <c r="AH811" s="500"/>
      <c r="AI811" s="500"/>
      <c r="AJ811" s="500"/>
      <c r="AK811" s="500"/>
      <c r="AL811" s="500"/>
      <c r="AM811" s="500"/>
      <c r="AN811" s="500"/>
      <c r="AO811" s="500"/>
      <c r="AP811" s="500"/>
    </row>
    <row r="812" spans="1:42" ht="16.5" customHeight="1">
      <c r="A812" s="434"/>
      <c r="B812" s="437" t="str">
        <f>" 일당 작업량 :   Q1 = "&amp;Z812&amp;"  주 "</f>
        <v xml:space="preserve"> 일당 작업량 :   Q1 = 160  주 </v>
      </c>
      <c r="C812" s="439"/>
      <c r="D812" s="439"/>
      <c r="E812" s="439"/>
      <c r="F812" s="439"/>
      <c r="G812" s="451" t="s">
        <v>3531</v>
      </c>
      <c r="Z812" s="515">
        <v>160</v>
      </c>
      <c r="AA812" s="501" t="s">
        <v>3418</v>
      </c>
      <c r="AB812" s="512">
        <f>Z812</f>
        <v>160</v>
      </c>
      <c r="AC812" s="500"/>
      <c r="AD812" s="500"/>
      <c r="AE812" s="500"/>
      <c r="AF812" s="500"/>
      <c r="AG812" s="500"/>
      <c r="AH812" s="500"/>
      <c r="AI812" s="500"/>
      <c r="AJ812" s="500"/>
      <c r="AK812" s="500"/>
      <c r="AL812" s="500"/>
      <c r="AM812" s="500"/>
      <c r="AN812" s="500"/>
      <c r="AO812" s="500"/>
      <c r="AP812" s="500"/>
    </row>
    <row r="813" spans="1:42" ht="16.5" customHeight="1">
      <c r="A813" s="439"/>
      <c r="B813" s="439"/>
      <c r="C813" s="439"/>
      <c r="D813" s="439"/>
      <c r="E813" s="439"/>
      <c r="F813" s="439"/>
      <c r="G813" s="451" t="s">
        <v>3406</v>
      </c>
      <c r="Z813" s="500"/>
      <c r="AA813" s="500"/>
      <c r="AB813" s="500"/>
      <c r="AC813" s="500"/>
      <c r="AD813" s="500"/>
      <c r="AE813" s="500"/>
      <c r="AF813" s="500"/>
      <c r="AG813" s="500"/>
      <c r="AH813" s="500"/>
      <c r="AI813" s="500"/>
      <c r="AJ813" s="500"/>
      <c r="AK813" s="500"/>
      <c r="AL813" s="500"/>
      <c r="AM813" s="500"/>
      <c r="AN813" s="500"/>
      <c r="AO813" s="500"/>
      <c r="AP813" s="500"/>
    </row>
    <row r="814" spans="1:42" ht="16.5" customHeight="1">
      <c r="A814" s="434"/>
      <c r="B814" s="437" t="s">
        <v>3494</v>
      </c>
      <c r="C814" s="439"/>
      <c r="D814" s="439"/>
      <c r="E814" s="439"/>
      <c r="F814" s="439"/>
      <c r="G814" s="451" t="s">
        <v>3495</v>
      </c>
      <c r="Z814" s="500"/>
      <c r="AA814" s="500"/>
      <c r="AB814" s="500"/>
      <c r="AC814" s="500"/>
      <c r="AD814" s="500"/>
      <c r="AE814" s="500"/>
      <c r="AF814" s="500"/>
      <c r="AG814" s="500"/>
      <c r="AH814" s="500"/>
      <c r="AI814" s="500"/>
      <c r="AJ814" s="500"/>
      <c r="AK814" s="500"/>
      <c r="AL814" s="500"/>
      <c r="AM814" s="500"/>
      <c r="AN814" s="500"/>
      <c r="AO814" s="500"/>
      <c r="AP814" s="500"/>
    </row>
    <row r="815" spans="1:42" ht="16.5" customHeight="1">
      <c r="A815" s="439"/>
      <c r="B815" s="439"/>
      <c r="C815" s="439"/>
      <c r="D815" s="439"/>
      <c r="E815" s="439"/>
      <c r="F815" s="439"/>
      <c r="G815" s="451" t="s">
        <v>3406</v>
      </c>
      <c r="Z815" s="500"/>
      <c r="AA815" s="500"/>
      <c r="AB815" s="500"/>
      <c r="AC815" s="500"/>
      <c r="AD815" s="500"/>
      <c r="AE815" s="500"/>
      <c r="AF815" s="500"/>
      <c r="AG815" s="500"/>
      <c r="AH815" s="500"/>
      <c r="AI815" s="500"/>
      <c r="AJ815" s="500"/>
      <c r="AK815" s="500"/>
      <c r="AL815" s="500"/>
      <c r="AM815" s="500"/>
      <c r="AN815" s="500"/>
      <c r="AO815" s="500"/>
      <c r="AP815" s="500"/>
    </row>
    <row r="816" spans="1:42" ht="16.5" customHeight="1">
      <c r="A816" s="439"/>
      <c r="B816" s="439"/>
      <c r="C816" s="439"/>
      <c r="D816" s="439"/>
      <c r="E816" s="439"/>
      <c r="F816" s="439"/>
      <c r="G816" s="451" t="s">
        <v>3406</v>
      </c>
      <c r="Z816" s="500"/>
      <c r="AA816" s="500"/>
      <c r="AB816" s="500"/>
      <c r="AC816" s="500"/>
      <c r="AD816" s="500"/>
      <c r="AE816" s="500"/>
      <c r="AF816" s="500"/>
      <c r="AG816" s="500"/>
      <c r="AH816" s="500"/>
      <c r="AI816" s="500"/>
      <c r="AJ816" s="500"/>
      <c r="AK816" s="500"/>
      <c r="AL816" s="500"/>
      <c r="AM816" s="500"/>
      <c r="AN816" s="500"/>
      <c r="AO816" s="500"/>
      <c r="AP816" s="500"/>
    </row>
    <row r="817" spans="1:42" ht="16.5" customHeight="1">
      <c r="A817" s="439"/>
      <c r="B817" s="439"/>
      <c r="C817" s="439"/>
      <c r="D817" s="439"/>
      <c r="E817" s="439"/>
      <c r="F817" s="439"/>
      <c r="G817" s="451" t="s">
        <v>3406</v>
      </c>
      <c r="Z817" s="500"/>
      <c r="AA817" s="500"/>
      <c r="AB817" s="500"/>
      <c r="AC817" s="500"/>
      <c r="AD817" s="500"/>
      <c r="AE817" s="500"/>
      <c r="AF817" s="500"/>
      <c r="AG817" s="500"/>
      <c r="AH817" s="500"/>
      <c r="AI817" s="500"/>
      <c r="AJ817" s="500"/>
      <c r="AK817" s="500"/>
      <c r="AL817" s="500"/>
      <c r="AM817" s="500"/>
      <c r="AN817" s="500"/>
      <c r="AO817" s="500"/>
      <c r="AP817" s="500"/>
    </row>
    <row r="818" spans="1:42" ht="16.5" customHeight="1">
      <c r="A818" s="439"/>
      <c r="B818" s="439"/>
      <c r="C818" s="439"/>
      <c r="D818" s="439"/>
      <c r="E818" s="439"/>
      <c r="F818" s="439"/>
      <c r="G818" s="451" t="s">
        <v>3406</v>
      </c>
      <c r="Z818" s="500"/>
      <c r="AA818" s="500"/>
      <c r="AB818" s="500"/>
      <c r="AC818" s="500"/>
      <c r="AD818" s="500"/>
      <c r="AE818" s="500"/>
      <c r="AF818" s="500"/>
      <c r="AG818" s="500"/>
      <c r="AH818" s="500"/>
      <c r="AI818" s="500"/>
      <c r="AJ818" s="500"/>
      <c r="AK818" s="500"/>
      <c r="AL818" s="500"/>
      <c r="AM818" s="500"/>
      <c r="AN818" s="500"/>
      <c r="AO818" s="500"/>
      <c r="AP818" s="500"/>
    </row>
    <row r="819" spans="1:42" ht="16.5" customHeight="1">
      <c r="A819" s="434"/>
      <c r="B819" s="437" t="s">
        <v>3496</v>
      </c>
      <c r="C819" s="439"/>
      <c r="D819" s="439"/>
      <c r="E819" s="439"/>
      <c r="F819" s="439"/>
      <c r="G819" s="451" t="s">
        <v>3497</v>
      </c>
      <c r="Z819" s="500"/>
      <c r="AA819" s="500"/>
      <c r="AB819" s="500"/>
      <c r="AC819" s="500"/>
      <c r="AD819" s="500"/>
      <c r="AE819" s="500"/>
      <c r="AF819" s="500"/>
      <c r="AG819" s="500"/>
      <c r="AH819" s="500"/>
      <c r="AI819" s="500"/>
      <c r="AJ819" s="500"/>
      <c r="AK819" s="500"/>
      <c r="AL819" s="500"/>
      <c r="AM819" s="500"/>
      <c r="AN819" s="500"/>
      <c r="AO819" s="500"/>
      <c r="AP819" s="500"/>
    </row>
    <row r="820" spans="1:42" ht="16.5" customHeight="1">
      <c r="A820" s="439"/>
      <c r="B820" s="439"/>
      <c r="C820" s="439"/>
      <c r="D820" s="439"/>
      <c r="E820" s="439"/>
      <c r="F820" s="439"/>
      <c r="G820" s="451" t="s">
        <v>3406</v>
      </c>
      <c r="Z820" s="500"/>
      <c r="AA820" s="500"/>
      <c r="AB820" s="500"/>
      <c r="AC820" s="500"/>
      <c r="AD820" s="500"/>
      <c r="AE820" s="500"/>
      <c r="AF820" s="500"/>
      <c r="AG820" s="500"/>
      <c r="AH820" s="500"/>
      <c r="AI820" s="500"/>
      <c r="AJ820" s="500"/>
      <c r="AK820" s="500"/>
      <c r="AL820" s="500"/>
      <c r="AM820" s="500"/>
      <c r="AN820" s="500"/>
      <c r="AO820" s="500"/>
      <c r="AP820" s="500"/>
    </row>
    <row r="821" spans="1:42" ht="16.5" customHeight="1">
      <c r="A821" s="434" t="s">
        <v>3498</v>
      </c>
      <c r="B821" s="505" t="str">
        <f>" 조경공 :  "&amp;TEXT(I821,"#,##0"&amp;IF(I821&lt;&gt;INT(I821),".###",""))&amp;" * "&amp;AA821&amp;" 인  / Q1 = "&amp;TEXT(C821,"#,##0.0")&amp;""</f>
        <v xml:space="preserve"> 조경공 :  235,204 * 3 인  / Q1 = 4,410.0</v>
      </c>
      <c r="C821" s="506">
        <f>E821+D821+F821</f>
        <v>4410</v>
      </c>
      <c r="D821" s="506">
        <f>IF(H821=0,0,ROUNDDOWN(J821*H821,1))</f>
        <v>4410</v>
      </c>
      <c r="E821" s="506">
        <f>IF(H821=0,0,ROUNDDOWN(K821*H821,1))</f>
        <v>0</v>
      </c>
      <c r="F821" s="506">
        <f>IF(H821=0,0,ROUNDDOWN(L821*H821,1))</f>
        <v>0</v>
      </c>
      <c r="G821" s="451" t="s">
        <v>3499</v>
      </c>
      <c r="H821" s="507">
        <f>ROUNDUP(AE821,14-LEN(ABS(INT(AE821))))</f>
        <v>1.8749999999999999E-2</v>
      </c>
      <c r="I821" s="508">
        <f>K821+J821+L821</f>
        <v>235204</v>
      </c>
      <c r="J821" s="509">
        <f>노무비목록표!E15</f>
        <v>235204</v>
      </c>
      <c r="M821" s="501" t="s">
        <v>2359</v>
      </c>
      <c r="N821" s="501" t="s">
        <v>3416</v>
      </c>
      <c r="X821" s="510" t="str">
        <f>노무비목록표!B15&amp;" / "&amp;노무비목록표!C15</f>
        <v xml:space="preserve">조경공 / </v>
      </c>
      <c r="Y821" s="433" t="str">
        <f ca="1">HYPERLINK("#"&amp;노무비목록표!G2&amp;"!A"&amp;ROW(노무비목록표!A15),"L00184 →")</f>
        <v>L00184 →</v>
      </c>
      <c r="Z821" s="501" t="s">
        <v>3500</v>
      </c>
      <c r="AA821" s="515">
        <v>3</v>
      </c>
      <c r="AB821" s="501" t="s">
        <v>3428</v>
      </c>
      <c r="AC821" s="512">
        <f>AB812</f>
        <v>160</v>
      </c>
      <c r="AD821" s="501" t="s">
        <v>3418</v>
      </c>
      <c r="AE821" s="512">
        <f>1*AA821/AB812</f>
        <v>1.8749999999999999E-2</v>
      </c>
      <c r="AF821" s="500"/>
      <c r="AG821" s="500"/>
      <c r="AH821" s="500"/>
      <c r="AI821" s="500"/>
      <c r="AJ821" s="500"/>
      <c r="AK821" s="500"/>
      <c r="AL821" s="500"/>
      <c r="AM821" s="500"/>
      <c r="AN821" s="500"/>
      <c r="AO821" s="500"/>
      <c r="AP821" s="500"/>
    </row>
    <row r="822" spans="1:42" ht="16.5" customHeight="1">
      <c r="A822" s="439"/>
      <c r="B822" s="439"/>
      <c r="C822" s="439"/>
      <c r="D822" s="439"/>
      <c r="E822" s="439"/>
      <c r="F822" s="439"/>
      <c r="G822" s="451" t="s">
        <v>3406</v>
      </c>
      <c r="Z822" s="500"/>
      <c r="AA822" s="500"/>
      <c r="AB822" s="500"/>
      <c r="AC822" s="500"/>
      <c r="AD822" s="500"/>
      <c r="AE822" s="500"/>
      <c r="AF822" s="500"/>
      <c r="AG822" s="500"/>
      <c r="AH822" s="500"/>
      <c r="AI822" s="500"/>
      <c r="AJ822" s="500"/>
      <c r="AK822" s="500"/>
      <c r="AL822" s="500"/>
      <c r="AM822" s="500"/>
      <c r="AN822" s="500"/>
      <c r="AO822" s="500"/>
      <c r="AP822" s="500"/>
    </row>
    <row r="823" spans="1:42" ht="16.5" customHeight="1">
      <c r="A823" s="439"/>
      <c r="B823" s="439"/>
      <c r="C823" s="439"/>
      <c r="D823" s="439"/>
      <c r="E823" s="439"/>
      <c r="F823" s="439"/>
      <c r="G823" s="451" t="s">
        <v>3406</v>
      </c>
      <c r="Z823" s="500"/>
      <c r="AA823" s="500"/>
      <c r="AB823" s="500"/>
      <c r="AC823" s="500"/>
      <c r="AD823" s="500"/>
      <c r="AE823" s="500"/>
      <c r="AF823" s="500"/>
      <c r="AG823" s="500"/>
      <c r="AH823" s="500"/>
      <c r="AI823" s="500"/>
      <c r="AJ823" s="500"/>
      <c r="AK823" s="500"/>
      <c r="AL823" s="500"/>
      <c r="AM823" s="500"/>
      <c r="AN823" s="500"/>
      <c r="AO823" s="500"/>
      <c r="AP823" s="500"/>
    </row>
    <row r="824" spans="1:42" ht="16.5" customHeight="1">
      <c r="A824" s="434" t="s">
        <v>3414</v>
      </c>
      <c r="B824" s="505" t="str">
        <f>" 보통인부 : "&amp;TEXT(I824,"#,##0"&amp;IF(I824&lt;&gt;INT(I824),".###",""))&amp;" * "&amp;AA824&amp;" 인  / Q1 = "&amp;TEXT(C824,"#,##0.0")&amp;""</f>
        <v xml:space="preserve"> 보통인부 : 172,068 * 1 인  / Q1 = 1,075.4</v>
      </c>
      <c r="C824" s="506">
        <f>E824+D824+F824</f>
        <v>1075.4000000000001</v>
      </c>
      <c r="D824" s="506">
        <f>IF(H824=0,0,ROUNDDOWN(J824*H824,1))</f>
        <v>1075.4000000000001</v>
      </c>
      <c r="E824" s="506">
        <f>IF(H824=0,0,ROUNDDOWN(K824*H824,1))</f>
        <v>0</v>
      </c>
      <c r="F824" s="506">
        <f>IF(H824=0,0,ROUNDDOWN(L824*H824,1))</f>
        <v>0</v>
      </c>
      <c r="G824" s="451" t="s">
        <v>3501</v>
      </c>
      <c r="H824" s="507">
        <f>ROUNDUP(AE824,14-LEN(ABS(INT(AE824))))</f>
        <v>6.2500000000000003E-3</v>
      </c>
      <c r="I824" s="508">
        <f>K824+J824+L824</f>
        <v>172068</v>
      </c>
      <c r="J824" s="509">
        <f>노무비목록표!E10</f>
        <v>172068</v>
      </c>
      <c r="M824" s="501" t="s">
        <v>2363</v>
      </c>
      <c r="N824" s="501" t="s">
        <v>3416</v>
      </c>
      <c r="X824" s="510" t="str">
        <f>노무비목록표!B10&amp;" / "&amp;노무비목록표!C10</f>
        <v xml:space="preserve">보통인부 / </v>
      </c>
      <c r="Y824" s="433" t="str">
        <f ca="1">HYPERLINK("#"&amp;노무비목록표!G2&amp;"!A"&amp;ROW(노무비목록표!A10),"L00017 →")</f>
        <v>L00017 →</v>
      </c>
      <c r="Z824" s="501" t="s">
        <v>3500</v>
      </c>
      <c r="AA824" s="515">
        <v>1</v>
      </c>
      <c r="AB824" s="501" t="s">
        <v>3428</v>
      </c>
      <c r="AC824" s="512">
        <f>AB812</f>
        <v>160</v>
      </c>
      <c r="AD824" s="501" t="s">
        <v>3418</v>
      </c>
      <c r="AE824" s="512">
        <f>1*AA824/AB812</f>
        <v>6.2500000000000003E-3</v>
      </c>
      <c r="AF824" s="500"/>
      <c r="AG824" s="500"/>
      <c r="AH824" s="500"/>
      <c r="AI824" s="500"/>
      <c r="AJ824" s="500"/>
      <c r="AK824" s="500"/>
      <c r="AL824" s="500"/>
      <c r="AM824" s="500"/>
      <c r="AN824" s="500"/>
      <c r="AO824" s="500"/>
      <c r="AP824" s="500"/>
    </row>
    <row r="825" spans="1:42" ht="16.5" customHeight="1">
      <c r="A825" s="439"/>
      <c r="B825" s="439"/>
      <c r="C825" s="439"/>
      <c r="D825" s="439"/>
      <c r="E825" s="439"/>
      <c r="F825" s="439"/>
      <c r="G825" s="451" t="s">
        <v>3406</v>
      </c>
      <c r="Z825" s="500"/>
      <c r="AA825" s="500"/>
      <c r="AB825" s="500"/>
      <c r="AC825" s="500"/>
      <c r="AD825" s="500"/>
      <c r="AE825" s="500"/>
      <c r="AF825" s="500"/>
      <c r="AG825" s="500"/>
      <c r="AH825" s="500"/>
      <c r="AI825" s="500"/>
      <c r="AJ825" s="500"/>
      <c r="AK825" s="500"/>
      <c r="AL825" s="500"/>
      <c r="AM825" s="500"/>
      <c r="AN825" s="500"/>
      <c r="AO825" s="500"/>
      <c r="AP825" s="500"/>
    </row>
    <row r="826" spans="1:42" ht="16.5" customHeight="1">
      <c r="A826" s="434"/>
      <c r="B826" s="437" t="s">
        <v>3419</v>
      </c>
      <c r="C826" s="513">
        <f>E826+D826+F826</f>
        <v>5485.4</v>
      </c>
      <c r="D826" s="513">
        <f>SUMIF(N807:N825,M826,D807:D825)</f>
        <v>5485.4</v>
      </c>
      <c r="E826" s="513">
        <f>SUMIF(N807:N825,M826,E807:E825)</f>
        <v>0</v>
      </c>
      <c r="F826" s="513">
        <f>SUMIF(N807:N825,M826,F807:F825)</f>
        <v>0</v>
      </c>
      <c r="G826" s="451" t="s">
        <v>3439</v>
      </c>
      <c r="M826" s="501" t="s">
        <v>3416</v>
      </c>
      <c r="N826" s="501" t="s">
        <v>3421</v>
      </c>
      <c r="Z826" s="500"/>
      <c r="AA826" s="500"/>
      <c r="AB826" s="500"/>
      <c r="AC826" s="500"/>
      <c r="AD826" s="500"/>
      <c r="AE826" s="500"/>
      <c r="AF826" s="500"/>
      <c r="AG826" s="500"/>
      <c r="AH826" s="500"/>
      <c r="AI826" s="500"/>
      <c r="AJ826" s="500"/>
      <c r="AK826" s="500"/>
      <c r="AL826" s="500"/>
      <c r="AM826" s="500"/>
      <c r="AN826" s="500"/>
      <c r="AO826" s="500"/>
      <c r="AP826" s="500"/>
    </row>
    <row r="827" spans="1:42" ht="16.5" customHeight="1">
      <c r="A827" s="439"/>
      <c r="B827" s="439"/>
      <c r="C827" s="504"/>
      <c r="D827" s="504"/>
      <c r="E827" s="504"/>
      <c r="F827" s="504"/>
      <c r="G827" s="451" t="s">
        <v>3406</v>
      </c>
      <c r="Z827" s="500"/>
      <c r="AA827" s="500"/>
      <c r="AB827" s="500"/>
      <c r="AC827" s="500"/>
      <c r="AD827" s="500"/>
      <c r="AE827" s="500"/>
      <c r="AF827" s="500"/>
      <c r="AG827" s="500"/>
      <c r="AH827" s="500"/>
      <c r="AI827" s="500"/>
      <c r="AJ827" s="500"/>
      <c r="AK827" s="500"/>
      <c r="AL827" s="500"/>
      <c r="AM827" s="500"/>
      <c r="AN827" s="500"/>
      <c r="AO827" s="500"/>
      <c r="AP827" s="500"/>
    </row>
    <row r="828" spans="1:42" ht="16.5" customHeight="1">
      <c r="A828" s="439"/>
      <c r="B828" s="439"/>
      <c r="C828" s="439"/>
      <c r="D828" s="439"/>
      <c r="E828" s="439"/>
      <c r="F828" s="439"/>
      <c r="G828" s="451" t="s">
        <v>3406</v>
      </c>
      <c r="Z828" s="500"/>
      <c r="AA828" s="500"/>
      <c r="AB828" s="500"/>
      <c r="AC828" s="500"/>
      <c r="AD828" s="500"/>
      <c r="AE828" s="500"/>
      <c r="AF828" s="500"/>
      <c r="AG828" s="500"/>
      <c r="AH828" s="500"/>
      <c r="AI828" s="500"/>
      <c r="AJ828" s="500"/>
      <c r="AK828" s="500"/>
      <c r="AL828" s="500"/>
      <c r="AM828" s="500"/>
      <c r="AN828" s="500"/>
      <c r="AO828" s="500"/>
      <c r="AP828" s="500"/>
    </row>
    <row r="829" spans="1:42" ht="16.5" customHeight="1">
      <c r="A829" s="434"/>
      <c r="B829" s="437" t="s">
        <v>3502</v>
      </c>
      <c r="C829" s="439"/>
      <c r="D829" s="439"/>
      <c r="E829" s="439"/>
      <c r="F829" s="439"/>
      <c r="G829" s="451" t="s">
        <v>3503</v>
      </c>
      <c r="Z829" s="500"/>
      <c r="AA829" s="500"/>
      <c r="AB829" s="500"/>
      <c r="AC829" s="500"/>
      <c r="AD829" s="500"/>
      <c r="AE829" s="500"/>
      <c r="AF829" s="500"/>
      <c r="AG829" s="500"/>
      <c r="AH829" s="500"/>
      <c r="AI829" s="500"/>
      <c r="AJ829" s="500"/>
      <c r="AK829" s="500"/>
      <c r="AL829" s="500"/>
      <c r="AM829" s="500"/>
      <c r="AN829" s="500"/>
      <c r="AO829" s="500"/>
      <c r="AP829" s="500"/>
    </row>
    <row r="830" spans="1:42" ht="16.5" customHeight="1">
      <c r="A830" s="439"/>
      <c r="B830" s="439"/>
      <c r="C830" s="439"/>
      <c r="D830" s="439"/>
      <c r="E830" s="439"/>
      <c r="F830" s="439"/>
      <c r="G830" s="451" t="s">
        <v>3413</v>
      </c>
      <c r="Z830" s="500"/>
      <c r="AA830" s="500"/>
      <c r="AB830" s="500"/>
      <c r="AC830" s="500"/>
      <c r="AD830" s="500"/>
      <c r="AE830" s="500"/>
      <c r="AF830" s="500"/>
      <c r="AG830" s="500"/>
      <c r="AH830" s="500"/>
      <c r="AI830" s="500"/>
      <c r="AJ830" s="500"/>
      <c r="AK830" s="500"/>
      <c r="AL830" s="500"/>
      <c r="AM830" s="500"/>
      <c r="AN830" s="500"/>
      <c r="AO830" s="500"/>
      <c r="AP830" s="500"/>
    </row>
    <row r="831" spans="1:42" ht="16.5" customHeight="1">
      <c r="A831" s="434" t="s">
        <v>3504</v>
      </c>
      <c r="B831" s="505" t="str">
        <f>"  유기질비료 수목이식·식재용 : "&amp;TEXT(I831,"#,##0"&amp;IF(I831&lt;&gt;INT(I831),".###",""))&amp;" * "&amp;AA831&amp;" KG  / Q1 = "&amp;TEXT(C831,"#,##0.0")&amp;""</f>
        <v xml:space="preserve">  유기질비료 수목이식·식재용 : 500 * 220 KG  / Q1 = 687.5</v>
      </c>
      <c r="C831" s="506">
        <f>E831+D831+F831</f>
        <v>687.5</v>
      </c>
      <c r="D831" s="506">
        <f>IF(H831=0,0,ROUNDDOWN(J831*H831,1))</f>
        <v>0</v>
      </c>
      <c r="E831" s="506">
        <f>IF(H831=0,0,ROUNDDOWN(K831*H831,1))</f>
        <v>687.5</v>
      </c>
      <c r="F831" s="506">
        <f>IF(H831=0,0,ROUNDDOWN(L831*H831,1))</f>
        <v>0</v>
      </c>
      <c r="G831" s="451" t="s">
        <v>3511</v>
      </c>
      <c r="H831" s="507">
        <f>ROUNDUP(AE831,14-LEN(ABS(INT(AE831))))</f>
        <v>1.375</v>
      </c>
      <c r="I831" s="508">
        <f>K831+J831+L831</f>
        <v>500</v>
      </c>
      <c r="K831" s="509">
        <f>재료비목록표!E78</f>
        <v>500</v>
      </c>
      <c r="M831" s="501" t="s">
        <v>3506</v>
      </c>
      <c r="N831" s="501" t="s">
        <v>3416</v>
      </c>
      <c r="X831" s="510" t="str">
        <f>재료비목록표!B78&amp;" / "&amp;재료비목록표!C78</f>
        <v>유기질비료 / 수목이식·식재용</v>
      </c>
      <c r="Y831" s="433" t="str">
        <f ca="1">HYPERLINK("#"&amp;재료비목록표!G2&amp;"!A"&amp;ROW(재료비목록표!A78),"M01159 →")</f>
        <v>M01159 →</v>
      </c>
      <c r="Z831" s="501" t="s">
        <v>3500</v>
      </c>
      <c r="AA831" s="515">
        <v>220</v>
      </c>
      <c r="AB831" s="501" t="s">
        <v>3428</v>
      </c>
      <c r="AC831" s="512">
        <f>AB812</f>
        <v>160</v>
      </c>
      <c r="AD831" s="501" t="s">
        <v>3418</v>
      </c>
      <c r="AE831" s="512">
        <f>1*AA831/AB812</f>
        <v>1.375</v>
      </c>
      <c r="AF831" s="500"/>
      <c r="AG831" s="500"/>
      <c r="AH831" s="500"/>
      <c r="AI831" s="500"/>
      <c r="AJ831" s="500"/>
      <c r="AK831" s="500"/>
      <c r="AL831" s="500"/>
      <c r="AM831" s="500"/>
      <c r="AN831" s="500"/>
      <c r="AO831" s="500"/>
      <c r="AP831" s="500"/>
    </row>
    <row r="832" spans="1:42" ht="16.5" customHeight="1">
      <c r="A832" s="439"/>
      <c r="B832" s="439"/>
      <c r="C832" s="439"/>
      <c r="D832" s="439"/>
      <c r="E832" s="439"/>
      <c r="F832" s="439"/>
      <c r="G832" s="451" t="s">
        <v>3413</v>
      </c>
      <c r="Z832" s="500"/>
      <c r="AA832" s="500"/>
      <c r="AB832" s="500"/>
      <c r="AC832" s="500"/>
      <c r="AD832" s="500"/>
      <c r="AE832" s="500"/>
      <c r="AF832" s="500"/>
      <c r="AG832" s="500"/>
      <c r="AH832" s="500"/>
      <c r="AI832" s="500"/>
      <c r="AJ832" s="500"/>
      <c r="AK832" s="500"/>
      <c r="AL832" s="500"/>
      <c r="AM832" s="500"/>
      <c r="AN832" s="500"/>
      <c r="AO832" s="500"/>
      <c r="AP832" s="500"/>
    </row>
    <row r="833" spans="1:42" ht="16.5" customHeight="1">
      <c r="A833" s="434"/>
      <c r="B833" s="437" t="s">
        <v>3419</v>
      </c>
      <c r="C833" s="513">
        <f>E833+D833+F833</f>
        <v>687.5</v>
      </c>
      <c r="D833" s="513">
        <f>SUMIF(N827:N832,M833,D827:D832)</f>
        <v>0</v>
      </c>
      <c r="E833" s="513">
        <f>SUMIF(N827:N832,M833,E827:E832)</f>
        <v>687.5</v>
      </c>
      <c r="F833" s="513">
        <f>SUMIF(N827:N832,M833,F827:F832)</f>
        <v>0</v>
      </c>
      <c r="G833" s="451" t="s">
        <v>3439</v>
      </c>
      <c r="M833" s="501" t="s">
        <v>3416</v>
      </c>
      <c r="N833" s="501" t="s">
        <v>3421</v>
      </c>
      <c r="Z833" s="500"/>
      <c r="AA833" s="500"/>
      <c r="AB833" s="500"/>
      <c r="AC833" s="500"/>
      <c r="AD833" s="500"/>
      <c r="AE833" s="500"/>
      <c r="AF833" s="500"/>
      <c r="AG833" s="500"/>
      <c r="AH833" s="500"/>
      <c r="AI833" s="500"/>
      <c r="AJ833" s="500"/>
      <c r="AK833" s="500"/>
      <c r="AL833" s="500"/>
      <c r="AM833" s="500"/>
      <c r="AN833" s="500"/>
      <c r="AO833" s="500"/>
      <c r="AP833" s="500"/>
    </row>
    <row r="834" spans="1:42" ht="16.5" customHeight="1">
      <c r="A834" s="439"/>
      <c r="B834" s="439"/>
      <c r="C834" s="504"/>
      <c r="D834" s="504"/>
      <c r="E834" s="504"/>
      <c r="F834" s="504"/>
      <c r="G834" s="451" t="s">
        <v>3406</v>
      </c>
      <c r="Z834" s="500"/>
      <c r="AA834" s="500"/>
      <c r="AB834" s="500"/>
      <c r="AC834" s="500"/>
      <c r="AD834" s="500"/>
      <c r="AE834" s="500"/>
      <c r="AF834" s="500"/>
      <c r="AG834" s="500"/>
      <c r="AH834" s="500"/>
      <c r="AI834" s="500"/>
      <c r="AJ834" s="500"/>
      <c r="AK834" s="500"/>
      <c r="AL834" s="500"/>
      <c r="AM834" s="500"/>
      <c r="AN834" s="500"/>
      <c r="AO834" s="500"/>
      <c r="AP834" s="500"/>
    </row>
    <row r="835" spans="1:42" ht="16.5" customHeight="1">
      <c r="A835" s="434"/>
      <c r="B835" s="437" t="s">
        <v>3440</v>
      </c>
      <c r="C835" s="513">
        <f>E835+D835+F835</f>
        <v>6172.9</v>
      </c>
      <c r="D835" s="513">
        <f>SUMIF(N807:N834,M835,D807:D834)</f>
        <v>5485.4</v>
      </c>
      <c r="E835" s="513">
        <f>SUMIF(N807:N834,M835,E807:E834)</f>
        <v>687.5</v>
      </c>
      <c r="F835" s="513">
        <f>SUMIF(N807:N834,M835,F807:F834)</f>
        <v>0</v>
      </c>
      <c r="G835" s="451" t="s">
        <v>3441</v>
      </c>
      <c r="M835" s="501" t="s">
        <v>3421</v>
      </c>
      <c r="N835" s="501" t="s">
        <v>2354</v>
      </c>
      <c r="Z835" s="500"/>
      <c r="AA835" s="500"/>
      <c r="AB835" s="500"/>
      <c r="AC835" s="500"/>
      <c r="AD835" s="500"/>
      <c r="AE835" s="500"/>
      <c r="AF835" s="500"/>
      <c r="AG835" s="500"/>
      <c r="AH835" s="500"/>
      <c r="AI835" s="500"/>
      <c r="AJ835" s="500"/>
      <c r="AK835" s="500"/>
      <c r="AL835" s="500"/>
      <c r="AM835" s="500"/>
      <c r="AN835" s="500"/>
      <c r="AO835" s="500"/>
      <c r="AP835" s="500"/>
    </row>
    <row r="836" spans="1:42" ht="16.5" customHeight="1">
      <c r="A836" s="439"/>
      <c r="B836" s="439"/>
      <c r="C836" s="504"/>
      <c r="D836" s="504"/>
      <c r="E836" s="504"/>
      <c r="F836" s="504"/>
      <c r="Z836" s="500"/>
      <c r="AA836" s="500"/>
      <c r="AB836" s="500"/>
      <c r="AC836" s="500"/>
      <c r="AD836" s="500"/>
      <c r="AE836" s="500"/>
      <c r="AF836" s="500"/>
      <c r="AG836" s="500"/>
      <c r="AH836" s="500"/>
      <c r="AI836" s="500"/>
      <c r="AJ836" s="500"/>
      <c r="AK836" s="500"/>
      <c r="AL836" s="500"/>
      <c r="AM836" s="500"/>
      <c r="AN836" s="500"/>
      <c r="AO836" s="500"/>
      <c r="AP836" s="500"/>
    </row>
    <row r="837" spans="1:42" ht="16.5" customHeight="1">
      <c r="A837" s="439"/>
      <c r="B837" s="439"/>
      <c r="C837" s="439"/>
      <c r="D837" s="439"/>
      <c r="E837" s="439"/>
      <c r="F837" s="439"/>
      <c r="Z837" s="500"/>
      <c r="AA837" s="500"/>
      <c r="AB837" s="500"/>
      <c r="AC837" s="500"/>
      <c r="AD837" s="500"/>
      <c r="AE837" s="500"/>
      <c r="AF837" s="500"/>
      <c r="AG837" s="500"/>
      <c r="AH837" s="500"/>
      <c r="AI837" s="500"/>
      <c r="AJ837" s="500"/>
      <c r="AK837" s="500"/>
      <c r="AL837" s="500"/>
      <c r="AM837" s="500"/>
      <c r="AN837" s="500"/>
      <c r="AO837" s="500"/>
      <c r="AP837" s="500"/>
    </row>
    <row r="838" spans="1:42" ht="16.5" customHeight="1">
      <c r="A838" s="439"/>
      <c r="B838" s="439"/>
      <c r="C838" s="439"/>
      <c r="D838" s="439"/>
      <c r="E838" s="439"/>
      <c r="F838" s="439"/>
      <c r="Z838" s="500"/>
      <c r="AA838" s="500"/>
      <c r="AB838" s="500"/>
      <c r="AC838" s="500"/>
      <c r="AD838" s="500"/>
      <c r="AE838" s="500"/>
      <c r="AF838" s="500"/>
      <c r="AG838" s="500"/>
      <c r="AH838" s="500"/>
      <c r="AI838" s="500"/>
      <c r="AJ838" s="500"/>
      <c r="AK838" s="500"/>
      <c r="AL838" s="500"/>
      <c r="AM838" s="500"/>
      <c r="AN838" s="500"/>
      <c r="AO838" s="500"/>
      <c r="AP838" s="500"/>
    </row>
    <row r="839" spans="1:42" ht="16.5" customHeight="1">
      <c r="A839" s="439"/>
      <c r="B839" s="439"/>
      <c r="C839" s="439"/>
      <c r="D839" s="439"/>
      <c r="E839" s="439"/>
      <c r="F839" s="439"/>
      <c r="Z839" s="500"/>
      <c r="AA839" s="500"/>
      <c r="AB839" s="500"/>
      <c r="AC839" s="500"/>
      <c r="AD839" s="500"/>
      <c r="AE839" s="500"/>
      <c r="AF839" s="500"/>
      <c r="AG839" s="500"/>
      <c r="AH839" s="500"/>
      <c r="AI839" s="500"/>
      <c r="AJ839" s="500"/>
      <c r="AK839" s="500"/>
      <c r="AL839" s="500"/>
      <c r="AM839" s="500"/>
      <c r="AN839" s="500"/>
      <c r="AO839" s="500"/>
      <c r="AP839" s="500"/>
    </row>
    <row r="840" spans="1:42" ht="16.5" customHeight="1">
      <c r="A840" s="439"/>
      <c r="B840" s="439"/>
      <c r="C840" s="439"/>
      <c r="D840" s="439"/>
      <c r="E840" s="439"/>
      <c r="F840" s="439"/>
      <c r="Z840" s="500"/>
      <c r="AA840" s="500"/>
      <c r="AB840" s="500"/>
      <c r="AC840" s="500"/>
      <c r="AD840" s="500"/>
      <c r="AE840" s="500"/>
      <c r="AF840" s="500"/>
      <c r="AG840" s="500"/>
      <c r="AH840" s="500"/>
      <c r="AI840" s="500"/>
      <c r="AJ840" s="500"/>
      <c r="AK840" s="500"/>
      <c r="AL840" s="500"/>
      <c r="AM840" s="500"/>
      <c r="AN840" s="500"/>
      <c r="AO840" s="500"/>
      <c r="AP840" s="500"/>
    </row>
    <row r="841" spans="1:42" ht="16.5" customHeight="1">
      <c r="A841" s="439"/>
      <c r="B841" s="439"/>
      <c r="C841" s="439"/>
      <c r="D841" s="439"/>
      <c r="E841" s="439"/>
      <c r="F841" s="439"/>
      <c r="Z841" s="500"/>
      <c r="AA841" s="500"/>
      <c r="AB841" s="500"/>
      <c r="AC841" s="500"/>
      <c r="AD841" s="500"/>
      <c r="AE841" s="500"/>
      <c r="AF841" s="500"/>
      <c r="AG841" s="500"/>
      <c r="AH841" s="500"/>
      <c r="AI841" s="500"/>
      <c r="AJ841" s="500"/>
      <c r="AK841" s="500"/>
      <c r="AL841" s="500"/>
      <c r="AM841" s="500"/>
      <c r="AN841" s="500"/>
      <c r="AO841" s="500"/>
      <c r="AP841" s="500"/>
    </row>
    <row r="842" spans="1:42" ht="16.5" customHeight="1">
      <c r="A842" s="439"/>
      <c r="B842" s="439"/>
      <c r="C842" s="439"/>
      <c r="D842" s="439"/>
      <c r="E842" s="439"/>
      <c r="F842" s="439"/>
      <c r="Z842" s="500"/>
      <c r="AA842" s="500"/>
      <c r="AB842" s="500"/>
      <c r="AC842" s="500"/>
      <c r="AD842" s="500"/>
      <c r="AE842" s="500"/>
      <c r="AF842" s="500"/>
      <c r="AG842" s="500"/>
      <c r="AH842" s="500"/>
      <c r="AI842" s="500"/>
      <c r="AJ842" s="500"/>
      <c r="AK842" s="500"/>
      <c r="AL842" s="500"/>
      <c r="AM842" s="500"/>
      <c r="AN842" s="500"/>
      <c r="AO842" s="500"/>
      <c r="AP842" s="500"/>
    </row>
    <row r="843" spans="1:42" ht="16.5" customHeight="1">
      <c r="A843" s="439"/>
      <c r="B843" s="439"/>
      <c r="C843" s="439"/>
      <c r="D843" s="439"/>
      <c r="E843" s="439"/>
      <c r="F843" s="439"/>
      <c r="Z843" s="500"/>
      <c r="AA843" s="500"/>
      <c r="AB843" s="500"/>
      <c r="AC843" s="500"/>
      <c r="AD843" s="500"/>
      <c r="AE843" s="500"/>
      <c r="AF843" s="500"/>
      <c r="AG843" s="500"/>
      <c r="AH843" s="500"/>
      <c r="AI843" s="500"/>
      <c r="AJ843" s="500"/>
      <c r="AK843" s="500"/>
      <c r="AL843" s="500"/>
      <c r="AM843" s="500"/>
      <c r="AN843" s="500"/>
      <c r="AO843" s="500"/>
      <c r="AP843" s="500"/>
    </row>
    <row r="844" spans="1:42" ht="16.5" customHeight="1">
      <c r="A844" s="439"/>
      <c r="B844" s="439"/>
      <c r="C844" s="439"/>
      <c r="D844" s="439"/>
      <c r="E844" s="439"/>
      <c r="F844" s="439"/>
      <c r="Z844" s="500"/>
      <c r="AA844" s="500"/>
      <c r="AB844" s="500"/>
      <c r="AC844" s="500"/>
      <c r="AD844" s="500"/>
      <c r="AE844" s="500"/>
      <c r="AF844" s="500"/>
      <c r="AG844" s="500"/>
      <c r="AH844" s="500"/>
      <c r="AI844" s="500"/>
      <c r="AJ844" s="500"/>
      <c r="AK844" s="500"/>
      <c r="AL844" s="500"/>
      <c r="AM844" s="500"/>
      <c r="AN844" s="500"/>
      <c r="AO844" s="500"/>
      <c r="AP844" s="500"/>
    </row>
    <row r="845" spans="1:42" ht="16.5" customHeight="1">
      <c r="A845" s="439"/>
      <c r="B845" s="439"/>
      <c r="C845" s="439"/>
      <c r="D845" s="439"/>
      <c r="E845" s="439"/>
      <c r="F845" s="439"/>
      <c r="Z845" s="500"/>
      <c r="AA845" s="500"/>
      <c r="AB845" s="500"/>
      <c r="AC845" s="500"/>
      <c r="AD845" s="500"/>
      <c r="AE845" s="500"/>
      <c r="AF845" s="500"/>
      <c r="AG845" s="500"/>
      <c r="AH845" s="500"/>
      <c r="AI845" s="500"/>
      <c r="AJ845" s="500"/>
      <c r="AK845" s="500"/>
      <c r="AL845" s="500"/>
      <c r="AM845" s="500"/>
      <c r="AN845" s="500"/>
      <c r="AO845" s="500"/>
      <c r="AP845" s="500"/>
    </row>
    <row r="846" spans="1:42" ht="16.5" customHeight="1">
      <c r="A846" s="439"/>
      <c r="B846" s="439"/>
      <c r="C846" s="439"/>
      <c r="D846" s="439"/>
      <c r="E846" s="439"/>
      <c r="F846" s="439"/>
      <c r="Z846" s="500"/>
      <c r="AA846" s="500"/>
      <c r="AB846" s="500"/>
      <c r="AC846" s="500"/>
      <c r="AD846" s="500"/>
      <c r="AE846" s="500"/>
      <c r="AF846" s="500"/>
      <c r="AG846" s="500"/>
      <c r="AH846" s="500"/>
      <c r="AI846" s="500"/>
      <c r="AJ846" s="500"/>
      <c r="AK846" s="500"/>
      <c r="AL846" s="500"/>
      <c r="AM846" s="500"/>
      <c r="AN846" s="500"/>
      <c r="AO846" s="500"/>
      <c r="AP846" s="500"/>
    </row>
    <row r="847" spans="1:42" ht="16.5" customHeight="1">
      <c r="A847" s="439"/>
      <c r="B847" s="439"/>
      <c r="C847" s="439"/>
      <c r="D847" s="439"/>
      <c r="E847" s="439"/>
      <c r="F847" s="439"/>
      <c r="Z847" s="500"/>
      <c r="AA847" s="500"/>
      <c r="AB847" s="500"/>
      <c r="AC847" s="500"/>
      <c r="AD847" s="500"/>
      <c r="AE847" s="500"/>
      <c r="AF847" s="500"/>
      <c r="AG847" s="500"/>
      <c r="AH847" s="500"/>
      <c r="AI847" s="500"/>
      <c r="AJ847" s="500"/>
      <c r="AK847" s="500"/>
      <c r="AL847" s="500"/>
      <c r="AM847" s="500"/>
      <c r="AN847" s="500"/>
      <c r="AO847" s="500"/>
      <c r="AP847" s="500"/>
    </row>
    <row r="848" spans="1:42" ht="16.5" customHeight="1">
      <c r="A848" s="439"/>
      <c r="B848" s="439"/>
      <c r="C848" s="439"/>
      <c r="D848" s="439"/>
      <c r="E848" s="439"/>
      <c r="F848" s="439"/>
      <c r="Z848" s="500"/>
      <c r="AA848" s="500"/>
      <c r="AB848" s="500"/>
      <c r="AC848" s="500"/>
      <c r="AD848" s="500"/>
      <c r="AE848" s="500"/>
      <c r="AF848" s="500"/>
      <c r="AG848" s="500"/>
      <c r="AH848" s="500"/>
      <c r="AI848" s="500"/>
      <c r="AJ848" s="500"/>
      <c r="AK848" s="500"/>
      <c r="AL848" s="500"/>
      <c r="AM848" s="500"/>
      <c r="AN848" s="500"/>
      <c r="AO848" s="500"/>
      <c r="AP848" s="500"/>
    </row>
    <row r="849" spans="1:42" ht="16.5" customHeight="1">
      <c r="A849" s="439"/>
      <c r="B849" s="439"/>
      <c r="C849" s="439"/>
      <c r="D849" s="439"/>
      <c r="E849" s="439"/>
      <c r="F849" s="439"/>
      <c r="Z849" s="500"/>
      <c r="AA849" s="500"/>
      <c r="AB849" s="500"/>
      <c r="AC849" s="500"/>
      <c r="AD849" s="500"/>
      <c r="AE849" s="500"/>
      <c r="AF849" s="500"/>
      <c r="AG849" s="500"/>
      <c r="AH849" s="500"/>
      <c r="AI849" s="500"/>
      <c r="AJ849" s="500"/>
      <c r="AK849" s="500"/>
      <c r="AL849" s="500"/>
      <c r="AM849" s="500"/>
      <c r="AN849" s="500"/>
      <c r="AO849" s="500"/>
      <c r="AP849" s="500"/>
    </row>
    <row r="850" spans="1:42" ht="16.5" customHeight="1">
      <c r="A850" s="439"/>
      <c r="B850" s="439"/>
      <c r="C850" s="439"/>
      <c r="D850" s="439"/>
      <c r="E850" s="439"/>
      <c r="F850" s="439"/>
      <c r="Z850" s="500"/>
      <c r="AA850" s="500"/>
      <c r="AB850" s="500"/>
      <c r="AC850" s="500"/>
      <c r="AD850" s="500"/>
      <c r="AE850" s="500"/>
      <c r="AF850" s="500"/>
      <c r="AG850" s="500"/>
      <c r="AH850" s="500"/>
      <c r="AI850" s="500"/>
      <c r="AJ850" s="500"/>
      <c r="AK850" s="500"/>
      <c r="AL850" s="500"/>
      <c r="AM850" s="500"/>
      <c r="AN850" s="500"/>
      <c r="AO850" s="500"/>
      <c r="AP850" s="500"/>
    </row>
    <row r="851" spans="1:42" ht="16.5" customHeight="1">
      <c r="A851" s="439"/>
      <c r="B851" s="439"/>
      <c r="C851" s="439"/>
      <c r="D851" s="439"/>
      <c r="E851" s="439"/>
      <c r="F851" s="439"/>
      <c r="Z851" s="500"/>
      <c r="AA851" s="500"/>
      <c r="AB851" s="500"/>
      <c r="AC851" s="500"/>
      <c r="AD851" s="500"/>
      <c r="AE851" s="500"/>
      <c r="AF851" s="500"/>
      <c r="AG851" s="500"/>
      <c r="AH851" s="500"/>
      <c r="AI851" s="500"/>
      <c r="AJ851" s="500"/>
      <c r="AK851" s="500"/>
      <c r="AL851" s="500"/>
      <c r="AM851" s="500"/>
      <c r="AN851" s="500"/>
      <c r="AO851" s="500"/>
      <c r="AP851" s="500"/>
    </row>
    <row r="852" spans="1:42" ht="16.5" customHeight="1">
      <c r="A852" s="439"/>
      <c r="B852" s="439"/>
      <c r="C852" s="439"/>
      <c r="D852" s="439"/>
      <c r="E852" s="439"/>
      <c r="F852" s="439"/>
      <c r="Z852" s="500"/>
      <c r="AA852" s="500"/>
      <c r="AB852" s="500"/>
      <c r="AC852" s="500"/>
      <c r="AD852" s="500"/>
      <c r="AE852" s="500"/>
      <c r="AF852" s="500"/>
      <c r="AG852" s="500"/>
      <c r="AH852" s="500"/>
      <c r="AI852" s="500"/>
      <c r="AJ852" s="500"/>
      <c r="AK852" s="500"/>
      <c r="AL852" s="500"/>
      <c r="AM852" s="500"/>
      <c r="AN852" s="500"/>
      <c r="AO852" s="500"/>
      <c r="AP852" s="500"/>
    </row>
    <row r="853" spans="1:42" ht="16.5" customHeight="1">
      <c r="A853" s="497"/>
      <c r="B853" s="497"/>
      <c r="C853" s="497"/>
      <c r="D853" s="497"/>
      <c r="E853" s="497"/>
      <c r="F853" s="497"/>
      <c r="Z853" s="500"/>
      <c r="AA853" s="500"/>
      <c r="AB853" s="500"/>
      <c r="AC853" s="500"/>
      <c r="AD853" s="500"/>
      <c r="AE853" s="500"/>
      <c r="AF853" s="500"/>
      <c r="AG853" s="500"/>
      <c r="AH853" s="500"/>
      <c r="AI853" s="500"/>
      <c r="AJ853" s="500"/>
      <c r="AK853" s="500"/>
      <c r="AL853" s="500"/>
      <c r="AM853" s="500"/>
      <c r="AN853" s="500"/>
      <c r="AO853" s="500"/>
      <c r="AP853" s="500"/>
    </row>
    <row r="854" spans="1:42" ht="16.5" customHeight="1">
      <c r="A854" s="616" t="s">
        <v>3487</v>
      </c>
      <c r="B854" s="605"/>
      <c r="C854" s="446">
        <f>E854+D854+F854</f>
        <v>6172</v>
      </c>
      <c r="D854" s="453">
        <f>ROUNDDOWN(SUMIF(N807:N835,M854,D807:D835),0)</f>
        <v>5485</v>
      </c>
      <c r="E854" s="454">
        <f>ROUNDDOWN(SUMIF(N807:N835,M854,E807:E835),0)</f>
        <v>687</v>
      </c>
      <c r="F854" s="446">
        <f>ROUNDDOWN(SUMIF(N807:N835,M854,F807:F835),0)</f>
        <v>0</v>
      </c>
      <c r="M854" s="501" t="s">
        <v>2354</v>
      </c>
      <c r="Z854" s="500"/>
      <c r="AA854" s="500"/>
      <c r="AB854" s="500"/>
      <c r="AC854" s="500"/>
      <c r="AD854" s="500"/>
      <c r="AE854" s="500"/>
      <c r="AF854" s="500"/>
      <c r="AG854" s="500"/>
      <c r="AH854" s="500"/>
      <c r="AI854" s="500"/>
      <c r="AJ854" s="500"/>
      <c r="AK854" s="500"/>
      <c r="AL854" s="500"/>
      <c r="AM854" s="500"/>
      <c r="AN854" s="500"/>
      <c r="AO854" s="500"/>
      <c r="AP854" s="500"/>
    </row>
    <row r="855" spans="1:42" ht="16.5" customHeight="1">
      <c r="A855" s="502"/>
      <c r="B855" s="503" t="s">
        <v>1879</v>
      </c>
      <c r="C855" s="615">
        <f>C904</f>
        <v>13035</v>
      </c>
      <c r="D855" s="615">
        <f>D904</f>
        <v>11702</v>
      </c>
      <c r="E855" s="615">
        <f>E904</f>
        <v>1333</v>
      </c>
      <c r="F855" s="615">
        <f>F904</f>
        <v>0</v>
      </c>
      <c r="G855" s="486" t="str">
        <f>HYPERLINK("#G"&amp;ROW(G886),"_x0005_`BDCOD|D01291_x0007_`POSS|"&amp;ROW(G857)&amp;"_x0007_`POSE|"&amp;ROW(G886)&amp;"_x0007_`")</f>
        <v>_x0005_`BDCOD|D01291_x0007_`POSS|857_x0007_`POSE|886_x0007_`</v>
      </c>
      <c r="Z855" s="500"/>
      <c r="AA855" s="500"/>
      <c r="AB855" s="500"/>
      <c r="AC855" s="500"/>
      <c r="AD855" s="500"/>
      <c r="AE855" s="500"/>
      <c r="AF855" s="500"/>
      <c r="AG855" s="500"/>
      <c r="AH855" s="500"/>
      <c r="AI855" s="500"/>
      <c r="AJ855" s="500"/>
      <c r="AK855" s="500"/>
      <c r="AL855" s="500"/>
      <c r="AM855" s="500"/>
      <c r="AN855" s="500"/>
      <c r="AO855" s="500"/>
      <c r="AP855" s="500"/>
    </row>
    <row r="856" spans="1:42" ht="16.5" customHeight="1">
      <c r="A856" s="485"/>
      <c r="B856" s="503" t="s">
        <v>3532</v>
      </c>
      <c r="C856" s="593"/>
      <c r="D856" s="593"/>
      <c r="E856" s="593"/>
      <c r="F856" s="593"/>
      <c r="M856" s="501" t="s">
        <v>1879</v>
      </c>
      <c r="Z856" s="500"/>
      <c r="AA856" s="500"/>
      <c r="AB856" s="500"/>
      <c r="AC856" s="500"/>
      <c r="AD856" s="500"/>
      <c r="AE856" s="500"/>
      <c r="AF856" s="500"/>
      <c r="AG856" s="500"/>
      <c r="AH856" s="500"/>
      <c r="AI856" s="500"/>
      <c r="AJ856" s="500"/>
      <c r="AK856" s="500"/>
      <c r="AL856" s="500"/>
      <c r="AM856" s="500"/>
      <c r="AN856" s="500"/>
      <c r="AO856" s="500"/>
      <c r="AP856" s="500"/>
    </row>
    <row r="857" spans="1:42" ht="16.5" customHeight="1">
      <c r="A857" s="439"/>
      <c r="B857" s="439"/>
      <c r="C857" s="504"/>
      <c r="D857" s="504"/>
      <c r="E857" s="504"/>
      <c r="F857" s="504"/>
      <c r="G857" s="451" t="s">
        <v>3406</v>
      </c>
      <c r="Z857" s="500"/>
      <c r="AA857" s="500"/>
      <c r="AB857" s="500"/>
      <c r="AC857" s="500"/>
      <c r="AD857" s="500"/>
      <c r="AE857" s="500"/>
      <c r="AF857" s="500"/>
      <c r="AG857" s="500"/>
      <c r="AH857" s="500"/>
      <c r="AI857" s="500"/>
      <c r="AJ857" s="500"/>
      <c r="AK857" s="500"/>
      <c r="AL857" s="500"/>
      <c r="AM857" s="500"/>
      <c r="AN857" s="500"/>
      <c r="AO857" s="500"/>
      <c r="AP857" s="500"/>
    </row>
    <row r="858" spans="1:42" ht="16.5" customHeight="1">
      <c r="A858" s="434"/>
      <c r="B858" s="437" t="s">
        <v>3533</v>
      </c>
      <c r="C858" s="439"/>
      <c r="D858" s="439"/>
      <c r="E858" s="439"/>
      <c r="F858" s="439"/>
      <c r="G858" s="451" t="s">
        <v>3534</v>
      </c>
      <c r="Z858" s="500"/>
      <c r="AA858" s="500"/>
      <c r="AB858" s="500"/>
      <c r="AC858" s="500"/>
      <c r="AD858" s="500"/>
      <c r="AE858" s="500"/>
      <c r="AF858" s="500"/>
      <c r="AG858" s="500"/>
      <c r="AH858" s="500"/>
      <c r="AI858" s="500"/>
      <c r="AJ858" s="500"/>
      <c r="AK858" s="500"/>
      <c r="AL858" s="500"/>
      <c r="AM858" s="500"/>
      <c r="AN858" s="500"/>
      <c r="AO858" s="500"/>
      <c r="AP858" s="500"/>
    </row>
    <row r="859" spans="1:42" ht="16.5" customHeight="1">
      <c r="A859" s="439"/>
      <c r="B859" s="439"/>
      <c r="C859" s="439"/>
      <c r="D859" s="439"/>
      <c r="E859" s="439"/>
      <c r="F859" s="439"/>
      <c r="G859" s="451" t="s">
        <v>3406</v>
      </c>
      <c r="Z859" s="500"/>
      <c r="AA859" s="500"/>
      <c r="AB859" s="500"/>
      <c r="AC859" s="500"/>
      <c r="AD859" s="500"/>
      <c r="AE859" s="500"/>
      <c r="AF859" s="500"/>
      <c r="AG859" s="500"/>
      <c r="AH859" s="500"/>
      <c r="AI859" s="500"/>
      <c r="AJ859" s="500"/>
      <c r="AK859" s="500"/>
      <c r="AL859" s="500"/>
      <c r="AM859" s="500"/>
      <c r="AN859" s="500"/>
      <c r="AO859" s="500"/>
      <c r="AP859" s="500"/>
    </row>
    <row r="860" spans="1:42" ht="16.5" customHeight="1">
      <c r="A860" s="434"/>
      <c r="B860" s="437" t="s">
        <v>3525</v>
      </c>
      <c r="C860" s="439"/>
      <c r="D860" s="439"/>
      <c r="E860" s="439"/>
      <c r="F860" s="439"/>
      <c r="G860" s="451" t="s">
        <v>3526</v>
      </c>
      <c r="Z860" s="500"/>
      <c r="AA860" s="500"/>
      <c r="AB860" s="500"/>
      <c r="AC860" s="500"/>
      <c r="AD860" s="500"/>
      <c r="AE860" s="500"/>
      <c r="AF860" s="500"/>
      <c r="AG860" s="500"/>
      <c r="AH860" s="500"/>
      <c r="AI860" s="500"/>
      <c r="AJ860" s="500"/>
      <c r="AK860" s="500"/>
      <c r="AL860" s="500"/>
      <c r="AM860" s="500"/>
      <c r="AN860" s="500"/>
      <c r="AO860" s="500"/>
      <c r="AP860" s="500"/>
    </row>
    <row r="861" spans="1:42" ht="16.5" customHeight="1">
      <c r="A861" s="439"/>
      <c r="B861" s="439"/>
      <c r="C861" s="439"/>
      <c r="D861" s="439"/>
      <c r="E861" s="439"/>
      <c r="F861" s="439"/>
      <c r="G861" s="451" t="s">
        <v>3406</v>
      </c>
      <c r="Z861" s="500"/>
      <c r="AA861" s="500"/>
      <c r="AB861" s="500"/>
      <c r="AC861" s="500"/>
      <c r="AD861" s="500"/>
      <c r="AE861" s="500"/>
      <c r="AF861" s="500"/>
      <c r="AG861" s="500"/>
      <c r="AH861" s="500"/>
      <c r="AI861" s="500"/>
      <c r="AJ861" s="500"/>
      <c r="AK861" s="500"/>
      <c r="AL861" s="500"/>
      <c r="AM861" s="500"/>
      <c r="AN861" s="500"/>
      <c r="AO861" s="500"/>
      <c r="AP861" s="500"/>
    </row>
    <row r="862" spans="1:42" ht="16.5" customHeight="1">
      <c r="A862" s="434"/>
      <c r="B862" s="437" t="str">
        <f>" 일당 작업량 :   Q1 = "&amp;Z862&amp;"  주 "</f>
        <v xml:space="preserve"> 일당 작업량 :   Q1 = 75  주 </v>
      </c>
      <c r="C862" s="439"/>
      <c r="D862" s="439"/>
      <c r="E862" s="439"/>
      <c r="F862" s="439"/>
      <c r="G862" s="451" t="s">
        <v>3535</v>
      </c>
      <c r="Z862" s="515">
        <v>75</v>
      </c>
      <c r="AA862" s="501" t="s">
        <v>3418</v>
      </c>
      <c r="AB862" s="512">
        <f>Z862</f>
        <v>75</v>
      </c>
      <c r="AC862" s="500"/>
      <c r="AD862" s="500"/>
      <c r="AE862" s="500"/>
      <c r="AF862" s="500"/>
      <c r="AG862" s="500"/>
      <c r="AH862" s="500"/>
      <c r="AI862" s="500"/>
      <c r="AJ862" s="500"/>
      <c r="AK862" s="500"/>
      <c r="AL862" s="500"/>
      <c r="AM862" s="500"/>
      <c r="AN862" s="500"/>
      <c r="AO862" s="500"/>
      <c r="AP862" s="500"/>
    </row>
    <row r="863" spans="1:42" ht="16.5" customHeight="1">
      <c r="A863" s="439"/>
      <c r="B863" s="439"/>
      <c r="C863" s="439"/>
      <c r="D863" s="439"/>
      <c r="E863" s="439"/>
      <c r="F863" s="439"/>
      <c r="G863" s="451" t="s">
        <v>3406</v>
      </c>
      <c r="Z863" s="500"/>
      <c r="AA863" s="500"/>
      <c r="AB863" s="500"/>
      <c r="AC863" s="500"/>
      <c r="AD863" s="500"/>
      <c r="AE863" s="500"/>
      <c r="AF863" s="500"/>
      <c r="AG863" s="500"/>
      <c r="AH863" s="500"/>
      <c r="AI863" s="500"/>
      <c r="AJ863" s="500"/>
      <c r="AK863" s="500"/>
      <c r="AL863" s="500"/>
      <c r="AM863" s="500"/>
      <c r="AN863" s="500"/>
      <c r="AO863" s="500"/>
      <c r="AP863" s="500"/>
    </row>
    <row r="864" spans="1:42" ht="16.5" customHeight="1">
      <c r="A864" s="434"/>
      <c r="B864" s="437" t="s">
        <v>3494</v>
      </c>
      <c r="C864" s="439"/>
      <c r="D864" s="439"/>
      <c r="E864" s="439"/>
      <c r="F864" s="439"/>
      <c r="G864" s="451" t="s">
        <v>3495</v>
      </c>
      <c r="Z864" s="500"/>
      <c r="AA864" s="500"/>
      <c r="AB864" s="500"/>
      <c r="AC864" s="500"/>
      <c r="AD864" s="500"/>
      <c r="AE864" s="500"/>
      <c r="AF864" s="500"/>
      <c r="AG864" s="500"/>
      <c r="AH864" s="500"/>
      <c r="AI864" s="500"/>
      <c r="AJ864" s="500"/>
      <c r="AK864" s="500"/>
      <c r="AL864" s="500"/>
      <c r="AM864" s="500"/>
      <c r="AN864" s="500"/>
      <c r="AO864" s="500"/>
      <c r="AP864" s="500"/>
    </row>
    <row r="865" spans="1:42" ht="16.5" customHeight="1">
      <c r="A865" s="439"/>
      <c r="B865" s="439"/>
      <c r="C865" s="439"/>
      <c r="D865" s="439"/>
      <c r="E865" s="439"/>
      <c r="F865" s="439"/>
      <c r="G865" s="451" t="s">
        <v>3406</v>
      </c>
      <c r="Z865" s="500"/>
      <c r="AA865" s="500"/>
      <c r="AB865" s="500"/>
      <c r="AC865" s="500"/>
      <c r="AD865" s="500"/>
      <c r="AE865" s="500"/>
      <c r="AF865" s="500"/>
      <c r="AG865" s="500"/>
      <c r="AH865" s="500"/>
      <c r="AI865" s="500"/>
      <c r="AJ865" s="500"/>
      <c r="AK865" s="500"/>
      <c r="AL865" s="500"/>
      <c r="AM865" s="500"/>
      <c r="AN865" s="500"/>
      <c r="AO865" s="500"/>
      <c r="AP865" s="500"/>
    </row>
    <row r="866" spans="1:42" ht="16.5" customHeight="1">
      <c r="A866" s="439"/>
      <c r="B866" s="439"/>
      <c r="C866" s="439"/>
      <c r="D866" s="439"/>
      <c r="E866" s="439"/>
      <c r="F866" s="439"/>
      <c r="G866" s="451" t="s">
        <v>3406</v>
      </c>
      <c r="Z866" s="500"/>
      <c r="AA866" s="500"/>
      <c r="AB866" s="500"/>
      <c r="AC866" s="500"/>
      <c r="AD866" s="500"/>
      <c r="AE866" s="500"/>
      <c r="AF866" s="500"/>
      <c r="AG866" s="500"/>
      <c r="AH866" s="500"/>
      <c r="AI866" s="500"/>
      <c r="AJ866" s="500"/>
      <c r="AK866" s="500"/>
      <c r="AL866" s="500"/>
      <c r="AM866" s="500"/>
      <c r="AN866" s="500"/>
      <c r="AO866" s="500"/>
      <c r="AP866" s="500"/>
    </row>
    <row r="867" spans="1:42" ht="16.5" customHeight="1">
      <c r="A867" s="439"/>
      <c r="B867" s="439"/>
      <c r="C867" s="439"/>
      <c r="D867" s="439"/>
      <c r="E867" s="439"/>
      <c r="F867" s="439"/>
      <c r="G867" s="451" t="s">
        <v>3406</v>
      </c>
      <c r="Z867" s="500"/>
      <c r="AA867" s="500"/>
      <c r="AB867" s="500"/>
      <c r="AC867" s="500"/>
      <c r="AD867" s="500"/>
      <c r="AE867" s="500"/>
      <c r="AF867" s="500"/>
      <c r="AG867" s="500"/>
      <c r="AH867" s="500"/>
      <c r="AI867" s="500"/>
      <c r="AJ867" s="500"/>
      <c r="AK867" s="500"/>
      <c r="AL867" s="500"/>
      <c r="AM867" s="500"/>
      <c r="AN867" s="500"/>
      <c r="AO867" s="500"/>
      <c r="AP867" s="500"/>
    </row>
    <row r="868" spans="1:42" ht="16.5" customHeight="1">
      <c r="A868" s="439"/>
      <c r="B868" s="439"/>
      <c r="C868" s="439"/>
      <c r="D868" s="439"/>
      <c r="E868" s="439"/>
      <c r="F868" s="439"/>
      <c r="G868" s="451" t="s">
        <v>3406</v>
      </c>
      <c r="Z868" s="500"/>
      <c r="AA868" s="500"/>
      <c r="AB868" s="500"/>
      <c r="AC868" s="500"/>
      <c r="AD868" s="500"/>
      <c r="AE868" s="500"/>
      <c r="AF868" s="500"/>
      <c r="AG868" s="500"/>
      <c r="AH868" s="500"/>
      <c r="AI868" s="500"/>
      <c r="AJ868" s="500"/>
      <c r="AK868" s="500"/>
      <c r="AL868" s="500"/>
      <c r="AM868" s="500"/>
      <c r="AN868" s="500"/>
      <c r="AO868" s="500"/>
      <c r="AP868" s="500"/>
    </row>
    <row r="869" spans="1:42" ht="16.5" customHeight="1">
      <c r="A869" s="434"/>
      <c r="B869" s="437" t="s">
        <v>3496</v>
      </c>
      <c r="C869" s="439"/>
      <c r="D869" s="439"/>
      <c r="E869" s="439"/>
      <c r="F869" s="439"/>
      <c r="G869" s="451" t="s">
        <v>3497</v>
      </c>
      <c r="Z869" s="500"/>
      <c r="AA869" s="500"/>
      <c r="AB869" s="500"/>
      <c r="AC869" s="500"/>
      <c r="AD869" s="500"/>
      <c r="AE869" s="500"/>
      <c r="AF869" s="500"/>
      <c r="AG869" s="500"/>
      <c r="AH869" s="500"/>
      <c r="AI869" s="500"/>
      <c r="AJ869" s="500"/>
      <c r="AK869" s="500"/>
      <c r="AL869" s="500"/>
      <c r="AM869" s="500"/>
      <c r="AN869" s="500"/>
      <c r="AO869" s="500"/>
      <c r="AP869" s="500"/>
    </row>
    <row r="870" spans="1:42" ht="16.5" customHeight="1">
      <c r="A870" s="439"/>
      <c r="B870" s="439"/>
      <c r="C870" s="439"/>
      <c r="D870" s="439"/>
      <c r="E870" s="439"/>
      <c r="F870" s="439"/>
      <c r="G870" s="451" t="s">
        <v>3406</v>
      </c>
      <c r="Z870" s="500"/>
      <c r="AA870" s="500"/>
      <c r="AB870" s="500"/>
      <c r="AC870" s="500"/>
      <c r="AD870" s="500"/>
      <c r="AE870" s="500"/>
      <c r="AF870" s="500"/>
      <c r="AG870" s="500"/>
      <c r="AH870" s="500"/>
      <c r="AI870" s="500"/>
      <c r="AJ870" s="500"/>
      <c r="AK870" s="500"/>
      <c r="AL870" s="500"/>
      <c r="AM870" s="500"/>
      <c r="AN870" s="500"/>
      <c r="AO870" s="500"/>
      <c r="AP870" s="500"/>
    </row>
    <row r="871" spans="1:42" ht="16.5" customHeight="1">
      <c r="A871" s="434" t="s">
        <v>3498</v>
      </c>
      <c r="B871" s="505" t="str">
        <f>" 조경공 :  "&amp;TEXT(I871,"#,##0"&amp;IF(I871&lt;&gt;INT(I871),".###",""))&amp;" * "&amp;AA871&amp;" 인  / Q1 = "&amp;TEXT(C871,"#,##0.0")&amp;""</f>
        <v xml:space="preserve"> 조경공 :  235,204 * 3 인  / Q1 = 9,408.1</v>
      </c>
      <c r="C871" s="506">
        <f>E871+D871+F871</f>
        <v>9408.1</v>
      </c>
      <c r="D871" s="506">
        <f>IF(H871=0,0,ROUNDDOWN(J871*H871,1))</f>
        <v>9408.1</v>
      </c>
      <c r="E871" s="506">
        <f>IF(H871=0,0,ROUNDDOWN(K871*H871,1))</f>
        <v>0</v>
      </c>
      <c r="F871" s="506">
        <f>IF(H871=0,0,ROUNDDOWN(L871*H871,1))</f>
        <v>0</v>
      </c>
      <c r="G871" s="451" t="s">
        <v>3499</v>
      </c>
      <c r="H871" s="507">
        <f>ROUNDUP(AE871,14-LEN(ABS(INT(AE871))))</f>
        <v>0.04</v>
      </c>
      <c r="I871" s="508">
        <f>K871+J871+L871</f>
        <v>235204</v>
      </c>
      <c r="J871" s="509">
        <f>노무비목록표!E15</f>
        <v>235204</v>
      </c>
      <c r="M871" s="501" t="s">
        <v>2359</v>
      </c>
      <c r="N871" s="501" t="s">
        <v>3416</v>
      </c>
      <c r="X871" s="510" t="str">
        <f>노무비목록표!B15&amp;" / "&amp;노무비목록표!C15</f>
        <v xml:space="preserve">조경공 / </v>
      </c>
      <c r="Y871" s="433" t="str">
        <f ca="1">HYPERLINK("#"&amp;노무비목록표!G2&amp;"!A"&amp;ROW(노무비목록표!A15),"L00184 →")</f>
        <v>L00184 →</v>
      </c>
      <c r="Z871" s="501" t="s">
        <v>3500</v>
      </c>
      <c r="AA871" s="515">
        <v>3</v>
      </c>
      <c r="AB871" s="501" t="s">
        <v>3428</v>
      </c>
      <c r="AC871" s="512">
        <f>AB862</f>
        <v>75</v>
      </c>
      <c r="AD871" s="501" t="s">
        <v>3418</v>
      </c>
      <c r="AE871" s="512">
        <f>1*AA871/AB862</f>
        <v>0.04</v>
      </c>
      <c r="AF871" s="500"/>
      <c r="AG871" s="500"/>
      <c r="AH871" s="500"/>
      <c r="AI871" s="500"/>
      <c r="AJ871" s="500"/>
      <c r="AK871" s="500"/>
      <c r="AL871" s="500"/>
      <c r="AM871" s="500"/>
      <c r="AN871" s="500"/>
      <c r="AO871" s="500"/>
      <c r="AP871" s="500"/>
    </row>
    <row r="872" spans="1:42" ht="16.5" customHeight="1">
      <c r="A872" s="439"/>
      <c r="B872" s="439"/>
      <c r="C872" s="439"/>
      <c r="D872" s="439"/>
      <c r="E872" s="439"/>
      <c r="F872" s="439"/>
      <c r="G872" s="451" t="s">
        <v>3406</v>
      </c>
      <c r="Z872" s="500"/>
      <c r="AA872" s="500"/>
      <c r="AB872" s="500"/>
      <c r="AC872" s="500"/>
      <c r="AD872" s="500"/>
      <c r="AE872" s="500"/>
      <c r="AF872" s="500"/>
      <c r="AG872" s="500"/>
      <c r="AH872" s="500"/>
      <c r="AI872" s="500"/>
      <c r="AJ872" s="500"/>
      <c r="AK872" s="500"/>
      <c r="AL872" s="500"/>
      <c r="AM872" s="500"/>
      <c r="AN872" s="500"/>
      <c r="AO872" s="500"/>
      <c r="AP872" s="500"/>
    </row>
    <row r="873" spans="1:42" ht="16.5" customHeight="1">
      <c r="A873" s="439"/>
      <c r="B873" s="439"/>
      <c r="C873" s="439"/>
      <c r="D873" s="439"/>
      <c r="E873" s="439"/>
      <c r="F873" s="439"/>
      <c r="G873" s="451" t="s">
        <v>3406</v>
      </c>
      <c r="Z873" s="500"/>
      <c r="AA873" s="500"/>
      <c r="AB873" s="500"/>
      <c r="AC873" s="500"/>
      <c r="AD873" s="500"/>
      <c r="AE873" s="500"/>
      <c r="AF873" s="500"/>
      <c r="AG873" s="500"/>
      <c r="AH873" s="500"/>
      <c r="AI873" s="500"/>
      <c r="AJ873" s="500"/>
      <c r="AK873" s="500"/>
      <c r="AL873" s="500"/>
      <c r="AM873" s="500"/>
      <c r="AN873" s="500"/>
      <c r="AO873" s="500"/>
      <c r="AP873" s="500"/>
    </row>
    <row r="874" spans="1:42" ht="16.5" customHeight="1">
      <c r="A874" s="434" t="s">
        <v>3414</v>
      </c>
      <c r="B874" s="505" t="str">
        <f>" 보통인부 : "&amp;TEXT(I874,"#,##0"&amp;IF(I874&lt;&gt;INT(I874),".###",""))&amp;" * "&amp;AA874&amp;" 인  / Q1 = "&amp;TEXT(C874,"#,##0.0")&amp;""</f>
        <v xml:space="preserve"> 보통인부 : 172,068 * 1 인  / Q1 = 2,294.2</v>
      </c>
      <c r="C874" s="506">
        <f>E874+D874+F874</f>
        <v>2294.1999999999998</v>
      </c>
      <c r="D874" s="506">
        <f>IF(H874=0,0,ROUNDDOWN(J874*H874,1))</f>
        <v>2294.1999999999998</v>
      </c>
      <c r="E874" s="506">
        <f>IF(H874=0,0,ROUNDDOWN(K874*H874,1))</f>
        <v>0</v>
      </c>
      <c r="F874" s="506">
        <f>IF(H874=0,0,ROUNDDOWN(L874*H874,1))</f>
        <v>0</v>
      </c>
      <c r="G874" s="451" t="s">
        <v>3501</v>
      </c>
      <c r="H874" s="507">
        <f>ROUNDUP(AE874,14-LEN(ABS(INT(AE874))))</f>
        <v>1.33333333334E-2</v>
      </c>
      <c r="I874" s="508">
        <f>K874+J874+L874</f>
        <v>172068</v>
      </c>
      <c r="J874" s="509">
        <f>노무비목록표!E10</f>
        <v>172068</v>
      </c>
      <c r="M874" s="501" t="s">
        <v>2363</v>
      </c>
      <c r="N874" s="501" t="s">
        <v>3416</v>
      </c>
      <c r="X874" s="510" t="str">
        <f>노무비목록표!B10&amp;" / "&amp;노무비목록표!C10</f>
        <v xml:space="preserve">보통인부 / </v>
      </c>
      <c r="Y874" s="433" t="str">
        <f ca="1">HYPERLINK("#"&amp;노무비목록표!G2&amp;"!A"&amp;ROW(노무비목록표!A10),"L00017 →")</f>
        <v>L00017 →</v>
      </c>
      <c r="Z874" s="501" t="s">
        <v>3500</v>
      </c>
      <c r="AA874" s="515">
        <v>1</v>
      </c>
      <c r="AB874" s="501" t="s">
        <v>3428</v>
      </c>
      <c r="AC874" s="512">
        <f>AB862</f>
        <v>75</v>
      </c>
      <c r="AD874" s="501" t="s">
        <v>3418</v>
      </c>
      <c r="AE874" s="512">
        <f>1*AA874/AB862</f>
        <v>1.3333333333333334E-2</v>
      </c>
      <c r="AF874" s="500"/>
      <c r="AG874" s="500"/>
      <c r="AH874" s="500"/>
      <c r="AI874" s="500"/>
      <c r="AJ874" s="500"/>
      <c r="AK874" s="500"/>
      <c r="AL874" s="500"/>
      <c r="AM874" s="500"/>
      <c r="AN874" s="500"/>
      <c r="AO874" s="500"/>
      <c r="AP874" s="500"/>
    </row>
    <row r="875" spans="1:42" ht="16.5" customHeight="1">
      <c r="A875" s="439"/>
      <c r="B875" s="439"/>
      <c r="C875" s="439"/>
      <c r="D875" s="439"/>
      <c r="E875" s="439"/>
      <c r="F875" s="439"/>
      <c r="G875" s="451" t="s">
        <v>3406</v>
      </c>
      <c r="Z875" s="500"/>
      <c r="AA875" s="500"/>
      <c r="AB875" s="500"/>
      <c r="AC875" s="500"/>
      <c r="AD875" s="500"/>
      <c r="AE875" s="500"/>
      <c r="AF875" s="500"/>
      <c r="AG875" s="500"/>
      <c r="AH875" s="500"/>
      <c r="AI875" s="500"/>
      <c r="AJ875" s="500"/>
      <c r="AK875" s="500"/>
      <c r="AL875" s="500"/>
      <c r="AM875" s="500"/>
      <c r="AN875" s="500"/>
      <c r="AO875" s="500"/>
      <c r="AP875" s="500"/>
    </row>
    <row r="876" spans="1:42" ht="16.5" customHeight="1">
      <c r="A876" s="434"/>
      <c r="B876" s="437" t="s">
        <v>3419</v>
      </c>
      <c r="C876" s="513">
        <f>E876+D876+F876</f>
        <v>11702.3</v>
      </c>
      <c r="D876" s="513">
        <f>SUMIF(N857:N875,M876,D857:D875)</f>
        <v>11702.3</v>
      </c>
      <c r="E876" s="513">
        <f>SUMIF(N857:N875,M876,E857:E875)</f>
        <v>0</v>
      </c>
      <c r="F876" s="513">
        <f>SUMIF(N857:N875,M876,F857:F875)</f>
        <v>0</v>
      </c>
      <c r="G876" s="451" t="s">
        <v>3439</v>
      </c>
      <c r="M876" s="501" t="s">
        <v>3416</v>
      </c>
      <c r="N876" s="501" t="s">
        <v>3421</v>
      </c>
      <c r="Z876" s="500"/>
      <c r="AA876" s="500"/>
      <c r="AB876" s="500"/>
      <c r="AC876" s="500"/>
      <c r="AD876" s="500"/>
      <c r="AE876" s="500"/>
      <c r="AF876" s="500"/>
      <c r="AG876" s="500"/>
      <c r="AH876" s="500"/>
      <c r="AI876" s="500"/>
      <c r="AJ876" s="500"/>
      <c r="AK876" s="500"/>
      <c r="AL876" s="500"/>
      <c r="AM876" s="500"/>
      <c r="AN876" s="500"/>
      <c r="AO876" s="500"/>
      <c r="AP876" s="500"/>
    </row>
    <row r="877" spans="1:42" ht="16.5" customHeight="1">
      <c r="A877" s="439"/>
      <c r="B877" s="439"/>
      <c r="C877" s="504"/>
      <c r="D877" s="504"/>
      <c r="E877" s="504"/>
      <c r="F877" s="504"/>
      <c r="G877" s="451" t="s">
        <v>3406</v>
      </c>
      <c r="Z877" s="500"/>
      <c r="AA877" s="500"/>
      <c r="AB877" s="500"/>
      <c r="AC877" s="500"/>
      <c r="AD877" s="500"/>
      <c r="AE877" s="500"/>
      <c r="AF877" s="500"/>
      <c r="AG877" s="500"/>
      <c r="AH877" s="500"/>
      <c r="AI877" s="500"/>
      <c r="AJ877" s="500"/>
      <c r="AK877" s="500"/>
      <c r="AL877" s="500"/>
      <c r="AM877" s="500"/>
      <c r="AN877" s="500"/>
      <c r="AO877" s="500"/>
      <c r="AP877" s="500"/>
    </row>
    <row r="878" spans="1:42" ht="16.5" customHeight="1">
      <c r="A878" s="439"/>
      <c r="B878" s="439"/>
      <c r="C878" s="439"/>
      <c r="D878" s="439"/>
      <c r="E878" s="439"/>
      <c r="F878" s="439"/>
      <c r="G878" s="451" t="s">
        <v>3406</v>
      </c>
      <c r="Z878" s="500"/>
      <c r="AA878" s="500"/>
      <c r="AB878" s="500"/>
      <c r="AC878" s="500"/>
      <c r="AD878" s="500"/>
      <c r="AE878" s="500"/>
      <c r="AF878" s="500"/>
      <c r="AG878" s="500"/>
      <c r="AH878" s="500"/>
      <c r="AI878" s="500"/>
      <c r="AJ878" s="500"/>
      <c r="AK878" s="500"/>
      <c r="AL878" s="500"/>
      <c r="AM878" s="500"/>
      <c r="AN878" s="500"/>
      <c r="AO878" s="500"/>
      <c r="AP878" s="500"/>
    </row>
    <row r="879" spans="1:42" ht="16.5" customHeight="1">
      <c r="A879" s="434"/>
      <c r="B879" s="437" t="s">
        <v>3502</v>
      </c>
      <c r="C879" s="439"/>
      <c r="D879" s="439"/>
      <c r="E879" s="439"/>
      <c r="F879" s="439"/>
      <c r="G879" s="451" t="s">
        <v>3503</v>
      </c>
      <c r="Z879" s="500"/>
      <c r="AA879" s="500"/>
      <c r="AB879" s="500"/>
      <c r="AC879" s="500"/>
      <c r="AD879" s="500"/>
      <c r="AE879" s="500"/>
      <c r="AF879" s="500"/>
      <c r="AG879" s="500"/>
      <c r="AH879" s="500"/>
      <c r="AI879" s="500"/>
      <c r="AJ879" s="500"/>
      <c r="AK879" s="500"/>
      <c r="AL879" s="500"/>
      <c r="AM879" s="500"/>
      <c r="AN879" s="500"/>
      <c r="AO879" s="500"/>
      <c r="AP879" s="500"/>
    </row>
    <row r="880" spans="1:42" ht="16.5" customHeight="1">
      <c r="A880" s="439"/>
      <c r="B880" s="439"/>
      <c r="C880" s="439"/>
      <c r="D880" s="439"/>
      <c r="E880" s="439"/>
      <c r="F880" s="439"/>
      <c r="G880" s="451" t="s">
        <v>3406</v>
      </c>
      <c r="Z880" s="500"/>
      <c r="AA880" s="500"/>
      <c r="AB880" s="500"/>
      <c r="AC880" s="500"/>
      <c r="AD880" s="500"/>
      <c r="AE880" s="500"/>
      <c r="AF880" s="500"/>
      <c r="AG880" s="500"/>
      <c r="AH880" s="500"/>
      <c r="AI880" s="500"/>
      <c r="AJ880" s="500"/>
      <c r="AK880" s="500"/>
      <c r="AL880" s="500"/>
      <c r="AM880" s="500"/>
      <c r="AN880" s="500"/>
      <c r="AO880" s="500"/>
      <c r="AP880" s="500"/>
    </row>
    <row r="881" spans="1:42" ht="16.5" customHeight="1">
      <c r="A881" s="434" t="s">
        <v>3504</v>
      </c>
      <c r="B881" s="505" t="str">
        <f>"  유기질비료 수목이식·식재용 : "&amp;TEXT(I881,"#,##0"&amp;IF(I881&lt;&gt;INT(I881),".###",""))&amp;" * "&amp;AA881&amp;" KG  / Q1 = "&amp;TEXT(C881,"#,##0.0")&amp;""</f>
        <v xml:space="preserve">  유기질비료 수목이식·식재용 : 500 * 200 KG  / Q1 = 1,333.3</v>
      </c>
      <c r="C881" s="506">
        <f>E881+D881+F881</f>
        <v>1333.3</v>
      </c>
      <c r="D881" s="506">
        <f>IF(H881=0,0,ROUNDDOWN(J881*H881,1))</f>
        <v>0</v>
      </c>
      <c r="E881" s="506">
        <f>IF(H881=0,0,ROUNDDOWN(K881*H881,1))</f>
        <v>1333.3</v>
      </c>
      <c r="F881" s="506">
        <f>IF(H881=0,0,ROUNDDOWN(L881*H881,1))</f>
        <v>0</v>
      </c>
      <c r="G881" s="451" t="s">
        <v>3516</v>
      </c>
      <c r="H881" s="507">
        <f>ROUNDUP(AE881,14-LEN(ABS(INT(AE881))))</f>
        <v>2.6666666666666998</v>
      </c>
      <c r="I881" s="508">
        <f>K881+J881+L881</f>
        <v>500</v>
      </c>
      <c r="K881" s="509">
        <f>재료비목록표!E78</f>
        <v>500</v>
      </c>
      <c r="M881" s="501" t="s">
        <v>3506</v>
      </c>
      <c r="N881" s="501" t="s">
        <v>3416</v>
      </c>
      <c r="X881" s="510" t="str">
        <f>재료비목록표!B78&amp;" / "&amp;재료비목록표!C78</f>
        <v>유기질비료 / 수목이식·식재용</v>
      </c>
      <c r="Y881" s="433" t="str">
        <f ca="1">HYPERLINK("#"&amp;재료비목록표!G2&amp;"!A"&amp;ROW(재료비목록표!A78),"M01159 →")</f>
        <v>M01159 →</v>
      </c>
      <c r="Z881" s="501" t="s">
        <v>3500</v>
      </c>
      <c r="AA881" s="515">
        <v>200</v>
      </c>
      <c r="AB881" s="501" t="s">
        <v>3428</v>
      </c>
      <c r="AC881" s="512">
        <f>AB862</f>
        <v>75</v>
      </c>
      <c r="AD881" s="501" t="s">
        <v>3418</v>
      </c>
      <c r="AE881" s="512">
        <f>1*AA881/AB862</f>
        <v>2.6666666666666665</v>
      </c>
      <c r="AF881" s="500"/>
      <c r="AG881" s="500"/>
      <c r="AH881" s="500"/>
      <c r="AI881" s="500"/>
      <c r="AJ881" s="500"/>
      <c r="AK881" s="500"/>
      <c r="AL881" s="500"/>
      <c r="AM881" s="500"/>
      <c r="AN881" s="500"/>
      <c r="AO881" s="500"/>
      <c r="AP881" s="500"/>
    </row>
    <row r="882" spans="1:42" ht="16.5" customHeight="1">
      <c r="A882" s="439"/>
      <c r="B882" s="439"/>
      <c r="C882" s="439"/>
      <c r="D882" s="439"/>
      <c r="E882" s="439"/>
      <c r="F882" s="439"/>
      <c r="G882" s="451" t="s">
        <v>3406</v>
      </c>
      <c r="Z882" s="500"/>
      <c r="AA882" s="500"/>
      <c r="AB882" s="500"/>
      <c r="AC882" s="500"/>
      <c r="AD882" s="500"/>
      <c r="AE882" s="500"/>
      <c r="AF882" s="500"/>
      <c r="AG882" s="500"/>
      <c r="AH882" s="500"/>
      <c r="AI882" s="500"/>
      <c r="AJ882" s="500"/>
      <c r="AK882" s="500"/>
      <c r="AL882" s="500"/>
      <c r="AM882" s="500"/>
      <c r="AN882" s="500"/>
      <c r="AO882" s="500"/>
      <c r="AP882" s="500"/>
    </row>
    <row r="883" spans="1:42" ht="16.5" customHeight="1">
      <c r="A883" s="434"/>
      <c r="B883" s="437" t="s">
        <v>3419</v>
      </c>
      <c r="C883" s="513">
        <f>E883+D883+F883</f>
        <v>1333.3</v>
      </c>
      <c r="D883" s="513">
        <f>SUMIF(N877:N882,M883,D877:D882)</f>
        <v>0</v>
      </c>
      <c r="E883" s="513">
        <f>SUMIF(N877:N882,M883,E877:E882)</f>
        <v>1333.3</v>
      </c>
      <c r="F883" s="513">
        <f>SUMIF(N877:N882,M883,F877:F882)</f>
        <v>0</v>
      </c>
      <c r="G883" s="451" t="s">
        <v>3439</v>
      </c>
      <c r="M883" s="501" t="s">
        <v>3416</v>
      </c>
      <c r="N883" s="501" t="s">
        <v>3421</v>
      </c>
      <c r="Z883" s="500"/>
      <c r="AA883" s="500"/>
      <c r="AB883" s="500"/>
      <c r="AC883" s="500"/>
      <c r="AD883" s="500"/>
      <c r="AE883" s="500"/>
      <c r="AF883" s="500"/>
      <c r="AG883" s="500"/>
      <c r="AH883" s="500"/>
      <c r="AI883" s="500"/>
      <c r="AJ883" s="500"/>
      <c r="AK883" s="500"/>
      <c r="AL883" s="500"/>
      <c r="AM883" s="500"/>
      <c r="AN883" s="500"/>
      <c r="AO883" s="500"/>
      <c r="AP883" s="500"/>
    </row>
    <row r="884" spans="1:42" ht="16.5" customHeight="1">
      <c r="A884" s="439"/>
      <c r="B884" s="439"/>
      <c r="C884" s="504"/>
      <c r="D884" s="504"/>
      <c r="E884" s="504"/>
      <c r="F884" s="504"/>
      <c r="G884" s="451" t="s">
        <v>3406</v>
      </c>
      <c r="Z884" s="500"/>
      <c r="AA884" s="500"/>
      <c r="AB884" s="500"/>
      <c r="AC884" s="500"/>
      <c r="AD884" s="500"/>
      <c r="AE884" s="500"/>
      <c r="AF884" s="500"/>
      <c r="AG884" s="500"/>
      <c r="AH884" s="500"/>
      <c r="AI884" s="500"/>
      <c r="AJ884" s="500"/>
      <c r="AK884" s="500"/>
      <c r="AL884" s="500"/>
      <c r="AM884" s="500"/>
      <c r="AN884" s="500"/>
      <c r="AO884" s="500"/>
      <c r="AP884" s="500"/>
    </row>
    <row r="885" spans="1:42" ht="16.5" customHeight="1">
      <c r="A885" s="434"/>
      <c r="B885" s="437" t="s">
        <v>3440</v>
      </c>
      <c r="C885" s="513">
        <f>E885+D885+F885</f>
        <v>13035.599999999999</v>
      </c>
      <c r="D885" s="513">
        <f>SUMIF(N857:N884,M885,D857:D884)</f>
        <v>11702.3</v>
      </c>
      <c r="E885" s="513">
        <f>SUMIF(N857:N884,M885,E857:E884)</f>
        <v>1333.3</v>
      </c>
      <c r="F885" s="513">
        <f>SUMIF(N857:N884,M885,F857:F884)</f>
        <v>0</v>
      </c>
      <c r="G885" s="451" t="s">
        <v>3441</v>
      </c>
      <c r="M885" s="501" t="s">
        <v>3421</v>
      </c>
      <c r="N885" s="501" t="s">
        <v>2354</v>
      </c>
      <c r="Z885" s="500"/>
      <c r="AA885" s="500"/>
      <c r="AB885" s="500"/>
      <c r="AC885" s="500"/>
      <c r="AD885" s="500"/>
      <c r="AE885" s="500"/>
      <c r="AF885" s="500"/>
      <c r="AG885" s="500"/>
      <c r="AH885" s="500"/>
      <c r="AI885" s="500"/>
      <c r="AJ885" s="500"/>
      <c r="AK885" s="500"/>
      <c r="AL885" s="500"/>
      <c r="AM885" s="500"/>
      <c r="AN885" s="500"/>
      <c r="AO885" s="500"/>
      <c r="AP885" s="500"/>
    </row>
    <row r="886" spans="1:42" ht="16.5" customHeight="1">
      <c r="A886" s="439"/>
      <c r="B886" s="439"/>
      <c r="C886" s="504"/>
      <c r="D886" s="504"/>
      <c r="E886" s="504"/>
      <c r="F886" s="504"/>
      <c r="G886" s="451" t="s">
        <v>3413</v>
      </c>
      <c r="Z886" s="500"/>
      <c r="AA886" s="500"/>
      <c r="AB886" s="500"/>
      <c r="AC886" s="500"/>
      <c r="AD886" s="500"/>
      <c r="AE886" s="500"/>
      <c r="AF886" s="500"/>
      <c r="AG886" s="500"/>
      <c r="AH886" s="500"/>
      <c r="AI886" s="500"/>
      <c r="AJ886" s="500"/>
      <c r="AK886" s="500"/>
      <c r="AL886" s="500"/>
      <c r="AM886" s="500"/>
      <c r="AN886" s="500"/>
      <c r="AO886" s="500"/>
      <c r="AP886" s="500"/>
    </row>
    <row r="887" spans="1:42" ht="16.5" customHeight="1">
      <c r="A887" s="439"/>
      <c r="B887" s="439"/>
      <c r="C887" s="439"/>
      <c r="D887" s="439"/>
      <c r="E887" s="439"/>
      <c r="F887" s="439"/>
      <c r="Z887" s="500"/>
      <c r="AA887" s="500"/>
      <c r="AB887" s="500"/>
      <c r="AC887" s="500"/>
      <c r="AD887" s="500"/>
      <c r="AE887" s="500"/>
      <c r="AF887" s="500"/>
      <c r="AG887" s="500"/>
      <c r="AH887" s="500"/>
      <c r="AI887" s="500"/>
      <c r="AJ887" s="500"/>
      <c r="AK887" s="500"/>
      <c r="AL887" s="500"/>
      <c r="AM887" s="500"/>
      <c r="AN887" s="500"/>
      <c r="AO887" s="500"/>
      <c r="AP887" s="500"/>
    </row>
    <row r="888" spans="1:42" ht="16.5" customHeight="1">
      <c r="A888" s="439"/>
      <c r="B888" s="439"/>
      <c r="C888" s="439"/>
      <c r="D888" s="439"/>
      <c r="E888" s="439"/>
      <c r="F888" s="439"/>
      <c r="Z888" s="500"/>
      <c r="AA888" s="500"/>
      <c r="AB888" s="500"/>
      <c r="AC888" s="500"/>
      <c r="AD888" s="500"/>
      <c r="AE888" s="500"/>
      <c r="AF888" s="500"/>
      <c r="AG888" s="500"/>
      <c r="AH888" s="500"/>
      <c r="AI888" s="500"/>
      <c r="AJ888" s="500"/>
      <c r="AK888" s="500"/>
      <c r="AL888" s="500"/>
      <c r="AM888" s="500"/>
      <c r="AN888" s="500"/>
      <c r="AO888" s="500"/>
      <c r="AP888" s="500"/>
    </row>
    <row r="889" spans="1:42" ht="16.5" customHeight="1">
      <c r="A889" s="439"/>
      <c r="B889" s="439"/>
      <c r="C889" s="439"/>
      <c r="D889" s="439"/>
      <c r="E889" s="439"/>
      <c r="F889" s="439"/>
      <c r="Z889" s="500"/>
      <c r="AA889" s="500"/>
      <c r="AB889" s="500"/>
      <c r="AC889" s="500"/>
      <c r="AD889" s="500"/>
      <c r="AE889" s="500"/>
      <c r="AF889" s="500"/>
      <c r="AG889" s="500"/>
      <c r="AH889" s="500"/>
      <c r="AI889" s="500"/>
      <c r="AJ889" s="500"/>
      <c r="AK889" s="500"/>
      <c r="AL889" s="500"/>
      <c r="AM889" s="500"/>
      <c r="AN889" s="500"/>
      <c r="AO889" s="500"/>
      <c r="AP889" s="500"/>
    </row>
    <row r="890" spans="1:42" ht="16.5" customHeight="1">
      <c r="A890" s="439"/>
      <c r="B890" s="439"/>
      <c r="C890" s="439"/>
      <c r="D890" s="439"/>
      <c r="E890" s="439"/>
      <c r="F890" s="439"/>
      <c r="Z890" s="500"/>
      <c r="AA890" s="500"/>
      <c r="AB890" s="500"/>
      <c r="AC890" s="500"/>
      <c r="AD890" s="500"/>
      <c r="AE890" s="500"/>
      <c r="AF890" s="500"/>
      <c r="AG890" s="500"/>
      <c r="AH890" s="500"/>
      <c r="AI890" s="500"/>
      <c r="AJ890" s="500"/>
      <c r="AK890" s="500"/>
      <c r="AL890" s="500"/>
      <c r="AM890" s="500"/>
      <c r="AN890" s="500"/>
      <c r="AO890" s="500"/>
      <c r="AP890" s="500"/>
    </row>
    <row r="891" spans="1:42" ht="16.5" customHeight="1">
      <c r="A891" s="439"/>
      <c r="B891" s="439"/>
      <c r="C891" s="439"/>
      <c r="D891" s="439"/>
      <c r="E891" s="439"/>
      <c r="F891" s="439"/>
      <c r="Z891" s="500"/>
      <c r="AA891" s="500"/>
      <c r="AB891" s="500"/>
      <c r="AC891" s="500"/>
      <c r="AD891" s="500"/>
      <c r="AE891" s="500"/>
      <c r="AF891" s="500"/>
      <c r="AG891" s="500"/>
      <c r="AH891" s="500"/>
      <c r="AI891" s="500"/>
      <c r="AJ891" s="500"/>
      <c r="AK891" s="500"/>
      <c r="AL891" s="500"/>
      <c r="AM891" s="500"/>
      <c r="AN891" s="500"/>
      <c r="AO891" s="500"/>
      <c r="AP891" s="500"/>
    </row>
    <row r="892" spans="1:42" ht="16.5" customHeight="1">
      <c r="A892" s="439"/>
      <c r="B892" s="439"/>
      <c r="C892" s="439"/>
      <c r="D892" s="439"/>
      <c r="E892" s="439"/>
      <c r="F892" s="439"/>
      <c r="Z892" s="500"/>
      <c r="AA892" s="500"/>
      <c r="AB892" s="500"/>
      <c r="AC892" s="500"/>
      <c r="AD892" s="500"/>
      <c r="AE892" s="500"/>
      <c r="AF892" s="500"/>
      <c r="AG892" s="500"/>
      <c r="AH892" s="500"/>
      <c r="AI892" s="500"/>
      <c r="AJ892" s="500"/>
      <c r="AK892" s="500"/>
      <c r="AL892" s="500"/>
      <c r="AM892" s="500"/>
      <c r="AN892" s="500"/>
      <c r="AO892" s="500"/>
      <c r="AP892" s="500"/>
    </row>
    <row r="893" spans="1:42" ht="16.5" customHeight="1">
      <c r="A893" s="439"/>
      <c r="B893" s="439"/>
      <c r="C893" s="439"/>
      <c r="D893" s="439"/>
      <c r="E893" s="439"/>
      <c r="F893" s="439"/>
      <c r="Z893" s="500"/>
      <c r="AA893" s="500"/>
      <c r="AB893" s="500"/>
      <c r="AC893" s="500"/>
      <c r="AD893" s="500"/>
      <c r="AE893" s="500"/>
      <c r="AF893" s="500"/>
      <c r="AG893" s="500"/>
      <c r="AH893" s="500"/>
      <c r="AI893" s="500"/>
      <c r="AJ893" s="500"/>
      <c r="AK893" s="500"/>
      <c r="AL893" s="500"/>
      <c r="AM893" s="500"/>
      <c r="AN893" s="500"/>
      <c r="AO893" s="500"/>
      <c r="AP893" s="500"/>
    </row>
    <row r="894" spans="1:42" ht="16.5" customHeight="1">
      <c r="A894" s="439"/>
      <c r="B894" s="439"/>
      <c r="C894" s="439"/>
      <c r="D894" s="439"/>
      <c r="E894" s="439"/>
      <c r="F894" s="439"/>
      <c r="Z894" s="500"/>
      <c r="AA894" s="500"/>
      <c r="AB894" s="500"/>
      <c r="AC894" s="500"/>
      <c r="AD894" s="500"/>
      <c r="AE894" s="500"/>
      <c r="AF894" s="500"/>
      <c r="AG894" s="500"/>
      <c r="AH894" s="500"/>
      <c r="AI894" s="500"/>
      <c r="AJ894" s="500"/>
      <c r="AK894" s="500"/>
      <c r="AL894" s="500"/>
      <c r="AM894" s="500"/>
      <c r="AN894" s="500"/>
      <c r="AO894" s="500"/>
      <c r="AP894" s="500"/>
    </row>
    <row r="895" spans="1:42" ht="16.5" customHeight="1">
      <c r="A895" s="439"/>
      <c r="B895" s="439"/>
      <c r="C895" s="439"/>
      <c r="D895" s="439"/>
      <c r="E895" s="439"/>
      <c r="F895" s="439"/>
      <c r="Z895" s="500"/>
      <c r="AA895" s="500"/>
      <c r="AB895" s="500"/>
      <c r="AC895" s="500"/>
      <c r="AD895" s="500"/>
      <c r="AE895" s="500"/>
      <c r="AF895" s="500"/>
      <c r="AG895" s="500"/>
      <c r="AH895" s="500"/>
      <c r="AI895" s="500"/>
      <c r="AJ895" s="500"/>
      <c r="AK895" s="500"/>
      <c r="AL895" s="500"/>
      <c r="AM895" s="500"/>
      <c r="AN895" s="500"/>
      <c r="AO895" s="500"/>
      <c r="AP895" s="500"/>
    </row>
    <row r="896" spans="1:42" ht="16.5" customHeight="1">
      <c r="A896" s="439"/>
      <c r="B896" s="439"/>
      <c r="C896" s="439"/>
      <c r="D896" s="439"/>
      <c r="E896" s="439"/>
      <c r="F896" s="439"/>
      <c r="Z896" s="500"/>
      <c r="AA896" s="500"/>
      <c r="AB896" s="500"/>
      <c r="AC896" s="500"/>
      <c r="AD896" s="500"/>
      <c r="AE896" s="500"/>
      <c r="AF896" s="500"/>
      <c r="AG896" s="500"/>
      <c r="AH896" s="500"/>
      <c r="AI896" s="500"/>
      <c r="AJ896" s="500"/>
      <c r="AK896" s="500"/>
      <c r="AL896" s="500"/>
      <c r="AM896" s="500"/>
      <c r="AN896" s="500"/>
      <c r="AO896" s="500"/>
      <c r="AP896" s="500"/>
    </row>
    <row r="897" spans="1:42" ht="16.5" customHeight="1">
      <c r="A897" s="439"/>
      <c r="B897" s="439"/>
      <c r="C897" s="439"/>
      <c r="D897" s="439"/>
      <c r="E897" s="439"/>
      <c r="F897" s="439"/>
      <c r="Z897" s="500"/>
      <c r="AA897" s="500"/>
      <c r="AB897" s="500"/>
      <c r="AC897" s="500"/>
      <c r="AD897" s="500"/>
      <c r="AE897" s="500"/>
      <c r="AF897" s="500"/>
      <c r="AG897" s="500"/>
      <c r="AH897" s="500"/>
      <c r="AI897" s="500"/>
      <c r="AJ897" s="500"/>
      <c r="AK897" s="500"/>
      <c r="AL897" s="500"/>
      <c r="AM897" s="500"/>
      <c r="AN897" s="500"/>
      <c r="AO897" s="500"/>
      <c r="AP897" s="500"/>
    </row>
    <row r="898" spans="1:42" ht="16.5" customHeight="1">
      <c r="A898" s="439"/>
      <c r="B898" s="439"/>
      <c r="C898" s="439"/>
      <c r="D898" s="439"/>
      <c r="E898" s="439"/>
      <c r="F898" s="439"/>
      <c r="Z898" s="500"/>
      <c r="AA898" s="500"/>
      <c r="AB898" s="500"/>
      <c r="AC898" s="500"/>
      <c r="AD898" s="500"/>
      <c r="AE898" s="500"/>
      <c r="AF898" s="500"/>
      <c r="AG898" s="500"/>
      <c r="AH898" s="500"/>
      <c r="AI898" s="500"/>
      <c r="AJ898" s="500"/>
      <c r="AK898" s="500"/>
      <c r="AL898" s="500"/>
      <c r="AM898" s="500"/>
      <c r="AN898" s="500"/>
      <c r="AO898" s="500"/>
      <c r="AP898" s="500"/>
    </row>
    <row r="899" spans="1:42" ht="16.5" customHeight="1">
      <c r="A899" s="439"/>
      <c r="B899" s="439"/>
      <c r="C899" s="439"/>
      <c r="D899" s="439"/>
      <c r="E899" s="439"/>
      <c r="F899" s="439"/>
      <c r="Z899" s="500"/>
      <c r="AA899" s="500"/>
      <c r="AB899" s="500"/>
      <c r="AC899" s="500"/>
      <c r="AD899" s="500"/>
      <c r="AE899" s="500"/>
      <c r="AF899" s="500"/>
      <c r="AG899" s="500"/>
      <c r="AH899" s="500"/>
      <c r="AI899" s="500"/>
      <c r="AJ899" s="500"/>
      <c r="AK899" s="500"/>
      <c r="AL899" s="500"/>
      <c r="AM899" s="500"/>
      <c r="AN899" s="500"/>
      <c r="AO899" s="500"/>
      <c r="AP899" s="500"/>
    </row>
    <row r="900" spans="1:42" ht="16.5" customHeight="1">
      <c r="A900" s="439"/>
      <c r="B900" s="439"/>
      <c r="C900" s="439"/>
      <c r="D900" s="439"/>
      <c r="E900" s="439"/>
      <c r="F900" s="439"/>
      <c r="Z900" s="500"/>
      <c r="AA900" s="500"/>
      <c r="AB900" s="500"/>
      <c r="AC900" s="500"/>
      <c r="AD900" s="500"/>
      <c r="AE900" s="500"/>
      <c r="AF900" s="500"/>
      <c r="AG900" s="500"/>
      <c r="AH900" s="500"/>
      <c r="AI900" s="500"/>
      <c r="AJ900" s="500"/>
      <c r="AK900" s="500"/>
      <c r="AL900" s="500"/>
      <c r="AM900" s="500"/>
      <c r="AN900" s="500"/>
      <c r="AO900" s="500"/>
      <c r="AP900" s="500"/>
    </row>
    <row r="901" spans="1:42" ht="16.5" customHeight="1">
      <c r="A901" s="439"/>
      <c r="B901" s="439"/>
      <c r="C901" s="439"/>
      <c r="D901" s="439"/>
      <c r="E901" s="439"/>
      <c r="F901" s="439"/>
      <c r="Z901" s="500"/>
      <c r="AA901" s="500"/>
      <c r="AB901" s="500"/>
      <c r="AC901" s="500"/>
      <c r="AD901" s="500"/>
      <c r="AE901" s="500"/>
      <c r="AF901" s="500"/>
      <c r="AG901" s="500"/>
      <c r="AH901" s="500"/>
      <c r="AI901" s="500"/>
      <c r="AJ901" s="500"/>
      <c r="AK901" s="500"/>
      <c r="AL901" s="500"/>
      <c r="AM901" s="500"/>
      <c r="AN901" s="500"/>
      <c r="AO901" s="500"/>
      <c r="AP901" s="500"/>
    </row>
    <row r="902" spans="1:42" ht="16.5" customHeight="1">
      <c r="A902" s="439"/>
      <c r="B902" s="439"/>
      <c r="C902" s="439"/>
      <c r="D902" s="439"/>
      <c r="E902" s="439"/>
      <c r="F902" s="439"/>
      <c r="Z902" s="500"/>
      <c r="AA902" s="500"/>
      <c r="AB902" s="500"/>
      <c r="AC902" s="500"/>
      <c r="AD902" s="500"/>
      <c r="AE902" s="500"/>
      <c r="AF902" s="500"/>
      <c r="AG902" s="500"/>
      <c r="AH902" s="500"/>
      <c r="AI902" s="500"/>
      <c r="AJ902" s="500"/>
      <c r="AK902" s="500"/>
      <c r="AL902" s="500"/>
      <c r="AM902" s="500"/>
      <c r="AN902" s="500"/>
      <c r="AO902" s="500"/>
      <c r="AP902" s="500"/>
    </row>
    <row r="903" spans="1:42" ht="16.5" customHeight="1">
      <c r="A903" s="497"/>
      <c r="B903" s="497"/>
      <c r="C903" s="497"/>
      <c r="D903" s="497"/>
      <c r="E903" s="497"/>
      <c r="F903" s="497"/>
      <c r="Z903" s="500"/>
      <c r="AA903" s="500"/>
      <c r="AB903" s="500"/>
      <c r="AC903" s="500"/>
      <c r="AD903" s="500"/>
      <c r="AE903" s="500"/>
      <c r="AF903" s="500"/>
      <c r="AG903" s="500"/>
      <c r="AH903" s="500"/>
      <c r="AI903" s="500"/>
      <c r="AJ903" s="500"/>
      <c r="AK903" s="500"/>
      <c r="AL903" s="500"/>
      <c r="AM903" s="500"/>
      <c r="AN903" s="500"/>
      <c r="AO903" s="500"/>
      <c r="AP903" s="500"/>
    </row>
    <row r="904" spans="1:42" ht="16.5" customHeight="1">
      <c r="A904" s="616" t="s">
        <v>3487</v>
      </c>
      <c r="B904" s="605"/>
      <c r="C904" s="446">
        <f>E904+D904+F904</f>
        <v>13035</v>
      </c>
      <c r="D904" s="453">
        <f>ROUNDDOWN(SUMIF(N857:N886,M904,D857:D886),0)</f>
        <v>11702</v>
      </c>
      <c r="E904" s="454">
        <f>ROUNDDOWN(SUMIF(N857:N886,M904,E857:E886),0)</f>
        <v>1333</v>
      </c>
      <c r="F904" s="446">
        <f>ROUNDDOWN(SUMIF(N857:N886,M904,F857:F886),0)</f>
        <v>0</v>
      </c>
      <c r="M904" s="501" t="s">
        <v>2354</v>
      </c>
      <c r="Z904" s="500"/>
      <c r="AA904" s="500"/>
      <c r="AB904" s="500"/>
      <c r="AC904" s="500"/>
      <c r="AD904" s="500"/>
      <c r="AE904" s="500"/>
      <c r="AF904" s="500"/>
      <c r="AG904" s="500"/>
      <c r="AH904" s="500"/>
      <c r="AI904" s="500"/>
      <c r="AJ904" s="500"/>
      <c r="AK904" s="500"/>
      <c r="AL904" s="500"/>
      <c r="AM904" s="500"/>
      <c r="AN904" s="500"/>
      <c r="AO904" s="500"/>
      <c r="AP904" s="500"/>
    </row>
    <row r="905" spans="1:42" ht="16.5" customHeight="1">
      <c r="A905" s="502"/>
      <c r="B905" s="503" t="s">
        <v>1883</v>
      </c>
      <c r="C905" s="615">
        <f>C954</f>
        <v>17866</v>
      </c>
      <c r="D905" s="615">
        <f>D954</f>
        <v>15957</v>
      </c>
      <c r="E905" s="615">
        <f>E954</f>
        <v>1909</v>
      </c>
      <c r="F905" s="615">
        <f>F954</f>
        <v>0</v>
      </c>
      <c r="G905" s="486" t="str">
        <f>HYPERLINK("#G"&amp;ROW(G936),"_x0005_`BDCOD|D01292_x0007_`POSS|"&amp;ROW(G907)&amp;"_x0007_`POSE|"&amp;ROW(G936)&amp;"_x0007_`")</f>
        <v>_x0005_`BDCOD|D01292_x0007_`POSS|907_x0007_`POSE|936_x0007_`</v>
      </c>
      <c r="Z905" s="500"/>
      <c r="AA905" s="500"/>
      <c r="AB905" s="500"/>
      <c r="AC905" s="500"/>
      <c r="AD905" s="500"/>
      <c r="AE905" s="500"/>
      <c r="AF905" s="500"/>
      <c r="AG905" s="500"/>
      <c r="AH905" s="500"/>
      <c r="AI905" s="500"/>
      <c r="AJ905" s="500"/>
      <c r="AK905" s="500"/>
      <c r="AL905" s="500"/>
      <c r="AM905" s="500"/>
      <c r="AN905" s="500"/>
      <c r="AO905" s="500"/>
      <c r="AP905" s="500"/>
    </row>
    <row r="906" spans="1:42" ht="16.5" customHeight="1">
      <c r="A906" s="485"/>
      <c r="B906" s="503" t="s">
        <v>3536</v>
      </c>
      <c r="C906" s="593"/>
      <c r="D906" s="593"/>
      <c r="E906" s="593"/>
      <c r="F906" s="593"/>
      <c r="M906" s="501" t="s">
        <v>1883</v>
      </c>
      <c r="Z906" s="500"/>
      <c r="AA906" s="500"/>
      <c r="AB906" s="500"/>
      <c r="AC906" s="500"/>
      <c r="AD906" s="500"/>
      <c r="AE906" s="500"/>
      <c r="AF906" s="500"/>
      <c r="AG906" s="500"/>
      <c r="AH906" s="500"/>
      <c r="AI906" s="500"/>
      <c r="AJ906" s="500"/>
      <c r="AK906" s="500"/>
      <c r="AL906" s="500"/>
      <c r="AM906" s="500"/>
      <c r="AN906" s="500"/>
      <c r="AO906" s="500"/>
      <c r="AP906" s="500"/>
    </row>
    <row r="907" spans="1:42" ht="16.5" customHeight="1">
      <c r="A907" s="439"/>
      <c r="B907" s="439"/>
      <c r="C907" s="504"/>
      <c r="D907" s="504"/>
      <c r="E907" s="504"/>
      <c r="F907" s="504"/>
      <c r="G907" s="451" t="s">
        <v>3406</v>
      </c>
      <c r="Z907" s="500"/>
      <c r="AA907" s="500"/>
      <c r="AB907" s="500"/>
      <c r="AC907" s="500"/>
      <c r="AD907" s="500"/>
      <c r="AE907" s="500"/>
      <c r="AF907" s="500"/>
      <c r="AG907" s="500"/>
      <c r="AH907" s="500"/>
      <c r="AI907" s="500"/>
      <c r="AJ907" s="500"/>
      <c r="AK907" s="500"/>
      <c r="AL907" s="500"/>
      <c r="AM907" s="500"/>
      <c r="AN907" s="500"/>
      <c r="AO907" s="500"/>
      <c r="AP907" s="500"/>
    </row>
    <row r="908" spans="1:42" ht="16.5" customHeight="1">
      <c r="A908" s="434"/>
      <c r="B908" s="437" t="s">
        <v>3537</v>
      </c>
      <c r="C908" s="439"/>
      <c r="D908" s="439"/>
      <c r="E908" s="439"/>
      <c r="F908" s="439"/>
      <c r="G908" s="451" t="s">
        <v>3538</v>
      </c>
      <c r="Z908" s="500"/>
      <c r="AA908" s="500"/>
      <c r="AB908" s="500"/>
      <c r="AC908" s="500"/>
      <c r="AD908" s="500"/>
      <c r="AE908" s="500"/>
      <c r="AF908" s="500"/>
      <c r="AG908" s="500"/>
      <c r="AH908" s="500"/>
      <c r="AI908" s="500"/>
      <c r="AJ908" s="500"/>
      <c r="AK908" s="500"/>
      <c r="AL908" s="500"/>
      <c r="AM908" s="500"/>
      <c r="AN908" s="500"/>
      <c r="AO908" s="500"/>
      <c r="AP908" s="500"/>
    </row>
    <row r="909" spans="1:42" ht="16.5" customHeight="1">
      <c r="A909" s="439"/>
      <c r="B909" s="439"/>
      <c r="C909" s="439"/>
      <c r="D909" s="439"/>
      <c r="E909" s="439"/>
      <c r="F909" s="439"/>
      <c r="G909" s="451" t="s">
        <v>3406</v>
      </c>
      <c r="Z909" s="500"/>
      <c r="AA909" s="500"/>
      <c r="AB909" s="500"/>
      <c r="AC909" s="500"/>
      <c r="AD909" s="500"/>
      <c r="AE909" s="500"/>
      <c r="AF909" s="500"/>
      <c r="AG909" s="500"/>
      <c r="AH909" s="500"/>
      <c r="AI909" s="500"/>
      <c r="AJ909" s="500"/>
      <c r="AK909" s="500"/>
      <c r="AL909" s="500"/>
      <c r="AM909" s="500"/>
      <c r="AN909" s="500"/>
      <c r="AO909" s="500"/>
      <c r="AP909" s="500"/>
    </row>
    <row r="910" spans="1:42" ht="16.5" customHeight="1">
      <c r="A910" s="434"/>
      <c r="B910" s="437" t="s">
        <v>3525</v>
      </c>
      <c r="C910" s="439"/>
      <c r="D910" s="439"/>
      <c r="E910" s="439"/>
      <c r="F910" s="439"/>
      <c r="G910" s="451" t="s">
        <v>3526</v>
      </c>
      <c r="Z910" s="500"/>
      <c r="AA910" s="500"/>
      <c r="AB910" s="500"/>
      <c r="AC910" s="500"/>
      <c r="AD910" s="500"/>
      <c r="AE910" s="500"/>
      <c r="AF910" s="500"/>
      <c r="AG910" s="500"/>
      <c r="AH910" s="500"/>
      <c r="AI910" s="500"/>
      <c r="AJ910" s="500"/>
      <c r="AK910" s="500"/>
      <c r="AL910" s="500"/>
      <c r="AM910" s="500"/>
      <c r="AN910" s="500"/>
      <c r="AO910" s="500"/>
      <c r="AP910" s="500"/>
    </row>
    <row r="911" spans="1:42" ht="16.5" customHeight="1">
      <c r="A911" s="439"/>
      <c r="B911" s="439"/>
      <c r="C911" s="439"/>
      <c r="D911" s="439"/>
      <c r="E911" s="439"/>
      <c r="F911" s="439"/>
      <c r="G911" s="451" t="s">
        <v>3406</v>
      </c>
      <c r="Z911" s="500"/>
      <c r="AA911" s="500"/>
      <c r="AB911" s="500"/>
      <c r="AC911" s="500"/>
      <c r="AD911" s="500"/>
      <c r="AE911" s="500"/>
      <c r="AF911" s="500"/>
      <c r="AG911" s="500"/>
      <c r="AH911" s="500"/>
      <c r="AI911" s="500"/>
      <c r="AJ911" s="500"/>
      <c r="AK911" s="500"/>
      <c r="AL911" s="500"/>
      <c r="AM911" s="500"/>
      <c r="AN911" s="500"/>
      <c r="AO911" s="500"/>
      <c r="AP911" s="500"/>
    </row>
    <row r="912" spans="1:42" ht="16.5" customHeight="1">
      <c r="A912" s="434"/>
      <c r="B912" s="437" t="str">
        <f>" 일당 작업량 :   Q1 = "&amp;Z912&amp;"  주 "</f>
        <v xml:space="preserve"> 일당 작업량 :   Q1 = 55  주 </v>
      </c>
      <c r="C912" s="439"/>
      <c r="D912" s="439"/>
      <c r="E912" s="439"/>
      <c r="F912" s="439"/>
      <c r="G912" s="451" t="s">
        <v>3539</v>
      </c>
      <c r="Z912" s="515">
        <v>55</v>
      </c>
      <c r="AA912" s="501" t="s">
        <v>3418</v>
      </c>
      <c r="AB912" s="512">
        <f>Z912</f>
        <v>55</v>
      </c>
      <c r="AC912" s="500"/>
      <c r="AD912" s="500"/>
      <c r="AE912" s="500"/>
      <c r="AF912" s="500"/>
      <c r="AG912" s="500"/>
      <c r="AH912" s="500"/>
      <c r="AI912" s="500"/>
      <c r="AJ912" s="500"/>
      <c r="AK912" s="500"/>
      <c r="AL912" s="500"/>
      <c r="AM912" s="500"/>
      <c r="AN912" s="500"/>
      <c r="AO912" s="500"/>
      <c r="AP912" s="500"/>
    </row>
    <row r="913" spans="1:42" ht="16.5" customHeight="1">
      <c r="A913" s="439"/>
      <c r="B913" s="439"/>
      <c r="C913" s="439"/>
      <c r="D913" s="439"/>
      <c r="E913" s="439"/>
      <c r="F913" s="439"/>
      <c r="G913" s="451" t="s">
        <v>3406</v>
      </c>
      <c r="Z913" s="500"/>
      <c r="AA913" s="500"/>
      <c r="AB913" s="500"/>
      <c r="AC913" s="500"/>
      <c r="AD913" s="500"/>
      <c r="AE913" s="500"/>
      <c r="AF913" s="500"/>
      <c r="AG913" s="500"/>
      <c r="AH913" s="500"/>
      <c r="AI913" s="500"/>
      <c r="AJ913" s="500"/>
      <c r="AK913" s="500"/>
      <c r="AL913" s="500"/>
      <c r="AM913" s="500"/>
      <c r="AN913" s="500"/>
      <c r="AO913" s="500"/>
      <c r="AP913" s="500"/>
    </row>
    <row r="914" spans="1:42" ht="16.5" customHeight="1">
      <c r="A914" s="434"/>
      <c r="B914" s="437" t="s">
        <v>3494</v>
      </c>
      <c r="C914" s="439"/>
      <c r="D914" s="439"/>
      <c r="E914" s="439"/>
      <c r="F914" s="439"/>
      <c r="G914" s="451" t="s">
        <v>3495</v>
      </c>
      <c r="Z914" s="500"/>
      <c r="AA914" s="500"/>
      <c r="AB914" s="500"/>
      <c r="AC914" s="500"/>
      <c r="AD914" s="500"/>
      <c r="AE914" s="500"/>
      <c r="AF914" s="500"/>
      <c r="AG914" s="500"/>
      <c r="AH914" s="500"/>
      <c r="AI914" s="500"/>
      <c r="AJ914" s="500"/>
      <c r="AK914" s="500"/>
      <c r="AL914" s="500"/>
      <c r="AM914" s="500"/>
      <c r="AN914" s="500"/>
      <c r="AO914" s="500"/>
      <c r="AP914" s="500"/>
    </row>
    <row r="915" spans="1:42" ht="16.5" customHeight="1">
      <c r="A915" s="439"/>
      <c r="B915" s="439"/>
      <c r="C915" s="439"/>
      <c r="D915" s="439"/>
      <c r="E915" s="439"/>
      <c r="F915" s="439"/>
      <c r="G915" s="451" t="s">
        <v>3406</v>
      </c>
      <c r="Z915" s="500"/>
      <c r="AA915" s="500"/>
      <c r="AB915" s="500"/>
      <c r="AC915" s="500"/>
      <c r="AD915" s="500"/>
      <c r="AE915" s="500"/>
      <c r="AF915" s="500"/>
      <c r="AG915" s="500"/>
      <c r="AH915" s="500"/>
      <c r="AI915" s="500"/>
      <c r="AJ915" s="500"/>
      <c r="AK915" s="500"/>
      <c r="AL915" s="500"/>
      <c r="AM915" s="500"/>
      <c r="AN915" s="500"/>
      <c r="AO915" s="500"/>
      <c r="AP915" s="500"/>
    </row>
    <row r="916" spans="1:42" ht="16.5" customHeight="1">
      <c r="A916" s="439"/>
      <c r="B916" s="439"/>
      <c r="C916" s="439"/>
      <c r="D916" s="439"/>
      <c r="E916" s="439"/>
      <c r="F916" s="439"/>
      <c r="G916" s="451" t="s">
        <v>3406</v>
      </c>
      <c r="Z916" s="500"/>
      <c r="AA916" s="500"/>
      <c r="AB916" s="500"/>
      <c r="AC916" s="500"/>
      <c r="AD916" s="500"/>
      <c r="AE916" s="500"/>
      <c r="AF916" s="500"/>
      <c r="AG916" s="500"/>
      <c r="AH916" s="500"/>
      <c r="AI916" s="500"/>
      <c r="AJ916" s="500"/>
      <c r="AK916" s="500"/>
      <c r="AL916" s="500"/>
      <c r="AM916" s="500"/>
      <c r="AN916" s="500"/>
      <c r="AO916" s="500"/>
      <c r="AP916" s="500"/>
    </row>
    <row r="917" spans="1:42" ht="16.5" customHeight="1">
      <c r="A917" s="439"/>
      <c r="B917" s="439"/>
      <c r="C917" s="439"/>
      <c r="D917" s="439"/>
      <c r="E917" s="439"/>
      <c r="F917" s="439"/>
      <c r="G917" s="451" t="s">
        <v>3406</v>
      </c>
      <c r="Z917" s="500"/>
      <c r="AA917" s="500"/>
      <c r="AB917" s="500"/>
      <c r="AC917" s="500"/>
      <c r="AD917" s="500"/>
      <c r="AE917" s="500"/>
      <c r="AF917" s="500"/>
      <c r="AG917" s="500"/>
      <c r="AH917" s="500"/>
      <c r="AI917" s="500"/>
      <c r="AJ917" s="500"/>
      <c r="AK917" s="500"/>
      <c r="AL917" s="500"/>
      <c r="AM917" s="500"/>
      <c r="AN917" s="500"/>
      <c r="AO917" s="500"/>
      <c r="AP917" s="500"/>
    </row>
    <row r="918" spans="1:42" ht="16.5" customHeight="1">
      <c r="A918" s="439"/>
      <c r="B918" s="439"/>
      <c r="C918" s="439"/>
      <c r="D918" s="439"/>
      <c r="E918" s="439"/>
      <c r="F918" s="439"/>
      <c r="G918" s="451" t="s">
        <v>3406</v>
      </c>
      <c r="Z918" s="500"/>
      <c r="AA918" s="500"/>
      <c r="AB918" s="500"/>
      <c r="AC918" s="500"/>
      <c r="AD918" s="500"/>
      <c r="AE918" s="500"/>
      <c r="AF918" s="500"/>
      <c r="AG918" s="500"/>
      <c r="AH918" s="500"/>
      <c r="AI918" s="500"/>
      <c r="AJ918" s="500"/>
      <c r="AK918" s="500"/>
      <c r="AL918" s="500"/>
      <c r="AM918" s="500"/>
      <c r="AN918" s="500"/>
      <c r="AO918" s="500"/>
      <c r="AP918" s="500"/>
    </row>
    <row r="919" spans="1:42" ht="16.5" customHeight="1">
      <c r="A919" s="434"/>
      <c r="B919" s="437" t="s">
        <v>3496</v>
      </c>
      <c r="C919" s="439"/>
      <c r="D919" s="439"/>
      <c r="E919" s="439"/>
      <c r="F919" s="439"/>
      <c r="G919" s="451" t="s">
        <v>3497</v>
      </c>
      <c r="Z919" s="500"/>
      <c r="AA919" s="500"/>
      <c r="AB919" s="500"/>
      <c r="AC919" s="500"/>
      <c r="AD919" s="500"/>
      <c r="AE919" s="500"/>
      <c r="AF919" s="500"/>
      <c r="AG919" s="500"/>
      <c r="AH919" s="500"/>
      <c r="AI919" s="500"/>
      <c r="AJ919" s="500"/>
      <c r="AK919" s="500"/>
      <c r="AL919" s="500"/>
      <c r="AM919" s="500"/>
      <c r="AN919" s="500"/>
      <c r="AO919" s="500"/>
      <c r="AP919" s="500"/>
    </row>
    <row r="920" spans="1:42" ht="16.5" customHeight="1">
      <c r="A920" s="439"/>
      <c r="B920" s="439"/>
      <c r="C920" s="439"/>
      <c r="D920" s="439"/>
      <c r="E920" s="439"/>
      <c r="F920" s="439"/>
      <c r="G920" s="451" t="s">
        <v>3406</v>
      </c>
      <c r="Z920" s="500"/>
      <c r="AA920" s="500"/>
      <c r="AB920" s="500"/>
      <c r="AC920" s="500"/>
      <c r="AD920" s="500"/>
      <c r="AE920" s="500"/>
      <c r="AF920" s="500"/>
      <c r="AG920" s="500"/>
      <c r="AH920" s="500"/>
      <c r="AI920" s="500"/>
      <c r="AJ920" s="500"/>
      <c r="AK920" s="500"/>
      <c r="AL920" s="500"/>
      <c r="AM920" s="500"/>
      <c r="AN920" s="500"/>
      <c r="AO920" s="500"/>
      <c r="AP920" s="500"/>
    </row>
    <row r="921" spans="1:42" ht="16.5" customHeight="1">
      <c r="A921" s="434" t="s">
        <v>3498</v>
      </c>
      <c r="B921" s="505" t="str">
        <f>" 조경공 :  "&amp;TEXT(I921,"#,##0"&amp;IF(I921&lt;&gt;INT(I921),".###",""))&amp;" * "&amp;AA921&amp;" 인  / Q1 = "&amp;TEXT(C921,"#,##0.0")&amp;""</f>
        <v xml:space="preserve"> 조경공 :  235,204 * 3 인  / Q1 = 12,829.3</v>
      </c>
      <c r="C921" s="506">
        <f>E921+D921+F921</f>
        <v>12829.3</v>
      </c>
      <c r="D921" s="506">
        <f>IF(H921=0,0,ROUNDDOWN(J921*H921,1))</f>
        <v>12829.3</v>
      </c>
      <c r="E921" s="506">
        <f>IF(H921=0,0,ROUNDDOWN(K921*H921,1))</f>
        <v>0</v>
      </c>
      <c r="F921" s="506">
        <f>IF(H921=0,0,ROUNDDOWN(L921*H921,1))</f>
        <v>0</v>
      </c>
      <c r="G921" s="451" t="s">
        <v>3499</v>
      </c>
      <c r="H921" s="507">
        <f>ROUNDUP(AE921,14-LEN(ABS(INT(AE921))))</f>
        <v>5.4545454545500006E-2</v>
      </c>
      <c r="I921" s="508">
        <f>K921+J921+L921</f>
        <v>235204</v>
      </c>
      <c r="J921" s="509">
        <f>노무비목록표!E15</f>
        <v>235204</v>
      </c>
      <c r="M921" s="501" t="s">
        <v>2359</v>
      </c>
      <c r="N921" s="501" t="s">
        <v>3416</v>
      </c>
      <c r="X921" s="510" t="str">
        <f>노무비목록표!B15&amp;" / "&amp;노무비목록표!C15</f>
        <v xml:space="preserve">조경공 / </v>
      </c>
      <c r="Y921" s="433" t="str">
        <f ca="1">HYPERLINK("#"&amp;노무비목록표!G2&amp;"!A"&amp;ROW(노무비목록표!A15),"L00184 →")</f>
        <v>L00184 →</v>
      </c>
      <c r="Z921" s="501" t="s">
        <v>3500</v>
      </c>
      <c r="AA921" s="515">
        <v>3</v>
      </c>
      <c r="AB921" s="501" t="s">
        <v>3428</v>
      </c>
      <c r="AC921" s="512">
        <f>AB912</f>
        <v>55</v>
      </c>
      <c r="AD921" s="501" t="s">
        <v>3418</v>
      </c>
      <c r="AE921" s="512">
        <f>1*AA921/AB912</f>
        <v>5.4545454545454543E-2</v>
      </c>
      <c r="AF921" s="500"/>
      <c r="AG921" s="500"/>
      <c r="AH921" s="500"/>
      <c r="AI921" s="500"/>
      <c r="AJ921" s="500"/>
      <c r="AK921" s="500"/>
      <c r="AL921" s="500"/>
      <c r="AM921" s="500"/>
      <c r="AN921" s="500"/>
      <c r="AO921" s="500"/>
      <c r="AP921" s="500"/>
    </row>
    <row r="922" spans="1:42" ht="16.5" customHeight="1">
      <c r="A922" s="439"/>
      <c r="B922" s="439"/>
      <c r="C922" s="439"/>
      <c r="D922" s="439"/>
      <c r="E922" s="439"/>
      <c r="F922" s="439"/>
      <c r="G922" s="451" t="s">
        <v>3406</v>
      </c>
      <c r="Z922" s="500"/>
      <c r="AA922" s="500"/>
      <c r="AB922" s="500"/>
      <c r="AC922" s="500"/>
      <c r="AD922" s="500"/>
      <c r="AE922" s="500"/>
      <c r="AF922" s="500"/>
      <c r="AG922" s="500"/>
      <c r="AH922" s="500"/>
      <c r="AI922" s="500"/>
      <c r="AJ922" s="500"/>
      <c r="AK922" s="500"/>
      <c r="AL922" s="500"/>
      <c r="AM922" s="500"/>
      <c r="AN922" s="500"/>
      <c r="AO922" s="500"/>
      <c r="AP922" s="500"/>
    </row>
    <row r="923" spans="1:42" ht="16.5" customHeight="1">
      <c r="A923" s="439"/>
      <c r="B923" s="439"/>
      <c r="C923" s="439"/>
      <c r="D923" s="439"/>
      <c r="E923" s="439"/>
      <c r="F923" s="439"/>
      <c r="G923" s="451" t="s">
        <v>3406</v>
      </c>
      <c r="Z923" s="500"/>
      <c r="AA923" s="500"/>
      <c r="AB923" s="500"/>
      <c r="AC923" s="500"/>
      <c r="AD923" s="500"/>
      <c r="AE923" s="500"/>
      <c r="AF923" s="500"/>
      <c r="AG923" s="500"/>
      <c r="AH923" s="500"/>
      <c r="AI923" s="500"/>
      <c r="AJ923" s="500"/>
      <c r="AK923" s="500"/>
      <c r="AL923" s="500"/>
      <c r="AM923" s="500"/>
      <c r="AN923" s="500"/>
      <c r="AO923" s="500"/>
      <c r="AP923" s="500"/>
    </row>
    <row r="924" spans="1:42" ht="16.5" customHeight="1">
      <c r="A924" s="434" t="s">
        <v>3414</v>
      </c>
      <c r="B924" s="505" t="str">
        <f>" 보통인부 : "&amp;TEXT(I924,"#,##0"&amp;IF(I924&lt;&gt;INT(I924),".###",""))&amp;" * "&amp;AA924&amp;" 인  / Q1 = "&amp;TEXT(C924,"#,##0.0")&amp;""</f>
        <v xml:space="preserve"> 보통인부 : 172,068 * 1 인  / Q1 = 3,128.5</v>
      </c>
      <c r="C924" s="506">
        <f>E924+D924+F924</f>
        <v>3128.5</v>
      </c>
      <c r="D924" s="506">
        <f>IF(H924=0,0,ROUNDDOWN(J924*H924,1))</f>
        <v>3128.5</v>
      </c>
      <c r="E924" s="506">
        <f>IF(H924=0,0,ROUNDDOWN(K924*H924,1))</f>
        <v>0</v>
      </c>
      <c r="F924" s="506">
        <f>IF(H924=0,0,ROUNDDOWN(L924*H924,1))</f>
        <v>0</v>
      </c>
      <c r="G924" s="451" t="s">
        <v>3501</v>
      </c>
      <c r="H924" s="507">
        <f>ROUNDUP(AE924,14-LEN(ABS(INT(AE924))))</f>
        <v>1.8181818181900001E-2</v>
      </c>
      <c r="I924" s="508">
        <f>K924+J924+L924</f>
        <v>172068</v>
      </c>
      <c r="J924" s="509">
        <f>노무비목록표!E10</f>
        <v>172068</v>
      </c>
      <c r="M924" s="501" t="s">
        <v>2363</v>
      </c>
      <c r="N924" s="501" t="s">
        <v>3416</v>
      </c>
      <c r="X924" s="510" t="str">
        <f>노무비목록표!B10&amp;" / "&amp;노무비목록표!C10</f>
        <v xml:space="preserve">보통인부 / </v>
      </c>
      <c r="Y924" s="433" t="str">
        <f ca="1">HYPERLINK("#"&amp;노무비목록표!G2&amp;"!A"&amp;ROW(노무비목록표!A10),"L00017 →")</f>
        <v>L00017 →</v>
      </c>
      <c r="Z924" s="501" t="s">
        <v>3500</v>
      </c>
      <c r="AA924" s="515">
        <v>1</v>
      </c>
      <c r="AB924" s="501" t="s">
        <v>3428</v>
      </c>
      <c r="AC924" s="512">
        <f>AB912</f>
        <v>55</v>
      </c>
      <c r="AD924" s="501" t="s">
        <v>3418</v>
      </c>
      <c r="AE924" s="512">
        <f>1*AA924/AB912</f>
        <v>1.8181818181818181E-2</v>
      </c>
      <c r="AF924" s="500"/>
      <c r="AG924" s="500"/>
      <c r="AH924" s="500"/>
      <c r="AI924" s="500"/>
      <c r="AJ924" s="500"/>
      <c r="AK924" s="500"/>
      <c r="AL924" s="500"/>
      <c r="AM924" s="500"/>
      <c r="AN924" s="500"/>
      <c r="AO924" s="500"/>
      <c r="AP924" s="500"/>
    </row>
    <row r="925" spans="1:42" ht="16.5" customHeight="1">
      <c r="A925" s="439"/>
      <c r="B925" s="439"/>
      <c r="C925" s="439"/>
      <c r="D925" s="439"/>
      <c r="E925" s="439"/>
      <c r="F925" s="439"/>
      <c r="G925" s="451" t="s">
        <v>3406</v>
      </c>
      <c r="Z925" s="500"/>
      <c r="AA925" s="500"/>
      <c r="AB925" s="500"/>
      <c r="AC925" s="500"/>
      <c r="AD925" s="500"/>
      <c r="AE925" s="500"/>
      <c r="AF925" s="500"/>
      <c r="AG925" s="500"/>
      <c r="AH925" s="500"/>
      <c r="AI925" s="500"/>
      <c r="AJ925" s="500"/>
      <c r="AK925" s="500"/>
      <c r="AL925" s="500"/>
      <c r="AM925" s="500"/>
      <c r="AN925" s="500"/>
      <c r="AO925" s="500"/>
      <c r="AP925" s="500"/>
    </row>
    <row r="926" spans="1:42" ht="16.5" customHeight="1">
      <c r="A926" s="434"/>
      <c r="B926" s="437" t="s">
        <v>3419</v>
      </c>
      <c r="C926" s="513">
        <f>E926+D926+F926</f>
        <v>15957.8</v>
      </c>
      <c r="D926" s="513">
        <f>SUMIF(N907:N925,M926,D907:D925)</f>
        <v>15957.8</v>
      </c>
      <c r="E926" s="513">
        <f>SUMIF(N907:N925,M926,E907:E925)</f>
        <v>0</v>
      </c>
      <c r="F926" s="513">
        <f>SUMIF(N907:N925,M926,F907:F925)</f>
        <v>0</v>
      </c>
      <c r="G926" s="451" t="s">
        <v>3439</v>
      </c>
      <c r="M926" s="501" t="s">
        <v>3416</v>
      </c>
      <c r="N926" s="501" t="s">
        <v>3421</v>
      </c>
      <c r="Z926" s="500"/>
      <c r="AA926" s="500"/>
      <c r="AB926" s="500"/>
      <c r="AC926" s="500"/>
      <c r="AD926" s="500"/>
      <c r="AE926" s="500"/>
      <c r="AF926" s="500"/>
      <c r="AG926" s="500"/>
      <c r="AH926" s="500"/>
      <c r="AI926" s="500"/>
      <c r="AJ926" s="500"/>
      <c r="AK926" s="500"/>
      <c r="AL926" s="500"/>
      <c r="AM926" s="500"/>
      <c r="AN926" s="500"/>
      <c r="AO926" s="500"/>
      <c r="AP926" s="500"/>
    </row>
    <row r="927" spans="1:42" ht="16.5" customHeight="1">
      <c r="A927" s="439"/>
      <c r="B927" s="439"/>
      <c r="C927" s="504"/>
      <c r="D927" s="504"/>
      <c r="E927" s="504"/>
      <c r="F927" s="504"/>
      <c r="G927" s="451" t="s">
        <v>3406</v>
      </c>
      <c r="Z927" s="500"/>
      <c r="AA927" s="500"/>
      <c r="AB927" s="500"/>
      <c r="AC927" s="500"/>
      <c r="AD927" s="500"/>
      <c r="AE927" s="500"/>
      <c r="AF927" s="500"/>
      <c r="AG927" s="500"/>
      <c r="AH927" s="500"/>
      <c r="AI927" s="500"/>
      <c r="AJ927" s="500"/>
      <c r="AK927" s="500"/>
      <c r="AL927" s="500"/>
      <c r="AM927" s="500"/>
      <c r="AN927" s="500"/>
      <c r="AO927" s="500"/>
      <c r="AP927" s="500"/>
    </row>
    <row r="928" spans="1:42" ht="16.5" customHeight="1">
      <c r="A928" s="439"/>
      <c r="B928" s="439"/>
      <c r="C928" s="439"/>
      <c r="D928" s="439"/>
      <c r="E928" s="439"/>
      <c r="F928" s="439"/>
      <c r="G928" s="451" t="s">
        <v>3406</v>
      </c>
      <c r="Z928" s="500"/>
      <c r="AA928" s="500"/>
      <c r="AB928" s="500"/>
      <c r="AC928" s="500"/>
      <c r="AD928" s="500"/>
      <c r="AE928" s="500"/>
      <c r="AF928" s="500"/>
      <c r="AG928" s="500"/>
      <c r="AH928" s="500"/>
      <c r="AI928" s="500"/>
      <c r="AJ928" s="500"/>
      <c r="AK928" s="500"/>
      <c r="AL928" s="500"/>
      <c r="AM928" s="500"/>
      <c r="AN928" s="500"/>
      <c r="AO928" s="500"/>
      <c r="AP928" s="500"/>
    </row>
    <row r="929" spans="1:42" ht="16.5" customHeight="1">
      <c r="A929" s="434"/>
      <c r="B929" s="437" t="s">
        <v>3502</v>
      </c>
      <c r="C929" s="439"/>
      <c r="D929" s="439"/>
      <c r="E929" s="439"/>
      <c r="F929" s="439"/>
      <c r="G929" s="451" t="s">
        <v>3503</v>
      </c>
      <c r="Z929" s="500"/>
      <c r="AA929" s="500"/>
      <c r="AB929" s="500"/>
      <c r="AC929" s="500"/>
      <c r="AD929" s="500"/>
      <c r="AE929" s="500"/>
      <c r="AF929" s="500"/>
      <c r="AG929" s="500"/>
      <c r="AH929" s="500"/>
      <c r="AI929" s="500"/>
      <c r="AJ929" s="500"/>
      <c r="AK929" s="500"/>
      <c r="AL929" s="500"/>
      <c r="AM929" s="500"/>
      <c r="AN929" s="500"/>
      <c r="AO929" s="500"/>
      <c r="AP929" s="500"/>
    </row>
    <row r="930" spans="1:42" ht="16.5" customHeight="1">
      <c r="A930" s="439"/>
      <c r="B930" s="439"/>
      <c r="C930" s="439"/>
      <c r="D930" s="439"/>
      <c r="E930" s="439"/>
      <c r="F930" s="439"/>
      <c r="G930" s="451" t="s">
        <v>3406</v>
      </c>
      <c r="Z930" s="500"/>
      <c r="AA930" s="500"/>
      <c r="AB930" s="500"/>
      <c r="AC930" s="500"/>
      <c r="AD930" s="500"/>
      <c r="AE930" s="500"/>
      <c r="AF930" s="500"/>
      <c r="AG930" s="500"/>
      <c r="AH930" s="500"/>
      <c r="AI930" s="500"/>
      <c r="AJ930" s="500"/>
      <c r="AK930" s="500"/>
      <c r="AL930" s="500"/>
      <c r="AM930" s="500"/>
      <c r="AN930" s="500"/>
      <c r="AO930" s="500"/>
      <c r="AP930" s="500"/>
    </row>
    <row r="931" spans="1:42" ht="16.5" customHeight="1">
      <c r="A931" s="434" t="s">
        <v>3504</v>
      </c>
      <c r="B931" s="505" t="str">
        <f>"  유기질비료 수목이식·식재용 : "&amp;TEXT(I931,"#,##0"&amp;IF(I931&lt;&gt;INT(I931),".###",""))&amp;" * "&amp;AA931&amp;" KG  / Q1 = "&amp;TEXT(C931,"#,##0.0")&amp;""</f>
        <v xml:space="preserve">  유기질비료 수목이식·식재용 : 500 * 210 KG  / Q1 = 1,909.0</v>
      </c>
      <c r="C931" s="506">
        <f>E931+D931+F931</f>
        <v>1909</v>
      </c>
      <c r="D931" s="506">
        <f>IF(H931=0,0,ROUNDDOWN(J931*H931,1))</f>
        <v>0</v>
      </c>
      <c r="E931" s="506">
        <f>IF(H931=0,0,ROUNDDOWN(K931*H931,1))</f>
        <v>1909</v>
      </c>
      <c r="F931" s="506">
        <f>IF(H931=0,0,ROUNDDOWN(L931*H931,1))</f>
        <v>0</v>
      </c>
      <c r="G931" s="451" t="s">
        <v>3540</v>
      </c>
      <c r="H931" s="507">
        <f>ROUNDUP(AE931,14-LEN(ABS(INT(AE931))))</f>
        <v>3.8181818181819001</v>
      </c>
      <c r="I931" s="508">
        <f>K931+J931+L931</f>
        <v>500</v>
      </c>
      <c r="K931" s="509">
        <f>재료비목록표!E78</f>
        <v>500</v>
      </c>
      <c r="M931" s="501" t="s">
        <v>3506</v>
      </c>
      <c r="N931" s="501" t="s">
        <v>3416</v>
      </c>
      <c r="X931" s="510" t="str">
        <f>재료비목록표!B78&amp;" / "&amp;재료비목록표!C78</f>
        <v>유기질비료 / 수목이식·식재용</v>
      </c>
      <c r="Y931" s="433" t="str">
        <f ca="1">HYPERLINK("#"&amp;재료비목록표!G2&amp;"!A"&amp;ROW(재료비목록표!A78),"M01159 →")</f>
        <v>M01159 →</v>
      </c>
      <c r="Z931" s="501" t="s">
        <v>3500</v>
      </c>
      <c r="AA931" s="515">
        <v>210</v>
      </c>
      <c r="AB931" s="501" t="s">
        <v>3428</v>
      </c>
      <c r="AC931" s="512">
        <f>AB912</f>
        <v>55</v>
      </c>
      <c r="AD931" s="501" t="s">
        <v>3418</v>
      </c>
      <c r="AE931" s="512">
        <f>1*AA931/AB912</f>
        <v>3.8181818181818183</v>
      </c>
      <c r="AF931" s="500"/>
      <c r="AG931" s="500"/>
      <c r="AH931" s="500"/>
      <c r="AI931" s="500"/>
      <c r="AJ931" s="500"/>
      <c r="AK931" s="500"/>
      <c r="AL931" s="500"/>
      <c r="AM931" s="500"/>
      <c r="AN931" s="500"/>
      <c r="AO931" s="500"/>
      <c r="AP931" s="500"/>
    </row>
    <row r="932" spans="1:42" ht="16.5" customHeight="1">
      <c r="A932" s="439"/>
      <c r="B932" s="439"/>
      <c r="C932" s="439"/>
      <c r="D932" s="439"/>
      <c r="E932" s="439"/>
      <c r="F932" s="439"/>
      <c r="G932" s="451" t="s">
        <v>3406</v>
      </c>
      <c r="Z932" s="500"/>
      <c r="AA932" s="500"/>
      <c r="AB932" s="500"/>
      <c r="AC932" s="500"/>
      <c r="AD932" s="500"/>
      <c r="AE932" s="500"/>
      <c r="AF932" s="500"/>
      <c r="AG932" s="500"/>
      <c r="AH932" s="500"/>
      <c r="AI932" s="500"/>
      <c r="AJ932" s="500"/>
      <c r="AK932" s="500"/>
      <c r="AL932" s="500"/>
      <c r="AM932" s="500"/>
      <c r="AN932" s="500"/>
      <c r="AO932" s="500"/>
      <c r="AP932" s="500"/>
    </row>
    <row r="933" spans="1:42" ht="16.5" customHeight="1">
      <c r="A933" s="434"/>
      <c r="B933" s="437" t="s">
        <v>3419</v>
      </c>
      <c r="C933" s="513">
        <f>E933+D933+F933</f>
        <v>1909</v>
      </c>
      <c r="D933" s="513">
        <f>SUMIF(N927:N932,M933,D927:D932)</f>
        <v>0</v>
      </c>
      <c r="E933" s="513">
        <f>SUMIF(N927:N932,M933,E927:E932)</f>
        <v>1909</v>
      </c>
      <c r="F933" s="513">
        <f>SUMIF(N927:N932,M933,F927:F932)</f>
        <v>0</v>
      </c>
      <c r="G933" s="451" t="s">
        <v>3439</v>
      </c>
      <c r="M933" s="501" t="s">
        <v>3416</v>
      </c>
      <c r="N933" s="501" t="s">
        <v>3421</v>
      </c>
      <c r="Z933" s="500"/>
      <c r="AA933" s="500"/>
      <c r="AB933" s="500"/>
      <c r="AC933" s="500"/>
      <c r="AD933" s="500"/>
      <c r="AE933" s="500"/>
      <c r="AF933" s="500"/>
      <c r="AG933" s="500"/>
      <c r="AH933" s="500"/>
      <c r="AI933" s="500"/>
      <c r="AJ933" s="500"/>
      <c r="AK933" s="500"/>
      <c r="AL933" s="500"/>
      <c r="AM933" s="500"/>
      <c r="AN933" s="500"/>
      <c r="AO933" s="500"/>
      <c r="AP933" s="500"/>
    </row>
    <row r="934" spans="1:42" ht="16.5" customHeight="1">
      <c r="A934" s="439"/>
      <c r="B934" s="439"/>
      <c r="C934" s="504"/>
      <c r="D934" s="504"/>
      <c r="E934" s="504"/>
      <c r="F934" s="504"/>
      <c r="G934" s="451" t="s">
        <v>3406</v>
      </c>
      <c r="Z934" s="500"/>
      <c r="AA934" s="500"/>
      <c r="AB934" s="500"/>
      <c r="AC934" s="500"/>
      <c r="AD934" s="500"/>
      <c r="AE934" s="500"/>
      <c r="AF934" s="500"/>
      <c r="AG934" s="500"/>
      <c r="AH934" s="500"/>
      <c r="AI934" s="500"/>
      <c r="AJ934" s="500"/>
      <c r="AK934" s="500"/>
      <c r="AL934" s="500"/>
      <c r="AM934" s="500"/>
      <c r="AN934" s="500"/>
      <c r="AO934" s="500"/>
      <c r="AP934" s="500"/>
    </row>
    <row r="935" spans="1:42" ht="16.5" customHeight="1">
      <c r="A935" s="434"/>
      <c r="B935" s="437" t="s">
        <v>3440</v>
      </c>
      <c r="C935" s="513">
        <f>E935+D935+F935</f>
        <v>17866.8</v>
      </c>
      <c r="D935" s="513">
        <f>SUMIF(N907:N934,M935,D907:D934)</f>
        <v>15957.8</v>
      </c>
      <c r="E935" s="513">
        <f>SUMIF(N907:N934,M935,E907:E934)</f>
        <v>1909</v>
      </c>
      <c r="F935" s="513">
        <f>SUMIF(N907:N934,M935,F907:F934)</f>
        <v>0</v>
      </c>
      <c r="G935" s="451" t="s">
        <v>3441</v>
      </c>
      <c r="M935" s="501" t="s">
        <v>3421</v>
      </c>
      <c r="N935" s="501" t="s">
        <v>2354</v>
      </c>
      <c r="Z935" s="500"/>
      <c r="AA935" s="500"/>
      <c r="AB935" s="500"/>
      <c r="AC935" s="500"/>
      <c r="AD935" s="500"/>
      <c r="AE935" s="500"/>
      <c r="AF935" s="500"/>
      <c r="AG935" s="500"/>
      <c r="AH935" s="500"/>
      <c r="AI935" s="500"/>
      <c r="AJ935" s="500"/>
      <c r="AK935" s="500"/>
      <c r="AL935" s="500"/>
      <c r="AM935" s="500"/>
      <c r="AN935" s="500"/>
      <c r="AO935" s="500"/>
      <c r="AP935" s="500"/>
    </row>
    <row r="936" spans="1:42" ht="16.5" customHeight="1">
      <c r="A936" s="439"/>
      <c r="B936" s="439"/>
      <c r="C936" s="504"/>
      <c r="D936" s="504"/>
      <c r="E936" s="504"/>
      <c r="F936" s="504"/>
      <c r="G936" s="451" t="s">
        <v>3413</v>
      </c>
      <c r="Z936" s="500"/>
      <c r="AA936" s="500"/>
      <c r="AB936" s="500"/>
      <c r="AC936" s="500"/>
      <c r="AD936" s="500"/>
      <c r="AE936" s="500"/>
      <c r="AF936" s="500"/>
      <c r="AG936" s="500"/>
      <c r="AH936" s="500"/>
      <c r="AI936" s="500"/>
      <c r="AJ936" s="500"/>
      <c r="AK936" s="500"/>
      <c r="AL936" s="500"/>
      <c r="AM936" s="500"/>
      <c r="AN936" s="500"/>
      <c r="AO936" s="500"/>
      <c r="AP936" s="500"/>
    </row>
    <row r="937" spans="1:42" ht="16.5" customHeight="1">
      <c r="A937" s="439"/>
      <c r="B937" s="439"/>
      <c r="C937" s="439"/>
      <c r="D937" s="439"/>
      <c r="E937" s="439"/>
      <c r="F937" s="439"/>
      <c r="Z937" s="500"/>
      <c r="AA937" s="500"/>
      <c r="AB937" s="500"/>
      <c r="AC937" s="500"/>
      <c r="AD937" s="500"/>
      <c r="AE937" s="500"/>
      <c r="AF937" s="500"/>
      <c r="AG937" s="500"/>
      <c r="AH937" s="500"/>
      <c r="AI937" s="500"/>
      <c r="AJ937" s="500"/>
      <c r="AK937" s="500"/>
      <c r="AL937" s="500"/>
      <c r="AM937" s="500"/>
      <c r="AN937" s="500"/>
      <c r="AO937" s="500"/>
      <c r="AP937" s="500"/>
    </row>
    <row r="938" spans="1:42" ht="16.5" customHeight="1">
      <c r="A938" s="439"/>
      <c r="B938" s="439"/>
      <c r="C938" s="439"/>
      <c r="D938" s="439"/>
      <c r="E938" s="439"/>
      <c r="F938" s="439"/>
      <c r="Z938" s="500"/>
      <c r="AA938" s="500"/>
      <c r="AB938" s="500"/>
      <c r="AC938" s="500"/>
      <c r="AD938" s="500"/>
      <c r="AE938" s="500"/>
      <c r="AF938" s="500"/>
      <c r="AG938" s="500"/>
      <c r="AH938" s="500"/>
      <c r="AI938" s="500"/>
      <c r="AJ938" s="500"/>
      <c r="AK938" s="500"/>
      <c r="AL938" s="500"/>
      <c r="AM938" s="500"/>
      <c r="AN938" s="500"/>
      <c r="AO938" s="500"/>
      <c r="AP938" s="500"/>
    </row>
    <row r="939" spans="1:42" ht="16.5" customHeight="1">
      <c r="A939" s="439"/>
      <c r="B939" s="439"/>
      <c r="C939" s="439"/>
      <c r="D939" s="439"/>
      <c r="E939" s="439"/>
      <c r="F939" s="439"/>
      <c r="Z939" s="500"/>
      <c r="AA939" s="500"/>
      <c r="AB939" s="500"/>
      <c r="AC939" s="500"/>
      <c r="AD939" s="500"/>
      <c r="AE939" s="500"/>
      <c r="AF939" s="500"/>
      <c r="AG939" s="500"/>
      <c r="AH939" s="500"/>
      <c r="AI939" s="500"/>
      <c r="AJ939" s="500"/>
      <c r="AK939" s="500"/>
      <c r="AL939" s="500"/>
      <c r="AM939" s="500"/>
      <c r="AN939" s="500"/>
      <c r="AO939" s="500"/>
      <c r="AP939" s="500"/>
    </row>
    <row r="940" spans="1:42" ht="16.5" customHeight="1">
      <c r="A940" s="439"/>
      <c r="B940" s="439"/>
      <c r="C940" s="439"/>
      <c r="D940" s="439"/>
      <c r="E940" s="439"/>
      <c r="F940" s="439"/>
      <c r="Z940" s="500"/>
      <c r="AA940" s="500"/>
      <c r="AB940" s="500"/>
      <c r="AC940" s="500"/>
      <c r="AD940" s="500"/>
      <c r="AE940" s="500"/>
      <c r="AF940" s="500"/>
      <c r="AG940" s="500"/>
      <c r="AH940" s="500"/>
      <c r="AI940" s="500"/>
      <c r="AJ940" s="500"/>
      <c r="AK940" s="500"/>
      <c r="AL940" s="500"/>
      <c r="AM940" s="500"/>
      <c r="AN940" s="500"/>
      <c r="AO940" s="500"/>
      <c r="AP940" s="500"/>
    </row>
    <row r="941" spans="1:42" ht="16.5" customHeight="1">
      <c r="A941" s="439"/>
      <c r="B941" s="439"/>
      <c r="C941" s="439"/>
      <c r="D941" s="439"/>
      <c r="E941" s="439"/>
      <c r="F941" s="439"/>
      <c r="Z941" s="500"/>
      <c r="AA941" s="500"/>
      <c r="AB941" s="500"/>
      <c r="AC941" s="500"/>
      <c r="AD941" s="500"/>
      <c r="AE941" s="500"/>
      <c r="AF941" s="500"/>
      <c r="AG941" s="500"/>
      <c r="AH941" s="500"/>
      <c r="AI941" s="500"/>
      <c r="AJ941" s="500"/>
      <c r="AK941" s="500"/>
      <c r="AL941" s="500"/>
      <c r="AM941" s="500"/>
      <c r="AN941" s="500"/>
      <c r="AO941" s="500"/>
      <c r="AP941" s="500"/>
    </row>
    <row r="942" spans="1:42" ht="16.5" customHeight="1">
      <c r="A942" s="439"/>
      <c r="B942" s="439"/>
      <c r="C942" s="439"/>
      <c r="D942" s="439"/>
      <c r="E942" s="439"/>
      <c r="F942" s="439"/>
      <c r="Z942" s="500"/>
      <c r="AA942" s="500"/>
      <c r="AB942" s="500"/>
      <c r="AC942" s="500"/>
      <c r="AD942" s="500"/>
      <c r="AE942" s="500"/>
      <c r="AF942" s="500"/>
      <c r="AG942" s="500"/>
      <c r="AH942" s="500"/>
      <c r="AI942" s="500"/>
      <c r="AJ942" s="500"/>
      <c r="AK942" s="500"/>
      <c r="AL942" s="500"/>
      <c r="AM942" s="500"/>
      <c r="AN942" s="500"/>
      <c r="AO942" s="500"/>
      <c r="AP942" s="500"/>
    </row>
    <row r="943" spans="1:42" ht="16.5" customHeight="1">
      <c r="A943" s="439"/>
      <c r="B943" s="439"/>
      <c r="C943" s="439"/>
      <c r="D943" s="439"/>
      <c r="E943" s="439"/>
      <c r="F943" s="439"/>
      <c r="Z943" s="500"/>
      <c r="AA943" s="500"/>
      <c r="AB943" s="500"/>
      <c r="AC943" s="500"/>
      <c r="AD943" s="500"/>
      <c r="AE943" s="500"/>
      <c r="AF943" s="500"/>
      <c r="AG943" s="500"/>
      <c r="AH943" s="500"/>
      <c r="AI943" s="500"/>
      <c r="AJ943" s="500"/>
      <c r="AK943" s="500"/>
      <c r="AL943" s="500"/>
      <c r="AM943" s="500"/>
      <c r="AN943" s="500"/>
      <c r="AO943" s="500"/>
      <c r="AP943" s="500"/>
    </row>
    <row r="944" spans="1:42" ht="16.5" customHeight="1">
      <c r="A944" s="439"/>
      <c r="B944" s="439"/>
      <c r="C944" s="439"/>
      <c r="D944" s="439"/>
      <c r="E944" s="439"/>
      <c r="F944" s="439"/>
      <c r="Z944" s="500"/>
      <c r="AA944" s="500"/>
      <c r="AB944" s="500"/>
      <c r="AC944" s="500"/>
      <c r="AD944" s="500"/>
      <c r="AE944" s="500"/>
      <c r="AF944" s="500"/>
      <c r="AG944" s="500"/>
      <c r="AH944" s="500"/>
      <c r="AI944" s="500"/>
      <c r="AJ944" s="500"/>
      <c r="AK944" s="500"/>
      <c r="AL944" s="500"/>
      <c r="AM944" s="500"/>
      <c r="AN944" s="500"/>
      <c r="AO944" s="500"/>
      <c r="AP944" s="500"/>
    </row>
    <row r="945" spans="1:42" ht="16.5" customHeight="1">
      <c r="A945" s="439"/>
      <c r="B945" s="439"/>
      <c r="C945" s="439"/>
      <c r="D945" s="439"/>
      <c r="E945" s="439"/>
      <c r="F945" s="439"/>
      <c r="Z945" s="500"/>
      <c r="AA945" s="500"/>
      <c r="AB945" s="500"/>
      <c r="AC945" s="500"/>
      <c r="AD945" s="500"/>
      <c r="AE945" s="500"/>
      <c r="AF945" s="500"/>
      <c r="AG945" s="500"/>
      <c r="AH945" s="500"/>
      <c r="AI945" s="500"/>
      <c r="AJ945" s="500"/>
      <c r="AK945" s="500"/>
      <c r="AL945" s="500"/>
      <c r="AM945" s="500"/>
      <c r="AN945" s="500"/>
      <c r="AO945" s="500"/>
      <c r="AP945" s="500"/>
    </row>
    <row r="946" spans="1:42" ht="16.5" customHeight="1">
      <c r="A946" s="439"/>
      <c r="B946" s="439"/>
      <c r="C946" s="439"/>
      <c r="D946" s="439"/>
      <c r="E946" s="439"/>
      <c r="F946" s="439"/>
      <c r="Z946" s="500"/>
      <c r="AA946" s="500"/>
      <c r="AB946" s="500"/>
      <c r="AC946" s="500"/>
      <c r="AD946" s="500"/>
      <c r="AE946" s="500"/>
      <c r="AF946" s="500"/>
      <c r="AG946" s="500"/>
      <c r="AH946" s="500"/>
      <c r="AI946" s="500"/>
      <c r="AJ946" s="500"/>
      <c r="AK946" s="500"/>
      <c r="AL946" s="500"/>
      <c r="AM946" s="500"/>
      <c r="AN946" s="500"/>
      <c r="AO946" s="500"/>
      <c r="AP946" s="500"/>
    </row>
    <row r="947" spans="1:42" ht="16.5" customHeight="1">
      <c r="A947" s="439"/>
      <c r="B947" s="439"/>
      <c r="C947" s="439"/>
      <c r="D947" s="439"/>
      <c r="E947" s="439"/>
      <c r="F947" s="439"/>
      <c r="Z947" s="500"/>
      <c r="AA947" s="500"/>
      <c r="AB947" s="500"/>
      <c r="AC947" s="500"/>
      <c r="AD947" s="500"/>
      <c r="AE947" s="500"/>
      <c r="AF947" s="500"/>
      <c r="AG947" s="500"/>
      <c r="AH947" s="500"/>
      <c r="AI947" s="500"/>
      <c r="AJ947" s="500"/>
      <c r="AK947" s="500"/>
      <c r="AL947" s="500"/>
      <c r="AM947" s="500"/>
      <c r="AN947" s="500"/>
      <c r="AO947" s="500"/>
      <c r="AP947" s="500"/>
    </row>
    <row r="948" spans="1:42" ht="16.5" customHeight="1">
      <c r="A948" s="439"/>
      <c r="B948" s="439"/>
      <c r="C948" s="439"/>
      <c r="D948" s="439"/>
      <c r="E948" s="439"/>
      <c r="F948" s="439"/>
      <c r="Z948" s="500"/>
      <c r="AA948" s="500"/>
      <c r="AB948" s="500"/>
      <c r="AC948" s="500"/>
      <c r="AD948" s="500"/>
      <c r="AE948" s="500"/>
      <c r="AF948" s="500"/>
      <c r="AG948" s="500"/>
      <c r="AH948" s="500"/>
      <c r="AI948" s="500"/>
      <c r="AJ948" s="500"/>
      <c r="AK948" s="500"/>
      <c r="AL948" s="500"/>
      <c r="AM948" s="500"/>
      <c r="AN948" s="500"/>
      <c r="AO948" s="500"/>
      <c r="AP948" s="500"/>
    </row>
    <row r="949" spans="1:42" ht="16.5" customHeight="1">
      <c r="A949" s="439"/>
      <c r="B949" s="439"/>
      <c r="C949" s="439"/>
      <c r="D949" s="439"/>
      <c r="E949" s="439"/>
      <c r="F949" s="439"/>
      <c r="Z949" s="500"/>
      <c r="AA949" s="500"/>
      <c r="AB949" s="500"/>
      <c r="AC949" s="500"/>
      <c r="AD949" s="500"/>
      <c r="AE949" s="500"/>
      <c r="AF949" s="500"/>
      <c r="AG949" s="500"/>
      <c r="AH949" s="500"/>
      <c r="AI949" s="500"/>
      <c r="AJ949" s="500"/>
      <c r="AK949" s="500"/>
      <c r="AL949" s="500"/>
      <c r="AM949" s="500"/>
      <c r="AN949" s="500"/>
      <c r="AO949" s="500"/>
      <c r="AP949" s="500"/>
    </row>
    <row r="950" spans="1:42" ht="16.5" customHeight="1">
      <c r="A950" s="439"/>
      <c r="B950" s="439"/>
      <c r="C950" s="439"/>
      <c r="D950" s="439"/>
      <c r="E950" s="439"/>
      <c r="F950" s="439"/>
      <c r="Z950" s="500"/>
      <c r="AA950" s="500"/>
      <c r="AB950" s="500"/>
      <c r="AC950" s="500"/>
      <c r="AD950" s="500"/>
      <c r="AE950" s="500"/>
      <c r="AF950" s="500"/>
      <c r="AG950" s="500"/>
      <c r="AH950" s="500"/>
      <c r="AI950" s="500"/>
      <c r="AJ950" s="500"/>
      <c r="AK950" s="500"/>
      <c r="AL950" s="500"/>
      <c r="AM950" s="500"/>
      <c r="AN950" s="500"/>
      <c r="AO950" s="500"/>
      <c r="AP950" s="500"/>
    </row>
    <row r="951" spans="1:42" ht="16.5" customHeight="1">
      <c r="A951" s="439"/>
      <c r="B951" s="439"/>
      <c r="C951" s="439"/>
      <c r="D951" s="439"/>
      <c r="E951" s="439"/>
      <c r="F951" s="439"/>
      <c r="Z951" s="500"/>
      <c r="AA951" s="500"/>
      <c r="AB951" s="500"/>
      <c r="AC951" s="500"/>
      <c r="AD951" s="500"/>
      <c r="AE951" s="500"/>
      <c r="AF951" s="500"/>
      <c r="AG951" s="500"/>
      <c r="AH951" s="500"/>
      <c r="AI951" s="500"/>
      <c r="AJ951" s="500"/>
      <c r="AK951" s="500"/>
      <c r="AL951" s="500"/>
      <c r="AM951" s="500"/>
      <c r="AN951" s="500"/>
      <c r="AO951" s="500"/>
      <c r="AP951" s="500"/>
    </row>
    <row r="952" spans="1:42" ht="16.5" customHeight="1">
      <c r="A952" s="439"/>
      <c r="B952" s="439"/>
      <c r="C952" s="439"/>
      <c r="D952" s="439"/>
      <c r="E952" s="439"/>
      <c r="F952" s="439"/>
      <c r="Z952" s="500"/>
      <c r="AA952" s="500"/>
      <c r="AB952" s="500"/>
      <c r="AC952" s="500"/>
      <c r="AD952" s="500"/>
      <c r="AE952" s="500"/>
      <c r="AF952" s="500"/>
      <c r="AG952" s="500"/>
      <c r="AH952" s="500"/>
      <c r="AI952" s="500"/>
      <c r="AJ952" s="500"/>
      <c r="AK952" s="500"/>
      <c r="AL952" s="500"/>
      <c r="AM952" s="500"/>
      <c r="AN952" s="500"/>
      <c r="AO952" s="500"/>
      <c r="AP952" s="500"/>
    </row>
    <row r="953" spans="1:42" ht="16.5" customHeight="1">
      <c r="A953" s="497"/>
      <c r="B953" s="497"/>
      <c r="C953" s="497"/>
      <c r="D953" s="497"/>
      <c r="E953" s="497"/>
      <c r="F953" s="497"/>
      <c r="Z953" s="500"/>
      <c r="AA953" s="500"/>
      <c r="AB953" s="500"/>
      <c r="AC953" s="500"/>
      <c r="AD953" s="500"/>
      <c r="AE953" s="500"/>
      <c r="AF953" s="500"/>
      <c r="AG953" s="500"/>
      <c r="AH953" s="500"/>
      <c r="AI953" s="500"/>
      <c r="AJ953" s="500"/>
      <c r="AK953" s="500"/>
      <c r="AL953" s="500"/>
      <c r="AM953" s="500"/>
      <c r="AN953" s="500"/>
      <c r="AO953" s="500"/>
      <c r="AP953" s="500"/>
    </row>
    <row r="954" spans="1:42" ht="16.5" customHeight="1">
      <c r="A954" s="616" t="s">
        <v>3487</v>
      </c>
      <c r="B954" s="605"/>
      <c r="C954" s="446">
        <f>E954+D954+F954</f>
        <v>17866</v>
      </c>
      <c r="D954" s="453">
        <f>ROUNDDOWN(SUMIF(N907:N936,M954,D907:D936),0)</f>
        <v>15957</v>
      </c>
      <c r="E954" s="454">
        <f>ROUNDDOWN(SUMIF(N907:N936,M954,E907:E936),0)</f>
        <v>1909</v>
      </c>
      <c r="F954" s="446">
        <f>ROUNDDOWN(SUMIF(N907:N936,M954,F907:F936),0)</f>
        <v>0</v>
      </c>
      <c r="M954" s="501" t="s">
        <v>2354</v>
      </c>
      <c r="Z954" s="500"/>
      <c r="AA954" s="500"/>
      <c r="AB954" s="500"/>
      <c r="AC954" s="500"/>
      <c r="AD954" s="500"/>
      <c r="AE954" s="500"/>
      <c r="AF954" s="500"/>
      <c r="AG954" s="500"/>
      <c r="AH954" s="500"/>
      <c r="AI954" s="500"/>
      <c r="AJ954" s="500"/>
      <c r="AK954" s="500"/>
      <c r="AL954" s="500"/>
      <c r="AM954" s="500"/>
      <c r="AN954" s="500"/>
      <c r="AO954" s="500"/>
      <c r="AP954" s="500"/>
    </row>
    <row r="955" spans="1:42" ht="16.5" customHeight="1">
      <c r="A955" s="502"/>
      <c r="B955" s="503" t="s">
        <v>5357</v>
      </c>
      <c r="C955" s="615">
        <f>C1004</f>
        <v>8674</v>
      </c>
      <c r="D955" s="615">
        <f>D1004</f>
        <v>8074</v>
      </c>
      <c r="E955" s="615">
        <f>E1004</f>
        <v>600</v>
      </c>
      <c r="F955" s="615">
        <f>F1004</f>
        <v>0</v>
      </c>
      <c r="G955" s="486" t="str">
        <f>HYPERLINK("#G"&amp;ROW(G990),"_x0005_`BDCOD|D01352_x0007_`POSS|"&amp;ROW(G957)&amp;"_x0007_`POSE|"&amp;ROW(G990)&amp;"_x0007_`")</f>
        <v>_x0005_`BDCOD|D01352_x0007_`POSS|957_x0007_`POSE|990_x0007_`</v>
      </c>
      <c r="Z955" s="500"/>
      <c r="AA955" s="500"/>
      <c r="AB955" s="500"/>
      <c r="AC955" s="500"/>
      <c r="AD955" s="500"/>
      <c r="AE955" s="500"/>
      <c r="AF955" s="500"/>
      <c r="AG955" s="500"/>
      <c r="AH955" s="500"/>
      <c r="AI955" s="500"/>
      <c r="AJ955" s="500"/>
      <c r="AK955" s="500"/>
      <c r="AL955" s="500"/>
      <c r="AM955" s="500"/>
      <c r="AN955" s="500"/>
      <c r="AO955" s="500"/>
      <c r="AP955" s="500"/>
    </row>
    <row r="956" spans="1:42" ht="16.5" customHeight="1">
      <c r="A956" s="485"/>
      <c r="B956" s="503" t="s">
        <v>5596</v>
      </c>
      <c r="C956" s="593"/>
      <c r="D956" s="593"/>
      <c r="E956" s="593"/>
      <c r="F956" s="593"/>
      <c r="M956" s="501" t="s">
        <v>5357</v>
      </c>
      <c r="Z956" s="500"/>
      <c r="AA956" s="500"/>
      <c r="AB956" s="500"/>
      <c r="AC956" s="500"/>
      <c r="AD956" s="500"/>
      <c r="AE956" s="500"/>
      <c r="AF956" s="500"/>
      <c r="AG956" s="500"/>
      <c r="AH956" s="500"/>
      <c r="AI956" s="500"/>
      <c r="AJ956" s="500"/>
      <c r="AK956" s="500"/>
      <c r="AL956" s="500"/>
      <c r="AM956" s="500"/>
      <c r="AN956" s="500"/>
      <c r="AO956" s="500"/>
      <c r="AP956" s="500"/>
    </row>
    <row r="957" spans="1:42" ht="16.5" customHeight="1">
      <c r="A957" s="439"/>
      <c r="B957" s="439"/>
      <c r="C957" s="504"/>
      <c r="D957" s="504"/>
      <c r="E957" s="504"/>
      <c r="F957" s="504"/>
      <c r="G957" s="451" t="s">
        <v>3406</v>
      </c>
      <c r="Z957" s="500"/>
      <c r="AA957" s="500"/>
      <c r="AB957" s="500"/>
      <c r="AC957" s="500"/>
      <c r="AD957" s="500"/>
      <c r="AE957" s="500"/>
      <c r="AF957" s="500"/>
      <c r="AG957" s="500"/>
      <c r="AH957" s="500"/>
      <c r="AI957" s="500"/>
      <c r="AJ957" s="500"/>
      <c r="AK957" s="500"/>
      <c r="AL957" s="500"/>
      <c r="AM957" s="500"/>
      <c r="AN957" s="500"/>
      <c r="AO957" s="500"/>
      <c r="AP957" s="500"/>
    </row>
    <row r="958" spans="1:42" ht="16.5" customHeight="1">
      <c r="A958" s="434"/>
      <c r="B958" s="437" t="s">
        <v>3523</v>
      </c>
      <c r="C958" s="439"/>
      <c r="D958" s="439"/>
      <c r="E958" s="439"/>
      <c r="F958" s="439"/>
      <c r="G958" s="451" t="s">
        <v>3524</v>
      </c>
      <c r="Z958" s="500"/>
      <c r="AA958" s="500"/>
      <c r="AB958" s="500"/>
      <c r="AC958" s="500"/>
      <c r="AD958" s="500"/>
      <c r="AE958" s="500"/>
      <c r="AF958" s="500"/>
      <c r="AG958" s="500"/>
      <c r="AH958" s="500"/>
      <c r="AI958" s="500"/>
      <c r="AJ958" s="500"/>
      <c r="AK958" s="500"/>
      <c r="AL958" s="500"/>
      <c r="AM958" s="500"/>
      <c r="AN958" s="500"/>
      <c r="AO958" s="500"/>
      <c r="AP958" s="500"/>
    </row>
    <row r="959" spans="1:42" ht="16.5" customHeight="1">
      <c r="A959" s="439"/>
      <c r="B959" s="439"/>
      <c r="C959" s="439"/>
      <c r="D959" s="439"/>
      <c r="E959" s="439"/>
      <c r="F959" s="439"/>
      <c r="G959" s="451" t="s">
        <v>3406</v>
      </c>
      <c r="Z959" s="500"/>
      <c r="AA959" s="500"/>
      <c r="AB959" s="500"/>
      <c r="AC959" s="500"/>
      <c r="AD959" s="500"/>
      <c r="AE959" s="500"/>
      <c r="AF959" s="500"/>
      <c r="AG959" s="500"/>
      <c r="AH959" s="500"/>
      <c r="AI959" s="500"/>
      <c r="AJ959" s="500"/>
      <c r="AK959" s="500"/>
      <c r="AL959" s="500"/>
      <c r="AM959" s="500"/>
      <c r="AN959" s="500"/>
      <c r="AO959" s="500"/>
      <c r="AP959" s="500"/>
    </row>
    <row r="960" spans="1:42" ht="16.5" customHeight="1">
      <c r="A960" s="434"/>
      <c r="B960" s="437" t="s">
        <v>3525</v>
      </c>
      <c r="C960" s="439"/>
      <c r="D960" s="439"/>
      <c r="E960" s="439"/>
      <c r="F960" s="439"/>
      <c r="G960" s="451" t="s">
        <v>3526</v>
      </c>
      <c r="Z960" s="500"/>
      <c r="AA960" s="500"/>
      <c r="AB960" s="500"/>
      <c r="AC960" s="500"/>
      <c r="AD960" s="500"/>
      <c r="AE960" s="500"/>
      <c r="AF960" s="500"/>
      <c r="AG960" s="500"/>
      <c r="AH960" s="500"/>
      <c r="AI960" s="500"/>
      <c r="AJ960" s="500"/>
      <c r="AK960" s="500"/>
      <c r="AL960" s="500"/>
      <c r="AM960" s="500"/>
      <c r="AN960" s="500"/>
      <c r="AO960" s="500"/>
      <c r="AP960" s="500"/>
    </row>
    <row r="961" spans="1:42" ht="16.5" customHeight="1">
      <c r="A961" s="439"/>
      <c r="B961" s="439"/>
      <c r="C961" s="439"/>
      <c r="D961" s="439"/>
      <c r="E961" s="439"/>
      <c r="F961" s="439"/>
      <c r="G961" s="451" t="s">
        <v>3406</v>
      </c>
      <c r="Z961" s="500"/>
      <c r="AA961" s="500"/>
      <c r="AB961" s="500"/>
      <c r="AC961" s="500"/>
      <c r="AD961" s="500"/>
      <c r="AE961" s="500"/>
      <c r="AF961" s="500"/>
      <c r="AG961" s="500"/>
      <c r="AH961" s="500"/>
      <c r="AI961" s="500"/>
      <c r="AJ961" s="500"/>
      <c r="AK961" s="500"/>
      <c r="AL961" s="500"/>
      <c r="AM961" s="500"/>
      <c r="AN961" s="500"/>
      <c r="AO961" s="500"/>
      <c r="AP961" s="500"/>
    </row>
    <row r="962" spans="1:42" ht="16.5" customHeight="1">
      <c r="A962" s="434"/>
      <c r="B962" s="437" t="str">
        <f>" 일당 작업량 :   Q1 = "&amp;Z962&amp;"  주 "</f>
        <v xml:space="preserve"> 일당 작업량 :   Q1 = 125  주 </v>
      </c>
      <c r="C962" s="439"/>
      <c r="D962" s="439"/>
      <c r="E962" s="439"/>
      <c r="F962" s="439"/>
      <c r="G962" s="451" t="s">
        <v>3527</v>
      </c>
      <c r="Z962" s="515">
        <v>125</v>
      </c>
      <c r="AA962" s="501" t="s">
        <v>3418</v>
      </c>
      <c r="AB962" s="512">
        <f>Z962</f>
        <v>125</v>
      </c>
      <c r="AC962" s="500"/>
      <c r="AD962" s="500"/>
      <c r="AE962" s="500"/>
      <c r="AF962" s="500"/>
      <c r="AG962" s="500"/>
      <c r="AH962" s="500"/>
      <c r="AI962" s="500"/>
      <c r="AJ962" s="500"/>
      <c r="AK962" s="500"/>
      <c r="AL962" s="500"/>
      <c r="AM962" s="500"/>
      <c r="AN962" s="500"/>
      <c r="AO962" s="500"/>
      <c r="AP962" s="500"/>
    </row>
    <row r="963" spans="1:42" ht="16.5" customHeight="1">
      <c r="A963" s="439"/>
      <c r="B963" s="439"/>
      <c r="C963" s="439"/>
      <c r="D963" s="439"/>
      <c r="E963" s="439"/>
      <c r="F963" s="439"/>
      <c r="G963" s="451" t="s">
        <v>3406</v>
      </c>
      <c r="Z963" s="500"/>
      <c r="AA963" s="500"/>
      <c r="AB963" s="500"/>
      <c r="AC963" s="500"/>
      <c r="AD963" s="500"/>
      <c r="AE963" s="500"/>
      <c r="AF963" s="500"/>
      <c r="AG963" s="500"/>
      <c r="AH963" s="500"/>
      <c r="AI963" s="500"/>
      <c r="AJ963" s="500"/>
      <c r="AK963" s="500"/>
      <c r="AL963" s="500"/>
      <c r="AM963" s="500"/>
      <c r="AN963" s="500"/>
      <c r="AO963" s="500"/>
      <c r="AP963" s="500"/>
    </row>
    <row r="964" spans="1:42" ht="16.5" customHeight="1">
      <c r="A964" s="434"/>
      <c r="B964" s="437" t="s">
        <v>3494</v>
      </c>
      <c r="C964" s="439"/>
      <c r="D964" s="439"/>
      <c r="E964" s="439"/>
      <c r="F964" s="439"/>
      <c r="G964" s="451" t="s">
        <v>3495</v>
      </c>
      <c r="Z964" s="500"/>
      <c r="AA964" s="500"/>
      <c r="AB964" s="500"/>
      <c r="AC964" s="500"/>
      <c r="AD964" s="500"/>
      <c r="AE964" s="500"/>
      <c r="AF964" s="500"/>
      <c r="AG964" s="500"/>
      <c r="AH964" s="500"/>
      <c r="AI964" s="500"/>
      <c r="AJ964" s="500"/>
      <c r="AK964" s="500"/>
      <c r="AL964" s="500"/>
      <c r="AM964" s="500"/>
      <c r="AN964" s="500"/>
      <c r="AO964" s="500"/>
      <c r="AP964" s="500"/>
    </row>
    <row r="965" spans="1:42" ht="16.5" customHeight="1">
      <c r="A965" s="439"/>
      <c r="B965" s="439"/>
      <c r="C965" s="439"/>
      <c r="D965" s="439"/>
      <c r="E965" s="439"/>
      <c r="F965" s="439"/>
      <c r="G965" s="451" t="s">
        <v>3406</v>
      </c>
      <c r="Z965" s="500"/>
      <c r="AA965" s="500"/>
      <c r="AB965" s="500"/>
      <c r="AC965" s="500"/>
      <c r="AD965" s="500"/>
      <c r="AE965" s="500"/>
      <c r="AF965" s="500"/>
      <c r="AG965" s="500"/>
      <c r="AH965" s="500"/>
      <c r="AI965" s="500"/>
      <c r="AJ965" s="500"/>
      <c r="AK965" s="500"/>
      <c r="AL965" s="500"/>
      <c r="AM965" s="500"/>
      <c r="AN965" s="500"/>
      <c r="AO965" s="500"/>
      <c r="AP965" s="500"/>
    </row>
    <row r="966" spans="1:42" ht="16.5" customHeight="1">
      <c r="A966" s="439"/>
      <c r="B966" s="439"/>
      <c r="C966" s="439"/>
      <c r="D966" s="439"/>
      <c r="E966" s="439"/>
      <c r="F966" s="439"/>
      <c r="G966" s="451" t="s">
        <v>3406</v>
      </c>
      <c r="Z966" s="500"/>
      <c r="AA966" s="500"/>
      <c r="AB966" s="500"/>
      <c r="AC966" s="500"/>
      <c r="AD966" s="500"/>
      <c r="AE966" s="500"/>
      <c r="AF966" s="500"/>
      <c r="AG966" s="500"/>
      <c r="AH966" s="500"/>
      <c r="AI966" s="500"/>
      <c r="AJ966" s="500"/>
      <c r="AK966" s="500"/>
      <c r="AL966" s="500"/>
      <c r="AM966" s="500"/>
      <c r="AN966" s="500"/>
      <c r="AO966" s="500"/>
      <c r="AP966" s="500"/>
    </row>
    <row r="967" spans="1:42" ht="16.5" customHeight="1">
      <c r="A967" s="439"/>
      <c r="B967" s="439"/>
      <c r="C967" s="439"/>
      <c r="D967" s="439"/>
      <c r="E967" s="439"/>
      <c r="F967" s="439"/>
      <c r="G967" s="451" t="s">
        <v>3406</v>
      </c>
      <c r="Z967" s="500"/>
      <c r="AA967" s="500"/>
      <c r="AB967" s="500"/>
      <c r="AC967" s="500"/>
      <c r="AD967" s="500"/>
      <c r="AE967" s="500"/>
      <c r="AF967" s="500"/>
      <c r="AG967" s="500"/>
      <c r="AH967" s="500"/>
      <c r="AI967" s="500"/>
      <c r="AJ967" s="500"/>
      <c r="AK967" s="500"/>
      <c r="AL967" s="500"/>
      <c r="AM967" s="500"/>
      <c r="AN967" s="500"/>
      <c r="AO967" s="500"/>
      <c r="AP967" s="500"/>
    </row>
    <row r="968" spans="1:42" ht="16.5" customHeight="1">
      <c r="A968" s="439"/>
      <c r="B968" s="439"/>
      <c r="C968" s="439"/>
      <c r="D968" s="439"/>
      <c r="E968" s="439"/>
      <c r="F968" s="439"/>
      <c r="G968" s="451" t="s">
        <v>3406</v>
      </c>
      <c r="Z968" s="500"/>
      <c r="AA968" s="500"/>
      <c r="AB968" s="500"/>
      <c r="AC968" s="500"/>
      <c r="AD968" s="500"/>
      <c r="AE968" s="500"/>
      <c r="AF968" s="500"/>
      <c r="AG968" s="500"/>
      <c r="AH968" s="500"/>
      <c r="AI968" s="500"/>
      <c r="AJ968" s="500"/>
      <c r="AK968" s="500"/>
      <c r="AL968" s="500"/>
      <c r="AM968" s="500"/>
      <c r="AN968" s="500"/>
      <c r="AO968" s="500"/>
      <c r="AP968" s="500"/>
    </row>
    <row r="969" spans="1:42" ht="16.5" customHeight="1">
      <c r="A969" s="434"/>
      <c r="B969" s="437" t="s">
        <v>3496</v>
      </c>
      <c r="C969" s="439"/>
      <c r="D969" s="439"/>
      <c r="E969" s="439"/>
      <c r="F969" s="439"/>
      <c r="G969" s="451" t="s">
        <v>3497</v>
      </c>
      <c r="Z969" s="500"/>
      <c r="AA969" s="500"/>
      <c r="AB969" s="500"/>
      <c r="AC969" s="500"/>
      <c r="AD969" s="500"/>
      <c r="AE969" s="500"/>
      <c r="AF969" s="500"/>
      <c r="AG969" s="500"/>
      <c r="AH969" s="500"/>
      <c r="AI969" s="500"/>
      <c r="AJ969" s="500"/>
      <c r="AK969" s="500"/>
      <c r="AL969" s="500"/>
      <c r="AM969" s="500"/>
      <c r="AN969" s="500"/>
      <c r="AO969" s="500"/>
      <c r="AP969" s="500"/>
    </row>
    <row r="970" spans="1:42" ht="16.5" customHeight="1">
      <c r="A970" s="439"/>
      <c r="B970" s="439"/>
      <c r="C970" s="439"/>
      <c r="D970" s="439"/>
      <c r="E970" s="439"/>
      <c r="F970" s="439"/>
      <c r="G970" s="451" t="s">
        <v>3406</v>
      </c>
      <c r="Z970" s="500"/>
      <c r="AA970" s="500"/>
      <c r="AB970" s="500"/>
      <c r="AC970" s="500"/>
      <c r="AD970" s="500"/>
      <c r="AE970" s="500"/>
      <c r="AF970" s="500"/>
      <c r="AG970" s="500"/>
      <c r="AH970" s="500"/>
      <c r="AI970" s="500"/>
      <c r="AJ970" s="500"/>
      <c r="AK970" s="500"/>
      <c r="AL970" s="500"/>
      <c r="AM970" s="500"/>
      <c r="AN970" s="500"/>
      <c r="AO970" s="500"/>
      <c r="AP970" s="500"/>
    </row>
    <row r="971" spans="1:42" ht="16.5" customHeight="1">
      <c r="A971" s="434" t="s">
        <v>3498</v>
      </c>
      <c r="B971" s="505" t="str">
        <f>" 조경공 :  "&amp;TEXT(I971,"#,##0"&amp;IF(I971&lt;&gt;INT(I971),".###",""))&amp;" * "&amp;AA971&amp;" 인  / Q1 = "&amp;TEXT(C971,"#,##0.0")&amp;""</f>
        <v xml:space="preserve"> 조경공 :  235,204 * 3 인  / Q1 = 5,644.8</v>
      </c>
      <c r="C971" s="506">
        <f>E971+D971+F971</f>
        <v>5644.8</v>
      </c>
      <c r="D971" s="506">
        <f>IF(H971=0,0,ROUNDDOWN(J971*H971,1))</f>
        <v>5644.8</v>
      </c>
      <c r="E971" s="506">
        <f>IF(H971=0,0,ROUNDDOWN(K971*H971,1))</f>
        <v>0</v>
      </c>
      <c r="F971" s="506">
        <f>IF(H971=0,0,ROUNDDOWN(L971*H971,1))</f>
        <v>0</v>
      </c>
      <c r="G971" s="451" t="s">
        <v>3499</v>
      </c>
      <c r="H971" s="507">
        <f>ROUNDUP(AE971,14-LEN(ABS(INT(AE971))))</f>
        <v>2.4E-2</v>
      </c>
      <c r="I971" s="508">
        <f>K971+J971+L971</f>
        <v>235204</v>
      </c>
      <c r="J971" s="509">
        <f>노무비목록표!E15</f>
        <v>235204</v>
      </c>
      <c r="M971" s="501" t="s">
        <v>2359</v>
      </c>
      <c r="N971" s="501" t="s">
        <v>3416</v>
      </c>
      <c r="X971" s="510" t="str">
        <f>노무비목록표!B15&amp;" / "&amp;노무비목록표!C15</f>
        <v xml:space="preserve">조경공 / </v>
      </c>
      <c r="Y971" s="433" t="str">
        <f ca="1">HYPERLINK("#"&amp;노무비목록표!G2&amp;"!A"&amp;ROW(노무비목록표!A15),"L00184 →")</f>
        <v>L00184 →</v>
      </c>
      <c r="Z971" s="501" t="s">
        <v>3500</v>
      </c>
      <c r="AA971" s="515">
        <v>3</v>
      </c>
      <c r="AB971" s="501" t="s">
        <v>3428</v>
      </c>
      <c r="AC971" s="512">
        <f>AB962</f>
        <v>125</v>
      </c>
      <c r="AD971" s="501" t="s">
        <v>3418</v>
      </c>
      <c r="AE971" s="512">
        <f>1*AA971/AB962</f>
        <v>2.4E-2</v>
      </c>
      <c r="AF971" s="500"/>
      <c r="AG971" s="500"/>
      <c r="AH971" s="500"/>
      <c r="AI971" s="500"/>
      <c r="AJ971" s="500"/>
      <c r="AK971" s="500"/>
      <c r="AL971" s="500"/>
      <c r="AM971" s="500"/>
      <c r="AN971" s="500"/>
      <c r="AO971" s="500"/>
      <c r="AP971" s="500"/>
    </row>
    <row r="972" spans="1:42" ht="16.5" customHeight="1">
      <c r="A972" s="439"/>
      <c r="B972" s="439"/>
      <c r="C972" s="439"/>
      <c r="D972" s="439"/>
      <c r="E972" s="439"/>
      <c r="F972" s="439"/>
      <c r="G972" s="451" t="s">
        <v>3406</v>
      </c>
      <c r="Z972" s="500"/>
      <c r="AA972" s="500"/>
      <c r="AB972" s="500"/>
      <c r="AC972" s="500"/>
      <c r="AD972" s="500"/>
      <c r="AE972" s="500"/>
      <c r="AF972" s="500"/>
      <c r="AG972" s="500"/>
      <c r="AH972" s="500"/>
      <c r="AI972" s="500"/>
      <c r="AJ972" s="500"/>
      <c r="AK972" s="500"/>
      <c r="AL972" s="500"/>
      <c r="AM972" s="500"/>
      <c r="AN972" s="500"/>
      <c r="AO972" s="500"/>
      <c r="AP972" s="500"/>
    </row>
    <row r="973" spans="1:42" ht="16.5" customHeight="1">
      <c r="A973" s="439"/>
      <c r="B973" s="439"/>
      <c r="C973" s="439"/>
      <c r="D973" s="439"/>
      <c r="E973" s="439"/>
      <c r="F973" s="439"/>
      <c r="G973" s="451" t="s">
        <v>3406</v>
      </c>
      <c r="Z973" s="500"/>
      <c r="AA973" s="500"/>
      <c r="AB973" s="500"/>
      <c r="AC973" s="500"/>
      <c r="AD973" s="500"/>
      <c r="AE973" s="500"/>
      <c r="AF973" s="500"/>
      <c r="AG973" s="500"/>
      <c r="AH973" s="500"/>
      <c r="AI973" s="500"/>
      <c r="AJ973" s="500"/>
      <c r="AK973" s="500"/>
      <c r="AL973" s="500"/>
      <c r="AM973" s="500"/>
      <c r="AN973" s="500"/>
      <c r="AO973" s="500"/>
      <c r="AP973" s="500"/>
    </row>
    <row r="974" spans="1:42" ht="16.5" customHeight="1">
      <c r="A974" s="434" t="s">
        <v>3414</v>
      </c>
      <c r="B974" s="505" t="str">
        <f>" 보통인부 : "&amp;TEXT(I974,"#,##0"&amp;IF(I974&lt;&gt;INT(I974),".###",""))&amp;" * "&amp;AA974&amp;" 인  / Q1 = "&amp;TEXT(C974,"#,##0.0")&amp;""</f>
        <v xml:space="preserve"> 보통인부 : 172,068 * 1 인  / Q1 = 1,376.5</v>
      </c>
      <c r="C974" s="506">
        <f>E974+D974+F974</f>
        <v>1376.5</v>
      </c>
      <c r="D974" s="506">
        <f>IF(H974=0,0,ROUNDDOWN(J974*H974,1))</f>
        <v>1376.5</v>
      </c>
      <c r="E974" s="506">
        <f>IF(H974=0,0,ROUNDDOWN(K974*H974,1))</f>
        <v>0</v>
      </c>
      <c r="F974" s="506">
        <f>IF(H974=0,0,ROUNDDOWN(L974*H974,1))</f>
        <v>0</v>
      </c>
      <c r="G974" s="451" t="s">
        <v>3501</v>
      </c>
      <c r="H974" s="507">
        <f>ROUNDUP(AE974,14-LEN(ABS(INT(AE974))))</f>
        <v>8.0000000000000002E-3</v>
      </c>
      <c r="I974" s="508">
        <f>K974+J974+L974</f>
        <v>172068</v>
      </c>
      <c r="J974" s="509">
        <f>노무비목록표!E10</f>
        <v>172068</v>
      </c>
      <c r="M974" s="501" t="s">
        <v>2363</v>
      </c>
      <c r="N974" s="501" t="s">
        <v>3416</v>
      </c>
      <c r="X974" s="510" t="str">
        <f>노무비목록표!B10&amp;" / "&amp;노무비목록표!C10</f>
        <v xml:space="preserve">보통인부 / </v>
      </c>
      <c r="Y974" s="433" t="str">
        <f ca="1">HYPERLINK("#"&amp;노무비목록표!G2&amp;"!A"&amp;ROW(노무비목록표!A10),"L00017 →")</f>
        <v>L00017 →</v>
      </c>
      <c r="Z974" s="501" t="s">
        <v>3500</v>
      </c>
      <c r="AA974" s="515">
        <v>1</v>
      </c>
      <c r="AB974" s="501" t="s">
        <v>3428</v>
      </c>
      <c r="AC974" s="512">
        <f>AB962</f>
        <v>125</v>
      </c>
      <c r="AD974" s="501" t="s">
        <v>3418</v>
      </c>
      <c r="AE974" s="512">
        <f>1*AA974/AB962</f>
        <v>8.0000000000000002E-3</v>
      </c>
      <c r="AF974" s="500"/>
      <c r="AG974" s="500"/>
      <c r="AH974" s="500"/>
      <c r="AI974" s="500"/>
      <c r="AJ974" s="500"/>
      <c r="AK974" s="500"/>
      <c r="AL974" s="500"/>
      <c r="AM974" s="500"/>
      <c r="AN974" s="500"/>
      <c r="AO974" s="500"/>
      <c r="AP974" s="500"/>
    </row>
    <row r="975" spans="1:42" ht="16.5" customHeight="1">
      <c r="A975" s="439"/>
      <c r="B975" s="439"/>
      <c r="C975" s="439"/>
      <c r="D975" s="439"/>
      <c r="E975" s="439"/>
      <c r="F975" s="439"/>
      <c r="G975" s="451" t="s">
        <v>3406</v>
      </c>
      <c r="Z975" s="500"/>
      <c r="AA975" s="500"/>
      <c r="AB975" s="500"/>
      <c r="AC975" s="500"/>
      <c r="AD975" s="500"/>
      <c r="AE975" s="500"/>
      <c r="AF975" s="500"/>
      <c r="AG975" s="500"/>
      <c r="AH975" s="500"/>
      <c r="AI975" s="500"/>
      <c r="AJ975" s="500"/>
      <c r="AK975" s="500"/>
      <c r="AL975" s="500"/>
      <c r="AM975" s="500"/>
      <c r="AN975" s="500"/>
      <c r="AO975" s="500"/>
      <c r="AP975" s="500"/>
    </row>
    <row r="976" spans="1:42" ht="16.5" customHeight="1">
      <c r="A976" s="434"/>
      <c r="B976" s="437" t="s">
        <v>3419</v>
      </c>
      <c r="C976" s="513">
        <f>E976+D976+F976</f>
        <v>7021.3</v>
      </c>
      <c r="D976" s="513">
        <f>SUMIF(N957:N975,M976,D957:D975)</f>
        <v>7021.3</v>
      </c>
      <c r="E976" s="513">
        <f>SUMIF(N957:N975,M976,E957:E975)</f>
        <v>0</v>
      </c>
      <c r="F976" s="513">
        <f>SUMIF(N957:N975,M976,F957:F975)</f>
        <v>0</v>
      </c>
      <c r="G976" s="451" t="s">
        <v>3439</v>
      </c>
      <c r="M976" s="501" t="s">
        <v>3416</v>
      </c>
      <c r="N976" s="501" t="s">
        <v>3421</v>
      </c>
      <c r="Z976" s="500"/>
      <c r="AA976" s="500"/>
      <c r="AB976" s="500"/>
      <c r="AC976" s="500"/>
      <c r="AD976" s="500"/>
      <c r="AE976" s="500"/>
      <c r="AF976" s="500"/>
      <c r="AG976" s="500"/>
      <c r="AH976" s="500"/>
      <c r="AI976" s="500"/>
      <c r="AJ976" s="500"/>
      <c r="AK976" s="500"/>
      <c r="AL976" s="500"/>
      <c r="AM976" s="500"/>
      <c r="AN976" s="500"/>
      <c r="AO976" s="500"/>
      <c r="AP976" s="500"/>
    </row>
    <row r="977" spans="1:42" ht="16.5" customHeight="1">
      <c r="A977" s="439"/>
      <c r="B977" s="439"/>
      <c r="C977" s="504"/>
      <c r="D977" s="504"/>
      <c r="E977" s="504"/>
      <c r="F977" s="504"/>
      <c r="G977" s="451" t="s">
        <v>3406</v>
      </c>
      <c r="Z977" s="500"/>
      <c r="AA977" s="500"/>
      <c r="AB977" s="500"/>
      <c r="AC977" s="500"/>
      <c r="AD977" s="500"/>
      <c r="AE977" s="500"/>
      <c r="AF977" s="500"/>
      <c r="AG977" s="500"/>
      <c r="AH977" s="500"/>
      <c r="AI977" s="500"/>
      <c r="AJ977" s="500"/>
      <c r="AK977" s="500"/>
      <c r="AL977" s="500"/>
      <c r="AM977" s="500"/>
      <c r="AN977" s="500"/>
      <c r="AO977" s="500"/>
      <c r="AP977" s="500"/>
    </row>
    <row r="978" spans="1:42" ht="16.5" customHeight="1">
      <c r="A978" s="439"/>
      <c r="B978" s="439"/>
      <c r="C978" s="439"/>
      <c r="D978" s="439"/>
      <c r="E978" s="439"/>
      <c r="F978" s="439"/>
      <c r="G978" s="451" t="s">
        <v>3406</v>
      </c>
      <c r="Z978" s="500"/>
      <c r="AA978" s="500"/>
      <c r="AB978" s="500"/>
      <c r="AC978" s="500"/>
      <c r="AD978" s="500"/>
      <c r="AE978" s="500"/>
      <c r="AF978" s="500"/>
      <c r="AG978" s="500"/>
      <c r="AH978" s="500"/>
      <c r="AI978" s="500"/>
      <c r="AJ978" s="500"/>
      <c r="AK978" s="500"/>
      <c r="AL978" s="500"/>
      <c r="AM978" s="500"/>
      <c r="AN978" s="500"/>
      <c r="AO978" s="500"/>
      <c r="AP978" s="500"/>
    </row>
    <row r="979" spans="1:42" ht="16.5" customHeight="1">
      <c r="A979" s="434"/>
      <c r="B979" s="437" t="s">
        <v>3502</v>
      </c>
      <c r="C979" s="439"/>
      <c r="D979" s="439"/>
      <c r="E979" s="439"/>
      <c r="F979" s="439"/>
      <c r="G979" s="451" t="s">
        <v>3503</v>
      </c>
      <c r="Z979" s="500"/>
      <c r="AA979" s="500"/>
      <c r="AB979" s="500"/>
      <c r="AC979" s="500"/>
      <c r="AD979" s="500"/>
      <c r="AE979" s="500"/>
      <c r="AF979" s="500"/>
      <c r="AG979" s="500"/>
      <c r="AH979" s="500"/>
      <c r="AI979" s="500"/>
      <c r="AJ979" s="500"/>
      <c r="AK979" s="500"/>
      <c r="AL979" s="500"/>
      <c r="AM979" s="500"/>
      <c r="AN979" s="500"/>
      <c r="AO979" s="500"/>
      <c r="AP979" s="500"/>
    </row>
    <row r="980" spans="1:42" ht="16.5" customHeight="1">
      <c r="A980" s="439"/>
      <c r="B980" s="439"/>
      <c r="C980" s="439"/>
      <c r="D980" s="439"/>
      <c r="E980" s="439"/>
      <c r="F980" s="439"/>
      <c r="G980" s="451" t="s">
        <v>3406</v>
      </c>
      <c r="Z980" s="500"/>
      <c r="AA980" s="500"/>
      <c r="AB980" s="500"/>
      <c r="AC980" s="500"/>
      <c r="AD980" s="500"/>
      <c r="AE980" s="500"/>
      <c r="AF980" s="500"/>
      <c r="AG980" s="500"/>
      <c r="AH980" s="500"/>
      <c r="AI980" s="500"/>
      <c r="AJ980" s="500"/>
      <c r="AK980" s="500"/>
      <c r="AL980" s="500"/>
      <c r="AM980" s="500"/>
      <c r="AN980" s="500"/>
      <c r="AO980" s="500"/>
      <c r="AP980" s="500"/>
    </row>
    <row r="981" spans="1:42" ht="16.5" customHeight="1">
      <c r="A981" s="434" t="s">
        <v>3504</v>
      </c>
      <c r="B981" s="505" t="str">
        <f>"  유기질비료 수목이식·식재용 : "&amp;TEXT(I981,"#,##0"&amp;IF(I981&lt;&gt;INT(I981),".###",""))&amp;" * "&amp;AA981&amp;" KG  / Q1 = "&amp;TEXT(C981,"#,##0.0")&amp;""</f>
        <v xml:space="preserve">  유기질비료 수목이식·식재용 : 500 * 150 KG  / Q1 = 600.0</v>
      </c>
      <c r="C981" s="506">
        <f>E981+D981+F981</f>
        <v>600</v>
      </c>
      <c r="D981" s="506">
        <f>IF(H981=0,0,ROUNDDOWN(J981*H981,1))</f>
        <v>0</v>
      </c>
      <c r="E981" s="506">
        <f>IF(H981=0,0,ROUNDDOWN(K981*H981,1))</f>
        <v>600</v>
      </c>
      <c r="F981" s="506">
        <f>IF(H981=0,0,ROUNDDOWN(L981*H981,1))</f>
        <v>0</v>
      </c>
      <c r="G981" s="451" t="s">
        <v>3505</v>
      </c>
      <c r="H981" s="507">
        <f>ROUNDUP(AE981,14-LEN(ABS(INT(AE981))))</f>
        <v>1.2</v>
      </c>
      <c r="I981" s="508">
        <f>K981+J981+L981</f>
        <v>500</v>
      </c>
      <c r="K981" s="509">
        <f>재료비목록표!E78</f>
        <v>500</v>
      </c>
      <c r="M981" s="501" t="s">
        <v>3506</v>
      </c>
      <c r="N981" s="501" t="s">
        <v>3416</v>
      </c>
      <c r="X981" s="510" t="str">
        <f>재료비목록표!B78&amp;" / "&amp;재료비목록표!C78</f>
        <v>유기질비료 / 수목이식·식재용</v>
      </c>
      <c r="Y981" s="433" t="str">
        <f ca="1">HYPERLINK("#"&amp;재료비목록표!G2&amp;"!A"&amp;ROW(재료비목록표!A78),"M01159 →")</f>
        <v>M01159 →</v>
      </c>
      <c r="Z981" s="501" t="s">
        <v>3500</v>
      </c>
      <c r="AA981" s="515">
        <v>150</v>
      </c>
      <c r="AB981" s="501" t="s">
        <v>3428</v>
      </c>
      <c r="AC981" s="512">
        <f>AB962</f>
        <v>125</v>
      </c>
      <c r="AD981" s="501" t="s">
        <v>3418</v>
      </c>
      <c r="AE981" s="512">
        <f>1*AA981/AB962</f>
        <v>1.2</v>
      </c>
      <c r="AF981" s="500"/>
      <c r="AG981" s="500"/>
      <c r="AH981" s="500"/>
      <c r="AI981" s="500"/>
      <c r="AJ981" s="500"/>
      <c r="AK981" s="500"/>
      <c r="AL981" s="500"/>
      <c r="AM981" s="500"/>
      <c r="AN981" s="500"/>
      <c r="AO981" s="500"/>
      <c r="AP981" s="500"/>
    </row>
    <row r="982" spans="1:42" ht="16.5" customHeight="1">
      <c r="A982" s="439"/>
      <c r="B982" s="439"/>
      <c r="C982" s="439"/>
      <c r="D982" s="439"/>
      <c r="E982" s="439"/>
      <c r="F982" s="439"/>
      <c r="G982" s="451" t="s">
        <v>3406</v>
      </c>
      <c r="Z982" s="500"/>
      <c r="AA982" s="500"/>
      <c r="AB982" s="500"/>
      <c r="AC982" s="500"/>
      <c r="AD982" s="500"/>
      <c r="AE982" s="500"/>
      <c r="AF982" s="500"/>
      <c r="AG982" s="500"/>
      <c r="AH982" s="500"/>
      <c r="AI982" s="500"/>
      <c r="AJ982" s="500"/>
      <c r="AK982" s="500"/>
      <c r="AL982" s="500"/>
      <c r="AM982" s="500"/>
      <c r="AN982" s="500"/>
      <c r="AO982" s="500"/>
      <c r="AP982" s="500"/>
    </row>
    <row r="983" spans="1:42" ht="16.5" customHeight="1">
      <c r="A983" s="434"/>
      <c r="B983" s="437" t="s">
        <v>3419</v>
      </c>
      <c r="C983" s="513">
        <f>E983+D983+F983</f>
        <v>600</v>
      </c>
      <c r="D983" s="513">
        <f>SUMIF(N977:N982,M983,D977:D982)</f>
        <v>0</v>
      </c>
      <c r="E983" s="513">
        <f>SUMIF(N977:N982,M983,E977:E982)</f>
        <v>600</v>
      </c>
      <c r="F983" s="513">
        <f>SUMIF(N977:N982,M983,F977:F982)</f>
        <v>0</v>
      </c>
      <c r="G983" s="451" t="s">
        <v>3439</v>
      </c>
      <c r="M983" s="501" t="s">
        <v>3416</v>
      </c>
      <c r="N983" s="501" t="s">
        <v>3421</v>
      </c>
      <c r="Z983" s="500"/>
      <c r="AA983" s="500"/>
      <c r="AB983" s="500"/>
      <c r="AC983" s="500"/>
      <c r="AD983" s="500"/>
      <c r="AE983" s="500"/>
      <c r="AF983" s="500"/>
      <c r="AG983" s="500"/>
      <c r="AH983" s="500"/>
      <c r="AI983" s="500"/>
      <c r="AJ983" s="500"/>
      <c r="AK983" s="500"/>
      <c r="AL983" s="500"/>
      <c r="AM983" s="500"/>
      <c r="AN983" s="500"/>
      <c r="AO983" s="500"/>
      <c r="AP983" s="500"/>
    </row>
    <row r="984" spans="1:42" ht="16.5" customHeight="1">
      <c r="A984" s="439"/>
      <c r="B984" s="439"/>
      <c r="C984" s="504"/>
      <c r="D984" s="504"/>
      <c r="E984" s="504"/>
      <c r="F984" s="504"/>
      <c r="G984" s="451" t="s">
        <v>3406</v>
      </c>
      <c r="Z984" s="500"/>
      <c r="AA984" s="500"/>
      <c r="AB984" s="500"/>
      <c r="AC984" s="500"/>
      <c r="AD984" s="500"/>
      <c r="AE984" s="500"/>
      <c r="AF984" s="500"/>
      <c r="AG984" s="500"/>
      <c r="AH984" s="500"/>
      <c r="AI984" s="500"/>
      <c r="AJ984" s="500"/>
      <c r="AK984" s="500"/>
      <c r="AL984" s="500"/>
      <c r="AM984" s="500"/>
      <c r="AN984" s="500"/>
      <c r="AO984" s="500"/>
      <c r="AP984" s="500"/>
    </row>
    <row r="985" spans="1:42" ht="16.5" customHeight="1">
      <c r="A985" s="434"/>
      <c r="B985" s="505" t="str">
        <f>"  산지할증 : "&amp;TEXT(I985,"#,##0.0")&amp;" * "&amp;AA985&amp;" %  = "&amp;TEXT(C985,"#,##0.0")&amp;""</f>
        <v xml:space="preserve">  산지할증 : 7,021.3 * 15 %  = 1,053.1</v>
      </c>
      <c r="C985" s="506">
        <f>E985+D985+F985</f>
        <v>1053.0999999999999</v>
      </c>
      <c r="D985" s="506">
        <f>IF(H985=0,0,ROUNDDOWN(J985*H985/100,1))</f>
        <v>1053.0999999999999</v>
      </c>
      <c r="E985" s="506">
        <f>IF(H985=0,0,ROUNDDOWN(K985*H985/100,1))</f>
        <v>0</v>
      </c>
      <c r="F985" s="506">
        <f>IF(H985=0,0,ROUNDDOWN(L985*H985/100,1))</f>
        <v>0</v>
      </c>
      <c r="G985" s="451" t="s">
        <v>5587</v>
      </c>
      <c r="H985" s="507">
        <f>ROUNDUP(AC985,14-LEN(ABS(INT(AC985))))</f>
        <v>15</v>
      </c>
      <c r="I985" s="508">
        <f>K985+J985+L985</f>
        <v>7021.3</v>
      </c>
      <c r="J985" s="508">
        <f>D976+D983+SUMIF(N984:N984,N985,D984:D984)</f>
        <v>7021.3</v>
      </c>
      <c r="K985" s="456">
        <v>0</v>
      </c>
      <c r="L985" s="456">
        <v>0</v>
      </c>
      <c r="M985" s="501" t="s">
        <v>4208</v>
      </c>
      <c r="N985" s="501" t="s">
        <v>3416</v>
      </c>
      <c r="Z985" s="501" t="s">
        <v>3500</v>
      </c>
      <c r="AA985" s="515">
        <v>15</v>
      </c>
      <c r="AB985" s="501" t="s">
        <v>3418</v>
      </c>
      <c r="AC985" s="512">
        <f>1*AA985</f>
        <v>15</v>
      </c>
      <c r="AD985" s="500"/>
      <c r="AE985" s="500"/>
      <c r="AF985" s="500"/>
      <c r="AG985" s="500"/>
      <c r="AH985" s="500"/>
      <c r="AI985" s="500"/>
      <c r="AJ985" s="500"/>
      <c r="AK985" s="500"/>
      <c r="AL985" s="500"/>
      <c r="AM985" s="500"/>
      <c r="AN985" s="500"/>
      <c r="AO985" s="500"/>
      <c r="AP985" s="500"/>
    </row>
    <row r="986" spans="1:42" ht="16.5" customHeight="1">
      <c r="A986" s="439"/>
      <c r="B986" s="439"/>
      <c r="C986" s="439"/>
      <c r="D986" s="439"/>
      <c r="E986" s="439"/>
      <c r="F986" s="439"/>
      <c r="G986" s="451" t="s">
        <v>3406</v>
      </c>
      <c r="Z986" s="500"/>
      <c r="AA986" s="500"/>
      <c r="AB986" s="500"/>
      <c r="AC986" s="500"/>
      <c r="AD986" s="500"/>
      <c r="AE986" s="500"/>
      <c r="AF986" s="500"/>
      <c r="AG986" s="500"/>
      <c r="AH986" s="500"/>
      <c r="AI986" s="500"/>
      <c r="AJ986" s="500"/>
      <c r="AK986" s="500"/>
      <c r="AL986" s="500"/>
      <c r="AM986" s="500"/>
      <c r="AN986" s="500"/>
      <c r="AO986" s="500"/>
      <c r="AP986" s="500"/>
    </row>
    <row r="987" spans="1:42" ht="16.5" customHeight="1">
      <c r="A987" s="434"/>
      <c r="B987" s="437" t="s">
        <v>3419</v>
      </c>
      <c r="C987" s="513">
        <f>E987+D987+F987</f>
        <v>1053.0999999999999</v>
      </c>
      <c r="D987" s="513">
        <f>SUMIF(N984:N986,M987,D984:D986)</f>
        <v>1053.0999999999999</v>
      </c>
      <c r="E987" s="513">
        <f>SUMIF(N984:N986,M987,E984:E986)</f>
        <v>0</v>
      </c>
      <c r="F987" s="513">
        <f>SUMIF(N984:N986,M987,F984:F986)</f>
        <v>0</v>
      </c>
      <c r="G987" s="451" t="s">
        <v>3439</v>
      </c>
      <c r="M987" s="501" t="s">
        <v>3416</v>
      </c>
      <c r="N987" s="501" t="s">
        <v>3421</v>
      </c>
      <c r="Z987" s="500"/>
      <c r="AA987" s="500"/>
      <c r="AB987" s="500"/>
      <c r="AC987" s="500"/>
      <c r="AD987" s="500"/>
      <c r="AE987" s="500"/>
      <c r="AF987" s="500"/>
      <c r="AG987" s="500"/>
      <c r="AH987" s="500"/>
      <c r="AI987" s="500"/>
      <c r="AJ987" s="500"/>
      <c r="AK987" s="500"/>
      <c r="AL987" s="500"/>
      <c r="AM987" s="500"/>
      <c r="AN987" s="500"/>
      <c r="AO987" s="500"/>
      <c r="AP987" s="500"/>
    </row>
    <row r="988" spans="1:42" ht="16.5" customHeight="1">
      <c r="A988" s="439"/>
      <c r="B988" s="439"/>
      <c r="C988" s="504"/>
      <c r="D988" s="504"/>
      <c r="E988" s="504"/>
      <c r="F988" s="504"/>
      <c r="G988" s="451" t="s">
        <v>3406</v>
      </c>
      <c r="Z988" s="500"/>
      <c r="AA988" s="500"/>
      <c r="AB988" s="500"/>
      <c r="AC988" s="500"/>
      <c r="AD988" s="500"/>
      <c r="AE988" s="500"/>
      <c r="AF988" s="500"/>
      <c r="AG988" s="500"/>
      <c r="AH988" s="500"/>
      <c r="AI988" s="500"/>
      <c r="AJ988" s="500"/>
      <c r="AK988" s="500"/>
      <c r="AL988" s="500"/>
      <c r="AM988" s="500"/>
      <c r="AN988" s="500"/>
      <c r="AO988" s="500"/>
      <c r="AP988" s="500"/>
    </row>
    <row r="989" spans="1:42" ht="16.5" customHeight="1">
      <c r="A989" s="434"/>
      <c r="B989" s="437" t="s">
        <v>3440</v>
      </c>
      <c r="C989" s="513">
        <f>E989+D989+F989</f>
        <v>8674.4</v>
      </c>
      <c r="D989" s="513">
        <f>SUMIF(N957:N988,M989,D957:D988)</f>
        <v>8074.4</v>
      </c>
      <c r="E989" s="513">
        <f>SUMIF(N957:N988,M989,E957:E988)</f>
        <v>600</v>
      </c>
      <c r="F989" s="513">
        <f>SUMIF(N957:N988,M989,F957:F988)</f>
        <v>0</v>
      </c>
      <c r="G989" s="451" t="s">
        <v>3441</v>
      </c>
      <c r="M989" s="501" t="s">
        <v>3421</v>
      </c>
      <c r="N989" s="501" t="s">
        <v>2354</v>
      </c>
      <c r="Z989" s="500"/>
      <c r="AA989" s="500"/>
      <c r="AB989" s="500"/>
      <c r="AC989" s="500"/>
      <c r="AD989" s="500"/>
      <c r="AE989" s="500"/>
      <c r="AF989" s="500"/>
      <c r="AG989" s="500"/>
      <c r="AH989" s="500"/>
      <c r="AI989" s="500"/>
      <c r="AJ989" s="500"/>
      <c r="AK989" s="500"/>
      <c r="AL989" s="500"/>
      <c r="AM989" s="500"/>
      <c r="AN989" s="500"/>
      <c r="AO989" s="500"/>
      <c r="AP989" s="500"/>
    </row>
    <row r="990" spans="1:42" ht="16.5" customHeight="1">
      <c r="A990" s="439"/>
      <c r="B990" s="439"/>
      <c r="C990" s="504"/>
      <c r="D990" s="504"/>
      <c r="E990" s="504"/>
      <c r="F990" s="504"/>
      <c r="G990" s="451" t="s">
        <v>3413</v>
      </c>
      <c r="Z990" s="500"/>
      <c r="AA990" s="500"/>
      <c r="AB990" s="500"/>
      <c r="AC990" s="500"/>
      <c r="AD990" s="500"/>
      <c r="AE990" s="500"/>
      <c r="AF990" s="500"/>
      <c r="AG990" s="500"/>
      <c r="AH990" s="500"/>
      <c r="AI990" s="500"/>
      <c r="AJ990" s="500"/>
      <c r="AK990" s="500"/>
      <c r="AL990" s="500"/>
      <c r="AM990" s="500"/>
      <c r="AN990" s="500"/>
      <c r="AO990" s="500"/>
      <c r="AP990" s="500"/>
    </row>
    <row r="991" spans="1:42" ht="16.5" customHeight="1">
      <c r="A991" s="439"/>
      <c r="B991" s="439"/>
      <c r="C991" s="439"/>
      <c r="D991" s="439"/>
      <c r="E991" s="439"/>
      <c r="F991" s="439"/>
      <c r="Z991" s="500"/>
      <c r="AA991" s="500"/>
      <c r="AB991" s="500"/>
      <c r="AC991" s="500"/>
      <c r="AD991" s="500"/>
      <c r="AE991" s="500"/>
      <c r="AF991" s="500"/>
      <c r="AG991" s="500"/>
      <c r="AH991" s="500"/>
      <c r="AI991" s="500"/>
      <c r="AJ991" s="500"/>
      <c r="AK991" s="500"/>
      <c r="AL991" s="500"/>
      <c r="AM991" s="500"/>
      <c r="AN991" s="500"/>
      <c r="AO991" s="500"/>
      <c r="AP991" s="500"/>
    </row>
    <row r="992" spans="1:42" ht="16.5" customHeight="1">
      <c r="A992" s="439"/>
      <c r="B992" s="439"/>
      <c r="C992" s="439"/>
      <c r="D992" s="439"/>
      <c r="E992" s="439"/>
      <c r="F992" s="439"/>
      <c r="Z992" s="500"/>
      <c r="AA992" s="500"/>
      <c r="AB992" s="500"/>
      <c r="AC992" s="500"/>
      <c r="AD992" s="500"/>
      <c r="AE992" s="500"/>
      <c r="AF992" s="500"/>
      <c r="AG992" s="500"/>
      <c r="AH992" s="500"/>
      <c r="AI992" s="500"/>
      <c r="AJ992" s="500"/>
      <c r="AK992" s="500"/>
      <c r="AL992" s="500"/>
      <c r="AM992" s="500"/>
      <c r="AN992" s="500"/>
      <c r="AO992" s="500"/>
      <c r="AP992" s="500"/>
    </row>
    <row r="993" spans="1:42" ht="16.5" customHeight="1">
      <c r="A993" s="439"/>
      <c r="B993" s="439"/>
      <c r="C993" s="439"/>
      <c r="D993" s="439"/>
      <c r="E993" s="439"/>
      <c r="F993" s="439"/>
      <c r="Z993" s="500"/>
      <c r="AA993" s="500"/>
      <c r="AB993" s="500"/>
      <c r="AC993" s="500"/>
      <c r="AD993" s="500"/>
      <c r="AE993" s="500"/>
      <c r="AF993" s="500"/>
      <c r="AG993" s="500"/>
      <c r="AH993" s="500"/>
      <c r="AI993" s="500"/>
      <c r="AJ993" s="500"/>
      <c r="AK993" s="500"/>
      <c r="AL993" s="500"/>
      <c r="AM993" s="500"/>
      <c r="AN993" s="500"/>
      <c r="AO993" s="500"/>
      <c r="AP993" s="500"/>
    </row>
    <row r="994" spans="1:42" ht="16.5" customHeight="1">
      <c r="A994" s="439"/>
      <c r="B994" s="439"/>
      <c r="C994" s="439"/>
      <c r="D994" s="439"/>
      <c r="E994" s="439"/>
      <c r="F994" s="439"/>
      <c r="Z994" s="500"/>
      <c r="AA994" s="500"/>
      <c r="AB994" s="500"/>
      <c r="AC994" s="500"/>
      <c r="AD994" s="500"/>
      <c r="AE994" s="500"/>
      <c r="AF994" s="500"/>
      <c r="AG994" s="500"/>
      <c r="AH994" s="500"/>
      <c r="AI994" s="500"/>
      <c r="AJ994" s="500"/>
      <c r="AK994" s="500"/>
      <c r="AL994" s="500"/>
      <c r="AM994" s="500"/>
      <c r="AN994" s="500"/>
      <c r="AO994" s="500"/>
      <c r="AP994" s="500"/>
    </row>
    <row r="995" spans="1:42" ht="16.5" customHeight="1">
      <c r="A995" s="439"/>
      <c r="B995" s="439"/>
      <c r="C995" s="439"/>
      <c r="D995" s="439"/>
      <c r="E995" s="439"/>
      <c r="F995" s="439"/>
      <c r="Z995" s="500"/>
      <c r="AA995" s="500"/>
      <c r="AB995" s="500"/>
      <c r="AC995" s="500"/>
      <c r="AD995" s="500"/>
      <c r="AE995" s="500"/>
      <c r="AF995" s="500"/>
      <c r="AG995" s="500"/>
      <c r="AH995" s="500"/>
      <c r="AI995" s="500"/>
      <c r="AJ995" s="500"/>
      <c r="AK995" s="500"/>
      <c r="AL995" s="500"/>
      <c r="AM995" s="500"/>
      <c r="AN995" s="500"/>
      <c r="AO995" s="500"/>
      <c r="AP995" s="500"/>
    </row>
    <row r="996" spans="1:42" ht="16.5" customHeight="1">
      <c r="A996" s="439"/>
      <c r="B996" s="439"/>
      <c r="C996" s="439"/>
      <c r="D996" s="439"/>
      <c r="E996" s="439"/>
      <c r="F996" s="439"/>
      <c r="Z996" s="500"/>
      <c r="AA996" s="500"/>
      <c r="AB996" s="500"/>
      <c r="AC996" s="500"/>
      <c r="AD996" s="500"/>
      <c r="AE996" s="500"/>
      <c r="AF996" s="500"/>
      <c r="AG996" s="500"/>
      <c r="AH996" s="500"/>
      <c r="AI996" s="500"/>
      <c r="AJ996" s="500"/>
      <c r="AK996" s="500"/>
      <c r="AL996" s="500"/>
      <c r="AM996" s="500"/>
      <c r="AN996" s="500"/>
      <c r="AO996" s="500"/>
      <c r="AP996" s="500"/>
    </row>
    <row r="997" spans="1:42" ht="16.5" customHeight="1">
      <c r="A997" s="439"/>
      <c r="B997" s="439"/>
      <c r="C997" s="439"/>
      <c r="D997" s="439"/>
      <c r="E997" s="439"/>
      <c r="F997" s="439"/>
      <c r="Z997" s="500"/>
      <c r="AA997" s="500"/>
      <c r="AB997" s="500"/>
      <c r="AC997" s="500"/>
      <c r="AD997" s="500"/>
      <c r="AE997" s="500"/>
      <c r="AF997" s="500"/>
      <c r="AG997" s="500"/>
      <c r="AH997" s="500"/>
      <c r="AI997" s="500"/>
      <c r="AJ997" s="500"/>
      <c r="AK997" s="500"/>
      <c r="AL997" s="500"/>
      <c r="AM997" s="500"/>
      <c r="AN997" s="500"/>
      <c r="AO997" s="500"/>
      <c r="AP997" s="500"/>
    </row>
    <row r="998" spans="1:42" ht="16.5" customHeight="1">
      <c r="A998" s="439"/>
      <c r="B998" s="439"/>
      <c r="C998" s="439"/>
      <c r="D998" s="439"/>
      <c r="E998" s="439"/>
      <c r="F998" s="439"/>
      <c r="Z998" s="500"/>
      <c r="AA998" s="500"/>
      <c r="AB998" s="500"/>
      <c r="AC998" s="500"/>
      <c r="AD998" s="500"/>
      <c r="AE998" s="500"/>
      <c r="AF998" s="500"/>
      <c r="AG998" s="500"/>
      <c r="AH998" s="500"/>
      <c r="AI998" s="500"/>
      <c r="AJ998" s="500"/>
      <c r="AK998" s="500"/>
      <c r="AL998" s="500"/>
      <c r="AM998" s="500"/>
      <c r="AN998" s="500"/>
      <c r="AO998" s="500"/>
      <c r="AP998" s="500"/>
    </row>
    <row r="999" spans="1:42" ht="16.5" customHeight="1">
      <c r="A999" s="439"/>
      <c r="B999" s="439"/>
      <c r="C999" s="439"/>
      <c r="D999" s="439"/>
      <c r="E999" s="439"/>
      <c r="F999" s="439"/>
      <c r="Z999" s="500"/>
      <c r="AA999" s="500"/>
      <c r="AB999" s="500"/>
      <c r="AC999" s="500"/>
      <c r="AD999" s="500"/>
      <c r="AE999" s="500"/>
      <c r="AF999" s="500"/>
      <c r="AG999" s="500"/>
      <c r="AH999" s="500"/>
      <c r="AI999" s="500"/>
      <c r="AJ999" s="500"/>
      <c r="AK999" s="500"/>
      <c r="AL999" s="500"/>
      <c r="AM999" s="500"/>
      <c r="AN999" s="500"/>
      <c r="AO999" s="500"/>
      <c r="AP999" s="500"/>
    </row>
    <row r="1000" spans="1:42" ht="16.5" customHeight="1">
      <c r="A1000" s="439"/>
      <c r="B1000" s="439"/>
      <c r="C1000" s="439"/>
      <c r="D1000" s="439"/>
      <c r="E1000" s="439"/>
      <c r="F1000" s="439"/>
      <c r="Z1000" s="500"/>
      <c r="AA1000" s="500"/>
      <c r="AB1000" s="500"/>
      <c r="AC1000" s="500"/>
      <c r="AD1000" s="500"/>
      <c r="AE1000" s="500"/>
      <c r="AF1000" s="500"/>
      <c r="AG1000" s="500"/>
      <c r="AH1000" s="500"/>
      <c r="AI1000" s="500"/>
      <c r="AJ1000" s="500"/>
      <c r="AK1000" s="500"/>
      <c r="AL1000" s="500"/>
      <c r="AM1000" s="500"/>
      <c r="AN1000" s="500"/>
      <c r="AO1000" s="500"/>
      <c r="AP1000" s="500"/>
    </row>
    <row r="1001" spans="1:42" ht="16.5" customHeight="1">
      <c r="A1001" s="439"/>
      <c r="B1001" s="439"/>
      <c r="C1001" s="439"/>
      <c r="D1001" s="439"/>
      <c r="E1001" s="439"/>
      <c r="F1001" s="439"/>
      <c r="Z1001" s="500"/>
      <c r="AA1001" s="500"/>
      <c r="AB1001" s="500"/>
      <c r="AC1001" s="500"/>
      <c r="AD1001" s="500"/>
      <c r="AE1001" s="500"/>
      <c r="AF1001" s="500"/>
      <c r="AG1001" s="500"/>
      <c r="AH1001" s="500"/>
      <c r="AI1001" s="500"/>
      <c r="AJ1001" s="500"/>
      <c r="AK1001" s="500"/>
      <c r="AL1001" s="500"/>
      <c r="AM1001" s="500"/>
      <c r="AN1001" s="500"/>
      <c r="AO1001" s="500"/>
      <c r="AP1001" s="500"/>
    </row>
    <row r="1002" spans="1:42" ht="16.5" customHeight="1">
      <c r="A1002" s="439"/>
      <c r="B1002" s="439"/>
      <c r="C1002" s="439"/>
      <c r="D1002" s="439"/>
      <c r="E1002" s="439"/>
      <c r="F1002" s="439"/>
      <c r="Z1002" s="500"/>
      <c r="AA1002" s="500"/>
      <c r="AB1002" s="500"/>
      <c r="AC1002" s="500"/>
      <c r="AD1002" s="500"/>
      <c r="AE1002" s="500"/>
      <c r="AF1002" s="500"/>
      <c r="AG1002" s="500"/>
      <c r="AH1002" s="500"/>
      <c r="AI1002" s="500"/>
      <c r="AJ1002" s="500"/>
      <c r="AK1002" s="500"/>
      <c r="AL1002" s="500"/>
      <c r="AM1002" s="500"/>
      <c r="AN1002" s="500"/>
      <c r="AO1002" s="500"/>
      <c r="AP1002" s="500"/>
    </row>
    <row r="1003" spans="1:42" ht="16.5" customHeight="1">
      <c r="A1003" s="497"/>
      <c r="B1003" s="497"/>
      <c r="C1003" s="497"/>
      <c r="D1003" s="497"/>
      <c r="E1003" s="497"/>
      <c r="F1003" s="497"/>
      <c r="Z1003" s="500"/>
      <c r="AA1003" s="500"/>
      <c r="AB1003" s="500"/>
      <c r="AC1003" s="500"/>
      <c r="AD1003" s="500"/>
      <c r="AE1003" s="500"/>
      <c r="AF1003" s="500"/>
      <c r="AG1003" s="500"/>
      <c r="AH1003" s="500"/>
      <c r="AI1003" s="500"/>
      <c r="AJ1003" s="500"/>
      <c r="AK1003" s="500"/>
      <c r="AL1003" s="500"/>
      <c r="AM1003" s="500"/>
      <c r="AN1003" s="500"/>
      <c r="AO1003" s="500"/>
      <c r="AP1003" s="500"/>
    </row>
    <row r="1004" spans="1:42" ht="16.5" customHeight="1">
      <c r="A1004" s="616" t="s">
        <v>3487</v>
      </c>
      <c r="B1004" s="605"/>
      <c r="C1004" s="446">
        <f>E1004+D1004+F1004</f>
        <v>8674</v>
      </c>
      <c r="D1004" s="453">
        <f>ROUNDDOWN(SUMIF(N957:N990,M1004,D957:D990),0)</f>
        <v>8074</v>
      </c>
      <c r="E1004" s="454">
        <f>ROUNDDOWN(SUMIF(N957:N990,M1004,E957:E990),0)</f>
        <v>600</v>
      </c>
      <c r="F1004" s="446">
        <f>ROUNDDOWN(SUMIF(N957:N990,M1004,F957:F990),0)</f>
        <v>0</v>
      </c>
      <c r="M1004" s="501" t="s">
        <v>2354</v>
      </c>
      <c r="Z1004" s="500"/>
      <c r="AA1004" s="500"/>
      <c r="AB1004" s="500"/>
      <c r="AC1004" s="500"/>
      <c r="AD1004" s="500"/>
      <c r="AE1004" s="500"/>
      <c r="AF1004" s="500"/>
      <c r="AG1004" s="500"/>
      <c r="AH1004" s="500"/>
      <c r="AI1004" s="500"/>
      <c r="AJ1004" s="500"/>
      <c r="AK1004" s="500"/>
      <c r="AL1004" s="500"/>
      <c r="AM1004" s="500"/>
      <c r="AN1004" s="500"/>
      <c r="AO1004" s="500"/>
      <c r="AP1004" s="500"/>
    </row>
    <row r="1005" spans="1:42" ht="16.5" customHeight="1">
      <c r="A1005" s="502"/>
      <c r="B1005" s="503" t="s">
        <v>5354</v>
      </c>
      <c r="C1005" s="615">
        <f>C1054</f>
        <v>6995</v>
      </c>
      <c r="D1005" s="615">
        <f>D1054</f>
        <v>6308</v>
      </c>
      <c r="E1005" s="615">
        <f>E1054</f>
        <v>687</v>
      </c>
      <c r="F1005" s="615">
        <f>F1054</f>
        <v>0</v>
      </c>
      <c r="G1005" s="486" t="str">
        <f>HYPERLINK("#G"&amp;ROW(G1042),"_x0005_`BDCOD|D01351_x0007_`POSS|"&amp;ROW(G1007)&amp;"_x0007_`POSE|"&amp;ROW(G1042)&amp;"_x0007_`")</f>
        <v>_x0005_`BDCOD|D01351_x0007_`POSS|1007_x0007_`POSE|1042_x0007_`</v>
      </c>
      <c r="Z1005" s="500"/>
      <c r="AA1005" s="500"/>
      <c r="AB1005" s="500"/>
      <c r="AC1005" s="500"/>
      <c r="AD1005" s="500"/>
      <c r="AE1005" s="500"/>
      <c r="AF1005" s="500"/>
      <c r="AG1005" s="500"/>
      <c r="AH1005" s="500"/>
      <c r="AI1005" s="500"/>
      <c r="AJ1005" s="500"/>
      <c r="AK1005" s="500"/>
      <c r="AL1005" s="500"/>
      <c r="AM1005" s="500"/>
      <c r="AN1005" s="500"/>
      <c r="AO1005" s="500"/>
      <c r="AP1005" s="500"/>
    </row>
    <row r="1006" spans="1:42" ht="16.5" customHeight="1">
      <c r="A1006" s="485"/>
      <c r="B1006" s="503" t="s">
        <v>5597</v>
      </c>
      <c r="C1006" s="593"/>
      <c r="D1006" s="593"/>
      <c r="E1006" s="593"/>
      <c r="F1006" s="593"/>
      <c r="M1006" s="501" t="s">
        <v>5354</v>
      </c>
      <c r="Z1006" s="500"/>
      <c r="AA1006" s="500"/>
      <c r="AB1006" s="500"/>
      <c r="AC1006" s="500"/>
      <c r="AD1006" s="500"/>
      <c r="AE1006" s="500"/>
      <c r="AF1006" s="500"/>
      <c r="AG1006" s="500"/>
      <c r="AH1006" s="500"/>
      <c r="AI1006" s="500"/>
      <c r="AJ1006" s="500"/>
      <c r="AK1006" s="500"/>
      <c r="AL1006" s="500"/>
      <c r="AM1006" s="500"/>
      <c r="AN1006" s="500"/>
      <c r="AO1006" s="500"/>
      <c r="AP1006" s="500"/>
    </row>
    <row r="1007" spans="1:42" ht="16.5" customHeight="1">
      <c r="A1007" s="439"/>
      <c r="B1007" s="439"/>
      <c r="C1007" s="504"/>
      <c r="D1007" s="504"/>
      <c r="E1007" s="504"/>
      <c r="F1007" s="504"/>
      <c r="G1007" s="451" t="s">
        <v>3406</v>
      </c>
      <c r="Z1007" s="500"/>
      <c r="AA1007" s="500"/>
      <c r="AB1007" s="500"/>
      <c r="AC1007" s="500"/>
      <c r="AD1007" s="500"/>
      <c r="AE1007" s="500"/>
      <c r="AF1007" s="500"/>
      <c r="AG1007" s="500"/>
      <c r="AH1007" s="500"/>
      <c r="AI1007" s="500"/>
      <c r="AJ1007" s="500"/>
      <c r="AK1007" s="500"/>
      <c r="AL1007" s="500"/>
      <c r="AM1007" s="500"/>
      <c r="AN1007" s="500"/>
      <c r="AO1007" s="500"/>
      <c r="AP1007" s="500"/>
    </row>
    <row r="1008" spans="1:42" ht="16.5" customHeight="1">
      <c r="A1008" s="434"/>
      <c r="B1008" s="437" t="s">
        <v>3529</v>
      </c>
      <c r="C1008" s="439"/>
      <c r="D1008" s="439"/>
      <c r="E1008" s="439"/>
      <c r="F1008" s="439"/>
      <c r="G1008" s="451" t="s">
        <v>3530</v>
      </c>
      <c r="Z1008" s="500"/>
      <c r="AA1008" s="500"/>
      <c r="AB1008" s="500"/>
      <c r="AC1008" s="500"/>
      <c r="AD1008" s="500"/>
      <c r="AE1008" s="500"/>
      <c r="AF1008" s="500"/>
      <c r="AG1008" s="500"/>
      <c r="AH1008" s="500"/>
      <c r="AI1008" s="500"/>
      <c r="AJ1008" s="500"/>
      <c r="AK1008" s="500"/>
      <c r="AL1008" s="500"/>
      <c r="AM1008" s="500"/>
      <c r="AN1008" s="500"/>
      <c r="AO1008" s="500"/>
      <c r="AP1008" s="500"/>
    </row>
    <row r="1009" spans="1:42" ht="16.5" customHeight="1">
      <c r="A1009" s="439"/>
      <c r="B1009" s="439"/>
      <c r="C1009" s="439"/>
      <c r="D1009" s="439"/>
      <c r="E1009" s="439"/>
      <c r="F1009" s="439"/>
      <c r="G1009" s="451" t="s">
        <v>3406</v>
      </c>
      <c r="Z1009" s="500"/>
      <c r="AA1009" s="500"/>
      <c r="AB1009" s="500"/>
      <c r="AC1009" s="500"/>
      <c r="AD1009" s="500"/>
      <c r="AE1009" s="500"/>
      <c r="AF1009" s="500"/>
      <c r="AG1009" s="500"/>
      <c r="AH1009" s="500"/>
      <c r="AI1009" s="500"/>
      <c r="AJ1009" s="500"/>
      <c r="AK1009" s="500"/>
      <c r="AL1009" s="500"/>
      <c r="AM1009" s="500"/>
      <c r="AN1009" s="500"/>
      <c r="AO1009" s="500"/>
      <c r="AP1009" s="500"/>
    </row>
    <row r="1010" spans="1:42" ht="16.5" customHeight="1">
      <c r="A1010" s="434"/>
      <c r="B1010" s="437" t="s">
        <v>3525</v>
      </c>
      <c r="C1010" s="439"/>
      <c r="D1010" s="439"/>
      <c r="E1010" s="439"/>
      <c r="F1010" s="439"/>
      <c r="G1010" s="451" t="s">
        <v>3526</v>
      </c>
      <c r="Z1010" s="500"/>
      <c r="AA1010" s="500"/>
      <c r="AB1010" s="500"/>
      <c r="AC1010" s="500"/>
      <c r="AD1010" s="500"/>
      <c r="AE1010" s="500"/>
      <c r="AF1010" s="500"/>
      <c r="AG1010" s="500"/>
      <c r="AH1010" s="500"/>
      <c r="AI1010" s="500"/>
      <c r="AJ1010" s="500"/>
      <c r="AK1010" s="500"/>
      <c r="AL1010" s="500"/>
      <c r="AM1010" s="500"/>
      <c r="AN1010" s="500"/>
      <c r="AO1010" s="500"/>
      <c r="AP1010" s="500"/>
    </row>
    <row r="1011" spans="1:42" ht="16.5" customHeight="1">
      <c r="A1011" s="439"/>
      <c r="B1011" s="439"/>
      <c r="C1011" s="439"/>
      <c r="D1011" s="439"/>
      <c r="E1011" s="439"/>
      <c r="F1011" s="439"/>
      <c r="G1011" s="451" t="s">
        <v>3406</v>
      </c>
      <c r="Z1011" s="500"/>
      <c r="AA1011" s="500"/>
      <c r="AB1011" s="500"/>
      <c r="AC1011" s="500"/>
      <c r="AD1011" s="500"/>
      <c r="AE1011" s="500"/>
      <c r="AF1011" s="500"/>
      <c r="AG1011" s="500"/>
      <c r="AH1011" s="500"/>
      <c r="AI1011" s="500"/>
      <c r="AJ1011" s="500"/>
      <c r="AK1011" s="500"/>
      <c r="AL1011" s="500"/>
      <c r="AM1011" s="500"/>
      <c r="AN1011" s="500"/>
      <c r="AO1011" s="500"/>
      <c r="AP1011" s="500"/>
    </row>
    <row r="1012" spans="1:42" ht="16.5" customHeight="1">
      <c r="A1012" s="434"/>
      <c r="B1012" s="437" t="str">
        <f>" 일당 작업량 :   Q1 = "&amp;Z1012&amp;"  주 "</f>
        <v xml:space="preserve"> 일당 작업량 :   Q1 = 160  주 </v>
      </c>
      <c r="C1012" s="439"/>
      <c r="D1012" s="439"/>
      <c r="E1012" s="439"/>
      <c r="F1012" s="439"/>
      <c r="G1012" s="451" t="s">
        <v>3531</v>
      </c>
      <c r="Z1012" s="515">
        <v>160</v>
      </c>
      <c r="AA1012" s="501" t="s">
        <v>3418</v>
      </c>
      <c r="AB1012" s="512">
        <f>Z1012</f>
        <v>160</v>
      </c>
      <c r="AC1012" s="500"/>
      <c r="AD1012" s="500"/>
      <c r="AE1012" s="500"/>
      <c r="AF1012" s="500"/>
      <c r="AG1012" s="500"/>
      <c r="AH1012" s="500"/>
      <c r="AI1012" s="500"/>
      <c r="AJ1012" s="500"/>
      <c r="AK1012" s="500"/>
      <c r="AL1012" s="500"/>
      <c r="AM1012" s="500"/>
      <c r="AN1012" s="500"/>
      <c r="AO1012" s="500"/>
      <c r="AP1012" s="500"/>
    </row>
    <row r="1013" spans="1:42" ht="16.5" customHeight="1">
      <c r="A1013" s="439"/>
      <c r="B1013" s="439"/>
      <c r="C1013" s="439"/>
      <c r="D1013" s="439"/>
      <c r="E1013" s="439"/>
      <c r="F1013" s="439"/>
      <c r="G1013" s="451" t="s">
        <v>3406</v>
      </c>
      <c r="Z1013" s="500"/>
      <c r="AA1013" s="500"/>
      <c r="AB1013" s="500"/>
      <c r="AC1013" s="500"/>
      <c r="AD1013" s="500"/>
      <c r="AE1013" s="500"/>
      <c r="AF1013" s="500"/>
      <c r="AG1013" s="500"/>
      <c r="AH1013" s="500"/>
      <c r="AI1013" s="500"/>
      <c r="AJ1013" s="500"/>
      <c r="AK1013" s="500"/>
      <c r="AL1013" s="500"/>
      <c r="AM1013" s="500"/>
      <c r="AN1013" s="500"/>
      <c r="AO1013" s="500"/>
      <c r="AP1013" s="500"/>
    </row>
    <row r="1014" spans="1:42" ht="16.5" customHeight="1">
      <c r="A1014" s="434"/>
      <c r="B1014" s="437" t="s">
        <v>3494</v>
      </c>
      <c r="C1014" s="439"/>
      <c r="D1014" s="439"/>
      <c r="E1014" s="439"/>
      <c r="F1014" s="439"/>
      <c r="G1014" s="451" t="s">
        <v>3495</v>
      </c>
      <c r="Z1014" s="500"/>
      <c r="AA1014" s="500"/>
      <c r="AB1014" s="500"/>
      <c r="AC1014" s="500"/>
      <c r="AD1014" s="500"/>
      <c r="AE1014" s="500"/>
      <c r="AF1014" s="500"/>
      <c r="AG1014" s="500"/>
      <c r="AH1014" s="500"/>
      <c r="AI1014" s="500"/>
      <c r="AJ1014" s="500"/>
      <c r="AK1014" s="500"/>
      <c r="AL1014" s="500"/>
      <c r="AM1014" s="500"/>
      <c r="AN1014" s="500"/>
      <c r="AO1014" s="500"/>
      <c r="AP1014" s="500"/>
    </row>
    <row r="1015" spans="1:42" ht="16.5" customHeight="1">
      <c r="A1015" s="439"/>
      <c r="B1015" s="439"/>
      <c r="C1015" s="439"/>
      <c r="D1015" s="439"/>
      <c r="E1015" s="439"/>
      <c r="F1015" s="439"/>
      <c r="G1015" s="451" t="s">
        <v>3406</v>
      </c>
      <c r="Z1015" s="500"/>
      <c r="AA1015" s="500"/>
      <c r="AB1015" s="500"/>
      <c r="AC1015" s="500"/>
      <c r="AD1015" s="500"/>
      <c r="AE1015" s="500"/>
      <c r="AF1015" s="500"/>
      <c r="AG1015" s="500"/>
      <c r="AH1015" s="500"/>
      <c r="AI1015" s="500"/>
      <c r="AJ1015" s="500"/>
      <c r="AK1015" s="500"/>
      <c r="AL1015" s="500"/>
      <c r="AM1015" s="500"/>
      <c r="AN1015" s="500"/>
      <c r="AO1015" s="500"/>
      <c r="AP1015" s="500"/>
    </row>
    <row r="1016" spans="1:42" ht="16.5" customHeight="1">
      <c r="A1016" s="439"/>
      <c r="B1016" s="439"/>
      <c r="C1016" s="439"/>
      <c r="D1016" s="439"/>
      <c r="E1016" s="439"/>
      <c r="F1016" s="439"/>
      <c r="G1016" s="451" t="s">
        <v>3406</v>
      </c>
      <c r="Z1016" s="500"/>
      <c r="AA1016" s="500"/>
      <c r="AB1016" s="500"/>
      <c r="AC1016" s="500"/>
      <c r="AD1016" s="500"/>
      <c r="AE1016" s="500"/>
      <c r="AF1016" s="500"/>
      <c r="AG1016" s="500"/>
      <c r="AH1016" s="500"/>
      <c r="AI1016" s="500"/>
      <c r="AJ1016" s="500"/>
      <c r="AK1016" s="500"/>
      <c r="AL1016" s="500"/>
      <c r="AM1016" s="500"/>
      <c r="AN1016" s="500"/>
      <c r="AO1016" s="500"/>
      <c r="AP1016" s="500"/>
    </row>
    <row r="1017" spans="1:42" ht="16.5" customHeight="1">
      <c r="A1017" s="439"/>
      <c r="B1017" s="439"/>
      <c r="C1017" s="439"/>
      <c r="D1017" s="439"/>
      <c r="E1017" s="439"/>
      <c r="F1017" s="439"/>
      <c r="G1017" s="451" t="s">
        <v>3406</v>
      </c>
      <c r="Z1017" s="500"/>
      <c r="AA1017" s="500"/>
      <c r="AB1017" s="500"/>
      <c r="AC1017" s="500"/>
      <c r="AD1017" s="500"/>
      <c r="AE1017" s="500"/>
      <c r="AF1017" s="500"/>
      <c r="AG1017" s="500"/>
      <c r="AH1017" s="500"/>
      <c r="AI1017" s="500"/>
      <c r="AJ1017" s="500"/>
      <c r="AK1017" s="500"/>
      <c r="AL1017" s="500"/>
      <c r="AM1017" s="500"/>
      <c r="AN1017" s="500"/>
      <c r="AO1017" s="500"/>
      <c r="AP1017" s="500"/>
    </row>
    <row r="1018" spans="1:42" ht="16.5" customHeight="1">
      <c r="A1018" s="439"/>
      <c r="B1018" s="439"/>
      <c r="C1018" s="439"/>
      <c r="D1018" s="439"/>
      <c r="E1018" s="439"/>
      <c r="F1018" s="439"/>
      <c r="G1018" s="451" t="s">
        <v>3406</v>
      </c>
      <c r="Z1018" s="500"/>
      <c r="AA1018" s="500"/>
      <c r="AB1018" s="500"/>
      <c r="AC1018" s="500"/>
      <c r="AD1018" s="500"/>
      <c r="AE1018" s="500"/>
      <c r="AF1018" s="500"/>
      <c r="AG1018" s="500"/>
      <c r="AH1018" s="500"/>
      <c r="AI1018" s="500"/>
      <c r="AJ1018" s="500"/>
      <c r="AK1018" s="500"/>
      <c r="AL1018" s="500"/>
      <c r="AM1018" s="500"/>
      <c r="AN1018" s="500"/>
      <c r="AO1018" s="500"/>
      <c r="AP1018" s="500"/>
    </row>
    <row r="1019" spans="1:42" ht="16.5" customHeight="1">
      <c r="A1019" s="434"/>
      <c r="B1019" s="437" t="s">
        <v>3496</v>
      </c>
      <c r="C1019" s="439"/>
      <c r="D1019" s="439"/>
      <c r="E1019" s="439"/>
      <c r="F1019" s="439"/>
      <c r="G1019" s="451" t="s">
        <v>3497</v>
      </c>
      <c r="Z1019" s="500"/>
      <c r="AA1019" s="500"/>
      <c r="AB1019" s="500"/>
      <c r="AC1019" s="500"/>
      <c r="AD1019" s="500"/>
      <c r="AE1019" s="500"/>
      <c r="AF1019" s="500"/>
      <c r="AG1019" s="500"/>
      <c r="AH1019" s="500"/>
      <c r="AI1019" s="500"/>
      <c r="AJ1019" s="500"/>
      <c r="AK1019" s="500"/>
      <c r="AL1019" s="500"/>
      <c r="AM1019" s="500"/>
      <c r="AN1019" s="500"/>
      <c r="AO1019" s="500"/>
      <c r="AP1019" s="500"/>
    </row>
    <row r="1020" spans="1:42" ht="16.5" customHeight="1">
      <c r="A1020" s="439"/>
      <c r="B1020" s="439"/>
      <c r="C1020" s="439"/>
      <c r="D1020" s="439"/>
      <c r="E1020" s="439"/>
      <c r="F1020" s="439"/>
      <c r="G1020" s="451" t="s">
        <v>3406</v>
      </c>
      <c r="Z1020" s="500"/>
      <c r="AA1020" s="500"/>
      <c r="AB1020" s="500"/>
      <c r="AC1020" s="500"/>
      <c r="AD1020" s="500"/>
      <c r="AE1020" s="500"/>
      <c r="AF1020" s="500"/>
      <c r="AG1020" s="500"/>
      <c r="AH1020" s="500"/>
      <c r="AI1020" s="500"/>
      <c r="AJ1020" s="500"/>
      <c r="AK1020" s="500"/>
      <c r="AL1020" s="500"/>
      <c r="AM1020" s="500"/>
      <c r="AN1020" s="500"/>
      <c r="AO1020" s="500"/>
      <c r="AP1020" s="500"/>
    </row>
    <row r="1021" spans="1:42" ht="16.5" customHeight="1">
      <c r="A1021" s="434" t="s">
        <v>3498</v>
      </c>
      <c r="B1021" s="505" t="str">
        <f>" 조경공 :  "&amp;TEXT(I1021,"#,##0"&amp;IF(I1021&lt;&gt;INT(I1021),".###",""))&amp;" * "&amp;AA1021&amp;" 인  / Q1 = "&amp;TEXT(C1021,"#,##0.0")&amp;""</f>
        <v xml:space="preserve"> 조경공 :  235,204 * 3 인  / Q1 = 4,410.0</v>
      </c>
      <c r="C1021" s="506">
        <f>E1021+D1021+F1021</f>
        <v>4410</v>
      </c>
      <c r="D1021" s="506">
        <f>IF(H1021=0,0,ROUNDDOWN(J1021*H1021,1))</f>
        <v>4410</v>
      </c>
      <c r="E1021" s="506">
        <f>IF(H1021=0,0,ROUNDDOWN(K1021*H1021,1))</f>
        <v>0</v>
      </c>
      <c r="F1021" s="506">
        <f>IF(H1021=0,0,ROUNDDOWN(L1021*H1021,1))</f>
        <v>0</v>
      </c>
      <c r="G1021" s="451" t="s">
        <v>3499</v>
      </c>
      <c r="H1021" s="507">
        <f>ROUNDUP(AE1021,14-LEN(ABS(INT(AE1021))))</f>
        <v>1.8749999999999999E-2</v>
      </c>
      <c r="I1021" s="508">
        <f>K1021+J1021+L1021</f>
        <v>235204</v>
      </c>
      <c r="J1021" s="509">
        <f>노무비목록표!E15</f>
        <v>235204</v>
      </c>
      <c r="M1021" s="501" t="s">
        <v>2359</v>
      </c>
      <c r="N1021" s="501" t="s">
        <v>3416</v>
      </c>
      <c r="X1021" s="510" t="str">
        <f>노무비목록표!B15&amp;" / "&amp;노무비목록표!C15</f>
        <v xml:space="preserve">조경공 / </v>
      </c>
      <c r="Y1021" s="433" t="str">
        <f ca="1">HYPERLINK("#"&amp;노무비목록표!G2&amp;"!A"&amp;ROW(노무비목록표!A15),"L00184 →")</f>
        <v>L00184 →</v>
      </c>
      <c r="Z1021" s="501" t="s">
        <v>3500</v>
      </c>
      <c r="AA1021" s="515">
        <v>3</v>
      </c>
      <c r="AB1021" s="501" t="s">
        <v>3428</v>
      </c>
      <c r="AC1021" s="512">
        <f>AB1012</f>
        <v>160</v>
      </c>
      <c r="AD1021" s="501" t="s">
        <v>3418</v>
      </c>
      <c r="AE1021" s="512">
        <f>1*AA1021/AB1012</f>
        <v>1.8749999999999999E-2</v>
      </c>
      <c r="AF1021" s="500"/>
      <c r="AG1021" s="500"/>
      <c r="AH1021" s="500"/>
      <c r="AI1021" s="500"/>
      <c r="AJ1021" s="500"/>
      <c r="AK1021" s="500"/>
      <c r="AL1021" s="500"/>
      <c r="AM1021" s="500"/>
      <c r="AN1021" s="500"/>
      <c r="AO1021" s="500"/>
      <c r="AP1021" s="500"/>
    </row>
    <row r="1022" spans="1:42" ht="16.5" customHeight="1">
      <c r="A1022" s="439"/>
      <c r="B1022" s="439"/>
      <c r="C1022" s="439"/>
      <c r="D1022" s="439"/>
      <c r="E1022" s="439"/>
      <c r="F1022" s="439"/>
      <c r="G1022" s="451" t="s">
        <v>3406</v>
      </c>
      <c r="Z1022" s="500"/>
      <c r="AA1022" s="500"/>
      <c r="AB1022" s="500"/>
      <c r="AC1022" s="500"/>
      <c r="AD1022" s="500"/>
      <c r="AE1022" s="500"/>
      <c r="AF1022" s="500"/>
      <c r="AG1022" s="500"/>
      <c r="AH1022" s="500"/>
      <c r="AI1022" s="500"/>
      <c r="AJ1022" s="500"/>
      <c r="AK1022" s="500"/>
      <c r="AL1022" s="500"/>
      <c r="AM1022" s="500"/>
      <c r="AN1022" s="500"/>
      <c r="AO1022" s="500"/>
      <c r="AP1022" s="500"/>
    </row>
    <row r="1023" spans="1:42" ht="16.5" customHeight="1">
      <c r="A1023" s="439"/>
      <c r="B1023" s="439"/>
      <c r="C1023" s="439"/>
      <c r="D1023" s="439"/>
      <c r="E1023" s="439"/>
      <c r="F1023" s="439"/>
      <c r="G1023" s="451" t="s">
        <v>3406</v>
      </c>
      <c r="Z1023" s="500"/>
      <c r="AA1023" s="500"/>
      <c r="AB1023" s="500"/>
      <c r="AC1023" s="500"/>
      <c r="AD1023" s="500"/>
      <c r="AE1023" s="500"/>
      <c r="AF1023" s="500"/>
      <c r="AG1023" s="500"/>
      <c r="AH1023" s="500"/>
      <c r="AI1023" s="500"/>
      <c r="AJ1023" s="500"/>
      <c r="AK1023" s="500"/>
      <c r="AL1023" s="500"/>
      <c r="AM1023" s="500"/>
      <c r="AN1023" s="500"/>
      <c r="AO1023" s="500"/>
      <c r="AP1023" s="500"/>
    </row>
    <row r="1024" spans="1:42" ht="16.5" customHeight="1">
      <c r="A1024" s="434" t="s">
        <v>3414</v>
      </c>
      <c r="B1024" s="505" t="str">
        <f>" 보통인부 : "&amp;TEXT(I1024,"#,##0"&amp;IF(I1024&lt;&gt;INT(I1024),".###",""))&amp;" * "&amp;AA1024&amp;" 인  / Q1 = "&amp;TEXT(C1024,"#,##0.0")&amp;""</f>
        <v xml:space="preserve"> 보통인부 : 172,068 * 1 인  / Q1 = 1,075.4</v>
      </c>
      <c r="C1024" s="506">
        <f>E1024+D1024+F1024</f>
        <v>1075.4000000000001</v>
      </c>
      <c r="D1024" s="506">
        <f>IF(H1024=0,0,ROUNDDOWN(J1024*H1024,1))</f>
        <v>1075.4000000000001</v>
      </c>
      <c r="E1024" s="506">
        <f>IF(H1024=0,0,ROUNDDOWN(K1024*H1024,1))</f>
        <v>0</v>
      </c>
      <c r="F1024" s="506">
        <f>IF(H1024=0,0,ROUNDDOWN(L1024*H1024,1))</f>
        <v>0</v>
      </c>
      <c r="G1024" s="451" t="s">
        <v>3501</v>
      </c>
      <c r="H1024" s="507">
        <f>ROUNDUP(AE1024,14-LEN(ABS(INT(AE1024))))</f>
        <v>6.2500000000000003E-3</v>
      </c>
      <c r="I1024" s="508">
        <f>K1024+J1024+L1024</f>
        <v>172068</v>
      </c>
      <c r="J1024" s="509">
        <f>노무비목록표!E10</f>
        <v>172068</v>
      </c>
      <c r="M1024" s="501" t="s">
        <v>2363</v>
      </c>
      <c r="N1024" s="501" t="s">
        <v>3416</v>
      </c>
      <c r="X1024" s="510" t="str">
        <f>노무비목록표!B10&amp;" / "&amp;노무비목록표!C10</f>
        <v xml:space="preserve">보통인부 / </v>
      </c>
      <c r="Y1024" s="433" t="str">
        <f ca="1">HYPERLINK("#"&amp;노무비목록표!G2&amp;"!A"&amp;ROW(노무비목록표!A10),"L00017 →")</f>
        <v>L00017 →</v>
      </c>
      <c r="Z1024" s="501" t="s">
        <v>3500</v>
      </c>
      <c r="AA1024" s="515">
        <v>1</v>
      </c>
      <c r="AB1024" s="501" t="s">
        <v>3428</v>
      </c>
      <c r="AC1024" s="512">
        <f>AB1012</f>
        <v>160</v>
      </c>
      <c r="AD1024" s="501" t="s">
        <v>3418</v>
      </c>
      <c r="AE1024" s="512">
        <f>1*AA1024/AB1012</f>
        <v>6.2500000000000003E-3</v>
      </c>
      <c r="AF1024" s="500"/>
      <c r="AG1024" s="500"/>
      <c r="AH1024" s="500"/>
      <c r="AI1024" s="500"/>
      <c r="AJ1024" s="500"/>
      <c r="AK1024" s="500"/>
      <c r="AL1024" s="500"/>
      <c r="AM1024" s="500"/>
      <c r="AN1024" s="500"/>
      <c r="AO1024" s="500"/>
      <c r="AP1024" s="500"/>
    </row>
    <row r="1025" spans="1:42" ht="16.5" customHeight="1">
      <c r="A1025" s="439"/>
      <c r="B1025" s="439"/>
      <c r="C1025" s="439"/>
      <c r="D1025" s="439"/>
      <c r="E1025" s="439"/>
      <c r="F1025" s="439"/>
      <c r="G1025" s="451" t="s">
        <v>3406</v>
      </c>
      <c r="Z1025" s="500"/>
      <c r="AA1025" s="500"/>
      <c r="AB1025" s="500"/>
      <c r="AC1025" s="500"/>
      <c r="AD1025" s="500"/>
      <c r="AE1025" s="500"/>
      <c r="AF1025" s="500"/>
      <c r="AG1025" s="500"/>
      <c r="AH1025" s="500"/>
      <c r="AI1025" s="500"/>
      <c r="AJ1025" s="500"/>
      <c r="AK1025" s="500"/>
      <c r="AL1025" s="500"/>
      <c r="AM1025" s="500"/>
      <c r="AN1025" s="500"/>
      <c r="AO1025" s="500"/>
      <c r="AP1025" s="500"/>
    </row>
    <row r="1026" spans="1:42" ht="16.5" customHeight="1">
      <c r="A1026" s="434"/>
      <c r="B1026" s="437" t="s">
        <v>3419</v>
      </c>
      <c r="C1026" s="513">
        <f>E1026+D1026+F1026</f>
        <v>5485.4</v>
      </c>
      <c r="D1026" s="513">
        <f>SUMIF(N1007:N1025,M1026,D1007:D1025)</f>
        <v>5485.4</v>
      </c>
      <c r="E1026" s="513">
        <f>SUMIF(N1007:N1025,M1026,E1007:E1025)</f>
        <v>0</v>
      </c>
      <c r="F1026" s="513">
        <f>SUMIF(N1007:N1025,M1026,F1007:F1025)</f>
        <v>0</v>
      </c>
      <c r="G1026" s="451" t="s">
        <v>3439</v>
      </c>
      <c r="M1026" s="501" t="s">
        <v>3416</v>
      </c>
      <c r="N1026" s="501" t="s">
        <v>3421</v>
      </c>
      <c r="Z1026" s="500"/>
      <c r="AA1026" s="500"/>
      <c r="AB1026" s="500"/>
      <c r="AC1026" s="500"/>
      <c r="AD1026" s="500"/>
      <c r="AE1026" s="500"/>
      <c r="AF1026" s="500"/>
      <c r="AG1026" s="500"/>
      <c r="AH1026" s="500"/>
      <c r="AI1026" s="500"/>
      <c r="AJ1026" s="500"/>
      <c r="AK1026" s="500"/>
      <c r="AL1026" s="500"/>
      <c r="AM1026" s="500"/>
      <c r="AN1026" s="500"/>
      <c r="AO1026" s="500"/>
      <c r="AP1026" s="500"/>
    </row>
    <row r="1027" spans="1:42" ht="16.5" customHeight="1">
      <c r="A1027" s="439"/>
      <c r="B1027" s="439"/>
      <c r="C1027" s="504"/>
      <c r="D1027" s="504"/>
      <c r="E1027" s="504"/>
      <c r="F1027" s="504"/>
      <c r="G1027" s="451" t="s">
        <v>3406</v>
      </c>
      <c r="Z1027" s="500"/>
      <c r="AA1027" s="500"/>
      <c r="AB1027" s="500"/>
      <c r="AC1027" s="500"/>
      <c r="AD1027" s="500"/>
      <c r="AE1027" s="500"/>
      <c r="AF1027" s="500"/>
      <c r="AG1027" s="500"/>
      <c r="AH1027" s="500"/>
      <c r="AI1027" s="500"/>
      <c r="AJ1027" s="500"/>
      <c r="AK1027" s="500"/>
      <c r="AL1027" s="500"/>
      <c r="AM1027" s="500"/>
      <c r="AN1027" s="500"/>
      <c r="AO1027" s="500"/>
      <c r="AP1027" s="500"/>
    </row>
    <row r="1028" spans="1:42" ht="16.5" customHeight="1">
      <c r="A1028" s="439"/>
      <c r="B1028" s="439"/>
      <c r="C1028" s="439"/>
      <c r="D1028" s="439"/>
      <c r="E1028" s="439"/>
      <c r="F1028" s="439"/>
      <c r="G1028" s="451" t="s">
        <v>3406</v>
      </c>
      <c r="Z1028" s="500"/>
      <c r="AA1028" s="500"/>
      <c r="AB1028" s="500"/>
      <c r="AC1028" s="500"/>
      <c r="AD1028" s="500"/>
      <c r="AE1028" s="500"/>
      <c r="AF1028" s="500"/>
      <c r="AG1028" s="500"/>
      <c r="AH1028" s="500"/>
      <c r="AI1028" s="500"/>
      <c r="AJ1028" s="500"/>
      <c r="AK1028" s="500"/>
      <c r="AL1028" s="500"/>
      <c r="AM1028" s="500"/>
      <c r="AN1028" s="500"/>
      <c r="AO1028" s="500"/>
      <c r="AP1028" s="500"/>
    </row>
    <row r="1029" spans="1:42" ht="16.5" customHeight="1">
      <c r="A1029" s="434"/>
      <c r="B1029" s="437" t="s">
        <v>3502</v>
      </c>
      <c r="C1029" s="439"/>
      <c r="D1029" s="439"/>
      <c r="E1029" s="439"/>
      <c r="F1029" s="439"/>
      <c r="G1029" s="451" t="s">
        <v>3503</v>
      </c>
      <c r="Z1029" s="500"/>
      <c r="AA1029" s="500"/>
      <c r="AB1029" s="500"/>
      <c r="AC1029" s="500"/>
      <c r="AD1029" s="500"/>
      <c r="AE1029" s="500"/>
      <c r="AF1029" s="500"/>
      <c r="AG1029" s="500"/>
      <c r="AH1029" s="500"/>
      <c r="AI1029" s="500"/>
      <c r="AJ1029" s="500"/>
      <c r="AK1029" s="500"/>
      <c r="AL1029" s="500"/>
      <c r="AM1029" s="500"/>
      <c r="AN1029" s="500"/>
      <c r="AO1029" s="500"/>
      <c r="AP1029" s="500"/>
    </row>
    <row r="1030" spans="1:42" ht="16.5" customHeight="1">
      <c r="A1030" s="439"/>
      <c r="B1030" s="439"/>
      <c r="C1030" s="439"/>
      <c r="D1030" s="439"/>
      <c r="E1030" s="439"/>
      <c r="F1030" s="439"/>
      <c r="G1030" s="451" t="s">
        <v>3413</v>
      </c>
      <c r="Z1030" s="500"/>
      <c r="AA1030" s="500"/>
      <c r="AB1030" s="500"/>
      <c r="AC1030" s="500"/>
      <c r="AD1030" s="500"/>
      <c r="AE1030" s="500"/>
      <c r="AF1030" s="500"/>
      <c r="AG1030" s="500"/>
      <c r="AH1030" s="500"/>
      <c r="AI1030" s="500"/>
      <c r="AJ1030" s="500"/>
      <c r="AK1030" s="500"/>
      <c r="AL1030" s="500"/>
      <c r="AM1030" s="500"/>
      <c r="AN1030" s="500"/>
      <c r="AO1030" s="500"/>
      <c r="AP1030" s="500"/>
    </row>
    <row r="1031" spans="1:42" ht="16.5" customHeight="1">
      <c r="A1031" s="434" t="s">
        <v>3504</v>
      </c>
      <c r="B1031" s="505" t="str">
        <f>"  유기질비료 수목이식·식재용 : "&amp;TEXT(I1031,"#,##0"&amp;IF(I1031&lt;&gt;INT(I1031),".###",""))&amp;" * "&amp;AA1031&amp;" KG  / Q1 = "&amp;TEXT(C1031,"#,##0.0")&amp;""</f>
        <v xml:space="preserve">  유기질비료 수목이식·식재용 : 500 * 220 KG  / Q1 = 687.5</v>
      </c>
      <c r="C1031" s="506">
        <f>E1031+D1031+F1031</f>
        <v>687.5</v>
      </c>
      <c r="D1031" s="506">
        <f>IF(H1031=0,0,ROUNDDOWN(J1031*H1031,1))</f>
        <v>0</v>
      </c>
      <c r="E1031" s="506">
        <f>IF(H1031=0,0,ROUNDDOWN(K1031*H1031,1))</f>
        <v>687.5</v>
      </c>
      <c r="F1031" s="506">
        <f>IF(H1031=0,0,ROUNDDOWN(L1031*H1031,1))</f>
        <v>0</v>
      </c>
      <c r="G1031" s="451" t="s">
        <v>3511</v>
      </c>
      <c r="H1031" s="507">
        <f>ROUNDUP(AE1031,14-LEN(ABS(INT(AE1031))))</f>
        <v>1.375</v>
      </c>
      <c r="I1031" s="508">
        <f>K1031+J1031+L1031</f>
        <v>500</v>
      </c>
      <c r="K1031" s="509">
        <f>재료비목록표!E78</f>
        <v>500</v>
      </c>
      <c r="M1031" s="501" t="s">
        <v>3506</v>
      </c>
      <c r="N1031" s="501" t="s">
        <v>3416</v>
      </c>
      <c r="X1031" s="510" t="str">
        <f>재료비목록표!B78&amp;" / "&amp;재료비목록표!C78</f>
        <v>유기질비료 / 수목이식·식재용</v>
      </c>
      <c r="Y1031" s="433" t="str">
        <f ca="1">HYPERLINK("#"&amp;재료비목록표!G2&amp;"!A"&amp;ROW(재료비목록표!A78),"M01159 →")</f>
        <v>M01159 →</v>
      </c>
      <c r="Z1031" s="501" t="s">
        <v>3500</v>
      </c>
      <c r="AA1031" s="515">
        <v>220</v>
      </c>
      <c r="AB1031" s="501" t="s">
        <v>3428</v>
      </c>
      <c r="AC1031" s="512">
        <f>AB1012</f>
        <v>160</v>
      </c>
      <c r="AD1031" s="501" t="s">
        <v>3418</v>
      </c>
      <c r="AE1031" s="512">
        <f>1*AA1031/AB1012</f>
        <v>1.375</v>
      </c>
      <c r="AF1031" s="500"/>
      <c r="AG1031" s="500"/>
      <c r="AH1031" s="500"/>
      <c r="AI1031" s="500"/>
      <c r="AJ1031" s="500"/>
      <c r="AK1031" s="500"/>
      <c r="AL1031" s="500"/>
      <c r="AM1031" s="500"/>
      <c r="AN1031" s="500"/>
      <c r="AO1031" s="500"/>
      <c r="AP1031" s="500"/>
    </row>
    <row r="1032" spans="1:42" ht="16.5" customHeight="1">
      <c r="A1032" s="439"/>
      <c r="B1032" s="439"/>
      <c r="C1032" s="439"/>
      <c r="D1032" s="439"/>
      <c r="E1032" s="439"/>
      <c r="F1032" s="439"/>
      <c r="G1032" s="451" t="s">
        <v>3413</v>
      </c>
      <c r="Z1032" s="500"/>
      <c r="AA1032" s="500"/>
      <c r="AB1032" s="500"/>
      <c r="AC1032" s="500"/>
      <c r="AD1032" s="500"/>
      <c r="AE1032" s="500"/>
      <c r="AF1032" s="500"/>
      <c r="AG1032" s="500"/>
      <c r="AH1032" s="500"/>
      <c r="AI1032" s="500"/>
      <c r="AJ1032" s="500"/>
      <c r="AK1032" s="500"/>
      <c r="AL1032" s="500"/>
      <c r="AM1032" s="500"/>
      <c r="AN1032" s="500"/>
      <c r="AO1032" s="500"/>
      <c r="AP1032" s="500"/>
    </row>
    <row r="1033" spans="1:42" ht="16.5" customHeight="1">
      <c r="A1033" s="434"/>
      <c r="B1033" s="437" t="s">
        <v>3419</v>
      </c>
      <c r="C1033" s="513">
        <f>E1033+D1033+F1033</f>
        <v>687.5</v>
      </c>
      <c r="D1033" s="513">
        <f>SUMIF(N1027:N1032,M1033,D1027:D1032)</f>
        <v>0</v>
      </c>
      <c r="E1033" s="513">
        <f>SUMIF(N1027:N1032,M1033,E1027:E1032)</f>
        <v>687.5</v>
      </c>
      <c r="F1033" s="513">
        <f>SUMIF(N1027:N1032,M1033,F1027:F1032)</f>
        <v>0</v>
      </c>
      <c r="G1033" s="451" t="s">
        <v>3439</v>
      </c>
      <c r="M1033" s="501" t="s">
        <v>3416</v>
      </c>
      <c r="N1033" s="501" t="s">
        <v>3421</v>
      </c>
      <c r="Z1033" s="500"/>
      <c r="AA1033" s="500"/>
      <c r="AB1033" s="500"/>
      <c r="AC1033" s="500"/>
      <c r="AD1033" s="500"/>
      <c r="AE1033" s="500"/>
      <c r="AF1033" s="500"/>
      <c r="AG1033" s="500"/>
      <c r="AH1033" s="500"/>
      <c r="AI1033" s="500"/>
      <c r="AJ1033" s="500"/>
      <c r="AK1033" s="500"/>
      <c r="AL1033" s="500"/>
      <c r="AM1033" s="500"/>
      <c r="AN1033" s="500"/>
      <c r="AO1033" s="500"/>
      <c r="AP1033" s="500"/>
    </row>
    <row r="1034" spans="1:42" ht="16.5" customHeight="1">
      <c r="A1034" s="439"/>
      <c r="B1034" s="439"/>
      <c r="C1034" s="504"/>
      <c r="D1034" s="504"/>
      <c r="E1034" s="504"/>
      <c r="F1034" s="504"/>
      <c r="G1034" s="451" t="s">
        <v>3406</v>
      </c>
      <c r="Z1034" s="500"/>
      <c r="AA1034" s="500"/>
      <c r="AB1034" s="500"/>
      <c r="AC1034" s="500"/>
      <c r="AD1034" s="500"/>
      <c r="AE1034" s="500"/>
      <c r="AF1034" s="500"/>
      <c r="AG1034" s="500"/>
      <c r="AH1034" s="500"/>
      <c r="AI1034" s="500"/>
      <c r="AJ1034" s="500"/>
      <c r="AK1034" s="500"/>
      <c r="AL1034" s="500"/>
      <c r="AM1034" s="500"/>
      <c r="AN1034" s="500"/>
      <c r="AO1034" s="500"/>
      <c r="AP1034" s="500"/>
    </row>
    <row r="1035" spans="1:42" ht="16.5" customHeight="1">
      <c r="A1035" s="434"/>
      <c r="B1035" s="505" t="str">
        <f>"  산지할증 : "&amp;TEXT(I1035,"#,##0.0")&amp;" * "&amp;AA1035&amp;" %  = "&amp;TEXT(C1035,"#,##0.0")&amp;""</f>
        <v xml:space="preserve">  산지할증 : 5,485.4 * 15 %  = 822.8</v>
      </c>
      <c r="C1035" s="506">
        <f>E1035+D1035+F1035</f>
        <v>822.8</v>
      </c>
      <c r="D1035" s="506">
        <f>IF(H1035=0,0,ROUNDDOWN(J1035*H1035/100,1))</f>
        <v>822.8</v>
      </c>
      <c r="E1035" s="506">
        <f>IF(H1035=0,0,ROUNDDOWN(K1035*H1035/100,1))</f>
        <v>0</v>
      </c>
      <c r="F1035" s="506">
        <f>IF(H1035=0,0,ROUNDDOWN(L1035*H1035/100,1))</f>
        <v>0</v>
      </c>
      <c r="G1035" s="451" t="s">
        <v>5587</v>
      </c>
      <c r="H1035" s="507">
        <f>ROUNDUP(AC1035,14-LEN(ABS(INT(AC1035))))</f>
        <v>15</v>
      </c>
      <c r="I1035" s="508">
        <f>K1035+J1035+L1035</f>
        <v>5485.4</v>
      </c>
      <c r="J1035" s="508">
        <f>D1026+D1033+SUMIF(N1034:N1034,N1035,D1034:D1034)</f>
        <v>5485.4</v>
      </c>
      <c r="K1035" s="456">
        <v>0</v>
      </c>
      <c r="L1035" s="456">
        <v>0</v>
      </c>
      <c r="M1035" s="501" t="s">
        <v>4208</v>
      </c>
      <c r="N1035" s="501" t="s">
        <v>3416</v>
      </c>
      <c r="Z1035" s="501" t="s">
        <v>3500</v>
      </c>
      <c r="AA1035" s="515">
        <v>15</v>
      </c>
      <c r="AB1035" s="501" t="s">
        <v>3418</v>
      </c>
      <c r="AC1035" s="512">
        <f>1*AA1035</f>
        <v>15</v>
      </c>
      <c r="AD1035" s="500"/>
      <c r="AE1035" s="500"/>
      <c r="AF1035" s="500"/>
      <c r="AG1035" s="500"/>
      <c r="AH1035" s="500"/>
      <c r="AI1035" s="500"/>
      <c r="AJ1035" s="500"/>
      <c r="AK1035" s="500"/>
      <c r="AL1035" s="500"/>
      <c r="AM1035" s="500"/>
      <c r="AN1035" s="500"/>
      <c r="AO1035" s="500"/>
      <c r="AP1035" s="500"/>
    </row>
    <row r="1036" spans="1:42" ht="16.5" customHeight="1">
      <c r="A1036" s="439"/>
      <c r="B1036" s="439"/>
      <c r="C1036" s="439"/>
      <c r="D1036" s="439"/>
      <c r="E1036" s="439"/>
      <c r="F1036" s="439"/>
      <c r="G1036" s="451" t="s">
        <v>3406</v>
      </c>
      <c r="Z1036" s="500"/>
      <c r="AA1036" s="500"/>
      <c r="AB1036" s="500"/>
      <c r="AC1036" s="500"/>
      <c r="AD1036" s="500"/>
      <c r="AE1036" s="500"/>
      <c r="AF1036" s="500"/>
      <c r="AG1036" s="500"/>
      <c r="AH1036" s="500"/>
      <c r="AI1036" s="500"/>
      <c r="AJ1036" s="500"/>
      <c r="AK1036" s="500"/>
      <c r="AL1036" s="500"/>
      <c r="AM1036" s="500"/>
      <c r="AN1036" s="500"/>
      <c r="AO1036" s="500"/>
      <c r="AP1036" s="500"/>
    </row>
    <row r="1037" spans="1:42" ht="16.5" customHeight="1">
      <c r="A1037" s="434"/>
      <c r="B1037" s="437" t="s">
        <v>3419</v>
      </c>
      <c r="C1037" s="513">
        <f>E1037+D1037+F1037</f>
        <v>822.8</v>
      </c>
      <c r="D1037" s="513">
        <f>SUMIF(N1034:N1036,M1037,D1034:D1036)</f>
        <v>822.8</v>
      </c>
      <c r="E1037" s="513">
        <f>SUMIF(N1034:N1036,M1037,E1034:E1036)</f>
        <v>0</v>
      </c>
      <c r="F1037" s="513">
        <f>SUMIF(N1034:N1036,M1037,F1034:F1036)</f>
        <v>0</v>
      </c>
      <c r="G1037" s="451" t="s">
        <v>3439</v>
      </c>
      <c r="M1037" s="501" t="s">
        <v>3416</v>
      </c>
      <c r="N1037" s="501" t="s">
        <v>3421</v>
      </c>
      <c r="Z1037" s="500"/>
      <c r="AA1037" s="500"/>
      <c r="AB1037" s="500"/>
      <c r="AC1037" s="500"/>
      <c r="AD1037" s="500"/>
      <c r="AE1037" s="500"/>
      <c r="AF1037" s="500"/>
      <c r="AG1037" s="500"/>
      <c r="AH1037" s="500"/>
      <c r="AI1037" s="500"/>
      <c r="AJ1037" s="500"/>
      <c r="AK1037" s="500"/>
      <c r="AL1037" s="500"/>
      <c r="AM1037" s="500"/>
      <c r="AN1037" s="500"/>
      <c r="AO1037" s="500"/>
      <c r="AP1037" s="500"/>
    </row>
    <row r="1038" spans="1:42" ht="16.5" customHeight="1">
      <c r="A1038" s="439"/>
      <c r="B1038" s="439"/>
      <c r="C1038" s="504"/>
      <c r="D1038" s="504"/>
      <c r="E1038" s="504"/>
      <c r="F1038" s="504"/>
      <c r="G1038" s="451" t="s">
        <v>3406</v>
      </c>
      <c r="Z1038" s="500"/>
      <c r="AA1038" s="500"/>
      <c r="AB1038" s="500"/>
      <c r="AC1038" s="500"/>
      <c r="AD1038" s="500"/>
      <c r="AE1038" s="500"/>
      <c r="AF1038" s="500"/>
      <c r="AG1038" s="500"/>
      <c r="AH1038" s="500"/>
      <c r="AI1038" s="500"/>
      <c r="AJ1038" s="500"/>
      <c r="AK1038" s="500"/>
      <c r="AL1038" s="500"/>
      <c r="AM1038" s="500"/>
      <c r="AN1038" s="500"/>
      <c r="AO1038" s="500"/>
      <c r="AP1038" s="500"/>
    </row>
    <row r="1039" spans="1:42" ht="16.5" customHeight="1">
      <c r="A1039" s="434"/>
      <c r="B1039" s="437" t="s">
        <v>3440</v>
      </c>
      <c r="C1039" s="513">
        <f>E1039+D1039+F1039</f>
        <v>6995.7</v>
      </c>
      <c r="D1039" s="513">
        <f>SUMIF(N1007:N1038,M1039,D1007:D1038)</f>
        <v>6308.2</v>
      </c>
      <c r="E1039" s="513">
        <f>SUMIF(N1007:N1038,M1039,E1007:E1038)</f>
        <v>687.5</v>
      </c>
      <c r="F1039" s="513">
        <f>SUMIF(N1007:N1038,M1039,F1007:F1038)</f>
        <v>0</v>
      </c>
      <c r="G1039" s="451" t="s">
        <v>3441</v>
      </c>
      <c r="M1039" s="501" t="s">
        <v>3421</v>
      </c>
      <c r="N1039" s="501" t="s">
        <v>2354</v>
      </c>
      <c r="Z1039" s="500"/>
      <c r="AA1039" s="500"/>
      <c r="AB1039" s="500"/>
      <c r="AC1039" s="500"/>
      <c r="AD1039" s="500"/>
      <c r="AE1039" s="500"/>
      <c r="AF1039" s="500"/>
      <c r="AG1039" s="500"/>
      <c r="AH1039" s="500"/>
      <c r="AI1039" s="500"/>
      <c r="AJ1039" s="500"/>
      <c r="AK1039" s="500"/>
      <c r="AL1039" s="500"/>
      <c r="AM1039" s="500"/>
      <c r="AN1039" s="500"/>
      <c r="AO1039" s="500"/>
      <c r="AP1039" s="500"/>
    </row>
    <row r="1040" spans="1:42" ht="16.5" customHeight="1">
      <c r="A1040" s="439"/>
      <c r="B1040" s="439"/>
      <c r="C1040" s="504"/>
      <c r="D1040" s="504"/>
      <c r="E1040" s="504"/>
      <c r="F1040" s="504"/>
      <c r="G1040" s="451" t="s">
        <v>3406</v>
      </c>
      <c r="Z1040" s="500"/>
      <c r="AA1040" s="500"/>
      <c r="AB1040" s="500"/>
      <c r="AC1040" s="500"/>
      <c r="AD1040" s="500"/>
      <c r="AE1040" s="500"/>
      <c r="AF1040" s="500"/>
      <c r="AG1040" s="500"/>
      <c r="AH1040" s="500"/>
      <c r="AI1040" s="500"/>
      <c r="AJ1040" s="500"/>
      <c r="AK1040" s="500"/>
      <c r="AL1040" s="500"/>
      <c r="AM1040" s="500"/>
      <c r="AN1040" s="500"/>
      <c r="AO1040" s="500"/>
      <c r="AP1040" s="500"/>
    </row>
    <row r="1041" spans="1:42" ht="16.5" customHeight="1">
      <c r="A1041" s="439"/>
      <c r="B1041" s="439"/>
      <c r="C1041" s="439"/>
      <c r="D1041" s="439"/>
      <c r="E1041" s="439"/>
      <c r="F1041" s="439"/>
      <c r="G1041" s="451" t="s">
        <v>3406</v>
      </c>
      <c r="Z1041" s="500"/>
      <c r="AA1041" s="500"/>
      <c r="AB1041" s="500"/>
      <c r="AC1041" s="500"/>
      <c r="AD1041" s="500"/>
      <c r="AE1041" s="500"/>
      <c r="AF1041" s="500"/>
      <c r="AG1041" s="500"/>
      <c r="AH1041" s="500"/>
      <c r="AI1041" s="500"/>
      <c r="AJ1041" s="500"/>
      <c r="AK1041" s="500"/>
      <c r="AL1041" s="500"/>
      <c r="AM1041" s="500"/>
      <c r="AN1041" s="500"/>
      <c r="AO1041" s="500"/>
      <c r="AP1041" s="500"/>
    </row>
    <row r="1042" spans="1:42" ht="16.5" customHeight="1">
      <c r="A1042" s="439"/>
      <c r="B1042" s="439"/>
      <c r="C1042" s="439"/>
      <c r="D1042" s="439"/>
      <c r="E1042" s="439"/>
      <c r="F1042" s="439"/>
      <c r="G1042" s="451" t="s">
        <v>3413</v>
      </c>
      <c r="Z1042" s="500"/>
      <c r="AA1042" s="500"/>
      <c r="AB1042" s="500"/>
      <c r="AC1042" s="500"/>
      <c r="AD1042" s="500"/>
      <c r="AE1042" s="500"/>
      <c r="AF1042" s="500"/>
      <c r="AG1042" s="500"/>
      <c r="AH1042" s="500"/>
      <c r="AI1042" s="500"/>
      <c r="AJ1042" s="500"/>
      <c r="AK1042" s="500"/>
      <c r="AL1042" s="500"/>
      <c r="AM1042" s="500"/>
      <c r="AN1042" s="500"/>
      <c r="AO1042" s="500"/>
      <c r="AP1042" s="500"/>
    </row>
    <row r="1043" spans="1:42" ht="16.5" customHeight="1">
      <c r="A1043" s="439"/>
      <c r="B1043" s="439"/>
      <c r="C1043" s="439"/>
      <c r="D1043" s="439"/>
      <c r="E1043" s="439"/>
      <c r="F1043" s="439"/>
      <c r="Z1043" s="500"/>
      <c r="AA1043" s="500"/>
      <c r="AB1043" s="500"/>
      <c r="AC1043" s="500"/>
      <c r="AD1043" s="500"/>
      <c r="AE1043" s="500"/>
      <c r="AF1043" s="500"/>
      <c r="AG1043" s="500"/>
      <c r="AH1043" s="500"/>
      <c r="AI1043" s="500"/>
      <c r="AJ1043" s="500"/>
      <c r="AK1043" s="500"/>
      <c r="AL1043" s="500"/>
      <c r="AM1043" s="500"/>
      <c r="AN1043" s="500"/>
      <c r="AO1043" s="500"/>
      <c r="AP1043" s="500"/>
    </row>
    <row r="1044" spans="1:42" ht="16.5" customHeight="1">
      <c r="A1044" s="439"/>
      <c r="B1044" s="439"/>
      <c r="C1044" s="439"/>
      <c r="D1044" s="439"/>
      <c r="E1044" s="439"/>
      <c r="F1044" s="439"/>
      <c r="Z1044" s="500"/>
      <c r="AA1044" s="500"/>
      <c r="AB1044" s="500"/>
      <c r="AC1044" s="500"/>
      <c r="AD1044" s="500"/>
      <c r="AE1044" s="500"/>
      <c r="AF1044" s="500"/>
      <c r="AG1044" s="500"/>
      <c r="AH1044" s="500"/>
      <c r="AI1044" s="500"/>
      <c r="AJ1044" s="500"/>
      <c r="AK1044" s="500"/>
      <c r="AL1044" s="500"/>
      <c r="AM1044" s="500"/>
      <c r="AN1044" s="500"/>
      <c r="AO1044" s="500"/>
      <c r="AP1044" s="500"/>
    </row>
    <row r="1045" spans="1:42" ht="16.5" customHeight="1">
      <c r="A1045" s="439"/>
      <c r="B1045" s="439"/>
      <c r="C1045" s="439"/>
      <c r="D1045" s="439"/>
      <c r="E1045" s="439"/>
      <c r="F1045" s="439"/>
      <c r="Z1045" s="500"/>
      <c r="AA1045" s="500"/>
      <c r="AB1045" s="500"/>
      <c r="AC1045" s="500"/>
      <c r="AD1045" s="500"/>
      <c r="AE1045" s="500"/>
      <c r="AF1045" s="500"/>
      <c r="AG1045" s="500"/>
      <c r="AH1045" s="500"/>
      <c r="AI1045" s="500"/>
      <c r="AJ1045" s="500"/>
      <c r="AK1045" s="500"/>
      <c r="AL1045" s="500"/>
      <c r="AM1045" s="500"/>
      <c r="AN1045" s="500"/>
      <c r="AO1045" s="500"/>
      <c r="AP1045" s="500"/>
    </row>
    <row r="1046" spans="1:42" ht="16.5" customHeight="1">
      <c r="A1046" s="439"/>
      <c r="B1046" s="439"/>
      <c r="C1046" s="439"/>
      <c r="D1046" s="439"/>
      <c r="E1046" s="439"/>
      <c r="F1046" s="439"/>
      <c r="Z1046" s="500"/>
      <c r="AA1046" s="500"/>
      <c r="AB1046" s="500"/>
      <c r="AC1046" s="500"/>
      <c r="AD1046" s="500"/>
      <c r="AE1046" s="500"/>
      <c r="AF1046" s="500"/>
      <c r="AG1046" s="500"/>
      <c r="AH1046" s="500"/>
      <c r="AI1046" s="500"/>
      <c r="AJ1046" s="500"/>
      <c r="AK1046" s="500"/>
      <c r="AL1046" s="500"/>
      <c r="AM1046" s="500"/>
      <c r="AN1046" s="500"/>
      <c r="AO1046" s="500"/>
      <c r="AP1046" s="500"/>
    </row>
    <row r="1047" spans="1:42" ht="16.5" customHeight="1">
      <c r="A1047" s="439"/>
      <c r="B1047" s="439"/>
      <c r="C1047" s="439"/>
      <c r="D1047" s="439"/>
      <c r="E1047" s="439"/>
      <c r="F1047" s="439"/>
      <c r="Z1047" s="500"/>
      <c r="AA1047" s="500"/>
      <c r="AB1047" s="500"/>
      <c r="AC1047" s="500"/>
      <c r="AD1047" s="500"/>
      <c r="AE1047" s="500"/>
      <c r="AF1047" s="500"/>
      <c r="AG1047" s="500"/>
      <c r="AH1047" s="500"/>
      <c r="AI1047" s="500"/>
      <c r="AJ1047" s="500"/>
      <c r="AK1047" s="500"/>
      <c r="AL1047" s="500"/>
      <c r="AM1047" s="500"/>
      <c r="AN1047" s="500"/>
      <c r="AO1047" s="500"/>
      <c r="AP1047" s="500"/>
    </row>
    <row r="1048" spans="1:42" ht="16.5" customHeight="1">
      <c r="A1048" s="439"/>
      <c r="B1048" s="439"/>
      <c r="C1048" s="439"/>
      <c r="D1048" s="439"/>
      <c r="E1048" s="439"/>
      <c r="F1048" s="439"/>
      <c r="Z1048" s="500"/>
      <c r="AA1048" s="500"/>
      <c r="AB1048" s="500"/>
      <c r="AC1048" s="500"/>
      <c r="AD1048" s="500"/>
      <c r="AE1048" s="500"/>
      <c r="AF1048" s="500"/>
      <c r="AG1048" s="500"/>
      <c r="AH1048" s="500"/>
      <c r="AI1048" s="500"/>
      <c r="AJ1048" s="500"/>
      <c r="AK1048" s="500"/>
      <c r="AL1048" s="500"/>
      <c r="AM1048" s="500"/>
      <c r="AN1048" s="500"/>
      <c r="AO1048" s="500"/>
      <c r="AP1048" s="500"/>
    </row>
    <row r="1049" spans="1:42" ht="16.5" customHeight="1">
      <c r="A1049" s="439"/>
      <c r="B1049" s="439"/>
      <c r="C1049" s="439"/>
      <c r="D1049" s="439"/>
      <c r="E1049" s="439"/>
      <c r="F1049" s="439"/>
      <c r="Z1049" s="500"/>
      <c r="AA1049" s="500"/>
      <c r="AB1049" s="500"/>
      <c r="AC1049" s="500"/>
      <c r="AD1049" s="500"/>
      <c r="AE1049" s="500"/>
      <c r="AF1049" s="500"/>
      <c r="AG1049" s="500"/>
      <c r="AH1049" s="500"/>
      <c r="AI1049" s="500"/>
      <c r="AJ1049" s="500"/>
      <c r="AK1049" s="500"/>
      <c r="AL1049" s="500"/>
      <c r="AM1049" s="500"/>
      <c r="AN1049" s="500"/>
      <c r="AO1049" s="500"/>
      <c r="AP1049" s="500"/>
    </row>
    <row r="1050" spans="1:42" ht="16.5" customHeight="1">
      <c r="A1050" s="439"/>
      <c r="B1050" s="439"/>
      <c r="C1050" s="439"/>
      <c r="D1050" s="439"/>
      <c r="E1050" s="439"/>
      <c r="F1050" s="439"/>
      <c r="Z1050" s="500"/>
      <c r="AA1050" s="500"/>
      <c r="AB1050" s="500"/>
      <c r="AC1050" s="500"/>
      <c r="AD1050" s="500"/>
      <c r="AE1050" s="500"/>
      <c r="AF1050" s="500"/>
      <c r="AG1050" s="500"/>
      <c r="AH1050" s="500"/>
      <c r="AI1050" s="500"/>
      <c r="AJ1050" s="500"/>
      <c r="AK1050" s="500"/>
      <c r="AL1050" s="500"/>
      <c r="AM1050" s="500"/>
      <c r="AN1050" s="500"/>
      <c r="AO1050" s="500"/>
      <c r="AP1050" s="500"/>
    </row>
    <row r="1051" spans="1:42" ht="16.5" customHeight="1">
      <c r="A1051" s="439"/>
      <c r="B1051" s="439"/>
      <c r="C1051" s="439"/>
      <c r="D1051" s="439"/>
      <c r="E1051" s="439"/>
      <c r="F1051" s="439"/>
      <c r="Z1051" s="500"/>
      <c r="AA1051" s="500"/>
      <c r="AB1051" s="500"/>
      <c r="AC1051" s="500"/>
      <c r="AD1051" s="500"/>
      <c r="AE1051" s="500"/>
      <c r="AF1051" s="500"/>
      <c r="AG1051" s="500"/>
      <c r="AH1051" s="500"/>
      <c r="AI1051" s="500"/>
      <c r="AJ1051" s="500"/>
      <c r="AK1051" s="500"/>
      <c r="AL1051" s="500"/>
      <c r="AM1051" s="500"/>
      <c r="AN1051" s="500"/>
      <c r="AO1051" s="500"/>
      <c r="AP1051" s="500"/>
    </row>
    <row r="1052" spans="1:42" ht="16.5" customHeight="1">
      <c r="A1052" s="439"/>
      <c r="B1052" s="439"/>
      <c r="C1052" s="439"/>
      <c r="D1052" s="439"/>
      <c r="E1052" s="439"/>
      <c r="F1052" s="439"/>
      <c r="Z1052" s="500"/>
      <c r="AA1052" s="500"/>
      <c r="AB1052" s="500"/>
      <c r="AC1052" s="500"/>
      <c r="AD1052" s="500"/>
      <c r="AE1052" s="500"/>
      <c r="AF1052" s="500"/>
      <c r="AG1052" s="500"/>
      <c r="AH1052" s="500"/>
      <c r="AI1052" s="500"/>
      <c r="AJ1052" s="500"/>
      <c r="AK1052" s="500"/>
      <c r="AL1052" s="500"/>
      <c r="AM1052" s="500"/>
      <c r="AN1052" s="500"/>
      <c r="AO1052" s="500"/>
      <c r="AP1052" s="500"/>
    </row>
    <row r="1053" spans="1:42" ht="16.5" customHeight="1">
      <c r="A1053" s="497"/>
      <c r="B1053" s="497"/>
      <c r="C1053" s="497"/>
      <c r="D1053" s="497"/>
      <c r="E1053" s="497"/>
      <c r="F1053" s="497"/>
      <c r="Z1053" s="500"/>
      <c r="AA1053" s="500"/>
      <c r="AB1053" s="500"/>
      <c r="AC1053" s="500"/>
      <c r="AD1053" s="500"/>
      <c r="AE1053" s="500"/>
      <c r="AF1053" s="500"/>
      <c r="AG1053" s="500"/>
      <c r="AH1053" s="500"/>
      <c r="AI1053" s="500"/>
      <c r="AJ1053" s="500"/>
      <c r="AK1053" s="500"/>
      <c r="AL1053" s="500"/>
      <c r="AM1053" s="500"/>
      <c r="AN1053" s="500"/>
      <c r="AO1053" s="500"/>
      <c r="AP1053" s="500"/>
    </row>
    <row r="1054" spans="1:42" ht="16.5" customHeight="1">
      <c r="A1054" s="616" t="s">
        <v>3487</v>
      </c>
      <c r="B1054" s="605"/>
      <c r="C1054" s="446">
        <f>E1054+D1054+F1054</f>
        <v>6995</v>
      </c>
      <c r="D1054" s="453">
        <f>ROUNDDOWN(SUMIF(N1007:N1042,M1054,D1007:D1042),0)</f>
        <v>6308</v>
      </c>
      <c r="E1054" s="454">
        <f>ROUNDDOWN(SUMIF(N1007:N1042,M1054,E1007:E1042),0)</f>
        <v>687</v>
      </c>
      <c r="F1054" s="446">
        <f>ROUNDDOWN(SUMIF(N1007:N1042,M1054,F1007:F1042),0)</f>
        <v>0</v>
      </c>
      <c r="M1054" s="501" t="s">
        <v>2354</v>
      </c>
      <c r="Z1054" s="500"/>
      <c r="AA1054" s="500"/>
      <c r="AB1054" s="500"/>
      <c r="AC1054" s="500"/>
      <c r="AD1054" s="500"/>
      <c r="AE1054" s="500"/>
      <c r="AF1054" s="500"/>
      <c r="AG1054" s="500"/>
      <c r="AH1054" s="500"/>
      <c r="AI1054" s="500"/>
      <c r="AJ1054" s="500"/>
      <c r="AK1054" s="500"/>
      <c r="AL1054" s="500"/>
      <c r="AM1054" s="500"/>
      <c r="AN1054" s="500"/>
      <c r="AO1054" s="500"/>
      <c r="AP1054" s="500"/>
    </row>
    <row r="1055" spans="1:42" ht="16.5" customHeight="1">
      <c r="A1055" s="502"/>
      <c r="B1055" s="503" t="s">
        <v>5360</v>
      </c>
      <c r="C1055" s="615">
        <f>C1104</f>
        <v>14790</v>
      </c>
      <c r="D1055" s="615">
        <f>D1104</f>
        <v>13457</v>
      </c>
      <c r="E1055" s="615">
        <f>E1104</f>
        <v>1333</v>
      </c>
      <c r="F1055" s="615">
        <f>F1104</f>
        <v>0</v>
      </c>
      <c r="G1055" s="486" t="str">
        <f>HYPERLINK("#G"&amp;ROW(G1090),"_x0005_`BDCOD|D01353_x0007_`POSS|"&amp;ROW(G1057)&amp;"_x0007_`POSE|"&amp;ROW(G1090)&amp;"_x0007_`")</f>
        <v>_x0005_`BDCOD|D01353_x0007_`POSS|1057_x0007_`POSE|1090_x0007_`</v>
      </c>
      <c r="Z1055" s="500"/>
      <c r="AA1055" s="500"/>
      <c r="AB1055" s="500"/>
      <c r="AC1055" s="500"/>
      <c r="AD1055" s="500"/>
      <c r="AE1055" s="500"/>
      <c r="AF1055" s="500"/>
      <c r="AG1055" s="500"/>
      <c r="AH1055" s="500"/>
      <c r="AI1055" s="500"/>
      <c r="AJ1055" s="500"/>
      <c r="AK1055" s="500"/>
      <c r="AL1055" s="500"/>
      <c r="AM1055" s="500"/>
      <c r="AN1055" s="500"/>
      <c r="AO1055" s="500"/>
      <c r="AP1055" s="500"/>
    </row>
    <row r="1056" spans="1:42" ht="16.5" customHeight="1">
      <c r="A1056" s="485"/>
      <c r="B1056" s="503" t="s">
        <v>5598</v>
      </c>
      <c r="C1056" s="593"/>
      <c r="D1056" s="593"/>
      <c r="E1056" s="593"/>
      <c r="F1056" s="593"/>
      <c r="M1056" s="501" t="s">
        <v>5360</v>
      </c>
      <c r="Z1056" s="500"/>
      <c r="AA1056" s="500"/>
      <c r="AB1056" s="500"/>
      <c r="AC1056" s="500"/>
      <c r="AD1056" s="500"/>
      <c r="AE1056" s="500"/>
      <c r="AF1056" s="500"/>
      <c r="AG1056" s="500"/>
      <c r="AH1056" s="500"/>
      <c r="AI1056" s="500"/>
      <c r="AJ1056" s="500"/>
      <c r="AK1056" s="500"/>
      <c r="AL1056" s="500"/>
      <c r="AM1056" s="500"/>
      <c r="AN1056" s="500"/>
      <c r="AO1056" s="500"/>
      <c r="AP1056" s="500"/>
    </row>
    <row r="1057" spans="1:42" ht="16.5" customHeight="1">
      <c r="A1057" s="439"/>
      <c r="B1057" s="439"/>
      <c r="C1057" s="504"/>
      <c r="D1057" s="504"/>
      <c r="E1057" s="504"/>
      <c r="F1057" s="504"/>
      <c r="G1057" s="451" t="s">
        <v>3406</v>
      </c>
      <c r="Z1057" s="500"/>
      <c r="AA1057" s="500"/>
      <c r="AB1057" s="500"/>
      <c r="AC1057" s="500"/>
      <c r="AD1057" s="500"/>
      <c r="AE1057" s="500"/>
      <c r="AF1057" s="500"/>
      <c r="AG1057" s="500"/>
      <c r="AH1057" s="500"/>
      <c r="AI1057" s="500"/>
      <c r="AJ1057" s="500"/>
      <c r="AK1057" s="500"/>
      <c r="AL1057" s="500"/>
      <c r="AM1057" s="500"/>
      <c r="AN1057" s="500"/>
      <c r="AO1057" s="500"/>
      <c r="AP1057" s="500"/>
    </row>
    <row r="1058" spans="1:42" ht="16.5" customHeight="1">
      <c r="A1058" s="434"/>
      <c r="B1058" s="437" t="s">
        <v>3533</v>
      </c>
      <c r="C1058" s="439"/>
      <c r="D1058" s="439"/>
      <c r="E1058" s="439"/>
      <c r="F1058" s="439"/>
      <c r="G1058" s="451" t="s">
        <v>3534</v>
      </c>
      <c r="Z1058" s="500"/>
      <c r="AA1058" s="500"/>
      <c r="AB1058" s="500"/>
      <c r="AC1058" s="500"/>
      <c r="AD1058" s="500"/>
      <c r="AE1058" s="500"/>
      <c r="AF1058" s="500"/>
      <c r="AG1058" s="500"/>
      <c r="AH1058" s="500"/>
      <c r="AI1058" s="500"/>
      <c r="AJ1058" s="500"/>
      <c r="AK1058" s="500"/>
      <c r="AL1058" s="500"/>
      <c r="AM1058" s="500"/>
      <c r="AN1058" s="500"/>
      <c r="AO1058" s="500"/>
      <c r="AP1058" s="500"/>
    </row>
    <row r="1059" spans="1:42" ht="16.5" customHeight="1">
      <c r="A1059" s="439"/>
      <c r="B1059" s="439"/>
      <c r="C1059" s="439"/>
      <c r="D1059" s="439"/>
      <c r="E1059" s="439"/>
      <c r="F1059" s="439"/>
      <c r="G1059" s="451" t="s">
        <v>3406</v>
      </c>
      <c r="Z1059" s="500"/>
      <c r="AA1059" s="500"/>
      <c r="AB1059" s="500"/>
      <c r="AC1059" s="500"/>
      <c r="AD1059" s="500"/>
      <c r="AE1059" s="500"/>
      <c r="AF1059" s="500"/>
      <c r="AG1059" s="500"/>
      <c r="AH1059" s="500"/>
      <c r="AI1059" s="500"/>
      <c r="AJ1059" s="500"/>
      <c r="AK1059" s="500"/>
      <c r="AL1059" s="500"/>
      <c r="AM1059" s="500"/>
      <c r="AN1059" s="500"/>
      <c r="AO1059" s="500"/>
      <c r="AP1059" s="500"/>
    </row>
    <row r="1060" spans="1:42" ht="16.5" customHeight="1">
      <c r="A1060" s="434"/>
      <c r="B1060" s="437" t="s">
        <v>3525</v>
      </c>
      <c r="C1060" s="439"/>
      <c r="D1060" s="439"/>
      <c r="E1060" s="439"/>
      <c r="F1060" s="439"/>
      <c r="G1060" s="451" t="s">
        <v>3526</v>
      </c>
      <c r="Z1060" s="500"/>
      <c r="AA1060" s="500"/>
      <c r="AB1060" s="500"/>
      <c r="AC1060" s="500"/>
      <c r="AD1060" s="500"/>
      <c r="AE1060" s="500"/>
      <c r="AF1060" s="500"/>
      <c r="AG1060" s="500"/>
      <c r="AH1060" s="500"/>
      <c r="AI1060" s="500"/>
      <c r="AJ1060" s="500"/>
      <c r="AK1060" s="500"/>
      <c r="AL1060" s="500"/>
      <c r="AM1060" s="500"/>
      <c r="AN1060" s="500"/>
      <c r="AO1060" s="500"/>
      <c r="AP1060" s="500"/>
    </row>
    <row r="1061" spans="1:42" ht="16.5" customHeight="1">
      <c r="A1061" s="439"/>
      <c r="B1061" s="439"/>
      <c r="C1061" s="439"/>
      <c r="D1061" s="439"/>
      <c r="E1061" s="439"/>
      <c r="F1061" s="439"/>
      <c r="G1061" s="451" t="s">
        <v>3406</v>
      </c>
      <c r="Z1061" s="500"/>
      <c r="AA1061" s="500"/>
      <c r="AB1061" s="500"/>
      <c r="AC1061" s="500"/>
      <c r="AD1061" s="500"/>
      <c r="AE1061" s="500"/>
      <c r="AF1061" s="500"/>
      <c r="AG1061" s="500"/>
      <c r="AH1061" s="500"/>
      <c r="AI1061" s="500"/>
      <c r="AJ1061" s="500"/>
      <c r="AK1061" s="500"/>
      <c r="AL1061" s="500"/>
      <c r="AM1061" s="500"/>
      <c r="AN1061" s="500"/>
      <c r="AO1061" s="500"/>
      <c r="AP1061" s="500"/>
    </row>
    <row r="1062" spans="1:42" ht="16.5" customHeight="1">
      <c r="A1062" s="434"/>
      <c r="B1062" s="437" t="str">
        <f>" 일당 작업량 :   Q1 = "&amp;Z1062&amp;"  주 "</f>
        <v xml:space="preserve"> 일당 작업량 :   Q1 = 75  주 </v>
      </c>
      <c r="C1062" s="439"/>
      <c r="D1062" s="439"/>
      <c r="E1062" s="439"/>
      <c r="F1062" s="439"/>
      <c r="G1062" s="451" t="s">
        <v>3535</v>
      </c>
      <c r="Z1062" s="515">
        <v>75</v>
      </c>
      <c r="AA1062" s="501" t="s">
        <v>3418</v>
      </c>
      <c r="AB1062" s="512">
        <f>Z1062</f>
        <v>75</v>
      </c>
      <c r="AC1062" s="500"/>
      <c r="AD1062" s="500"/>
      <c r="AE1062" s="500"/>
      <c r="AF1062" s="500"/>
      <c r="AG1062" s="500"/>
      <c r="AH1062" s="500"/>
      <c r="AI1062" s="500"/>
      <c r="AJ1062" s="500"/>
      <c r="AK1062" s="500"/>
      <c r="AL1062" s="500"/>
      <c r="AM1062" s="500"/>
      <c r="AN1062" s="500"/>
      <c r="AO1062" s="500"/>
      <c r="AP1062" s="500"/>
    </row>
    <row r="1063" spans="1:42" ht="16.5" customHeight="1">
      <c r="A1063" s="439"/>
      <c r="B1063" s="439"/>
      <c r="C1063" s="439"/>
      <c r="D1063" s="439"/>
      <c r="E1063" s="439"/>
      <c r="F1063" s="439"/>
      <c r="G1063" s="451" t="s">
        <v>3406</v>
      </c>
      <c r="Z1063" s="500"/>
      <c r="AA1063" s="500"/>
      <c r="AB1063" s="500"/>
      <c r="AC1063" s="500"/>
      <c r="AD1063" s="500"/>
      <c r="AE1063" s="500"/>
      <c r="AF1063" s="500"/>
      <c r="AG1063" s="500"/>
      <c r="AH1063" s="500"/>
      <c r="AI1063" s="500"/>
      <c r="AJ1063" s="500"/>
      <c r="AK1063" s="500"/>
      <c r="AL1063" s="500"/>
      <c r="AM1063" s="500"/>
      <c r="AN1063" s="500"/>
      <c r="AO1063" s="500"/>
      <c r="AP1063" s="500"/>
    </row>
    <row r="1064" spans="1:42" ht="16.5" customHeight="1">
      <c r="A1064" s="434"/>
      <c r="B1064" s="437" t="s">
        <v>3494</v>
      </c>
      <c r="C1064" s="439"/>
      <c r="D1064" s="439"/>
      <c r="E1064" s="439"/>
      <c r="F1064" s="439"/>
      <c r="G1064" s="451" t="s">
        <v>3495</v>
      </c>
      <c r="Z1064" s="500"/>
      <c r="AA1064" s="500"/>
      <c r="AB1064" s="500"/>
      <c r="AC1064" s="500"/>
      <c r="AD1064" s="500"/>
      <c r="AE1064" s="500"/>
      <c r="AF1064" s="500"/>
      <c r="AG1064" s="500"/>
      <c r="AH1064" s="500"/>
      <c r="AI1064" s="500"/>
      <c r="AJ1064" s="500"/>
      <c r="AK1064" s="500"/>
      <c r="AL1064" s="500"/>
      <c r="AM1064" s="500"/>
      <c r="AN1064" s="500"/>
      <c r="AO1064" s="500"/>
      <c r="AP1064" s="500"/>
    </row>
    <row r="1065" spans="1:42" ht="16.5" customHeight="1">
      <c r="A1065" s="439"/>
      <c r="B1065" s="439"/>
      <c r="C1065" s="439"/>
      <c r="D1065" s="439"/>
      <c r="E1065" s="439"/>
      <c r="F1065" s="439"/>
      <c r="G1065" s="451" t="s">
        <v>3406</v>
      </c>
      <c r="Z1065" s="500"/>
      <c r="AA1065" s="500"/>
      <c r="AB1065" s="500"/>
      <c r="AC1065" s="500"/>
      <c r="AD1065" s="500"/>
      <c r="AE1065" s="500"/>
      <c r="AF1065" s="500"/>
      <c r="AG1065" s="500"/>
      <c r="AH1065" s="500"/>
      <c r="AI1065" s="500"/>
      <c r="AJ1065" s="500"/>
      <c r="AK1065" s="500"/>
      <c r="AL1065" s="500"/>
      <c r="AM1065" s="500"/>
      <c r="AN1065" s="500"/>
      <c r="AO1065" s="500"/>
      <c r="AP1065" s="500"/>
    </row>
    <row r="1066" spans="1:42" ht="16.5" customHeight="1">
      <c r="A1066" s="439"/>
      <c r="B1066" s="439"/>
      <c r="C1066" s="439"/>
      <c r="D1066" s="439"/>
      <c r="E1066" s="439"/>
      <c r="F1066" s="439"/>
      <c r="G1066" s="451" t="s">
        <v>3406</v>
      </c>
      <c r="Z1066" s="500"/>
      <c r="AA1066" s="500"/>
      <c r="AB1066" s="500"/>
      <c r="AC1066" s="500"/>
      <c r="AD1066" s="500"/>
      <c r="AE1066" s="500"/>
      <c r="AF1066" s="500"/>
      <c r="AG1066" s="500"/>
      <c r="AH1066" s="500"/>
      <c r="AI1066" s="500"/>
      <c r="AJ1066" s="500"/>
      <c r="AK1066" s="500"/>
      <c r="AL1066" s="500"/>
      <c r="AM1066" s="500"/>
      <c r="AN1066" s="500"/>
      <c r="AO1066" s="500"/>
      <c r="AP1066" s="500"/>
    </row>
    <row r="1067" spans="1:42" ht="16.5" customHeight="1">
      <c r="A1067" s="439"/>
      <c r="B1067" s="439"/>
      <c r="C1067" s="439"/>
      <c r="D1067" s="439"/>
      <c r="E1067" s="439"/>
      <c r="F1067" s="439"/>
      <c r="G1067" s="451" t="s">
        <v>3406</v>
      </c>
      <c r="Z1067" s="500"/>
      <c r="AA1067" s="500"/>
      <c r="AB1067" s="500"/>
      <c r="AC1067" s="500"/>
      <c r="AD1067" s="500"/>
      <c r="AE1067" s="500"/>
      <c r="AF1067" s="500"/>
      <c r="AG1067" s="500"/>
      <c r="AH1067" s="500"/>
      <c r="AI1067" s="500"/>
      <c r="AJ1067" s="500"/>
      <c r="AK1067" s="500"/>
      <c r="AL1067" s="500"/>
      <c r="AM1067" s="500"/>
      <c r="AN1067" s="500"/>
      <c r="AO1067" s="500"/>
      <c r="AP1067" s="500"/>
    </row>
    <row r="1068" spans="1:42" ht="16.5" customHeight="1">
      <c r="A1068" s="439"/>
      <c r="B1068" s="439"/>
      <c r="C1068" s="439"/>
      <c r="D1068" s="439"/>
      <c r="E1068" s="439"/>
      <c r="F1068" s="439"/>
      <c r="G1068" s="451" t="s">
        <v>3406</v>
      </c>
      <c r="Z1068" s="500"/>
      <c r="AA1068" s="500"/>
      <c r="AB1068" s="500"/>
      <c r="AC1068" s="500"/>
      <c r="AD1068" s="500"/>
      <c r="AE1068" s="500"/>
      <c r="AF1068" s="500"/>
      <c r="AG1068" s="500"/>
      <c r="AH1068" s="500"/>
      <c r="AI1068" s="500"/>
      <c r="AJ1068" s="500"/>
      <c r="AK1068" s="500"/>
      <c r="AL1068" s="500"/>
      <c r="AM1068" s="500"/>
      <c r="AN1068" s="500"/>
      <c r="AO1068" s="500"/>
      <c r="AP1068" s="500"/>
    </row>
    <row r="1069" spans="1:42" ht="16.5" customHeight="1">
      <c r="A1069" s="434"/>
      <c r="B1069" s="437" t="s">
        <v>3496</v>
      </c>
      <c r="C1069" s="439"/>
      <c r="D1069" s="439"/>
      <c r="E1069" s="439"/>
      <c r="F1069" s="439"/>
      <c r="G1069" s="451" t="s">
        <v>3497</v>
      </c>
      <c r="Z1069" s="500"/>
      <c r="AA1069" s="500"/>
      <c r="AB1069" s="500"/>
      <c r="AC1069" s="500"/>
      <c r="AD1069" s="500"/>
      <c r="AE1069" s="500"/>
      <c r="AF1069" s="500"/>
      <c r="AG1069" s="500"/>
      <c r="AH1069" s="500"/>
      <c r="AI1069" s="500"/>
      <c r="AJ1069" s="500"/>
      <c r="AK1069" s="500"/>
      <c r="AL1069" s="500"/>
      <c r="AM1069" s="500"/>
      <c r="AN1069" s="500"/>
      <c r="AO1069" s="500"/>
      <c r="AP1069" s="500"/>
    </row>
    <row r="1070" spans="1:42" ht="16.5" customHeight="1">
      <c r="A1070" s="439"/>
      <c r="B1070" s="439"/>
      <c r="C1070" s="439"/>
      <c r="D1070" s="439"/>
      <c r="E1070" s="439"/>
      <c r="F1070" s="439"/>
      <c r="G1070" s="451" t="s">
        <v>3406</v>
      </c>
      <c r="Z1070" s="500"/>
      <c r="AA1070" s="500"/>
      <c r="AB1070" s="500"/>
      <c r="AC1070" s="500"/>
      <c r="AD1070" s="500"/>
      <c r="AE1070" s="500"/>
      <c r="AF1070" s="500"/>
      <c r="AG1070" s="500"/>
      <c r="AH1070" s="500"/>
      <c r="AI1070" s="500"/>
      <c r="AJ1070" s="500"/>
      <c r="AK1070" s="500"/>
      <c r="AL1070" s="500"/>
      <c r="AM1070" s="500"/>
      <c r="AN1070" s="500"/>
      <c r="AO1070" s="500"/>
      <c r="AP1070" s="500"/>
    </row>
    <row r="1071" spans="1:42" ht="16.5" customHeight="1">
      <c r="A1071" s="434" t="s">
        <v>3498</v>
      </c>
      <c r="B1071" s="505" t="str">
        <f>" 조경공 :  "&amp;TEXT(I1071,"#,##0"&amp;IF(I1071&lt;&gt;INT(I1071),".###",""))&amp;" * "&amp;AA1071&amp;" 인  / Q1 = "&amp;TEXT(C1071,"#,##0.0")&amp;""</f>
        <v xml:space="preserve"> 조경공 :  235,204 * 3 인  / Q1 = 9,408.1</v>
      </c>
      <c r="C1071" s="506">
        <f>E1071+D1071+F1071</f>
        <v>9408.1</v>
      </c>
      <c r="D1071" s="506">
        <f>IF(H1071=0,0,ROUNDDOWN(J1071*H1071,1))</f>
        <v>9408.1</v>
      </c>
      <c r="E1071" s="506">
        <f>IF(H1071=0,0,ROUNDDOWN(K1071*H1071,1))</f>
        <v>0</v>
      </c>
      <c r="F1071" s="506">
        <f>IF(H1071=0,0,ROUNDDOWN(L1071*H1071,1))</f>
        <v>0</v>
      </c>
      <c r="G1071" s="451" t="s">
        <v>3499</v>
      </c>
      <c r="H1071" s="507">
        <f>ROUNDUP(AE1071,14-LEN(ABS(INT(AE1071))))</f>
        <v>0.04</v>
      </c>
      <c r="I1071" s="508">
        <f>K1071+J1071+L1071</f>
        <v>235204</v>
      </c>
      <c r="J1071" s="509">
        <f>노무비목록표!E15</f>
        <v>235204</v>
      </c>
      <c r="M1071" s="501" t="s">
        <v>2359</v>
      </c>
      <c r="N1071" s="501" t="s">
        <v>3416</v>
      </c>
      <c r="X1071" s="510" t="str">
        <f>노무비목록표!B15&amp;" / "&amp;노무비목록표!C15</f>
        <v xml:space="preserve">조경공 / </v>
      </c>
      <c r="Y1071" s="433" t="str">
        <f ca="1">HYPERLINK("#"&amp;노무비목록표!G2&amp;"!A"&amp;ROW(노무비목록표!A15),"L00184 →")</f>
        <v>L00184 →</v>
      </c>
      <c r="Z1071" s="501" t="s">
        <v>3500</v>
      </c>
      <c r="AA1071" s="515">
        <v>3</v>
      </c>
      <c r="AB1071" s="501" t="s">
        <v>3428</v>
      </c>
      <c r="AC1071" s="512">
        <f>AB1062</f>
        <v>75</v>
      </c>
      <c r="AD1071" s="501" t="s">
        <v>3418</v>
      </c>
      <c r="AE1071" s="512">
        <f>1*AA1071/AB1062</f>
        <v>0.04</v>
      </c>
      <c r="AF1071" s="500"/>
      <c r="AG1071" s="500"/>
      <c r="AH1071" s="500"/>
      <c r="AI1071" s="500"/>
      <c r="AJ1071" s="500"/>
      <c r="AK1071" s="500"/>
      <c r="AL1071" s="500"/>
      <c r="AM1071" s="500"/>
      <c r="AN1071" s="500"/>
      <c r="AO1071" s="500"/>
      <c r="AP1071" s="500"/>
    </row>
    <row r="1072" spans="1:42" ht="16.5" customHeight="1">
      <c r="A1072" s="439"/>
      <c r="B1072" s="439"/>
      <c r="C1072" s="439"/>
      <c r="D1072" s="439"/>
      <c r="E1072" s="439"/>
      <c r="F1072" s="439"/>
      <c r="G1072" s="451" t="s">
        <v>3406</v>
      </c>
      <c r="Z1072" s="500"/>
      <c r="AA1072" s="500"/>
      <c r="AB1072" s="500"/>
      <c r="AC1072" s="500"/>
      <c r="AD1072" s="500"/>
      <c r="AE1072" s="500"/>
      <c r="AF1072" s="500"/>
      <c r="AG1072" s="500"/>
      <c r="AH1072" s="500"/>
      <c r="AI1072" s="500"/>
      <c r="AJ1072" s="500"/>
      <c r="AK1072" s="500"/>
      <c r="AL1072" s="500"/>
      <c r="AM1072" s="500"/>
      <c r="AN1072" s="500"/>
      <c r="AO1072" s="500"/>
      <c r="AP1072" s="500"/>
    </row>
    <row r="1073" spans="1:42" ht="16.5" customHeight="1">
      <c r="A1073" s="439"/>
      <c r="B1073" s="439"/>
      <c r="C1073" s="439"/>
      <c r="D1073" s="439"/>
      <c r="E1073" s="439"/>
      <c r="F1073" s="439"/>
      <c r="G1073" s="451" t="s">
        <v>3406</v>
      </c>
      <c r="Z1073" s="500"/>
      <c r="AA1073" s="500"/>
      <c r="AB1073" s="500"/>
      <c r="AC1073" s="500"/>
      <c r="AD1073" s="500"/>
      <c r="AE1073" s="500"/>
      <c r="AF1073" s="500"/>
      <c r="AG1073" s="500"/>
      <c r="AH1073" s="500"/>
      <c r="AI1073" s="500"/>
      <c r="AJ1073" s="500"/>
      <c r="AK1073" s="500"/>
      <c r="AL1073" s="500"/>
      <c r="AM1073" s="500"/>
      <c r="AN1073" s="500"/>
      <c r="AO1073" s="500"/>
      <c r="AP1073" s="500"/>
    </row>
    <row r="1074" spans="1:42" ht="16.5" customHeight="1">
      <c r="A1074" s="434" t="s">
        <v>3414</v>
      </c>
      <c r="B1074" s="505" t="str">
        <f>" 보통인부 : "&amp;TEXT(I1074,"#,##0"&amp;IF(I1074&lt;&gt;INT(I1074),".###",""))&amp;" * "&amp;AA1074&amp;" 인  / Q1 = "&amp;TEXT(C1074,"#,##0.0")&amp;""</f>
        <v xml:space="preserve"> 보통인부 : 172,068 * 1 인  / Q1 = 2,294.2</v>
      </c>
      <c r="C1074" s="506">
        <f>E1074+D1074+F1074</f>
        <v>2294.1999999999998</v>
      </c>
      <c r="D1074" s="506">
        <f>IF(H1074=0,0,ROUNDDOWN(J1074*H1074,1))</f>
        <v>2294.1999999999998</v>
      </c>
      <c r="E1074" s="506">
        <f>IF(H1074=0,0,ROUNDDOWN(K1074*H1074,1))</f>
        <v>0</v>
      </c>
      <c r="F1074" s="506">
        <f>IF(H1074=0,0,ROUNDDOWN(L1074*H1074,1))</f>
        <v>0</v>
      </c>
      <c r="G1074" s="451" t="s">
        <v>3501</v>
      </c>
      <c r="H1074" s="507">
        <f>ROUNDUP(AE1074,14-LEN(ABS(INT(AE1074))))</f>
        <v>1.33333333334E-2</v>
      </c>
      <c r="I1074" s="508">
        <f>K1074+J1074+L1074</f>
        <v>172068</v>
      </c>
      <c r="J1074" s="509">
        <f>노무비목록표!E10</f>
        <v>172068</v>
      </c>
      <c r="M1074" s="501" t="s">
        <v>2363</v>
      </c>
      <c r="N1074" s="501" t="s">
        <v>3416</v>
      </c>
      <c r="X1074" s="510" t="str">
        <f>노무비목록표!B10&amp;" / "&amp;노무비목록표!C10</f>
        <v xml:space="preserve">보통인부 / </v>
      </c>
      <c r="Y1074" s="433" t="str">
        <f ca="1">HYPERLINK("#"&amp;노무비목록표!G2&amp;"!A"&amp;ROW(노무비목록표!A10),"L00017 →")</f>
        <v>L00017 →</v>
      </c>
      <c r="Z1074" s="501" t="s">
        <v>3500</v>
      </c>
      <c r="AA1074" s="515">
        <v>1</v>
      </c>
      <c r="AB1074" s="501" t="s">
        <v>3428</v>
      </c>
      <c r="AC1074" s="512">
        <f>AB1062</f>
        <v>75</v>
      </c>
      <c r="AD1074" s="501" t="s">
        <v>3418</v>
      </c>
      <c r="AE1074" s="512">
        <f>1*AA1074/AB1062</f>
        <v>1.3333333333333334E-2</v>
      </c>
      <c r="AF1074" s="500"/>
      <c r="AG1074" s="500"/>
      <c r="AH1074" s="500"/>
      <c r="AI1074" s="500"/>
      <c r="AJ1074" s="500"/>
      <c r="AK1074" s="500"/>
      <c r="AL1074" s="500"/>
      <c r="AM1074" s="500"/>
      <c r="AN1074" s="500"/>
      <c r="AO1074" s="500"/>
      <c r="AP1074" s="500"/>
    </row>
    <row r="1075" spans="1:42" ht="16.5" customHeight="1">
      <c r="A1075" s="439"/>
      <c r="B1075" s="439"/>
      <c r="C1075" s="439"/>
      <c r="D1075" s="439"/>
      <c r="E1075" s="439"/>
      <c r="F1075" s="439"/>
      <c r="G1075" s="451" t="s">
        <v>3406</v>
      </c>
      <c r="Z1075" s="500"/>
      <c r="AA1075" s="500"/>
      <c r="AB1075" s="500"/>
      <c r="AC1075" s="500"/>
      <c r="AD1075" s="500"/>
      <c r="AE1075" s="500"/>
      <c r="AF1075" s="500"/>
      <c r="AG1075" s="500"/>
      <c r="AH1075" s="500"/>
      <c r="AI1075" s="500"/>
      <c r="AJ1075" s="500"/>
      <c r="AK1075" s="500"/>
      <c r="AL1075" s="500"/>
      <c r="AM1075" s="500"/>
      <c r="AN1075" s="500"/>
      <c r="AO1075" s="500"/>
      <c r="AP1075" s="500"/>
    </row>
    <row r="1076" spans="1:42" ht="16.5" customHeight="1">
      <c r="A1076" s="434"/>
      <c r="B1076" s="437" t="s">
        <v>3419</v>
      </c>
      <c r="C1076" s="513">
        <f>E1076+D1076+F1076</f>
        <v>11702.3</v>
      </c>
      <c r="D1076" s="513">
        <f>SUMIF(N1057:N1075,M1076,D1057:D1075)</f>
        <v>11702.3</v>
      </c>
      <c r="E1076" s="513">
        <f>SUMIF(N1057:N1075,M1076,E1057:E1075)</f>
        <v>0</v>
      </c>
      <c r="F1076" s="513">
        <f>SUMIF(N1057:N1075,M1076,F1057:F1075)</f>
        <v>0</v>
      </c>
      <c r="G1076" s="451" t="s">
        <v>3439</v>
      </c>
      <c r="M1076" s="501" t="s">
        <v>3416</v>
      </c>
      <c r="N1076" s="501" t="s">
        <v>3421</v>
      </c>
      <c r="Z1076" s="500"/>
      <c r="AA1076" s="500"/>
      <c r="AB1076" s="500"/>
      <c r="AC1076" s="500"/>
      <c r="AD1076" s="500"/>
      <c r="AE1076" s="500"/>
      <c r="AF1076" s="500"/>
      <c r="AG1076" s="500"/>
      <c r="AH1076" s="500"/>
      <c r="AI1076" s="500"/>
      <c r="AJ1076" s="500"/>
      <c r="AK1076" s="500"/>
      <c r="AL1076" s="500"/>
      <c r="AM1076" s="500"/>
      <c r="AN1076" s="500"/>
      <c r="AO1076" s="500"/>
      <c r="AP1076" s="500"/>
    </row>
    <row r="1077" spans="1:42" ht="16.5" customHeight="1">
      <c r="A1077" s="439"/>
      <c r="B1077" s="439"/>
      <c r="C1077" s="504"/>
      <c r="D1077" s="504"/>
      <c r="E1077" s="504"/>
      <c r="F1077" s="504"/>
      <c r="G1077" s="451" t="s">
        <v>3406</v>
      </c>
      <c r="Z1077" s="500"/>
      <c r="AA1077" s="500"/>
      <c r="AB1077" s="500"/>
      <c r="AC1077" s="500"/>
      <c r="AD1077" s="500"/>
      <c r="AE1077" s="500"/>
      <c r="AF1077" s="500"/>
      <c r="AG1077" s="500"/>
      <c r="AH1077" s="500"/>
      <c r="AI1077" s="500"/>
      <c r="AJ1077" s="500"/>
      <c r="AK1077" s="500"/>
      <c r="AL1077" s="500"/>
      <c r="AM1077" s="500"/>
      <c r="AN1077" s="500"/>
      <c r="AO1077" s="500"/>
      <c r="AP1077" s="500"/>
    </row>
    <row r="1078" spans="1:42" ht="16.5" customHeight="1">
      <c r="A1078" s="439"/>
      <c r="B1078" s="439"/>
      <c r="C1078" s="439"/>
      <c r="D1078" s="439"/>
      <c r="E1078" s="439"/>
      <c r="F1078" s="439"/>
      <c r="G1078" s="451" t="s">
        <v>3406</v>
      </c>
      <c r="Z1078" s="500"/>
      <c r="AA1078" s="500"/>
      <c r="AB1078" s="500"/>
      <c r="AC1078" s="500"/>
      <c r="AD1078" s="500"/>
      <c r="AE1078" s="500"/>
      <c r="AF1078" s="500"/>
      <c r="AG1078" s="500"/>
      <c r="AH1078" s="500"/>
      <c r="AI1078" s="500"/>
      <c r="AJ1078" s="500"/>
      <c r="AK1078" s="500"/>
      <c r="AL1078" s="500"/>
      <c r="AM1078" s="500"/>
      <c r="AN1078" s="500"/>
      <c r="AO1078" s="500"/>
      <c r="AP1078" s="500"/>
    </row>
    <row r="1079" spans="1:42" ht="16.5" customHeight="1">
      <c r="A1079" s="434"/>
      <c r="B1079" s="437" t="s">
        <v>3502</v>
      </c>
      <c r="C1079" s="439"/>
      <c r="D1079" s="439"/>
      <c r="E1079" s="439"/>
      <c r="F1079" s="439"/>
      <c r="G1079" s="451" t="s">
        <v>3503</v>
      </c>
      <c r="Z1079" s="500"/>
      <c r="AA1079" s="500"/>
      <c r="AB1079" s="500"/>
      <c r="AC1079" s="500"/>
      <c r="AD1079" s="500"/>
      <c r="AE1079" s="500"/>
      <c r="AF1079" s="500"/>
      <c r="AG1079" s="500"/>
      <c r="AH1079" s="500"/>
      <c r="AI1079" s="500"/>
      <c r="AJ1079" s="500"/>
      <c r="AK1079" s="500"/>
      <c r="AL1079" s="500"/>
      <c r="AM1079" s="500"/>
      <c r="AN1079" s="500"/>
      <c r="AO1079" s="500"/>
      <c r="AP1079" s="500"/>
    </row>
    <row r="1080" spans="1:42" ht="16.5" customHeight="1">
      <c r="A1080" s="439"/>
      <c r="B1080" s="439"/>
      <c r="C1080" s="439"/>
      <c r="D1080" s="439"/>
      <c r="E1080" s="439"/>
      <c r="F1080" s="439"/>
      <c r="G1080" s="451" t="s">
        <v>3406</v>
      </c>
      <c r="Z1080" s="500"/>
      <c r="AA1080" s="500"/>
      <c r="AB1080" s="500"/>
      <c r="AC1080" s="500"/>
      <c r="AD1080" s="500"/>
      <c r="AE1080" s="500"/>
      <c r="AF1080" s="500"/>
      <c r="AG1080" s="500"/>
      <c r="AH1080" s="500"/>
      <c r="AI1080" s="500"/>
      <c r="AJ1080" s="500"/>
      <c r="AK1080" s="500"/>
      <c r="AL1080" s="500"/>
      <c r="AM1080" s="500"/>
      <c r="AN1080" s="500"/>
      <c r="AO1080" s="500"/>
      <c r="AP1080" s="500"/>
    </row>
    <row r="1081" spans="1:42" ht="16.5" customHeight="1">
      <c r="A1081" s="434" t="s">
        <v>3504</v>
      </c>
      <c r="B1081" s="505" t="str">
        <f>"  유기질비료 수목이식·식재용 : "&amp;TEXT(I1081,"#,##0"&amp;IF(I1081&lt;&gt;INT(I1081),".###",""))&amp;" * "&amp;AA1081&amp;" KG  / Q1 = "&amp;TEXT(C1081,"#,##0.0")&amp;""</f>
        <v xml:space="preserve">  유기질비료 수목이식·식재용 : 500 * 200 KG  / Q1 = 1,333.3</v>
      </c>
      <c r="C1081" s="506">
        <f>E1081+D1081+F1081</f>
        <v>1333.3</v>
      </c>
      <c r="D1081" s="506">
        <f>IF(H1081=0,0,ROUNDDOWN(J1081*H1081,1))</f>
        <v>0</v>
      </c>
      <c r="E1081" s="506">
        <f>IF(H1081=0,0,ROUNDDOWN(K1081*H1081,1))</f>
        <v>1333.3</v>
      </c>
      <c r="F1081" s="506">
        <f>IF(H1081=0,0,ROUNDDOWN(L1081*H1081,1))</f>
        <v>0</v>
      </c>
      <c r="G1081" s="451" t="s">
        <v>3516</v>
      </c>
      <c r="H1081" s="507">
        <f>ROUNDUP(AE1081,14-LEN(ABS(INT(AE1081))))</f>
        <v>2.6666666666666998</v>
      </c>
      <c r="I1081" s="508">
        <f>K1081+J1081+L1081</f>
        <v>500</v>
      </c>
      <c r="K1081" s="509">
        <f>재료비목록표!E78</f>
        <v>500</v>
      </c>
      <c r="M1081" s="501" t="s">
        <v>3506</v>
      </c>
      <c r="N1081" s="501" t="s">
        <v>3416</v>
      </c>
      <c r="X1081" s="510" t="str">
        <f>재료비목록표!B78&amp;" / "&amp;재료비목록표!C78</f>
        <v>유기질비료 / 수목이식·식재용</v>
      </c>
      <c r="Y1081" s="433" t="str">
        <f ca="1">HYPERLINK("#"&amp;재료비목록표!G2&amp;"!A"&amp;ROW(재료비목록표!A78),"M01159 →")</f>
        <v>M01159 →</v>
      </c>
      <c r="Z1081" s="501" t="s">
        <v>3500</v>
      </c>
      <c r="AA1081" s="515">
        <v>200</v>
      </c>
      <c r="AB1081" s="501" t="s">
        <v>3428</v>
      </c>
      <c r="AC1081" s="512">
        <f>AB1062</f>
        <v>75</v>
      </c>
      <c r="AD1081" s="501" t="s">
        <v>3418</v>
      </c>
      <c r="AE1081" s="512">
        <f>1*AA1081/AB1062</f>
        <v>2.6666666666666665</v>
      </c>
      <c r="AF1081" s="500"/>
      <c r="AG1081" s="500"/>
      <c r="AH1081" s="500"/>
      <c r="AI1081" s="500"/>
      <c r="AJ1081" s="500"/>
      <c r="AK1081" s="500"/>
      <c r="AL1081" s="500"/>
      <c r="AM1081" s="500"/>
      <c r="AN1081" s="500"/>
      <c r="AO1081" s="500"/>
      <c r="AP1081" s="500"/>
    </row>
    <row r="1082" spans="1:42" ht="16.5" customHeight="1">
      <c r="A1082" s="439"/>
      <c r="B1082" s="439"/>
      <c r="C1082" s="439"/>
      <c r="D1082" s="439"/>
      <c r="E1082" s="439"/>
      <c r="F1082" s="439"/>
      <c r="G1082" s="451" t="s">
        <v>3406</v>
      </c>
      <c r="Z1082" s="500"/>
      <c r="AA1082" s="500"/>
      <c r="AB1082" s="500"/>
      <c r="AC1082" s="500"/>
      <c r="AD1082" s="500"/>
      <c r="AE1082" s="500"/>
      <c r="AF1082" s="500"/>
      <c r="AG1082" s="500"/>
      <c r="AH1082" s="500"/>
      <c r="AI1082" s="500"/>
      <c r="AJ1082" s="500"/>
      <c r="AK1082" s="500"/>
      <c r="AL1082" s="500"/>
      <c r="AM1082" s="500"/>
      <c r="AN1082" s="500"/>
      <c r="AO1082" s="500"/>
      <c r="AP1082" s="500"/>
    </row>
    <row r="1083" spans="1:42" ht="16.5" customHeight="1">
      <c r="A1083" s="434"/>
      <c r="B1083" s="437" t="s">
        <v>3419</v>
      </c>
      <c r="C1083" s="513">
        <f>E1083+D1083+F1083</f>
        <v>1333.3</v>
      </c>
      <c r="D1083" s="513">
        <f>SUMIF(N1077:N1082,M1083,D1077:D1082)</f>
        <v>0</v>
      </c>
      <c r="E1083" s="513">
        <f>SUMIF(N1077:N1082,M1083,E1077:E1082)</f>
        <v>1333.3</v>
      </c>
      <c r="F1083" s="513">
        <f>SUMIF(N1077:N1082,M1083,F1077:F1082)</f>
        <v>0</v>
      </c>
      <c r="G1083" s="451" t="s">
        <v>3439</v>
      </c>
      <c r="M1083" s="501" t="s">
        <v>3416</v>
      </c>
      <c r="N1083" s="501" t="s">
        <v>3421</v>
      </c>
      <c r="Z1083" s="500"/>
      <c r="AA1083" s="500"/>
      <c r="AB1083" s="500"/>
      <c r="AC1083" s="500"/>
      <c r="AD1083" s="500"/>
      <c r="AE1083" s="500"/>
      <c r="AF1083" s="500"/>
      <c r="AG1083" s="500"/>
      <c r="AH1083" s="500"/>
      <c r="AI1083" s="500"/>
      <c r="AJ1083" s="500"/>
      <c r="AK1083" s="500"/>
      <c r="AL1083" s="500"/>
      <c r="AM1083" s="500"/>
      <c r="AN1083" s="500"/>
      <c r="AO1083" s="500"/>
      <c r="AP1083" s="500"/>
    </row>
    <row r="1084" spans="1:42" ht="16.5" customHeight="1">
      <c r="A1084" s="439"/>
      <c r="B1084" s="439"/>
      <c r="C1084" s="504"/>
      <c r="D1084" s="504"/>
      <c r="E1084" s="504"/>
      <c r="F1084" s="504"/>
      <c r="G1084" s="451" t="s">
        <v>3406</v>
      </c>
      <c r="Z1084" s="500"/>
      <c r="AA1084" s="500"/>
      <c r="AB1084" s="500"/>
      <c r="AC1084" s="500"/>
      <c r="AD1084" s="500"/>
      <c r="AE1084" s="500"/>
      <c r="AF1084" s="500"/>
      <c r="AG1084" s="500"/>
      <c r="AH1084" s="500"/>
      <c r="AI1084" s="500"/>
      <c r="AJ1084" s="500"/>
      <c r="AK1084" s="500"/>
      <c r="AL1084" s="500"/>
      <c r="AM1084" s="500"/>
      <c r="AN1084" s="500"/>
      <c r="AO1084" s="500"/>
      <c r="AP1084" s="500"/>
    </row>
    <row r="1085" spans="1:42" ht="16.5" customHeight="1">
      <c r="A1085" s="434"/>
      <c r="B1085" s="505" t="str">
        <f>"  산지할증 : "&amp;TEXT(I1085,"#,##0.0")&amp;" * "&amp;AA1085&amp;" %  = "&amp;TEXT(C1085,"#,##0.0")&amp;""</f>
        <v xml:space="preserve">  산지할증 : 11,702.3 * 15 %  = 1,755.3</v>
      </c>
      <c r="C1085" s="506">
        <f>E1085+D1085+F1085</f>
        <v>1755.3</v>
      </c>
      <c r="D1085" s="506">
        <f>IF(H1085=0,0,ROUNDDOWN(J1085*H1085/100,1))</f>
        <v>1755.3</v>
      </c>
      <c r="E1085" s="506">
        <f>IF(H1085=0,0,ROUNDDOWN(K1085*H1085/100,1))</f>
        <v>0</v>
      </c>
      <c r="F1085" s="506">
        <f>IF(H1085=0,0,ROUNDDOWN(L1085*H1085/100,1))</f>
        <v>0</v>
      </c>
      <c r="G1085" s="451" t="s">
        <v>5587</v>
      </c>
      <c r="H1085" s="507">
        <f>ROUNDUP(AC1085,14-LEN(ABS(INT(AC1085))))</f>
        <v>15</v>
      </c>
      <c r="I1085" s="508">
        <f>K1085+J1085+L1085</f>
        <v>11702.3</v>
      </c>
      <c r="J1085" s="508">
        <f>D1076+D1083+SUMIF(N1084:N1084,N1085,D1084:D1084)</f>
        <v>11702.3</v>
      </c>
      <c r="K1085" s="456">
        <v>0</v>
      </c>
      <c r="L1085" s="456">
        <v>0</v>
      </c>
      <c r="M1085" s="501" t="s">
        <v>4208</v>
      </c>
      <c r="N1085" s="501" t="s">
        <v>3416</v>
      </c>
      <c r="Z1085" s="501" t="s">
        <v>3500</v>
      </c>
      <c r="AA1085" s="515">
        <v>15</v>
      </c>
      <c r="AB1085" s="501" t="s">
        <v>3418</v>
      </c>
      <c r="AC1085" s="512">
        <f>1*AA1085</f>
        <v>15</v>
      </c>
      <c r="AD1085" s="500"/>
      <c r="AE1085" s="500"/>
      <c r="AF1085" s="500"/>
      <c r="AG1085" s="500"/>
      <c r="AH1085" s="500"/>
      <c r="AI1085" s="500"/>
      <c r="AJ1085" s="500"/>
      <c r="AK1085" s="500"/>
      <c r="AL1085" s="500"/>
      <c r="AM1085" s="500"/>
      <c r="AN1085" s="500"/>
      <c r="AO1085" s="500"/>
      <c r="AP1085" s="500"/>
    </row>
    <row r="1086" spans="1:42" ht="16.5" customHeight="1">
      <c r="A1086" s="439"/>
      <c r="B1086" s="439"/>
      <c r="C1086" s="439"/>
      <c r="D1086" s="439"/>
      <c r="E1086" s="439"/>
      <c r="F1086" s="439"/>
      <c r="G1086" s="451" t="s">
        <v>3406</v>
      </c>
      <c r="Z1086" s="500"/>
      <c r="AA1086" s="500"/>
      <c r="AB1086" s="500"/>
      <c r="AC1086" s="500"/>
      <c r="AD1086" s="500"/>
      <c r="AE1086" s="500"/>
      <c r="AF1086" s="500"/>
      <c r="AG1086" s="500"/>
      <c r="AH1086" s="500"/>
      <c r="AI1086" s="500"/>
      <c r="AJ1086" s="500"/>
      <c r="AK1086" s="500"/>
      <c r="AL1086" s="500"/>
      <c r="AM1086" s="500"/>
      <c r="AN1086" s="500"/>
      <c r="AO1086" s="500"/>
      <c r="AP1086" s="500"/>
    </row>
    <row r="1087" spans="1:42" ht="16.5" customHeight="1">
      <c r="A1087" s="434"/>
      <c r="B1087" s="437" t="s">
        <v>3419</v>
      </c>
      <c r="C1087" s="513">
        <f>E1087+D1087+F1087</f>
        <v>1755.3</v>
      </c>
      <c r="D1087" s="513">
        <f>SUMIF(N1084:N1086,M1087,D1084:D1086)</f>
        <v>1755.3</v>
      </c>
      <c r="E1087" s="513">
        <f>SUMIF(N1084:N1086,M1087,E1084:E1086)</f>
        <v>0</v>
      </c>
      <c r="F1087" s="513">
        <f>SUMIF(N1084:N1086,M1087,F1084:F1086)</f>
        <v>0</v>
      </c>
      <c r="G1087" s="451" t="s">
        <v>3439</v>
      </c>
      <c r="M1087" s="501" t="s">
        <v>3416</v>
      </c>
      <c r="N1087" s="501" t="s">
        <v>3421</v>
      </c>
      <c r="Z1087" s="500"/>
      <c r="AA1087" s="500"/>
      <c r="AB1087" s="500"/>
      <c r="AC1087" s="500"/>
      <c r="AD1087" s="500"/>
      <c r="AE1087" s="500"/>
      <c r="AF1087" s="500"/>
      <c r="AG1087" s="500"/>
      <c r="AH1087" s="500"/>
      <c r="AI1087" s="500"/>
      <c r="AJ1087" s="500"/>
      <c r="AK1087" s="500"/>
      <c r="AL1087" s="500"/>
      <c r="AM1087" s="500"/>
      <c r="AN1087" s="500"/>
      <c r="AO1087" s="500"/>
      <c r="AP1087" s="500"/>
    </row>
    <row r="1088" spans="1:42" ht="16.5" customHeight="1">
      <c r="A1088" s="439"/>
      <c r="B1088" s="439"/>
      <c r="C1088" s="504"/>
      <c r="D1088" s="504"/>
      <c r="E1088" s="504"/>
      <c r="F1088" s="504"/>
      <c r="G1088" s="451" t="s">
        <v>3406</v>
      </c>
      <c r="Z1088" s="500"/>
      <c r="AA1088" s="500"/>
      <c r="AB1088" s="500"/>
      <c r="AC1088" s="500"/>
      <c r="AD1088" s="500"/>
      <c r="AE1088" s="500"/>
      <c r="AF1088" s="500"/>
      <c r="AG1088" s="500"/>
      <c r="AH1088" s="500"/>
      <c r="AI1088" s="500"/>
      <c r="AJ1088" s="500"/>
      <c r="AK1088" s="500"/>
      <c r="AL1088" s="500"/>
      <c r="AM1088" s="500"/>
      <c r="AN1088" s="500"/>
      <c r="AO1088" s="500"/>
      <c r="AP1088" s="500"/>
    </row>
    <row r="1089" spans="1:42" ht="16.5" customHeight="1">
      <c r="A1089" s="434"/>
      <c r="B1089" s="437" t="s">
        <v>3440</v>
      </c>
      <c r="C1089" s="513">
        <f>E1089+D1089+F1089</f>
        <v>14790.899999999998</v>
      </c>
      <c r="D1089" s="513">
        <f>SUMIF(N1057:N1088,M1089,D1057:D1088)</f>
        <v>13457.599999999999</v>
      </c>
      <c r="E1089" s="513">
        <f>SUMIF(N1057:N1088,M1089,E1057:E1088)</f>
        <v>1333.3</v>
      </c>
      <c r="F1089" s="513">
        <f>SUMIF(N1057:N1088,M1089,F1057:F1088)</f>
        <v>0</v>
      </c>
      <c r="G1089" s="451" t="s">
        <v>3441</v>
      </c>
      <c r="M1089" s="501" t="s">
        <v>3421</v>
      </c>
      <c r="N1089" s="501" t="s">
        <v>2354</v>
      </c>
      <c r="Z1089" s="500"/>
      <c r="AA1089" s="500"/>
      <c r="AB1089" s="500"/>
      <c r="AC1089" s="500"/>
      <c r="AD1089" s="500"/>
      <c r="AE1089" s="500"/>
      <c r="AF1089" s="500"/>
      <c r="AG1089" s="500"/>
      <c r="AH1089" s="500"/>
      <c r="AI1089" s="500"/>
      <c r="AJ1089" s="500"/>
      <c r="AK1089" s="500"/>
      <c r="AL1089" s="500"/>
      <c r="AM1089" s="500"/>
      <c r="AN1089" s="500"/>
      <c r="AO1089" s="500"/>
      <c r="AP1089" s="500"/>
    </row>
    <row r="1090" spans="1:42" ht="16.5" customHeight="1">
      <c r="A1090" s="439"/>
      <c r="B1090" s="439"/>
      <c r="C1090" s="504"/>
      <c r="D1090" s="504"/>
      <c r="E1090" s="504"/>
      <c r="F1090" s="504"/>
      <c r="G1090" s="451" t="s">
        <v>3413</v>
      </c>
      <c r="Z1090" s="500"/>
      <c r="AA1090" s="500"/>
      <c r="AB1090" s="500"/>
      <c r="AC1090" s="500"/>
      <c r="AD1090" s="500"/>
      <c r="AE1090" s="500"/>
      <c r="AF1090" s="500"/>
      <c r="AG1090" s="500"/>
      <c r="AH1090" s="500"/>
      <c r="AI1090" s="500"/>
      <c r="AJ1090" s="500"/>
      <c r="AK1090" s="500"/>
      <c r="AL1090" s="500"/>
      <c r="AM1090" s="500"/>
      <c r="AN1090" s="500"/>
      <c r="AO1090" s="500"/>
      <c r="AP1090" s="500"/>
    </row>
    <row r="1091" spans="1:42" ht="16.5" customHeight="1">
      <c r="A1091" s="439"/>
      <c r="B1091" s="439"/>
      <c r="C1091" s="439"/>
      <c r="D1091" s="439"/>
      <c r="E1091" s="439"/>
      <c r="F1091" s="439"/>
      <c r="Z1091" s="500"/>
      <c r="AA1091" s="500"/>
      <c r="AB1091" s="500"/>
      <c r="AC1091" s="500"/>
      <c r="AD1091" s="500"/>
      <c r="AE1091" s="500"/>
      <c r="AF1091" s="500"/>
      <c r="AG1091" s="500"/>
      <c r="AH1091" s="500"/>
      <c r="AI1091" s="500"/>
      <c r="AJ1091" s="500"/>
      <c r="AK1091" s="500"/>
      <c r="AL1091" s="500"/>
      <c r="AM1091" s="500"/>
      <c r="AN1091" s="500"/>
      <c r="AO1091" s="500"/>
      <c r="AP1091" s="500"/>
    </row>
    <row r="1092" spans="1:42" ht="16.5" customHeight="1">
      <c r="A1092" s="439"/>
      <c r="B1092" s="439"/>
      <c r="C1092" s="439"/>
      <c r="D1092" s="439"/>
      <c r="E1092" s="439"/>
      <c r="F1092" s="439"/>
      <c r="Z1092" s="500"/>
      <c r="AA1092" s="500"/>
      <c r="AB1092" s="500"/>
      <c r="AC1092" s="500"/>
      <c r="AD1092" s="500"/>
      <c r="AE1092" s="500"/>
      <c r="AF1092" s="500"/>
      <c r="AG1092" s="500"/>
      <c r="AH1092" s="500"/>
      <c r="AI1092" s="500"/>
      <c r="AJ1092" s="500"/>
      <c r="AK1092" s="500"/>
      <c r="AL1092" s="500"/>
      <c r="AM1092" s="500"/>
      <c r="AN1092" s="500"/>
      <c r="AO1092" s="500"/>
      <c r="AP1092" s="500"/>
    </row>
    <row r="1093" spans="1:42" ht="16.5" customHeight="1">
      <c r="A1093" s="439"/>
      <c r="B1093" s="439"/>
      <c r="C1093" s="439"/>
      <c r="D1093" s="439"/>
      <c r="E1093" s="439"/>
      <c r="F1093" s="439"/>
      <c r="Z1093" s="500"/>
      <c r="AA1093" s="500"/>
      <c r="AB1093" s="500"/>
      <c r="AC1093" s="500"/>
      <c r="AD1093" s="500"/>
      <c r="AE1093" s="500"/>
      <c r="AF1093" s="500"/>
      <c r="AG1093" s="500"/>
      <c r="AH1093" s="500"/>
      <c r="AI1093" s="500"/>
      <c r="AJ1093" s="500"/>
      <c r="AK1093" s="500"/>
      <c r="AL1093" s="500"/>
      <c r="AM1093" s="500"/>
      <c r="AN1093" s="500"/>
      <c r="AO1093" s="500"/>
      <c r="AP1093" s="500"/>
    </row>
    <row r="1094" spans="1:42" ht="16.5" customHeight="1">
      <c r="A1094" s="439"/>
      <c r="B1094" s="439"/>
      <c r="C1094" s="439"/>
      <c r="D1094" s="439"/>
      <c r="E1094" s="439"/>
      <c r="F1094" s="439"/>
      <c r="Z1094" s="500"/>
      <c r="AA1094" s="500"/>
      <c r="AB1094" s="500"/>
      <c r="AC1094" s="500"/>
      <c r="AD1094" s="500"/>
      <c r="AE1094" s="500"/>
      <c r="AF1094" s="500"/>
      <c r="AG1094" s="500"/>
      <c r="AH1094" s="500"/>
      <c r="AI1094" s="500"/>
      <c r="AJ1094" s="500"/>
      <c r="AK1094" s="500"/>
      <c r="AL1094" s="500"/>
      <c r="AM1094" s="500"/>
      <c r="AN1094" s="500"/>
      <c r="AO1094" s="500"/>
      <c r="AP1094" s="500"/>
    </row>
    <row r="1095" spans="1:42" ht="16.5" customHeight="1">
      <c r="A1095" s="439"/>
      <c r="B1095" s="439"/>
      <c r="C1095" s="439"/>
      <c r="D1095" s="439"/>
      <c r="E1095" s="439"/>
      <c r="F1095" s="439"/>
      <c r="Z1095" s="500"/>
      <c r="AA1095" s="500"/>
      <c r="AB1095" s="500"/>
      <c r="AC1095" s="500"/>
      <c r="AD1095" s="500"/>
      <c r="AE1095" s="500"/>
      <c r="AF1095" s="500"/>
      <c r="AG1095" s="500"/>
      <c r="AH1095" s="500"/>
      <c r="AI1095" s="500"/>
      <c r="AJ1095" s="500"/>
      <c r="AK1095" s="500"/>
      <c r="AL1095" s="500"/>
      <c r="AM1095" s="500"/>
      <c r="AN1095" s="500"/>
      <c r="AO1095" s="500"/>
      <c r="AP1095" s="500"/>
    </row>
    <row r="1096" spans="1:42" ht="16.5" customHeight="1">
      <c r="A1096" s="439"/>
      <c r="B1096" s="439"/>
      <c r="C1096" s="439"/>
      <c r="D1096" s="439"/>
      <c r="E1096" s="439"/>
      <c r="F1096" s="439"/>
      <c r="Z1096" s="500"/>
      <c r="AA1096" s="500"/>
      <c r="AB1096" s="500"/>
      <c r="AC1096" s="500"/>
      <c r="AD1096" s="500"/>
      <c r="AE1096" s="500"/>
      <c r="AF1096" s="500"/>
      <c r="AG1096" s="500"/>
      <c r="AH1096" s="500"/>
      <c r="AI1096" s="500"/>
      <c r="AJ1096" s="500"/>
      <c r="AK1096" s="500"/>
      <c r="AL1096" s="500"/>
      <c r="AM1096" s="500"/>
      <c r="AN1096" s="500"/>
      <c r="AO1096" s="500"/>
      <c r="AP1096" s="500"/>
    </row>
    <row r="1097" spans="1:42" ht="16.5" customHeight="1">
      <c r="A1097" s="439"/>
      <c r="B1097" s="439"/>
      <c r="C1097" s="439"/>
      <c r="D1097" s="439"/>
      <c r="E1097" s="439"/>
      <c r="F1097" s="439"/>
      <c r="Z1097" s="500"/>
      <c r="AA1097" s="500"/>
      <c r="AB1097" s="500"/>
      <c r="AC1097" s="500"/>
      <c r="AD1097" s="500"/>
      <c r="AE1097" s="500"/>
      <c r="AF1097" s="500"/>
      <c r="AG1097" s="500"/>
      <c r="AH1097" s="500"/>
      <c r="AI1097" s="500"/>
      <c r="AJ1097" s="500"/>
      <c r="AK1097" s="500"/>
      <c r="AL1097" s="500"/>
      <c r="AM1097" s="500"/>
      <c r="AN1097" s="500"/>
      <c r="AO1097" s="500"/>
      <c r="AP1097" s="500"/>
    </row>
    <row r="1098" spans="1:42" ht="16.5" customHeight="1">
      <c r="A1098" s="439"/>
      <c r="B1098" s="439"/>
      <c r="C1098" s="439"/>
      <c r="D1098" s="439"/>
      <c r="E1098" s="439"/>
      <c r="F1098" s="439"/>
      <c r="Z1098" s="500"/>
      <c r="AA1098" s="500"/>
      <c r="AB1098" s="500"/>
      <c r="AC1098" s="500"/>
      <c r="AD1098" s="500"/>
      <c r="AE1098" s="500"/>
      <c r="AF1098" s="500"/>
      <c r="AG1098" s="500"/>
      <c r="AH1098" s="500"/>
      <c r="AI1098" s="500"/>
      <c r="AJ1098" s="500"/>
      <c r="AK1098" s="500"/>
      <c r="AL1098" s="500"/>
      <c r="AM1098" s="500"/>
      <c r="AN1098" s="500"/>
      <c r="AO1098" s="500"/>
      <c r="AP1098" s="500"/>
    </row>
    <row r="1099" spans="1:42" ht="16.5" customHeight="1">
      <c r="A1099" s="439"/>
      <c r="B1099" s="439"/>
      <c r="C1099" s="439"/>
      <c r="D1099" s="439"/>
      <c r="E1099" s="439"/>
      <c r="F1099" s="439"/>
      <c r="Z1099" s="500"/>
      <c r="AA1099" s="500"/>
      <c r="AB1099" s="500"/>
      <c r="AC1099" s="500"/>
      <c r="AD1099" s="500"/>
      <c r="AE1099" s="500"/>
      <c r="AF1099" s="500"/>
      <c r="AG1099" s="500"/>
      <c r="AH1099" s="500"/>
      <c r="AI1099" s="500"/>
      <c r="AJ1099" s="500"/>
      <c r="AK1099" s="500"/>
      <c r="AL1099" s="500"/>
      <c r="AM1099" s="500"/>
      <c r="AN1099" s="500"/>
      <c r="AO1099" s="500"/>
      <c r="AP1099" s="500"/>
    </row>
    <row r="1100" spans="1:42" ht="16.5" customHeight="1">
      <c r="A1100" s="439"/>
      <c r="B1100" s="439"/>
      <c r="C1100" s="439"/>
      <c r="D1100" s="439"/>
      <c r="E1100" s="439"/>
      <c r="F1100" s="439"/>
      <c r="Z1100" s="500"/>
      <c r="AA1100" s="500"/>
      <c r="AB1100" s="500"/>
      <c r="AC1100" s="500"/>
      <c r="AD1100" s="500"/>
      <c r="AE1100" s="500"/>
      <c r="AF1100" s="500"/>
      <c r="AG1100" s="500"/>
      <c r="AH1100" s="500"/>
      <c r="AI1100" s="500"/>
      <c r="AJ1100" s="500"/>
      <c r="AK1100" s="500"/>
      <c r="AL1100" s="500"/>
      <c r="AM1100" s="500"/>
      <c r="AN1100" s="500"/>
      <c r="AO1100" s="500"/>
      <c r="AP1100" s="500"/>
    </row>
    <row r="1101" spans="1:42" ht="16.5" customHeight="1">
      <c r="A1101" s="439"/>
      <c r="B1101" s="439"/>
      <c r="C1101" s="439"/>
      <c r="D1101" s="439"/>
      <c r="E1101" s="439"/>
      <c r="F1101" s="439"/>
      <c r="Z1101" s="500"/>
      <c r="AA1101" s="500"/>
      <c r="AB1101" s="500"/>
      <c r="AC1101" s="500"/>
      <c r="AD1101" s="500"/>
      <c r="AE1101" s="500"/>
      <c r="AF1101" s="500"/>
      <c r="AG1101" s="500"/>
      <c r="AH1101" s="500"/>
      <c r="AI1101" s="500"/>
      <c r="AJ1101" s="500"/>
      <c r="AK1101" s="500"/>
      <c r="AL1101" s="500"/>
      <c r="AM1101" s="500"/>
      <c r="AN1101" s="500"/>
      <c r="AO1101" s="500"/>
      <c r="AP1101" s="500"/>
    </row>
    <row r="1102" spans="1:42" ht="16.5" customHeight="1">
      <c r="A1102" s="439"/>
      <c r="B1102" s="439"/>
      <c r="C1102" s="439"/>
      <c r="D1102" s="439"/>
      <c r="E1102" s="439"/>
      <c r="F1102" s="439"/>
      <c r="Z1102" s="500"/>
      <c r="AA1102" s="500"/>
      <c r="AB1102" s="500"/>
      <c r="AC1102" s="500"/>
      <c r="AD1102" s="500"/>
      <c r="AE1102" s="500"/>
      <c r="AF1102" s="500"/>
      <c r="AG1102" s="500"/>
      <c r="AH1102" s="500"/>
      <c r="AI1102" s="500"/>
      <c r="AJ1102" s="500"/>
      <c r="AK1102" s="500"/>
      <c r="AL1102" s="500"/>
      <c r="AM1102" s="500"/>
      <c r="AN1102" s="500"/>
      <c r="AO1102" s="500"/>
      <c r="AP1102" s="500"/>
    </row>
    <row r="1103" spans="1:42" ht="16.5" customHeight="1">
      <c r="A1103" s="497"/>
      <c r="B1103" s="497"/>
      <c r="C1103" s="497"/>
      <c r="D1103" s="497"/>
      <c r="E1103" s="497"/>
      <c r="F1103" s="497"/>
      <c r="Z1103" s="500"/>
      <c r="AA1103" s="500"/>
      <c r="AB1103" s="500"/>
      <c r="AC1103" s="500"/>
      <c r="AD1103" s="500"/>
      <c r="AE1103" s="500"/>
      <c r="AF1103" s="500"/>
      <c r="AG1103" s="500"/>
      <c r="AH1103" s="500"/>
      <c r="AI1103" s="500"/>
      <c r="AJ1103" s="500"/>
      <c r="AK1103" s="500"/>
      <c r="AL1103" s="500"/>
      <c r="AM1103" s="500"/>
      <c r="AN1103" s="500"/>
      <c r="AO1103" s="500"/>
      <c r="AP1103" s="500"/>
    </row>
    <row r="1104" spans="1:42" ht="16.5" customHeight="1">
      <c r="A1104" s="616" t="s">
        <v>3487</v>
      </c>
      <c r="B1104" s="605"/>
      <c r="C1104" s="446">
        <f>E1104+D1104+F1104</f>
        <v>14790</v>
      </c>
      <c r="D1104" s="453">
        <f>ROUNDDOWN(SUMIF(N1057:N1090,M1104,D1057:D1090),0)</f>
        <v>13457</v>
      </c>
      <c r="E1104" s="454">
        <f>ROUNDDOWN(SUMIF(N1057:N1090,M1104,E1057:E1090),0)</f>
        <v>1333</v>
      </c>
      <c r="F1104" s="446">
        <f>ROUNDDOWN(SUMIF(N1057:N1090,M1104,F1057:F1090),0)</f>
        <v>0</v>
      </c>
      <c r="M1104" s="501" t="s">
        <v>2354</v>
      </c>
      <c r="Z1104" s="500"/>
      <c r="AA1104" s="500"/>
      <c r="AB1104" s="500"/>
      <c r="AC1104" s="500"/>
      <c r="AD1104" s="500"/>
      <c r="AE1104" s="500"/>
      <c r="AF1104" s="500"/>
      <c r="AG1104" s="500"/>
      <c r="AH1104" s="500"/>
      <c r="AI1104" s="500"/>
      <c r="AJ1104" s="500"/>
      <c r="AK1104" s="500"/>
      <c r="AL1104" s="500"/>
      <c r="AM1104" s="500"/>
      <c r="AN1104" s="500"/>
      <c r="AO1104" s="500"/>
      <c r="AP1104" s="500"/>
    </row>
    <row r="1105" spans="1:42" ht="16.5" customHeight="1">
      <c r="A1105" s="502"/>
      <c r="B1105" s="503" t="s">
        <v>5363</v>
      </c>
      <c r="C1105" s="615">
        <f>C1154</f>
        <v>20260</v>
      </c>
      <c r="D1105" s="615">
        <f>D1154</f>
        <v>18351</v>
      </c>
      <c r="E1105" s="615">
        <f>E1154</f>
        <v>1909</v>
      </c>
      <c r="F1105" s="615">
        <f>F1154</f>
        <v>0</v>
      </c>
      <c r="G1105" s="486" t="str">
        <f>HYPERLINK("#G"&amp;ROW(G1140),"_x0005_`BDCOD|D01354_x0007_`POSS|"&amp;ROW(G1107)&amp;"_x0007_`POSE|"&amp;ROW(G1140)&amp;"_x0007_`")</f>
        <v>_x0005_`BDCOD|D01354_x0007_`POSS|1107_x0007_`POSE|1140_x0007_`</v>
      </c>
      <c r="Z1105" s="500"/>
      <c r="AA1105" s="500"/>
      <c r="AB1105" s="500"/>
      <c r="AC1105" s="500"/>
      <c r="AD1105" s="500"/>
      <c r="AE1105" s="500"/>
      <c r="AF1105" s="500"/>
      <c r="AG1105" s="500"/>
      <c r="AH1105" s="500"/>
      <c r="AI1105" s="500"/>
      <c r="AJ1105" s="500"/>
      <c r="AK1105" s="500"/>
      <c r="AL1105" s="500"/>
      <c r="AM1105" s="500"/>
      <c r="AN1105" s="500"/>
      <c r="AO1105" s="500"/>
      <c r="AP1105" s="500"/>
    </row>
    <row r="1106" spans="1:42" ht="16.5" customHeight="1">
      <c r="A1106" s="485"/>
      <c r="B1106" s="503" t="s">
        <v>5599</v>
      </c>
      <c r="C1106" s="593"/>
      <c r="D1106" s="593"/>
      <c r="E1106" s="593"/>
      <c r="F1106" s="593"/>
      <c r="M1106" s="501" t="s">
        <v>5363</v>
      </c>
      <c r="Z1106" s="500"/>
      <c r="AA1106" s="500"/>
      <c r="AB1106" s="500"/>
      <c r="AC1106" s="500"/>
      <c r="AD1106" s="500"/>
      <c r="AE1106" s="500"/>
      <c r="AF1106" s="500"/>
      <c r="AG1106" s="500"/>
      <c r="AH1106" s="500"/>
      <c r="AI1106" s="500"/>
      <c r="AJ1106" s="500"/>
      <c r="AK1106" s="500"/>
      <c r="AL1106" s="500"/>
      <c r="AM1106" s="500"/>
      <c r="AN1106" s="500"/>
      <c r="AO1106" s="500"/>
      <c r="AP1106" s="500"/>
    </row>
    <row r="1107" spans="1:42" ht="16.5" customHeight="1">
      <c r="A1107" s="439"/>
      <c r="B1107" s="439"/>
      <c r="C1107" s="504"/>
      <c r="D1107" s="504"/>
      <c r="E1107" s="504"/>
      <c r="F1107" s="504"/>
      <c r="G1107" s="451" t="s">
        <v>3406</v>
      </c>
      <c r="Z1107" s="500"/>
      <c r="AA1107" s="500"/>
      <c r="AB1107" s="500"/>
      <c r="AC1107" s="500"/>
      <c r="AD1107" s="500"/>
      <c r="AE1107" s="500"/>
      <c r="AF1107" s="500"/>
      <c r="AG1107" s="500"/>
      <c r="AH1107" s="500"/>
      <c r="AI1107" s="500"/>
      <c r="AJ1107" s="500"/>
      <c r="AK1107" s="500"/>
      <c r="AL1107" s="500"/>
      <c r="AM1107" s="500"/>
      <c r="AN1107" s="500"/>
      <c r="AO1107" s="500"/>
      <c r="AP1107" s="500"/>
    </row>
    <row r="1108" spans="1:42" ht="16.5" customHeight="1">
      <c r="A1108" s="434"/>
      <c r="B1108" s="437" t="s">
        <v>3537</v>
      </c>
      <c r="C1108" s="439"/>
      <c r="D1108" s="439"/>
      <c r="E1108" s="439"/>
      <c r="F1108" s="439"/>
      <c r="G1108" s="451" t="s">
        <v>3538</v>
      </c>
      <c r="Z1108" s="500"/>
      <c r="AA1108" s="500"/>
      <c r="AB1108" s="500"/>
      <c r="AC1108" s="500"/>
      <c r="AD1108" s="500"/>
      <c r="AE1108" s="500"/>
      <c r="AF1108" s="500"/>
      <c r="AG1108" s="500"/>
      <c r="AH1108" s="500"/>
      <c r="AI1108" s="500"/>
      <c r="AJ1108" s="500"/>
      <c r="AK1108" s="500"/>
      <c r="AL1108" s="500"/>
      <c r="AM1108" s="500"/>
      <c r="AN1108" s="500"/>
      <c r="AO1108" s="500"/>
      <c r="AP1108" s="500"/>
    </row>
    <row r="1109" spans="1:42" ht="16.5" customHeight="1">
      <c r="A1109" s="439"/>
      <c r="B1109" s="439"/>
      <c r="C1109" s="439"/>
      <c r="D1109" s="439"/>
      <c r="E1109" s="439"/>
      <c r="F1109" s="439"/>
      <c r="G1109" s="451" t="s">
        <v>3406</v>
      </c>
      <c r="Z1109" s="500"/>
      <c r="AA1109" s="500"/>
      <c r="AB1109" s="500"/>
      <c r="AC1109" s="500"/>
      <c r="AD1109" s="500"/>
      <c r="AE1109" s="500"/>
      <c r="AF1109" s="500"/>
      <c r="AG1109" s="500"/>
      <c r="AH1109" s="500"/>
      <c r="AI1109" s="500"/>
      <c r="AJ1109" s="500"/>
      <c r="AK1109" s="500"/>
      <c r="AL1109" s="500"/>
      <c r="AM1109" s="500"/>
      <c r="AN1109" s="500"/>
      <c r="AO1109" s="500"/>
      <c r="AP1109" s="500"/>
    </row>
    <row r="1110" spans="1:42" ht="16.5" customHeight="1">
      <c r="A1110" s="434"/>
      <c r="B1110" s="437" t="s">
        <v>3525</v>
      </c>
      <c r="C1110" s="439"/>
      <c r="D1110" s="439"/>
      <c r="E1110" s="439"/>
      <c r="F1110" s="439"/>
      <c r="G1110" s="451" t="s">
        <v>3526</v>
      </c>
      <c r="Z1110" s="500"/>
      <c r="AA1110" s="500"/>
      <c r="AB1110" s="500"/>
      <c r="AC1110" s="500"/>
      <c r="AD1110" s="500"/>
      <c r="AE1110" s="500"/>
      <c r="AF1110" s="500"/>
      <c r="AG1110" s="500"/>
      <c r="AH1110" s="500"/>
      <c r="AI1110" s="500"/>
      <c r="AJ1110" s="500"/>
      <c r="AK1110" s="500"/>
      <c r="AL1110" s="500"/>
      <c r="AM1110" s="500"/>
      <c r="AN1110" s="500"/>
      <c r="AO1110" s="500"/>
      <c r="AP1110" s="500"/>
    </row>
    <row r="1111" spans="1:42" ht="16.5" customHeight="1">
      <c r="A1111" s="439"/>
      <c r="B1111" s="439"/>
      <c r="C1111" s="439"/>
      <c r="D1111" s="439"/>
      <c r="E1111" s="439"/>
      <c r="F1111" s="439"/>
      <c r="G1111" s="451" t="s">
        <v>3406</v>
      </c>
      <c r="Z1111" s="500"/>
      <c r="AA1111" s="500"/>
      <c r="AB1111" s="500"/>
      <c r="AC1111" s="500"/>
      <c r="AD1111" s="500"/>
      <c r="AE1111" s="500"/>
      <c r="AF1111" s="500"/>
      <c r="AG1111" s="500"/>
      <c r="AH1111" s="500"/>
      <c r="AI1111" s="500"/>
      <c r="AJ1111" s="500"/>
      <c r="AK1111" s="500"/>
      <c r="AL1111" s="500"/>
      <c r="AM1111" s="500"/>
      <c r="AN1111" s="500"/>
      <c r="AO1111" s="500"/>
      <c r="AP1111" s="500"/>
    </row>
    <row r="1112" spans="1:42" ht="16.5" customHeight="1">
      <c r="A1112" s="434"/>
      <c r="B1112" s="437" t="str">
        <f>" 일당 작업량 :   Q1 = "&amp;Z1112&amp;"  주 "</f>
        <v xml:space="preserve"> 일당 작업량 :   Q1 = 55  주 </v>
      </c>
      <c r="C1112" s="439"/>
      <c r="D1112" s="439"/>
      <c r="E1112" s="439"/>
      <c r="F1112" s="439"/>
      <c r="G1112" s="451" t="s">
        <v>3539</v>
      </c>
      <c r="Z1112" s="515">
        <v>55</v>
      </c>
      <c r="AA1112" s="501" t="s">
        <v>3418</v>
      </c>
      <c r="AB1112" s="512">
        <f>Z1112</f>
        <v>55</v>
      </c>
      <c r="AC1112" s="500"/>
      <c r="AD1112" s="500"/>
      <c r="AE1112" s="500"/>
      <c r="AF1112" s="500"/>
      <c r="AG1112" s="500"/>
      <c r="AH1112" s="500"/>
      <c r="AI1112" s="500"/>
      <c r="AJ1112" s="500"/>
      <c r="AK1112" s="500"/>
      <c r="AL1112" s="500"/>
      <c r="AM1112" s="500"/>
      <c r="AN1112" s="500"/>
      <c r="AO1112" s="500"/>
      <c r="AP1112" s="500"/>
    </row>
    <row r="1113" spans="1:42" ht="16.5" customHeight="1">
      <c r="A1113" s="439"/>
      <c r="B1113" s="439"/>
      <c r="C1113" s="439"/>
      <c r="D1113" s="439"/>
      <c r="E1113" s="439"/>
      <c r="F1113" s="439"/>
      <c r="G1113" s="451" t="s">
        <v>3406</v>
      </c>
      <c r="Z1113" s="500"/>
      <c r="AA1113" s="500"/>
      <c r="AB1113" s="500"/>
      <c r="AC1113" s="500"/>
      <c r="AD1113" s="500"/>
      <c r="AE1113" s="500"/>
      <c r="AF1113" s="500"/>
      <c r="AG1113" s="500"/>
      <c r="AH1113" s="500"/>
      <c r="AI1113" s="500"/>
      <c r="AJ1113" s="500"/>
      <c r="AK1113" s="500"/>
      <c r="AL1113" s="500"/>
      <c r="AM1113" s="500"/>
      <c r="AN1113" s="500"/>
      <c r="AO1113" s="500"/>
      <c r="AP1113" s="500"/>
    </row>
    <row r="1114" spans="1:42" ht="16.5" customHeight="1">
      <c r="A1114" s="434"/>
      <c r="B1114" s="437" t="s">
        <v>3494</v>
      </c>
      <c r="C1114" s="439"/>
      <c r="D1114" s="439"/>
      <c r="E1114" s="439"/>
      <c r="F1114" s="439"/>
      <c r="G1114" s="451" t="s">
        <v>3495</v>
      </c>
      <c r="Z1114" s="500"/>
      <c r="AA1114" s="500"/>
      <c r="AB1114" s="500"/>
      <c r="AC1114" s="500"/>
      <c r="AD1114" s="500"/>
      <c r="AE1114" s="500"/>
      <c r="AF1114" s="500"/>
      <c r="AG1114" s="500"/>
      <c r="AH1114" s="500"/>
      <c r="AI1114" s="500"/>
      <c r="AJ1114" s="500"/>
      <c r="AK1114" s="500"/>
      <c r="AL1114" s="500"/>
      <c r="AM1114" s="500"/>
      <c r="AN1114" s="500"/>
      <c r="AO1114" s="500"/>
      <c r="AP1114" s="500"/>
    </row>
    <row r="1115" spans="1:42" ht="16.5" customHeight="1">
      <c r="A1115" s="439"/>
      <c r="B1115" s="439"/>
      <c r="C1115" s="439"/>
      <c r="D1115" s="439"/>
      <c r="E1115" s="439"/>
      <c r="F1115" s="439"/>
      <c r="G1115" s="451" t="s">
        <v>3406</v>
      </c>
      <c r="Z1115" s="500"/>
      <c r="AA1115" s="500"/>
      <c r="AB1115" s="500"/>
      <c r="AC1115" s="500"/>
      <c r="AD1115" s="500"/>
      <c r="AE1115" s="500"/>
      <c r="AF1115" s="500"/>
      <c r="AG1115" s="500"/>
      <c r="AH1115" s="500"/>
      <c r="AI1115" s="500"/>
      <c r="AJ1115" s="500"/>
      <c r="AK1115" s="500"/>
      <c r="AL1115" s="500"/>
      <c r="AM1115" s="500"/>
      <c r="AN1115" s="500"/>
      <c r="AO1115" s="500"/>
      <c r="AP1115" s="500"/>
    </row>
    <row r="1116" spans="1:42" ht="16.5" customHeight="1">
      <c r="A1116" s="439"/>
      <c r="B1116" s="439"/>
      <c r="C1116" s="439"/>
      <c r="D1116" s="439"/>
      <c r="E1116" s="439"/>
      <c r="F1116" s="439"/>
      <c r="G1116" s="451" t="s">
        <v>3406</v>
      </c>
      <c r="Z1116" s="500"/>
      <c r="AA1116" s="500"/>
      <c r="AB1116" s="500"/>
      <c r="AC1116" s="500"/>
      <c r="AD1116" s="500"/>
      <c r="AE1116" s="500"/>
      <c r="AF1116" s="500"/>
      <c r="AG1116" s="500"/>
      <c r="AH1116" s="500"/>
      <c r="AI1116" s="500"/>
      <c r="AJ1116" s="500"/>
      <c r="AK1116" s="500"/>
      <c r="AL1116" s="500"/>
      <c r="AM1116" s="500"/>
      <c r="AN1116" s="500"/>
      <c r="AO1116" s="500"/>
      <c r="AP1116" s="500"/>
    </row>
    <row r="1117" spans="1:42" ht="16.5" customHeight="1">
      <c r="A1117" s="439"/>
      <c r="B1117" s="439"/>
      <c r="C1117" s="439"/>
      <c r="D1117" s="439"/>
      <c r="E1117" s="439"/>
      <c r="F1117" s="439"/>
      <c r="G1117" s="451" t="s">
        <v>3406</v>
      </c>
      <c r="Z1117" s="500"/>
      <c r="AA1117" s="500"/>
      <c r="AB1117" s="500"/>
      <c r="AC1117" s="500"/>
      <c r="AD1117" s="500"/>
      <c r="AE1117" s="500"/>
      <c r="AF1117" s="500"/>
      <c r="AG1117" s="500"/>
      <c r="AH1117" s="500"/>
      <c r="AI1117" s="500"/>
      <c r="AJ1117" s="500"/>
      <c r="AK1117" s="500"/>
      <c r="AL1117" s="500"/>
      <c r="AM1117" s="500"/>
      <c r="AN1117" s="500"/>
      <c r="AO1117" s="500"/>
      <c r="AP1117" s="500"/>
    </row>
    <row r="1118" spans="1:42" ht="16.5" customHeight="1">
      <c r="A1118" s="439"/>
      <c r="B1118" s="439"/>
      <c r="C1118" s="439"/>
      <c r="D1118" s="439"/>
      <c r="E1118" s="439"/>
      <c r="F1118" s="439"/>
      <c r="G1118" s="451" t="s">
        <v>3406</v>
      </c>
      <c r="Z1118" s="500"/>
      <c r="AA1118" s="500"/>
      <c r="AB1118" s="500"/>
      <c r="AC1118" s="500"/>
      <c r="AD1118" s="500"/>
      <c r="AE1118" s="500"/>
      <c r="AF1118" s="500"/>
      <c r="AG1118" s="500"/>
      <c r="AH1118" s="500"/>
      <c r="AI1118" s="500"/>
      <c r="AJ1118" s="500"/>
      <c r="AK1118" s="500"/>
      <c r="AL1118" s="500"/>
      <c r="AM1118" s="500"/>
      <c r="AN1118" s="500"/>
      <c r="AO1118" s="500"/>
      <c r="AP1118" s="500"/>
    </row>
    <row r="1119" spans="1:42" ht="16.5" customHeight="1">
      <c r="A1119" s="434"/>
      <c r="B1119" s="437" t="s">
        <v>3496</v>
      </c>
      <c r="C1119" s="439"/>
      <c r="D1119" s="439"/>
      <c r="E1119" s="439"/>
      <c r="F1119" s="439"/>
      <c r="G1119" s="451" t="s">
        <v>3497</v>
      </c>
      <c r="Z1119" s="500"/>
      <c r="AA1119" s="500"/>
      <c r="AB1119" s="500"/>
      <c r="AC1119" s="500"/>
      <c r="AD1119" s="500"/>
      <c r="AE1119" s="500"/>
      <c r="AF1119" s="500"/>
      <c r="AG1119" s="500"/>
      <c r="AH1119" s="500"/>
      <c r="AI1119" s="500"/>
      <c r="AJ1119" s="500"/>
      <c r="AK1119" s="500"/>
      <c r="AL1119" s="500"/>
      <c r="AM1119" s="500"/>
      <c r="AN1119" s="500"/>
      <c r="AO1119" s="500"/>
      <c r="AP1119" s="500"/>
    </row>
    <row r="1120" spans="1:42" ht="16.5" customHeight="1">
      <c r="A1120" s="439"/>
      <c r="B1120" s="439"/>
      <c r="C1120" s="439"/>
      <c r="D1120" s="439"/>
      <c r="E1120" s="439"/>
      <c r="F1120" s="439"/>
      <c r="G1120" s="451" t="s">
        <v>3406</v>
      </c>
      <c r="Z1120" s="500"/>
      <c r="AA1120" s="500"/>
      <c r="AB1120" s="500"/>
      <c r="AC1120" s="500"/>
      <c r="AD1120" s="500"/>
      <c r="AE1120" s="500"/>
      <c r="AF1120" s="500"/>
      <c r="AG1120" s="500"/>
      <c r="AH1120" s="500"/>
      <c r="AI1120" s="500"/>
      <c r="AJ1120" s="500"/>
      <c r="AK1120" s="500"/>
      <c r="AL1120" s="500"/>
      <c r="AM1120" s="500"/>
      <c r="AN1120" s="500"/>
      <c r="AO1120" s="500"/>
      <c r="AP1120" s="500"/>
    </row>
    <row r="1121" spans="1:42" ht="16.5" customHeight="1">
      <c r="A1121" s="434" t="s">
        <v>3498</v>
      </c>
      <c r="B1121" s="505" t="str">
        <f>" 조경공 :  "&amp;TEXT(I1121,"#,##0"&amp;IF(I1121&lt;&gt;INT(I1121),".###",""))&amp;" * "&amp;AA1121&amp;" 인  / Q1 = "&amp;TEXT(C1121,"#,##0.0")&amp;""</f>
        <v xml:space="preserve"> 조경공 :  235,204 * 3 인  / Q1 = 12,829.3</v>
      </c>
      <c r="C1121" s="506">
        <f>E1121+D1121+F1121</f>
        <v>12829.3</v>
      </c>
      <c r="D1121" s="506">
        <f>IF(H1121=0,0,ROUNDDOWN(J1121*H1121,1))</f>
        <v>12829.3</v>
      </c>
      <c r="E1121" s="506">
        <f>IF(H1121=0,0,ROUNDDOWN(K1121*H1121,1))</f>
        <v>0</v>
      </c>
      <c r="F1121" s="506">
        <f>IF(H1121=0,0,ROUNDDOWN(L1121*H1121,1))</f>
        <v>0</v>
      </c>
      <c r="G1121" s="451" t="s">
        <v>3499</v>
      </c>
      <c r="H1121" s="507">
        <f>ROUNDUP(AE1121,14-LEN(ABS(INT(AE1121))))</f>
        <v>5.4545454545500006E-2</v>
      </c>
      <c r="I1121" s="508">
        <f>K1121+J1121+L1121</f>
        <v>235204</v>
      </c>
      <c r="J1121" s="509">
        <f>노무비목록표!E15</f>
        <v>235204</v>
      </c>
      <c r="M1121" s="501" t="s">
        <v>2359</v>
      </c>
      <c r="N1121" s="501" t="s">
        <v>3416</v>
      </c>
      <c r="X1121" s="510" t="str">
        <f>노무비목록표!B15&amp;" / "&amp;노무비목록표!C15</f>
        <v xml:space="preserve">조경공 / </v>
      </c>
      <c r="Y1121" s="433" t="str">
        <f ca="1">HYPERLINK("#"&amp;노무비목록표!G2&amp;"!A"&amp;ROW(노무비목록표!A15),"L00184 →")</f>
        <v>L00184 →</v>
      </c>
      <c r="Z1121" s="501" t="s">
        <v>3500</v>
      </c>
      <c r="AA1121" s="515">
        <v>3</v>
      </c>
      <c r="AB1121" s="501" t="s">
        <v>3428</v>
      </c>
      <c r="AC1121" s="512">
        <f>AB1112</f>
        <v>55</v>
      </c>
      <c r="AD1121" s="501" t="s">
        <v>3418</v>
      </c>
      <c r="AE1121" s="512">
        <f>1*AA1121/AB1112</f>
        <v>5.4545454545454543E-2</v>
      </c>
      <c r="AF1121" s="500"/>
      <c r="AG1121" s="500"/>
      <c r="AH1121" s="500"/>
      <c r="AI1121" s="500"/>
      <c r="AJ1121" s="500"/>
      <c r="AK1121" s="500"/>
      <c r="AL1121" s="500"/>
      <c r="AM1121" s="500"/>
      <c r="AN1121" s="500"/>
      <c r="AO1121" s="500"/>
      <c r="AP1121" s="500"/>
    </row>
    <row r="1122" spans="1:42" ht="16.5" customHeight="1">
      <c r="A1122" s="439"/>
      <c r="B1122" s="439"/>
      <c r="C1122" s="439"/>
      <c r="D1122" s="439"/>
      <c r="E1122" s="439"/>
      <c r="F1122" s="439"/>
      <c r="G1122" s="451" t="s">
        <v>3406</v>
      </c>
      <c r="Z1122" s="500"/>
      <c r="AA1122" s="500"/>
      <c r="AB1122" s="500"/>
      <c r="AC1122" s="500"/>
      <c r="AD1122" s="500"/>
      <c r="AE1122" s="500"/>
      <c r="AF1122" s="500"/>
      <c r="AG1122" s="500"/>
      <c r="AH1122" s="500"/>
      <c r="AI1122" s="500"/>
      <c r="AJ1122" s="500"/>
      <c r="AK1122" s="500"/>
      <c r="AL1122" s="500"/>
      <c r="AM1122" s="500"/>
      <c r="AN1122" s="500"/>
      <c r="AO1122" s="500"/>
      <c r="AP1122" s="500"/>
    </row>
    <row r="1123" spans="1:42" ht="16.5" customHeight="1">
      <c r="A1123" s="439"/>
      <c r="B1123" s="439"/>
      <c r="C1123" s="439"/>
      <c r="D1123" s="439"/>
      <c r="E1123" s="439"/>
      <c r="F1123" s="439"/>
      <c r="G1123" s="451" t="s">
        <v>3406</v>
      </c>
      <c r="Z1123" s="500"/>
      <c r="AA1123" s="500"/>
      <c r="AB1123" s="500"/>
      <c r="AC1123" s="500"/>
      <c r="AD1123" s="500"/>
      <c r="AE1123" s="500"/>
      <c r="AF1123" s="500"/>
      <c r="AG1123" s="500"/>
      <c r="AH1123" s="500"/>
      <c r="AI1123" s="500"/>
      <c r="AJ1123" s="500"/>
      <c r="AK1123" s="500"/>
      <c r="AL1123" s="500"/>
      <c r="AM1123" s="500"/>
      <c r="AN1123" s="500"/>
      <c r="AO1123" s="500"/>
      <c r="AP1123" s="500"/>
    </row>
    <row r="1124" spans="1:42" ht="16.5" customHeight="1">
      <c r="A1124" s="434" t="s">
        <v>3414</v>
      </c>
      <c r="B1124" s="505" t="str">
        <f>" 보통인부 : "&amp;TEXT(I1124,"#,##0"&amp;IF(I1124&lt;&gt;INT(I1124),".###",""))&amp;" * "&amp;AA1124&amp;" 인  / Q1 = "&amp;TEXT(C1124,"#,##0.0")&amp;""</f>
        <v xml:space="preserve"> 보통인부 : 172,068 * 1 인  / Q1 = 3,128.5</v>
      </c>
      <c r="C1124" s="506">
        <f>E1124+D1124+F1124</f>
        <v>3128.5</v>
      </c>
      <c r="D1124" s="506">
        <f>IF(H1124=0,0,ROUNDDOWN(J1124*H1124,1))</f>
        <v>3128.5</v>
      </c>
      <c r="E1124" s="506">
        <f>IF(H1124=0,0,ROUNDDOWN(K1124*H1124,1))</f>
        <v>0</v>
      </c>
      <c r="F1124" s="506">
        <f>IF(H1124=0,0,ROUNDDOWN(L1124*H1124,1))</f>
        <v>0</v>
      </c>
      <c r="G1124" s="451" t="s">
        <v>3501</v>
      </c>
      <c r="H1124" s="507">
        <f>ROUNDUP(AE1124,14-LEN(ABS(INT(AE1124))))</f>
        <v>1.8181818181900001E-2</v>
      </c>
      <c r="I1124" s="508">
        <f>K1124+J1124+L1124</f>
        <v>172068</v>
      </c>
      <c r="J1124" s="509">
        <f>노무비목록표!E10</f>
        <v>172068</v>
      </c>
      <c r="M1124" s="501" t="s">
        <v>2363</v>
      </c>
      <c r="N1124" s="501" t="s">
        <v>3416</v>
      </c>
      <c r="X1124" s="510" t="str">
        <f>노무비목록표!B10&amp;" / "&amp;노무비목록표!C10</f>
        <v xml:space="preserve">보통인부 / </v>
      </c>
      <c r="Y1124" s="433" t="str">
        <f ca="1">HYPERLINK("#"&amp;노무비목록표!G2&amp;"!A"&amp;ROW(노무비목록표!A10),"L00017 →")</f>
        <v>L00017 →</v>
      </c>
      <c r="Z1124" s="501" t="s">
        <v>3500</v>
      </c>
      <c r="AA1124" s="515">
        <v>1</v>
      </c>
      <c r="AB1124" s="501" t="s">
        <v>3428</v>
      </c>
      <c r="AC1124" s="512">
        <f>AB1112</f>
        <v>55</v>
      </c>
      <c r="AD1124" s="501" t="s">
        <v>3418</v>
      </c>
      <c r="AE1124" s="512">
        <f>1*AA1124/AB1112</f>
        <v>1.8181818181818181E-2</v>
      </c>
      <c r="AF1124" s="500"/>
      <c r="AG1124" s="500"/>
      <c r="AH1124" s="500"/>
      <c r="AI1124" s="500"/>
      <c r="AJ1124" s="500"/>
      <c r="AK1124" s="500"/>
      <c r="AL1124" s="500"/>
      <c r="AM1124" s="500"/>
      <c r="AN1124" s="500"/>
      <c r="AO1124" s="500"/>
      <c r="AP1124" s="500"/>
    </row>
    <row r="1125" spans="1:42" ht="16.5" customHeight="1">
      <c r="A1125" s="439"/>
      <c r="B1125" s="439"/>
      <c r="C1125" s="439"/>
      <c r="D1125" s="439"/>
      <c r="E1125" s="439"/>
      <c r="F1125" s="439"/>
      <c r="G1125" s="451" t="s">
        <v>3406</v>
      </c>
      <c r="Z1125" s="500"/>
      <c r="AA1125" s="500"/>
      <c r="AB1125" s="500"/>
      <c r="AC1125" s="500"/>
      <c r="AD1125" s="500"/>
      <c r="AE1125" s="500"/>
      <c r="AF1125" s="500"/>
      <c r="AG1125" s="500"/>
      <c r="AH1125" s="500"/>
      <c r="AI1125" s="500"/>
      <c r="AJ1125" s="500"/>
      <c r="AK1125" s="500"/>
      <c r="AL1125" s="500"/>
      <c r="AM1125" s="500"/>
      <c r="AN1125" s="500"/>
      <c r="AO1125" s="500"/>
      <c r="AP1125" s="500"/>
    </row>
    <row r="1126" spans="1:42" ht="16.5" customHeight="1">
      <c r="A1126" s="434"/>
      <c r="B1126" s="437" t="s">
        <v>3419</v>
      </c>
      <c r="C1126" s="513">
        <f>E1126+D1126+F1126</f>
        <v>15957.8</v>
      </c>
      <c r="D1126" s="513">
        <f>SUMIF(N1107:N1125,M1126,D1107:D1125)</f>
        <v>15957.8</v>
      </c>
      <c r="E1126" s="513">
        <f>SUMIF(N1107:N1125,M1126,E1107:E1125)</f>
        <v>0</v>
      </c>
      <c r="F1126" s="513">
        <f>SUMIF(N1107:N1125,M1126,F1107:F1125)</f>
        <v>0</v>
      </c>
      <c r="G1126" s="451" t="s">
        <v>3439</v>
      </c>
      <c r="M1126" s="501" t="s">
        <v>3416</v>
      </c>
      <c r="N1126" s="501" t="s">
        <v>3421</v>
      </c>
      <c r="Z1126" s="500"/>
      <c r="AA1126" s="500"/>
      <c r="AB1126" s="500"/>
      <c r="AC1126" s="500"/>
      <c r="AD1126" s="500"/>
      <c r="AE1126" s="500"/>
      <c r="AF1126" s="500"/>
      <c r="AG1126" s="500"/>
      <c r="AH1126" s="500"/>
      <c r="AI1126" s="500"/>
      <c r="AJ1126" s="500"/>
      <c r="AK1126" s="500"/>
      <c r="AL1126" s="500"/>
      <c r="AM1126" s="500"/>
      <c r="AN1126" s="500"/>
      <c r="AO1126" s="500"/>
      <c r="AP1126" s="500"/>
    </row>
    <row r="1127" spans="1:42" ht="16.5" customHeight="1">
      <c r="A1127" s="439"/>
      <c r="B1127" s="439"/>
      <c r="C1127" s="504"/>
      <c r="D1127" s="504"/>
      <c r="E1127" s="504"/>
      <c r="F1127" s="504"/>
      <c r="G1127" s="451" t="s">
        <v>3406</v>
      </c>
      <c r="Z1127" s="500"/>
      <c r="AA1127" s="500"/>
      <c r="AB1127" s="500"/>
      <c r="AC1127" s="500"/>
      <c r="AD1127" s="500"/>
      <c r="AE1127" s="500"/>
      <c r="AF1127" s="500"/>
      <c r="AG1127" s="500"/>
      <c r="AH1127" s="500"/>
      <c r="AI1127" s="500"/>
      <c r="AJ1127" s="500"/>
      <c r="AK1127" s="500"/>
      <c r="AL1127" s="500"/>
      <c r="AM1127" s="500"/>
      <c r="AN1127" s="500"/>
      <c r="AO1127" s="500"/>
      <c r="AP1127" s="500"/>
    </row>
    <row r="1128" spans="1:42" ht="16.5" customHeight="1">
      <c r="A1128" s="439"/>
      <c r="B1128" s="439"/>
      <c r="C1128" s="439"/>
      <c r="D1128" s="439"/>
      <c r="E1128" s="439"/>
      <c r="F1128" s="439"/>
      <c r="G1128" s="451" t="s">
        <v>3406</v>
      </c>
      <c r="Z1128" s="500"/>
      <c r="AA1128" s="500"/>
      <c r="AB1128" s="500"/>
      <c r="AC1128" s="500"/>
      <c r="AD1128" s="500"/>
      <c r="AE1128" s="500"/>
      <c r="AF1128" s="500"/>
      <c r="AG1128" s="500"/>
      <c r="AH1128" s="500"/>
      <c r="AI1128" s="500"/>
      <c r="AJ1128" s="500"/>
      <c r="AK1128" s="500"/>
      <c r="AL1128" s="500"/>
      <c r="AM1128" s="500"/>
      <c r="AN1128" s="500"/>
      <c r="AO1128" s="500"/>
      <c r="AP1128" s="500"/>
    </row>
    <row r="1129" spans="1:42" ht="16.5" customHeight="1">
      <c r="A1129" s="434"/>
      <c r="B1129" s="437" t="s">
        <v>3502</v>
      </c>
      <c r="C1129" s="439"/>
      <c r="D1129" s="439"/>
      <c r="E1129" s="439"/>
      <c r="F1129" s="439"/>
      <c r="G1129" s="451" t="s">
        <v>3503</v>
      </c>
      <c r="Z1129" s="500"/>
      <c r="AA1129" s="500"/>
      <c r="AB1129" s="500"/>
      <c r="AC1129" s="500"/>
      <c r="AD1129" s="500"/>
      <c r="AE1129" s="500"/>
      <c r="AF1129" s="500"/>
      <c r="AG1129" s="500"/>
      <c r="AH1129" s="500"/>
      <c r="AI1129" s="500"/>
      <c r="AJ1129" s="500"/>
      <c r="AK1129" s="500"/>
      <c r="AL1129" s="500"/>
      <c r="AM1129" s="500"/>
      <c r="AN1129" s="500"/>
      <c r="AO1129" s="500"/>
      <c r="AP1129" s="500"/>
    </row>
    <row r="1130" spans="1:42" ht="16.5" customHeight="1">
      <c r="A1130" s="439"/>
      <c r="B1130" s="439"/>
      <c r="C1130" s="439"/>
      <c r="D1130" s="439"/>
      <c r="E1130" s="439"/>
      <c r="F1130" s="439"/>
      <c r="G1130" s="451" t="s">
        <v>3406</v>
      </c>
      <c r="Z1130" s="500"/>
      <c r="AA1130" s="500"/>
      <c r="AB1130" s="500"/>
      <c r="AC1130" s="500"/>
      <c r="AD1130" s="500"/>
      <c r="AE1130" s="500"/>
      <c r="AF1130" s="500"/>
      <c r="AG1130" s="500"/>
      <c r="AH1130" s="500"/>
      <c r="AI1130" s="500"/>
      <c r="AJ1130" s="500"/>
      <c r="AK1130" s="500"/>
      <c r="AL1130" s="500"/>
      <c r="AM1130" s="500"/>
      <c r="AN1130" s="500"/>
      <c r="AO1130" s="500"/>
      <c r="AP1130" s="500"/>
    </row>
    <row r="1131" spans="1:42" ht="16.5" customHeight="1">
      <c r="A1131" s="434" t="s">
        <v>3504</v>
      </c>
      <c r="B1131" s="505" t="str">
        <f>"  유기질비료 수목이식·식재용 : "&amp;TEXT(I1131,"#,##0"&amp;IF(I1131&lt;&gt;INT(I1131),".###",""))&amp;" * "&amp;AA1131&amp;" KG  / Q1 = "&amp;TEXT(C1131,"#,##0.0")&amp;""</f>
        <v xml:space="preserve">  유기질비료 수목이식·식재용 : 500 * 210 KG  / Q1 = 1,909.0</v>
      </c>
      <c r="C1131" s="506">
        <f>E1131+D1131+F1131</f>
        <v>1909</v>
      </c>
      <c r="D1131" s="506">
        <f>IF(H1131=0,0,ROUNDDOWN(J1131*H1131,1))</f>
        <v>0</v>
      </c>
      <c r="E1131" s="506">
        <f>IF(H1131=0,0,ROUNDDOWN(K1131*H1131,1))</f>
        <v>1909</v>
      </c>
      <c r="F1131" s="506">
        <f>IF(H1131=0,0,ROUNDDOWN(L1131*H1131,1))</f>
        <v>0</v>
      </c>
      <c r="G1131" s="451" t="s">
        <v>3540</v>
      </c>
      <c r="H1131" s="507">
        <f>ROUNDUP(AE1131,14-LEN(ABS(INT(AE1131))))</f>
        <v>3.8181818181819001</v>
      </c>
      <c r="I1131" s="508">
        <f>K1131+J1131+L1131</f>
        <v>500</v>
      </c>
      <c r="K1131" s="509">
        <f>재료비목록표!E78</f>
        <v>500</v>
      </c>
      <c r="M1131" s="501" t="s">
        <v>3506</v>
      </c>
      <c r="N1131" s="501" t="s">
        <v>3416</v>
      </c>
      <c r="X1131" s="510" t="str">
        <f>재료비목록표!B78&amp;" / "&amp;재료비목록표!C78</f>
        <v>유기질비료 / 수목이식·식재용</v>
      </c>
      <c r="Y1131" s="433" t="str">
        <f ca="1">HYPERLINK("#"&amp;재료비목록표!G2&amp;"!A"&amp;ROW(재료비목록표!A78),"M01159 →")</f>
        <v>M01159 →</v>
      </c>
      <c r="Z1131" s="501" t="s">
        <v>3500</v>
      </c>
      <c r="AA1131" s="515">
        <v>210</v>
      </c>
      <c r="AB1131" s="501" t="s">
        <v>3428</v>
      </c>
      <c r="AC1131" s="512">
        <f>AB1112</f>
        <v>55</v>
      </c>
      <c r="AD1131" s="501" t="s">
        <v>3418</v>
      </c>
      <c r="AE1131" s="512">
        <f>1*AA1131/AB1112</f>
        <v>3.8181818181818183</v>
      </c>
      <c r="AF1131" s="500"/>
      <c r="AG1131" s="500"/>
      <c r="AH1131" s="500"/>
      <c r="AI1131" s="500"/>
      <c r="AJ1131" s="500"/>
      <c r="AK1131" s="500"/>
      <c r="AL1131" s="500"/>
      <c r="AM1131" s="500"/>
      <c r="AN1131" s="500"/>
      <c r="AO1131" s="500"/>
      <c r="AP1131" s="500"/>
    </row>
    <row r="1132" spans="1:42" ht="16.5" customHeight="1">
      <c r="A1132" s="439"/>
      <c r="B1132" s="439"/>
      <c r="C1132" s="439"/>
      <c r="D1132" s="439"/>
      <c r="E1132" s="439"/>
      <c r="F1132" s="439"/>
      <c r="G1132" s="451" t="s">
        <v>3406</v>
      </c>
      <c r="Z1132" s="500"/>
      <c r="AA1132" s="500"/>
      <c r="AB1132" s="500"/>
      <c r="AC1132" s="500"/>
      <c r="AD1132" s="500"/>
      <c r="AE1132" s="500"/>
      <c r="AF1132" s="500"/>
      <c r="AG1132" s="500"/>
      <c r="AH1132" s="500"/>
      <c r="AI1132" s="500"/>
      <c r="AJ1132" s="500"/>
      <c r="AK1132" s="500"/>
      <c r="AL1132" s="500"/>
      <c r="AM1132" s="500"/>
      <c r="AN1132" s="500"/>
      <c r="AO1132" s="500"/>
      <c r="AP1132" s="500"/>
    </row>
    <row r="1133" spans="1:42" ht="16.5" customHeight="1">
      <c r="A1133" s="434"/>
      <c r="B1133" s="437" t="s">
        <v>3419</v>
      </c>
      <c r="C1133" s="513">
        <f>E1133+D1133+F1133</f>
        <v>1909</v>
      </c>
      <c r="D1133" s="513">
        <f>SUMIF(N1127:N1132,M1133,D1127:D1132)</f>
        <v>0</v>
      </c>
      <c r="E1133" s="513">
        <f>SUMIF(N1127:N1132,M1133,E1127:E1132)</f>
        <v>1909</v>
      </c>
      <c r="F1133" s="513">
        <f>SUMIF(N1127:N1132,M1133,F1127:F1132)</f>
        <v>0</v>
      </c>
      <c r="G1133" s="451" t="s">
        <v>3439</v>
      </c>
      <c r="M1133" s="501" t="s">
        <v>3416</v>
      </c>
      <c r="N1133" s="501" t="s">
        <v>3421</v>
      </c>
      <c r="Z1133" s="500"/>
      <c r="AA1133" s="500"/>
      <c r="AB1133" s="500"/>
      <c r="AC1133" s="500"/>
      <c r="AD1133" s="500"/>
      <c r="AE1133" s="500"/>
      <c r="AF1133" s="500"/>
      <c r="AG1133" s="500"/>
      <c r="AH1133" s="500"/>
      <c r="AI1133" s="500"/>
      <c r="AJ1133" s="500"/>
      <c r="AK1133" s="500"/>
      <c r="AL1133" s="500"/>
      <c r="AM1133" s="500"/>
      <c r="AN1133" s="500"/>
      <c r="AO1133" s="500"/>
      <c r="AP1133" s="500"/>
    </row>
    <row r="1134" spans="1:42" ht="16.5" customHeight="1">
      <c r="A1134" s="439"/>
      <c r="B1134" s="439"/>
      <c r="C1134" s="504"/>
      <c r="D1134" s="504"/>
      <c r="E1134" s="504"/>
      <c r="F1134" s="504"/>
      <c r="G1134" s="451" t="s">
        <v>3406</v>
      </c>
      <c r="Z1134" s="500"/>
      <c r="AA1134" s="500"/>
      <c r="AB1134" s="500"/>
      <c r="AC1134" s="500"/>
      <c r="AD1134" s="500"/>
      <c r="AE1134" s="500"/>
      <c r="AF1134" s="500"/>
      <c r="AG1134" s="500"/>
      <c r="AH1134" s="500"/>
      <c r="AI1134" s="500"/>
      <c r="AJ1134" s="500"/>
      <c r="AK1134" s="500"/>
      <c r="AL1134" s="500"/>
      <c r="AM1134" s="500"/>
      <c r="AN1134" s="500"/>
      <c r="AO1134" s="500"/>
      <c r="AP1134" s="500"/>
    </row>
    <row r="1135" spans="1:42" ht="16.5" customHeight="1">
      <c r="A1135" s="434"/>
      <c r="B1135" s="505" t="str">
        <f>"  산지할증 : "&amp;TEXT(I1135,"#,##0.0")&amp;" * "&amp;AA1135&amp;" %  = "&amp;TEXT(C1135,"#,##0.0")&amp;""</f>
        <v xml:space="preserve">  산지할증 : 15,957.8 * 15 %  = 2,393.6</v>
      </c>
      <c r="C1135" s="506">
        <f>E1135+D1135+F1135</f>
        <v>2393.6</v>
      </c>
      <c r="D1135" s="506">
        <f>IF(H1135=0,0,ROUNDDOWN(J1135*H1135/100,1))</f>
        <v>2393.6</v>
      </c>
      <c r="E1135" s="506">
        <f>IF(H1135=0,0,ROUNDDOWN(K1135*H1135/100,1))</f>
        <v>0</v>
      </c>
      <c r="F1135" s="506">
        <f>IF(H1135=0,0,ROUNDDOWN(L1135*H1135/100,1))</f>
        <v>0</v>
      </c>
      <c r="G1135" s="451" t="s">
        <v>5587</v>
      </c>
      <c r="H1135" s="507">
        <f>ROUNDUP(AC1135,14-LEN(ABS(INT(AC1135))))</f>
        <v>15</v>
      </c>
      <c r="I1135" s="508">
        <f>K1135+J1135+L1135</f>
        <v>15957.8</v>
      </c>
      <c r="J1135" s="508">
        <f>D1126+D1133+SUMIF(N1134:N1134,N1135,D1134:D1134)</f>
        <v>15957.8</v>
      </c>
      <c r="K1135" s="456">
        <v>0</v>
      </c>
      <c r="L1135" s="456">
        <v>0</v>
      </c>
      <c r="M1135" s="501" t="s">
        <v>4208</v>
      </c>
      <c r="N1135" s="501" t="s">
        <v>3416</v>
      </c>
      <c r="Z1135" s="501" t="s">
        <v>3500</v>
      </c>
      <c r="AA1135" s="515">
        <v>15</v>
      </c>
      <c r="AB1135" s="501" t="s">
        <v>3418</v>
      </c>
      <c r="AC1135" s="512">
        <f>1*AA1135</f>
        <v>15</v>
      </c>
      <c r="AD1135" s="500"/>
      <c r="AE1135" s="500"/>
      <c r="AF1135" s="500"/>
      <c r="AG1135" s="500"/>
      <c r="AH1135" s="500"/>
      <c r="AI1135" s="500"/>
      <c r="AJ1135" s="500"/>
      <c r="AK1135" s="500"/>
      <c r="AL1135" s="500"/>
      <c r="AM1135" s="500"/>
      <c r="AN1135" s="500"/>
      <c r="AO1135" s="500"/>
      <c r="AP1135" s="500"/>
    </row>
    <row r="1136" spans="1:42" ht="16.5" customHeight="1">
      <c r="A1136" s="439"/>
      <c r="B1136" s="439"/>
      <c r="C1136" s="439"/>
      <c r="D1136" s="439"/>
      <c r="E1136" s="439"/>
      <c r="F1136" s="439"/>
      <c r="G1136" s="451" t="s">
        <v>3406</v>
      </c>
      <c r="Z1136" s="500"/>
      <c r="AA1136" s="500"/>
      <c r="AB1136" s="500"/>
      <c r="AC1136" s="500"/>
      <c r="AD1136" s="500"/>
      <c r="AE1136" s="500"/>
      <c r="AF1136" s="500"/>
      <c r="AG1136" s="500"/>
      <c r="AH1136" s="500"/>
      <c r="AI1136" s="500"/>
      <c r="AJ1136" s="500"/>
      <c r="AK1136" s="500"/>
      <c r="AL1136" s="500"/>
      <c r="AM1136" s="500"/>
      <c r="AN1136" s="500"/>
      <c r="AO1136" s="500"/>
      <c r="AP1136" s="500"/>
    </row>
    <row r="1137" spans="1:42" ht="16.5" customHeight="1">
      <c r="A1137" s="434"/>
      <c r="B1137" s="437" t="s">
        <v>3419</v>
      </c>
      <c r="C1137" s="513">
        <f>E1137+D1137+F1137</f>
        <v>2393.6</v>
      </c>
      <c r="D1137" s="513">
        <f>SUMIF(N1134:N1136,M1137,D1134:D1136)</f>
        <v>2393.6</v>
      </c>
      <c r="E1137" s="513">
        <f>SUMIF(N1134:N1136,M1137,E1134:E1136)</f>
        <v>0</v>
      </c>
      <c r="F1137" s="513">
        <f>SUMIF(N1134:N1136,M1137,F1134:F1136)</f>
        <v>0</v>
      </c>
      <c r="G1137" s="451" t="s">
        <v>3439</v>
      </c>
      <c r="M1137" s="501" t="s">
        <v>3416</v>
      </c>
      <c r="N1137" s="501" t="s">
        <v>3421</v>
      </c>
      <c r="Z1137" s="500"/>
      <c r="AA1137" s="500"/>
      <c r="AB1137" s="500"/>
      <c r="AC1137" s="500"/>
      <c r="AD1137" s="500"/>
      <c r="AE1137" s="500"/>
      <c r="AF1137" s="500"/>
      <c r="AG1137" s="500"/>
      <c r="AH1137" s="500"/>
      <c r="AI1137" s="500"/>
      <c r="AJ1137" s="500"/>
      <c r="AK1137" s="500"/>
      <c r="AL1137" s="500"/>
      <c r="AM1137" s="500"/>
      <c r="AN1137" s="500"/>
      <c r="AO1137" s="500"/>
      <c r="AP1137" s="500"/>
    </row>
    <row r="1138" spans="1:42" ht="16.5" customHeight="1">
      <c r="A1138" s="439"/>
      <c r="B1138" s="439"/>
      <c r="C1138" s="504"/>
      <c r="D1138" s="504"/>
      <c r="E1138" s="504"/>
      <c r="F1138" s="504"/>
      <c r="G1138" s="451" t="s">
        <v>3406</v>
      </c>
      <c r="Z1138" s="500"/>
      <c r="AA1138" s="500"/>
      <c r="AB1138" s="500"/>
      <c r="AC1138" s="500"/>
      <c r="AD1138" s="500"/>
      <c r="AE1138" s="500"/>
      <c r="AF1138" s="500"/>
      <c r="AG1138" s="500"/>
      <c r="AH1138" s="500"/>
      <c r="AI1138" s="500"/>
      <c r="AJ1138" s="500"/>
      <c r="AK1138" s="500"/>
      <c r="AL1138" s="500"/>
      <c r="AM1138" s="500"/>
      <c r="AN1138" s="500"/>
      <c r="AO1138" s="500"/>
      <c r="AP1138" s="500"/>
    </row>
    <row r="1139" spans="1:42" ht="16.5" customHeight="1">
      <c r="A1139" s="434"/>
      <c r="B1139" s="437" t="s">
        <v>3440</v>
      </c>
      <c r="C1139" s="513">
        <f>E1139+D1139+F1139</f>
        <v>20260.399999999998</v>
      </c>
      <c r="D1139" s="513">
        <f>SUMIF(N1107:N1138,M1139,D1107:D1138)</f>
        <v>18351.399999999998</v>
      </c>
      <c r="E1139" s="513">
        <f>SUMIF(N1107:N1138,M1139,E1107:E1138)</f>
        <v>1909</v>
      </c>
      <c r="F1139" s="513">
        <f>SUMIF(N1107:N1138,M1139,F1107:F1138)</f>
        <v>0</v>
      </c>
      <c r="G1139" s="451" t="s">
        <v>3441</v>
      </c>
      <c r="M1139" s="501" t="s">
        <v>3421</v>
      </c>
      <c r="N1139" s="501" t="s">
        <v>2354</v>
      </c>
      <c r="Z1139" s="500"/>
      <c r="AA1139" s="500"/>
      <c r="AB1139" s="500"/>
      <c r="AC1139" s="500"/>
      <c r="AD1139" s="500"/>
      <c r="AE1139" s="500"/>
      <c r="AF1139" s="500"/>
      <c r="AG1139" s="500"/>
      <c r="AH1139" s="500"/>
      <c r="AI1139" s="500"/>
      <c r="AJ1139" s="500"/>
      <c r="AK1139" s="500"/>
      <c r="AL1139" s="500"/>
      <c r="AM1139" s="500"/>
      <c r="AN1139" s="500"/>
      <c r="AO1139" s="500"/>
      <c r="AP1139" s="500"/>
    </row>
    <row r="1140" spans="1:42" ht="16.5" customHeight="1">
      <c r="A1140" s="439"/>
      <c r="B1140" s="439"/>
      <c r="C1140" s="504"/>
      <c r="D1140" s="504"/>
      <c r="E1140" s="504"/>
      <c r="F1140" s="504"/>
      <c r="G1140" s="451" t="s">
        <v>3413</v>
      </c>
      <c r="Z1140" s="500"/>
      <c r="AA1140" s="500"/>
      <c r="AB1140" s="500"/>
      <c r="AC1140" s="500"/>
      <c r="AD1140" s="500"/>
      <c r="AE1140" s="500"/>
      <c r="AF1140" s="500"/>
      <c r="AG1140" s="500"/>
      <c r="AH1140" s="500"/>
      <c r="AI1140" s="500"/>
      <c r="AJ1140" s="500"/>
      <c r="AK1140" s="500"/>
      <c r="AL1140" s="500"/>
      <c r="AM1140" s="500"/>
      <c r="AN1140" s="500"/>
      <c r="AO1140" s="500"/>
      <c r="AP1140" s="500"/>
    </row>
    <row r="1141" spans="1:42" ht="16.5" customHeight="1">
      <c r="A1141" s="439"/>
      <c r="B1141" s="439"/>
      <c r="C1141" s="439"/>
      <c r="D1141" s="439"/>
      <c r="E1141" s="439"/>
      <c r="F1141" s="439"/>
      <c r="Z1141" s="500"/>
      <c r="AA1141" s="500"/>
      <c r="AB1141" s="500"/>
      <c r="AC1141" s="500"/>
      <c r="AD1141" s="500"/>
      <c r="AE1141" s="500"/>
      <c r="AF1141" s="500"/>
      <c r="AG1141" s="500"/>
      <c r="AH1141" s="500"/>
      <c r="AI1141" s="500"/>
      <c r="AJ1141" s="500"/>
      <c r="AK1141" s="500"/>
      <c r="AL1141" s="500"/>
      <c r="AM1141" s="500"/>
      <c r="AN1141" s="500"/>
      <c r="AO1141" s="500"/>
      <c r="AP1141" s="500"/>
    </row>
    <row r="1142" spans="1:42" ht="16.5" customHeight="1">
      <c r="A1142" s="439"/>
      <c r="B1142" s="439"/>
      <c r="C1142" s="439"/>
      <c r="D1142" s="439"/>
      <c r="E1142" s="439"/>
      <c r="F1142" s="439"/>
      <c r="Z1142" s="500"/>
      <c r="AA1142" s="500"/>
      <c r="AB1142" s="500"/>
      <c r="AC1142" s="500"/>
      <c r="AD1142" s="500"/>
      <c r="AE1142" s="500"/>
      <c r="AF1142" s="500"/>
      <c r="AG1142" s="500"/>
      <c r="AH1142" s="500"/>
      <c r="AI1142" s="500"/>
      <c r="AJ1142" s="500"/>
      <c r="AK1142" s="500"/>
      <c r="AL1142" s="500"/>
      <c r="AM1142" s="500"/>
      <c r="AN1142" s="500"/>
      <c r="AO1142" s="500"/>
      <c r="AP1142" s="500"/>
    </row>
    <row r="1143" spans="1:42" ht="16.5" customHeight="1">
      <c r="A1143" s="439"/>
      <c r="B1143" s="439"/>
      <c r="C1143" s="439"/>
      <c r="D1143" s="439"/>
      <c r="E1143" s="439"/>
      <c r="F1143" s="439"/>
      <c r="Z1143" s="500"/>
      <c r="AA1143" s="500"/>
      <c r="AB1143" s="500"/>
      <c r="AC1143" s="500"/>
      <c r="AD1143" s="500"/>
      <c r="AE1143" s="500"/>
      <c r="AF1143" s="500"/>
      <c r="AG1143" s="500"/>
      <c r="AH1143" s="500"/>
      <c r="AI1143" s="500"/>
      <c r="AJ1143" s="500"/>
      <c r="AK1143" s="500"/>
      <c r="AL1143" s="500"/>
      <c r="AM1143" s="500"/>
      <c r="AN1143" s="500"/>
      <c r="AO1143" s="500"/>
      <c r="AP1143" s="500"/>
    </row>
    <row r="1144" spans="1:42" ht="16.5" customHeight="1">
      <c r="A1144" s="439"/>
      <c r="B1144" s="439"/>
      <c r="C1144" s="439"/>
      <c r="D1144" s="439"/>
      <c r="E1144" s="439"/>
      <c r="F1144" s="439"/>
      <c r="Z1144" s="500"/>
      <c r="AA1144" s="500"/>
      <c r="AB1144" s="500"/>
      <c r="AC1144" s="500"/>
      <c r="AD1144" s="500"/>
      <c r="AE1144" s="500"/>
      <c r="AF1144" s="500"/>
      <c r="AG1144" s="500"/>
      <c r="AH1144" s="500"/>
      <c r="AI1144" s="500"/>
      <c r="AJ1144" s="500"/>
      <c r="AK1144" s="500"/>
      <c r="AL1144" s="500"/>
      <c r="AM1144" s="500"/>
      <c r="AN1144" s="500"/>
      <c r="AO1144" s="500"/>
      <c r="AP1144" s="500"/>
    </row>
    <row r="1145" spans="1:42" ht="16.5" customHeight="1">
      <c r="A1145" s="439"/>
      <c r="B1145" s="439"/>
      <c r="C1145" s="439"/>
      <c r="D1145" s="439"/>
      <c r="E1145" s="439"/>
      <c r="F1145" s="439"/>
      <c r="Z1145" s="500"/>
      <c r="AA1145" s="500"/>
      <c r="AB1145" s="500"/>
      <c r="AC1145" s="500"/>
      <c r="AD1145" s="500"/>
      <c r="AE1145" s="500"/>
      <c r="AF1145" s="500"/>
      <c r="AG1145" s="500"/>
      <c r="AH1145" s="500"/>
      <c r="AI1145" s="500"/>
      <c r="AJ1145" s="500"/>
      <c r="AK1145" s="500"/>
      <c r="AL1145" s="500"/>
      <c r="AM1145" s="500"/>
      <c r="AN1145" s="500"/>
      <c r="AO1145" s="500"/>
      <c r="AP1145" s="500"/>
    </row>
    <row r="1146" spans="1:42" ht="16.5" customHeight="1">
      <c r="A1146" s="439"/>
      <c r="B1146" s="439"/>
      <c r="C1146" s="439"/>
      <c r="D1146" s="439"/>
      <c r="E1146" s="439"/>
      <c r="F1146" s="439"/>
      <c r="Z1146" s="500"/>
      <c r="AA1146" s="500"/>
      <c r="AB1146" s="500"/>
      <c r="AC1146" s="500"/>
      <c r="AD1146" s="500"/>
      <c r="AE1146" s="500"/>
      <c r="AF1146" s="500"/>
      <c r="AG1146" s="500"/>
      <c r="AH1146" s="500"/>
      <c r="AI1146" s="500"/>
      <c r="AJ1146" s="500"/>
      <c r="AK1146" s="500"/>
      <c r="AL1146" s="500"/>
      <c r="AM1146" s="500"/>
      <c r="AN1146" s="500"/>
      <c r="AO1146" s="500"/>
      <c r="AP1146" s="500"/>
    </row>
    <row r="1147" spans="1:42" ht="16.5" customHeight="1">
      <c r="A1147" s="439"/>
      <c r="B1147" s="439"/>
      <c r="C1147" s="439"/>
      <c r="D1147" s="439"/>
      <c r="E1147" s="439"/>
      <c r="F1147" s="439"/>
      <c r="Z1147" s="500"/>
      <c r="AA1147" s="500"/>
      <c r="AB1147" s="500"/>
      <c r="AC1147" s="500"/>
      <c r="AD1147" s="500"/>
      <c r="AE1147" s="500"/>
      <c r="AF1147" s="500"/>
      <c r="AG1147" s="500"/>
      <c r="AH1147" s="500"/>
      <c r="AI1147" s="500"/>
      <c r="AJ1147" s="500"/>
      <c r="AK1147" s="500"/>
      <c r="AL1147" s="500"/>
      <c r="AM1147" s="500"/>
      <c r="AN1147" s="500"/>
      <c r="AO1147" s="500"/>
      <c r="AP1147" s="500"/>
    </row>
    <row r="1148" spans="1:42" ht="16.5" customHeight="1">
      <c r="A1148" s="439"/>
      <c r="B1148" s="439"/>
      <c r="C1148" s="439"/>
      <c r="D1148" s="439"/>
      <c r="E1148" s="439"/>
      <c r="F1148" s="439"/>
      <c r="Z1148" s="500"/>
      <c r="AA1148" s="500"/>
      <c r="AB1148" s="500"/>
      <c r="AC1148" s="500"/>
      <c r="AD1148" s="500"/>
      <c r="AE1148" s="500"/>
      <c r="AF1148" s="500"/>
      <c r="AG1148" s="500"/>
      <c r="AH1148" s="500"/>
      <c r="AI1148" s="500"/>
      <c r="AJ1148" s="500"/>
      <c r="AK1148" s="500"/>
      <c r="AL1148" s="500"/>
      <c r="AM1148" s="500"/>
      <c r="AN1148" s="500"/>
      <c r="AO1148" s="500"/>
      <c r="AP1148" s="500"/>
    </row>
    <row r="1149" spans="1:42" ht="16.5" customHeight="1">
      <c r="A1149" s="439"/>
      <c r="B1149" s="439"/>
      <c r="C1149" s="439"/>
      <c r="D1149" s="439"/>
      <c r="E1149" s="439"/>
      <c r="F1149" s="439"/>
      <c r="Z1149" s="500"/>
      <c r="AA1149" s="500"/>
      <c r="AB1149" s="500"/>
      <c r="AC1149" s="500"/>
      <c r="AD1149" s="500"/>
      <c r="AE1149" s="500"/>
      <c r="AF1149" s="500"/>
      <c r="AG1149" s="500"/>
      <c r="AH1149" s="500"/>
      <c r="AI1149" s="500"/>
      <c r="AJ1149" s="500"/>
      <c r="AK1149" s="500"/>
      <c r="AL1149" s="500"/>
      <c r="AM1149" s="500"/>
      <c r="AN1149" s="500"/>
      <c r="AO1149" s="500"/>
      <c r="AP1149" s="500"/>
    </row>
    <row r="1150" spans="1:42" ht="16.5" customHeight="1">
      <c r="A1150" s="439"/>
      <c r="B1150" s="439"/>
      <c r="C1150" s="439"/>
      <c r="D1150" s="439"/>
      <c r="E1150" s="439"/>
      <c r="F1150" s="439"/>
      <c r="Z1150" s="500"/>
      <c r="AA1150" s="500"/>
      <c r="AB1150" s="500"/>
      <c r="AC1150" s="500"/>
      <c r="AD1150" s="500"/>
      <c r="AE1150" s="500"/>
      <c r="AF1150" s="500"/>
      <c r="AG1150" s="500"/>
      <c r="AH1150" s="500"/>
      <c r="AI1150" s="500"/>
      <c r="AJ1150" s="500"/>
      <c r="AK1150" s="500"/>
      <c r="AL1150" s="500"/>
      <c r="AM1150" s="500"/>
      <c r="AN1150" s="500"/>
      <c r="AO1150" s="500"/>
      <c r="AP1150" s="500"/>
    </row>
    <row r="1151" spans="1:42" ht="16.5" customHeight="1">
      <c r="A1151" s="439"/>
      <c r="B1151" s="439"/>
      <c r="C1151" s="439"/>
      <c r="D1151" s="439"/>
      <c r="E1151" s="439"/>
      <c r="F1151" s="439"/>
      <c r="Z1151" s="500"/>
      <c r="AA1151" s="500"/>
      <c r="AB1151" s="500"/>
      <c r="AC1151" s="500"/>
      <c r="AD1151" s="500"/>
      <c r="AE1151" s="500"/>
      <c r="AF1151" s="500"/>
      <c r="AG1151" s="500"/>
      <c r="AH1151" s="500"/>
      <c r="AI1151" s="500"/>
      <c r="AJ1151" s="500"/>
      <c r="AK1151" s="500"/>
      <c r="AL1151" s="500"/>
      <c r="AM1151" s="500"/>
      <c r="AN1151" s="500"/>
      <c r="AO1151" s="500"/>
      <c r="AP1151" s="500"/>
    </row>
    <row r="1152" spans="1:42" ht="16.5" customHeight="1">
      <c r="A1152" s="439"/>
      <c r="B1152" s="439"/>
      <c r="C1152" s="439"/>
      <c r="D1152" s="439"/>
      <c r="E1152" s="439"/>
      <c r="F1152" s="439"/>
      <c r="Z1152" s="500"/>
      <c r="AA1152" s="500"/>
      <c r="AB1152" s="500"/>
      <c r="AC1152" s="500"/>
      <c r="AD1152" s="500"/>
      <c r="AE1152" s="500"/>
      <c r="AF1152" s="500"/>
      <c r="AG1152" s="500"/>
      <c r="AH1152" s="500"/>
      <c r="AI1152" s="500"/>
      <c r="AJ1152" s="500"/>
      <c r="AK1152" s="500"/>
      <c r="AL1152" s="500"/>
      <c r="AM1152" s="500"/>
      <c r="AN1152" s="500"/>
      <c r="AO1152" s="500"/>
      <c r="AP1152" s="500"/>
    </row>
    <row r="1153" spans="1:42" ht="16.5" customHeight="1">
      <c r="A1153" s="497"/>
      <c r="B1153" s="497"/>
      <c r="C1153" s="497"/>
      <c r="D1153" s="497"/>
      <c r="E1153" s="497"/>
      <c r="F1153" s="497"/>
      <c r="Z1153" s="500"/>
      <c r="AA1153" s="500"/>
      <c r="AB1153" s="500"/>
      <c r="AC1153" s="500"/>
      <c r="AD1153" s="500"/>
      <c r="AE1153" s="500"/>
      <c r="AF1153" s="500"/>
      <c r="AG1153" s="500"/>
      <c r="AH1153" s="500"/>
      <c r="AI1153" s="500"/>
      <c r="AJ1153" s="500"/>
      <c r="AK1153" s="500"/>
      <c r="AL1153" s="500"/>
      <c r="AM1153" s="500"/>
      <c r="AN1153" s="500"/>
      <c r="AO1153" s="500"/>
      <c r="AP1153" s="500"/>
    </row>
    <row r="1154" spans="1:42" ht="16.5" customHeight="1">
      <c r="A1154" s="616" t="s">
        <v>3487</v>
      </c>
      <c r="B1154" s="605"/>
      <c r="C1154" s="446">
        <f>E1154+D1154+F1154</f>
        <v>20260</v>
      </c>
      <c r="D1154" s="453">
        <f>ROUNDDOWN(SUMIF(N1107:N1140,M1154,D1107:D1140),0)</f>
        <v>18351</v>
      </c>
      <c r="E1154" s="454">
        <f>ROUNDDOWN(SUMIF(N1107:N1140,M1154,E1107:E1140),0)</f>
        <v>1909</v>
      </c>
      <c r="F1154" s="446">
        <f>ROUNDDOWN(SUMIF(N1107:N1140,M1154,F1107:F1140),0)</f>
        <v>0</v>
      </c>
      <c r="M1154" s="501" t="s">
        <v>2354</v>
      </c>
      <c r="Z1154" s="500"/>
      <c r="AA1154" s="500"/>
      <c r="AB1154" s="500"/>
      <c r="AC1154" s="500"/>
      <c r="AD1154" s="500"/>
      <c r="AE1154" s="500"/>
      <c r="AF1154" s="500"/>
      <c r="AG1154" s="500"/>
      <c r="AH1154" s="500"/>
      <c r="AI1154" s="500"/>
      <c r="AJ1154" s="500"/>
      <c r="AK1154" s="500"/>
      <c r="AL1154" s="500"/>
      <c r="AM1154" s="500"/>
      <c r="AN1154" s="500"/>
      <c r="AO1154" s="500"/>
      <c r="AP1154" s="500"/>
    </row>
    <row r="1155" spans="1:42" ht="16.5" customHeight="1">
      <c r="A1155" s="502"/>
      <c r="B1155" s="503" t="s">
        <v>5370</v>
      </c>
      <c r="C1155" s="615">
        <f>C1204</f>
        <v>9376</v>
      </c>
      <c r="D1155" s="615">
        <f>D1204</f>
        <v>8776</v>
      </c>
      <c r="E1155" s="615">
        <f>E1204</f>
        <v>600</v>
      </c>
      <c r="F1155" s="615">
        <f>F1204</f>
        <v>0</v>
      </c>
      <c r="G1155" s="486" t="str">
        <f>HYPERLINK("#G"&amp;ROW(G1190),"_x0005_`BDCOD|D01327_x0007_`POSS|"&amp;ROW(G1157)&amp;"_x0007_`POSE|"&amp;ROW(G1190)&amp;"_x0007_`")</f>
        <v>_x0005_`BDCOD|D01327_x0007_`POSS|1157_x0007_`POSE|1190_x0007_`</v>
      </c>
      <c r="Z1155" s="500"/>
      <c r="AA1155" s="500"/>
      <c r="AB1155" s="500"/>
      <c r="AC1155" s="500"/>
      <c r="AD1155" s="500"/>
      <c r="AE1155" s="500"/>
      <c r="AF1155" s="500"/>
      <c r="AG1155" s="500"/>
      <c r="AH1155" s="500"/>
      <c r="AI1155" s="500"/>
      <c r="AJ1155" s="500"/>
      <c r="AK1155" s="500"/>
      <c r="AL1155" s="500"/>
      <c r="AM1155" s="500"/>
      <c r="AN1155" s="500"/>
      <c r="AO1155" s="500"/>
      <c r="AP1155" s="500"/>
    </row>
    <row r="1156" spans="1:42" ht="16.5" customHeight="1">
      <c r="A1156" s="485"/>
      <c r="B1156" s="503" t="s">
        <v>5600</v>
      </c>
      <c r="C1156" s="593"/>
      <c r="D1156" s="593"/>
      <c r="E1156" s="593"/>
      <c r="F1156" s="593"/>
      <c r="M1156" s="501" t="s">
        <v>5370</v>
      </c>
      <c r="Z1156" s="500"/>
      <c r="AA1156" s="500"/>
      <c r="AB1156" s="500"/>
      <c r="AC1156" s="500"/>
      <c r="AD1156" s="500"/>
      <c r="AE1156" s="500"/>
      <c r="AF1156" s="500"/>
      <c r="AG1156" s="500"/>
      <c r="AH1156" s="500"/>
      <c r="AI1156" s="500"/>
      <c r="AJ1156" s="500"/>
      <c r="AK1156" s="500"/>
      <c r="AL1156" s="500"/>
      <c r="AM1156" s="500"/>
      <c r="AN1156" s="500"/>
      <c r="AO1156" s="500"/>
      <c r="AP1156" s="500"/>
    </row>
    <row r="1157" spans="1:42" ht="16.5" customHeight="1">
      <c r="A1157" s="439"/>
      <c r="B1157" s="439"/>
      <c r="C1157" s="504"/>
      <c r="D1157" s="504"/>
      <c r="E1157" s="504"/>
      <c r="F1157" s="504"/>
      <c r="G1157" s="451" t="s">
        <v>3406</v>
      </c>
      <c r="Z1157" s="500"/>
      <c r="AA1157" s="500"/>
      <c r="AB1157" s="500"/>
      <c r="AC1157" s="500"/>
      <c r="AD1157" s="500"/>
      <c r="AE1157" s="500"/>
      <c r="AF1157" s="500"/>
      <c r="AG1157" s="500"/>
      <c r="AH1157" s="500"/>
      <c r="AI1157" s="500"/>
      <c r="AJ1157" s="500"/>
      <c r="AK1157" s="500"/>
      <c r="AL1157" s="500"/>
      <c r="AM1157" s="500"/>
      <c r="AN1157" s="500"/>
      <c r="AO1157" s="500"/>
      <c r="AP1157" s="500"/>
    </row>
    <row r="1158" spans="1:42" ht="16.5" customHeight="1">
      <c r="A1158" s="434"/>
      <c r="B1158" s="437" t="s">
        <v>3523</v>
      </c>
      <c r="C1158" s="439"/>
      <c r="D1158" s="439"/>
      <c r="E1158" s="439"/>
      <c r="F1158" s="439"/>
      <c r="G1158" s="451" t="s">
        <v>3524</v>
      </c>
      <c r="Z1158" s="500"/>
      <c r="AA1158" s="500"/>
      <c r="AB1158" s="500"/>
      <c r="AC1158" s="500"/>
      <c r="AD1158" s="500"/>
      <c r="AE1158" s="500"/>
      <c r="AF1158" s="500"/>
      <c r="AG1158" s="500"/>
      <c r="AH1158" s="500"/>
      <c r="AI1158" s="500"/>
      <c r="AJ1158" s="500"/>
      <c r="AK1158" s="500"/>
      <c r="AL1158" s="500"/>
      <c r="AM1158" s="500"/>
      <c r="AN1158" s="500"/>
      <c r="AO1158" s="500"/>
      <c r="AP1158" s="500"/>
    </row>
    <row r="1159" spans="1:42" ht="16.5" customHeight="1">
      <c r="A1159" s="439"/>
      <c r="B1159" s="439"/>
      <c r="C1159" s="439"/>
      <c r="D1159" s="439"/>
      <c r="E1159" s="439"/>
      <c r="F1159" s="439"/>
      <c r="G1159" s="451" t="s">
        <v>3406</v>
      </c>
      <c r="Z1159" s="500"/>
      <c r="AA1159" s="500"/>
      <c r="AB1159" s="500"/>
      <c r="AC1159" s="500"/>
      <c r="AD1159" s="500"/>
      <c r="AE1159" s="500"/>
      <c r="AF1159" s="500"/>
      <c r="AG1159" s="500"/>
      <c r="AH1159" s="500"/>
      <c r="AI1159" s="500"/>
      <c r="AJ1159" s="500"/>
      <c r="AK1159" s="500"/>
      <c r="AL1159" s="500"/>
      <c r="AM1159" s="500"/>
      <c r="AN1159" s="500"/>
      <c r="AO1159" s="500"/>
      <c r="AP1159" s="500"/>
    </row>
    <row r="1160" spans="1:42" ht="16.5" customHeight="1">
      <c r="A1160" s="434"/>
      <c r="B1160" s="437" t="s">
        <v>3525</v>
      </c>
      <c r="C1160" s="439"/>
      <c r="D1160" s="439"/>
      <c r="E1160" s="439"/>
      <c r="F1160" s="439"/>
      <c r="G1160" s="451" t="s">
        <v>3526</v>
      </c>
      <c r="Z1160" s="500"/>
      <c r="AA1160" s="500"/>
      <c r="AB1160" s="500"/>
      <c r="AC1160" s="500"/>
      <c r="AD1160" s="500"/>
      <c r="AE1160" s="500"/>
      <c r="AF1160" s="500"/>
      <c r="AG1160" s="500"/>
      <c r="AH1160" s="500"/>
      <c r="AI1160" s="500"/>
      <c r="AJ1160" s="500"/>
      <c r="AK1160" s="500"/>
      <c r="AL1160" s="500"/>
      <c r="AM1160" s="500"/>
      <c r="AN1160" s="500"/>
      <c r="AO1160" s="500"/>
      <c r="AP1160" s="500"/>
    </row>
    <row r="1161" spans="1:42" ht="16.5" customHeight="1">
      <c r="A1161" s="439"/>
      <c r="B1161" s="439"/>
      <c r="C1161" s="439"/>
      <c r="D1161" s="439"/>
      <c r="E1161" s="439"/>
      <c r="F1161" s="439"/>
      <c r="G1161" s="451" t="s">
        <v>3406</v>
      </c>
      <c r="Z1161" s="500"/>
      <c r="AA1161" s="500"/>
      <c r="AB1161" s="500"/>
      <c r="AC1161" s="500"/>
      <c r="AD1161" s="500"/>
      <c r="AE1161" s="500"/>
      <c r="AF1161" s="500"/>
      <c r="AG1161" s="500"/>
      <c r="AH1161" s="500"/>
      <c r="AI1161" s="500"/>
      <c r="AJ1161" s="500"/>
      <c r="AK1161" s="500"/>
      <c r="AL1161" s="500"/>
      <c r="AM1161" s="500"/>
      <c r="AN1161" s="500"/>
      <c r="AO1161" s="500"/>
      <c r="AP1161" s="500"/>
    </row>
    <row r="1162" spans="1:42" ht="16.5" customHeight="1">
      <c r="A1162" s="434"/>
      <c r="B1162" s="437" t="str">
        <f>" 일당 작업량 :   Q1 = "&amp;Z1162&amp;"  주 "</f>
        <v xml:space="preserve"> 일당 작업량 :   Q1 = 125  주 </v>
      </c>
      <c r="C1162" s="439"/>
      <c r="D1162" s="439"/>
      <c r="E1162" s="439"/>
      <c r="F1162" s="439"/>
      <c r="G1162" s="451" t="s">
        <v>3527</v>
      </c>
      <c r="Z1162" s="515">
        <v>125</v>
      </c>
      <c r="AA1162" s="501" t="s">
        <v>3418</v>
      </c>
      <c r="AB1162" s="512">
        <f>Z1162</f>
        <v>125</v>
      </c>
      <c r="AC1162" s="500"/>
      <c r="AD1162" s="500"/>
      <c r="AE1162" s="500"/>
      <c r="AF1162" s="500"/>
      <c r="AG1162" s="500"/>
      <c r="AH1162" s="500"/>
      <c r="AI1162" s="500"/>
      <c r="AJ1162" s="500"/>
      <c r="AK1162" s="500"/>
      <c r="AL1162" s="500"/>
      <c r="AM1162" s="500"/>
      <c r="AN1162" s="500"/>
      <c r="AO1162" s="500"/>
      <c r="AP1162" s="500"/>
    </row>
    <row r="1163" spans="1:42" ht="16.5" customHeight="1">
      <c r="A1163" s="439"/>
      <c r="B1163" s="439"/>
      <c r="C1163" s="439"/>
      <c r="D1163" s="439"/>
      <c r="E1163" s="439"/>
      <c r="F1163" s="439"/>
      <c r="G1163" s="451" t="s">
        <v>3406</v>
      </c>
      <c r="Z1163" s="500"/>
      <c r="AA1163" s="500"/>
      <c r="AB1163" s="500"/>
      <c r="AC1163" s="500"/>
      <c r="AD1163" s="500"/>
      <c r="AE1163" s="500"/>
      <c r="AF1163" s="500"/>
      <c r="AG1163" s="500"/>
      <c r="AH1163" s="500"/>
      <c r="AI1163" s="500"/>
      <c r="AJ1163" s="500"/>
      <c r="AK1163" s="500"/>
      <c r="AL1163" s="500"/>
      <c r="AM1163" s="500"/>
      <c r="AN1163" s="500"/>
      <c r="AO1163" s="500"/>
      <c r="AP1163" s="500"/>
    </row>
    <row r="1164" spans="1:42" ht="16.5" customHeight="1">
      <c r="A1164" s="434"/>
      <c r="B1164" s="437" t="s">
        <v>3494</v>
      </c>
      <c r="C1164" s="439"/>
      <c r="D1164" s="439"/>
      <c r="E1164" s="439"/>
      <c r="F1164" s="439"/>
      <c r="G1164" s="451" t="s">
        <v>3495</v>
      </c>
      <c r="Z1164" s="500"/>
      <c r="AA1164" s="500"/>
      <c r="AB1164" s="500"/>
      <c r="AC1164" s="500"/>
      <c r="AD1164" s="500"/>
      <c r="AE1164" s="500"/>
      <c r="AF1164" s="500"/>
      <c r="AG1164" s="500"/>
      <c r="AH1164" s="500"/>
      <c r="AI1164" s="500"/>
      <c r="AJ1164" s="500"/>
      <c r="AK1164" s="500"/>
      <c r="AL1164" s="500"/>
      <c r="AM1164" s="500"/>
      <c r="AN1164" s="500"/>
      <c r="AO1164" s="500"/>
      <c r="AP1164" s="500"/>
    </row>
    <row r="1165" spans="1:42" ht="16.5" customHeight="1">
      <c r="A1165" s="439"/>
      <c r="B1165" s="439"/>
      <c r="C1165" s="439"/>
      <c r="D1165" s="439"/>
      <c r="E1165" s="439"/>
      <c r="F1165" s="439"/>
      <c r="G1165" s="451" t="s">
        <v>3406</v>
      </c>
      <c r="Z1165" s="500"/>
      <c r="AA1165" s="500"/>
      <c r="AB1165" s="500"/>
      <c r="AC1165" s="500"/>
      <c r="AD1165" s="500"/>
      <c r="AE1165" s="500"/>
      <c r="AF1165" s="500"/>
      <c r="AG1165" s="500"/>
      <c r="AH1165" s="500"/>
      <c r="AI1165" s="500"/>
      <c r="AJ1165" s="500"/>
      <c r="AK1165" s="500"/>
      <c r="AL1165" s="500"/>
      <c r="AM1165" s="500"/>
      <c r="AN1165" s="500"/>
      <c r="AO1165" s="500"/>
      <c r="AP1165" s="500"/>
    </row>
    <row r="1166" spans="1:42" ht="16.5" customHeight="1">
      <c r="A1166" s="439"/>
      <c r="B1166" s="439"/>
      <c r="C1166" s="439"/>
      <c r="D1166" s="439"/>
      <c r="E1166" s="439"/>
      <c r="F1166" s="439"/>
      <c r="G1166" s="451" t="s">
        <v>3406</v>
      </c>
      <c r="Z1166" s="500"/>
      <c r="AA1166" s="500"/>
      <c r="AB1166" s="500"/>
      <c r="AC1166" s="500"/>
      <c r="AD1166" s="500"/>
      <c r="AE1166" s="500"/>
      <c r="AF1166" s="500"/>
      <c r="AG1166" s="500"/>
      <c r="AH1166" s="500"/>
      <c r="AI1166" s="500"/>
      <c r="AJ1166" s="500"/>
      <c r="AK1166" s="500"/>
      <c r="AL1166" s="500"/>
      <c r="AM1166" s="500"/>
      <c r="AN1166" s="500"/>
      <c r="AO1166" s="500"/>
      <c r="AP1166" s="500"/>
    </row>
    <row r="1167" spans="1:42" ht="16.5" customHeight="1">
      <c r="A1167" s="439"/>
      <c r="B1167" s="439"/>
      <c r="C1167" s="439"/>
      <c r="D1167" s="439"/>
      <c r="E1167" s="439"/>
      <c r="F1167" s="439"/>
      <c r="G1167" s="451" t="s">
        <v>3406</v>
      </c>
      <c r="Z1167" s="500"/>
      <c r="AA1167" s="500"/>
      <c r="AB1167" s="500"/>
      <c r="AC1167" s="500"/>
      <c r="AD1167" s="500"/>
      <c r="AE1167" s="500"/>
      <c r="AF1167" s="500"/>
      <c r="AG1167" s="500"/>
      <c r="AH1167" s="500"/>
      <c r="AI1167" s="500"/>
      <c r="AJ1167" s="500"/>
      <c r="AK1167" s="500"/>
      <c r="AL1167" s="500"/>
      <c r="AM1167" s="500"/>
      <c r="AN1167" s="500"/>
      <c r="AO1167" s="500"/>
      <c r="AP1167" s="500"/>
    </row>
    <row r="1168" spans="1:42" ht="16.5" customHeight="1">
      <c r="A1168" s="439"/>
      <c r="B1168" s="439"/>
      <c r="C1168" s="439"/>
      <c r="D1168" s="439"/>
      <c r="E1168" s="439"/>
      <c r="F1168" s="439"/>
      <c r="G1168" s="451" t="s">
        <v>3406</v>
      </c>
      <c r="Z1168" s="500"/>
      <c r="AA1168" s="500"/>
      <c r="AB1168" s="500"/>
      <c r="AC1168" s="500"/>
      <c r="AD1168" s="500"/>
      <c r="AE1168" s="500"/>
      <c r="AF1168" s="500"/>
      <c r="AG1168" s="500"/>
      <c r="AH1168" s="500"/>
      <c r="AI1168" s="500"/>
      <c r="AJ1168" s="500"/>
      <c r="AK1168" s="500"/>
      <c r="AL1168" s="500"/>
      <c r="AM1168" s="500"/>
      <c r="AN1168" s="500"/>
      <c r="AO1168" s="500"/>
      <c r="AP1168" s="500"/>
    </row>
    <row r="1169" spans="1:42" ht="16.5" customHeight="1">
      <c r="A1169" s="434"/>
      <c r="B1169" s="437" t="s">
        <v>3496</v>
      </c>
      <c r="C1169" s="439"/>
      <c r="D1169" s="439"/>
      <c r="E1169" s="439"/>
      <c r="F1169" s="439"/>
      <c r="G1169" s="451" t="s">
        <v>3497</v>
      </c>
      <c r="Z1169" s="500"/>
      <c r="AA1169" s="500"/>
      <c r="AB1169" s="500"/>
      <c r="AC1169" s="500"/>
      <c r="AD1169" s="500"/>
      <c r="AE1169" s="500"/>
      <c r="AF1169" s="500"/>
      <c r="AG1169" s="500"/>
      <c r="AH1169" s="500"/>
      <c r="AI1169" s="500"/>
      <c r="AJ1169" s="500"/>
      <c r="AK1169" s="500"/>
      <c r="AL1169" s="500"/>
      <c r="AM1169" s="500"/>
      <c r="AN1169" s="500"/>
      <c r="AO1169" s="500"/>
      <c r="AP1169" s="500"/>
    </row>
    <row r="1170" spans="1:42" ht="16.5" customHeight="1">
      <c r="A1170" s="439"/>
      <c r="B1170" s="439"/>
      <c r="C1170" s="439"/>
      <c r="D1170" s="439"/>
      <c r="E1170" s="439"/>
      <c r="F1170" s="439"/>
      <c r="G1170" s="451" t="s">
        <v>3406</v>
      </c>
      <c r="Z1170" s="500"/>
      <c r="AA1170" s="500"/>
      <c r="AB1170" s="500"/>
      <c r="AC1170" s="500"/>
      <c r="AD1170" s="500"/>
      <c r="AE1170" s="500"/>
      <c r="AF1170" s="500"/>
      <c r="AG1170" s="500"/>
      <c r="AH1170" s="500"/>
      <c r="AI1170" s="500"/>
      <c r="AJ1170" s="500"/>
      <c r="AK1170" s="500"/>
      <c r="AL1170" s="500"/>
      <c r="AM1170" s="500"/>
      <c r="AN1170" s="500"/>
      <c r="AO1170" s="500"/>
      <c r="AP1170" s="500"/>
    </row>
    <row r="1171" spans="1:42" ht="16.5" customHeight="1">
      <c r="A1171" s="434" t="s">
        <v>3498</v>
      </c>
      <c r="B1171" s="505" t="str">
        <f>" 조경공 :  "&amp;TEXT(I1171,"#,##0"&amp;IF(I1171&lt;&gt;INT(I1171),".###",""))&amp;" * "&amp;AA1171&amp;" 인  / Q1 = "&amp;TEXT(C1171,"#,##0.0")&amp;""</f>
        <v xml:space="preserve"> 조경공 :  235,204 * 3 인  / Q1 = 5,644.8</v>
      </c>
      <c r="C1171" s="506">
        <f>E1171+D1171+F1171</f>
        <v>5644.8</v>
      </c>
      <c r="D1171" s="506">
        <f>IF(H1171=0,0,ROUNDDOWN(J1171*H1171,1))</f>
        <v>5644.8</v>
      </c>
      <c r="E1171" s="506">
        <f>IF(H1171=0,0,ROUNDDOWN(K1171*H1171,1))</f>
        <v>0</v>
      </c>
      <c r="F1171" s="506">
        <f>IF(H1171=0,0,ROUNDDOWN(L1171*H1171,1))</f>
        <v>0</v>
      </c>
      <c r="G1171" s="451" t="s">
        <v>3499</v>
      </c>
      <c r="H1171" s="507">
        <f>ROUNDUP(AE1171,14-LEN(ABS(INT(AE1171))))</f>
        <v>2.4E-2</v>
      </c>
      <c r="I1171" s="508">
        <f>K1171+J1171+L1171</f>
        <v>235204</v>
      </c>
      <c r="J1171" s="509">
        <f>노무비목록표!E15</f>
        <v>235204</v>
      </c>
      <c r="M1171" s="501" t="s">
        <v>2359</v>
      </c>
      <c r="N1171" s="501" t="s">
        <v>3416</v>
      </c>
      <c r="X1171" s="510" t="str">
        <f>노무비목록표!B15&amp;" / "&amp;노무비목록표!C15</f>
        <v xml:space="preserve">조경공 / </v>
      </c>
      <c r="Y1171" s="433" t="str">
        <f ca="1">HYPERLINK("#"&amp;노무비목록표!G2&amp;"!A"&amp;ROW(노무비목록표!A15),"L00184 →")</f>
        <v>L00184 →</v>
      </c>
      <c r="Z1171" s="501" t="s">
        <v>3500</v>
      </c>
      <c r="AA1171" s="515">
        <v>3</v>
      </c>
      <c r="AB1171" s="501" t="s">
        <v>3428</v>
      </c>
      <c r="AC1171" s="512">
        <f>AB1162</f>
        <v>125</v>
      </c>
      <c r="AD1171" s="501" t="s">
        <v>3418</v>
      </c>
      <c r="AE1171" s="512">
        <f>1*AA1171/AB1162</f>
        <v>2.4E-2</v>
      </c>
      <c r="AF1171" s="500"/>
      <c r="AG1171" s="500"/>
      <c r="AH1171" s="500"/>
      <c r="AI1171" s="500"/>
      <c r="AJ1171" s="500"/>
      <c r="AK1171" s="500"/>
      <c r="AL1171" s="500"/>
      <c r="AM1171" s="500"/>
      <c r="AN1171" s="500"/>
      <c r="AO1171" s="500"/>
      <c r="AP1171" s="500"/>
    </row>
    <row r="1172" spans="1:42" ht="16.5" customHeight="1">
      <c r="A1172" s="439"/>
      <c r="B1172" s="439"/>
      <c r="C1172" s="439"/>
      <c r="D1172" s="439"/>
      <c r="E1172" s="439"/>
      <c r="F1172" s="439"/>
      <c r="G1172" s="451" t="s">
        <v>3406</v>
      </c>
      <c r="Z1172" s="500"/>
      <c r="AA1172" s="500"/>
      <c r="AB1172" s="500"/>
      <c r="AC1172" s="500"/>
      <c r="AD1172" s="500"/>
      <c r="AE1172" s="500"/>
      <c r="AF1172" s="500"/>
      <c r="AG1172" s="500"/>
      <c r="AH1172" s="500"/>
      <c r="AI1172" s="500"/>
      <c r="AJ1172" s="500"/>
      <c r="AK1172" s="500"/>
      <c r="AL1172" s="500"/>
      <c r="AM1172" s="500"/>
      <c r="AN1172" s="500"/>
      <c r="AO1172" s="500"/>
      <c r="AP1172" s="500"/>
    </row>
    <row r="1173" spans="1:42" ht="16.5" customHeight="1">
      <c r="A1173" s="439"/>
      <c r="B1173" s="439"/>
      <c r="C1173" s="439"/>
      <c r="D1173" s="439"/>
      <c r="E1173" s="439"/>
      <c r="F1173" s="439"/>
      <c r="G1173" s="451" t="s">
        <v>3406</v>
      </c>
      <c r="Z1173" s="500"/>
      <c r="AA1173" s="500"/>
      <c r="AB1173" s="500"/>
      <c r="AC1173" s="500"/>
      <c r="AD1173" s="500"/>
      <c r="AE1173" s="500"/>
      <c r="AF1173" s="500"/>
      <c r="AG1173" s="500"/>
      <c r="AH1173" s="500"/>
      <c r="AI1173" s="500"/>
      <c r="AJ1173" s="500"/>
      <c r="AK1173" s="500"/>
      <c r="AL1173" s="500"/>
      <c r="AM1173" s="500"/>
      <c r="AN1173" s="500"/>
      <c r="AO1173" s="500"/>
      <c r="AP1173" s="500"/>
    </row>
    <row r="1174" spans="1:42" ht="16.5" customHeight="1">
      <c r="A1174" s="434" t="s">
        <v>3414</v>
      </c>
      <c r="B1174" s="505" t="str">
        <f>" 보통인부 : "&amp;TEXT(I1174,"#,##0"&amp;IF(I1174&lt;&gt;INT(I1174),".###",""))&amp;" * "&amp;AA1174&amp;" 인  / Q1 = "&amp;TEXT(C1174,"#,##0.0")&amp;""</f>
        <v xml:space="preserve"> 보통인부 : 172,068 * 1 인  / Q1 = 1,376.5</v>
      </c>
      <c r="C1174" s="506">
        <f>E1174+D1174+F1174</f>
        <v>1376.5</v>
      </c>
      <c r="D1174" s="506">
        <f>IF(H1174=0,0,ROUNDDOWN(J1174*H1174,1))</f>
        <v>1376.5</v>
      </c>
      <c r="E1174" s="506">
        <f>IF(H1174=0,0,ROUNDDOWN(K1174*H1174,1))</f>
        <v>0</v>
      </c>
      <c r="F1174" s="506">
        <f>IF(H1174=0,0,ROUNDDOWN(L1174*H1174,1))</f>
        <v>0</v>
      </c>
      <c r="G1174" s="451" t="s">
        <v>3501</v>
      </c>
      <c r="H1174" s="507">
        <f>ROUNDUP(AE1174,14-LEN(ABS(INT(AE1174))))</f>
        <v>8.0000000000000002E-3</v>
      </c>
      <c r="I1174" s="508">
        <f>K1174+J1174+L1174</f>
        <v>172068</v>
      </c>
      <c r="J1174" s="509">
        <f>노무비목록표!E10</f>
        <v>172068</v>
      </c>
      <c r="M1174" s="501" t="s">
        <v>2363</v>
      </c>
      <c r="N1174" s="501" t="s">
        <v>3416</v>
      </c>
      <c r="X1174" s="510" t="str">
        <f>노무비목록표!B10&amp;" / "&amp;노무비목록표!C10</f>
        <v xml:space="preserve">보통인부 / </v>
      </c>
      <c r="Y1174" s="433" t="str">
        <f ca="1">HYPERLINK("#"&amp;노무비목록표!G2&amp;"!A"&amp;ROW(노무비목록표!A10),"L00017 →")</f>
        <v>L00017 →</v>
      </c>
      <c r="Z1174" s="501" t="s">
        <v>3500</v>
      </c>
      <c r="AA1174" s="515">
        <v>1</v>
      </c>
      <c r="AB1174" s="501" t="s">
        <v>3428</v>
      </c>
      <c r="AC1174" s="512">
        <f>AB1162</f>
        <v>125</v>
      </c>
      <c r="AD1174" s="501" t="s">
        <v>3418</v>
      </c>
      <c r="AE1174" s="512">
        <f>1*AA1174/AB1162</f>
        <v>8.0000000000000002E-3</v>
      </c>
      <c r="AF1174" s="500"/>
      <c r="AG1174" s="500"/>
      <c r="AH1174" s="500"/>
      <c r="AI1174" s="500"/>
      <c r="AJ1174" s="500"/>
      <c r="AK1174" s="500"/>
      <c r="AL1174" s="500"/>
      <c r="AM1174" s="500"/>
      <c r="AN1174" s="500"/>
      <c r="AO1174" s="500"/>
      <c r="AP1174" s="500"/>
    </row>
    <row r="1175" spans="1:42" ht="16.5" customHeight="1">
      <c r="A1175" s="439"/>
      <c r="B1175" s="439"/>
      <c r="C1175" s="439"/>
      <c r="D1175" s="439"/>
      <c r="E1175" s="439"/>
      <c r="F1175" s="439"/>
      <c r="G1175" s="451" t="s">
        <v>3406</v>
      </c>
      <c r="Z1175" s="500"/>
      <c r="AA1175" s="500"/>
      <c r="AB1175" s="500"/>
      <c r="AC1175" s="500"/>
      <c r="AD1175" s="500"/>
      <c r="AE1175" s="500"/>
      <c r="AF1175" s="500"/>
      <c r="AG1175" s="500"/>
      <c r="AH1175" s="500"/>
      <c r="AI1175" s="500"/>
      <c r="AJ1175" s="500"/>
      <c r="AK1175" s="500"/>
      <c r="AL1175" s="500"/>
      <c r="AM1175" s="500"/>
      <c r="AN1175" s="500"/>
      <c r="AO1175" s="500"/>
      <c r="AP1175" s="500"/>
    </row>
    <row r="1176" spans="1:42" ht="16.5" customHeight="1">
      <c r="A1176" s="434"/>
      <c r="B1176" s="437" t="s">
        <v>3419</v>
      </c>
      <c r="C1176" s="513">
        <f>E1176+D1176+F1176</f>
        <v>7021.3</v>
      </c>
      <c r="D1176" s="513">
        <f>SUMIF(N1157:N1175,M1176,D1157:D1175)</f>
        <v>7021.3</v>
      </c>
      <c r="E1176" s="513">
        <f>SUMIF(N1157:N1175,M1176,E1157:E1175)</f>
        <v>0</v>
      </c>
      <c r="F1176" s="513">
        <f>SUMIF(N1157:N1175,M1176,F1157:F1175)</f>
        <v>0</v>
      </c>
      <c r="G1176" s="451" t="s">
        <v>3439</v>
      </c>
      <c r="M1176" s="501" t="s">
        <v>3416</v>
      </c>
      <c r="N1176" s="501" t="s">
        <v>3421</v>
      </c>
      <c r="Z1176" s="500"/>
      <c r="AA1176" s="500"/>
      <c r="AB1176" s="500"/>
      <c r="AC1176" s="500"/>
      <c r="AD1176" s="500"/>
      <c r="AE1176" s="500"/>
      <c r="AF1176" s="500"/>
      <c r="AG1176" s="500"/>
      <c r="AH1176" s="500"/>
      <c r="AI1176" s="500"/>
      <c r="AJ1176" s="500"/>
      <c r="AK1176" s="500"/>
      <c r="AL1176" s="500"/>
      <c r="AM1176" s="500"/>
      <c r="AN1176" s="500"/>
      <c r="AO1176" s="500"/>
      <c r="AP1176" s="500"/>
    </row>
    <row r="1177" spans="1:42" ht="16.5" customHeight="1">
      <c r="A1177" s="439"/>
      <c r="B1177" s="439"/>
      <c r="C1177" s="504"/>
      <c r="D1177" s="504"/>
      <c r="E1177" s="504"/>
      <c r="F1177" s="504"/>
      <c r="G1177" s="451" t="s">
        <v>3406</v>
      </c>
      <c r="Z1177" s="500"/>
      <c r="AA1177" s="500"/>
      <c r="AB1177" s="500"/>
      <c r="AC1177" s="500"/>
      <c r="AD1177" s="500"/>
      <c r="AE1177" s="500"/>
      <c r="AF1177" s="500"/>
      <c r="AG1177" s="500"/>
      <c r="AH1177" s="500"/>
      <c r="AI1177" s="500"/>
      <c r="AJ1177" s="500"/>
      <c r="AK1177" s="500"/>
      <c r="AL1177" s="500"/>
      <c r="AM1177" s="500"/>
      <c r="AN1177" s="500"/>
      <c r="AO1177" s="500"/>
      <c r="AP1177" s="500"/>
    </row>
    <row r="1178" spans="1:42" ht="16.5" customHeight="1">
      <c r="A1178" s="439"/>
      <c r="B1178" s="439"/>
      <c r="C1178" s="439"/>
      <c r="D1178" s="439"/>
      <c r="E1178" s="439"/>
      <c r="F1178" s="439"/>
      <c r="G1178" s="451" t="s">
        <v>3406</v>
      </c>
      <c r="Z1178" s="500"/>
      <c r="AA1178" s="500"/>
      <c r="AB1178" s="500"/>
      <c r="AC1178" s="500"/>
      <c r="AD1178" s="500"/>
      <c r="AE1178" s="500"/>
      <c r="AF1178" s="500"/>
      <c r="AG1178" s="500"/>
      <c r="AH1178" s="500"/>
      <c r="AI1178" s="500"/>
      <c r="AJ1178" s="500"/>
      <c r="AK1178" s="500"/>
      <c r="AL1178" s="500"/>
      <c r="AM1178" s="500"/>
      <c r="AN1178" s="500"/>
      <c r="AO1178" s="500"/>
      <c r="AP1178" s="500"/>
    </row>
    <row r="1179" spans="1:42" ht="16.5" customHeight="1">
      <c r="A1179" s="434"/>
      <c r="B1179" s="437" t="s">
        <v>3502</v>
      </c>
      <c r="C1179" s="439"/>
      <c r="D1179" s="439"/>
      <c r="E1179" s="439"/>
      <c r="F1179" s="439"/>
      <c r="G1179" s="451" t="s">
        <v>3503</v>
      </c>
      <c r="Z1179" s="500"/>
      <c r="AA1179" s="500"/>
      <c r="AB1179" s="500"/>
      <c r="AC1179" s="500"/>
      <c r="AD1179" s="500"/>
      <c r="AE1179" s="500"/>
      <c r="AF1179" s="500"/>
      <c r="AG1179" s="500"/>
      <c r="AH1179" s="500"/>
      <c r="AI1179" s="500"/>
      <c r="AJ1179" s="500"/>
      <c r="AK1179" s="500"/>
      <c r="AL1179" s="500"/>
      <c r="AM1179" s="500"/>
      <c r="AN1179" s="500"/>
      <c r="AO1179" s="500"/>
      <c r="AP1179" s="500"/>
    </row>
    <row r="1180" spans="1:42" ht="16.5" customHeight="1">
      <c r="A1180" s="439"/>
      <c r="B1180" s="439"/>
      <c r="C1180" s="439"/>
      <c r="D1180" s="439"/>
      <c r="E1180" s="439"/>
      <c r="F1180" s="439"/>
      <c r="G1180" s="451" t="s">
        <v>3406</v>
      </c>
      <c r="Z1180" s="500"/>
      <c r="AA1180" s="500"/>
      <c r="AB1180" s="500"/>
      <c r="AC1180" s="500"/>
      <c r="AD1180" s="500"/>
      <c r="AE1180" s="500"/>
      <c r="AF1180" s="500"/>
      <c r="AG1180" s="500"/>
      <c r="AH1180" s="500"/>
      <c r="AI1180" s="500"/>
      <c r="AJ1180" s="500"/>
      <c r="AK1180" s="500"/>
      <c r="AL1180" s="500"/>
      <c r="AM1180" s="500"/>
      <c r="AN1180" s="500"/>
      <c r="AO1180" s="500"/>
      <c r="AP1180" s="500"/>
    </row>
    <row r="1181" spans="1:42" ht="16.5" customHeight="1">
      <c r="A1181" s="434" t="s">
        <v>3504</v>
      </c>
      <c r="B1181" s="505" t="str">
        <f>"  유기질비료 수목이식·식재용 : "&amp;TEXT(I1181,"#,##0"&amp;IF(I1181&lt;&gt;INT(I1181),".###",""))&amp;" * "&amp;AA1181&amp;" KG  / Q1 = "&amp;TEXT(C1181,"#,##0.0")&amp;""</f>
        <v xml:space="preserve">  유기질비료 수목이식·식재용 : 500 * 150 KG  / Q1 = 600.0</v>
      </c>
      <c r="C1181" s="506">
        <f>E1181+D1181+F1181</f>
        <v>600</v>
      </c>
      <c r="D1181" s="506">
        <f>IF(H1181=0,0,ROUNDDOWN(J1181*H1181,1))</f>
        <v>0</v>
      </c>
      <c r="E1181" s="506">
        <f>IF(H1181=0,0,ROUNDDOWN(K1181*H1181,1))</f>
        <v>600</v>
      </c>
      <c r="F1181" s="506">
        <f>IF(H1181=0,0,ROUNDDOWN(L1181*H1181,1))</f>
        <v>0</v>
      </c>
      <c r="G1181" s="451" t="s">
        <v>3505</v>
      </c>
      <c r="H1181" s="507">
        <f>ROUNDUP(AE1181,14-LEN(ABS(INT(AE1181))))</f>
        <v>1.2</v>
      </c>
      <c r="I1181" s="508">
        <f>K1181+J1181+L1181</f>
        <v>500</v>
      </c>
      <c r="K1181" s="509">
        <f>재료비목록표!E78</f>
        <v>500</v>
      </c>
      <c r="M1181" s="501" t="s">
        <v>3506</v>
      </c>
      <c r="N1181" s="501" t="s">
        <v>3416</v>
      </c>
      <c r="X1181" s="510" t="str">
        <f>재료비목록표!B78&amp;" / "&amp;재료비목록표!C78</f>
        <v>유기질비료 / 수목이식·식재용</v>
      </c>
      <c r="Y1181" s="433" t="str">
        <f ca="1">HYPERLINK("#"&amp;재료비목록표!G2&amp;"!A"&amp;ROW(재료비목록표!A78),"M01159 →")</f>
        <v>M01159 →</v>
      </c>
      <c r="Z1181" s="501" t="s">
        <v>3500</v>
      </c>
      <c r="AA1181" s="515">
        <v>150</v>
      </c>
      <c r="AB1181" s="501" t="s">
        <v>3428</v>
      </c>
      <c r="AC1181" s="512">
        <f>AB1162</f>
        <v>125</v>
      </c>
      <c r="AD1181" s="501" t="s">
        <v>3418</v>
      </c>
      <c r="AE1181" s="512">
        <f>1*AA1181/AB1162</f>
        <v>1.2</v>
      </c>
      <c r="AF1181" s="500"/>
      <c r="AG1181" s="500"/>
      <c r="AH1181" s="500"/>
      <c r="AI1181" s="500"/>
      <c r="AJ1181" s="500"/>
      <c r="AK1181" s="500"/>
      <c r="AL1181" s="500"/>
      <c r="AM1181" s="500"/>
      <c r="AN1181" s="500"/>
      <c r="AO1181" s="500"/>
      <c r="AP1181" s="500"/>
    </row>
    <row r="1182" spans="1:42" ht="16.5" customHeight="1">
      <c r="A1182" s="439"/>
      <c r="B1182" s="439"/>
      <c r="C1182" s="439"/>
      <c r="D1182" s="439"/>
      <c r="E1182" s="439"/>
      <c r="F1182" s="439"/>
      <c r="G1182" s="451" t="s">
        <v>3406</v>
      </c>
      <c r="Z1182" s="500"/>
      <c r="AA1182" s="500"/>
      <c r="AB1182" s="500"/>
      <c r="AC1182" s="500"/>
      <c r="AD1182" s="500"/>
      <c r="AE1182" s="500"/>
      <c r="AF1182" s="500"/>
      <c r="AG1182" s="500"/>
      <c r="AH1182" s="500"/>
      <c r="AI1182" s="500"/>
      <c r="AJ1182" s="500"/>
      <c r="AK1182" s="500"/>
      <c r="AL1182" s="500"/>
      <c r="AM1182" s="500"/>
      <c r="AN1182" s="500"/>
      <c r="AO1182" s="500"/>
      <c r="AP1182" s="500"/>
    </row>
    <row r="1183" spans="1:42" ht="16.5" customHeight="1">
      <c r="A1183" s="434"/>
      <c r="B1183" s="437" t="s">
        <v>3419</v>
      </c>
      <c r="C1183" s="513">
        <f>E1183+D1183+F1183</f>
        <v>600</v>
      </c>
      <c r="D1183" s="513">
        <f>SUMIF(N1177:N1182,M1183,D1177:D1182)</f>
        <v>0</v>
      </c>
      <c r="E1183" s="513">
        <f>SUMIF(N1177:N1182,M1183,E1177:E1182)</f>
        <v>600</v>
      </c>
      <c r="F1183" s="513">
        <f>SUMIF(N1177:N1182,M1183,F1177:F1182)</f>
        <v>0</v>
      </c>
      <c r="G1183" s="451" t="s">
        <v>3439</v>
      </c>
      <c r="M1183" s="501" t="s">
        <v>3416</v>
      </c>
      <c r="N1183" s="501" t="s">
        <v>3421</v>
      </c>
      <c r="Z1183" s="500"/>
      <c r="AA1183" s="500"/>
      <c r="AB1183" s="500"/>
      <c r="AC1183" s="500"/>
      <c r="AD1183" s="500"/>
      <c r="AE1183" s="500"/>
      <c r="AF1183" s="500"/>
      <c r="AG1183" s="500"/>
      <c r="AH1183" s="500"/>
      <c r="AI1183" s="500"/>
      <c r="AJ1183" s="500"/>
      <c r="AK1183" s="500"/>
      <c r="AL1183" s="500"/>
      <c r="AM1183" s="500"/>
      <c r="AN1183" s="500"/>
      <c r="AO1183" s="500"/>
      <c r="AP1183" s="500"/>
    </row>
    <row r="1184" spans="1:42" ht="16.5" customHeight="1">
      <c r="A1184" s="439"/>
      <c r="B1184" s="439"/>
      <c r="C1184" s="504"/>
      <c r="D1184" s="504"/>
      <c r="E1184" s="504"/>
      <c r="F1184" s="504"/>
      <c r="G1184" s="451" t="s">
        <v>3406</v>
      </c>
      <c r="Z1184" s="500"/>
      <c r="AA1184" s="500"/>
      <c r="AB1184" s="500"/>
      <c r="AC1184" s="500"/>
      <c r="AD1184" s="500"/>
      <c r="AE1184" s="500"/>
      <c r="AF1184" s="500"/>
      <c r="AG1184" s="500"/>
      <c r="AH1184" s="500"/>
      <c r="AI1184" s="500"/>
      <c r="AJ1184" s="500"/>
      <c r="AK1184" s="500"/>
      <c r="AL1184" s="500"/>
      <c r="AM1184" s="500"/>
      <c r="AN1184" s="500"/>
      <c r="AO1184" s="500"/>
      <c r="AP1184" s="500"/>
    </row>
    <row r="1185" spans="1:42" ht="16.5" customHeight="1">
      <c r="A1185" s="434"/>
      <c r="B1185" s="505" t="str">
        <f>"  산지할증 : "&amp;TEXT(I1185,"#,##0.0")&amp;" * "&amp;AA1185&amp;" %  = "&amp;TEXT(C1185,"#,##0.0")&amp;""</f>
        <v xml:space="preserve">  산지할증 : 7,021.3 * 25 %  = 1,755.3</v>
      </c>
      <c r="C1185" s="506">
        <f>E1185+D1185+F1185</f>
        <v>1755.3</v>
      </c>
      <c r="D1185" s="506">
        <f>IF(H1185=0,0,ROUNDDOWN(J1185*H1185/100,1))</f>
        <v>1755.3</v>
      </c>
      <c r="E1185" s="506">
        <f>IF(H1185=0,0,ROUNDDOWN(K1185*H1185/100,1))</f>
        <v>0</v>
      </c>
      <c r="F1185" s="506">
        <f>IF(H1185=0,0,ROUNDDOWN(L1185*H1185/100,1))</f>
        <v>0</v>
      </c>
      <c r="G1185" s="451" t="s">
        <v>5592</v>
      </c>
      <c r="H1185" s="507">
        <f>ROUNDUP(AC1185,14-LEN(ABS(INT(AC1185))))</f>
        <v>25</v>
      </c>
      <c r="I1185" s="508">
        <f>K1185+J1185+L1185</f>
        <v>7021.3</v>
      </c>
      <c r="J1185" s="508">
        <f>D1176+D1183+SUMIF(N1184:N1184,N1185,D1184:D1184)</f>
        <v>7021.3</v>
      </c>
      <c r="K1185" s="456">
        <v>0</v>
      </c>
      <c r="L1185" s="456">
        <v>0</v>
      </c>
      <c r="M1185" s="501" t="s">
        <v>4208</v>
      </c>
      <c r="N1185" s="501" t="s">
        <v>3416</v>
      </c>
      <c r="Z1185" s="501" t="s">
        <v>3500</v>
      </c>
      <c r="AA1185" s="515">
        <v>25</v>
      </c>
      <c r="AB1185" s="501" t="s">
        <v>3418</v>
      </c>
      <c r="AC1185" s="512">
        <f>1*AA1185</f>
        <v>25</v>
      </c>
      <c r="AD1185" s="500"/>
      <c r="AE1185" s="500"/>
      <c r="AF1185" s="500"/>
      <c r="AG1185" s="500"/>
      <c r="AH1185" s="500"/>
      <c r="AI1185" s="500"/>
      <c r="AJ1185" s="500"/>
      <c r="AK1185" s="500"/>
      <c r="AL1185" s="500"/>
      <c r="AM1185" s="500"/>
      <c r="AN1185" s="500"/>
      <c r="AO1185" s="500"/>
      <c r="AP1185" s="500"/>
    </row>
    <row r="1186" spans="1:42" ht="16.5" customHeight="1">
      <c r="A1186" s="439"/>
      <c r="B1186" s="439"/>
      <c r="C1186" s="439"/>
      <c r="D1186" s="439"/>
      <c r="E1186" s="439"/>
      <c r="F1186" s="439"/>
      <c r="G1186" s="451" t="s">
        <v>3406</v>
      </c>
      <c r="Z1186" s="500"/>
      <c r="AA1186" s="500"/>
      <c r="AB1186" s="500"/>
      <c r="AC1186" s="500"/>
      <c r="AD1186" s="500"/>
      <c r="AE1186" s="500"/>
      <c r="AF1186" s="500"/>
      <c r="AG1186" s="500"/>
      <c r="AH1186" s="500"/>
      <c r="AI1186" s="500"/>
      <c r="AJ1186" s="500"/>
      <c r="AK1186" s="500"/>
      <c r="AL1186" s="500"/>
      <c r="AM1186" s="500"/>
      <c r="AN1186" s="500"/>
      <c r="AO1186" s="500"/>
      <c r="AP1186" s="500"/>
    </row>
    <row r="1187" spans="1:42" ht="16.5" customHeight="1">
      <c r="A1187" s="434"/>
      <c r="B1187" s="437" t="s">
        <v>3419</v>
      </c>
      <c r="C1187" s="513">
        <f>E1187+D1187+F1187</f>
        <v>1755.3</v>
      </c>
      <c r="D1187" s="513">
        <f>SUMIF(N1184:N1186,M1187,D1184:D1186)</f>
        <v>1755.3</v>
      </c>
      <c r="E1187" s="513">
        <f>SUMIF(N1184:N1186,M1187,E1184:E1186)</f>
        <v>0</v>
      </c>
      <c r="F1187" s="513">
        <f>SUMIF(N1184:N1186,M1187,F1184:F1186)</f>
        <v>0</v>
      </c>
      <c r="G1187" s="451" t="s">
        <v>3439</v>
      </c>
      <c r="M1187" s="501" t="s">
        <v>3416</v>
      </c>
      <c r="N1187" s="501" t="s">
        <v>3421</v>
      </c>
      <c r="Z1187" s="500"/>
      <c r="AA1187" s="500"/>
      <c r="AB1187" s="500"/>
      <c r="AC1187" s="500"/>
      <c r="AD1187" s="500"/>
      <c r="AE1187" s="500"/>
      <c r="AF1187" s="500"/>
      <c r="AG1187" s="500"/>
      <c r="AH1187" s="500"/>
      <c r="AI1187" s="500"/>
      <c r="AJ1187" s="500"/>
      <c r="AK1187" s="500"/>
      <c r="AL1187" s="500"/>
      <c r="AM1187" s="500"/>
      <c r="AN1187" s="500"/>
      <c r="AO1187" s="500"/>
      <c r="AP1187" s="500"/>
    </row>
    <row r="1188" spans="1:42" ht="16.5" customHeight="1">
      <c r="A1188" s="439"/>
      <c r="B1188" s="439"/>
      <c r="C1188" s="504"/>
      <c r="D1188" s="504"/>
      <c r="E1188" s="504"/>
      <c r="F1188" s="504"/>
      <c r="G1188" s="451" t="s">
        <v>3406</v>
      </c>
      <c r="Z1188" s="500"/>
      <c r="AA1188" s="500"/>
      <c r="AB1188" s="500"/>
      <c r="AC1188" s="500"/>
      <c r="AD1188" s="500"/>
      <c r="AE1188" s="500"/>
      <c r="AF1188" s="500"/>
      <c r="AG1188" s="500"/>
      <c r="AH1188" s="500"/>
      <c r="AI1188" s="500"/>
      <c r="AJ1188" s="500"/>
      <c r="AK1188" s="500"/>
      <c r="AL1188" s="500"/>
      <c r="AM1188" s="500"/>
      <c r="AN1188" s="500"/>
      <c r="AO1188" s="500"/>
      <c r="AP1188" s="500"/>
    </row>
    <row r="1189" spans="1:42" ht="16.5" customHeight="1">
      <c r="A1189" s="434"/>
      <c r="B1189" s="437" t="s">
        <v>3440</v>
      </c>
      <c r="C1189" s="513">
        <f>E1189+D1189+F1189</f>
        <v>9376.6</v>
      </c>
      <c r="D1189" s="513">
        <f>SUMIF(N1157:N1188,M1189,D1157:D1188)</f>
        <v>8776.6</v>
      </c>
      <c r="E1189" s="513">
        <f>SUMIF(N1157:N1188,M1189,E1157:E1188)</f>
        <v>600</v>
      </c>
      <c r="F1189" s="513">
        <f>SUMIF(N1157:N1188,M1189,F1157:F1188)</f>
        <v>0</v>
      </c>
      <c r="G1189" s="451" t="s">
        <v>3441</v>
      </c>
      <c r="M1189" s="501" t="s">
        <v>3421</v>
      </c>
      <c r="N1189" s="501" t="s">
        <v>2354</v>
      </c>
      <c r="Z1189" s="500"/>
      <c r="AA1189" s="500"/>
      <c r="AB1189" s="500"/>
      <c r="AC1189" s="500"/>
      <c r="AD1189" s="500"/>
      <c r="AE1189" s="500"/>
      <c r="AF1189" s="500"/>
      <c r="AG1189" s="500"/>
      <c r="AH1189" s="500"/>
      <c r="AI1189" s="500"/>
      <c r="AJ1189" s="500"/>
      <c r="AK1189" s="500"/>
      <c r="AL1189" s="500"/>
      <c r="AM1189" s="500"/>
      <c r="AN1189" s="500"/>
      <c r="AO1189" s="500"/>
      <c r="AP1189" s="500"/>
    </row>
    <row r="1190" spans="1:42" ht="16.5" customHeight="1">
      <c r="A1190" s="439"/>
      <c r="B1190" s="439"/>
      <c r="C1190" s="504"/>
      <c r="D1190" s="504"/>
      <c r="E1190" s="504"/>
      <c r="F1190" s="504"/>
      <c r="G1190" s="451" t="s">
        <v>3413</v>
      </c>
      <c r="Z1190" s="500"/>
      <c r="AA1190" s="500"/>
      <c r="AB1190" s="500"/>
      <c r="AC1190" s="500"/>
      <c r="AD1190" s="500"/>
      <c r="AE1190" s="500"/>
      <c r="AF1190" s="500"/>
      <c r="AG1190" s="500"/>
      <c r="AH1190" s="500"/>
      <c r="AI1190" s="500"/>
      <c r="AJ1190" s="500"/>
      <c r="AK1190" s="500"/>
      <c r="AL1190" s="500"/>
      <c r="AM1190" s="500"/>
      <c r="AN1190" s="500"/>
      <c r="AO1190" s="500"/>
      <c r="AP1190" s="500"/>
    </row>
    <row r="1191" spans="1:42" ht="16.5" customHeight="1">
      <c r="A1191" s="439"/>
      <c r="B1191" s="439"/>
      <c r="C1191" s="439"/>
      <c r="D1191" s="439"/>
      <c r="E1191" s="439"/>
      <c r="F1191" s="439"/>
      <c r="Z1191" s="500"/>
      <c r="AA1191" s="500"/>
      <c r="AB1191" s="500"/>
      <c r="AC1191" s="500"/>
      <c r="AD1191" s="500"/>
      <c r="AE1191" s="500"/>
      <c r="AF1191" s="500"/>
      <c r="AG1191" s="500"/>
      <c r="AH1191" s="500"/>
      <c r="AI1191" s="500"/>
      <c r="AJ1191" s="500"/>
      <c r="AK1191" s="500"/>
      <c r="AL1191" s="500"/>
      <c r="AM1191" s="500"/>
      <c r="AN1191" s="500"/>
      <c r="AO1191" s="500"/>
      <c r="AP1191" s="500"/>
    </row>
    <row r="1192" spans="1:42" ht="16.5" customHeight="1">
      <c r="A1192" s="439"/>
      <c r="B1192" s="439"/>
      <c r="C1192" s="439"/>
      <c r="D1192" s="439"/>
      <c r="E1192" s="439"/>
      <c r="F1192" s="439"/>
      <c r="Z1192" s="500"/>
      <c r="AA1192" s="500"/>
      <c r="AB1192" s="500"/>
      <c r="AC1192" s="500"/>
      <c r="AD1192" s="500"/>
      <c r="AE1192" s="500"/>
      <c r="AF1192" s="500"/>
      <c r="AG1192" s="500"/>
      <c r="AH1192" s="500"/>
      <c r="AI1192" s="500"/>
      <c r="AJ1192" s="500"/>
      <c r="AK1192" s="500"/>
      <c r="AL1192" s="500"/>
      <c r="AM1192" s="500"/>
      <c r="AN1192" s="500"/>
      <c r="AO1192" s="500"/>
      <c r="AP1192" s="500"/>
    </row>
    <row r="1193" spans="1:42" ht="16.5" customHeight="1">
      <c r="A1193" s="439"/>
      <c r="B1193" s="439"/>
      <c r="C1193" s="439"/>
      <c r="D1193" s="439"/>
      <c r="E1193" s="439"/>
      <c r="F1193" s="439"/>
      <c r="Z1193" s="500"/>
      <c r="AA1193" s="500"/>
      <c r="AB1193" s="500"/>
      <c r="AC1193" s="500"/>
      <c r="AD1193" s="500"/>
      <c r="AE1193" s="500"/>
      <c r="AF1193" s="500"/>
      <c r="AG1193" s="500"/>
      <c r="AH1193" s="500"/>
      <c r="AI1193" s="500"/>
      <c r="AJ1193" s="500"/>
      <c r="AK1193" s="500"/>
      <c r="AL1193" s="500"/>
      <c r="AM1193" s="500"/>
      <c r="AN1193" s="500"/>
      <c r="AO1193" s="500"/>
      <c r="AP1193" s="500"/>
    </row>
    <row r="1194" spans="1:42" ht="16.5" customHeight="1">
      <c r="A1194" s="439"/>
      <c r="B1194" s="439"/>
      <c r="C1194" s="439"/>
      <c r="D1194" s="439"/>
      <c r="E1194" s="439"/>
      <c r="F1194" s="439"/>
      <c r="Z1194" s="500"/>
      <c r="AA1194" s="500"/>
      <c r="AB1194" s="500"/>
      <c r="AC1194" s="500"/>
      <c r="AD1194" s="500"/>
      <c r="AE1194" s="500"/>
      <c r="AF1194" s="500"/>
      <c r="AG1194" s="500"/>
      <c r="AH1194" s="500"/>
      <c r="AI1194" s="500"/>
      <c r="AJ1194" s="500"/>
      <c r="AK1194" s="500"/>
      <c r="AL1194" s="500"/>
      <c r="AM1194" s="500"/>
      <c r="AN1194" s="500"/>
      <c r="AO1194" s="500"/>
      <c r="AP1194" s="500"/>
    </row>
    <row r="1195" spans="1:42" ht="16.5" customHeight="1">
      <c r="A1195" s="439"/>
      <c r="B1195" s="439"/>
      <c r="C1195" s="439"/>
      <c r="D1195" s="439"/>
      <c r="E1195" s="439"/>
      <c r="F1195" s="439"/>
      <c r="Z1195" s="500"/>
      <c r="AA1195" s="500"/>
      <c r="AB1195" s="500"/>
      <c r="AC1195" s="500"/>
      <c r="AD1195" s="500"/>
      <c r="AE1195" s="500"/>
      <c r="AF1195" s="500"/>
      <c r="AG1195" s="500"/>
      <c r="AH1195" s="500"/>
      <c r="AI1195" s="500"/>
      <c r="AJ1195" s="500"/>
      <c r="AK1195" s="500"/>
      <c r="AL1195" s="500"/>
      <c r="AM1195" s="500"/>
      <c r="AN1195" s="500"/>
      <c r="AO1195" s="500"/>
      <c r="AP1195" s="500"/>
    </row>
    <row r="1196" spans="1:42" ht="16.5" customHeight="1">
      <c r="A1196" s="439"/>
      <c r="B1196" s="439"/>
      <c r="C1196" s="439"/>
      <c r="D1196" s="439"/>
      <c r="E1196" s="439"/>
      <c r="F1196" s="439"/>
      <c r="Z1196" s="500"/>
      <c r="AA1196" s="500"/>
      <c r="AB1196" s="500"/>
      <c r="AC1196" s="500"/>
      <c r="AD1196" s="500"/>
      <c r="AE1196" s="500"/>
      <c r="AF1196" s="500"/>
      <c r="AG1196" s="500"/>
      <c r="AH1196" s="500"/>
      <c r="AI1196" s="500"/>
      <c r="AJ1196" s="500"/>
      <c r="AK1196" s="500"/>
      <c r="AL1196" s="500"/>
      <c r="AM1196" s="500"/>
      <c r="AN1196" s="500"/>
      <c r="AO1196" s="500"/>
      <c r="AP1196" s="500"/>
    </row>
    <row r="1197" spans="1:42" ht="16.5" customHeight="1">
      <c r="A1197" s="439"/>
      <c r="B1197" s="439"/>
      <c r="C1197" s="439"/>
      <c r="D1197" s="439"/>
      <c r="E1197" s="439"/>
      <c r="F1197" s="439"/>
      <c r="Z1197" s="500"/>
      <c r="AA1197" s="500"/>
      <c r="AB1197" s="500"/>
      <c r="AC1197" s="500"/>
      <c r="AD1197" s="500"/>
      <c r="AE1197" s="500"/>
      <c r="AF1197" s="500"/>
      <c r="AG1197" s="500"/>
      <c r="AH1197" s="500"/>
      <c r="AI1197" s="500"/>
      <c r="AJ1197" s="500"/>
      <c r="AK1197" s="500"/>
      <c r="AL1197" s="500"/>
      <c r="AM1197" s="500"/>
      <c r="AN1197" s="500"/>
      <c r="AO1197" s="500"/>
      <c r="AP1197" s="500"/>
    </row>
    <row r="1198" spans="1:42" ht="16.5" customHeight="1">
      <c r="A1198" s="439"/>
      <c r="B1198" s="439"/>
      <c r="C1198" s="439"/>
      <c r="D1198" s="439"/>
      <c r="E1198" s="439"/>
      <c r="F1198" s="439"/>
      <c r="Z1198" s="500"/>
      <c r="AA1198" s="500"/>
      <c r="AB1198" s="500"/>
      <c r="AC1198" s="500"/>
      <c r="AD1198" s="500"/>
      <c r="AE1198" s="500"/>
      <c r="AF1198" s="500"/>
      <c r="AG1198" s="500"/>
      <c r="AH1198" s="500"/>
      <c r="AI1198" s="500"/>
      <c r="AJ1198" s="500"/>
      <c r="AK1198" s="500"/>
      <c r="AL1198" s="500"/>
      <c r="AM1198" s="500"/>
      <c r="AN1198" s="500"/>
      <c r="AO1198" s="500"/>
      <c r="AP1198" s="500"/>
    </row>
    <row r="1199" spans="1:42" ht="16.5" customHeight="1">
      <c r="A1199" s="439"/>
      <c r="B1199" s="439"/>
      <c r="C1199" s="439"/>
      <c r="D1199" s="439"/>
      <c r="E1199" s="439"/>
      <c r="F1199" s="439"/>
      <c r="Z1199" s="500"/>
      <c r="AA1199" s="500"/>
      <c r="AB1199" s="500"/>
      <c r="AC1199" s="500"/>
      <c r="AD1199" s="500"/>
      <c r="AE1199" s="500"/>
      <c r="AF1199" s="500"/>
      <c r="AG1199" s="500"/>
      <c r="AH1199" s="500"/>
      <c r="AI1199" s="500"/>
      <c r="AJ1199" s="500"/>
      <c r="AK1199" s="500"/>
      <c r="AL1199" s="500"/>
      <c r="AM1199" s="500"/>
      <c r="AN1199" s="500"/>
      <c r="AO1199" s="500"/>
      <c r="AP1199" s="500"/>
    </row>
    <row r="1200" spans="1:42" ht="16.5" customHeight="1">
      <c r="A1200" s="439"/>
      <c r="B1200" s="439"/>
      <c r="C1200" s="439"/>
      <c r="D1200" s="439"/>
      <c r="E1200" s="439"/>
      <c r="F1200" s="439"/>
      <c r="Z1200" s="500"/>
      <c r="AA1200" s="500"/>
      <c r="AB1200" s="500"/>
      <c r="AC1200" s="500"/>
      <c r="AD1200" s="500"/>
      <c r="AE1200" s="500"/>
      <c r="AF1200" s="500"/>
      <c r="AG1200" s="500"/>
      <c r="AH1200" s="500"/>
      <c r="AI1200" s="500"/>
      <c r="AJ1200" s="500"/>
      <c r="AK1200" s="500"/>
      <c r="AL1200" s="500"/>
      <c r="AM1200" s="500"/>
      <c r="AN1200" s="500"/>
      <c r="AO1200" s="500"/>
      <c r="AP1200" s="500"/>
    </row>
    <row r="1201" spans="1:42" ht="16.5" customHeight="1">
      <c r="A1201" s="439"/>
      <c r="B1201" s="439"/>
      <c r="C1201" s="439"/>
      <c r="D1201" s="439"/>
      <c r="E1201" s="439"/>
      <c r="F1201" s="439"/>
      <c r="Z1201" s="500"/>
      <c r="AA1201" s="500"/>
      <c r="AB1201" s="500"/>
      <c r="AC1201" s="500"/>
      <c r="AD1201" s="500"/>
      <c r="AE1201" s="500"/>
      <c r="AF1201" s="500"/>
      <c r="AG1201" s="500"/>
      <c r="AH1201" s="500"/>
      <c r="AI1201" s="500"/>
      <c r="AJ1201" s="500"/>
      <c r="AK1201" s="500"/>
      <c r="AL1201" s="500"/>
      <c r="AM1201" s="500"/>
      <c r="AN1201" s="500"/>
      <c r="AO1201" s="500"/>
      <c r="AP1201" s="500"/>
    </row>
    <row r="1202" spans="1:42" ht="16.5" customHeight="1">
      <c r="A1202" s="439"/>
      <c r="B1202" s="439"/>
      <c r="C1202" s="439"/>
      <c r="D1202" s="439"/>
      <c r="E1202" s="439"/>
      <c r="F1202" s="439"/>
      <c r="Z1202" s="500"/>
      <c r="AA1202" s="500"/>
      <c r="AB1202" s="500"/>
      <c r="AC1202" s="500"/>
      <c r="AD1202" s="500"/>
      <c r="AE1202" s="500"/>
      <c r="AF1202" s="500"/>
      <c r="AG1202" s="500"/>
      <c r="AH1202" s="500"/>
      <c r="AI1202" s="500"/>
      <c r="AJ1202" s="500"/>
      <c r="AK1202" s="500"/>
      <c r="AL1202" s="500"/>
      <c r="AM1202" s="500"/>
      <c r="AN1202" s="500"/>
      <c r="AO1202" s="500"/>
      <c r="AP1202" s="500"/>
    </row>
    <row r="1203" spans="1:42" ht="16.5" customHeight="1">
      <c r="A1203" s="497"/>
      <c r="B1203" s="497"/>
      <c r="C1203" s="497"/>
      <c r="D1203" s="497"/>
      <c r="E1203" s="497"/>
      <c r="F1203" s="497"/>
      <c r="Z1203" s="500"/>
      <c r="AA1203" s="500"/>
      <c r="AB1203" s="500"/>
      <c r="AC1203" s="500"/>
      <c r="AD1203" s="500"/>
      <c r="AE1203" s="500"/>
      <c r="AF1203" s="500"/>
      <c r="AG1203" s="500"/>
      <c r="AH1203" s="500"/>
      <c r="AI1203" s="500"/>
      <c r="AJ1203" s="500"/>
      <c r="AK1203" s="500"/>
      <c r="AL1203" s="500"/>
      <c r="AM1203" s="500"/>
      <c r="AN1203" s="500"/>
      <c r="AO1203" s="500"/>
      <c r="AP1203" s="500"/>
    </row>
    <row r="1204" spans="1:42" ht="16.5" customHeight="1">
      <c r="A1204" s="616" t="s">
        <v>3487</v>
      </c>
      <c r="B1204" s="605"/>
      <c r="C1204" s="446">
        <f>E1204+D1204+F1204</f>
        <v>9376</v>
      </c>
      <c r="D1204" s="453">
        <f>ROUNDDOWN(SUMIF(N1157:N1190,M1204,D1157:D1190),0)</f>
        <v>8776</v>
      </c>
      <c r="E1204" s="454">
        <f>ROUNDDOWN(SUMIF(N1157:N1190,M1204,E1157:E1190),0)</f>
        <v>600</v>
      </c>
      <c r="F1204" s="446">
        <f>ROUNDDOWN(SUMIF(N1157:N1190,M1204,F1157:F1190),0)</f>
        <v>0</v>
      </c>
      <c r="M1204" s="501" t="s">
        <v>2354</v>
      </c>
      <c r="Z1204" s="500"/>
      <c r="AA1204" s="500"/>
      <c r="AB1204" s="500"/>
      <c r="AC1204" s="500"/>
      <c r="AD1204" s="500"/>
      <c r="AE1204" s="500"/>
      <c r="AF1204" s="500"/>
      <c r="AG1204" s="500"/>
      <c r="AH1204" s="500"/>
      <c r="AI1204" s="500"/>
      <c r="AJ1204" s="500"/>
      <c r="AK1204" s="500"/>
      <c r="AL1204" s="500"/>
      <c r="AM1204" s="500"/>
      <c r="AN1204" s="500"/>
      <c r="AO1204" s="500"/>
      <c r="AP1204" s="500"/>
    </row>
    <row r="1205" spans="1:42" ht="16.5" customHeight="1">
      <c r="A1205" s="502"/>
      <c r="B1205" s="503" t="s">
        <v>5367</v>
      </c>
      <c r="C1205" s="615">
        <f>C1254</f>
        <v>7543</v>
      </c>
      <c r="D1205" s="615">
        <f>D1254</f>
        <v>6856</v>
      </c>
      <c r="E1205" s="615">
        <f>E1254</f>
        <v>687</v>
      </c>
      <c r="F1205" s="615">
        <f>F1254</f>
        <v>0</v>
      </c>
      <c r="G1205" s="486" t="str">
        <f>HYPERLINK("#G"&amp;ROW(G1242),"_x0005_`BDCOD|D01325_x0007_`POSS|"&amp;ROW(G1207)&amp;"_x0007_`POSE|"&amp;ROW(G1242)&amp;"_x0007_`")</f>
        <v>_x0005_`BDCOD|D01325_x0007_`POSS|1207_x0007_`POSE|1242_x0007_`</v>
      </c>
      <c r="Z1205" s="500"/>
      <c r="AA1205" s="500"/>
      <c r="AB1205" s="500"/>
      <c r="AC1205" s="500"/>
      <c r="AD1205" s="500"/>
      <c r="AE1205" s="500"/>
      <c r="AF1205" s="500"/>
      <c r="AG1205" s="500"/>
      <c r="AH1205" s="500"/>
      <c r="AI1205" s="500"/>
      <c r="AJ1205" s="500"/>
      <c r="AK1205" s="500"/>
      <c r="AL1205" s="500"/>
      <c r="AM1205" s="500"/>
      <c r="AN1205" s="500"/>
      <c r="AO1205" s="500"/>
      <c r="AP1205" s="500"/>
    </row>
    <row r="1206" spans="1:42" ht="16.5" customHeight="1">
      <c r="A1206" s="485"/>
      <c r="B1206" s="503" t="s">
        <v>5601</v>
      </c>
      <c r="C1206" s="593"/>
      <c r="D1206" s="593"/>
      <c r="E1206" s="593"/>
      <c r="F1206" s="593"/>
      <c r="M1206" s="501" t="s">
        <v>5367</v>
      </c>
      <c r="Z1206" s="500"/>
      <c r="AA1206" s="500"/>
      <c r="AB1206" s="500"/>
      <c r="AC1206" s="500"/>
      <c r="AD1206" s="500"/>
      <c r="AE1206" s="500"/>
      <c r="AF1206" s="500"/>
      <c r="AG1206" s="500"/>
      <c r="AH1206" s="500"/>
      <c r="AI1206" s="500"/>
      <c r="AJ1206" s="500"/>
      <c r="AK1206" s="500"/>
      <c r="AL1206" s="500"/>
      <c r="AM1206" s="500"/>
      <c r="AN1206" s="500"/>
      <c r="AO1206" s="500"/>
      <c r="AP1206" s="500"/>
    </row>
    <row r="1207" spans="1:42" ht="16.5" customHeight="1">
      <c r="A1207" s="439"/>
      <c r="B1207" s="439"/>
      <c r="C1207" s="504"/>
      <c r="D1207" s="504"/>
      <c r="E1207" s="504"/>
      <c r="F1207" s="504"/>
      <c r="G1207" s="451" t="s">
        <v>3406</v>
      </c>
      <c r="Z1207" s="500"/>
      <c r="AA1207" s="500"/>
      <c r="AB1207" s="500"/>
      <c r="AC1207" s="500"/>
      <c r="AD1207" s="500"/>
      <c r="AE1207" s="500"/>
      <c r="AF1207" s="500"/>
      <c r="AG1207" s="500"/>
      <c r="AH1207" s="500"/>
      <c r="AI1207" s="500"/>
      <c r="AJ1207" s="500"/>
      <c r="AK1207" s="500"/>
      <c r="AL1207" s="500"/>
      <c r="AM1207" s="500"/>
      <c r="AN1207" s="500"/>
      <c r="AO1207" s="500"/>
      <c r="AP1207" s="500"/>
    </row>
    <row r="1208" spans="1:42" ht="16.5" customHeight="1">
      <c r="A1208" s="434"/>
      <c r="B1208" s="437" t="s">
        <v>3529</v>
      </c>
      <c r="C1208" s="439"/>
      <c r="D1208" s="439"/>
      <c r="E1208" s="439"/>
      <c r="F1208" s="439"/>
      <c r="G1208" s="451" t="s">
        <v>3530</v>
      </c>
      <c r="Z1208" s="500"/>
      <c r="AA1208" s="500"/>
      <c r="AB1208" s="500"/>
      <c r="AC1208" s="500"/>
      <c r="AD1208" s="500"/>
      <c r="AE1208" s="500"/>
      <c r="AF1208" s="500"/>
      <c r="AG1208" s="500"/>
      <c r="AH1208" s="500"/>
      <c r="AI1208" s="500"/>
      <c r="AJ1208" s="500"/>
      <c r="AK1208" s="500"/>
      <c r="AL1208" s="500"/>
      <c r="AM1208" s="500"/>
      <c r="AN1208" s="500"/>
      <c r="AO1208" s="500"/>
      <c r="AP1208" s="500"/>
    </row>
    <row r="1209" spans="1:42" ht="16.5" customHeight="1">
      <c r="A1209" s="439"/>
      <c r="B1209" s="439"/>
      <c r="C1209" s="439"/>
      <c r="D1209" s="439"/>
      <c r="E1209" s="439"/>
      <c r="F1209" s="439"/>
      <c r="G1209" s="451" t="s">
        <v>3406</v>
      </c>
      <c r="Z1209" s="500"/>
      <c r="AA1209" s="500"/>
      <c r="AB1209" s="500"/>
      <c r="AC1209" s="500"/>
      <c r="AD1209" s="500"/>
      <c r="AE1209" s="500"/>
      <c r="AF1209" s="500"/>
      <c r="AG1209" s="500"/>
      <c r="AH1209" s="500"/>
      <c r="AI1209" s="500"/>
      <c r="AJ1209" s="500"/>
      <c r="AK1209" s="500"/>
      <c r="AL1209" s="500"/>
      <c r="AM1209" s="500"/>
      <c r="AN1209" s="500"/>
      <c r="AO1209" s="500"/>
      <c r="AP1209" s="500"/>
    </row>
    <row r="1210" spans="1:42" ht="16.5" customHeight="1">
      <c r="A1210" s="434"/>
      <c r="B1210" s="437" t="s">
        <v>3525</v>
      </c>
      <c r="C1210" s="439"/>
      <c r="D1210" s="439"/>
      <c r="E1210" s="439"/>
      <c r="F1210" s="439"/>
      <c r="G1210" s="451" t="s">
        <v>3526</v>
      </c>
      <c r="Z1210" s="500"/>
      <c r="AA1210" s="500"/>
      <c r="AB1210" s="500"/>
      <c r="AC1210" s="500"/>
      <c r="AD1210" s="500"/>
      <c r="AE1210" s="500"/>
      <c r="AF1210" s="500"/>
      <c r="AG1210" s="500"/>
      <c r="AH1210" s="500"/>
      <c r="AI1210" s="500"/>
      <c r="AJ1210" s="500"/>
      <c r="AK1210" s="500"/>
      <c r="AL1210" s="500"/>
      <c r="AM1210" s="500"/>
      <c r="AN1210" s="500"/>
      <c r="AO1210" s="500"/>
      <c r="AP1210" s="500"/>
    </row>
    <row r="1211" spans="1:42" ht="16.5" customHeight="1">
      <c r="A1211" s="439"/>
      <c r="B1211" s="439"/>
      <c r="C1211" s="439"/>
      <c r="D1211" s="439"/>
      <c r="E1211" s="439"/>
      <c r="F1211" s="439"/>
      <c r="G1211" s="451" t="s">
        <v>3406</v>
      </c>
      <c r="Z1211" s="500"/>
      <c r="AA1211" s="500"/>
      <c r="AB1211" s="500"/>
      <c r="AC1211" s="500"/>
      <c r="AD1211" s="500"/>
      <c r="AE1211" s="500"/>
      <c r="AF1211" s="500"/>
      <c r="AG1211" s="500"/>
      <c r="AH1211" s="500"/>
      <c r="AI1211" s="500"/>
      <c r="AJ1211" s="500"/>
      <c r="AK1211" s="500"/>
      <c r="AL1211" s="500"/>
      <c r="AM1211" s="500"/>
      <c r="AN1211" s="500"/>
      <c r="AO1211" s="500"/>
      <c r="AP1211" s="500"/>
    </row>
    <row r="1212" spans="1:42" ht="16.5" customHeight="1">
      <c r="A1212" s="434"/>
      <c r="B1212" s="437" t="str">
        <f>" 일당 작업량 :   Q1 = "&amp;Z1212&amp;"  주 "</f>
        <v xml:space="preserve"> 일당 작업량 :   Q1 = 160  주 </v>
      </c>
      <c r="C1212" s="439"/>
      <c r="D1212" s="439"/>
      <c r="E1212" s="439"/>
      <c r="F1212" s="439"/>
      <c r="G1212" s="451" t="s">
        <v>3531</v>
      </c>
      <c r="Z1212" s="515">
        <v>160</v>
      </c>
      <c r="AA1212" s="501" t="s">
        <v>3418</v>
      </c>
      <c r="AB1212" s="512">
        <f>Z1212</f>
        <v>160</v>
      </c>
      <c r="AC1212" s="500"/>
      <c r="AD1212" s="500"/>
      <c r="AE1212" s="500"/>
      <c r="AF1212" s="500"/>
      <c r="AG1212" s="500"/>
      <c r="AH1212" s="500"/>
      <c r="AI1212" s="500"/>
      <c r="AJ1212" s="500"/>
      <c r="AK1212" s="500"/>
      <c r="AL1212" s="500"/>
      <c r="AM1212" s="500"/>
      <c r="AN1212" s="500"/>
      <c r="AO1212" s="500"/>
      <c r="AP1212" s="500"/>
    </row>
    <row r="1213" spans="1:42" ht="16.5" customHeight="1">
      <c r="A1213" s="439"/>
      <c r="B1213" s="439"/>
      <c r="C1213" s="439"/>
      <c r="D1213" s="439"/>
      <c r="E1213" s="439"/>
      <c r="F1213" s="439"/>
      <c r="G1213" s="451" t="s">
        <v>3406</v>
      </c>
      <c r="Z1213" s="500"/>
      <c r="AA1213" s="500"/>
      <c r="AB1213" s="500"/>
      <c r="AC1213" s="500"/>
      <c r="AD1213" s="500"/>
      <c r="AE1213" s="500"/>
      <c r="AF1213" s="500"/>
      <c r="AG1213" s="500"/>
      <c r="AH1213" s="500"/>
      <c r="AI1213" s="500"/>
      <c r="AJ1213" s="500"/>
      <c r="AK1213" s="500"/>
      <c r="AL1213" s="500"/>
      <c r="AM1213" s="500"/>
      <c r="AN1213" s="500"/>
      <c r="AO1213" s="500"/>
      <c r="AP1213" s="500"/>
    </row>
    <row r="1214" spans="1:42" ht="16.5" customHeight="1">
      <c r="A1214" s="434"/>
      <c r="B1214" s="437" t="s">
        <v>3494</v>
      </c>
      <c r="C1214" s="439"/>
      <c r="D1214" s="439"/>
      <c r="E1214" s="439"/>
      <c r="F1214" s="439"/>
      <c r="G1214" s="451" t="s">
        <v>3495</v>
      </c>
      <c r="Z1214" s="500"/>
      <c r="AA1214" s="500"/>
      <c r="AB1214" s="500"/>
      <c r="AC1214" s="500"/>
      <c r="AD1214" s="500"/>
      <c r="AE1214" s="500"/>
      <c r="AF1214" s="500"/>
      <c r="AG1214" s="500"/>
      <c r="AH1214" s="500"/>
      <c r="AI1214" s="500"/>
      <c r="AJ1214" s="500"/>
      <c r="AK1214" s="500"/>
      <c r="AL1214" s="500"/>
      <c r="AM1214" s="500"/>
      <c r="AN1214" s="500"/>
      <c r="AO1214" s="500"/>
      <c r="AP1214" s="500"/>
    </row>
    <row r="1215" spans="1:42" ht="16.5" customHeight="1">
      <c r="A1215" s="439"/>
      <c r="B1215" s="439"/>
      <c r="C1215" s="439"/>
      <c r="D1215" s="439"/>
      <c r="E1215" s="439"/>
      <c r="F1215" s="439"/>
      <c r="G1215" s="451" t="s">
        <v>3406</v>
      </c>
      <c r="Z1215" s="500"/>
      <c r="AA1215" s="500"/>
      <c r="AB1215" s="500"/>
      <c r="AC1215" s="500"/>
      <c r="AD1215" s="500"/>
      <c r="AE1215" s="500"/>
      <c r="AF1215" s="500"/>
      <c r="AG1215" s="500"/>
      <c r="AH1215" s="500"/>
      <c r="AI1215" s="500"/>
      <c r="AJ1215" s="500"/>
      <c r="AK1215" s="500"/>
      <c r="AL1215" s="500"/>
      <c r="AM1215" s="500"/>
      <c r="AN1215" s="500"/>
      <c r="AO1215" s="500"/>
      <c r="AP1215" s="500"/>
    </row>
    <row r="1216" spans="1:42" ht="16.5" customHeight="1">
      <c r="A1216" s="439"/>
      <c r="B1216" s="439"/>
      <c r="C1216" s="439"/>
      <c r="D1216" s="439"/>
      <c r="E1216" s="439"/>
      <c r="F1216" s="439"/>
      <c r="G1216" s="451" t="s">
        <v>3406</v>
      </c>
      <c r="Z1216" s="500"/>
      <c r="AA1216" s="500"/>
      <c r="AB1216" s="500"/>
      <c r="AC1216" s="500"/>
      <c r="AD1216" s="500"/>
      <c r="AE1216" s="500"/>
      <c r="AF1216" s="500"/>
      <c r="AG1216" s="500"/>
      <c r="AH1216" s="500"/>
      <c r="AI1216" s="500"/>
      <c r="AJ1216" s="500"/>
      <c r="AK1216" s="500"/>
      <c r="AL1216" s="500"/>
      <c r="AM1216" s="500"/>
      <c r="AN1216" s="500"/>
      <c r="AO1216" s="500"/>
      <c r="AP1216" s="500"/>
    </row>
    <row r="1217" spans="1:42" ht="16.5" customHeight="1">
      <c r="A1217" s="439"/>
      <c r="B1217" s="439"/>
      <c r="C1217" s="439"/>
      <c r="D1217" s="439"/>
      <c r="E1217" s="439"/>
      <c r="F1217" s="439"/>
      <c r="G1217" s="451" t="s">
        <v>3406</v>
      </c>
      <c r="Z1217" s="500"/>
      <c r="AA1217" s="500"/>
      <c r="AB1217" s="500"/>
      <c r="AC1217" s="500"/>
      <c r="AD1217" s="500"/>
      <c r="AE1217" s="500"/>
      <c r="AF1217" s="500"/>
      <c r="AG1217" s="500"/>
      <c r="AH1217" s="500"/>
      <c r="AI1217" s="500"/>
      <c r="AJ1217" s="500"/>
      <c r="AK1217" s="500"/>
      <c r="AL1217" s="500"/>
      <c r="AM1217" s="500"/>
      <c r="AN1217" s="500"/>
      <c r="AO1217" s="500"/>
      <c r="AP1217" s="500"/>
    </row>
    <row r="1218" spans="1:42" ht="16.5" customHeight="1">
      <c r="A1218" s="439"/>
      <c r="B1218" s="439"/>
      <c r="C1218" s="439"/>
      <c r="D1218" s="439"/>
      <c r="E1218" s="439"/>
      <c r="F1218" s="439"/>
      <c r="G1218" s="451" t="s">
        <v>3406</v>
      </c>
      <c r="Z1218" s="500"/>
      <c r="AA1218" s="500"/>
      <c r="AB1218" s="500"/>
      <c r="AC1218" s="500"/>
      <c r="AD1218" s="500"/>
      <c r="AE1218" s="500"/>
      <c r="AF1218" s="500"/>
      <c r="AG1218" s="500"/>
      <c r="AH1218" s="500"/>
      <c r="AI1218" s="500"/>
      <c r="AJ1218" s="500"/>
      <c r="AK1218" s="500"/>
      <c r="AL1218" s="500"/>
      <c r="AM1218" s="500"/>
      <c r="AN1218" s="500"/>
      <c r="AO1218" s="500"/>
      <c r="AP1218" s="500"/>
    </row>
    <row r="1219" spans="1:42" ht="16.5" customHeight="1">
      <c r="A1219" s="434"/>
      <c r="B1219" s="437" t="s">
        <v>3496</v>
      </c>
      <c r="C1219" s="439"/>
      <c r="D1219" s="439"/>
      <c r="E1219" s="439"/>
      <c r="F1219" s="439"/>
      <c r="G1219" s="451" t="s">
        <v>3497</v>
      </c>
      <c r="Z1219" s="500"/>
      <c r="AA1219" s="500"/>
      <c r="AB1219" s="500"/>
      <c r="AC1219" s="500"/>
      <c r="AD1219" s="500"/>
      <c r="AE1219" s="500"/>
      <c r="AF1219" s="500"/>
      <c r="AG1219" s="500"/>
      <c r="AH1219" s="500"/>
      <c r="AI1219" s="500"/>
      <c r="AJ1219" s="500"/>
      <c r="AK1219" s="500"/>
      <c r="AL1219" s="500"/>
      <c r="AM1219" s="500"/>
      <c r="AN1219" s="500"/>
      <c r="AO1219" s="500"/>
      <c r="AP1219" s="500"/>
    </row>
    <row r="1220" spans="1:42" ht="16.5" customHeight="1">
      <c r="A1220" s="439"/>
      <c r="B1220" s="439"/>
      <c r="C1220" s="439"/>
      <c r="D1220" s="439"/>
      <c r="E1220" s="439"/>
      <c r="F1220" s="439"/>
      <c r="G1220" s="451" t="s">
        <v>3406</v>
      </c>
      <c r="Z1220" s="500"/>
      <c r="AA1220" s="500"/>
      <c r="AB1220" s="500"/>
      <c r="AC1220" s="500"/>
      <c r="AD1220" s="500"/>
      <c r="AE1220" s="500"/>
      <c r="AF1220" s="500"/>
      <c r="AG1220" s="500"/>
      <c r="AH1220" s="500"/>
      <c r="AI1220" s="500"/>
      <c r="AJ1220" s="500"/>
      <c r="AK1220" s="500"/>
      <c r="AL1220" s="500"/>
      <c r="AM1220" s="500"/>
      <c r="AN1220" s="500"/>
      <c r="AO1220" s="500"/>
      <c r="AP1220" s="500"/>
    </row>
    <row r="1221" spans="1:42" ht="16.5" customHeight="1">
      <c r="A1221" s="434" t="s">
        <v>3498</v>
      </c>
      <c r="B1221" s="505" t="str">
        <f>" 조경공 :  "&amp;TEXT(I1221,"#,##0"&amp;IF(I1221&lt;&gt;INT(I1221),".###",""))&amp;" * "&amp;AA1221&amp;" 인  / Q1 = "&amp;TEXT(C1221,"#,##0.0")&amp;""</f>
        <v xml:space="preserve"> 조경공 :  235,204 * 3 인  / Q1 = 4,410.0</v>
      </c>
      <c r="C1221" s="506">
        <f>E1221+D1221+F1221</f>
        <v>4410</v>
      </c>
      <c r="D1221" s="506">
        <f>IF(H1221=0,0,ROUNDDOWN(J1221*H1221,1))</f>
        <v>4410</v>
      </c>
      <c r="E1221" s="506">
        <f>IF(H1221=0,0,ROUNDDOWN(K1221*H1221,1))</f>
        <v>0</v>
      </c>
      <c r="F1221" s="506">
        <f>IF(H1221=0,0,ROUNDDOWN(L1221*H1221,1))</f>
        <v>0</v>
      </c>
      <c r="G1221" s="451" t="s">
        <v>3499</v>
      </c>
      <c r="H1221" s="507">
        <f>ROUNDUP(AE1221,14-LEN(ABS(INT(AE1221))))</f>
        <v>1.8749999999999999E-2</v>
      </c>
      <c r="I1221" s="508">
        <f>K1221+J1221+L1221</f>
        <v>235204</v>
      </c>
      <c r="J1221" s="509">
        <f>노무비목록표!E15</f>
        <v>235204</v>
      </c>
      <c r="M1221" s="501" t="s">
        <v>2359</v>
      </c>
      <c r="N1221" s="501" t="s">
        <v>3416</v>
      </c>
      <c r="X1221" s="510" t="str">
        <f>노무비목록표!B15&amp;" / "&amp;노무비목록표!C15</f>
        <v xml:space="preserve">조경공 / </v>
      </c>
      <c r="Y1221" s="433" t="str">
        <f ca="1">HYPERLINK("#"&amp;노무비목록표!G2&amp;"!A"&amp;ROW(노무비목록표!A15),"L00184 →")</f>
        <v>L00184 →</v>
      </c>
      <c r="Z1221" s="501" t="s">
        <v>3500</v>
      </c>
      <c r="AA1221" s="515">
        <v>3</v>
      </c>
      <c r="AB1221" s="501" t="s">
        <v>3428</v>
      </c>
      <c r="AC1221" s="512">
        <f>AB1212</f>
        <v>160</v>
      </c>
      <c r="AD1221" s="501" t="s">
        <v>3418</v>
      </c>
      <c r="AE1221" s="512">
        <f>1*AA1221/AB1212</f>
        <v>1.8749999999999999E-2</v>
      </c>
      <c r="AF1221" s="500"/>
      <c r="AG1221" s="500"/>
      <c r="AH1221" s="500"/>
      <c r="AI1221" s="500"/>
      <c r="AJ1221" s="500"/>
      <c r="AK1221" s="500"/>
      <c r="AL1221" s="500"/>
      <c r="AM1221" s="500"/>
      <c r="AN1221" s="500"/>
      <c r="AO1221" s="500"/>
      <c r="AP1221" s="500"/>
    </row>
    <row r="1222" spans="1:42" ht="16.5" customHeight="1">
      <c r="A1222" s="439"/>
      <c r="B1222" s="439"/>
      <c r="C1222" s="439"/>
      <c r="D1222" s="439"/>
      <c r="E1222" s="439"/>
      <c r="F1222" s="439"/>
      <c r="G1222" s="451" t="s">
        <v>3406</v>
      </c>
      <c r="Z1222" s="500"/>
      <c r="AA1222" s="500"/>
      <c r="AB1222" s="500"/>
      <c r="AC1222" s="500"/>
      <c r="AD1222" s="500"/>
      <c r="AE1222" s="500"/>
      <c r="AF1222" s="500"/>
      <c r="AG1222" s="500"/>
      <c r="AH1222" s="500"/>
      <c r="AI1222" s="500"/>
      <c r="AJ1222" s="500"/>
      <c r="AK1222" s="500"/>
      <c r="AL1222" s="500"/>
      <c r="AM1222" s="500"/>
      <c r="AN1222" s="500"/>
      <c r="AO1222" s="500"/>
      <c r="AP1222" s="500"/>
    </row>
    <row r="1223" spans="1:42" ht="16.5" customHeight="1">
      <c r="A1223" s="439"/>
      <c r="B1223" s="439"/>
      <c r="C1223" s="439"/>
      <c r="D1223" s="439"/>
      <c r="E1223" s="439"/>
      <c r="F1223" s="439"/>
      <c r="G1223" s="451" t="s">
        <v>3406</v>
      </c>
      <c r="Z1223" s="500"/>
      <c r="AA1223" s="500"/>
      <c r="AB1223" s="500"/>
      <c r="AC1223" s="500"/>
      <c r="AD1223" s="500"/>
      <c r="AE1223" s="500"/>
      <c r="AF1223" s="500"/>
      <c r="AG1223" s="500"/>
      <c r="AH1223" s="500"/>
      <c r="AI1223" s="500"/>
      <c r="AJ1223" s="500"/>
      <c r="AK1223" s="500"/>
      <c r="AL1223" s="500"/>
      <c r="AM1223" s="500"/>
      <c r="AN1223" s="500"/>
      <c r="AO1223" s="500"/>
      <c r="AP1223" s="500"/>
    </row>
    <row r="1224" spans="1:42" ht="16.5" customHeight="1">
      <c r="A1224" s="434" t="s">
        <v>3414</v>
      </c>
      <c r="B1224" s="505" t="str">
        <f>" 보통인부 : "&amp;TEXT(I1224,"#,##0"&amp;IF(I1224&lt;&gt;INT(I1224),".###",""))&amp;" * "&amp;AA1224&amp;" 인  / Q1 = "&amp;TEXT(C1224,"#,##0.0")&amp;""</f>
        <v xml:space="preserve"> 보통인부 : 172,068 * 1 인  / Q1 = 1,075.4</v>
      </c>
      <c r="C1224" s="506">
        <f>E1224+D1224+F1224</f>
        <v>1075.4000000000001</v>
      </c>
      <c r="D1224" s="506">
        <f>IF(H1224=0,0,ROUNDDOWN(J1224*H1224,1))</f>
        <v>1075.4000000000001</v>
      </c>
      <c r="E1224" s="506">
        <f>IF(H1224=0,0,ROUNDDOWN(K1224*H1224,1))</f>
        <v>0</v>
      </c>
      <c r="F1224" s="506">
        <f>IF(H1224=0,0,ROUNDDOWN(L1224*H1224,1))</f>
        <v>0</v>
      </c>
      <c r="G1224" s="451" t="s">
        <v>3501</v>
      </c>
      <c r="H1224" s="507">
        <f>ROUNDUP(AE1224,14-LEN(ABS(INT(AE1224))))</f>
        <v>6.2500000000000003E-3</v>
      </c>
      <c r="I1224" s="508">
        <f>K1224+J1224+L1224</f>
        <v>172068</v>
      </c>
      <c r="J1224" s="509">
        <f>노무비목록표!E10</f>
        <v>172068</v>
      </c>
      <c r="M1224" s="501" t="s">
        <v>2363</v>
      </c>
      <c r="N1224" s="501" t="s">
        <v>3416</v>
      </c>
      <c r="X1224" s="510" t="str">
        <f>노무비목록표!B10&amp;" / "&amp;노무비목록표!C10</f>
        <v xml:space="preserve">보통인부 / </v>
      </c>
      <c r="Y1224" s="433" t="str">
        <f ca="1">HYPERLINK("#"&amp;노무비목록표!G2&amp;"!A"&amp;ROW(노무비목록표!A10),"L00017 →")</f>
        <v>L00017 →</v>
      </c>
      <c r="Z1224" s="501" t="s">
        <v>3500</v>
      </c>
      <c r="AA1224" s="515">
        <v>1</v>
      </c>
      <c r="AB1224" s="501" t="s">
        <v>3428</v>
      </c>
      <c r="AC1224" s="512">
        <f>AB1212</f>
        <v>160</v>
      </c>
      <c r="AD1224" s="501" t="s">
        <v>3418</v>
      </c>
      <c r="AE1224" s="512">
        <f>1*AA1224/AB1212</f>
        <v>6.2500000000000003E-3</v>
      </c>
      <c r="AF1224" s="500"/>
      <c r="AG1224" s="500"/>
      <c r="AH1224" s="500"/>
      <c r="AI1224" s="500"/>
      <c r="AJ1224" s="500"/>
      <c r="AK1224" s="500"/>
      <c r="AL1224" s="500"/>
      <c r="AM1224" s="500"/>
      <c r="AN1224" s="500"/>
      <c r="AO1224" s="500"/>
      <c r="AP1224" s="500"/>
    </row>
    <row r="1225" spans="1:42" ht="16.5" customHeight="1">
      <c r="A1225" s="439"/>
      <c r="B1225" s="439"/>
      <c r="C1225" s="439"/>
      <c r="D1225" s="439"/>
      <c r="E1225" s="439"/>
      <c r="F1225" s="439"/>
      <c r="G1225" s="451" t="s">
        <v>3406</v>
      </c>
      <c r="Z1225" s="500"/>
      <c r="AA1225" s="500"/>
      <c r="AB1225" s="500"/>
      <c r="AC1225" s="500"/>
      <c r="AD1225" s="500"/>
      <c r="AE1225" s="500"/>
      <c r="AF1225" s="500"/>
      <c r="AG1225" s="500"/>
      <c r="AH1225" s="500"/>
      <c r="AI1225" s="500"/>
      <c r="AJ1225" s="500"/>
      <c r="AK1225" s="500"/>
      <c r="AL1225" s="500"/>
      <c r="AM1225" s="500"/>
      <c r="AN1225" s="500"/>
      <c r="AO1225" s="500"/>
      <c r="AP1225" s="500"/>
    </row>
    <row r="1226" spans="1:42" ht="16.5" customHeight="1">
      <c r="A1226" s="434"/>
      <c r="B1226" s="437" t="s">
        <v>3419</v>
      </c>
      <c r="C1226" s="513">
        <f>E1226+D1226+F1226</f>
        <v>5485.4</v>
      </c>
      <c r="D1226" s="513">
        <f>SUMIF(N1207:N1225,M1226,D1207:D1225)</f>
        <v>5485.4</v>
      </c>
      <c r="E1226" s="513">
        <f>SUMIF(N1207:N1225,M1226,E1207:E1225)</f>
        <v>0</v>
      </c>
      <c r="F1226" s="513">
        <f>SUMIF(N1207:N1225,M1226,F1207:F1225)</f>
        <v>0</v>
      </c>
      <c r="G1226" s="451" t="s">
        <v>3439</v>
      </c>
      <c r="M1226" s="501" t="s">
        <v>3416</v>
      </c>
      <c r="N1226" s="501" t="s">
        <v>3421</v>
      </c>
      <c r="Z1226" s="500"/>
      <c r="AA1226" s="500"/>
      <c r="AB1226" s="500"/>
      <c r="AC1226" s="500"/>
      <c r="AD1226" s="500"/>
      <c r="AE1226" s="500"/>
      <c r="AF1226" s="500"/>
      <c r="AG1226" s="500"/>
      <c r="AH1226" s="500"/>
      <c r="AI1226" s="500"/>
      <c r="AJ1226" s="500"/>
      <c r="AK1226" s="500"/>
      <c r="AL1226" s="500"/>
      <c r="AM1226" s="500"/>
      <c r="AN1226" s="500"/>
      <c r="AO1226" s="500"/>
      <c r="AP1226" s="500"/>
    </row>
    <row r="1227" spans="1:42" ht="16.5" customHeight="1">
      <c r="A1227" s="439"/>
      <c r="B1227" s="439"/>
      <c r="C1227" s="504"/>
      <c r="D1227" s="504"/>
      <c r="E1227" s="504"/>
      <c r="F1227" s="504"/>
      <c r="G1227" s="451" t="s">
        <v>3406</v>
      </c>
      <c r="Z1227" s="500"/>
      <c r="AA1227" s="500"/>
      <c r="AB1227" s="500"/>
      <c r="AC1227" s="500"/>
      <c r="AD1227" s="500"/>
      <c r="AE1227" s="500"/>
      <c r="AF1227" s="500"/>
      <c r="AG1227" s="500"/>
      <c r="AH1227" s="500"/>
      <c r="AI1227" s="500"/>
      <c r="AJ1227" s="500"/>
      <c r="AK1227" s="500"/>
      <c r="AL1227" s="500"/>
      <c r="AM1227" s="500"/>
      <c r="AN1227" s="500"/>
      <c r="AO1227" s="500"/>
      <c r="AP1227" s="500"/>
    </row>
    <row r="1228" spans="1:42" ht="16.5" customHeight="1">
      <c r="A1228" s="439"/>
      <c r="B1228" s="439"/>
      <c r="C1228" s="439"/>
      <c r="D1228" s="439"/>
      <c r="E1228" s="439"/>
      <c r="F1228" s="439"/>
      <c r="G1228" s="451" t="s">
        <v>3406</v>
      </c>
      <c r="Z1228" s="500"/>
      <c r="AA1228" s="500"/>
      <c r="AB1228" s="500"/>
      <c r="AC1228" s="500"/>
      <c r="AD1228" s="500"/>
      <c r="AE1228" s="500"/>
      <c r="AF1228" s="500"/>
      <c r="AG1228" s="500"/>
      <c r="AH1228" s="500"/>
      <c r="AI1228" s="500"/>
      <c r="AJ1228" s="500"/>
      <c r="AK1228" s="500"/>
      <c r="AL1228" s="500"/>
      <c r="AM1228" s="500"/>
      <c r="AN1228" s="500"/>
      <c r="AO1228" s="500"/>
      <c r="AP1228" s="500"/>
    </row>
    <row r="1229" spans="1:42" ht="16.5" customHeight="1">
      <c r="A1229" s="434"/>
      <c r="B1229" s="437" t="s">
        <v>3502</v>
      </c>
      <c r="C1229" s="439"/>
      <c r="D1229" s="439"/>
      <c r="E1229" s="439"/>
      <c r="F1229" s="439"/>
      <c r="G1229" s="451" t="s">
        <v>3503</v>
      </c>
      <c r="Z1229" s="500"/>
      <c r="AA1229" s="500"/>
      <c r="AB1229" s="500"/>
      <c r="AC1229" s="500"/>
      <c r="AD1229" s="500"/>
      <c r="AE1229" s="500"/>
      <c r="AF1229" s="500"/>
      <c r="AG1229" s="500"/>
      <c r="AH1229" s="500"/>
      <c r="AI1229" s="500"/>
      <c r="AJ1229" s="500"/>
      <c r="AK1229" s="500"/>
      <c r="AL1229" s="500"/>
      <c r="AM1229" s="500"/>
      <c r="AN1229" s="500"/>
      <c r="AO1229" s="500"/>
      <c r="AP1229" s="500"/>
    </row>
    <row r="1230" spans="1:42" ht="16.5" customHeight="1">
      <c r="A1230" s="439"/>
      <c r="B1230" s="439"/>
      <c r="C1230" s="439"/>
      <c r="D1230" s="439"/>
      <c r="E1230" s="439"/>
      <c r="F1230" s="439"/>
      <c r="G1230" s="451" t="s">
        <v>3413</v>
      </c>
      <c r="Z1230" s="500"/>
      <c r="AA1230" s="500"/>
      <c r="AB1230" s="500"/>
      <c r="AC1230" s="500"/>
      <c r="AD1230" s="500"/>
      <c r="AE1230" s="500"/>
      <c r="AF1230" s="500"/>
      <c r="AG1230" s="500"/>
      <c r="AH1230" s="500"/>
      <c r="AI1230" s="500"/>
      <c r="AJ1230" s="500"/>
      <c r="AK1230" s="500"/>
      <c r="AL1230" s="500"/>
      <c r="AM1230" s="500"/>
      <c r="AN1230" s="500"/>
      <c r="AO1230" s="500"/>
      <c r="AP1230" s="500"/>
    </row>
    <row r="1231" spans="1:42" ht="16.5" customHeight="1">
      <c r="A1231" s="434" t="s">
        <v>3504</v>
      </c>
      <c r="B1231" s="505" t="str">
        <f>"  유기질비료 수목이식·식재용 : "&amp;TEXT(I1231,"#,##0"&amp;IF(I1231&lt;&gt;INT(I1231),".###",""))&amp;" * "&amp;AA1231&amp;" KG  / Q1 = "&amp;TEXT(C1231,"#,##0.0")&amp;""</f>
        <v xml:space="preserve">  유기질비료 수목이식·식재용 : 500 * 220 KG  / Q1 = 687.5</v>
      </c>
      <c r="C1231" s="506">
        <f>E1231+D1231+F1231</f>
        <v>687.5</v>
      </c>
      <c r="D1231" s="506">
        <f>IF(H1231=0,0,ROUNDDOWN(J1231*H1231,1))</f>
        <v>0</v>
      </c>
      <c r="E1231" s="506">
        <f>IF(H1231=0,0,ROUNDDOWN(K1231*H1231,1))</f>
        <v>687.5</v>
      </c>
      <c r="F1231" s="506">
        <f>IF(H1231=0,0,ROUNDDOWN(L1231*H1231,1))</f>
        <v>0</v>
      </c>
      <c r="G1231" s="451" t="s">
        <v>3511</v>
      </c>
      <c r="H1231" s="507">
        <f>ROUNDUP(AE1231,14-LEN(ABS(INT(AE1231))))</f>
        <v>1.375</v>
      </c>
      <c r="I1231" s="508">
        <f>K1231+J1231+L1231</f>
        <v>500</v>
      </c>
      <c r="K1231" s="509">
        <f>재료비목록표!E78</f>
        <v>500</v>
      </c>
      <c r="M1231" s="501" t="s">
        <v>3506</v>
      </c>
      <c r="N1231" s="501" t="s">
        <v>3416</v>
      </c>
      <c r="X1231" s="510" t="str">
        <f>재료비목록표!B78&amp;" / "&amp;재료비목록표!C78</f>
        <v>유기질비료 / 수목이식·식재용</v>
      </c>
      <c r="Y1231" s="433" t="str">
        <f ca="1">HYPERLINK("#"&amp;재료비목록표!G2&amp;"!A"&amp;ROW(재료비목록표!A78),"M01159 →")</f>
        <v>M01159 →</v>
      </c>
      <c r="Z1231" s="501" t="s">
        <v>3500</v>
      </c>
      <c r="AA1231" s="515">
        <v>220</v>
      </c>
      <c r="AB1231" s="501" t="s">
        <v>3428</v>
      </c>
      <c r="AC1231" s="512">
        <f>AB1212</f>
        <v>160</v>
      </c>
      <c r="AD1231" s="501" t="s">
        <v>3418</v>
      </c>
      <c r="AE1231" s="512">
        <f>1*AA1231/AB1212</f>
        <v>1.375</v>
      </c>
      <c r="AF1231" s="500"/>
      <c r="AG1231" s="500"/>
      <c r="AH1231" s="500"/>
      <c r="AI1231" s="500"/>
      <c r="AJ1231" s="500"/>
      <c r="AK1231" s="500"/>
      <c r="AL1231" s="500"/>
      <c r="AM1231" s="500"/>
      <c r="AN1231" s="500"/>
      <c r="AO1231" s="500"/>
      <c r="AP1231" s="500"/>
    </row>
    <row r="1232" spans="1:42" ht="16.5" customHeight="1">
      <c r="A1232" s="439"/>
      <c r="B1232" s="439"/>
      <c r="C1232" s="439"/>
      <c r="D1232" s="439"/>
      <c r="E1232" s="439"/>
      <c r="F1232" s="439"/>
      <c r="G1232" s="451" t="s">
        <v>3413</v>
      </c>
      <c r="Z1232" s="500"/>
      <c r="AA1232" s="500"/>
      <c r="AB1232" s="500"/>
      <c r="AC1232" s="500"/>
      <c r="AD1232" s="500"/>
      <c r="AE1232" s="500"/>
      <c r="AF1232" s="500"/>
      <c r="AG1232" s="500"/>
      <c r="AH1232" s="500"/>
      <c r="AI1232" s="500"/>
      <c r="AJ1232" s="500"/>
      <c r="AK1232" s="500"/>
      <c r="AL1232" s="500"/>
      <c r="AM1232" s="500"/>
      <c r="AN1232" s="500"/>
      <c r="AO1232" s="500"/>
      <c r="AP1232" s="500"/>
    </row>
    <row r="1233" spans="1:42" ht="16.5" customHeight="1">
      <c r="A1233" s="434"/>
      <c r="B1233" s="437" t="s">
        <v>3419</v>
      </c>
      <c r="C1233" s="513">
        <f>E1233+D1233+F1233</f>
        <v>687.5</v>
      </c>
      <c r="D1233" s="513">
        <f>SUMIF(N1227:N1232,M1233,D1227:D1232)</f>
        <v>0</v>
      </c>
      <c r="E1233" s="513">
        <f>SUMIF(N1227:N1232,M1233,E1227:E1232)</f>
        <v>687.5</v>
      </c>
      <c r="F1233" s="513">
        <f>SUMIF(N1227:N1232,M1233,F1227:F1232)</f>
        <v>0</v>
      </c>
      <c r="G1233" s="451" t="s">
        <v>3439</v>
      </c>
      <c r="M1233" s="501" t="s">
        <v>3416</v>
      </c>
      <c r="N1233" s="501" t="s">
        <v>3421</v>
      </c>
      <c r="Z1233" s="500"/>
      <c r="AA1233" s="500"/>
      <c r="AB1233" s="500"/>
      <c r="AC1233" s="500"/>
      <c r="AD1233" s="500"/>
      <c r="AE1233" s="500"/>
      <c r="AF1233" s="500"/>
      <c r="AG1233" s="500"/>
      <c r="AH1233" s="500"/>
      <c r="AI1233" s="500"/>
      <c r="AJ1233" s="500"/>
      <c r="AK1233" s="500"/>
      <c r="AL1233" s="500"/>
      <c r="AM1233" s="500"/>
      <c r="AN1233" s="500"/>
      <c r="AO1233" s="500"/>
      <c r="AP1233" s="500"/>
    </row>
    <row r="1234" spans="1:42" ht="16.5" customHeight="1">
      <c r="A1234" s="439"/>
      <c r="B1234" s="439"/>
      <c r="C1234" s="504"/>
      <c r="D1234" s="504"/>
      <c r="E1234" s="504"/>
      <c r="F1234" s="504"/>
      <c r="G1234" s="451" t="s">
        <v>3406</v>
      </c>
      <c r="Z1234" s="500"/>
      <c r="AA1234" s="500"/>
      <c r="AB1234" s="500"/>
      <c r="AC1234" s="500"/>
      <c r="AD1234" s="500"/>
      <c r="AE1234" s="500"/>
      <c r="AF1234" s="500"/>
      <c r="AG1234" s="500"/>
      <c r="AH1234" s="500"/>
      <c r="AI1234" s="500"/>
      <c r="AJ1234" s="500"/>
      <c r="AK1234" s="500"/>
      <c r="AL1234" s="500"/>
      <c r="AM1234" s="500"/>
      <c r="AN1234" s="500"/>
      <c r="AO1234" s="500"/>
      <c r="AP1234" s="500"/>
    </row>
    <row r="1235" spans="1:42" ht="16.5" customHeight="1">
      <c r="A1235" s="434"/>
      <c r="B1235" s="505" t="str">
        <f>"  산지할증 : "&amp;TEXT(I1235,"#,##0.0")&amp;" * "&amp;AA1235&amp;" %  = "&amp;TEXT(C1235,"#,##0.0")&amp;""</f>
        <v xml:space="preserve">  산지할증 : 5,485.4 * 25 %  = 1,371.3</v>
      </c>
      <c r="C1235" s="506">
        <f>E1235+D1235+F1235</f>
        <v>1371.3</v>
      </c>
      <c r="D1235" s="506">
        <f>IF(H1235=0,0,ROUNDDOWN(J1235*H1235/100,1))</f>
        <v>1371.3</v>
      </c>
      <c r="E1235" s="506">
        <f>IF(H1235=0,0,ROUNDDOWN(K1235*H1235/100,1))</f>
        <v>0</v>
      </c>
      <c r="F1235" s="506">
        <f>IF(H1235=0,0,ROUNDDOWN(L1235*H1235/100,1))</f>
        <v>0</v>
      </c>
      <c r="G1235" s="451" t="s">
        <v>5592</v>
      </c>
      <c r="H1235" s="507">
        <f>ROUNDUP(AC1235,14-LEN(ABS(INT(AC1235))))</f>
        <v>25</v>
      </c>
      <c r="I1235" s="508">
        <f>K1235+J1235+L1235</f>
        <v>5485.4</v>
      </c>
      <c r="J1235" s="508">
        <f>D1226+D1233+SUMIF(N1234:N1234,N1235,D1234:D1234)</f>
        <v>5485.4</v>
      </c>
      <c r="K1235" s="456">
        <v>0</v>
      </c>
      <c r="L1235" s="456">
        <v>0</v>
      </c>
      <c r="M1235" s="501" t="s">
        <v>4208</v>
      </c>
      <c r="N1235" s="501" t="s">
        <v>3416</v>
      </c>
      <c r="Z1235" s="501" t="s">
        <v>3500</v>
      </c>
      <c r="AA1235" s="515">
        <v>25</v>
      </c>
      <c r="AB1235" s="501" t="s">
        <v>3418</v>
      </c>
      <c r="AC1235" s="512">
        <f>1*AA1235</f>
        <v>25</v>
      </c>
      <c r="AD1235" s="500"/>
      <c r="AE1235" s="500"/>
      <c r="AF1235" s="500"/>
      <c r="AG1235" s="500"/>
      <c r="AH1235" s="500"/>
      <c r="AI1235" s="500"/>
      <c r="AJ1235" s="500"/>
      <c r="AK1235" s="500"/>
      <c r="AL1235" s="500"/>
      <c r="AM1235" s="500"/>
      <c r="AN1235" s="500"/>
      <c r="AO1235" s="500"/>
      <c r="AP1235" s="500"/>
    </row>
    <row r="1236" spans="1:42" ht="16.5" customHeight="1">
      <c r="A1236" s="439"/>
      <c r="B1236" s="439"/>
      <c r="C1236" s="439"/>
      <c r="D1236" s="439"/>
      <c r="E1236" s="439"/>
      <c r="F1236" s="439"/>
      <c r="G1236" s="451" t="s">
        <v>3406</v>
      </c>
      <c r="Z1236" s="500"/>
      <c r="AA1236" s="500"/>
      <c r="AB1236" s="500"/>
      <c r="AC1236" s="500"/>
      <c r="AD1236" s="500"/>
      <c r="AE1236" s="500"/>
      <c r="AF1236" s="500"/>
      <c r="AG1236" s="500"/>
      <c r="AH1236" s="500"/>
      <c r="AI1236" s="500"/>
      <c r="AJ1236" s="500"/>
      <c r="AK1236" s="500"/>
      <c r="AL1236" s="500"/>
      <c r="AM1236" s="500"/>
      <c r="AN1236" s="500"/>
      <c r="AO1236" s="500"/>
      <c r="AP1236" s="500"/>
    </row>
    <row r="1237" spans="1:42" ht="16.5" customHeight="1">
      <c r="A1237" s="434"/>
      <c r="B1237" s="437" t="s">
        <v>3419</v>
      </c>
      <c r="C1237" s="513">
        <f>E1237+D1237+F1237</f>
        <v>1371.3</v>
      </c>
      <c r="D1237" s="513">
        <f>SUMIF(N1234:N1236,M1237,D1234:D1236)</f>
        <v>1371.3</v>
      </c>
      <c r="E1237" s="513">
        <f>SUMIF(N1234:N1236,M1237,E1234:E1236)</f>
        <v>0</v>
      </c>
      <c r="F1237" s="513">
        <f>SUMIF(N1234:N1236,M1237,F1234:F1236)</f>
        <v>0</v>
      </c>
      <c r="G1237" s="451" t="s">
        <v>3439</v>
      </c>
      <c r="M1237" s="501" t="s">
        <v>3416</v>
      </c>
      <c r="N1237" s="501" t="s">
        <v>3421</v>
      </c>
      <c r="Z1237" s="500"/>
      <c r="AA1237" s="500"/>
      <c r="AB1237" s="500"/>
      <c r="AC1237" s="500"/>
      <c r="AD1237" s="500"/>
      <c r="AE1237" s="500"/>
      <c r="AF1237" s="500"/>
      <c r="AG1237" s="500"/>
      <c r="AH1237" s="500"/>
      <c r="AI1237" s="500"/>
      <c r="AJ1237" s="500"/>
      <c r="AK1237" s="500"/>
      <c r="AL1237" s="500"/>
      <c r="AM1237" s="500"/>
      <c r="AN1237" s="500"/>
      <c r="AO1237" s="500"/>
      <c r="AP1237" s="500"/>
    </row>
    <row r="1238" spans="1:42" ht="16.5" customHeight="1">
      <c r="A1238" s="439"/>
      <c r="B1238" s="439"/>
      <c r="C1238" s="504"/>
      <c r="D1238" s="504"/>
      <c r="E1238" s="504"/>
      <c r="F1238" s="504"/>
      <c r="G1238" s="451" t="s">
        <v>3406</v>
      </c>
      <c r="Z1238" s="500"/>
      <c r="AA1238" s="500"/>
      <c r="AB1238" s="500"/>
      <c r="AC1238" s="500"/>
      <c r="AD1238" s="500"/>
      <c r="AE1238" s="500"/>
      <c r="AF1238" s="500"/>
      <c r="AG1238" s="500"/>
      <c r="AH1238" s="500"/>
      <c r="AI1238" s="500"/>
      <c r="AJ1238" s="500"/>
      <c r="AK1238" s="500"/>
      <c r="AL1238" s="500"/>
      <c r="AM1238" s="500"/>
      <c r="AN1238" s="500"/>
      <c r="AO1238" s="500"/>
      <c r="AP1238" s="500"/>
    </row>
    <row r="1239" spans="1:42" ht="16.5" customHeight="1">
      <c r="A1239" s="434"/>
      <c r="B1239" s="437" t="s">
        <v>3440</v>
      </c>
      <c r="C1239" s="513">
        <f>E1239+D1239+F1239</f>
        <v>7544.2</v>
      </c>
      <c r="D1239" s="513">
        <f>SUMIF(N1207:N1238,M1239,D1207:D1238)</f>
        <v>6856.7</v>
      </c>
      <c r="E1239" s="513">
        <f>SUMIF(N1207:N1238,M1239,E1207:E1238)</f>
        <v>687.5</v>
      </c>
      <c r="F1239" s="513">
        <f>SUMIF(N1207:N1238,M1239,F1207:F1238)</f>
        <v>0</v>
      </c>
      <c r="G1239" s="451" t="s">
        <v>3441</v>
      </c>
      <c r="M1239" s="501" t="s">
        <v>3421</v>
      </c>
      <c r="N1239" s="501" t="s">
        <v>2354</v>
      </c>
      <c r="Z1239" s="500"/>
      <c r="AA1239" s="500"/>
      <c r="AB1239" s="500"/>
      <c r="AC1239" s="500"/>
      <c r="AD1239" s="500"/>
      <c r="AE1239" s="500"/>
      <c r="AF1239" s="500"/>
      <c r="AG1239" s="500"/>
      <c r="AH1239" s="500"/>
      <c r="AI1239" s="500"/>
      <c r="AJ1239" s="500"/>
      <c r="AK1239" s="500"/>
      <c r="AL1239" s="500"/>
      <c r="AM1239" s="500"/>
      <c r="AN1239" s="500"/>
      <c r="AO1239" s="500"/>
      <c r="AP1239" s="500"/>
    </row>
    <row r="1240" spans="1:42" ht="16.5" customHeight="1">
      <c r="A1240" s="439"/>
      <c r="B1240" s="439"/>
      <c r="C1240" s="504"/>
      <c r="D1240" s="504"/>
      <c r="E1240" s="504"/>
      <c r="F1240" s="504"/>
      <c r="G1240" s="451" t="s">
        <v>3406</v>
      </c>
      <c r="Z1240" s="500"/>
      <c r="AA1240" s="500"/>
      <c r="AB1240" s="500"/>
      <c r="AC1240" s="500"/>
      <c r="AD1240" s="500"/>
      <c r="AE1240" s="500"/>
      <c r="AF1240" s="500"/>
      <c r="AG1240" s="500"/>
      <c r="AH1240" s="500"/>
      <c r="AI1240" s="500"/>
      <c r="AJ1240" s="500"/>
      <c r="AK1240" s="500"/>
      <c r="AL1240" s="500"/>
      <c r="AM1240" s="500"/>
      <c r="AN1240" s="500"/>
      <c r="AO1240" s="500"/>
      <c r="AP1240" s="500"/>
    </row>
    <row r="1241" spans="1:42" ht="16.5" customHeight="1">
      <c r="A1241" s="439"/>
      <c r="B1241" s="439"/>
      <c r="C1241" s="439"/>
      <c r="D1241" s="439"/>
      <c r="E1241" s="439"/>
      <c r="F1241" s="439"/>
      <c r="G1241" s="451" t="s">
        <v>3406</v>
      </c>
      <c r="Z1241" s="500"/>
      <c r="AA1241" s="500"/>
      <c r="AB1241" s="500"/>
      <c r="AC1241" s="500"/>
      <c r="AD1241" s="500"/>
      <c r="AE1241" s="500"/>
      <c r="AF1241" s="500"/>
      <c r="AG1241" s="500"/>
      <c r="AH1241" s="500"/>
      <c r="AI1241" s="500"/>
      <c r="AJ1241" s="500"/>
      <c r="AK1241" s="500"/>
      <c r="AL1241" s="500"/>
      <c r="AM1241" s="500"/>
      <c r="AN1241" s="500"/>
      <c r="AO1241" s="500"/>
      <c r="AP1241" s="500"/>
    </row>
    <row r="1242" spans="1:42" ht="16.5" customHeight="1">
      <c r="A1242" s="439"/>
      <c r="B1242" s="439"/>
      <c r="C1242" s="439"/>
      <c r="D1242" s="439"/>
      <c r="E1242" s="439"/>
      <c r="F1242" s="439"/>
      <c r="G1242" s="451" t="s">
        <v>3413</v>
      </c>
      <c r="Z1242" s="500"/>
      <c r="AA1242" s="500"/>
      <c r="AB1242" s="500"/>
      <c r="AC1242" s="500"/>
      <c r="AD1242" s="500"/>
      <c r="AE1242" s="500"/>
      <c r="AF1242" s="500"/>
      <c r="AG1242" s="500"/>
      <c r="AH1242" s="500"/>
      <c r="AI1242" s="500"/>
      <c r="AJ1242" s="500"/>
      <c r="AK1242" s="500"/>
      <c r="AL1242" s="500"/>
      <c r="AM1242" s="500"/>
      <c r="AN1242" s="500"/>
      <c r="AO1242" s="500"/>
      <c r="AP1242" s="500"/>
    </row>
    <row r="1243" spans="1:42" ht="16.5" customHeight="1">
      <c r="A1243" s="439"/>
      <c r="B1243" s="439"/>
      <c r="C1243" s="439"/>
      <c r="D1243" s="439"/>
      <c r="E1243" s="439"/>
      <c r="F1243" s="439"/>
      <c r="Z1243" s="500"/>
      <c r="AA1243" s="500"/>
      <c r="AB1243" s="500"/>
      <c r="AC1243" s="500"/>
      <c r="AD1243" s="500"/>
      <c r="AE1243" s="500"/>
      <c r="AF1243" s="500"/>
      <c r="AG1243" s="500"/>
      <c r="AH1243" s="500"/>
      <c r="AI1243" s="500"/>
      <c r="AJ1243" s="500"/>
      <c r="AK1243" s="500"/>
      <c r="AL1243" s="500"/>
      <c r="AM1243" s="500"/>
      <c r="AN1243" s="500"/>
      <c r="AO1243" s="500"/>
      <c r="AP1243" s="500"/>
    </row>
    <row r="1244" spans="1:42" ht="16.5" customHeight="1">
      <c r="A1244" s="439"/>
      <c r="B1244" s="439"/>
      <c r="C1244" s="439"/>
      <c r="D1244" s="439"/>
      <c r="E1244" s="439"/>
      <c r="F1244" s="439"/>
      <c r="Z1244" s="500"/>
      <c r="AA1244" s="500"/>
      <c r="AB1244" s="500"/>
      <c r="AC1244" s="500"/>
      <c r="AD1244" s="500"/>
      <c r="AE1244" s="500"/>
      <c r="AF1244" s="500"/>
      <c r="AG1244" s="500"/>
      <c r="AH1244" s="500"/>
      <c r="AI1244" s="500"/>
      <c r="AJ1244" s="500"/>
      <c r="AK1244" s="500"/>
      <c r="AL1244" s="500"/>
      <c r="AM1244" s="500"/>
      <c r="AN1244" s="500"/>
      <c r="AO1244" s="500"/>
      <c r="AP1244" s="500"/>
    </row>
    <row r="1245" spans="1:42" ht="16.5" customHeight="1">
      <c r="A1245" s="439"/>
      <c r="B1245" s="439"/>
      <c r="C1245" s="439"/>
      <c r="D1245" s="439"/>
      <c r="E1245" s="439"/>
      <c r="F1245" s="439"/>
      <c r="Z1245" s="500"/>
      <c r="AA1245" s="500"/>
      <c r="AB1245" s="500"/>
      <c r="AC1245" s="500"/>
      <c r="AD1245" s="500"/>
      <c r="AE1245" s="500"/>
      <c r="AF1245" s="500"/>
      <c r="AG1245" s="500"/>
      <c r="AH1245" s="500"/>
      <c r="AI1245" s="500"/>
      <c r="AJ1245" s="500"/>
      <c r="AK1245" s="500"/>
      <c r="AL1245" s="500"/>
      <c r="AM1245" s="500"/>
      <c r="AN1245" s="500"/>
      <c r="AO1245" s="500"/>
      <c r="AP1245" s="500"/>
    </row>
    <row r="1246" spans="1:42" ht="16.5" customHeight="1">
      <c r="A1246" s="439"/>
      <c r="B1246" s="439"/>
      <c r="C1246" s="439"/>
      <c r="D1246" s="439"/>
      <c r="E1246" s="439"/>
      <c r="F1246" s="439"/>
      <c r="Z1246" s="500"/>
      <c r="AA1246" s="500"/>
      <c r="AB1246" s="500"/>
      <c r="AC1246" s="500"/>
      <c r="AD1246" s="500"/>
      <c r="AE1246" s="500"/>
      <c r="AF1246" s="500"/>
      <c r="AG1246" s="500"/>
      <c r="AH1246" s="500"/>
      <c r="AI1246" s="500"/>
      <c r="AJ1246" s="500"/>
      <c r="AK1246" s="500"/>
      <c r="AL1246" s="500"/>
      <c r="AM1246" s="500"/>
      <c r="AN1246" s="500"/>
      <c r="AO1246" s="500"/>
      <c r="AP1246" s="500"/>
    </row>
    <row r="1247" spans="1:42" ht="16.5" customHeight="1">
      <c r="A1247" s="439"/>
      <c r="B1247" s="439"/>
      <c r="C1247" s="439"/>
      <c r="D1247" s="439"/>
      <c r="E1247" s="439"/>
      <c r="F1247" s="439"/>
      <c r="Z1247" s="500"/>
      <c r="AA1247" s="500"/>
      <c r="AB1247" s="500"/>
      <c r="AC1247" s="500"/>
      <c r="AD1247" s="500"/>
      <c r="AE1247" s="500"/>
      <c r="AF1247" s="500"/>
      <c r="AG1247" s="500"/>
      <c r="AH1247" s="500"/>
      <c r="AI1247" s="500"/>
      <c r="AJ1247" s="500"/>
      <c r="AK1247" s="500"/>
      <c r="AL1247" s="500"/>
      <c r="AM1247" s="500"/>
      <c r="AN1247" s="500"/>
      <c r="AO1247" s="500"/>
      <c r="AP1247" s="500"/>
    </row>
    <row r="1248" spans="1:42" ht="16.5" customHeight="1">
      <c r="A1248" s="439"/>
      <c r="B1248" s="439"/>
      <c r="C1248" s="439"/>
      <c r="D1248" s="439"/>
      <c r="E1248" s="439"/>
      <c r="F1248" s="439"/>
      <c r="Z1248" s="500"/>
      <c r="AA1248" s="500"/>
      <c r="AB1248" s="500"/>
      <c r="AC1248" s="500"/>
      <c r="AD1248" s="500"/>
      <c r="AE1248" s="500"/>
      <c r="AF1248" s="500"/>
      <c r="AG1248" s="500"/>
      <c r="AH1248" s="500"/>
      <c r="AI1248" s="500"/>
      <c r="AJ1248" s="500"/>
      <c r="AK1248" s="500"/>
      <c r="AL1248" s="500"/>
      <c r="AM1248" s="500"/>
      <c r="AN1248" s="500"/>
      <c r="AO1248" s="500"/>
      <c r="AP1248" s="500"/>
    </row>
    <row r="1249" spans="1:42" ht="16.5" customHeight="1">
      <c r="A1249" s="439"/>
      <c r="B1249" s="439"/>
      <c r="C1249" s="439"/>
      <c r="D1249" s="439"/>
      <c r="E1249" s="439"/>
      <c r="F1249" s="439"/>
      <c r="Z1249" s="500"/>
      <c r="AA1249" s="500"/>
      <c r="AB1249" s="500"/>
      <c r="AC1249" s="500"/>
      <c r="AD1249" s="500"/>
      <c r="AE1249" s="500"/>
      <c r="AF1249" s="500"/>
      <c r="AG1249" s="500"/>
      <c r="AH1249" s="500"/>
      <c r="AI1249" s="500"/>
      <c r="AJ1249" s="500"/>
      <c r="AK1249" s="500"/>
      <c r="AL1249" s="500"/>
      <c r="AM1249" s="500"/>
      <c r="AN1249" s="500"/>
      <c r="AO1249" s="500"/>
      <c r="AP1249" s="500"/>
    </row>
    <row r="1250" spans="1:42" ht="16.5" customHeight="1">
      <c r="A1250" s="439"/>
      <c r="B1250" s="439"/>
      <c r="C1250" s="439"/>
      <c r="D1250" s="439"/>
      <c r="E1250" s="439"/>
      <c r="F1250" s="439"/>
      <c r="Z1250" s="500"/>
      <c r="AA1250" s="500"/>
      <c r="AB1250" s="500"/>
      <c r="AC1250" s="500"/>
      <c r="AD1250" s="500"/>
      <c r="AE1250" s="500"/>
      <c r="AF1250" s="500"/>
      <c r="AG1250" s="500"/>
      <c r="AH1250" s="500"/>
      <c r="AI1250" s="500"/>
      <c r="AJ1250" s="500"/>
      <c r="AK1250" s="500"/>
      <c r="AL1250" s="500"/>
      <c r="AM1250" s="500"/>
      <c r="AN1250" s="500"/>
      <c r="AO1250" s="500"/>
      <c r="AP1250" s="500"/>
    </row>
    <row r="1251" spans="1:42" ht="16.5" customHeight="1">
      <c r="A1251" s="439"/>
      <c r="B1251" s="439"/>
      <c r="C1251" s="439"/>
      <c r="D1251" s="439"/>
      <c r="E1251" s="439"/>
      <c r="F1251" s="439"/>
      <c r="Z1251" s="500"/>
      <c r="AA1251" s="500"/>
      <c r="AB1251" s="500"/>
      <c r="AC1251" s="500"/>
      <c r="AD1251" s="500"/>
      <c r="AE1251" s="500"/>
      <c r="AF1251" s="500"/>
      <c r="AG1251" s="500"/>
      <c r="AH1251" s="500"/>
      <c r="AI1251" s="500"/>
      <c r="AJ1251" s="500"/>
      <c r="AK1251" s="500"/>
      <c r="AL1251" s="500"/>
      <c r="AM1251" s="500"/>
      <c r="AN1251" s="500"/>
      <c r="AO1251" s="500"/>
      <c r="AP1251" s="500"/>
    </row>
    <row r="1252" spans="1:42" ht="16.5" customHeight="1">
      <c r="A1252" s="439"/>
      <c r="B1252" s="439"/>
      <c r="C1252" s="439"/>
      <c r="D1252" s="439"/>
      <c r="E1252" s="439"/>
      <c r="F1252" s="439"/>
      <c r="Z1252" s="500"/>
      <c r="AA1252" s="500"/>
      <c r="AB1252" s="500"/>
      <c r="AC1252" s="500"/>
      <c r="AD1252" s="500"/>
      <c r="AE1252" s="500"/>
      <c r="AF1252" s="500"/>
      <c r="AG1252" s="500"/>
      <c r="AH1252" s="500"/>
      <c r="AI1252" s="500"/>
      <c r="AJ1252" s="500"/>
      <c r="AK1252" s="500"/>
      <c r="AL1252" s="500"/>
      <c r="AM1252" s="500"/>
      <c r="AN1252" s="500"/>
      <c r="AO1252" s="500"/>
      <c r="AP1252" s="500"/>
    </row>
    <row r="1253" spans="1:42" ht="16.5" customHeight="1">
      <c r="A1253" s="497"/>
      <c r="B1253" s="497"/>
      <c r="C1253" s="497"/>
      <c r="D1253" s="497"/>
      <c r="E1253" s="497"/>
      <c r="F1253" s="497"/>
      <c r="Z1253" s="500"/>
      <c r="AA1253" s="500"/>
      <c r="AB1253" s="500"/>
      <c r="AC1253" s="500"/>
      <c r="AD1253" s="500"/>
      <c r="AE1253" s="500"/>
      <c r="AF1253" s="500"/>
      <c r="AG1253" s="500"/>
      <c r="AH1253" s="500"/>
      <c r="AI1253" s="500"/>
      <c r="AJ1253" s="500"/>
      <c r="AK1253" s="500"/>
      <c r="AL1253" s="500"/>
      <c r="AM1253" s="500"/>
      <c r="AN1253" s="500"/>
      <c r="AO1253" s="500"/>
      <c r="AP1253" s="500"/>
    </row>
    <row r="1254" spans="1:42" ht="16.5" customHeight="1">
      <c r="A1254" s="616" t="s">
        <v>3487</v>
      </c>
      <c r="B1254" s="605"/>
      <c r="C1254" s="446">
        <f>E1254+D1254+F1254</f>
        <v>7543</v>
      </c>
      <c r="D1254" s="453">
        <f>ROUNDDOWN(SUMIF(N1207:N1242,M1254,D1207:D1242),0)</f>
        <v>6856</v>
      </c>
      <c r="E1254" s="454">
        <f>ROUNDDOWN(SUMIF(N1207:N1242,M1254,E1207:E1242),0)</f>
        <v>687</v>
      </c>
      <c r="F1254" s="446">
        <f>ROUNDDOWN(SUMIF(N1207:N1242,M1254,F1207:F1242),0)</f>
        <v>0</v>
      </c>
      <c r="M1254" s="501" t="s">
        <v>2354</v>
      </c>
      <c r="Z1254" s="500"/>
      <c r="AA1254" s="500"/>
      <c r="AB1254" s="500"/>
      <c r="AC1254" s="500"/>
      <c r="AD1254" s="500"/>
      <c r="AE1254" s="500"/>
      <c r="AF1254" s="500"/>
      <c r="AG1254" s="500"/>
      <c r="AH1254" s="500"/>
      <c r="AI1254" s="500"/>
      <c r="AJ1254" s="500"/>
      <c r="AK1254" s="500"/>
      <c r="AL1254" s="500"/>
      <c r="AM1254" s="500"/>
      <c r="AN1254" s="500"/>
      <c r="AO1254" s="500"/>
      <c r="AP1254" s="500"/>
    </row>
    <row r="1255" spans="1:42" ht="16.5" customHeight="1">
      <c r="A1255" s="502"/>
      <c r="B1255" s="503" t="s">
        <v>5373</v>
      </c>
      <c r="C1255" s="615">
        <f>C1304</f>
        <v>15960</v>
      </c>
      <c r="D1255" s="615">
        <f>D1304</f>
        <v>14627</v>
      </c>
      <c r="E1255" s="615">
        <f>E1304</f>
        <v>1333</v>
      </c>
      <c r="F1255" s="615">
        <f>F1304</f>
        <v>0</v>
      </c>
      <c r="G1255" s="486" t="str">
        <f>HYPERLINK("#G"&amp;ROW(G1290),"_x0005_`BDCOD|D01328_x0007_`POSS|"&amp;ROW(G1257)&amp;"_x0007_`POSE|"&amp;ROW(G1290)&amp;"_x0007_`")</f>
        <v>_x0005_`BDCOD|D01328_x0007_`POSS|1257_x0007_`POSE|1290_x0007_`</v>
      </c>
      <c r="Z1255" s="500"/>
      <c r="AA1255" s="500"/>
      <c r="AB1255" s="500"/>
      <c r="AC1255" s="500"/>
      <c r="AD1255" s="500"/>
      <c r="AE1255" s="500"/>
      <c r="AF1255" s="500"/>
      <c r="AG1255" s="500"/>
      <c r="AH1255" s="500"/>
      <c r="AI1255" s="500"/>
      <c r="AJ1255" s="500"/>
      <c r="AK1255" s="500"/>
      <c r="AL1255" s="500"/>
      <c r="AM1255" s="500"/>
      <c r="AN1255" s="500"/>
      <c r="AO1255" s="500"/>
      <c r="AP1255" s="500"/>
    </row>
    <row r="1256" spans="1:42" ht="16.5" customHeight="1">
      <c r="A1256" s="485"/>
      <c r="B1256" s="503" t="s">
        <v>5602</v>
      </c>
      <c r="C1256" s="593"/>
      <c r="D1256" s="593"/>
      <c r="E1256" s="593"/>
      <c r="F1256" s="593"/>
      <c r="M1256" s="501" t="s">
        <v>5373</v>
      </c>
      <c r="Z1256" s="500"/>
      <c r="AA1256" s="500"/>
      <c r="AB1256" s="500"/>
      <c r="AC1256" s="500"/>
      <c r="AD1256" s="500"/>
      <c r="AE1256" s="500"/>
      <c r="AF1256" s="500"/>
      <c r="AG1256" s="500"/>
      <c r="AH1256" s="500"/>
      <c r="AI1256" s="500"/>
      <c r="AJ1256" s="500"/>
      <c r="AK1256" s="500"/>
      <c r="AL1256" s="500"/>
      <c r="AM1256" s="500"/>
      <c r="AN1256" s="500"/>
      <c r="AO1256" s="500"/>
      <c r="AP1256" s="500"/>
    </row>
    <row r="1257" spans="1:42" ht="16.5" customHeight="1">
      <c r="A1257" s="439"/>
      <c r="B1257" s="439"/>
      <c r="C1257" s="504"/>
      <c r="D1257" s="504"/>
      <c r="E1257" s="504"/>
      <c r="F1257" s="504"/>
      <c r="G1257" s="451" t="s">
        <v>3406</v>
      </c>
      <c r="Z1257" s="500"/>
      <c r="AA1257" s="500"/>
      <c r="AB1257" s="500"/>
      <c r="AC1257" s="500"/>
      <c r="AD1257" s="500"/>
      <c r="AE1257" s="500"/>
      <c r="AF1257" s="500"/>
      <c r="AG1257" s="500"/>
      <c r="AH1257" s="500"/>
      <c r="AI1257" s="500"/>
      <c r="AJ1257" s="500"/>
      <c r="AK1257" s="500"/>
      <c r="AL1257" s="500"/>
      <c r="AM1257" s="500"/>
      <c r="AN1257" s="500"/>
      <c r="AO1257" s="500"/>
      <c r="AP1257" s="500"/>
    </row>
    <row r="1258" spans="1:42" ht="16.5" customHeight="1">
      <c r="A1258" s="434"/>
      <c r="B1258" s="437" t="s">
        <v>3533</v>
      </c>
      <c r="C1258" s="439"/>
      <c r="D1258" s="439"/>
      <c r="E1258" s="439"/>
      <c r="F1258" s="439"/>
      <c r="G1258" s="451" t="s">
        <v>3534</v>
      </c>
      <c r="Z1258" s="500"/>
      <c r="AA1258" s="500"/>
      <c r="AB1258" s="500"/>
      <c r="AC1258" s="500"/>
      <c r="AD1258" s="500"/>
      <c r="AE1258" s="500"/>
      <c r="AF1258" s="500"/>
      <c r="AG1258" s="500"/>
      <c r="AH1258" s="500"/>
      <c r="AI1258" s="500"/>
      <c r="AJ1258" s="500"/>
      <c r="AK1258" s="500"/>
      <c r="AL1258" s="500"/>
      <c r="AM1258" s="500"/>
      <c r="AN1258" s="500"/>
      <c r="AO1258" s="500"/>
      <c r="AP1258" s="500"/>
    </row>
    <row r="1259" spans="1:42" ht="16.5" customHeight="1">
      <c r="A1259" s="439"/>
      <c r="B1259" s="439"/>
      <c r="C1259" s="439"/>
      <c r="D1259" s="439"/>
      <c r="E1259" s="439"/>
      <c r="F1259" s="439"/>
      <c r="G1259" s="451" t="s">
        <v>3406</v>
      </c>
      <c r="Z1259" s="500"/>
      <c r="AA1259" s="500"/>
      <c r="AB1259" s="500"/>
      <c r="AC1259" s="500"/>
      <c r="AD1259" s="500"/>
      <c r="AE1259" s="500"/>
      <c r="AF1259" s="500"/>
      <c r="AG1259" s="500"/>
      <c r="AH1259" s="500"/>
      <c r="AI1259" s="500"/>
      <c r="AJ1259" s="500"/>
      <c r="AK1259" s="500"/>
      <c r="AL1259" s="500"/>
      <c r="AM1259" s="500"/>
      <c r="AN1259" s="500"/>
      <c r="AO1259" s="500"/>
      <c r="AP1259" s="500"/>
    </row>
    <row r="1260" spans="1:42" ht="16.5" customHeight="1">
      <c r="A1260" s="434"/>
      <c r="B1260" s="437" t="s">
        <v>3525</v>
      </c>
      <c r="C1260" s="439"/>
      <c r="D1260" s="439"/>
      <c r="E1260" s="439"/>
      <c r="F1260" s="439"/>
      <c r="G1260" s="451" t="s">
        <v>3526</v>
      </c>
      <c r="Z1260" s="500"/>
      <c r="AA1260" s="500"/>
      <c r="AB1260" s="500"/>
      <c r="AC1260" s="500"/>
      <c r="AD1260" s="500"/>
      <c r="AE1260" s="500"/>
      <c r="AF1260" s="500"/>
      <c r="AG1260" s="500"/>
      <c r="AH1260" s="500"/>
      <c r="AI1260" s="500"/>
      <c r="AJ1260" s="500"/>
      <c r="AK1260" s="500"/>
      <c r="AL1260" s="500"/>
      <c r="AM1260" s="500"/>
      <c r="AN1260" s="500"/>
      <c r="AO1260" s="500"/>
      <c r="AP1260" s="500"/>
    </row>
    <row r="1261" spans="1:42" ht="16.5" customHeight="1">
      <c r="A1261" s="439"/>
      <c r="B1261" s="439"/>
      <c r="C1261" s="439"/>
      <c r="D1261" s="439"/>
      <c r="E1261" s="439"/>
      <c r="F1261" s="439"/>
      <c r="G1261" s="451" t="s">
        <v>3406</v>
      </c>
      <c r="Z1261" s="500"/>
      <c r="AA1261" s="500"/>
      <c r="AB1261" s="500"/>
      <c r="AC1261" s="500"/>
      <c r="AD1261" s="500"/>
      <c r="AE1261" s="500"/>
      <c r="AF1261" s="500"/>
      <c r="AG1261" s="500"/>
      <c r="AH1261" s="500"/>
      <c r="AI1261" s="500"/>
      <c r="AJ1261" s="500"/>
      <c r="AK1261" s="500"/>
      <c r="AL1261" s="500"/>
      <c r="AM1261" s="500"/>
      <c r="AN1261" s="500"/>
      <c r="AO1261" s="500"/>
      <c r="AP1261" s="500"/>
    </row>
    <row r="1262" spans="1:42" ht="16.5" customHeight="1">
      <c r="A1262" s="434"/>
      <c r="B1262" s="437" t="str">
        <f>" 일당 작업량 :   Q1 = "&amp;Z1262&amp;"  주 "</f>
        <v xml:space="preserve"> 일당 작업량 :   Q1 = 75  주 </v>
      </c>
      <c r="C1262" s="439"/>
      <c r="D1262" s="439"/>
      <c r="E1262" s="439"/>
      <c r="F1262" s="439"/>
      <c r="G1262" s="451" t="s">
        <v>3535</v>
      </c>
      <c r="Z1262" s="515">
        <v>75</v>
      </c>
      <c r="AA1262" s="501" t="s">
        <v>3418</v>
      </c>
      <c r="AB1262" s="512">
        <f>Z1262</f>
        <v>75</v>
      </c>
      <c r="AC1262" s="500"/>
      <c r="AD1262" s="500"/>
      <c r="AE1262" s="500"/>
      <c r="AF1262" s="500"/>
      <c r="AG1262" s="500"/>
      <c r="AH1262" s="500"/>
      <c r="AI1262" s="500"/>
      <c r="AJ1262" s="500"/>
      <c r="AK1262" s="500"/>
      <c r="AL1262" s="500"/>
      <c r="AM1262" s="500"/>
      <c r="AN1262" s="500"/>
      <c r="AO1262" s="500"/>
      <c r="AP1262" s="500"/>
    </row>
    <row r="1263" spans="1:42" ht="16.5" customHeight="1">
      <c r="A1263" s="439"/>
      <c r="B1263" s="439"/>
      <c r="C1263" s="439"/>
      <c r="D1263" s="439"/>
      <c r="E1263" s="439"/>
      <c r="F1263" s="439"/>
      <c r="G1263" s="451" t="s">
        <v>3406</v>
      </c>
      <c r="Z1263" s="500"/>
      <c r="AA1263" s="500"/>
      <c r="AB1263" s="500"/>
      <c r="AC1263" s="500"/>
      <c r="AD1263" s="500"/>
      <c r="AE1263" s="500"/>
      <c r="AF1263" s="500"/>
      <c r="AG1263" s="500"/>
      <c r="AH1263" s="500"/>
      <c r="AI1263" s="500"/>
      <c r="AJ1263" s="500"/>
      <c r="AK1263" s="500"/>
      <c r="AL1263" s="500"/>
      <c r="AM1263" s="500"/>
      <c r="AN1263" s="500"/>
      <c r="AO1263" s="500"/>
      <c r="AP1263" s="500"/>
    </row>
    <row r="1264" spans="1:42" ht="16.5" customHeight="1">
      <c r="A1264" s="434"/>
      <c r="B1264" s="437" t="s">
        <v>3494</v>
      </c>
      <c r="C1264" s="439"/>
      <c r="D1264" s="439"/>
      <c r="E1264" s="439"/>
      <c r="F1264" s="439"/>
      <c r="G1264" s="451" t="s">
        <v>3495</v>
      </c>
      <c r="Z1264" s="500"/>
      <c r="AA1264" s="500"/>
      <c r="AB1264" s="500"/>
      <c r="AC1264" s="500"/>
      <c r="AD1264" s="500"/>
      <c r="AE1264" s="500"/>
      <c r="AF1264" s="500"/>
      <c r="AG1264" s="500"/>
      <c r="AH1264" s="500"/>
      <c r="AI1264" s="500"/>
      <c r="AJ1264" s="500"/>
      <c r="AK1264" s="500"/>
      <c r="AL1264" s="500"/>
      <c r="AM1264" s="500"/>
      <c r="AN1264" s="500"/>
      <c r="AO1264" s="500"/>
      <c r="AP1264" s="500"/>
    </row>
    <row r="1265" spans="1:42" ht="16.5" customHeight="1">
      <c r="A1265" s="439"/>
      <c r="B1265" s="439"/>
      <c r="C1265" s="439"/>
      <c r="D1265" s="439"/>
      <c r="E1265" s="439"/>
      <c r="F1265" s="439"/>
      <c r="G1265" s="451" t="s">
        <v>3406</v>
      </c>
      <c r="Z1265" s="500"/>
      <c r="AA1265" s="500"/>
      <c r="AB1265" s="500"/>
      <c r="AC1265" s="500"/>
      <c r="AD1265" s="500"/>
      <c r="AE1265" s="500"/>
      <c r="AF1265" s="500"/>
      <c r="AG1265" s="500"/>
      <c r="AH1265" s="500"/>
      <c r="AI1265" s="500"/>
      <c r="AJ1265" s="500"/>
      <c r="AK1265" s="500"/>
      <c r="AL1265" s="500"/>
      <c r="AM1265" s="500"/>
      <c r="AN1265" s="500"/>
      <c r="AO1265" s="500"/>
      <c r="AP1265" s="500"/>
    </row>
    <row r="1266" spans="1:42" ht="16.5" customHeight="1">
      <c r="A1266" s="439"/>
      <c r="B1266" s="439"/>
      <c r="C1266" s="439"/>
      <c r="D1266" s="439"/>
      <c r="E1266" s="439"/>
      <c r="F1266" s="439"/>
      <c r="G1266" s="451" t="s">
        <v>3406</v>
      </c>
      <c r="Z1266" s="500"/>
      <c r="AA1266" s="500"/>
      <c r="AB1266" s="500"/>
      <c r="AC1266" s="500"/>
      <c r="AD1266" s="500"/>
      <c r="AE1266" s="500"/>
      <c r="AF1266" s="500"/>
      <c r="AG1266" s="500"/>
      <c r="AH1266" s="500"/>
      <c r="AI1266" s="500"/>
      <c r="AJ1266" s="500"/>
      <c r="AK1266" s="500"/>
      <c r="AL1266" s="500"/>
      <c r="AM1266" s="500"/>
      <c r="AN1266" s="500"/>
      <c r="AO1266" s="500"/>
      <c r="AP1266" s="500"/>
    </row>
    <row r="1267" spans="1:42" ht="16.5" customHeight="1">
      <c r="A1267" s="439"/>
      <c r="B1267" s="439"/>
      <c r="C1267" s="439"/>
      <c r="D1267" s="439"/>
      <c r="E1267" s="439"/>
      <c r="F1267" s="439"/>
      <c r="G1267" s="451" t="s">
        <v>3406</v>
      </c>
      <c r="Z1267" s="500"/>
      <c r="AA1267" s="500"/>
      <c r="AB1267" s="500"/>
      <c r="AC1267" s="500"/>
      <c r="AD1267" s="500"/>
      <c r="AE1267" s="500"/>
      <c r="AF1267" s="500"/>
      <c r="AG1267" s="500"/>
      <c r="AH1267" s="500"/>
      <c r="AI1267" s="500"/>
      <c r="AJ1267" s="500"/>
      <c r="AK1267" s="500"/>
      <c r="AL1267" s="500"/>
      <c r="AM1267" s="500"/>
      <c r="AN1267" s="500"/>
      <c r="AO1267" s="500"/>
      <c r="AP1267" s="500"/>
    </row>
    <row r="1268" spans="1:42" ht="16.5" customHeight="1">
      <c r="A1268" s="439"/>
      <c r="B1268" s="439"/>
      <c r="C1268" s="439"/>
      <c r="D1268" s="439"/>
      <c r="E1268" s="439"/>
      <c r="F1268" s="439"/>
      <c r="G1268" s="451" t="s">
        <v>3406</v>
      </c>
      <c r="Z1268" s="500"/>
      <c r="AA1268" s="500"/>
      <c r="AB1268" s="500"/>
      <c r="AC1268" s="500"/>
      <c r="AD1268" s="500"/>
      <c r="AE1268" s="500"/>
      <c r="AF1268" s="500"/>
      <c r="AG1268" s="500"/>
      <c r="AH1268" s="500"/>
      <c r="AI1268" s="500"/>
      <c r="AJ1268" s="500"/>
      <c r="AK1268" s="500"/>
      <c r="AL1268" s="500"/>
      <c r="AM1268" s="500"/>
      <c r="AN1268" s="500"/>
      <c r="AO1268" s="500"/>
      <c r="AP1268" s="500"/>
    </row>
    <row r="1269" spans="1:42" ht="16.5" customHeight="1">
      <c r="A1269" s="434"/>
      <c r="B1269" s="437" t="s">
        <v>3496</v>
      </c>
      <c r="C1269" s="439"/>
      <c r="D1269" s="439"/>
      <c r="E1269" s="439"/>
      <c r="F1269" s="439"/>
      <c r="G1269" s="451" t="s">
        <v>3497</v>
      </c>
      <c r="Z1269" s="500"/>
      <c r="AA1269" s="500"/>
      <c r="AB1269" s="500"/>
      <c r="AC1269" s="500"/>
      <c r="AD1269" s="500"/>
      <c r="AE1269" s="500"/>
      <c r="AF1269" s="500"/>
      <c r="AG1269" s="500"/>
      <c r="AH1269" s="500"/>
      <c r="AI1269" s="500"/>
      <c r="AJ1269" s="500"/>
      <c r="AK1269" s="500"/>
      <c r="AL1269" s="500"/>
      <c r="AM1269" s="500"/>
      <c r="AN1269" s="500"/>
      <c r="AO1269" s="500"/>
      <c r="AP1269" s="500"/>
    </row>
    <row r="1270" spans="1:42" ht="16.5" customHeight="1">
      <c r="A1270" s="439"/>
      <c r="B1270" s="439"/>
      <c r="C1270" s="439"/>
      <c r="D1270" s="439"/>
      <c r="E1270" s="439"/>
      <c r="F1270" s="439"/>
      <c r="G1270" s="451" t="s">
        <v>3406</v>
      </c>
      <c r="Z1270" s="500"/>
      <c r="AA1270" s="500"/>
      <c r="AB1270" s="500"/>
      <c r="AC1270" s="500"/>
      <c r="AD1270" s="500"/>
      <c r="AE1270" s="500"/>
      <c r="AF1270" s="500"/>
      <c r="AG1270" s="500"/>
      <c r="AH1270" s="500"/>
      <c r="AI1270" s="500"/>
      <c r="AJ1270" s="500"/>
      <c r="AK1270" s="500"/>
      <c r="AL1270" s="500"/>
      <c r="AM1270" s="500"/>
      <c r="AN1270" s="500"/>
      <c r="AO1270" s="500"/>
      <c r="AP1270" s="500"/>
    </row>
    <row r="1271" spans="1:42" ht="16.5" customHeight="1">
      <c r="A1271" s="434" t="s">
        <v>3498</v>
      </c>
      <c r="B1271" s="505" t="str">
        <f>" 조경공 :  "&amp;TEXT(I1271,"#,##0"&amp;IF(I1271&lt;&gt;INT(I1271),".###",""))&amp;" * "&amp;AA1271&amp;" 인  / Q1 = "&amp;TEXT(C1271,"#,##0.0")&amp;""</f>
        <v xml:space="preserve"> 조경공 :  235,204 * 3 인  / Q1 = 9,408.1</v>
      </c>
      <c r="C1271" s="506">
        <f>E1271+D1271+F1271</f>
        <v>9408.1</v>
      </c>
      <c r="D1271" s="506">
        <f>IF(H1271=0,0,ROUNDDOWN(J1271*H1271,1))</f>
        <v>9408.1</v>
      </c>
      <c r="E1271" s="506">
        <f>IF(H1271=0,0,ROUNDDOWN(K1271*H1271,1))</f>
        <v>0</v>
      </c>
      <c r="F1271" s="506">
        <f>IF(H1271=0,0,ROUNDDOWN(L1271*H1271,1))</f>
        <v>0</v>
      </c>
      <c r="G1271" s="451" t="s">
        <v>3499</v>
      </c>
      <c r="H1271" s="507">
        <f>ROUNDUP(AE1271,14-LEN(ABS(INT(AE1271))))</f>
        <v>0.04</v>
      </c>
      <c r="I1271" s="508">
        <f>K1271+J1271+L1271</f>
        <v>235204</v>
      </c>
      <c r="J1271" s="509">
        <f>노무비목록표!E15</f>
        <v>235204</v>
      </c>
      <c r="M1271" s="501" t="s">
        <v>2359</v>
      </c>
      <c r="N1271" s="501" t="s">
        <v>3416</v>
      </c>
      <c r="X1271" s="510" t="str">
        <f>노무비목록표!B15&amp;" / "&amp;노무비목록표!C15</f>
        <v xml:space="preserve">조경공 / </v>
      </c>
      <c r="Y1271" s="433" t="str">
        <f ca="1">HYPERLINK("#"&amp;노무비목록표!G2&amp;"!A"&amp;ROW(노무비목록표!A15),"L00184 →")</f>
        <v>L00184 →</v>
      </c>
      <c r="Z1271" s="501" t="s">
        <v>3500</v>
      </c>
      <c r="AA1271" s="515">
        <v>3</v>
      </c>
      <c r="AB1271" s="501" t="s">
        <v>3428</v>
      </c>
      <c r="AC1271" s="512">
        <f>AB1262</f>
        <v>75</v>
      </c>
      <c r="AD1271" s="501" t="s">
        <v>3418</v>
      </c>
      <c r="AE1271" s="512">
        <f>1*AA1271/AB1262</f>
        <v>0.04</v>
      </c>
      <c r="AF1271" s="500"/>
      <c r="AG1271" s="500"/>
      <c r="AH1271" s="500"/>
      <c r="AI1271" s="500"/>
      <c r="AJ1271" s="500"/>
      <c r="AK1271" s="500"/>
      <c r="AL1271" s="500"/>
      <c r="AM1271" s="500"/>
      <c r="AN1271" s="500"/>
      <c r="AO1271" s="500"/>
      <c r="AP1271" s="500"/>
    </row>
    <row r="1272" spans="1:42" ht="16.5" customHeight="1">
      <c r="A1272" s="439"/>
      <c r="B1272" s="439"/>
      <c r="C1272" s="439"/>
      <c r="D1272" s="439"/>
      <c r="E1272" s="439"/>
      <c r="F1272" s="439"/>
      <c r="G1272" s="451" t="s">
        <v>3406</v>
      </c>
      <c r="Z1272" s="500"/>
      <c r="AA1272" s="500"/>
      <c r="AB1272" s="500"/>
      <c r="AC1272" s="500"/>
      <c r="AD1272" s="500"/>
      <c r="AE1272" s="500"/>
      <c r="AF1272" s="500"/>
      <c r="AG1272" s="500"/>
      <c r="AH1272" s="500"/>
      <c r="AI1272" s="500"/>
      <c r="AJ1272" s="500"/>
      <c r="AK1272" s="500"/>
      <c r="AL1272" s="500"/>
      <c r="AM1272" s="500"/>
      <c r="AN1272" s="500"/>
      <c r="AO1272" s="500"/>
      <c r="AP1272" s="500"/>
    </row>
    <row r="1273" spans="1:42" ht="16.5" customHeight="1">
      <c r="A1273" s="439"/>
      <c r="B1273" s="439"/>
      <c r="C1273" s="439"/>
      <c r="D1273" s="439"/>
      <c r="E1273" s="439"/>
      <c r="F1273" s="439"/>
      <c r="G1273" s="451" t="s">
        <v>3406</v>
      </c>
      <c r="Z1273" s="500"/>
      <c r="AA1273" s="500"/>
      <c r="AB1273" s="500"/>
      <c r="AC1273" s="500"/>
      <c r="AD1273" s="500"/>
      <c r="AE1273" s="500"/>
      <c r="AF1273" s="500"/>
      <c r="AG1273" s="500"/>
      <c r="AH1273" s="500"/>
      <c r="AI1273" s="500"/>
      <c r="AJ1273" s="500"/>
      <c r="AK1273" s="500"/>
      <c r="AL1273" s="500"/>
      <c r="AM1273" s="500"/>
      <c r="AN1273" s="500"/>
      <c r="AO1273" s="500"/>
      <c r="AP1273" s="500"/>
    </row>
    <row r="1274" spans="1:42" ht="16.5" customHeight="1">
      <c r="A1274" s="434" t="s">
        <v>3414</v>
      </c>
      <c r="B1274" s="505" t="str">
        <f>" 보통인부 : "&amp;TEXT(I1274,"#,##0"&amp;IF(I1274&lt;&gt;INT(I1274),".###",""))&amp;" * "&amp;AA1274&amp;" 인  / Q1 = "&amp;TEXT(C1274,"#,##0.0")&amp;""</f>
        <v xml:space="preserve"> 보통인부 : 172,068 * 1 인  / Q1 = 2,294.2</v>
      </c>
      <c r="C1274" s="506">
        <f>E1274+D1274+F1274</f>
        <v>2294.1999999999998</v>
      </c>
      <c r="D1274" s="506">
        <f>IF(H1274=0,0,ROUNDDOWN(J1274*H1274,1))</f>
        <v>2294.1999999999998</v>
      </c>
      <c r="E1274" s="506">
        <f>IF(H1274=0,0,ROUNDDOWN(K1274*H1274,1))</f>
        <v>0</v>
      </c>
      <c r="F1274" s="506">
        <f>IF(H1274=0,0,ROUNDDOWN(L1274*H1274,1))</f>
        <v>0</v>
      </c>
      <c r="G1274" s="451" t="s">
        <v>3501</v>
      </c>
      <c r="H1274" s="507">
        <f>ROUNDUP(AE1274,14-LEN(ABS(INT(AE1274))))</f>
        <v>1.33333333334E-2</v>
      </c>
      <c r="I1274" s="508">
        <f>K1274+J1274+L1274</f>
        <v>172068</v>
      </c>
      <c r="J1274" s="509">
        <f>노무비목록표!E10</f>
        <v>172068</v>
      </c>
      <c r="M1274" s="501" t="s">
        <v>2363</v>
      </c>
      <c r="N1274" s="501" t="s">
        <v>3416</v>
      </c>
      <c r="X1274" s="510" t="str">
        <f>노무비목록표!B10&amp;" / "&amp;노무비목록표!C10</f>
        <v xml:space="preserve">보통인부 / </v>
      </c>
      <c r="Y1274" s="433" t="str">
        <f ca="1">HYPERLINK("#"&amp;노무비목록표!G2&amp;"!A"&amp;ROW(노무비목록표!A10),"L00017 →")</f>
        <v>L00017 →</v>
      </c>
      <c r="Z1274" s="501" t="s">
        <v>3500</v>
      </c>
      <c r="AA1274" s="515">
        <v>1</v>
      </c>
      <c r="AB1274" s="501" t="s">
        <v>3428</v>
      </c>
      <c r="AC1274" s="512">
        <f>AB1262</f>
        <v>75</v>
      </c>
      <c r="AD1274" s="501" t="s">
        <v>3418</v>
      </c>
      <c r="AE1274" s="512">
        <f>1*AA1274/AB1262</f>
        <v>1.3333333333333334E-2</v>
      </c>
      <c r="AF1274" s="500"/>
      <c r="AG1274" s="500"/>
      <c r="AH1274" s="500"/>
      <c r="AI1274" s="500"/>
      <c r="AJ1274" s="500"/>
      <c r="AK1274" s="500"/>
      <c r="AL1274" s="500"/>
      <c r="AM1274" s="500"/>
      <c r="AN1274" s="500"/>
      <c r="AO1274" s="500"/>
      <c r="AP1274" s="500"/>
    </row>
    <row r="1275" spans="1:42" ht="16.5" customHeight="1">
      <c r="A1275" s="439"/>
      <c r="B1275" s="439"/>
      <c r="C1275" s="439"/>
      <c r="D1275" s="439"/>
      <c r="E1275" s="439"/>
      <c r="F1275" s="439"/>
      <c r="G1275" s="451" t="s">
        <v>3406</v>
      </c>
      <c r="Z1275" s="500"/>
      <c r="AA1275" s="500"/>
      <c r="AB1275" s="500"/>
      <c r="AC1275" s="500"/>
      <c r="AD1275" s="500"/>
      <c r="AE1275" s="500"/>
      <c r="AF1275" s="500"/>
      <c r="AG1275" s="500"/>
      <c r="AH1275" s="500"/>
      <c r="AI1275" s="500"/>
      <c r="AJ1275" s="500"/>
      <c r="AK1275" s="500"/>
      <c r="AL1275" s="500"/>
      <c r="AM1275" s="500"/>
      <c r="AN1275" s="500"/>
      <c r="AO1275" s="500"/>
      <c r="AP1275" s="500"/>
    </row>
    <row r="1276" spans="1:42" ht="16.5" customHeight="1">
      <c r="A1276" s="434"/>
      <c r="B1276" s="437" t="s">
        <v>3419</v>
      </c>
      <c r="C1276" s="513">
        <f>E1276+D1276+F1276</f>
        <v>11702.3</v>
      </c>
      <c r="D1276" s="513">
        <f>SUMIF(N1257:N1275,M1276,D1257:D1275)</f>
        <v>11702.3</v>
      </c>
      <c r="E1276" s="513">
        <f>SUMIF(N1257:N1275,M1276,E1257:E1275)</f>
        <v>0</v>
      </c>
      <c r="F1276" s="513">
        <f>SUMIF(N1257:N1275,M1276,F1257:F1275)</f>
        <v>0</v>
      </c>
      <c r="G1276" s="451" t="s">
        <v>3439</v>
      </c>
      <c r="M1276" s="501" t="s">
        <v>3416</v>
      </c>
      <c r="N1276" s="501" t="s">
        <v>3421</v>
      </c>
      <c r="Z1276" s="500"/>
      <c r="AA1276" s="500"/>
      <c r="AB1276" s="500"/>
      <c r="AC1276" s="500"/>
      <c r="AD1276" s="500"/>
      <c r="AE1276" s="500"/>
      <c r="AF1276" s="500"/>
      <c r="AG1276" s="500"/>
      <c r="AH1276" s="500"/>
      <c r="AI1276" s="500"/>
      <c r="AJ1276" s="500"/>
      <c r="AK1276" s="500"/>
      <c r="AL1276" s="500"/>
      <c r="AM1276" s="500"/>
      <c r="AN1276" s="500"/>
      <c r="AO1276" s="500"/>
      <c r="AP1276" s="500"/>
    </row>
    <row r="1277" spans="1:42" ht="16.5" customHeight="1">
      <c r="A1277" s="439"/>
      <c r="B1277" s="439"/>
      <c r="C1277" s="504"/>
      <c r="D1277" s="504"/>
      <c r="E1277" s="504"/>
      <c r="F1277" s="504"/>
      <c r="G1277" s="451" t="s">
        <v>3406</v>
      </c>
      <c r="Z1277" s="500"/>
      <c r="AA1277" s="500"/>
      <c r="AB1277" s="500"/>
      <c r="AC1277" s="500"/>
      <c r="AD1277" s="500"/>
      <c r="AE1277" s="500"/>
      <c r="AF1277" s="500"/>
      <c r="AG1277" s="500"/>
      <c r="AH1277" s="500"/>
      <c r="AI1277" s="500"/>
      <c r="AJ1277" s="500"/>
      <c r="AK1277" s="500"/>
      <c r="AL1277" s="500"/>
      <c r="AM1277" s="500"/>
      <c r="AN1277" s="500"/>
      <c r="AO1277" s="500"/>
      <c r="AP1277" s="500"/>
    </row>
    <row r="1278" spans="1:42" ht="16.5" customHeight="1">
      <c r="A1278" s="439"/>
      <c r="B1278" s="439"/>
      <c r="C1278" s="439"/>
      <c r="D1278" s="439"/>
      <c r="E1278" s="439"/>
      <c r="F1278" s="439"/>
      <c r="G1278" s="451" t="s">
        <v>3406</v>
      </c>
      <c r="Z1278" s="500"/>
      <c r="AA1278" s="500"/>
      <c r="AB1278" s="500"/>
      <c r="AC1278" s="500"/>
      <c r="AD1278" s="500"/>
      <c r="AE1278" s="500"/>
      <c r="AF1278" s="500"/>
      <c r="AG1278" s="500"/>
      <c r="AH1278" s="500"/>
      <c r="AI1278" s="500"/>
      <c r="AJ1278" s="500"/>
      <c r="AK1278" s="500"/>
      <c r="AL1278" s="500"/>
      <c r="AM1278" s="500"/>
      <c r="AN1278" s="500"/>
      <c r="AO1278" s="500"/>
      <c r="AP1278" s="500"/>
    </row>
    <row r="1279" spans="1:42" ht="16.5" customHeight="1">
      <c r="A1279" s="434"/>
      <c r="B1279" s="437" t="s">
        <v>3502</v>
      </c>
      <c r="C1279" s="439"/>
      <c r="D1279" s="439"/>
      <c r="E1279" s="439"/>
      <c r="F1279" s="439"/>
      <c r="G1279" s="451" t="s">
        <v>3503</v>
      </c>
      <c r="Z1279" s="500"/>
      <c r="AA1279" s="500"/>
      <c r="AB1279" s="500"/>
      <c r="AC1279" s="500"/>
      <c r="AD1279" s="500"/>
      <c r="AE1279" s="500"/>
      <c r="AF1279" s="500"/>
      <c r="AG1279" s="500"/>
      <c r="AH1279" s="500"/>
      <c r="AI1279" s="500"/>
      <c r="AJ1279" s="500"/>
      <c r="AK1279" s="500"/>
      <c r="AL1279" s="500"/>
      <c r="AM1279" s="500"/>
      <c r="AN1279" s="500"/>
      <c r="AO1279" s="500"/>
      <c r="AP1279" s="500"/>
    </row>
    <row r="1280" spans="1:42" ht="16.5" customHeight="1">
      <c r="A1280" s="439"/>
      <c r="B1280" s="439"/>
      <c r="C1280" s="439"/>
      <c r="D1280" s="439"/>
      <c r="E1280" s="439"/>
      <c r="F1280" s="439"/>
      <c r="G1280" s="451" t="s">
        <v>3406</v>
      </c>
      <c r="Z1280" s="500"/>
      <c r="AA1280" s="500"/>
      <c r="AB1280" s="500"/>
      <c r="AC1280" s="500"/>
      <c r="AD1280" s="500"/>
      <c r="AE1280" s="500"/>
      <c r="AF1280" s="500"/>
      <c r="AG1280" s="500"/>
      <c r="AH1280" s="500"/>
      <c r="AI1280" s="500"/>
      <c r="AJ1280" s="500"/>
      <c r="AK1280" s="500"/>
      <c r="AL1280" s="500"/>
      <c r="AM1280" s="500"/>
      <c r="AN1280" s="500"/>
      <c r="AO1280" s="500"/>
      <c r="AP1280" s="500"/>
    </row>
    <row r="1281" spans="1:42" ht="16.5" customHeight="1">
      <c r="A1281" s="434" t="s">
        <v>3504</v>
      </c>
      <c r="B1281" s="505" t="str">
        <f>"  유기질비료 수목이식·식재용 : "&amp;TEXT(I1281,"#,##0"&amp;IF(I1281&lt;&gt;INT(I1281),".###",""))&amp;" * "&amp;AA1281&amp;" KG  / Q1 = "&amp;TEXT(C1281,"#,##0.0")&amp;""</f>
        <v xml:space="preserve">  유기질비료 수목이식·식재용 : 500 * 200 KG  / Q1 = 1,333.3</v>
      </c>
      <c r="C1281" s="506">
        <f>E1281+D1281+F1281</f>
        <v>1333.3</v>
      </c>
      <c r="D1281" s="506">
        <f>IF(H1281=0,0,ROUNDDOWN(J1281*H1281,1))</f>
        <v>0</v>
      </c>
      <c r="E1281" s="506">
        <f>IF(H1281=0,0,ROUNDDOWN(K1281*H1281,1))</f>
        <v>1333.3</v>
      </c>
      <c r="F1281" s="506">
        <f>IF(H1281=0,0,ROUNDDOWN(L1281*H1281,1))</f>
        <v>0</v>
      </c>
      <c r="G1281" s="451" t="s">
        <v>3516</v>
      </c>
      <c r="H1281" s="507">
        <f>ROUNDUP(AE1281,14-LEN(ABS(INT(AE1281))))</f>
        <v>2.6666666666666998</v>
      </c>
      <c r="I1281" s="508">
        <f>K1281+J1281+L1281</f>
        <v>500</v>
      </c>
      <c r="K1281" s="509">
        <f>재료비목록표!E78</f>
        <v>500</v>
      </c>
      <c r="M1281" s="501" t="s">
        <v>3506</v>
      </c>
      <c r="N1281" s="501" t="s">
        <v>3416</v>
      </c>
      <c r="X1281" s="510" t="str">
        <f>재료비목록표!B78&amp;" / "&amp;재료비목록표!C78</f>
        <v>유기질비료 / 수목이식·식재용</v>
      </c>
      <c r="Y1281" s="433" t="str">
        <f ca="1">HYPERLINK("#"&amp;재료비목록표!G2&amp;"!A"&amp;ROW(재료비목록표!A78),"M01159 →")</f>
        <v>M01159 →</v>
      </c>
      <c r="Z1281" s="501" t="s">
        <v>3500</v>
      </c>
      <c r="AA1281" s="515">
        <v>200</v>
      </c>
      <c r="AB1281" s="501" t="s">
        <v>3428</v>
      </c>
      <c r="AC1281" s="512">
        <f>AB1262</f>
        <v>75</v>
      </c>
      <c r="AD1281" s="501" t="s">
        <v>3418</v>
      </c>
      <c r="AE1281" s="512">
        <f>1*AA1281/AB1262</f>
        <v>2.6666666666666665</v>
      </c>
      <c r="AF1281" s="500"/>
      <c r="AG1281" s="500"/>
      <c r="AH1281" s="500"/>
      <c r="AI1281" s="500"/>
      <c r="AJ1281" s="500"/>
      <c r="AK1281" s="500"/>
      <c r="AL1281" s="500"/>
      <c r="AM1281" s="500"/>
      <c r="AN1281" s="500"/>
      <c r="AO1281" s="500"/>
      <c r="AP1281" s="500"/>
    </row>
    <row r="1282" spans="1:42" ht="16.5" customHeight="1">
      <c r="A1282" s="439"/>
      <c r="B1282" s="439"/>
      <c r="C1282" s="439"/>
      <c r="D1282" s="439"/>
      <c r="E1282" s="439"/>
      <c r="F1282" s="439"/>
      <c r="G1282" s="451" t="s">
        <v>3406</v>
      </c>
      <c r="Z1282" s="500"/>
      <c r="AA1282" s="500"/>
      <c r="AB1282" s="500"/>
      <c r="AC1282" s="500"/>
      <c r="AD1282" s="500"/>
      <c r="AE1282" s="500"/>
      <c r="AF1282" s="500"/>
      <c r="AG1282" s="500"/>
      <c r="AH1282" s="500"/>
      <c r="AI1282" s="500"/>
      <c r="AJ1282" s="500"/>
      <c r="AK1282" s="500"/>
      <c r="AL1282" s="500"/>
      <c r="AM1282" s="500"/>
      <c r="AN1282" s="500"/>
      <c r="AO1282" s="500"/>
      <c r="AP1282" s="500"/>
    </row>
    <row r="1283" spans="1:42" ht="16.5" customHeight="1">
      <c r="A1283" s="434"/>
      <c r="B1283" s="437" t="s">
        <v>3419</v>
      </c>
      <c r="C1283" s="513">
        <f>E1283+D1283+F1283</f>
        <v>1333.3</v>
      </c>
      <c r="D1283" s="513">
        <f>SUMIF(N1277:N1282,M1283,D1277:D1282)</f>
        <v>0</v>
      </c>
      <c r="E1283" s="513">
        <f>SUMIF(N1277:N1282,M1283,E1277:E1282)</f>
        <v>1333.3</v>
      </c>
      <c r="F1283" s="513">
        <f>SUMIF(N1277:N1282,M1283,F1277:F1282)</f>
        <v>0</v>
      </c>
      <c r="G1283" s="451" t="s">
        <v>3439</v>
      </c>
      <c r="M1283" s="501" t="s">
        <v>3416</v>
      </c>
      <c r="N1283" s="501" t="s">
        <v>3421</v>
      </c>
      <c r="Z1283" s="500"/>
      <c r="AA1283" s="500"/>
      <c r="AB1283" s="500"/>
      <c r="AC1283" s="500"/>
      <c r="AD1283" s="500"/>
      <c r="AE1283" s="500"/>
      <c r="AF1283" s="500"/>
      <c r="AG1283" s="500"/>
      <c r="AH1283" s="500"/>
      <c r="AI1283" s="500"/>
      <c r="AJ1283" s="500"/>
      <c r="AK1283" s="500"/>
      <c r="AL1283" s="500"/>
      <c r="AM1283" s="500"/>
      <c r="AN1283" s="500"/>
      <c r="AO1283" s="500"/>
      <c r="AP1283" s="500"/>
    </row>
    <row r="1284" spans="1:42" ht="16.5" customHeight="1">
      <c r="A1284" s="439"/>
      <c r="B1284" s="439"/>
      <c r="C1284" s="504"/>
      <c r="D1284" s="504"/>
      <c r="E1284" s="504"/>
      <c r="F1284" s="504"/>
      <c r="G1284" s="451" t="s">
        <v>3406</v>
      </c>
      <c r="Z1284" s="500"/>
      <c r="AA1284" s="500"/>
      <c r="AB1284" s="500"/>
      <c r="AC1284" s="500"/>
      <c r="AD1284" s="500"/>
      <c r="AE1284" s="500"/>
      <c r="AF1284" s="500"/>
      <c r="AG1284" s="500"/>
      <c r="AH1284" s="500"/>
      <c r="AI1284" s="500"/>
      <c r="AJ1284" s="500"/>
      <c r="AK1284" s="500"/>
      <c r="AL1284" s="500"/>
      <c r="AM1284" s="500"/>
      <c r="AN1284" s="500"/>
      <c r="AO1284" s="500"/>
      <c r="AP1284" s="500"/>
    </row>
    <row r="1285" spans="1:42" ht="16.5" customHeight="1">
      <c r="A1285" s="434"/>
      <c r="B1285" s="505" t="str">
        <f>"  산지할증 : "&amp;TEXT(I1285,"#,##0.0")&amp;" * "&amp;AA1285&amp;" %  = "&amp;TEXT(C1285,"#,##0.0")&amp;""</f>
        <v xml:space="preserve">  산지할증 : 11,702.3 * 25 %  = 2,925.5</v>
      </c>
      <c r="C1285" s="506">
        <f>E1285+D1285+F1285</f>
        <v>2925.5</v>
      </c>
      <c r="D1285" s="506">
        <f>IF(H1285=0,0,ROUNDDOWN(J1285*H1285/100,1))</f>
        <v>2925.5</v>
      </c>
      <c r="E1285" s="506">
        <f>IF(H1285=0,0,ROUNDDOWN(K1285*H1285/100,1))</f>
        <v>0</v>
      </c>
      <c r="F1285" s="506">
        <f>IF(H1285=0,0,ROUNDDOWN(L1285*H1285/100,1))</f>
        <v>0</v>
      </c>
      <c r="G1285" s="451" t="s">
        <v>5592</v>
      </c>
      <c r="H1285" s="507">
        <f>ROUNDUP(AC1285,14-LEN(ABS(INT(AC1285))))</f>
        <v>25</v>
      </c>
      <c r="I1285" s="508">
        <f>K1285+J1285+L1285</f>
        <v>11702.3</v>
      </c>
      <c r="J1285" s="508">
        <f>D1276+D1283+SUMIF(N1284:N1284,N1285,D1284:D1284)</f>
        <v>11702.3</v>
      </c>
      <c r="K1285" s="456">
        <v>0</v>
      </c>
      <c r="L1285" s="456">
        <v>0</v>
      </c>
      <c r="M1285" s="501" t="s">
        <v>4208</v>
      </c>
      <c r="N1285" s="501" t="s">
        <v>3416</v>
      </c>
      <c r="Z1285" s="501" t="s">
        <v>3500</v>
      </c>
      <c r="AA1285" s="515">
        <v>25</v>
      </c>
      <c r="AB1285" s="501" t="s">
        <v>3418</v>
      </c>
      <c r="AC1285" s="512">
        <f>1*AA1285</f>
        <v>25</v>
      </c>
      <c r="AD1285" s="500"/>
      <c r="AE1285" s="500"/>
      <c r="AF1285" s="500"/>
      <c r="AG1285" s="500"/>
      <c r="AH1285" s="500"/>
      <c r="AI1285" s="500"/>
      <c r="AJ1285" s="500"/>
      <c r="AK1285" s="500"/>
      <c r="AL1285" s="500"/>
      <c r="AM1285" s="500"/>
      <c r="AN1285" s="500"/>
      <c r="AO1285" s="500"/>
      <c r="AP1285" s="500"/>
    </row>
    <row r="1286" spans="1:42" ht="16.5" customHeight="1">
      <c r="A1286" s="439"/>
      <c r="B1286" s="439"/>
      <c r="C1286" s="439"/>
      <c r="D1286" s="439"/>
      <c r="E1286" s="439"/>
      <c r="F1286" s="439"/>
      <c r="G1286" s="451" t="s">
        <v>3406</v>
      </c>
      <c r="Z1286" s="500"/>
      <c r="AA1286" s="500"/>
      <c r="AB1286" s="500"/>
      <c r="AC1286" s="500"/>
      <c r="AD1286" s="500"/>
      <c r="AE1286" s="500"/>
      <c r="AF1286" s="500"/>
      <c r="AG1286" s="500"/>
      <c r="AH1286" s="500"/>
      <c r="AI1286" s="500"/>
      <c r="AJ1286" s="500"/>
      <c r="AK1286" s="500"/>
      <c r="AL1286" s="500"/>
      <c r="AM1286" s="500"/>
      <c r="AN1286" s="500"/>
      <c r="AO1286" s="500"/>
      <c r="AP1286" s="500"/>
    </row>
    <row r="1287" spans="1:42" ht="16.5" customHeight="1">
      <c r="A1287" s="434"/>
      <c r="B1287" s="437" t="s">
        <v>3419</v>
      </c>
      <c r="C1287" s="513">
        <f>E1287+D1287+F1287</f>
        <v>2925.5</v>
      </c>
      <c r="D1287" s="513">
        <f>SUMIF(N1284:N1286,M1287,D1284:D1286)</f>
        <v>2925.5</v>
      </c>
      <c r="E1287" s="513">
        <f>SUMIF(N1284:N1286,M1287,E1284:E1286)</f>
        <v>0</v>
      </c>
      <c r="F1287" s="513">
        <f>SUMIF(N1284:N1286,M1287,F1284:F1286)</f>
        <v>0</v>
      </c>
      <c r="G1287" s="451" t="s">
        <v>3439</v>
      </c>
      <c r="M1287" s="501" t="s">
        <v>3416</v>
      </c>
      <c r="N1287" s="501" t="s">
        <v>3421</v>
      </c>
      <c r="Z1287" s="500"/>
      <c r="AA1287" s="500"/>
      <c r="AB1287" s="500"/>
      <c r="AC1287" s="500"/>
      <c r="AD1287" s="500"/>
      <c r="AE1287" s="500"/>
      <c r="AF1287" s="500"/>
      <c r="AG1287" s="500"/>
      <c r="AH1287" s="500"/>
      <c r="AI1287" s="500"/>
      <c r="AJ1287" s="500"/>
      <c r="AK1287" s="500"/>
      <c r="AL1287" s="500"/>
      <c r="AM1287" s="500"/>
      <c r="AN1287" s="500"/>
      <c r="AO1287" s="500"/>
      <c r="AP1287" s="500"/>
    </row>
    <row r="1288" spans="1:42" ht="16.5" customHeight="1">
      <c r="A1288" s="439"/>
      <c r="B1288" s="439"/>
      <c r="C1288" s="504"/>
      <c r="D1288" s="504"/>
      <c r="E1288" s="504"/>
      <c r="F1288" s="504"/>
      <c r="G1288" s="451" t="s">
        <v>3406</v>
      </c>
      <c r="Z1288" s="500"/>
      <c r="AA1288" s="500"/>
      <c r="AB1288" s="500"/>
      <c r="AC1288" s="500"/>
      <c r="AD1288" s="500"/>
      <c r="AE1288" s="500"/>
      <c r="AF1288" s="500"/>
      <c r="AG1288" s="500"/>
      <c r="AH1288" s="500"/>
      <c r="AI1288" s="500"/>
      <c r="AJ1288" s="500"/>
      <c r="AK1288" s="500"/>
      <c r="AL1288" s="500"/>
      <c r="AM1288" s="500"/>
      <c r="AN1288" s="500"/>
      <c r="AO1288" s="500"/>
      <c r="AP1288" s="500"/>
    </row>
    <row r="1289" spans="1:42" ht="16.5" customHeight="1">
      <c r="A1289" s="434"/>
      <c r="B1289" s="437" t="s">
        <v>3440</v>
      </c>
      <c r="C1289" s="513">
        <f>E1289+D1289+F1289</f>
        <v>15961.099999999999</v>
      </c>
      <c r="D1289" s="513">
        <f>SUMIF(N1257:N1288,M1289,D1257:D1288)</f>
        <v>14627.8</v>
      </c>
      <c r="E1289" s="513">
        <f>SUMIF(N1257:N1288,M1289,E1257:E1288)</f>
        <v>1333.3</v>
      </c>
      <c r="F1289" s="513">
        <f>SUMIF(N1257:N1288,M1289,F1257:F1288)</f>
        <v>0</v>
      </c>
      <c r="G1289" s="451" t="s">
        <v>3441</v>
      </c>
      <c r="M1289" s="501" t="s">
        <v>3421</v>
      </c>
      <c r="N1289" s="501" t="s">
        <v>2354</v>
      </c>
      <c r="Z1289" s="500"/>
      <c r="AA1289" s="500"/>
      <c r="AB1289" s="500"/>
      <c r="AC1289" s="500"/>
      <c r="AD1289" s="500"/>
      <c r="AE1289" s="500"/>
      <c r="AF1289" s="500"/>
      <c r="AG1289" s="500"/>
      <c r="AH1289" s="500"/>
      <c r="AI1289" s="500"/>
      <c r="AJ1289" s="500"/>
      <c r="AK1289" s="500"/>
      <c r="AL1289" s="500"/>
      <c r="AM1289" s="500"/>
      <c r="AN1289" s="500"/>
      <c r="AO1289" s="500"/>
      <c r="AP1289" s="500"/>
    </row>
    <row r="1290" spans="1:42" ht="16.5" customHeight="1">
      <c r="A1290" s="439"/>
      <c r="B1290" s="439"/>
      <c r="C1290" s="504"/>
      <c r="D1290" s="504"/>
      <c r="E1290" s="504"/>
      <c r="F1290" s="504"/>
      <c r="G1290" s="451" t="s">
        <v>3413</v>
      </c>
      <c r="Z1290" s="500"/>
      <c r="AA1290" s="500"/>
      <c r="AB1290" s="500"/>
      <c r="AC1290" s="500"/>
      <c r="AD1290" s="500"/>
      <c r="AE1290" s="500"/>
      <c r="AF1290" s="500"/>
      <c r="AG1290" s="500"/>
      <c r="AH1290" s="500"/>
      <c r="AI1290" s="500"/>
      <c r="AJ1290" s="500"/>
      <c r="AK1290" s="500"/>
      <c r="AL1290" s="500"/>
      <c r="AM1290" s="500"/>
      <c r="AN1290" s="500"/>
      <c r="AO1290" s="500"/>
      <c r="AP1290" s="500"/>
    </row>
    <row r="1291" spans="1:42" ht="16.5" customHeight="1">
      <c r="A1291" s="439"/>
      <c r="B1291" s="439"/>
      <c r="C1291" s="439"/>
      <c r="D1291" s="439"/>
      <c r="E1291" s="439"/>
      <c r="F1291" s="439"/>
      <c r="Z1291" s="500"/>
      <c r="AA1291" s="500"/>
      <c r="AB1291" s="500"/>
      <c r="AC1291" s="500"/>
      <c r="AD1291" s="500"/>
      <c r="AE1291" s="500"/>
      <c r="AF1291" s="500"/>
      <c r="AG1291" s="500"/>
      <c r="AH1291" s="500"/>
      <c r="AI1291" s="500"/>
      <c r="AJ1291" s="500"/>
      <c r="AK1291" s="500"/>
      <c r="AL1291" s="500"/>
      <c r="AM1291" s="500"/>
      <c r="AN1291" s="500"/>
      <c r="AO1291" s="500"/>
      <c r="AP1291" s="500"/>
    </row>
    <row r="1292" spans="1:42" ht="16.5" customHeight="1">
      <c r="A1292" s="439"/>
      <c r="B1292" s="439"/>
      <c r="C1292" s="439"/>
      <c r="D1292" s="439"/>
      <c r="E1292" s="439"/>
      <c r="F1292" s="439"/>
      <c r="Z1292" s="500"/>
      <c r="AA1292" s="500"/>
      <c r="AB1292" s="500"/>
      <c r="AC1292" s="500"/>
      <c r="AD1292" s="500"/>
      <c r="AE1292" s="500"/>
      <c r="AF1292" s="500"/>
      <c r="AG1292" s="500"/>
      <c r="AH1292" s="500"/>
      <c r="AI1292" s="500"/>
      <c r="AJ1292" s="500"/>
      <c r="AK1292" s="500"/>
      <c r="AL1292" s="500"/>
      <c r="AM1292" s="500"/>
      <c r="AN1292" s="500"/>
      <c r="AO1292" s="500"/>
      <c r="AP1292" s="500"/>
    </row>
    <row r="1293" spans="1:42" ht="16.5" customHeight="1">
      <c r="A1293" s="439"/>
      <c r="B1293" s="439"/>
      <c r="C1293" s="439"/>
      <c r="D1293" s="439"/>
      <c r="E1293" s="439"/>
      <c r="F1293" s="439"/>
      <c r="Z1293" s="500"/>
      <c r="AA1293" s="500"/>
      <c r="AB1293" s="500"/>
      <c r="AC1293" s="500"/>
      <c r="AD1293" s="500"/>
      <c r="AE1293" s="500"/>
      <c r="AF1293" s="500"/>
      <c r="AG1293" s="500"/>
      <c r="AH1293" s="500"/>
      <c r="AI1293" s="500"/>
      <c r="AJ1293" s="500"/>
      <c r="AK1293" s="500"/>
      <c r="AL1293" s="500"/>
      <c r="AM1293" s="500"/>
      <c r="AN1293" s="500"/>
      <c r="AO1293" s="500"/>
      <c r="AP1293" s="500"/>
    </row>
    <row r="1294" spans="1:42" ht="16.5" customHeight="1">
      <c r="A1294" s="439"/>
      <c r="B1294" s="439"/>
      <c r="C1294" s="439"/>
      <c r="D1294" s="439"/>
      <c r="E1294" s="439"/>
      <c r="F1294" s="439"/>
      <c r="Z1294" s="500"/>
      <c r="AA1294" s="500"/>
      <c r="AB1294" s="500"/>
      <c r="AC1294" s="500"/>
      <c r="AD1294" s="500"/>
      <c r="AE1294" s="500"/>
      <c r="AF1294" s="500"/>
      <c r="AG1294" s="500"/>
      <c r="AH1294" s="500"/>
      <c r="AI1294" s="500"/>
      <c r="AJ1294" s="500"/>
      <c r="AK1294" s="500"/>
      <c r="AL1294" s="500"/>
      <c r="AM1294" s="500"/>
      <c r="AN1294" s="500"/>
      <c r="AO1294" s="500"/>
      <c r="AP1294" s="500"/>
    </row>
    <row r="1295" spans="1:42" ht="16.5" customHeight="1">
      <c r="A1295" s="439"/>
      <c r="B1295" s="439"/>
      <c r="C1295" s="439"/>
      <c r="D1295" s="439"/>
      <c r="E1295" s="439"/>
      <c r="F1295" s="439"/>
      <c r="Z1295" s="500"/>
      <c r="AA1295" s="500"/>
      <c r="AB1295" s="500"/>
      <c r="AC1295" s="500"/>
      <c r="AD1295" s="500"/>
      <c r="AE1295" s="500"/>
      <c r="AF1295" s="500"/>
      <c r="AG1295" s="500"/>
      <c r="AH1295" s="500"/>
      <c r="AI1295" s="500"/>
      <c r="AJ1295" s="500"/>
      <c r="AK1295" s="500"/>
      <c r="AL1295" s="500"/>
      <c r="AM1295" s="500"/>
      <c r="AN1295" s="500"/>
      <c r="AO1295" s="500"/>
      <c r="AP1295" s="500"/>
    </row>
    <row r="1296" spans="1:42" ht="16.5" customHeight="1">
      <c r="A1296" s="439"/>
      <c r="B1296" s="439"/>
      <c r="C1296" s="439"/>
      <c r="D1296" s="439"/>
      <c r="E1296" s="439"/>
      <c r="F1296" s="439"/>
      <c r="Z1296" s="500"/>
      <c r="AA1296" s="500"/>
      <c r="AB1296" s="500"/>
      <c r="AC1296" s="500"/>
      <c r="AD1296" s="500"/>
      <c r="AE1296" s="500"/>
      <c r="AF1296" s="500"/>
      <c r="AG1296" s="500"/>
      <c r="AH1296" s="500"/>
      <c r="AI1296" s="500"/>
      <c r="AJ1296" s="500"/>
      <c r="AK1296" s="500"/>
      <c r="AL1296" s="500"/>
      <c r="AM1296" s="500"/>
      <c r="AN1296" s="500"/>
      <c r="AO1296" s="500"/>
      <c r="AP1296" s="500"/>
    </row>
    <row r="1297" spans="1:42" ht="16.5" customHeight="1">
      <c r="A1297" s="439"/>
      <c r="B1297" s="439"/>
      <c r="C1297" s="439"/>
      <c r="D1297" s="439"/>
      <c r="E1297" s="439"/>
      <c r="F1297" s="439"/>
      <c r="Z1297" s="500"/>
      <c r="AA1297" s="500"/>
      <c r="AB1297" s="500"/>
      <c r="AC1297" s="500"/>
      <c r="AD1297" s="500"/>
      <c r="AE1297" s="500"/>
      <c r="AF1297" s="500"/>
      <c r="AG1297" s="500"/>
      <c r="AH1297" s="500"/>
      <c r="AI1297" s="500"/>
      <c r="AJ1297" s="500"/>
      <c r="AK1297" s="500"/>
      <c r="AL1297" s="500"/>
      <c r="AM1297" s="500"/>
      <c r="AN1297" s="500"/>
      <c r="AO1297" s="500"/>
      <c r="AP1297" s="500"/>
    </row>
    <row r="1298" spans="1:42" ht="16.5" customHeight="1">
      <c r="A1298" s="439"/>
      <c r="B1298" s="439"/>
      <c r="C1298" s="439"/>
      <c r="D1298" s="439"/>
      <c r="E1298" s="439"/>
      <c r="F1298" s="439"/>
      <c r="Z1298" s="500"/>
      <c r="AA1298" s="500"/>
      <c r="AB1298" s="500"/>
      <c r="AC1298" s="500"/>
      <c r="AD1298" s="500"/>
      <c r="AE1298" s="500"/>
      <c r="AF1298" s="500"/>
      <c r="AG1298" s="500"/>
      <c r="AH1298" s="500"/>
      <c r="AI1298" s="500"/>
      <c r="AJ1298" s="500"/>
      <c r="AK1298" s="500"/>
      <c r="AL1298" s="500"/>
      <c r="AM1298" s="500"/>
      <c r="AN1298" s="500"/>
      <c r="AO1298" s="500"/>
      <c r="AP1298" s="500"/>
    </row>
    <row r="1299" spans="1:42" ht="16.5" customHeight="1">
      <c r="A1299" s="439"/>
      <c r="B1299" s="439"/>
      <c r="C1299" s="439"/>
      <c r="D1299" s="439"/>
      <c r="E1299" s="439"/>
      <c r="F1299" s="439"/>
      <c r="Z1299" s="500"/>
      <c r="AA1299" s="500"/>
      <c r="AB1299" s="500"/>
      <c r="AC1299" s="500"/>
      <c r="AD1299" s="500"/>
      <c r="AE1299" s="500"/>
      <c r="AF1299" s="500"/>
      <c r="AG1299" s="500"/>
      <c r="AH1299" s="500"/>
      <c r="AI1299" s="500"/>
      <c r="AJ1299" s="500"/>
      <c r="AK1299" s="500"/>
      <c r="AL1299" s="500"/>
      <c r="AM1299" s="500"/>
      <c r="AN1299" s="500"/>
      <c r="AO1299" s="500"/>
      <c r="AP1299" s="500"/>
    </row>
    <row r="1300" spans="1:42" ht="16.5" customHeight="1">
      <c r="A1300" s="439"/>
      <c r="B1300" s="439"/>
      <c r="C1300" s="439"/>
      <c r="D1300" s="439"/>
      <c r="E1300" s="439"/>
      <c r="F1300" s="439"/>
      <c r="Z1300" s="500"/>
      <c r="AA1300" s="500"/>
      <c r="AB1300" s="500"/>
      <c r="AC1300" s="500"/>
      <c r="AD1300" s="500"/>
      <c r="AE1300" s="500"/>
      <c r="AF1300" s="500"/>
      <c r="AG1300" s="500"/>
      <c r="AH1300" s="500"/>
      <c r="AI1300" s="500"/>
      <c r="AJ1300" s="500"/>
      <c r="AK1300" s="500"/>
      <c r="AL1300" s="500"/>
      <c r="AM1300" s="500"/>
      <c r="AN1300" s="500"/>
      <c r="AO1300" s="500"/>
      <c r="AP1300" s="500"/>
    </row>
    <row r="1301" spans="1:42" ht="16.5" customHeight="1">
      <c r="A1301" s="439"/>
      <c r="B1301" s="439"/>
      <c r="C1301" s="439"/>
      <c r="D1301" s="439"/>
      <c r="E1301" s="439"/>
      <c r="F1301" s="439"/>
      <c r="Z1301" s="500"/>
      <c r="AA1301" s="500"/>
      <c r="AB1301" s="500"/>
      <c r="AC1301" s="500"/>
      <c r="AD1301" s="500"/>
      <c r="AE1301" s="500"/>
      <c r="AF1301" s="500"/>
      <c r="AG1301" s="500"/>
      <c r="AH1301" s="500"/>
      <c r="AI1301" s="500"/>
      <c r="AJ1301" s="500"/>
      <c r="AK1301" s="500"/>
      <c r="AL1301" s="500"/>
      <c r="AM1301" s="500"/>
      <c r="AN1301" s="500"/>
      <c r="AO1301" s="500"/>
      <c r="AP1301" s="500"/>
    </row>
    <row r="1302" spans="1:42" ht="16.5" customHeight="1">
      <c r="A1302" s="439"/>
      <c r="B1302" s="439"/>
      <c r="C1302" s="439"/>
      <c r="D1302" s="439"/>
      <c r="E1302" s="439"/>
      <c r="F1302" s="439"/>
      <c r="Z1302" s="500"/>
      <c r="AA1302" s="500"/>
      <c r="AB1302" s="500"/>
      <c r="AC1302" s="500"/>
      <c r="AD1302" s="500"/>
      <c r="AE1302" s="500"/>
      <c r="AF1302" s="500"/>
      <c r="AG1302" s="500"/>
      <c r="AH1302" s="500"/>
      <c r="AI1302" s="500"/>
      <c r="AJ1302" s="500"/>
      <c r="AK1302" s="500"/>
      <c r="AL1302" s="500"/>
      <c r="AM1302" s="500"/>
      <c r="AN1302" s="500"/>
      <c r="AO1302" s="500"/>
      <c r="AP1302" s="500"/>
    </row>
    <row r="1303" spans="1:42" ht="16.5" customHeight="1">
      <c r="A1303" s="497"/>
      <c r="B1303" s="497"/>
      <c r="C1303" s="497"/>
      <c r="D1303" s="497"/>
      <c r="E1303" s="497"/>
      <c r="F1303" s="497"/>
      <c r="Z1303" s="500"/>
      <c r="AA1303" s="500"/>
      <c r="AB1303" s="500"/>
      <c r="AC1303" s="500"/>
      <c r="AD1303" s="500"/>
      <c r="AE1303" s="500"/>
      <c r="AF1303" s="500"/>
      <c r="AG1303" s="500"/>
      <c r="AH1303" s="500"/>
      <c r="AI1303" s="500"/>
      <c r="AJ1303" s="500"/>
      <c r="AK1303" s="500"/>
      <c r="AL1303" s="500"/>
      <c r="AM1303" s="500"/>
      <c r="AN1303" s="500"/>
      <c r="AO1303" s="500"/>
      <c r="AP1303" s="500"/>
    </row>
    <row r="1304" spans="1:42" ht="16.5" customHeight="1">
      <c r="A1304" s="616" t="s">
        <v>3487</v>
      </c>
      <c r="B1304" s="605"/>
      <c r="C1304" s="446">
        <f>E1304+D1304+F1304</f>
        <v>15960</v>
      </c>
      <c r="D1304" s="453">
        <f>ROUNDDOWN(SUMIF(N1257:N1290,M1304,D1257:D1290),0)</f>
        <v>14627</v>
      </c>
      <c r="E1304" s="454">
        <f>ROUNDDOWN(SUMIF(N1257:N1290,M1304,E1257:E1290),0)</f>
        <v>1333</v>
      </c>
      <c r="F1304" s="446">
        <f>ROUNDDOWN(SUMIF(N1257:N1290,M1304,F1257:F1290),0)</f>
        <v>0</v>
      </c>
      <c r="M1304" s="501" t="s">
        <v>2354</v>
      </c>
      <c r="Z1304" s="500"/>
      <c r="AA1304" s="500"/>
      <c r="AB1304" s="500"/>
      <c r="AC1304" s="500"/>
      <c r="AD1304" s="500"/>
      <c r="AE1304" s="500"/>
      <c r="AF1304" s="500"/>
      <c r="AG1304" s="500"/>
      <c r="AH1304" s="500"/>
      <c r="AI1304" s="500"/>
      <c r="AJ1304" s="500"/>
      <c r="AK1304" s="500"/>
      <c r="AL1304" s="500"/>
      <c r="AM1304" s="500"/>
      <c r="AN1304" s="500"/>
      <c r="AO1304" s="500"/>
      <c r="AP1304" s="500"/>
    </row>
    <row r="1305" spans="1:42" ht="16.5" customHeight="1">
      <c r="A1305" s="502"/>
      <c r="B1305" s="503" t="s">
        <v>5376</v>
      </c>
      <c r="C1305" s="615">
        <f>C1354</f>
        <v>21856</v>
      </c>
      <c r="D1305" s="615">
        <f>D1354</f>
        <v>19947</v>
      </c>
      <c r="E1305" s="615">
        <f>E1354</f>
        <v>1909</v>
      </c>
      <c r="F1305" s="615">
        <f>F1354</f>
        <v>0</v>
      </c>
      <c r="G1305" s="486" t="str">
        <f>HYPERLINK("#G"&amp;ROW(G1340),"_x0005_`BDCOD|D01329_x0007_`POSS|"&amp;ROW(G1307)&amp;"_x0007_`POSE|"&amp;ROW(G1340)&amp;"_x0007_`")</f>
        <v>_x0005_`BDCOD|D01329_x0007_`POSS|1307_x0007_`POSE|1340_x0007_`</v>
      </c>
      <c r="Z1305" s="500"/>
      <c r="AA1305" s="500"/>
      <c r="AB1305" s="500"/>
      <c r="AC1305" s="500"/>
      <c r="AD1305" s="500"/>
      <c r="AE1305" s="500"/>
      <c r="AF1305" s="500"/>
      <c r="AG1305" s="500"/>
      <c r="AH1305" s="500"/>
      <c r="AI1305" s="500"/>
      <c r="AJ1305" s="500"/>
      <c r="AK1305" s="500"/>
      <c r="AL1305" s="500"/>
      <c r="AM1305" s="500"/>
      <c r="AN1305" s="500"/>
      <c r="AO1305" s="500"/>
      <c r="AP1305" s="500"/>
    </row>
    <row r="1306" spans="1:42" ht="16.5" customHeight="1">
      <c r="A1306" s="485"/>
      <c r="B1306" s="503" t="s">
        <v>5603</v>
      </c>
      <c r="C1306" s="593"/>
      <c r="D1306" s="593"/>
      <c r="E1306" s="593"/>
      <c r="F1306" s="593"/>
      <c r="M1306" s="501" t="s">
        <v>5376</v>
      </c>
      <c r="Z1306" s="500"/>
      <c r="AA1306" s="500"/>
      <c r="AB1306" s="500"/>
      <c r="AC1306" s="500"/>
      <c r="AD1306" s="500"/>
      <c r="AE1306" s="500"/>
      <c r="AF1306" s="500"/>
      <c r="AG1306" s="500"/>
      <c r="AH1306" s="500"/>
      <c r="AI1306" s="500"/>
      <c r="AJ1306" s="500"/>
      <c r="AK1306" s="500"/>
      <c r="AL1306" s="500"/>
      <c r="AM1306" s="500"/>
      <c r="AN1306" s="500"/>
      <c r="AO1306" s="500"/>
      <c r="AP1306" s="500"/>
    </row>
    <row r="1307" spans="1:42" ht="16.5" customHeight="1">
      <c r="A1307" s="439"/>
      <c r="B1307" s="439"/>
      <c r="C1307" s="504"/>
      <c r="D1307" s="504"/>
      <c r="E1307" s="504"/>
      <c r="F1307" s="504"/>
      <c r="G1307" s="451" t="s">
        <v>3406</v>
      </c>
      <c r="Z1307" s="500"/>
      <c r="AA1307" s="500"/>
      <c r="AB1307" s="500"/>
      <c r="AC1307" s="500"/>
      <c r="AD1307" s="500"/>
      <c r="AE1307" s="500"/>
      <c r="AF1307" s="500"/>
      <c r="AG1307" s="500"/>
      <c r="AH1307" s="500"/>
      <c r="AI1307" s="500"/>
      <c r="AJ1307" s="500"/>
      <c r="AK1307" s="500"/>
      <c r="AL1307" s="500"/>
      <c r="AM1307" s="500"/>
      <c r="AN1307" s="500"/>
      <c r="AO1307" s="500"/>
      <c r="AP1307" s="500"/>
    </row>
    <row r="1308" spans="1:42" ht="16.5" customHeight="1">
      <c r="A1308" s="434"/>
      <c r="B1308" s="437" t="s">
        <v>3537</v>
      </c>
      <c r="C1308" s="439"/>
      <c r="D1308" s="439"/>
      <c r="E1308" s="439"/>
      <c r="F1308" s="439"/>
      <c r="G1308" s="451" t="s">
        <v>3538</v>
      </c>
      <c r="Z1308" s="500"/>
      <c r="AA1308" s="500"/>
      <c r="AB1308" s="500"/>
      <c r="AC1308" s="500"/>
      <c r="AD1308" s="500"/>
      <c r="AE1308" s="500"/>
      <c r="AF1308" s="500"/>
      <c r="AG1308" s="500"/>
      <c r="AH1308" s="500"/>
      <c r="AI1308" s="500"/>
      <c r="AJ1308" s="500"/>
      <c r="AK1308" s="500"/>
      <c r="AL1308" s="500"/>
      <c r="AM1308" s="500"/>
      <c r="AN1308" s="500"/>
      <c r="AO1308" s="500"/>
      <c r="AP1308" s="500"/>
    </row>
    <row r="1309" spans="1:42" ht="16.5" customHeight="1">
      <c r="A1309" s="439"/>
      <c r="B1309" s="439"/>
      <c r="C1309" s="439"/>
      <c r="D1309" s="439"/>
      <c r="E1309" s="439"/>
      <c r="F1309" s="439"/>
      <c r="G1309" s="451" t="s">
        <v>3406</v>
      </c>
      <c r="Z1309" s="500"/>
      <c r="AA1309" s="500"/>
      <c r="AB1309" s="500"/>
      <c r="AC1309" s="500"/>
      <c r="AD1309" s="500"/>
      <c r="AE1309" s="500"/>
      <c r="AF1309" s="500"/>
      <c r="AG1309" s="500"/>
      <c r="AH1309" s="500"/>
      <c r="AI1309" s="500"/>
      <c r="AJ1309" s="500"/>
      <c r="AK1309" s="500"/>
      <c r="AL1309" s="500"/>
      <c r="AM1309" s="500"/>
      <c r="AN1309" s="500"/>
      <c r="AO1309" s="500"/>
      <c r="AP1309" s="500"/>
    </row>
    <row r="1310" spans="1:42" ht="16.5" customHeight="1">
      <c r="A1310" s="434"/>
      <c r="B1310" s="437" t="s">
        <v>3525</v>
      </c>
      <c r="C1310" s="439"/>
      <c r="D1310" s="439"/>
      <c r="E1310" s="439"/>
      <c r="F1310" s="439"/>
      <c r="G1310" s="451" t="s">
        <v>3526</v>
      </c>
      <c r="Z1310" s="500"/>
      <c r="AA1310" s="500"/>
      <c r="AB1310" s="500"/>
      <c r="AC1310" s="500"/>
      <c r="AD1310" s="500"/>
      <c r="AE1310" s="500"/>
      <c r="AF1310" s="500"/>
      <c r="AG1310" s="500"/>
      <c r="AH1310" s="500"/>
      <c r="AI1310" s="500"/>
      <c r="AJ1310" s="500"/>
      <c r="AK1310" s="500"/>
      <c r="AL1310" s="500"/>
      <c r="AM1310" s="500"/>
      <c r="AN1310" s="500"/>
      <c r="AO1310" s="500"/>
      <c r="AP1310" s="500"/>
    </row>
    <row r="1311" spans="1:42" ht="16.5" customHeight="1">
      <c r="A1311" s="439"/>
      <c r="B1311" s="439"/>
      <c r="C1311" s="439"/>
      <c r="D1311" s="439"/>
      <c r="E1311" s="439"/>
      <c r="F1311" s="439"/>
      <c r="G1311" s="451" t="s">
        <v>3406</v>
      </c>
      <c r="Z1311" s="500"/>
      <c r="AA1311" s="500"/>
      <c r="AB1311" s="500"/>
      <c r="AC1311" s="500"/>
      <c r="AD1311" s="500"/>
      <c r="AE1311" s="500"/>
      <c r="AF1311" s="500"/>
      <c r="AG1311" s="500"/>
      <c r="AH1311" s="500"/>
      <c r="AI1311" s="500"/>
      <c r="AJ1311" s="500"/>
      <c r="AK1311" s="500"/>
      <c r="AL1311" s="500"/>
      <c r="AM1311" s="500"/>
      <c r="AN1311" s="500"/>
      <c r="AO1311" s="500"/>
      <c r="AP1311" s="500"/>
    </row>
    <row r="1312" spans="1:42" ht="16.5" customHeight="1">
      <c r="A1312" s="434"/>
      <c r="B1312" s="437" t="str">
        <f>" 일당 작업량 :   Q1 = "&amp;Z1312&amp;"  주 "</f>
        <v xml:space="preserve"> 일당 작업량 :   Q1 = 55  주 </v>
      </c>
      <c r="C1312" s="439"/>
      <c r="D1312" s="439"/>
      <c r="E1312" s="439"/>
      <c r="F1312" s="439"/>
      <c r="G1312" s="451" t="s">
        <v>3539</v>
      </c>
      <c r="Z1312" s="515">
        <v>55</v>
      </c>
      <c r="AA1312" s="501" t="s">
        <v>3418</v>
      </c>
      <c r="AB1312" s="512">
        <f>Z1312</f>
        <v>55</v>
      </c>
      <c r="AC1312" s="500"/>
      <c r="AD1312" s="500"/>
      <c r="AE1312" s="500"/>
      <c r="AF1312" s="500"/>
      <c r="AG1312" s="500"/>
      <c r="AH1312" s="500"/>
      <c r="AI1312" s="500"/>
      <c r="AJ1312" s="500"/>
      <c r="AK1312" s="500"/>
      <c r="AL1312" s="500"/>
      <c r="AM1312" s="500"/>
      <c r="AN1312" s="500"/>
      <c r="AO1312" s="500"/>
      <c r="AP1312" s="500"/>
    </row>
    <row r="1313" spans="1:42" ht="16.5" customHeight="1">
      <c r="A1313" s="439"/>
      <c r="B1313" s="439"/>
      <c r="C1313" s="439"/>
      <c r="D1313" s="439"/>
      <c r="E1313" s="439"/>
      <c r="F1313" s="439"/>
      <c r="G1313" s="451" t="s">
        <v>3406</v>
      </c>
      <c r="Z1313" s="500"/>
      <c r="AA1313" s="500"/>
      <c r="AB1313" s="500"/>
      <c r="AC1313" s="500"/>
      <c r="AD1313" s="500"/>
      <c r="AE1313" s="500"/>
      <c r="AF1313" s="500"/>
      <c r="AG1313" s="500"/>
      <c r="AH1313" s="500"/>
      <c r="AI1313" s="500"/>
      <c r="AJ1313" s="500"/>
      <c r="AK1313" s="500"/>
      <c r="AL1313" s="500"/>
      <c r="AM1313" s="500"/>
      <c r="AN1313" s="500"/>
      <c r="AO1313" s="500"/>
      <c r="AP1313" s="500"/>
    </row>
    <row r="1314" spans="1:42" ht="16.5" customHeight="1">
      <c r="A1314" s="434"/>
      <c r="B1314" s="437" t="s">
        <v>3494</v>
      </c>
      <c r="C1314" s="439"/>
      <c r="D1314" s="439"/>
      <c r="E1314" s="439"/>
      <c r="F1314" s="439"/>
      <c r="G1314" s="451" t="s">
        <v>3495</v>
      </c>
      <c r="Z1314" s="500"/>
      <c r="AA1314" s="500"/>
      <c r="AB1314" s="500"/>
      <c r="AC1314" s="500"/>
      <c r="AD1314" s="500"/>
      <c r="AE1314" s="500"/>
      <c r="AF1314" s="500"/>
      <c r="AG1314" s="500"/>
      <c r="AH1314" s="500"/>
      <c r="AI1314" s="500"/>
      <c r="AJ1314" s="500"/>
      <c r="AK1314" s="500"/>
      <c r="AL1314" s="500"/>
      <c r="AM1314" s="500"/>
      <c r="AN1314" s="500"/>
      <c r="AO1314" s="500"/>
      <c r="AP1314" s="500"/>
    </row>
    <row r="1315" spans="1:42" ht="16.5" customHeight="1">
      <c r="A1315" s="439"/>
      <c r="B1315" s="439"/>
      <c r="C1315" s="439"/>
      <c r="D1315" s="439"/>
      <c r="E1315" s="439"/>
      <c r="F1315" s="439"/>
      <c r="G1315" s="451" t="s">
        <v>3406</v>
      </c>
      <c r="Z1315" s="500"/>
      <c r="AA1315" s="500"/>
      <c r="AB1315" s="500"/>
      <c r="AC1315" s="500"/>
      <c r="AD1315" s="500"/>
      <c r="AE1315" s="500"/>
      <c r="AF1315" s="500"/>
      <c r="AG1315" s="500"/>
      <c r="AH1315" s="500"/>
      <c r="AI1315" s="500"/>
      <c r="AJ1315" s="500"/>
      <c r="AK1315" s="500"/>
      <c r="AL1315" s="500"/>
      <c r="AM1315" s="500"/>
      <c r="AN1315" s="500"/>
      <c r="AO1315" s="500"/>
      <c r="AP1315" s="500"/>
    </row>
    <row r="1316" spans="1:42" ht="16.5" customHeight="1">
      <c r="A1316" s="439"/>
      <c r="B1316" s="439"/>
      <c r="C1316" s="439"/>
      <c r="D1316" s="439"/>
      <c r="E1316" s="439"/>
      <c r="F1316" s="439"/>
      <c r="G1316" s="451" t="s">
        <v>3406</v>
      </c>
      <c r="Z1316" s="500"/>
      <c r="AA1316" s="500"/>
      <c r="AB1316" s="500"/>
      <c r="AC1316" s="500"/>
      <c r="AD1316" s="500"/>
      <c r="AE1316" s="500"/>
      <c r="AF1316" s="500"/>
      <c r="AG1316" s="500"/>
      <c r="AH1316" s="500"/>
      <c r="AI1316" s="500"/>
      <c r="AJ1316" s="500"/>
      <c r="AK1316" s="500"/>
      <c r="AL1316" s="500"/>
      <c r="AM1316" s="500"/>
      <c r="AN1316" s="500"/>
      <c r="AO1316" s="500"/>
      <c r="AP1316" s="500"/>
    </row>
    <row r="1317" spans="1:42" ht="16.5" customHeight="1">
      <c r="A1317" s="439"/>
      <c r="B1317" s="439"/>
      <c r="C1317" s="439"/>
      <c r="D1317" s="439"/>
      <c r="E1317" s="439"/>
      <c r="F1317" s="439"/>
      <c r="G1317" s="451" t="s">
        <v>3406</v>
      </c>
      <c r="Z1317" s="500"/>
      <c r="AA1317" s="500"/>
      <c r="AB1317" s="500"/>
      <c r="AC1317" s="500"/>
      <c r="AD1317" s="500"/>
      <c r="AE1317" s="500"/>
      <c r="AF1317" s="500"/>
      <c r="AG1317" s="500"/>
      <c r="AH1317" s="500"/>
      <c r="AI1317" s="500"/>
      <c r="AJ1317" s="500"/>
      <c r="AK1317" s="500"/>
      <c r="AL1317" s="500"/>
      <c r="AM1317" s="500"/>
      <c r="AN1317" s="500"/>
      <c r="AO1317" s="500"/>
      <c r="AP1317" s="500"/>
    </row>
    <row r="1318" spans="1:42" ht="16.5" customHeight="1">
      <c r="A1318" s="439"/>
      <c r="B1318" s="439"/>
      <c r="C1318" s="439"/>
      <c r="D1318" s="439"/>
      <c r="E1318" s="439"/>
      <c r="F1318" s="439"/>
      <c r="G1318" s="451" t="s">
        <v>3406</v>
      </c>
      <c r="Z1318" s="500"/>
      <c r="AA1318" s="500"/>
      <c r="AB1318" s="500"/>
      <c r="AC1318" s="500"/>
      <c r="AD1318" s="500"/>
      <c r="AE1318" s="500"/>
      <c r="AF1318" s="500"/>
      <c r="AG1318" s="500"/>
      <c r="AH1318" s="500"/>
      <c r="AI1318" s="500"/>
      <c r="AJ1318" s="500"/>
      <c r="AK1318" s="500"/>
      <c r="AL1318" s="500"/>
      <c r="AM1318" s="500"/>
      <c r="AN1318" s="500"/>
      <c r="AO1318" s="500"/>
      <c r="AP1318" s="500"/>
    </row>
    <row r="1319" spans="1:42" ht="16.5" customHeight="1">
      <c r="A1319" s="434"/>
      <c r="B1319" s="437" t="s">
        <v>3496</v>
      </c>
      <c r="C1319" s="439"/>
      <c r="D1319" s="439"/>
      <c r="E1319" s="439"/>
      <c r="F1319" s="439"/>
      <c r="G1319" s="451" t="s">
        <v>3497</v>
      </c>
      <c r="Z1319" s="500"/>
      <c r="AA1319" s="500"/>
      <c r="AB1319" s="500"/>
      <c r="AC1319" s="500"/>
      <c r="AD1319" s="500"/>
      <c r="AE1319" s="500"/>
      <c r="AF1319" s="500"/>
      <c r="AG1319" s="500"/>
      <c r="AH1319" s="500"/>
      <c r="AI1319" s="500"/>
      <c r="AJ1319" s="500"/>
      <c r="AK1319" s="500"/>
      <c r="AL1319" s="500"/>
      <c r="AM1319" s="500"/>
      <c r="AN1319" s="500"/>
      <c r="AO1319" s="500"/>
      <c r="AP1319" s="500"/>
    </row>
    <row r="1320" spans="1:42" ht="16.5" customHeight="1">
      <c r="A1320" s="439"/>
      <c r="B1320" s="439"/>
      <c r="C1320" s="439"/>
      <c r="D1320" s="439"/>
      <c r="E1320" s="439"/>
      <c r="F1320" s="439"/>
      <c r="G1320" s="451" t="s">
        <v>3406</v>
      </c>
      <c r="Z1320" s="500"/>
      <c r="AA1320" s="500"/>
      <c r="AB1320" s="500"/>
      <c r="AC1320" s="500"/>
      <c r="AD1320" s="500"/>
      <c r="AE1320" s="500"/>
      <c r="AF1320" s="500"/>
      <c r="AG1320" s="500"/>
      <c r="AH1320" s="500"/>
      <c r="AI1320" s="500"/>
      <c r="AJ1320" s="500"/>
      <c r="AK1320" s="500"/>
      <c r="AL1320" s="500"/>
      <c r="AM1320" s="500"/>
      <c r="AN1320" s="500"/>
      <c r="AO1320" s="500"/>
      <c r="AP1320" s="500"/>
    </row>
    <row r="1321" spans="1:42" ht="16.5" customHeight="1">
      <c r="A1321" s="434" t="s">
        <v>3498</v>
      </c>
      <c r="B1321" s="505" t="str">
        <f>" 조경공 :  "&amp;TEXT(I1321,"#,##0"&amp;IF(I1321&lt;&gt;INT(I1321),".###",""))&amp;" * "&amp;AA1321&amp;" 인  / Q1 = "&amp;TEXT(C1321,"#,##0.0")&amp;""</f>
        <v xml:space="preserve"> 조경공 :  235,204 * 3 인  / Q1 = 12,829.3</v>
      </c>
      <c r="C1321" s="506">
        <f>E1321+D1321+F1321</f>
        <v>12829.3</v>
      </c>
      <c r="D1321" s="506">
        <f>IF(H1321=0,0,ROUNDDOWN(J1321*H1321,1))</f>
        <v>12829.3</v>
      </c>
      <c r="E1321" s="506">
        <f>IF(H1321=0,0,ROUNDDOWN(K1321*H1321,1))</f>
        <v>0</v>
      </c>
      <c r="F1321" s="506">
        <f>IF(H1321=0,0,ROUNDDOWN(L1321*H1321,1))</f>
        <v>0</v>
      </c>
      <c r="G1321" s="451" t="s">
        <v>3499</v>
      </c>
      <c r="H1321" s="507">
        <f>ROUNDUP(AE1321,14-LEN(ABS(INT(AE1321))))</f>
        <v>5.4545454545500006E-2</v>
      </c>
      <c r="I1321" s="508">
        <f>K1321+J1321+L1321</f>
        <v>235204</v>
      </c>
      <c r="J1321" s="509">
        <f>노무비목록표!E15</f>
        <v>235204</v>
      </c>
      <c r="M1321" s="501" t="s">
        <v>2359</v>
      </c>
      <c r="N1321" s="501" t="s">
        <v>3416</v>
      </c>
      <c r="X1321" s="510" t="str">
        <f>노무비목록표!B15&amp;" / "&amp;노무비목록표!C15</f>
        <v xml:space="preserve">조경공 / </v>
      </c>
      <c r="Y1321" s="433" t="str">
        <f ca="1">HYPERLINK("#"&amp;노무비목록표!G2&amp;"!A"&amp;ROW(노무비목록표!A15),"L00184 →")</f>
        <v>L00184 →</v>
      </c>
      <c r="Z1321" s="501" t="s">
        <v>3500</v>
      </c>
      <c r="AA1321" s="515">
        <v>3</v>
      </c>
      <c r="AB1321" s="501" t="s">
        <v>3428</v>
      </c>
      <c r="AC1321" s="512">
        <f>AB1312</f>
        <v>55</v>
      </c>
      <c r="AD1321" s="501" t="s">
        <v>3418</v>
      </c>
      <c r="AE1321" s="512">
        <f>1*AA1321/AB1312</f>
        <v>5.4545454545454543E-2</v>
      </c>
      <c r="AF1321" s="500"/>
      <c r="AG1321" s="500"/>
      <c r="AH1321" s="500"/>
      <c r="AI1321" s="500"/>
      <c r="AJ1321" s="500"/>
      <c r="AK1321" s="500"/>
      <c r="AL1321" s="500"/>
      <c r="AM1321" s="500"/>
      <c r="AN1321" s="500"/>
      <c r="AO1321" s="500"/>
      <c r="AP1321" s="500"/>
    </row>
    <row r="1322" spans="1:42" ht="16.5" customHeight="1">
      <c r="A1322" s="439"/>
      <c r="B1322" s="439"/>
      <c r="C1322" s="439"/>
      <c r="D1322" s="439"/>
      <c r="E1322" s="439"/>
      <c r="F1322" s="439"/>
      <c r="G1322" s="451" t="s">
        <v>3406</v>
      </c>
      <c r="Z1322" s="500"/>
      <c r="AA1322" s="500"/>
      <c r="AB1322" s="500"/>
      <c r="AC1322" s="500"/>
      <c r="AD1322" s="500"/>
      <c r="AE1322" s="500"/>
      <c r="AF1322" s="500"/>
      <c r="AG1322" s="500"/>
      <c r="AH1322" s="500"/>
      <c r="AI1322" s="500"/>
      <c r="AJ1322" s="500"/>
      <c r="AK1322" s="500"/>
      <c r="AL1322" s="500"/>
      <c r="AM1322" s="500"/>
      <c r="AN1322" s="500"/>
      <c r="AO1322" s="500"/>
      <c r="AP1322" s="500"/>
    </row>
    <row r="1323" spans="1:42" ht="16.5" customHeight="1">
      <c r="A1323" s="439"/>
      <c r="B1323" s="439"/>
      <c r="C1323" s="439"/>
      <c r="D1323" s="439"/>
      <c r="E1323" s="439"/>
      <c r="F1323" s="439"/>
      <c r="G1323" s="451" t="s">
        <v>3406</v>
      </c>
      <c r="Z1323" s="500"/>
      <c r="AA1323" s="500"/>
      <c r="AB1323" s="500"/>
      <c r="AC1323" s="500"/>
      <c r="AD1323" s="500"/>
      <c r="AE1323" s="500"/>
      <c r="AF1323" s="500"/>
      <c r="AG1323" s="500"/>
      <c r="AH1323" s="500"/>
      <c r="AI1323" s="500"/>
      <c r="AJ1323" s="500"/>
      <c r="AK1323" s="500"/>
      <c r="AL1323" s="500"/>
      <c r="AM1323" s="500"/>
      <c r="AN1323" s="500"/>
      <c r="AO1323" s="500"/>
      <c r="AP1323" s="500"/>
    </row>
    <row r="1324" spans="1:42" ht="16.5" customHeight="1">
      <c r="A1324" s="434" t="s">
        <v>3414</v>
      </c>
      <c r="B1324" s="505" t="str">
        <f>" 보통인부 : "&amp;TEXT(I1324,"#,##0"&amp;IF(I1324&lt;&gt;INT(I1324),".###",""))&amp;" * "&amp;AA1324&amp;" 인  / Q1 = "&amp;TEXT(C1324,"#,##0.0")&amp;""</f>
        <v xml:space="preserve"> 보통인부 : 172,068 * 1 인  / Q1 = 3,128.5</v>
      </c>
      <c r="C1324" s="506">
        <f>E1324+D1324+F1324</f>
        <v>3128.5</v>
      </c>
      <c r="D1324" s="506">
        <f>IF(H1324=0,0,ROUNDDOWN(J1324*H1324,1))</f>
        <v>3128.5</v>
      </c>
      <c r="E1324" s="506">
        <f>IF(H1324=0,0,ROUNDDOWN(K1324*H1324,1))</f>
        <v>0</v>
      </c>
      <c r="F1324" s="506">
        <f>IF(H1324=0,0,ROUNDDOWN(L1324*H1324,1))</f>
        <v>0</v>
      </c>
      <c r="G1324" s="451" t="s">
        <v>3501</v>
      </c>
      <c r="H1324" s="507">
        <f>ROUNDUP(AE1324,14-LEN(ABS(INT(AE1324))))</f>
        <v>1.8181818181900001E-2</v>
      </c>
      <c r="I1324" s="508">
        <f>K1324+J1324+L1324</f>
        <v>172068</v>
      </c>
      <c r="J1324" s="509">
        <f>노무비목록표!E10</f>
        <v>172068</v>
      </c>
      <c r="M1324" s="501" t="s">
        <v>2363</v>
      </c>
      <c r="N1324" s="501" t="s">
        <v>3416</v>
      </c>
      <c r="X1324" s="510" t="str">
        <f>노무비목록표!B10&amp;" / "&amp;노무비목록표!C10</f>
        <v xml:space="preserve">보통인부 / </v>
      </c>
      <c r="Y1324" s="433" t="str">
        <f ca="1">HYPERLINK("#"&amp;노무비목록표!G2&amp;"!A"&amp;ROW(노무비목록표!A10),"L00017 →")</f>
        <v>L00017 →</v>
      </c>
      <c r="Z1324" s="501" t="s">
        <v>3500</v>
      </c>
      <c r="AA1324" s="515">
        <v>1</v>
      </c>
      <c r="AB1324" s="501" t="s">
        <v>3428</v>
      </c>
      <c r="AC1324" s="512">
        <f>AB1312</f>
        <v>55</v>
      </c>
      <c r="AD1324" s="501" t="s">
        <v>3418</v>
      </c>
      <c r="AE1324" s="512">
        <f>1*AA1324/AB1312</f>
        <v>1.8181818181818181E-2</v>
      </c>
      <c r="AF1324" s="500"/>
      <c r="AG1324" s="500"/>
      <c r="AH1324" s="500"/>
      <c r="AI1324" s="500"/>
      <c r="AJ1324" s="500"/>
      <c r="AK1324" s="500"/>
      <c r="AL1324" s="500"/>
      <c r="AM1324" s="500"/>
      <c r="AN1324" s="500"/>
      <c r="AO1324" s="500"/>
      <c r="AP1324" s="500"/>
    </row>
    <row r="1325" spans="1:42" ht="16.5" customHeight="1">
      <c r="A1325" s="439"/>
      <c r="B1325" s="439"/>
      <c r="C1325" s="439"/>
      <c r="D1325" s="439"/>
      <c r="E1325" s="439"/>
      <c r="F1325" s="439"/>
      <c r="G1325" s="451" t="s">
        <v>3406</v>
      </c>
      <c r="Z1325" s="500"/>
      <c r="AA1325" s="500"/>
      <c r="AB1325" s="500"/>
      <c r="AC1325" s="500"/>
      <c r="AD1325" s="500"/>
      <c r="AE1325" s="500"/>
      <c r="AF1325" s="500"/>
      <c r="AG1325" s="500"/>
      <c r="AH1325" s="500"/>
      <c r="AI1325" s="500"/>
      <c r="AJ1325" s="500"/>
      <c r="AK1325" s="500"/>
      <c r="AL1325" s="500"/>
      <c r="AM1325" s="500"/>
      <c r="AN1325" s="500"/>
      <c r="AO1325" s="500"/>
      <c r="AP1325" s="500"/>
    </row>
    <row r="1326" spans="1:42" ht="16.5" customHeight="1">
      <c r="A1326" s="434"/>
      <c r="B1326" s="437" t="s">
        <v>3419</v>
      </c>
      <c r="C1326" s="513">
        <f>E1326+D1326+F1326</f>
        <v>15957.8</v>
      </c>
      <c r="D1326" s="513">
        <f>SUMIF(N1307:N1325,M1326,D1307:D1325)</f>
        <v>15957.8</v>
      </c>
      <c r="E1326" s="513">
        <f>SUMIF(N1307:N1325,M1326,E1307:E1325)</f>
        <v>0</v>
      </c>
      <c r="F1326" s="513">
        <f>SUMIF(N1307:N1325,M1326,F1307:F1325)</f>
        <v>0</v>
      </c>
      <c r="G1326" s="451" t="s">
        <v>3439</v>
      </c>
      <c r="M1326" s="501" t="s">
        <v>3416</v>
      </c>
      <c r="N1326" s="501" t="s">
        <v>3421</v>
      </c>
      <c r="Z1326" s="500"/>
      <c r="AA1326" s="500"/>
      <c r="AB1326" s="500"/>
      <c r="AC1326" s="500"/>
      <c r="AD1326" s="500"/>
      <c r="AE1326" s="500"/>
      <c r="AF1326" s="500"/>
      <c r="AG1326" s="500"/>
      <c r="AH1326" s="500"/>
      <c r="AI1326" s="500"/>
      <c r="AJ1326" s="500"/>
      <c r="AK1326" s="500"/>
      <c r="AL1326" s="500"/>
      <c r="AM1326" s="500"/>
      <c r="AN1326" s="500"/>
      <c r="AO1326" s="500"/>
      <c r="AP1326" s="500"/>
    </row>
    <row r="1327" spans="1:42" ht="16.5" customHeight="1">
      <c r="A1327" s="439"/>
      <c r="B1327" s="439"/>
      <c r="C1327" s="504"/>
      <c r="D1327" s="504"/>
      <c r="E1327" s="504"/>
      <c r="F1327" s="504"/>
      <c r="G1327" s="451" t="s">
        <v>3406</v>
      </c>
      <c r="Z1327" s="500"/>
      <c r="AA1327" s="500"/>
      <c r="AB1327" s="500"/>
      <c r="AC1327" s="500"/>
      <c r="AD1327" s="500"/>
      <c r="AE1327" s="500"/>
      <c r="AF1327" s="500"/>
      <c r="AG1327" s="500"/>
      <c r="AH1327" s="500"/>
      <c r="AI1327" s="500"/>
      <c r="AJ1327" s="500"/>
      <c r="AK1327" s="500"/>
      <c r="AL1327" s="500"/>
      <c r="AM1327" s="500"/>
      <c r="AN1327" s="500"/>
      <c r="AO1327" s="500"/>
      <c r="AP1327" s="500"/>
    </row>
    <row r="1328" spans="1:42" ht="16.5" customHeight="1">
      <c r="A1328" s="439"/>
      <c r="B1328" s="439"/>
      <c r="C1328" s="439"/>
      <c r="D1328" s="439"/>
      <c r="E1328" s="439"/>
      <c r="F1328" s="439"/>
      <c r="G1328" s="451" t="s">
        <v>3406</v>
      </c>
      <c r="Z1328" s="500"/>
      <c r="AA1328" s="500"/>
      <c r="AB1328" s="500"/>
      <c r="AC1328" s="500"/>
      <c r="AD1328" s="500"/>
      <c r="AE1328" s="500"/>
      <c r="AF1328" s="500"/>
      <c r="AG1328" s="500"/>
      <c r="AH1328" s="500"/>
      <c r="AI1328" s="500"/>
      <c r="AJ1328" s="500"/>
      <c r="AK1328" s="500"/>
      <c r="AL1328" s="500"/>
      <c r="AM1328" s="500"/>
      <c r="AN1328" s="500"/>
      <c r="AO1328" s="500"/>
      <c r="AP1328" s="500"/>
    </row>
    <row r="1329" spans="1:42" ht="16.5" customHeight="1">
      <c r="A1329" s="434"/>
      <c r="B1329" s="437" t="s">
        <v>3502</v>
      </c>
      <c r="C1329" s="439"/>
      <c r="D1329" s="439"/>
      <c r="E1329" s="439"/>
      <c r="F1329" s="439"/>
      <c r="G1329" s="451" t="s">
        <v>3503</v>
      </c>
      <c r="Z1329" s="500"/>
      <c r="AA1329" s="500"/>
      <c r="AB1329" s="500"/>
      <c r="AC1329" s="500"/>
      <c r="AD1329" s="500"/>
      <c r="AE1329" s="500"/>
      <c r="AF1329" s="500"/>
      <c r="AG1329" s="500"/>
      <c r="AH1329" s="500"/>
      <c r="AI1329" s="500"/>
      <c r="AJ1329" s="500"/>
      <c r="AK1329" s="500"/>
      <c r="AL1329" s="500"/>
      <c r="AM1329" s="500"/>
      <c r="AN1329" s="500"/>
      <c r="AO1329" s="500"/>
      <c r="AP1329" s="500"/>
    </row>
    <row r="1330" spans="1:42" ht="16.5" customHeight="1">
      <c r="A1330" s="439"/>
      <c r="B1330" s="439"/>
      <c r="C1330" s="439"/>
      <c r="D1330" s="439"/>
      <c r="E1330" s="439"/>
      <c r="F1330" s="439"/>
      <c r="G1330" s="451" t="s">
        <v>3406</v>
      </c>
      <c r="Z1330" s="500"/>
      <c r="AA1330" s="500"/>
      <c r="AB1330" s="500"/>
      <c r="AC1330" s="500"/>
      <c r="AD1330" s="500"/>
      <c r="AE1330" s="500"/>
      <c r="AF1330" s="500"/>
      <c r="AG1330" s="500"/>
      <c r="AH1330" s="500"/>
      <c r="AI1330" s="500"/>
      <c r="AJ1330" s="500"/>
      <c r="AK1330" s="500"/>
      <c r="AL1330" s="500"/>
      <c r="AM1330" s="500"/>
      <c r="AN1330" s="500"/>
      <c r="AO1330" s="500"/>
      <c r="AP1330" s="500"/>
    </row>
    <row r="1331" spans="1:42" ht="16.5" customHeight="1">
      <c r="A1331" s="434" t="s">
        <v>3504</v>
      </c>
      <c r="B1331" s="505" t="str">
        <f>"  유기질비료 수목이식·식재용 : "&amp;TEXT(I1331,"#,##0"&amp;IF(I1331&lt;&gt;INT(I1331),".###",""))&amp;" * "&amp;AA1331&amp;" KG  / Q1 = "&amp;TEXT(C1331,"#,##0.0")&amp;""</f>
        <v xml:space="preserve">  유기질비료 수목이식·식재용 : 500 * 210 KG  / Q1 = 1,909.0</v>
      </c>
      <c r="C1331" s="506">
        <f>E1331+D1331+F1331</f>
        <v>1909</v>
      </c>
      <c r="D1331" s="506">
        <f>IF(H1331=0,0,ROUNDDOWN(J1331*H1331,1))</f>
        <v>0</v>
      </c>
      <c r="E1331" s="506">
        <f>IF(H1331=0,0,ROUNDDOWN(K1331*H1331,1))</f>
        <v>1909</v>
      </c>
      <c r="F1331" s="506">
        <f>IF(H1331=0,0,ROUNDDOWN(L1331*H1331,1))</f>
        <v>0</v>
      </c>
      <c r="G1331" s="451" t="s">
        <v>3540</v>
      </c>
      <c r="H1331" s="507">
        <f>ROUNDUP(AE1331,14-LEN(ABS(INT(AE1331))))</f>
        <v>3.8181818181819001</v>
      </c>
      <c r="I1331" s="508">
        <f>K1331+J1331+L1331</f>
        <v>500</v>
      </c>
      <c r="K1331" s="509">
        <f>재료비목록표!E78</f>
        <v>500</v>
      </c>
      <c r="M1331" s="501" t="s">
        <v>3506</v>
      </c>
      <c r="N1331" s="501" t="s">
        <v>3416</v>
      </c>
      <c r="X1331" s="510" t="str">
        <f>재료비목록표!B78&amp;" / "&amp;재료비목록표!C78</f>
        <v>유기질비료 / 수목이식·식재용</v>
      </c>
      <c r="Y1331" s="433" t="str">
        <f ca="1">HYPERLINK("#"&amp;재료비목록표!G2&amp;"!A"&amp;ROW(재료비목록표!A78),"M01159 →")</f>
        <v>M01159 →</v>
      </c>
      <c r="Z1331" s="501" t="s">
        <v>3500</v>
      </c>
      <c r="AA1331" s="515">
        <v>210</v>
      </c>
      <c r="AB1331" s="501" t="s">
        <v>3428</v>
      </c>
      <c r="AC1331" s="512">
        <f>AB1312</f>
        <v>55</v>
      </c>
      <c r="AD1331" s="501" t="s">
        <v>3418</v>
      </c>
      <c r="AE1331" s="512">
        <f>1*AA1331/AB1312</f>
        <v>3.8181818181818183</v>
      </c>
      <c r="AF1331" s="500"/>
      <c r="AG1331" s="500"/>
      <c r="AH1331" s="500"/>
      <c r="AI1331" s="500"/>
      <c r="AJ1331" s="500"/>
      <c r="AK1331" s="500"/>
      <c r="AL1331" s="500"/>
      <c r="AM1331" s="500"/>
      <c r="AN1331" s="500"/>
      <c r="AO1331" s="500"/>
      <c r="AP1331" s="500"/>
    </row>
    <row r="1332" spans="1:42" ht="16.5" customHeight="1">
      <c r="A1332" s="439"/>
      <c r="B1332" s="439"/>
      <c r="C1332" s="439"/>
      <c r="D1332" s="439"/>
      <c r="E1332" s="439"/>
      <c r="F1332" s="439"/>
      <c r="G1332" s="451" t="s">
        <v>3406</v>
      </c>
      <c r="Z1332" s="500"/>
      <c r="AA1332" s="500"/>
      <c r="AB1332" s="500"/>
      <c r="AC1332" s="500"/>
      <c r="AD1332" s="500"/>
      <c r="AE1332" s="500"/>
      <c r="AF1332" s="500"/>
      <c r="AG1332" s="500"/>
      <c r="AH1332" s="500"/>
      <c r="AI1332" s="500"/>
      <c r="AJ1332" s="500"/>
      <c r="AK1332" s="500"/>
      <c r="AL1332" s="500"/>
      <c r="AM1332" s="500"/>
      <c r="AN1332" s="500"/>
      <c r="AO1332" s="500"/>
      <c r="AP1332" s="500"/>
    </row>
    <row r="1333" spans="1:42" ht="16.5" customHeight="1">
      <c r="A1333" s="434"/>
      <c r="B1333" s="437" t="s">
        <v>3419</v>
      </c>
      <c r="C1333" s="513">
        <f>E1333+D1333+F1333</f>
        <v>1909</v>
      </c>
      <c r="D1333" s="513">
        <f>SUMIF(N1327:N1332,M1333,D1327:D1332)</f>
        <v>0</v>
      </c>
      <c r="E1333" s="513">
        <f>SUMIF(N1327:N1332,M1333,E1327:E1332)</f>
        <v>1909</v>
      </c>
      <c r="F1333" s="513">
        <f>SUMIF(N1327:N1332,M1333,F1327:F1332)</f>
        <v>0</v>
      </c>
      <c r="G1333" s="451" t="s">
        <v>3439</v>
      </c>
      <c r="M1333" s="501" t="s">
        <v>3416</v>
      </c>
      <c r="N1333" s="501" t="s">
        <v>3421</v>
      </c>
      <c r="Z1333" s="500"/>
      <c r="AA1333" s="500"/>
      <c r="AB1333" s="500"/>
      <c r="AC1333" s="500"/>
      <c r="AD1333" s="500"/>
      <c r="AE1333" s="500"/>
      <c r="AF1333" s="500"/>
      <c r="AG1333" s="500"/>
      <c r="AH1333" s="500"/>
      <c r="AI1333" s="500"/>
      <c r="AJ1333" s="500"/>
      <c r="AK1333" s="500"/>
      <c r="AL1333" s="500"/>
      <c r="AM1333" s="500"/>
      <c r="AN1333" s="500"/>
      <c r="AO1333" s="500"/>
      <c r="AP1333" s="500"/>
    </row>
    <row r="1334" spans="1:42" ht="16.5" customHeight="1">
      <c r="A1334" s="439"/>
      <c r="B1334" s="439"/>
      <c r="C1334" s="504"/>
      <c r="D1334" s="504"/>
      <c r="E1334" s="504"/>
      <c r="F1334" s="504"/>
      <c r="G1334" s="451" t="s">
        <v>3406</v>
      </c>
      <c r="Z1334" s="500"/>
      <c r="AA1334" s="500"/>
      <c r="AB1334" s="500"/>
      <c r="AC1334" s="500"/>
      <c r="AD1334" s="500"/>
      <c r="AE1334" s="500"/>
      <c r="AF1334" s="500"/>
      <c r="AG1334" s="500"/>
      <c r="AH1334" s="500"/>
      <c r="AI1334" s="500"/>
      <c r="AJ1334" s="500"/>
      <c r="AK1334" s="500"/>
      <c r="AL1334" s="500"/>
      <c r="AM1334" s="500"/>
      <c r="AN1334" s="500"/>
      <c r="AO1334" s="500"/>
      <c r="AP1334" s="500"/>
    </row>
    <row r="1335" spans="1:42" ht="16.5" customHeight="1">
      <c r="A1335" s="434"/>
      <c r="B1335" s="505" t="str">
        <f>"  산지할증 : "&amp;TEXT(I1335,"#,##0.0")&amp;" * "&amp;AA1335&amp;" %  = "&amp;TEXT(C1335,"#,##0.0")&amp;""</f>
        <v xml:space="preserve">  산지할증 : 15,957.8 * 25 %  = 3,989.4</v>
      </c>
      <c r="C1335" s="506">
        <f>E1335+D1335+F1335</f>
        <v>3989.4</v>
      </c>
      <c r="D1335" s="506">
        <f>IF(H1335=0,0,ROUNDDOWN(J1335*H1335/100,1))</f>
        <v>3989.4</v>
      </c>
      <c r="E1335" s="506">
        <f>IF(H1335=0,0,ROUNDDOWN(K1335*H1335/100,1))</f>
        <v>0</v>
      </c>
      <c r="F1335" s="506">
        <f>IF(H1335=0,0,ROUNDDOWN(L1335*H1335/100,1))</f>
        <v>0</v>
      </c>
      <c r="G1335" s="451" t="s">
        <v>5592</v>
      </c>
      <c r="H1335" s="507">
        <f>ROUNDUP(AC1335,14-LEN(ABS(INT(AC1335))))</f>
        <v>25</v>
      </c>
      <c r="I1335" s="508">
        <f>K1335+J1335+L1335</f>
        <v>15957.8</v>
      </c>
      <c r="J1335" s="508">
        <f>D1326+D1333+SUMIF(N1334:N1334,N1335,D1334:D1334)</f>
        <v>15957.8</v>
      </c>
      <c r="K1335" s="456">
        <v>0</v>
      </c>
      <c r="L1335" s="456">
        <v>0</v>
      </c>
      <c r="M1335" s="501" t="s">
        <v>4208</v>
      </c>
      <c r="N1335" s="501" t="s">
        <v>3416</v>
      </c>
      <c r="Z1335" s="501" t="s">
        <v>3500</v>
      </c>
      <c r="AA1335" s="515">
        <v>25</v>
      </c>
      <c r="AB1335" s="501" t="s">
        <v>3418</v>
      </c>
      <c r="AC1335" s="512">
        <f>1*AA1335</f>
        <v>25</v>
      </c>
      <c r="AD1335" s="500"/>
      <c r="AE1335" s="500"/>
      <c r="AF1335" s="500"/>
      <c r="AG1335" s="500"/>
      <c r="AH1335" s="500"/>
      <c r="AI1335" s="500"/>
      <c r="AJ1335" s="500"/>
      <c r="AK1335" s="500"/>
      <c r="AL1335" s="500"/>
      <c r="AM1335" s="500"/>
      <c r="AN1335" s="500"/>
      <c r="AO1335" s="500"/>
      <c r="AP1335" s="500"/>
    </row>
    <row r="1336" spans="1:42" ht="16.5" customHeight="1">
      <c r="A1336" s="439"/>
      <c r="B1336" s="439"/>
      <c r="C1336" s="439"/>
      <c r="D1336" s="439"/>
      <c r="E1336" s="439"/>
      <c r="F1336" s="439"/>
      <c r="G1336" s="451" t="s">
        <v>3406</v>
      </c>
      <c r="Z1336" s="500"/>
      <c r="AA1336" s="500"/>
      <c r="AB1336" s="500"/>
      <c r="AC1336" s="500"/>
      <c r="AD1336" s="500"/>
      <c r="AE1336" s="500"/>
      <c r="AF1336" s="500"/>
      <c r="AG1336" s="500"/>
      <c r="AH1336" s="500"/>
      <c r="AI1336" s="500"/>
      <c r="AJ1336" s="500"/>
      <c r="AK1336" s="500"/>
      <c r="AL1336" s="500"/>
      <c r="AM1336" s="500"/>
      <c r="AN1336" s="500"/>
      <c r="AO1336" s="500"/>
      <c r="AP1336" s="500"/>
    </row>
    <row r="1337" spans="1:42" ht="16.5" customHeight="1">
      <c r="A1337" s="434"/>
      <c r="B1337" s="437" t="s">
        <v>3419</v>
      </c>
      <c r="C1337" s="513">
        <f>E1337+D1337+F1337</f>
        <v>3989.4</v>
      </c>
      <c r="D1337" s="513">
        <f>SUMIF(N1334:N1336,M1337,D1334:D1336)</f>
        <v>3989.4</v>
      </c>
      <c r="E1337" s="513">
        <f>SUMIF(N1334:N1336,M1337,E1334:E1336)</f>
        <v>0</v>
      </c>
      <c r="F1337" s="513">
        <f>SUMIF(N1334:N1336,M1337,F1334:F1336)</f>
        <v>0</v>
      </c>
      <c r="G1337" s="451" t="s">
        <v>3439</v>
      </c>
      <c r="M1337" s="501" t="s">
        <v>3416</v>
      </c>
      <c r="N1337" s="501" t="s">
        <v>3421</v>
      </c>
      <c r="Z1337" s="500"/>
      <c r="AA1337" s="500"/>
      <c r="AB1337" s="500"/>
      <c r="AC1337" s="500"/>
      <c r="AD1337" s="500"/>
      <c r="AE1337" s="500"/>
      <c r="AF1337" s="500"/>
      <c r="AG1337" s="500"/>
      <c r="AH1337" s="500"/>
      <c r="AI1337" s="500"/>
      <c r="AJ1337" s="500"/>
      <c r="AK1337" s="500"/>
      <c r="AL1337" s="500"/>
      <c r="AM1337" s="500"/>
      <c r="AN1337" s="500"/>
      <c r="AO1337" s="500"/>
      <c r="AP1337" s="500"/>
    </row>
    <row r="1338" spans="1:42" ht="16.5" customHeight="1">
      <c r="A1338" s="439"/>
      <c r="B1338" s="439"/>
      <c r="C1338" s="504"/>
      <c r="D1338" s="504"/>
      <c r="E1338" s="504"/>
      <c r="F1338" s="504"/>
      <c r="G1338" s="451" t="s">
        <v>3406</v>
      </c>
      <c r="Z1338" s="500"/>
      <c r="AA1338" s="500"/>
      <c r="AB1338" s="500"/>
      <c r="AC1338" s="500"/>
      <c r="AD1338" s="500"/>
      <c r="AE1338" s="500"/>
      <c r="AF1338" s="500"/>
      <c r="AG1338" s="500"/>
      <c r="AH1338" s="500"/>
      <c r="AI1338" s="500"/>
      <c r="AJ1338" s="500"/>
      <c r="AK1338" s="500"/>
      <c r="AL1338" s="500"/>
      <c r="AM1338" s="500"/>
      <c r="AN1338" s="500"/>
      <c r="AO1338" s="500"/>
      <c r="AP1338" s="500"/>
    </row>
    <row r="1339" spans="1:42" ht="16.5" customHeight="1">
      <c r="A1339" s="434"/>
      <c r="B1339" s="437" t="s">
        <v>3440</v>
      </c>
      <c r="C1339" s="513">
        <f>E1339+D1339+F1339</f>
        <v>21856.2</v>
      </c>
      <c r="D1339" s="513">
        <f>SUMIF(N1307:N1338,M1339,D1307:D1338)</f>
        <v>19947.2</v>
      </c>
      <c r="E1339" s="513">
        <f>SUMIF(N1307:N1338,M1339,E1307:E1338)</f>
        <v>1909</v>
      </c>
      <c r="F1339" s="513">
        <f>SUMIF(N1307:N1338,M1339,F1307:F1338)</f>
        <v>0</v>
      </c>
      <c r="G1339" s="451" t="s">
        <v>3441</v>
      </c>
      <c r="M1339" s="501" t="s">
        <v>3421</v>
      </c>
      <c r="N1339" s="501" t="s">
        <v>2354</v>
      </c>
      <c r="Z1339" s="500"/>
      <c r="AA1339" s="500"/>
      <c r="AB1339" s="500"/>
      <c r="AC1339" s="500"/>
      <c r="AD1339" s="500"/>
      <c r="AE1339" s="500"/>
      <c r="AF1339" s="500"/>
      <c r="AG1339" s="500"/>
      <c r="AH1339" s="500"/>
      <c r="AI1339" s="500"/>
      <c r="AJ1339" s="500"/>
      <c r="AK1339" s="500"/>
      <c r="AL1339" s="500"/>
      <c r="AM1339" s="500"/>
      <c r="AN1339" s="500"/>
      <c r="AO1339" s="500"/>
      <c r="AP1339" s="500"/>
    </row>
    <row r="1340" spans="1:42" ht="16.5" customHeight="1">
      <c r="A1340" s="439"/>
      <c r="B1340" s="439"/>
      <c r="C1340" s="504"/>
      <c r="D1340" s="504"/>
      <c r="E1340" s="504"/>
      <c r="F1340" s="504"/>
      <c r="G1340" s="451" t="s">
        <v>3413</v>
      </c>
      <c r="Z1340" s="500"/>
      <c r="AA1340" s="500"/>
      <c r="AB1340" s="500"/>
      <c r="AC1340" s="500"/>
      <c r="AD1340" s="500"/>
      <c r="AE1340" s="500"/>
      <c r="AF1340" s="500"/>
      <c r="AG1340" s="500"/>
      <c r="AH1340" s="500"/>
      <c r="AI1340" s="500"/>
      <c r="AJ1340" s="500"/>
      <c r="AK1340" s="500"/>
      <c r="AL1340" s="500"/>
      <c r="AM1340" s="500"/>
      <c r="AN1340" s="500"/>
      <c r="AO1340" s="500"/>
      <c r="AP1340" s="500"/>
    </row>
    <row r="1341" spans="1:42" ht="16.5" customHeight="1">
      <c r="A1341" s="439"/>
      <c r="B1341" s="439"/>
      <c r="C1341" s="439"/>
      <c r="D1341" s="439"/>
      <c r="E1341" s="439"/>
      <c r="F1341" s="439"/>
      <c r="Z1341" s="500"/>
      <c r="AA1341" s="500"/>
      <c r="AB1341" s="500"/>
      <c r="AC1341" s="500"/>
      <c r="AD1341" s="500"/>
      <c r="AE1341" s="500"/>
      <c r="AF1341" s="500"/>
      <c r="AG1341" s="500"/>
      <c r="AH1341" s="500"/>
      <c r="AI1341" s="500"/>
      <c r="AJ1341" s="500"/>
      <c r="AK1341" s="500"/>
      <c r="AL1341" s="500"/>
      <c r="AM1341" s="500"/>
      <c r="AN1341" s="500"/>
      <c r="AO1341" s="500"/>
      <c r="AP1341" s="500"/>
    </row>
    <row r="1342" spans="1:42" ht="16.5" customHeight="1">
      <c r="A1342" s="439"/>
      <c r="B1342" s="439"/>
      <c r="C1342" s="439"/>
      <c r="D1342" s="439"/>
      <c r="E1342" s="439"/>
      <c r="F1342" s="439"/>
      <c r="Z1342" s="500"/>
      <c r="AA1342" s="500"/>
      <c r="AB1342" s="500"/>
      <c r="AC1342" s="500"/>
      <c r="AD1342" s="500"/>
      <c r="AE1342" s="500"/>
      <c r="AF1342" s="500"/>
      <c r="AG1342" s="500"/>
      <c r="AH1342" s="500"/>
      <c r="AI1342" s="500"/>
      <c r="AJ1342" s="500"/>
      <c r="AK1342" s="500"/>
      <c r="AL1342" s="500"/>
      <c r="AM1342" s="500"/>
      <c r="AN1342" s="500"/>
      <c r="AO1342" s="500"/>
      <c r="AP1342" s="500"/>
    </row>
    <row r="1343" spans="1:42" ht="16.5" customHeight="1">
      <c r="A1343" s="439"/>
      <c r="B1343" s="439"/>
      <c r="C1343" s="439"/>
      <c r="D1343" s="439"/>
      <c r="E1343" s="439"/>
      <c r="F1343" s="439"/>
      <c r="Z1343" s="500"/>
      <c r="AA1343" s="500"/>
      <c r="AB1343" s="500"/>
      <c r="AC1343" s="500"/>
      <c r="AD1343" s="500"/>
      <c r="AE1343" s="500"/>
      <c r="AF1343" s="500"/>
      <c r="AG1343" s="500"/>
      <c r="AH1343" s="500"/>
      <c r="AI1343" s="500"/>
      <c r="AJ1343" s="500"/>
      <c r="AK1343" s="500"/>
      <c r="AL1343" s="500"/>
      <c r="AM1343" s="500"/>
      <c r="AN1343" s="500"/>
      <c r="AO1343" s="500"/>
      <c r="AP1343" s="500"/>
    </row>
    <row r="1344" spans="1:42" ht="16.5" customHeight="1">
      <c r="A1344" s="439"/>
      <c r="B1344" s="439"/>
      <c r="C1344" s="439"/>
      <c r="D1344" s="439"/>
      <c r="E1344" s="439"/>
      <c r="F1344" s="439"/>
      <c r="Z1344" s="500"/>
      <c r="AA1344" s="500"/>
      <c r="AB1344" s="500"/>
      <c r="AC1344" s="500"/>
      <c r="AD1344" s="500"/>
      <c r="AE1344" s="500"/>
      <c r="AF1344" s="500"/>
      <c r="AG1344" s="500"/>
      <c r="AH1344" s="500"/>
      <c r="AI1344" s="500"/>
      <c r="AJ1344" s="500"/>
      <c r="AK1344" s="500"/>
      <c r="AL1344" s="500"/>
      <c r="AM1344" s="500"/>
      <c r="AN1344" s="500"/>
      <c r="AO1344" s="500"/>
      <c r="AP1344" s="500"/>
    </row>
    <row r="1345" spans="1:42" ht="16.5" customHeight="1">
      <c r="A1345" s="439"/>
      <c r="B1345" s="439"/>
      <c r="C1345" s="439"/>
      <c r="D1345" s="439"/>
      <c r="E1345" s="439"/>
      <c r="F1345" s="439"/>
      <c r="Z1345" s="500"/>
      <c r="AA1345" s="500"/>
      <c r="AB1345" s="500"/>
      <c r="AC1345" s="500"/>
      <c r="AD1345" s="500"/>
      <c r="AE1345" s="500"/>
      <c r="AF1345" s="500"/>
      <c r="AG1345" s="500"/>
      <c r="AH1345" s="500"/>
      <c r="AI1345" s="500"/>
      <c r="AJ1345" s="500"/>
      <c r="AK1345" s="500"/>
      <c r="AL1345" s="500"/>
      <c r="AM1345" s="500"/>
      <c r="AN1345" s="500"/>
      <c r="AO1345" s="500"/>
      <c r="AP1345" s="500"/>
    </row>
    <row r="1346" spans="1:42" ht="16.5" customHeight="1">
      <c r="A1346" s="439"/>
      <c r="B1346" s="439"/>
      <c r="C1346" s="439"/>
      <c r="D1346" s="439"/>
      <c r="E1346" s="439"/>
      <c r="F1346" s="439"/>
      <c r="Z1346" s="500"/>
      <c r="AA1346" s="500"/>
      <c r="AB1346" s="500"/>
      <c r="AC1346" s="500"/>
      <c r="AD1346" s="500"/>
      <c r="AE1346" s="500"/>
      <c r="AF1346" s="500"/>
      <c r="AG1346" s="500"/>
      <c r="AH1346" s="500"/>
      <c r="AI1346" s="500"/>
      <c r="AJ1346" s="500"/>
      <c r="AK1346" s="500"/>
      <c r="AL1346" s="500"/>
      <c r="AM1346" s="500"/>
      <c r="AN1346" s="500"/>
      <c r="AO1346" s="500"/>
      <c r="AP1346" s="500"/>
    </row>
    <row r="1347" spans="1:42" ht="16.5" customHeight="1">
      <c r="A1347" s="439"/>
      <c r="B1347" s="439"/>
      <c r="C1347" s="439"/>
      <c r="D1347" s="439"/>
      <c r="E1347" s="439"/>
      <c r="F1347" s="439"/>
      <c r="Z1347" s="500"/>
      <c r="AA1347" s="500"/>
      <c r="AB1347" s="500"/>
      <c r="AC1347" s="500"/>
      <c r="AD1347" s="500"/>
      <c r="AE1347" s="500"/>
      <c r="AF1347" s="500"/>
      <c r="AG1347" s="500"/>
      <c r="AH1347" s="500"/>
      <c r="AI1347" s="500"/>
      <c r="AJ1347" s="500"/>
      <c r="AK1347" s="500"/>
      <c r="AL1347" s="500"/>
      <c r="AM1347" s="500"/>
      <c r="AN1347" s="500"/>
      <c r="AO1347" s="500"/>
      <c r="AP1347" s="500"/>
    </row>
    <row r="1348" spans="1:42" ht="16.5" customHeight="1">
      <c r="A1348" s="439"/>
      <c r="B1348" s="439"/>
      <c r="C1348" s="439"/>
      <c r="D1348" s="439"/>
      <c r="E1348" s="439"/>
      <c r="F1348" s="439"/>
      <c r="Z1348" s="500"/>
      <c r="AA1348" s="500"/>
      <c r="AB1348" s="500"/>
      <c r="AC1348" s="500"/>
      <c r="AD1348" s="500"/>
      <c r="AE1348" s="500"/>
      <c r="AF1348" s="500"/>
      <c r="AG1348" s="500"/>
      <c r="AH1348" s="500"/>
      <c r="AI1348" s="500"/>
      <c r="AJ1348" s="500"/>
      <c r="AK1348" s="500"/>
      <c r="AL1348" s="500"/>
      <c r="AM1348" s="500"/>
      <c r="AN1348" s="500"/>
      <c r="AO1348" s="500"/>
      <c r="AP1348" s="500"/>
    </row>
    <row r="1349" spans="1:42" ht="16.5" customHeight="1">
      <c r="A1349" s="439"/>
      <c r="B1349" s="439"/>
      <c r="C1349" s="439"/>
      <c r="D1349" s="439"/>
      <c r="E1349" s="439"/>
      <c r="F1349" s="439"/>
      <c r="Z1349" s="500"/>
      <c r="AA1349" s="500"/>
      <c r="AB1349" s="500"/>
      <c r="AC1349" s="500"/>
      <c r="AD1349" s="500"/>
      <c r="AE1349" s="500"/>
      <c r="AF1349" s="500"/>
      <c r="AG1349" s="500"/>
      <c r="AH1349" s="500"/>
      <c r="AI1349" s="500"/>
      <c r="AJ1349" s="500"/>
      <c r="AK1349" s="500"/>
      <c r="AL1349" s="500"/>
      <c r="AM1349" s="500"/>
      <c r="AN1349" s="500"/>
      <c r="AO1349" s="500"/>
      <c r="AP1349" s="500"/>
    </row>
    <row r="1350" spans="1:42" ht="16.5" customHeight="1">
      <c r="A1350" s="439"/>
      <c r="B1350" s="439"/>
      <c r="C1350" s="439"/>
      <c r="D1350" s="439"/>
      <c r="E1350" s="439"/>
      <c r="F1350" s="439"/>
      <c r="Z1350" s="500"/>
      <c r="AA1350" s="500"/>
      <c r="AB1350" s="500"/>
      <c r="AC1350" s="500"/>
      <c r="AD1350" s="500"/>
      <c r="AE1350" s="500"/>
      <c r="AF1350" s="500"/>
      <c r="AG1350" s="500"/>
      <c r="AH1350" s="500"/>
      <c r="AI1350" s="500"/>
      <c r="AJ1350" s="500"/>
      <c r="AK1350" s="500"/>
      <c r="AL1350" s="500"/>
      <c r="AM1350" s="500"/>
      <c r="AN1350" s="500"/>
      <c r="AO1350" s="500"/>
      <c r="AP1350" s="500"/>
    </row>
    <row r="1351" spans="1:42" ht="16.5" customHeight="1">
      <c r="A1351" s="439"/>
      <c r="B1351" s="439"/>
      <c r="C1351" s="439"/>
      <c r="D1351" s="439"/>
      <c r="E1351" s="439"/>
      <c r="F1351" s="439"/>
      <c r="Z1351" s="500"/>
      <c r="AA1351" s="500"/>
      <c r="AB1351" s="500"/>
      <c r="AC1351" s="500"/>
      <c r="AD1351" s="500"/>
      <c r="AE1351" s="500"/>
      <c r="AF1351" s="500"/>
      <c r="AG1351" s="500"/>
      <c r="AH1351" s="500"/>
      <c r="AI1351" s="500"/>
      <c r="AJ1351" s="500"/>
      <c r="AK1351" s="500"/>
      <c r="AL1351" s="500"/>
      <c r="AM1351" s="500"/>
      <c r="AN1351" s="500"/>
      <c r="AO1351" s="500"/>
      <c r="AP1351" s="500"/>
    </row>
    <row r="1352" spans="1:42" ht="16.5" customHeight="1">
      <c r="A1352" s="439"/>
      <c r="B1352" s="439"/>
      <c r="C1352" s="439"/>
      <c r="D1352" s="439"/>
      <c r="E1352" s="439"/>
      <c r="F1352" s="439"/>
      <c r="Z1352" s="500"/>
      <c r="AA1352" s="500"/>
      <c r="AB1352" s="500"/>
      <c r="AC1352" s="500"/>
      <c r="AD1352" s="500"/>
      <c r="AE1352" s="500"/>
      <c r="AF1352" s="500"/>
      <c r="AG1352" s="500"/>
      <c r="AH1352" s="500"/>
      <c r="AI1352" s="500"/>
      <c r="AJ1352" s="500"/>
      <c r="AK1352" s="500"/>
      <c r="AL1352" s="500"/>
      <c r="AM1352" s="500"/>
      <c r="AN1352" s="500"/>
      <c r="AO1352" s="500"/>
      <c r="AP1352" s="500"/>
    </row>
    <row r="1353" spans="1:42" ht="16.5" customHeight="1">
      <c r="A1353" s="497"/>
      <c r="B1353" s="497"/>
      <c r="C1353" s="497"/>
      <c r="D1353" s="497"/>
      <c r="E1353" s="497"/>
      <c r="F1353" s="497"/>
      <c r="Z1353" s="500"/>
      <c r="AA1353" s="500"/>
      <c r="AB1353" s="500"/>
      <c r="AC1353" s="500"/>
      <c r="AD1353" s="500"/>
      <c r="AE1353" s="500"/>
      <c r="AF1353" s="500"/>
      <c r="AG1353" s="500"/>
      <c r="AH1353" s="500"/>
      <c r="AI1353" s="500"/>
      <c r="AJ1353" s="500"/>
      <c r="AK1353" s="500"/>
      <c r="AL1353" s="500"/>
      <c r="AM1353" s="500"/>
      <c r="AN1353" s="500"/>
      <c r="AO1353" s="500"/>
      <c r="AP1353" s="500"/>
    </row>
    <row r="1354" spans="1:42" ht="16.5" customHeight="1">
      <c r="A1354" s="616" t="s">
        <v>3487</v>
      </c>
      <c r="B1354" s="605"/>
      <c r="C1354" s="446">
        <f>E1354+D1354+F1354</f>
        <v>21856</v>
      </c>
      <c r="D1354" s="453">
        <f>ROUNDDOWN(SUMIF(N1307:N1340,M1354,D1307:D1340),0)</f>
        <v>19947</v>
      </c>
      <c r="E1354" s="454">
        <f>ROUNDDOWN(SUMIF(N1307:N1340,M1354,E1307:E1340),0)</f>
        <v>1909</v>
      </c>
      <c r="F1354" s="446">
        <f>ROUNDDOWN(SUMIF(N1307:N1340,M1354,F1307:F1340),0)</f>
        <v>0</v>
      </c>
      <c r="M1354" s="501" t="s">
        <v>2354</v>
      </c>
      <c r="Z1354" s="500"/>
      <c r="AA1354" s="500"/>
      <c r="AB1354" s="500"/>
      <c r="AC1354" s="500"/>
      <c r="AD1354" s="500"/>
      <c r="AE1354" s="500"/>
      <c r="AF1354" s="500"/>
      <c r="AG1354" s="500"/>
      <c r="AH1354" s="500"/>
      <c r="AI1354" s="500"/>
      <c r="AJ1354" s="500"/>
      <c r="AK1354" s="500"/>
      <c r="AL1354" s="500"/>
      <c r="AM1354" s="500"/>
      <c r="AN1354" s="500"/>
      <c r="AO1354" s="500"/>
      <c r="AP1354" s="500"/>
    </row>
    <row r="1355" spans="1:42" ht="16.5" customHeight="1">
      <c r="A1355" s="502" t="s">
        <v>3350</v>
      </c>
      <c r="B1355" s="503" t="s">
        <v>1824</v>
      </c>
      <c r="C1355" s="615">
        <f>C1454</f>
        <v>156165</v>
      </c>
      <c r="D1355" s="615">
        <f>D1454</f>
        <v>112486</v>
      </c>
      <c r="E1355" s="615">
        <f>E1454</f>
        <v>32003</v>
      </c>
      <c r="F1355" s="615">
        <f>F1454</f>
        <v>11676</v>
      </c>
      <c r="G1355" s="486" t="str">
        <f>HYPERLINK("#G"&amp;ROW(G1403),"_x0005_`BDCOD|D01309_x0007_`POSS|"&amp;ROW(G1357)&amp;"_x0007_`POSE|"&amp;ROW(G1403)&amp;"_x0007_`")</f>
        <v>_x0005_`BDCOD|D01309_x0007_`POSS|1357_x0007_`POSE|1403_x0007_`</v>
      </c>
      <c r="Z1355" s="500"/>
      <c r="AA1355" s="500"/>
      <c r="AB1355" s="500"/>
      <c r="AC1355" s="500"/>
      <c r="AD1355" s="500"/>
      <c r="AE1355" s="500"/>
      <c r="AF1355" s="500"/>
      <c r="AG1355" s="500"/>
      <c r="AH1355" s="500"/>
      <c r="AI1355" s="500"/>
      <c r="AJ1355" s="500"/>
      <c r="AK1355" s="500"/>
      <c r="AL1355" s="500"/>
      <c r="AM1355" s="500"/>
      <c r="AN1355" s="500"/>
      <c r="AO1355" s="500"/>
      <c r="AP1355" s="500"/>
    </row>
    <row r="1356" spans="1:42" ht="16.5" customHeight="1">
      <c r="A1356" s="485"/>
      <c r="B1356" s="503" t="s">
        <v>3541</v>
      </c>
      <c r="C1356" s="593"/>
      <c r="D1356" s="593"/>
      <c r="E1356" s="593"/>
      <c r="F1356" s="593"/>
      <c r="M1356" s="501" t="s">
        <v>1824</v>
      </c>
      <c r="Z1356" s="500"/>
      <c r="AA1356" s="500"/>
      <c r="AB1356" s="500"/>
      <c r="AC1356" s="500"/>
      <c r="AD1356" s="500"/>
      <c r="AE1356" s="500"/>
      <c r="AF1356" s="500"/>
      <c r="AG1356" s="500"/>
      <c r="AH1356" s="500"/>
      <c r="AI1356" s="500"/>
      <c r="AJ1356" s="500"/>
      <c r="AK1356" s="500"/>
      <c r="AL1356" s="500"/>
      <c r="AM1356" s="500"/>
      <c r="AN1356" s="500"/>
      <c r="AO1356" s="500"/>
      <c r="AP1356" s="500"/>
    </row>
    <row r="1357" spans="1:42" ht="16.5" customHeight="1">
      <c r="A1357" s="439"/>
      <c r="B1357" s="439"/>
      <c r="C1357" s="504"/>
      <c r="D1357" s="504"/>
      <c r="E1357" s="504"/>
      <c r="F1357" s="504"/>
      <c r="G1357" s="451" t="s">
        <v>3406</v>
      </c>
      <c r="Z1357" s="500"/>
      <c r="AA1357" s="500"/>
      <c r="AB1357" s="500"/>
      <c r="AC1357" s="500"/>
      <c r="AD1357" s="500"/>
      <c r="AE1357" s="500"/>
      <c r="AF1357" s="500"/>
      <c r="AG1357" s="500"/>
      <c r="AH1357" s="500"/>
      <c r="AI1357" s="500"/>
      <c r="AJ1357" s="500"/>
      <c r="AK1357" s="500"/>
      <c r="AL1357" s="500"/>
      <c r="AM1357" s="500"/>
      <c r="AN1357" s="500"/>
      <c r="AO1357" s="500"/>
      <c r="AP1357" s="500"/>
    </row>
    <row r="1358" spans="1:42" ht="16.5" customHeight="1">
      <c r="A1358" s="434"/>
      <c r="B1358" s="437" t="s">
        <v>3542</v>
      </c>
      <c r="C1358" s="439"/>
      <c r="D1358" s="439"/>
      <c r="E1358" s="439"/>
      <c r="F1358" s="439"/>
      <c r="G1358" s="451" t="s">
        <v>3543</v>
      </c>
      <c r="Z1358" s="500"/>
      <c r="AA1358" s="500"/>
      <c r="AB1358" s="500"/>
      <c r="AC1358" s="500"/>
      <c r="AD1358" s="500"/>
      <c r="AE1358" s="500"/>
      <c r="AF1358" s="500"/>
      <c r="AG1358" s="500"/>
      <c r="AH1358" s="500"/>
      <c r="AI1358" s="500"/>
      <c r="AJ1358" s="500"/>
      <c r="AK1358" s="500"/>
      <c r="AL1358" s="500"/>
      <c r="AM1358" s="500"/>
      <c r="AN1358" s="500"/>
      <c r="AO1358" s="500"/>
      <c r="AP1358" s="500"/>
    </row>
    <row r="1359" spans="1:42" ht="16.5" customHeight="1">
      <c r="A1359" s="439"/>
      <c r="B1359" s="439"/>
      <c r="C1359" s="439"/>
      <c r="D1359" s="439"/>
      <c r="E1359" s="439"/>
      <c r="F1359" s="439"/>
      <c r="G1359" s="451" t="s">
        <v>3406</v>
      </c>
      <c r="Z1359" s="500"/>
      <c r="AA1359" s="500"/>
      <c r="AB1359" s="500"/>
      <c r="AC1359" s="500"/>
      <c r="AD1359" s="500"/>
      <c r="AE1359" s="500"/>
      <c r="AF1359" s="500"/>
      <c r="AG1359" s="500"/>
      <c r="AH1359" s="500"/>
      <c r="AI1359" s="500"/>
      <c r="AJ1359" s="500"/>
      <c r="AK1359" s="500"/>
      <c r="AL1359" s="500"/>
      <c r="AM1359" s="500"/>
      <c r="AN1359" s="500"/>
      <c r="AO1359" s="500"/>
      <c r="AP1359" s="500"/>
    </row>
    <row r="1360" spans="1:42" ht="16.5" customHeight="1">
      <c r="A1360" s="434"/>
      <c r="B1360" s="437" t="s">
        <v>3544</v>
      </c>
      <c r="C1360" s="439"/>
      <c r="D1360" s="439"/>
      <c r="E1360" s="439"/>
      <c r="F1360" s="439"/>
      <c r="G1360" s="451" t="s">
        <v>3545</v>
      </c>
      <c r="Z1360" s="500"/>
      <c r="AA1360" s="500"/>
      <c r="AB1360" s="500"/>
      <c r="AC1360" s="500"/>
      <c r="AD1360" s="500"/>
      <c r="AE1360" s="500"/>
      <c r="AF1360" s="500"/>
      <c r="AG1360" s="500"/>
      <c r="AH1360" s="500"/>
      <c r="AI1360" s="500"/>
      <c r="AJ1360" s="500"/>
      <c r="AK1360" s="500"/>
      <c r="AL1360" s="500"/>
      <c r="AM1360" s="500"/>
      <c r="AN1360" s="500"/>
      <c r="AO1360" s="500"/>
      <c r="AP1360" s="500"/>
    </row>
    <row r="1361" spans="1:42" ht="16.5" customHeight="1">
      <c r="A1361" s="439"/>
      <c r="B1361" s="439"/>
      <c r="C1361" s="439"/>
      <c r="D1361" s="439"/>
      <c r="E1361" s="439"/>
      <c r="F1361" s="439"/>
      <c r="G1361" s="451" t="s">
        <v>3406</v>
      </c>
      <c r="Z1361" s="500"/>
      <c r="AA1361" s="500"/>
      <c r="AB1361" s="500"/>
      <c r="AC1361" s="500"/>
      <c r="AD1361" s="500"/>
      <c r="AE1361" s="500"/>
      <c r="AF1361" s="500"/>
      <c r="AG1361" s="500"/>
      <c r="AH1361" s="500"/>
      <c r="AI1361" s="500"/>
      <c r="AJ1361" s="500"/>
      <c r="AK1361" s="500"/>
      <c r="AL1361" s="500"/>
      <c r="AM1361" s="500"/>
      <c r="AN1361" s="500"/>
      <c r="AO1361" s="500"/>
      <c r="AP1361" s="500"/>
    </row>
    <row r="1362" spans="1:42" ht="16.5" customHeight="1">
      <c r="A1362" s="434"/>
      <c r="B1362" s="437" t="str">
        <f>" 일당 작업량 :   Q = "&amp;Z1362&amp;"  주 "</f>
        <v xml:space="preserve"> 일당 작업량 :   Q = 12  주 </v>
      </c>
      <c r="C1362" s="439"/>
      <c r="D1362" s="439"/>
      <c r="E1362" s="439"/>
      <c r="F1362" s="439"/>
      <c r="G1362" s="451" t="s">
        <v>3546</v>
      </c>
      <c r="Z1362" s="515">
        <v>12</v>
      </c>
      <c r="AA1362" s="501" t="s">
        <v>3418</v>
      </c>
      <c r="AB1362" s="512">
        <f>Z1362</f>
        <v>12</v>
      </c>
      <c r="AC1362" s="500"/>
      <c r="AD1362" s="500"/>
      <c r="AE1362" s="500"/>
      <c r="AF1362" s="500"/>
      <c r="AG1362" s="500"/>
      <c r="AH1362" s="500"/>
      <c r="AI1362" s="500"/>
      <c r="AJ1362" s="500"/>
      <c r="AK1362" s="500"/>
      <c r="AL1362" s="500"/>
      <c r="AM1362" s="500"/>
      <c r="AN1362" s="500"/>
      <c r="AO1362" s="500"/>
      <c r="AP1362" s="500"/>
    </row>
    <row r="1363" spans="1:42" ht="16.5" customHeight="1">
      <c r="A1363" s="439"/>
      <c r="B1363" s="439"/>
      <c r="C1363" s="439"/>
      <c r="D1363" s="439"/>
      <c r="E1363" s="439"/>
      <c r="F1363" s="439"/>
      <c r="G1363" s="451" t="s">
        <v>3406</v>
      </c>
      <c r="Z1363" s="500"/>
      <c r="AA1363" s="500"/>
      <c r="AB1363" s="500"/>
      <c r="AC1363" s="500"/>
      <c r="AD1363" s="500"/>
      <c r="AE1363" s="500"/>
      <c r="AF1363" s="500"/>
      <c r="AG1363" s="500"/>
      <c r="AH1363" s="500"/>
      <c r="AI1363" s="500"/>
      <c r="AJ1363" s="500"/>
      <c r="AK1363" s="500"/>
      <c r="AL1363" s="500"/>
      <c r="AM1363" s="500"/>
      <c r="AN1363" s="500"/>
      <c r="AO1363" s="500"/>
      <c r="AP1363" s="500"/>
    </row>
    <row r="1364" spans="1:42" ht="16.5" customHeight="1">
      <c r="A1364" s="434"/>
      <c r="B1364" s="437" t="s">
        <v>3547</v>
      </c>
      <c r="C1364" s="439"/>
      <c r="D1364" s="439"/>
      <c r="E1364" s="439"/>
      <c r="F1364" s="439"/>
      <c r="G1364" s="451" t="s">
        <v>3548</v>
      </c>
      <c r="Z1364" s="500"/>
      <c r="AA1364" s="500"/>
      <c r="AB1364" s="500"/>
      <c r="AC1364" s="500"/>
      <c r="AD1364" s="500"/>
      <c r="AE1364" s="500"/>
      <c r="AF1364" s="500"/>
      <c r="AG1364" s="500"/>
      <c r="AH1364" s="500"/>
      <c r="AI1364" s="500"/>
      <c r="AJ1364" s="500"/>
      <c r="AK1364" s="500"/>
      <c r="AL1364" s="500"/>
      <c r="AM1364" s="500"/>
      <c r="AN1364" s="500"/>
      <c r="AO1364" s="500"/>
      <c r="AP1364" s="500"/>
    </row>
    <row r="1365" spans="1:42" ht="16.5" customHeight="1">
      <c r="A1365" s="439"/>
      <c r="B1365" s="439"/>
      <c r="C1365" s="439"/>
      <c r="D1365" s="439"/>
      <c r="E1365" s="439"/>
      <c r="F1365" s="439"/>
      <c r="G1365" s="451" t="s">
        <v>3406</v>
      </c>
      <c r="Z1365" s="500"/>
      <c r="AA1365" s="500"/>
      <c r="AB1365" s="500"/>
      <c r="AC1365" s="500"/>
      <c r="AD1365" s="500"/>
      <c r="AE1365" s="500"/>
      <c r="AF1365" s="500"/>
      <c r="AG1365" s="500"/>
      <c r="AH1365" s="500"/>
      <c r="AI1365" s="500"/>
      <c r="AJ1365" s="500"/>
      <c r="AK1365" s="500"/>
      <c r="AL1365" s="500"/>
      <c r="AM1365" s="500"/>
      <c r="AN1365" s="500"/>
      <c r="AO1365" s="500"/>
      <c r="AP1365" s="500"/>
    </row>
    <row r="1366" spans="1:42" ht="16.5" customHeight="1">
      <c r="A1366" s="439"/>
      <c r="B1366" s="439"/>
      <c r="C1366" s="439"/>
      <c r="D1366" s="439"/>
      <c r="E1366" s="439"/>
      <c r="F1366" s="439"/>
      <c r="G1366" s="451" t="s">
        <v>3406</v>
      </c>
      <c r="Z1366" s="500"/>
      <c r="AA1366" s="500"/>
      <c r="AB1366" s="500"/>
      <c r="AC1366" s="500"/>
      <c r="AD1366" s="500"/>
      <c r="AE1366" s="500"/>
      <c r="AF1366" s="500"/>
      <c r="AG1366" s="500"/>
      <c r="AH1366" s="500"/>
      <c r="AI1366" s="500"/>
      <c r="AJ1366" s="500"/>
      <c r="AK1366" s="500"/>
      <c r="AL1366" s="500"/>
      <c r="AM1366" s="500"/>
      <c r="AN1366" s="500"/>
      <c r="AO1366" s="500"/>
      <c r="AP1366" s="500"/>
    </row>
    <row r="1367" spans="1:42" ht="16.5" customHeight="1">
      <c r="A1367" s="439"/>
      <c r="B1367" s="439"/>
      <c r="C1367" s="439"/>
      <c r="D1367" s="439"/>
      <c r="E1367" s="439"/>
      <c r="F1367" s="439"/>
      <c r="G1367" s="451" t="s">
        <v>3406</v>
      </c>
      <c r="Z1367" s="500"/>
      <c r="AA1367" s="500"/>
      <c r="AB1367" s="500"/>
      <c r="AC1367" s="500"/>
      <c r="AD1367" s="500"/>
      <c r="AE1367" s="500"/>
      <c r="AF1367" s="500"/>
      <c r="AG1367" s="500"/>
      <c r="AH1367" s="500"/>
      <c r="AI1367" s="500"/>
      <c r="AJ1367" s="500"/>
      <c r="AK1367" s="500"/>
      <c r="AL1367" s="500"/>
      <c r="AM1367" s="500"/>
      <c r="AN1367" s="500"/>
      <c r="AO1367" s="500"/>
      <c r="AP1367" s="500"/>
    </row>
    <row r="1368" spans="1:42" ht="16.5" customHeight="1">
      <c r="A1368" s="439"/>
      <c r="B1368" s="439"/>
      <c r="C1368" s="439"/>
      <c r="D1368" s="439"/>
      <c r="E1368" s="439"/>
      <c r="F1368" s="439"/>
      <c r="G1368" s="451" t="s">
        <v>3406</v>
      </c>
      <c r="Z1368" s="500"/>
      <c r="AA1368" s="500"/>
      <c r="AB1368" s="500"/>
      <c r="AC1368" s="500"/>
      <c r="AD1368" s="500"/>
      <c r="AE1368" s="500"/>
      <c r="AF1368" s="500"/>
      <c r="AG1368" s="500"/>
      <c r="AH1368" s="500"/>
      <c r="AI1368" s="500"/>
      <c r="AJ1368" s="500"/>
      <c r="AK1368" s="500"/>
      <c r="AL1368" s="500"/>
      <c r="AM1368" s="500"/>
      <c r="AN1368" s="500"/>
      <c r="AO1368" s="500"/>
      <c r="AP1368" s="500"/>
    </row>
    <row r="1369" spans="1:42" ht="16.5" customHeight="1">
      <c r="A1369" s="434"/>
      <c r="B1369" s="437" t="s">
        <v>3549</v>
      </c>
      <c r="C1369" s="439"/>
      <c r="D1369" s="439"/>
      <c r="E1369" s="439"/>
      <c r="F1369" s="439"/>
      <c r="G1369" s="451" t="s">
        <v>3550</v>
      </c>
      <c r="Z1369" s="500"/>
      <c r="AA1369" s="500"/>
      <c r="AB1369" s="500"/>
      <c r="AC1369" s="500"/>
      <c r="AD1369" s="500"/>
      <c r="AE1369" s="500"/>
      <c r="AF1369" s="500"/>
      <c r="AG1369" s="500"/>
      <c r="AH1369" s="500"/>
      <c r="AI1369" s="500"/>
      <c r="AJ1369" s="500"/>
      <c r="AK1369" s="500"/>
      <c r="AL1369" s="500"/>
      <c r="AM1369" s="500"/>
      <c r="AN1369" s="500"/>
      <c r="AO1369" s="500"/>
      <c r="AP1369" s="500"/>
    </row>
    <row r="1370" spans="1:42" ht="16.5" customHeight="1">
      <c r="A1370" s="439"/>
      <c r="B1370" s="439"/>
      <c r="C1370" s="439"/>
      <c r="D1370" s="439"/>
      <c r="E1370" s="439"/>
      <c r="F1370" s="439"/>
      <c r="G1370" s="451" t="s">
        <v>3406</v>
      </c>
      <c r="Z1370" s="500"/>
      <c r="AA1370" s="500"/>
      <c r="AB1370" s="500"/>
      <c r="AC1370" s="500"/>
      <c r="AD1370" s="500"/>
      <c r="AE1370" s="500"/>
      <c r="AF1370" s="500"/>
      <c r="AG1370" s="500"/>
      <c r="AH1370" s="500"/>
      <c r="AI1370" s="500"/>
      <c r="AJ1370" s="500"/>
      <c r="AK1370" s="500"/>
      <c r="AL1370" s="500"/>
      <c r="AM1370" s="500"/>
      <c r="AN1370" s="500"/>
      <c r="AO1370" s="500"/>
      <c r="AP1370" s="500"/>
    </row>
    <row r="1371" spans="1:42" ht="16.5" customHeight="1">
      <c r="A1371" s="434" t="s">
        <v>3498</v>
      </c>
      <c r="B1371" s="505" t="str">
        <f>" 조경공 :  "&amp;TEXT(I1371,"#,##0"&amp;IF(I1371&lt;&gt;INT(I1371),".###",""))&amp;" * "&amp;AA1371&amp;" 인  / Q = "&amp;TEXT(C1371,"#,##0.0")&amp;""</f>
        <v xml:space="preserve"> 조경공 :  235,204 * 3 인  / Q = 58,801.0</v>
      </c>
      <c r="C1371" s="506">
        <f>E1371+D1371+F1371</f>
        <v>58801</v>
      </c>
      <c r="D1371" s="506">
        <f>IF(H1371=0,0,ROUNDDOWN(J1371*H1371,1))</f>
        <v>58801</v>
      </c>
      <c r="E1371" s="506">
        <f>IF(H1371=0,0,ROUNDDOWN(K1371*H1371,1))</f>
        <v>0</v>
      </c>
      <c r="F1371" s="506">
        <f>IF(H1371=0,0,ROUNDDOWN(L1371*H1371,1))</f>
        <v>0</v>
      </c>
      <c r="G1371" s="451" t="s">
        <v>3551</v>
      </c>
      <c r="H1371" s="507">
        <f>ROUNDUP(AE1371,14-LEN(ABS(INT(AE1371))))</f>
        <v>0.25</v>
      </c>
      <c r="I1371" s="508">
        <f>K1371+J1371+L1371</f>
        <v>235204</v>
      </c>
      <c r="J1371" s="509">
        <f>노무비목록표!E15</f>
        <v>235204</v>
      </c>
      <c r="M1371" s="501" t="s">
        <v>2359</v>
      </c>
      <c r="N1371" s="501" t="s">
        <v>3416</v>
      </c>
      <c r="X1371" s="510" t="str">
        <f>노무비목록표!B15&amp;" / "&amp;노무비목록표!C15</f>
        <v xml:space="preserve">조경공 / </v>
      </c>
      <c r="Y1371" s="433" t="str">
        <f ca="1">HYPERLINK("#"&amp;노무비목록표!G2&amp;"!A"&amp;ROW(노무비목록표!A15),"L00184 →")</f>
        <v>L00184 →</v>
      </c>
      <c r="Z1371" s="501" t="s">
        <v>3500</v>
      </c>
      <c r="AA1371" s="515">
        <v>3</v>
      </c>
      <c r="AB1371" s="501" t="s">
        <v>3428</v>
      </c>
      <c r="AC1371" s="512">
        <f>AB1362</f>
        <v>12</v>
      </c>
      <c r="AD1371" s="501" t="s">
        <v>3418</v>
      </c>
      <c r="AE1371" s="512">
        <f>1*AA1371/AB1362</f>
        <v>0.25</v>
      </c>
      <c r="AF1371" s="500"/>
      <c r="AG1371" s="500"/>
      <c r="AH1371" s="500"/>
      <c r="AI1371" s="500"/>
      <c r="AJ1371" s="500"/>
      <c r="AK1371" s="500"/>
      <c r="AL1371" s="500"/>
      <c r="AM1371" s="500"/>
      <c r="AN1371" s="500"/>
      <c r="AO1371" s="500"/>
      <c r="AP1371" s="500"/>
    </row>
    <row r="1372" spans="1:42" ht="16.5" customHeight="1">
      <c r="A1372" s="439"/>
      <c r="B1372" s="439"/>
      <c r="C1372" s="439"/>
      <c r="D1372" s="439"/>
      <c r="E1372" s="439"/>
      <c r="F1372" s="439"/>
      <c r="G1372" s="451" t="s">
        <v>3406</v>
      </c>
      <c r="Z1372" s="500"/>
      <c r="AA1372" s="500"/>
      <c r="AB1372" s="500"/>
      <c r="AC1372" s="500"/>
      <c r="AD1372" s="500"/>
      <c r="AE1372" s="500"/>
      <c r="AF1372" s="500"/>
      <c r="AG1372" s="500"/>
      <c r="AH1372" s="500"/>
      <c r="AI1372" s="500"/>
      <c r="AJ1372" s="500"/>
      <c r="AK1372" s="500"/>
      <c r="AL1372" s="500"/>
      <c r="AM1372" s="500"/>
      <c r="AN1372" s="500"/>
      <c r="AO1372" s="500"/>
      <c r="AP1372" s="500"/>
    </row>
    <row r="1373" spans="1:42" ht="16.5" customHeight="1">
      <c r="A1373" s="439"/>
      <c r="B1373" s="439"/>
      <c r="C1373" s="439"/>
      <c r="D1373" s="439"/>
      <c r="E1373" s="439"/>
      <c r="F1373" s="439"/>
      <c r="G1373" s="451" t="s">
        <v>3406</v>
      </c>
      <c r="Z1373" s="500"/>
      <c r="AA1373" s="500"/>
      <c r="AB1373" s="500"/>
      <c r="AC1373" s="500"/>
      <c r="AD1373" s="500"/>
      <c r="AE1373" s="500"/>
      <c r="AF1373" s="500"/>
      <c r="AG1373" s="500"/>
      <c r="AH1373" s="500"/>
      <c r="AI1373" s="500"/>
      <c r="AJ1373" s="500"/>
      <c r="AK1373" s="500"/>
      <c r="AL1373" s="500"/>
      <c r="AM1373" s="500"/>
      <c r="AN1373" s="500"/>
      <c r="AO1373" s="500"/>
      <c r="AP1373" s="500"/>
    </row>
    <row r="1374" spans="1:42" ht="16.5" customHeight="1">
      <c r="A1374" s="434" t="s">
        <v>3414</v>
      </c>
      <c r="B1374" s="505" t="str">
        <f>" 보통인부 : "&amp;TEXT(I1374,"#,##0"&amp;IF(I1374&lt;&gt;INT(I1374),".###",""))&amp;" * "&amp;AA1374&amp;" 인  / Q = "&amp;TEXT(C1374,"#,##0.0")&amp;""</f>
        <v xml:space="preserve"> 보통인부 : 172,068 * 1 인  / Q = 14,339.0</v>
      </c>
      <c r="C1374" s="506">
        <f>E1374+D1374+F1374</f>
        <v>14339</v>
      </c>
      <c r="D1374" s="506">
        <f>IF(H1374=0,0,ROUNDDOWN(J1374*H1374,1))</f>
        <v>14339</v>
      </c>
      <c r="E1374" s="506">
        <f>IF(H1374=0,0,ROUNDDOWN(K1374*H1374,1))</f>
        <v>0</v>
      </c>
      <c r="F1374" s="506">
        <f>IF(H1374=0,0,ROUNDDOWN(L1374*H1374,1))</f>
        <v>0</v>
      </c>
      <c r="G1374" s="451" t="s">
        <v>3552</v>
      </c>
      <c r="H1374" s="507">
        <f>ROUNDUP(AE1374,14-LEN(ABS(INT(AE1374))))</f>
        <v>8.3333333333399998E-2</v>
      </c>
      <c r="I1374" s="508">
        <f>K1374+J1374+L1374</f>
        <v>172068</v>
      </c>
      <c r="J1374" s="509">
        <f>노무비목록표!E10</f>
        <v>172068</v>
      </c>
      <c r="M1374" s="501" t="s">
        <v>2363</v>
      </c>
      <c r="N1374" s="501" t="s">
        <v>3416</v>
      </c>
      <c r="X1374" s="510" t="str">
        <f>노무비목록표!B10&amp;" / "&amp;노무비목록표!C10</f>
        <v xml:space="preserve">보통인부 / </v>
      </c>
      <c r="Y1374" s="433" t="str">
        <f ca="1">HYPERLINK("#"&amp;노무비목록표!G2&amp;"!A"&amp;ROW(노무비목록표!A10),"L00017 →")</f>
        <v>L00017 →</v>
      </c>
      <c r="Z1374" s="501" t="s">
        <v>3500</v>
      </c>
      <c r="AA1374" s="515">
        <v>1</v>
      </c>
      <c r="AB1374" s="501" t="s">
        <v>3428</v>
      </c>
      <c r="AC1374" s="512">
        <f>AB1362</f>
        <v>12</v>
      </c>
      <c r="AD1374" s="501" t="s">
        <v>3418</v>
      </c>
      <c r="AE1374" s="512">
        <f>1*AA1374/AB1362</f>
        <v>8.3333333333333329E-2</v>
      </c>
      <c r="AF1374" s="500"/>
      <c r="AG1374" s="500"/>
      <c r="AH1374" s="500"/>
      <c r="AI1374" s="500"/>
      <c r="AJ1374" s="500"/>
      <c r="AK1374" s="500"/>
      <c r="AL1374" s="500"/>
      <c r="AM1374" s="500"/>
      <c r="AN1374" s="500"/>
      <c r="AO1374" s="500"/>
      <c r="AP1374" s="500"/>
    </row>
    <row r="1375" spans="1:42" ht="16.5" customHeight="1">
      <c r="A1375" s="439"/>
      <c r="B1375" s="439"/>
      <c r="C1375" s="439"/>
      <c r="D1375" s="439"/>
      <c r="E1375" s="439"/>
      <c r="F1375" s="439"/>
      <c r="G1375" s="451" t="s">
        <v>3406</v>
      </c>
      <c r="Z1375" s="500"/>
      <c r="AA1375" s="500"/>
      <c r="AB1375" s="500"/>
      <c r="AC1375" s="500"/>
      <c r="AD1375" s="500"/>
      <c r="AE1375" s="500"/>
      <c r="AF1375" s="500"/>
      <c r="AG1375" s="500"/>
      <c r="AH1375" s="500"/>
      <c r="AI1375" s="500"/>
      <c r="AJ1375" s="500"/>
      <c r="AK1375" s="500"/>
      <c r="AL1375" s="500"/>
      <c r="AM1375" s="500"/>
      <c r="AN1375" s="500"/>
      <c r="AO1375" s="500"/>
      <c r="AP1375" s="500"/>
    </row>
    <row r="1376" spans="1:42" ht="16.5" customHeight="1">
      <c r="A1376" s="434"/>
      <c r="B1376" s="437" t="s">
        <v>3419</v>
      </c>
      <c r="C1376" s="513">
        <f>E1376+D1376+F1376</f>
        <v>73140</v>
      </c>
      <c r="D1376" s="513">
        <f>SUMIF(N1357:N1375,M1376,D1357:D1375)</f>
        <v>73140</v>
      </c>
      <c r="E1376" s="513">
        <f>SUMIF(N1357:N1375,M1376,E1357:E1375)</f>
        <v>0</v>
      </c>
      <c r="F1376" s="513">
        <f>SUMIF(N1357:N1375,M1376,F1357:F1375)</f>
        <v>0</v>
      </c>
      <c r="G1376" s="451" t="s">
        <v>3439</v>
      </c>
      <c r="M1376" s="501" t="s">
        <v>3416</v>
      </c>
      <c r="N1376" s="501" t="s">
        <v>3421</v>
      </c>
      <c r="Z1376" s="500"/>
      <c r="AA1376" s="500"/>
      <c r="AB1376" s="500"/>
      <c r="AC1376" s="500"/>
      <c r="AD1376" s="500"/>
      <c r="AE1376" s="500"/>
      <c r="AF1376" s="500"/>
      <c r="AG1376" s="500"/>
      <c r="AH1376" s="500"/>
      <c r="AI1376" s="500"/>
      <c r="AJ1376" s="500"/>
      <c r="AK1376" s="500"/>
      <c r="AL1376" s="500"/>
      <c r="AM1376" s="500"/>
      <c r="AN1376" s="500"/>
      <c r="AO1376" s="500"/>
      <c r="AP1376" s="500"/>
    </row>
    <row r="1377" spans="1:42" ht="16.5" customHeight="1">
      <c r="A1377" s="439"/>
      <c r="B1377" s="439"/>
      <c r="C1377" s="504"/>
      <c r="D1377" s="504"/>
      <c r="E1377" s="504"/>
      <c r="F1377" s="504"/>
      <c r="G1377" s="451" t="s">
        <v>3406</v>
      </c>
      <c r="Z1377" s="500"/>
      <c r="AA1377" s="500"/>
      <c r="AB1377" s="500"/>
      <c r="AC1377" s="500"/>
      <c r="AD1377" s="500"/>
      <c r="AE1377" s="500"/>
      <c r="AF1377" s="500"/>
      <c r="AG1377" s="500"/>
      <c r="AH1377" s="500"/>
      <c r="AI1377" s="500"/>
      <c r="AJ1377" s="500"/>
      <c r="AK1377" s="500"/>
      <c r="AL1377" s="500"/>
      <c r="AM1377" s="500"/>
      <c r="AN1377" s="500"/>
      <c r="AO1377" s="500"/>
      <c r="AP1377" s="500"/>
    </row>
    <row r="1378" spans="1:42" ht="16.5" customHeight="1">
      <c r="A1378" s="439"/>
      <c r="B1378" s="439"/>
      <c r="C1378" s="439"/>
      <c r="D1378" s="439"/>
      <c r="E1378" s="439"/>
      <c r="F1378" s="439"/>
      <c r="G1378" s="451" t="s">
        <v>3406</v>
      </c>
      <c r="Z1378" s="500"/>
      <c r="AA1378" s="500"/>
      <c r="AB1378" s="500"/>
      <c r="AC1378" s="500"/>
      <c r="AD1378" s="500"/>
      <c r="AE1378" s="500"/>
      <c r="AF1378" s="500"/>
      <c r="AG1378" s="500"/>
      <c r="AH1378" s="500"/>
      <c r="AI1378" s="500"/>
      <c r="AJ1378" s="500"/>
      <c r="AK1378" s="500"/>
      <c r="AL1378" s="500"/>
      <c r="AM1378" s="500"/>
      <c r="AN1378" s="500"/>
      <c r="AO1378" s="500"/>
      <c r="AP1378" s="500"/>
    </row>
    <row r="1379" spans="1:42" ht="16.5" customHeight="1">
      <c r="A1379" s="434"/>
      <c r="B1379" s="437" t="s">
        <v>3553</v>
      </c>
      <c r="C1379" s="439"/>
      <c r="D1379" s="439"/>
      <c r="E1379" s="439"/>
      <c r="F1379" s="439"/>
      <c r="G1379" s="451" t="s">
        <v>3554</v>
      </c>
      <c r="Z1379" s="500"/>
      <c r="AA1379" s="500"/>
      <c r="AB1379" s="500"/>
      <c r="AC1379" s="500"/>
      <c r="AD1379" s="500"/>
      <c r="AE1379" s="500"/>
      <c r="AF1379" s="500"/>
      <c r="AG1379" s="500"/>
      <c r="AH1379" s="500"/>
      <c r="AI1379" s="500"/>
      <c r="AJ1379" s="500"/>
      <c r="AK1379" s="500"/>
      <c r="AL1379" s="500"/>
      <c r="AM1379" s="500"/>
      <c r="AN1379" s="500"/>
      <c r="AO1379" s="500"/>
      <c r="AP1379" s="500"/>
    </row>
    <row r="1380" spans="1:42" ht="16.5" customHeight="1">
      <c r="A1380" s="439"/>
      <c r="B1380" s="439"/>
      <c r="C1380" s="439"/>
      <c r="D1380" s="439"/>
      <c r="E1380" s="439"/>
      <c r="F1380" s="439"/>
      <c r="G1380" s="451" t="s">
        <v>3406</v>
      </c>
      <c r="Z1380" s="500"/>
      <c r="AA1380" s="500"/>
      <c r="AB1380" s="500"/>
      <c r="AC1380" s="500"/>
      <c r="AD1380" s="500"/>
      <c r="AE1380" s="500"/>
      <c r="AF1380" s="500"/>
      <c r="AG1380" s="500"/>
      <c r="AH1380" s="500"/>
      <c r="AI1380" s="500"/>
      <c r="AJ1380" s="500"/>
      <c r="AK1380" s="500"/>
      <c r="AL1380" s="500"/>
      <c r="AM1380" s="500"/>
      <c r="AN1380" s="500"/>
      <c r="AO1380" s="500"/>
      <c r="AP1380" s="500"/>
    </row>
    <row r="1381" spans="1:42" ht="16.5" customHeight="1">
      <c r="A1381" s="434" t="s">
        <v>3555</v>
      </c>
      <c r="B1381" s="505" t="str">
        <f>"  노 무 비 :  "&amp;TEXT(I1381,"#,##0"&amp;IF(I1381&lt;&gt;INT(I1381),".###",""))&amp;" / Q * "&amp;AC1381&amp;" = "&amp;TEXT(C1381,"#,##0.0")&amp;""</f>
        <v xml:space="preserve">  노 무 비 :  59,020 / Q * 8 = 39,346.6</v>
      </c>
      <c r="C1381" s="506">
        <f>E1381+D1381+F1381</f>
        <v>39346.6</v>
      </c>
      <c r="D1381" s="506">
        <f>IF(H1381=0,0,ROUNDDOWN(J1381*H1381,1))</f>
        <v>39346.6</v>
      </c>
      <c r="E1381" s="506">
        <f>IF(H1381=0,0,ROUNDDOWN(K1381*H1381,1))</f>
        <v>0</v>
      </c>
      <c r="F1381" s="506">
        <f>IF(H1381=0,0,ROUNDDOWN(L1381*H1381,1))</f>
        <v>0</v>
      </c>
      <c r="G1381" s="451" t="s">
        <v>3556</v>
      </c>
      <c r="H1381" s="507">
        <f>ROUNDUP(AE1381,14-LEN(ABS(INT(AE1381))))</f>
        <v>0.66666666666670005</v>
      </c>
      <c r="I1381" s="508">
        <f>K1381+J1381+L1381</f>
        <v>59020</v>
      </c>
      <c r="J1381" s="509">
        <f>중기목록표!F7</f>
        <v>59020</v>
      </c>
      <c r="M1381" s="501" t="s">
        <v>3557</v>
      </c>
      <c r="N1381" s="501" t="s">
        <v>3416</v>
      </c>
      <c r="X1381" s="510" t="str">
        <f>중기목록표!B7&amp;" / "&amp;중기목록표!C7</f>
        <v>굴착기(무한궤도) / 0.4㎥</v>
      </c>
      <c r="Y1381" s="433" t="str">
        <f ca="1">HYPERLINK("#"&amp;중기목록표!J2&amp;"!A"&amp;ROW(중기목록표!A7),"X00266 →")</f>
        <v>X00266 →</v>
      </c>
      <c r="Z1381" s="501" t="s">
        <v>3434</v>
      </c>
      <c r="AA1381" s="512">
        <f>AB1362</f>
        <v>12</v>
      </c>
      <c r="AB1381" s="501" t="s">
        <v>3368</v>
      </c>
      <c r="AC1381" s="515">
        <v>8</v>
      </c>
      <c r="AD1381" s="501" t="s">
        <v>3418</v>
      </c>
      <c r="AE1381" s="512">
        <f>1/AB1362*AC1381</f>
        <v>0.66666666666666663</v>
      </c>
      <c r="AF1381" s="500"/>
      <c r="AG1381" s="500"/>
      <c r="AH1381" s="500"/>
      <c r="AI1381" s="500"/>
      <c r="AJ1381" s="500"/>
      <c r="AK1381" s="500"/>
      <c r="AL1381" s="500"/>
      <c r="AM1381" s="500"/>
      <c r="AN1381" s="500"/>
      <c r="AO1381" s="500"/>
      <c r="AP1381" s="500"/>
    </row>
    <row r="1382" spans="1:42" ht="16.5" customHeight="1">
      <c r="A1382" s="439"/>
      <c r="B1382" s="439"/>
      <c r="C1382" s="439"/>
      <c r="D1382" s="439"/>
      <c r="E1382" s="439"/>
      <c r="F1382" s="439"/>
      <c r="G1382" s="451" t="s">
        <v>3406</v>
      </c>
      <c r="Z1382" s="500"/>
      <c r="AA1382" s="500"/>
      <c r="AB1382" s="500"/>
      <c r="AC1382" s="500"/>
      <c r="AD1382" s="500"/>
      <c r="AE1382" s="500"/>
      <c r="AF1382" s="500"/>
      <c r="AG1382" s="500"/>
      <c r="AH1382" s="500"/>
      <c r="AI1382" s="500"/>
      <c r="AJ1382" s="500"/>
      <c r="AK1382" s="500"/>
      <c r="AL1382" s="500"/>
      <c r="AM1382" s="500"/>
      <c r="AN1382" s="500"/>
      <c r="AO1382" s="500"/>
      <c r="AP1382" s="500"/>
    </row>
    <row r="1383" spans="1:42" ht="16.5" customHeight="1">
      <c r="A1383" s="434" t="s">
        <v>3558</v>
      </c>
      <c r="B1383" s="505" t="str">
        <f>"  재 료 비 :  "&amp;TEXT(I1383,"#,##0"&amp;IF(I1383&lt;&gt;INT(I1383),".###",""))&amp;" / Q * "&amp;AC1383&amp;" = "&amp;TEXT(C1383,"#,##0.0")&amp;""</f>
        <v xml:space="preserve">  재 료 비 :  16,655 / Q * 8 = 11,103.3</v>
      </c>
      <c r="C1383" s="506">
        <f>E1383+D1383+F1383</f>
        <v>11103.3</v>
      </c>
      <c r="D1383" s="506">
        <f>IF(H1383=0,0,ROUNDDOWN(J1383*H1383,1))</f>
        <v>0</v>
      </c>
      <c r="E1383" s="506">
        <f>IF(H1383=0,0,ROUNDDOWN(K1383*H1383,1))</f>
        <v>11103.3</v>
      </c>
      <c r="F1383" s="506">
        <f>IF(H1383=0,0,ROUNDDOWN(L1383*H1383,1))</f>
        <v>0</v>
      </c>
      <c r="G1383" s="451" t="s">
        <v>3559</v>
      </c>
      <c r="H1383" s="507">
        <f>ROUNDUP(AE1383,14-LEN(ABS(INT(AE1383))))</f>
        <v>0.66666666666670005</v>
      </c>
      <c r="I1383" s="508">
        <f>K1383+J1383+L1383</f>
        <v>16655</v>
      </c>
      <c r="K1383" s="509">
        <f>중기목록표!G7</f>
        <v>16655</v>
      </c>
      <c r="M1383" s="501" t="s">
        <v>3557</v>
      </c>
      <c r="N1383" s="501" t="s">
        <v>3416</v>
      </c>
      <c r="X1383" s="510" t="str">
        <f>중기목록표!B7&amp;" / "&amp;중기목록표!C7</f>
        <v>굴착기(무한궤도) / 0.4㎥</v>
      </c>
      <c r="Y1383" s="433" t="str">
        <f ca="1">HYPERLINK("#"&amp;중기목록표!J2&amp;"!A"&amp;ROW(중기목록표!A7),"X00266 →")</f>
        <v>X00266 →</v>
      </c>
      <c r="Z1383" s="501" t="s">
        <v>3434</v>
      </c>
      <c r="AA1383" s="512">
        <f>AB1362</f>
        <v>12</v>
      </c>
      <c r="AB1383" s="501" t="s">
        <v>3368</v>
      </c>
      <c r="AC1383" s="515">
        <v>8</v>
      </c>
      <c r="AD1383" s="501" t="s">
        <v>3418</v>
      </c>
      <c r="AE1383" s="512">
        <f>1/AB1362*AC1383</f>
        <v>0.66666666666666663</v>
      </c>
      <c r="AF1383" s="500"/>
      <c r="AG1383" s="500"/>
      <c r="AH1383" s="500"/>
      <c r="AI1383" s="500"/>
      <c r="AJ1383" s="500"/>
      <c r="AK1383" s="500"/>
      <c r="AL1383" s="500"/>
      <c r="AM1383" s="500"/>
      <c r="AN1383" s="500"/>
      <c r="AO1383" s="500"/>
      <c r="AP1383" s="500"/>
    </row>
    <row r="1384" spans="1:42" ht="16.5" customHeight="1">
      <c r="A1384" s="439"/>
      <c r="B1384" s="439"/>
      <c r="C1384" s="439"/>
      <c r="D1384" s="439"/>
      <c r="E1384" s="439"/>
      <c r="F1384" s="439"/>
      <c r="G1384" s="451" t="s">
        <v>3406</v>
      </c>
      <c r="Z1384" s="500"/>
      <c r="AA1384" s="500"/>
      <c r="AB1384" s="500"/>
      <c r="AC1384" s="500"/>
      <c r="AD1384" s="500"/>
      <c r="AE1384" s="500"/>
      <c r="AF1384" s="500"/>
      <c r="AG1384" s="500"/>
      <c r="AH1384" s="500"/>
      <c r="AI1384" s="500"/>
      <c r="AJ1384" s="500"/>
      <c r="AK1384" s="500"/>
      <c r="AL1384" s="500"/>
      <c r="AM1384" s="500"/>
      <c r="AN1384" s="500"/>
      <c r="AO1384" s="500"/>
      <c r="AP1384" s="500"/>
    </row>
    <row r="1385" spans="1:42" ht="16.5" customHeight="1">
      <c r="A1385" s="434" t="s">
        <v>3560</v>
      </c>
      <c r="B1385" s="505" t="str">
        <f>"  경    비 :  "&amp;TEXT(I1385,"#,##0"&amp;IF(I1385&lt;&gt;INT(I1385),".###",""))&amp;" / Q * "&amp;AC1385&amp;" = "&amp;TEXT(C1385,"#,##0.0")&amp;""</f>
        <v xml:space="preserve">  경    비 :  17,514 / Q * 8 = 11,676.0</v>
      </c>
      <c r="C1385" s="506">
        <f>E1385+D1385+F1385</f>
        <v>11676</v>
      </c>
      <c r="D1385" s="506">
        <f>IF(H1385=0,0,ROUNDDOWN(J1385*H1385,1))</f>
        <v>0</v>
      </c>
      <c r="E1385" s="506">
        <f>IF(H1385=0,0,ROUNDDOWN(K1385*H1385,1))</f>
        <v>0</v>
      </c>
      <c r="F1385" s="506">
        <f>IF(H1385=0,0,ROUNDDOWN(L1385*H1385,1))</f>
        <v>11676</v>
      </c>
      <c r="G1385" s="451" t="s">
        <v>3561</v>
      </c>
      <c r="H1385" s="507">
        <f>ROUNDUP(AE1385,14-LEN(ABS(INT(AE1385))))</f>
        <v>0.66666666666670005</v>
      </c>
      <c r="I1385" s="508">
        <f>K1385+J1385+L1385</f>
        <v>17514</v>
      </c>
      <c r="L1385" s="509">
        <f>중기목록표!H7</f>
        <v>17514</v>
      </c>
      <c r="M1385" s="501" t="s">
        <v>3557</v>
      </c>
      <c r="N1385" s="501" t="s">
        <v>3416</v>
      </c>
      <c r="X1385" s="510" t="str">
        <f>중기목록표!B7&amp;" / "&amp;중기목록표!C7</f>
        <v>굴착기(무한궤도) / 0.4㎥</v>
      </c>
      <c r="Y1385" s="433" t="str">
        <f ca="1">HYPERLINK("#"&amp;중기목록표!J2&amp;"!A"&amp;ROW(중기목록표!A7),"X00266 →")</f>
        <v>X00266 →</v>
      </c>
      <c r="Z1385" s="501" t="s">
        <v>3434</v>
      </c>
      <c r="AA1385" s="512">
        <f>AB1362</f>
        <v>12</v>
      </c>
      <c r="AB1385" s="501" t="s">
        <v>3368</v>
      </c>
      <c r="AC1385" s="515">
        <v>8</v>
      </c>
      <c r="AD1385" s="501" t="s">
        <v>3418</v>
      </c>
      <c r="AE1385" s="512">
        <f>1/AB1362*AC1385</f>
        <v>0.66666666666666663</v>
      </c>
      <c r="AF1385" s="500"/>
      <c r="AG1385" s="500"/>
      <c r="AH1385" s="500"/>
      <c r="AI1385" s="500"/>
      <c r="AJ1385" s="500"/>
      <c r="AK1385" s="500"/>
      <c r="AL1385" s="500"/>
      <c r="AM1385" s="500"/>
      <c r="AN1385" s="500"/>
      <c r="AO1385" s="500"/>
      <c r="AP1385" s="500"/>
    </row>
    <row r="1386" spans="1:42" ht="16.5" customHeight="1">
      <c r="A1386" s="439"/>
      <c r="B1386" s="439"/>
      <c r="C1386" s="439"/>
      <c r="D1386" s="439"/>
      <c r="E1386" s="439"/>
      <c r="F1386" s="439"/>
      <c r="G1386" s="451" t="s">
        <v>3406</v>
      </c>
      <c r="Z1386" s="500"/>
      <c r="AA1386" s="500"/>
      <c r="AB1386" s="500"/>
      <c r="AC1386" s="500"/>
      <c r="AD1386" s="500"/>
      <c r="AE1386" s="500"/>
      <c r="AF1386" s="500"/>
      <c r="AG1386" s="500"/>
      <c r="AH1386" s="500"/>
      <c r="AI1386" s="500"/>
      <c r="AJ1386" s="500"/>
      <c r="AK1386" s="500"/>
      <c r="AL1386" s="500"/>
      <c r="AM1386" s="500"/>
      <c r="AN1386" s="500"/>
      <c r="AO1386" s="500"/>
      <c r="AP1386" s="500"/>
    </row>
    <row r="1387" spans="1:42" ht="16.5" customHeight="1">
      <c r="A1387" s="439"/>
      <c r="B1387" s="439"/>
      <c r="C1387" s="439"/>
      <c r="D1387" s="439"/>
      <c r="E1387" s="439"/>
      <c r="F1387" s="439"/>
      <c r="G1387" s="451" t="s">
        <v>3406</v>
      </c>
      <c r="Z1387" s="500"/>
      <c r="AA1387" s="500"/>
      <c r="AB1387" s="500"/>
      <c r="AC1387" s="500"/>
      <c r="AD1387" s="500"/>
      <c r="AE1387" s="500"/>
      <c r="AF1387" s="500"/>
      <c r="AG1387" s="500"/>
      <c r="AH1387" s="500"/>
      <c r="AI1387" s="500"/>
      <c r="AJ1387" s="500"/>
      <c r="AK1387" s="500"/>
      <c r="AL1387" s="500"/>
      <c r="AM1387" s="500"/>
      <c r="AN1387" s="500"/>
      <c r="AO1387" s="500"/>
      <c r="AP1387" s="500"/>
    </row>
    <row r="1388" spans="1:42" ht="16.5" customHeight="1">
      <c r="A1388" s="439"/>
      <c r="B1388" s="439"/>
      <c r="C1388" s="439"/>
      <c r="D1388" s="439"/>
      <c r="E1388" s="439"/>
      <c r="F1388" s="439"/>
      <c r="G1388" s="451" t="s">
        <v>3406</v>
      </c>
      <c r="Z1388" s="500"/>
      <c r="AA1388" s="500"/>
      <c r="AB1388" s="500"/>
      <c r="AC1388" s="500"/>
      <c r="AD1388" s="500"/>
      <c r="AE1388" s="500"/>
      <c r="AF1388" s="500"/>
      <c r="AG1388" s="500"/>
      <c r="AH1388" s="500"/>
      <c r="AI1388" s="500"/>
      <c r="AJ1388" s="500"/>
      <c r="AK1388" s="500"/>
      <c r="AL1388" s="500"/>
      <c r="AM1388" s="500"/>
      <c r="AN1388" s="500"/>
      <c r="AO1388" s="500"/>
      <c r="AP1388" s="500"/>
    </row>
    <row r="1389" spans="1:42" ht="16.5" customHeight="1">
      <c r="A1389" s="434"/>
      <c r="B1389" s="437" t="s">
        <v>3419</v>
      </c>
      <c r="C1389" s="513">
        <f>E1389+D1389+F1389</f>
        <v>62125.899999999994</v>
      </c>
      <c r="D1389" s="513">
        <f>SUMIF(N1377:N1388,M1389,D1377:D1388)</f>
        <v>39346.6</v>
      </c>
      <c r="E1389" s="513">
        <f>SUMIF(N1377:N1388,M1389,E1377:E1388)</f>
        <v>11103.3</v>
      </c>
      <c r="F1389" s="513">
        <f>SUMIF(N1377:N1388,M1389,F1377:F1388)</f>
        <v>11676</v>
      </c>
      <c r="G1389" s="451" t="s">
        <v>3439</v>
      </c>
      <c r="M1389" s="501" t="s">
        <v>3416</v>
      </c>
      <c r="N1389" s="501" t="s">
        <v>3421</v>
      </c>
      <c r="Z1389" s="500"/>
      <c r="AA1389" s="500"/>
      <c r="AB1389" s="500"/>
      <c r="AC1389" s="500"/>
      <c r="AD1389" s="500"/>
      <c r="AE1389" s="500"/>
      <c r="AF1389" s="500"/>
      <c r="AG1389" s="500"/>
      <c r="AH1389" s="500"/>
      <c r="AI1389" s="500"/>
      <c r="AJ1389" s="500"/>
      <c r="AK1389" s="500"/>
      <c r="AL1389" s="500"/>
      <c r="AM1389" s="500"/>
      <c r="AN1389" s="500"/>
      <c r="AO1389" s="500"/>
      <c r="AP1389" s="500"/>
    </row>
    <row r="1390" spans="1:42" ht="16.5" customHeight="1">
      <c r="A1390" s="439"/>
      <c r="B1390" s="439"/>
      <c r="C1390" s="504"/>
      <c r="D1390" s="504"/>
      <c r="E1390" s="504"/>
      <c r="F1390" s="504"/>
      <c r="G1390" s="451" t="s">
        <v>3406</v>
      </c>
      <c r="Z1390" s="500"/>
      <c r="AA1390" s="500"/>
      <c r="AB1390" s="500"/>
      <c r="AC1390" s="500"/>
      <c r="AD1390" s="500"/>
      <c r="AE1390" s="500"/>
      <c r="AF1390" s="500"/>
      <c r="AG1390" s="500"/>
      <c r="AH1390" s="500"/>
      <c r="AI1390" s="500"/>
      <c r="AJ1390" s="500"/>
      <c r="AK1390" s="500"/>
      <c r="AL1390" s="500"/>
      <c r="AM1390" s="500"/>
      <c r="AN1390" s="500"/>
      <c r="AO1390" s="500"/>
      <c r="AP1390" s="500"/>
    </row>
    <row r="1391" spans="1:42" ht="16.5" customHeight="1">
      <c r="A1391" s="439"/>
      <c r="B1391" s="439"/>
      <c r="C1391" s="439"/>
      <c r="D1391" s="439"/>
      <c r="E1391" s="439"/>
      <c r="F1391" s="439"/>
      <c r="G1391" s="451" t="s">
        <v>3406</v>
      </c>
      <c r="Z1391" s="500"/>
      <c r="AA1391" s="500"/>
      <c r="AB1391" s="500"/>
      <c r="AC1391" s="500"/>
      <c r="AD1391" s="500"/>
      <c r="AE1391" s="500"/>
      <c r="AF1391" s="500"/>
      <c r="AG1391" s="500"/>
      <c r="AH1391" s="500"/>
      <c r="AI1391" s="500"/>
      <c r="AJ1391" s="500"/>
      <c r="AK1391" s="500"/>
      <c r="AL1391" s="500"/>
      <c r="AM1391" s="500"/>
      <c r="AN1391" s="500"/>
      <c r="AO1391" s="500"/>
      <c r="AP1391" s="500"/>
    </row>
    <row r="1392" spans="1:42" ht="16.5" customHeight="1">
      <c r="A1392" s="434"/>
      <c r="B1392" s="437" t="s">
        <v>3562</v>
      </c>
      <c r="C1392" s="439"/>
      <c r="D1392" s="439"/>
      <c r="E1392" s="439"/>
      <c r="F1392" s="439"/>
      <c r="G1392" s="451" t="s">
        <v>3563</v>
      </c>
      <c r="Z1392" s="500"/>
      <c r="AA1392" s="500"/>
      <c r="AB1392" s="500"/>
      <c r="AC1392" s="500"/>
      <c r="AD1392" s="500"/>
      <c r="AE1392" s="500"/>
      <c r="AF1392" s="500"/>
      <c r="AG1392" s="500"/>
      <c r="AH1392" s="500"/>
      <c r="AI1392" s="500"/>
      <c r="AJ1392" s="500"/>
      <c r="AK1392" s="500"/>
      <c r="AL1392" s="500"/>
      <c r="AM1392" s="500"/>
      <c r="AN1392" s="500"/>
      <c r="AO1392" s="500"/>
      <c r="AP1392" s="500"/>
    </row>
    <row r="1393" spans="1:42" ht="16.5" customHeight="1">
      <c r="A1393" s="439"/>
      <c r="B1393" s="439"/>
      <c r="C1393" s="439"/>
      <c r="D1393" s="439"/>
      <c r="E1393" s="439"/>
      <c r="F1393" s="439"/>
      <c r="G1393" s="451" t="s">
        <v>3406</v>
      </c>
      <c r="Z1393" s="500"/>
      <c r="AA1393" s="500"/>
      <c r="AB1393" s="500"/>
      <c r="AC1393" s="500"/>
      <c r="AD1393" s="500"/>
      <c r="AE1393" s="500"/>
      <c r="AF1393" s="500"/>
      <c r="AG1393" s="500"/>
      <c r="AH1393" s="500"/>
      <c r="AI1393" s="500"/>
      <c r="AJ1393" s="500"/>
      <c r="AK1393" s="500"/>
      <c r="AL1393" s="500"/>
      <c r="AM1393" s="500"/>
      <c r="AN1393" s="500"/>
      <c r="AO1393" s="500"/>
      <c r="AP1393" s="500"/>
    </row>
    <row r="1394" spans="1:42" ht="16.5" customHeight="1">
      <c r="A1394" s="434" t="s">
        <v>3564</v>
      </c>
      <c r="B1394" s="505" t="str">
        <f>"  지주목삼발이, L1800 : "&amp;TEXT(I1394,"#,##0"&amp;IF(I1394&lt;&gt;INT(I1394),".###",""))&amp;" * "&amp;AA1394&amp;" 조  = "&amp;TEXT(C1394,"#,##0.0")&amp;""</f>
        <v xml:space="preserve">  지주목삼발이, L1800 : 13,400 * 1 조  = 13,400.0</v>
      </c>
      <c r="C1394" s="506">
        <f>E1394+D1394+F1394</f>
        <v>13400</v>
      </c>
      <c r="D1394" s="506">
        <f>IF(H1394=0,0,ROUNDDOWN(J1394*H1394,1))</f>
        <v>0</v>
      </c>
      <c r="E1394" s="506">
        <f>IF(H1394=0,0,ROUNDDOWN(K1394*H1394,1))</f>
        <v>13400</v>
      </c>
      <c r="F1394" s="506">
        <f>IF(H1394=0,0,ROUNDDOWN(L1394*H1394,1))</f>
        <v>0</v>
      </c>
      <c r="G1394" s="451" t="s">
        <v>3565</v>
      </c>
      <c r="H1394" s="507">
        <f>ROUNDUP(AC1394,14-LEN(ABS(INT(AC1394))))</f>
        <v>1</v>
      </c>
      <c r="I1394" s="508">
        <f>K1394+J1394+L1394</f>
        <v>13400</v>
      </c>
      <c r="K1394" s="509">
        <f>재료비목록표!E92</f>
        <v>13400</v>
      </c>
      <c r="M1394" s="501" t="s">
        <v>3566</v>
      </c>
      <c r="N1394" s="501" t="s">
        <v>3416</v>
      </c>
      <c r="X1394" s="510" t="str">
        <f>재료비목록표!B92&amp;" / "&amp;재료비목록표!C92</f>
        <v>지주목 / 삼발이, L1800</v>
      </c>
      <c r="Y1394" s="433" t="str">
        <f ca="1">HYPERLINK("#"&amp;재료비목록표!G2&amp;"!A"&amp;ROW(재료비목록표!A92),"M08850 →")</f>
        <v>M08850 →</v>
      </c>
      <c r="Z1394" s="501" t="s">
        <v>3500</v>
      </c>
      <c r="AA1394" s="515">
        <v>1</v>
      </c>
      <c r="AB1394" s="501" t="s">
        <v>3418</v>
      </c>
      <c r="AC1394" s="512">
        <f>1*AA1394</f>
        <v>1</v>
      </c>
      <c r="AD1394" s="500"/>
      <c r="AE1394" s="500"/>
      <c r="AF1394" s="500"/>
      <c r="AG1394" s="500"/>
      <c r="AH1394" s="500"/>
      <c r="AI1394" s="500"/>
      <c r="AJ1394" s="500"/>
      <c r="AK1394" s="500"/>
      <c r="AL1394" s="500"/>
      <c r="AM1394" s="500"/>
      <c r="AN1394" s="500"/>
      <c r="AO1394" s="500"/>
      <c r="AP1394" s="500"/>
    </row>
    <row r="1395" spans="1:42" ht="16.5" customHeight="1">
      <c r="A1395" s="439"/>
      <c r="B1395" s="439"/>
      <c r="C1395" s="439"/>
      <c r="D1395" s="439"/>
      <c r="E1395" s="439"/>
      <c r="F1395" s="439"/>
      <c r="G1395" s="451" t="s">
        <v>3406</v>
      </c>
      <c r="Z1395" s="500"/>
      <c r="AA1395" s="500"/>
      <c r="AB1395" s="500"/>
      <c r="AC1395" s="500"/>
      <c r="AD1395" s="500"/>
      <c r="AE1395" s="500"/>
      <c r="AF1395" s="500"/>
      <c r="AG1395" s="500"/>
      <c r="AH1395" s="500"/>
      <c r="AI1395" s="500"/>
      <c r="AJ1395" s="500"/>
      <c r="AK1395" s="500"/>
      <c r="AL1395" s="500"/>
      <c r="AM1395" s="500"/>
      <c r="AN1395" s="500"/>
      <c r="AO1395" s="500"/>
      <c r="AP1395" s="500"/>
    </row>
    <row r="1396" spans="1:42" ht="16.5" customHeight="1">
      <c r="A1396" s="439"/>
      <c r="B1396" s="439"/>
      <c r="C1396" s="439"/>
      <c r="D1396" s="439"/>
      <c r="E1396" s="439"/>
      <c r="F1396" s="439"/>
      <c r="G1396" s="451" t="s">
        <v>3406</v>
      </c>
      <c r="Z1396" s="500"/>
      <c r="AA1396" s="500"/>
      <c r="AB1396" s="500"/>
      <c r="AC1396" s="500"/>
      <c r="AD1396" s="500"/>
      <c r="AE1396" s="500"/>
      <c r="AF1396" s="500"/>
      <c r="AG1396" s="500"/>
      <c r="AH1396" s="500"/>
      <c r="AI1396" s="500"/>
      <c r="AJ1396" s="500"/>
      <c r="AK1396" s="500"/>
      <c r="AL1396" s="500"/>
      <c r="AM1396" s="500"/>
      <c r="AN1396" s="500"/>
      <c r="AO1396" s="500"/>
      <c r="AP1396" s="500"/>
    </row>
    <row r="1397" spans="1:42" ht="16.5" customHeight="1">
      <c r="A1397" s="439"/>
      <c r="B1397" s="439"/>
      <c r="C1397" s="439"/>
      <c r="D1397" s="439"/>
      <c r="E1397" s="439"/>
      <c r="F1397" s="439"/>
      <c r="G1397" s="451" t="s">
        <v>3406</v>
      </c>
      <c r="Z1397" s="500"/>
      <c r="AA1397" s="500"/>
      <c r="AB1397" s="500"/>
      <c r="AC1397" s="500"/>
      <c r="AD1397" s="500"/>
      <c r="AE1397" s="500"/>
      <c r="AF1397" s="500"/>
      <c r="AG1397" s="500"/>
      <c r="AH1397" s="500"/>
      <c r="AI1397" s="500"/>
      <c r="AJ1397" s="500"/>
      <c r="AK1397" s="500"/>
      <c r="AL1397" s="500"/>
      <c r="AM1397" s="500"/>
      <c r="AN1397" s="500"/>
      <c r="AO1397" s="500"/>
      <c r="AP1397" s="500"/>
    </row>
    <row r="1398" spans="1:42" ht="16.5" customHeight="1">
      <c r="A1398" s="434" t="s">
        <v>3504</v>
      </c>
      <c r="B1398" s="505" t="str">
        <f>"  유기질비료 수목이식·식재용 : "&amp;TEXT(I1398,"#,##0"&amp;IF(I1398&lt;&gt;INT(I1398),".###",""))&amp;" * "&amp;AA1398&amp;" KG   = "&amp;TEXT(C1398,"#,##0.0")&amp;""</f>
        <v xml:space="preserve">  유기질비료 수목이식·식재용 : 500 * 15 KG   = 7,500.0</v>
      </c>
      <c r="C1398" s="506">
        <f>E1398+D1398+F1398</f>
        <v>7500</v>
      </c>
      <c r="D1398" s="506">
        <f>IF(H1398=0,0,ROUNDDOWN(J1398*H1398,1))</f>
        <v>0</v>
      </c>
      <c r="E1398" s="506">
        <f>IF(H1398=0,0,ROUNDDOWN(K1398*H1398,1))</f>
        <v>7500</v>
      </c>
      <c r="F1398" s="506">
        <f>IF(H1398=0,0,ROUNDDOWN(L1398*H1398,1))</f>
        <v>0</v>
      </c>
      <c r="G1398" s="451" t="s">
        <v>3567</v>
      </c>
      <c r="H1398" s="507">
        <f>ROUNDUP(AC1398,14-LEN(ABS(INT(AC1398))))</f>
        <v>15</v>
      </c>
      <c r="I1398" s="508">
        <f>K1398+J1398+L1398</f>
        <v>500</v>
      </c>
      <c r="K1398" s="509">
        <f>재료비목록표!E78</f>
        <v>500</v>
      </c>
      <c r="M1398" s="501" t="s">
        <v>3506</v>
      </c>
      <c r="N1398" s="501" t="s">
        <v>3416</v>
      </c>
      <c r="X1398" s="510" t="str">
        <f>재료비목록표!B78&amp;" / "&amp;재료비목록표!C78</f>
        <v>유기질비료 / 수목이식·식재용</v>
      </c>
      <c r="Y1398" s="433" t="str">
        <f ca="1">HYPERLINK("#"&amp;재료비목록표!G2&amp;"!A"&amp;ROW(재료비목록표!A78),"M01159 →")</f>
        <v>M01159 →</v>
      </c>
      <c r="Z1398" s="501" t="s">
        <v>3500</v>
      </c>
      <c r="AA1398" s="515">
        <v>15</v>
      </c>
      <c r="AB1398" s="501" t="s">
        <v>3418</v>
      </c>
      <c r="AC1398" s="512">
        <f>1*AA1398</f>
        <v>15</v>
      </c>
      <c r="AD1398" s="500"/>
      <c r="AE1398" s="500"/>
      <c r="AF1398" s="500"/>
      <c r="AG1398" s="500"/>
      <c r="AH1398" s="500"/>
      <c r="AI1398" s="500"/>
      <c r="AJ1398" s="500"/>
      <c r="AK1398" s="500"/>
      <c r="AL1398" s="500"/>
      <c r="AM1398" s="500"/>
      <c r="AN1398" s="500"/>
      <c r="AO1398" s="500"/>
      <c r="AP1398" s="500"/>
    </row>
    <row r="1399" spans="1:42" ht="16.5" customHeight="1">
      <c r="A1399" s="439"/>
      <c r="B1399" s="439"/>
      <c r="C1399" s="439"/>
      <c r="D1399" s="439"/>
      <c r="E1399" s="439"/>
      <c r="F1399" s="439"/>
      <c r="G1399" s="451" t="s">
        <v>3406</v>
      </c>
      <c r="Z1399" s="500"/>
      <c r="AA1399" s="500"/>
      <c r="AB1399" s="500"/>
      <c r="AC1399" s="500"/>
      <c r="AD1399" s="500"/>
      <c r="AE1399" s="500"/>
      <c r="AF1399" s="500"/>
      <c r="AG1399" s="500"/>
      <c r="AH1399" s="500"/>
      <c r="AI1399" s="500"/>
      <c r="AJ1399" s="500"/>
      <c r="AK1399" s="500"/>
      <c r="AL1399" s="500"/>
      <c r="AM1399" s="500"/>
      <c r="AN1399" s="500"/>
      <c r="AO1399" s="500"/>
      <c r="AP1399" s="500"/>
    </row>
    <row r="1400" spans="1:42" ht="16.5" customHeight="1">
      <c r="A1400" s="434"/>
      <c r="B1400" s="437" t="s">
        <v>3419</v>
      </c>
      <c r="C1400" s="513">
        <f>E1400+D1400+F1400</f>
        <v>20900</v>
      </c>
      <c r="D1400" s="513">
        <f>SUMIF(N1390:N1399,M1400,D1390:D1399)</f>
        <v>0</v>
      </c>
      <c r="E1400" s="513">
        <f>SUMIF(N1390:N1399,M1400,E1390:E1399)</f>
        <v>20900</v>
      </c>
      <c r="F1400" s="513">
        <f>SUMIF(N1390:N1399,M1400,F1390:F1399)</f>
        <v>0</v>
      </c>
      <c r="G1400" s="451" t="s">
        <v>3439</v>
      </c>
      <c r="M1400" s="501" t="s">
        <v>3416</v>
      </c>
      <c r="N1400" s="501" t="s">
        <v>3421</v>
      </c>
      <c r="Z1400" s="500"/>
      <c r="AA1400" s="500"/>
      <c r="AB1400" s="500"/>
      <c r="AC1400" s="500"/>
      <c r="AD1400" s="500"/>
      <c r="AE1400" s="500"/>
      <c r="AF1400" s="500"/>
      <c r="AG1400" s="500"/>
      <c r="AH1400" s="500"/>
      <c r="AI1400" s="500"/>
      <c r="AJ1400" s="500"/>
      <c r="AK1400" s="500"/>
      <c r="AL1400" s="500"/>
      <c r="AM1400" s="500"/>
      <c r="AN1400" s="500"/>
      <c r="AO1400" s="500"/>
      <c r="AP1400" s="500"/>
    </row>
    <row r="1401" spans="1:42" ht="16.5" customHeight="1">
      <c r="A1401" s="439"/>
      <c r="B1401" s="439"/>
      <c r="C1401" s="504"/>
      <c r="D1401" s="504"/>
      <c r="E1401" s="504"/>
      <c r="F1401" s="504"/>
      <c r="G1401" s="451" t="s">
        <v>3406</v>
      </c>
      <c r="Z1401" s="500"/>
      <c r="AA1401" s="500"/>
      <c r="AB1401" s="500"/>
      <c r="AC1401" s="500"/>
      <c r="AD1401" s="500"/>
      <c r="AE1401" s="500"/>
      <c r="AF1401" s="500"/>
      <c r="AG1401" s="500"/>
      <c r="AH1401" s="500"/>
      <c r="AI1401" s="500"/>
      <c r="AJ1401" s="500"/>
      <c r="AK1401" s="500"/>
      <c r="AL1401" s="500"/>
      <c r="AM1401" s="500"/>
      <c r="AN1401" s="500"/>
      <c r="AO1401" s="500"/>
      <c r="AP1401" s="500"/>
    </row>
    <row r="1402" spans="1:42" ht="16.5" customHeight="1">
      <c r="A1402" s="434"/>
      <c r="B1402" s="437" t="s">
        <v>3440</v>
      </c>
      <c r="C1402" s="513">
        <f>E1402+D1402+F1402</f>
        <v>156165.9</v>
      </c>
      <c r="D1402" s="513">
        <f>SUMIF(N1357:N1401,M1402,D1357:D1401)</f>
        <v>112486.6</v>
      </c>
      <c r="E1402" s="513">
        <f>SUMIF(N1357:N1401,M1402,E1357:E1401)</f>
        <v>32003.3</v>
      </c>
      <c r="F1402" s="513">
        <f>SUMIF(N1357:N1401,M1402,F1357:F1401)</f>
        <v>11676</v>
      </c>
      <c r="G1402" s="451" t="s">
        <v>3441</v>
      </c>
      <c r="M1402" s="501" t="s">
        <v>3421</v>
      </c>
      <c r="N1402" s="501" t="s">
        <v>2354</v>
      </c>
      <c r="Z1402" s="500"/>
      <c r="AA1402" s="500"/>
      <c r="AB1402" s="500"/>
      <c r="AC1402" s="500"/>
      <c r="AD1402" s="500"/>
      <c r="AE1402" s="500"/>
      <c r="AF1402" s="500"/>
      <c r="AG1402" s="500"/>
      <c r="AH1402" s="500"/>
      <c r="AI1402" s="500"/>
      <c r="AJ1402" s="500"/>
      <c r="AK1402" s="500"/>
      <c r="AL1402" s="500"/>
      <c r="AM1402" s="500"/>
      <c r="AN1402" s="500"/>
      <c r="AO1402" s="500"/>
      <c r="AP1402" s="500"/>
    </row>
    <row r="1403" spans="1:42" ht="16.5" customHeight="1">
      <c r="A1403" s="439"/>
      <c r="B1403" s="439"/>
      <c r="C1403" s="504"/>
      <c r="D1403" s="504"/>
      <c r="E1403" s="504"/>
      <c r="F1403" s="504"/>
      <c r="G1403" s="451" t="s">
        <v>3413</v>
      </c>
      <c r="Z1403" s="500"/>
      <c r="AA1403" s="500"/>
      <c r="AB1403" s="500"/>
      <c r="AC1403" s="500"/>
      <c r="AD1403" s="500"/>
      <c r="AE1403" s="500"/>
      <c r="AF1403" s="500"/>
      <c r="AG1403" s="500"/>
      <c r="AH1403" s="500"/>
      <c r="AI1403" s="500"/>
      <c r="AJ1403" s="500"/>
      <c r="AK1403" s="500"/>
      <c r="AL1403" s="500"/>
      <c r="AM1403" s="500"/>
      <c r="AN1403" s="500"/>
      <c r="AO1403" s="500"/>
      <c r="AP1403" s="500"/>
    </row>
    <row r="1404" spans="1:42" ht="16.5" customHeight="1">
      <c r="A1404" s="439"/>
      <c r="B1404" s="439"/>
      <c r="C1404" s="439"/>
      <c r="D1404" s="439"/>
      <c r="E1404" s="439"/>
      <c r="F1404" s="439"/>
      <c r="Z1404" s="500"/>
      <c r="AA1404" s="500"/>
      <c r="AB1404" s="500"/>
      <c r="AC1404" s="500"/>
      <c r="AD1404" s="500"/>
      <c r="AE1404" s="500"/>
      <c r="AF1404" s="500"/>
      <c r="AG1404" s="500"/>
      <c r="AH1404" s="500"/>
      <c r="AI1404" s="500"/>
      <c r="AJ1404" s="500"/>
      <c r="AK1404" s="500"/>
      <c r="AL1404" s="500"/>
      <c r="AM1404" s="500"/>
      <c r="AN1404" s="500"/>
      <c r="AO1404" s="500"/>
      <c r="AP1404" s="500"/>
    </row>
    <row r="1405" spans="1:42" ht="16.5" customHeight="1">
      <c r="A1405" s="439"/>
      <c r="B1405" s="439"/>
      <c r="C1405" s="439"/>
      <c r="D1405" s="439"/>
      <c r="E1405" s="439"/>
      <c r="F1405" s="439"/>
      <c r="Z1405" s="500"/>
      <c r="AA1405" s="500"/>
      <c r="AB1405" s="500"/>
      <c r="AC1405" s="500"/>
      <c r="AD1405" s="500"/>
      <c r="AE1405" s="500"/>
      <c r="AF1405" s="500"/>
      <c r="AG1405" s="500"/>
      <c r="AH1405" s="500"/>
      <c r="AI1405" s="500"/>
      <c r="AJ1405" s="500"/>
      <c r="AK1405" s="500"/>
      <c r="AL1405" s="500"/>
      <c r="AM1405" s="500"/>
      <c r="AN1405" s="500"/>
      <c r="AO1405" s="500"/>
      <c r="AP1405" s="500"/>
    </row>
    <row r="1406" spans="1:42" ht="16.5" customHeight="1">
      <c r="A1406" s="439"/>
      <c r="B1406" s="439"/>
      <c r="C1406" s="439"/>
      <c r="D1406" s="439"/>
      <c r="E1406" s="439"/>
      <c r="F1406" s="439"/>
      <c r="Z1406" s="500"/>
      <c r="AA1406" s="500"/>
      <c r="AB1406" s="500"/>
      <c r="AC1406" s="500"/>
      <c r="AD1406" s="500"/>
      <c r="AE1406" s="500"/>
      <c r="AF1406" s="500"/>
      <c r="AG1406" s="500"/>
      <c r="AH1406" s="500"/>
      <c r="AI1406" s="500"/>
      <c r="AJ1406" s="500"/>
      <c r="AK1406" s="500"/>
      <c r="AL1406" s="500"/>
      <c r="AM1406" s="500"/>
      <c r="AN1406" s="500"/>
      <c r="AO1406" s="500"/>
      <c r="AP1406" s="500"/>
    </row>
    <row r="1407" spans="1:42" ht="16.5" customHeight="1">
      <c r="A1407" s="439"/>
      <c r="B1407" s="439"/>
      <c r="C1407" s="439"/>
      <c r="D1407" s="439"/>
      <c r="E1407" s="439"/>
      <c r="F1407" s="439"/>
      <c r="Z1407" s="500"/>
      <c r="AA1407" s="500"/>
      <c r="AB1407" s="500"/>
      <c r="AC1407" s="500"/>
      <c r="AD1407" s="500"/>
      <c r="AE1407" s="500"/>
      <c r="AF1407" s="500"/>
      <c r="AG1407" s="500"/>
      <c r="AH1407" s="500"/>
      <c r="AI1407" s="500"/>
      <c r="AJ1407" s="500"/>
      <c r="AK1407" s="500"/>
      <c r="AL1407" s="500"/>
      <c r="AM1407" s="500"/>
      <c r="AN1407" s="500"/>
      <c r="AO1407" s="500"/>
      <c r="AP1407" s="500"/>
    </row>
    <row r="1408" spans="1:42" ht="16.5" customHeight="1">
      <c r="A1408" s="439"/>
      <c r="B1408" s="439"/>
      <c r="C1408" s="439"/>
      <c r="D1408" s="439"/>
      <c r="E1408" s="439"/>
      <c r="F1408" s="439"/>
      <c r="Z1408" s="500"/>
      <c r="AA1408" s="500"/>
      <c r="AB1408" s="500"/>
      <c r="AC1408" s="500"/>
      <c r="AD1408" s="500"/>
      <c r="AE1408" s="500"/>
      <c r="AF1408" s="500"/>
      <c r="AG1408" s="500"/>
      <c r="AH1408" s="500"/>
      <c r="AI1408" s="500"/>
      <c r="AJ1408" s="500"/>
      <c r="AK1408" s="500"/>
      <c r="AL1408" s="500"/>
      <c r="AM1408" s="500"/>
      <c r="AN1408" s="500"/>
      <c r="AO1408" s="500"/>
      <c r="AP1408" s="500"/>
    </row>
    <row r="1409" spans="1:42" ht="16.5" customHeight="1">
      <c r="A1409" s="439"/>
      <c r="B1409" s="439"/>
      <c r="C1409" s="439"/>
      <c r="D1409" s="439"/>
      <c r="E1409" s="439"/>
      <c r="F1409" s="439"/>
      <c r="Z1409" s="500"/>
      <c r="AA1409" s="500"/>
      <c r="AB1409" s="500"/>
      <c r="AC1409" s="500"/>
      <c r="AD1409" s="500"/>
      <c r="AE1409" s="500"/>
      <c r="AF1409" s="500"/>
      <c r="AG1409" s="500"/>
      <c r="AH1409" s="500"/>
      <c r="AI1409" s="500"/>
      <c r="AJ1409" s="500"/>
      <c r="AK1409" s="500"/>
      <c r="AL1409" s="500"/>
      <c r="AM1409" s="500"/>
      <c r="AN1409" s="500"/>
      <c r="AO1409" s="500"/>
      <c r="AP1409" s="500"/>
    </row>
    <row r="1410" spans="1:42" ht="16.5" customHeight="1">
      <c r="A1410" s="439"/>
      <c r="B1410" s="439"/>
      <c r="C1410" s="439"/>
      <c r="D1410" s="439"/>
      <c r="E1410" s="439"/>
      <c r="F1410" s="439"/>
      <c r="Z1410" s="500"/>
      <c r="AA1410" s="500"/>
      <c r="AB1410" s="500"/>
      <c r="AC1410" s="500"/>
      <c r="AD1410" s="500"/>
      <c r="AE1410" s="500"/>
      <c r="AF1410" s="500"/>
      <c r="AG1410" s="500"/>
      <c r="AH1410" s="500"/>
      <c r="AI1410" s="500"/>
      <c r="AJ1410" s="500"/>
      <c r="AK1410" s="500"/>
      <c r="AL1410" s="500"/>
      <c r="AM1410" s="500"/>
      <c r="AN1410" s="500"/>
      <c r="AO1410" s="500"/>
      <c r="AP1410" s="500"/>
    </row>
    <row r="1411" spans="1:42" ht="16.5" customHeight="1">
      <c r="A1411" s="439"/>
      <c r="B1411" s="439"/>
      <c r="C1411" s="439"/>
      <c r="D1411" s="439"/>
      <c r="E1411" s="439"/>
      <c r="F1411" s="439"/>
      <c r="Z1411" s="500"/>
      <c r="AA1411" s="500"/>
      <c r="AB1411" s="500"/>
      <c r="AC1411" s="500"/>
      <c r="AD1411" s="500"/>
      <c r="AE1411" s="500"/>
      <c r="AF1411" s="500"/>
      <c r="AG1411" s="500"/>
      <c r="AH1411" s="500"/>
      <c r="AI1411" s="500"/>
      <c r="AJ1411" s="500"/>
      <c r="AK1411" s="500"/>
      <c r="AL1411" s="500"/>
      <c r="AM1411" s="500"/>
      <c r="AN1411" s="500"/>
      <c r="AO1411" s="500"/>
      <c r="AP1411" s="500"/>
    </row>
    <row r="1412" spans="1:42" ht="16.5" customHeight="1">
      <c r="A1412" s="439"/>
      <c r="B1412" s="439"/>
      <c r="C1412" s="439"/>
      <c r="D1412" s="439"/>
      <c r="E1412" s="439"/>
      <c r="F1412" s="439"/>
      <c r="Z1412" s="500"/>
      <c r="AA1412" s="500"/>
      <c r="AB1412" s="500"/>
      <c r="AC1412" s="500"/>
      <c r="AD1412" s="500"/>
      <c r="AE1412" s="500"/>
      <c r="AF1412" s="500"/>
      <c r="AG1412" s="500"/>
      <c r="AH1412" s="500"/>
      <c r="AI1412" s="500"/>
      <c r="AJ1412" s="500"/>
      <c r="AK1412" s="500"/>
      <c r="AL1412" s="500"/>
      <c r="AM1412" s="500"/>
      <c r="AN1412" s="500"/>
      <c r="AO1412" s="500"/>
      <c r="AP1412" s="500"/>
    </row>
    <row r="1413" spans="1:42" ht="16.5" customHeight="1">
      <c r="A1413" s="439"/>
      <c r="B1413" s="439"/>
      <c r="C1413" s="439"/>
      <c r="D1413" s="439"/>
      <c r="E1413" s="439"/>
      <c r="F1413" s="439"/>
      <c r="Z1413" s="500"/>
      <c r="AA1413" s="500"/>
      <c r="AB1413" s="500"/>
      <c r="AC1413" s="500"/>
      <c r="AD1413" s="500"/>
      <c r="AE1413" s="500"/>
      <c r="AF1413" s="500"/>
      <c r="AG1413" s="500"/>
      <c r="AH1413" s="500"/>
      <c r="AI1413" s="500"/>
      <c r="AJ1413" s="500"/>
      <c r="AK1413" s="500"/>
      <c r="AL1413" s="500"/>
      <c r="AM1413" s="500"/>
      <c r="AN1413" s="500"/>
      <c r="AO1413" s="500"/>
      <c r="AP1413" s="500"/>
    </row>
    <row r="1414" spans="1:42" ht="16.5" customHeight="1">
      <c r="A1414" s="439"/>
      <c r="B1414" s="439"/>
      <c r="C1414" s="439"/>
      <c r="D1414" s="439"/>
      <c r="E1414" s="439"/>
      <c r="F1414" s="439"/>
      <c r="Z1414" s="500"/>
      <c r="AA1414" s="500"/>
      <c r="AB1414" s="500"/>
      <c r="AC1414" s="500"/>
      <c r="AD1414" s="500"/>
      <c r="AE1414" s="500"/>
      <c r="AF1414" s="500"/>
      <c r="AG1414" s="500"/>
      <c r="AH1414" s="500"/>
      <c r="AI1414" s="500"/>
      <c r="AJ1414" s="500"/>
      <c r="AK1414" s="500"/>
      <c r="AL1414" s="500"/>
      <c r="AM1414" s="500"/>
      <c r="AN1414" s="500"/>
      <c r="AO1414" s="500"/>
      <c r="AP1414" s="500"/>
    </row>
    <row r="1415" spans="1:42" ht="16.5" customHeight="1">
      <c r="A1415" s="439"/>
      <c r="B1415" s="439"/>
      <c r="C1415" s="439"/>
      <c r="D1415" s="439"/>
      <c r="E1415" s="439"/>
      <c r="F1415" s="439"/>
      <c r="Z1415" s="500"/>
      <c r="AA1415" s="500"/>
      <c r="AB1415" s="500"/>
      <c r="AC1415" s="500"/>
      <c r="AD1415" s="500"/>
      <c r="AE1415" s="500"/>
      <c r="AF1415" s="500"/>
      <c r="AG1415" s="500"/>
      <c r="AH1415" s="500"/>
      <c r="AI1415" s="500"/>
      <c r="AJ1415" s="500"/>
      <c r="AK1415" s="500"/>
      <c r="AL1415" s="500"/>
      <c r="AM1415" s="500"/>
      <c r="AN1415" s="500"/>
      <c r="AO1415" s="500"/>
      <c r="AP1415" s="500"/>
    </row>
    <row r="1416" spans="1:42" ht="16.5" customHeight="1">
      <c r="A1416" s="439"/>
      <c r="B1416" s="439"/>
      <c r="C1416" s="439"/>
      <c r="D1416" s="439"/>
      <c r="E1416" s="439"/>
      <c r="F1416" s="439"/>
      <c r="Z1416" s="500"/>
      <c r="AA1416" s="500"/>
      <c r="AB1416" s="500"/>
      <c r="AC1416" s="500"/>
      <c r="AD1416" s="500"/>
      <c r="AE1416" s="500"/>
      <c r="AF1416" s="500"/>
      <c r="AG1416" s="500"/>
      <c r="AH1416" s="500"/>
      <c r="AI1416" s="500"/>
      <c r="AJ1416" s="500"/>
      <c r="AK1416" s="500"/>
      <c r="AL1416" s="500"/>
      <c r="AM1416" s="500"/>
      <c r="AN1416" s="500"/>
      <c r="AO1416" s="500"/>
      <c r="AP1416" s="500"/>
    </row>
    <row r="1417" spans="1:42" ht="16.5" customHeight="1">
      <c r="A1417" s="439"/>
      <c r="B1417" s="439"/>
      <c r="C1417" s="439"/>
      <c r="D1417" s="439"/>
      <c r="E1417" s="439"/>
      <c r="F1417" s="439"/>
      <c r="Z1417" s="500"/>
      <c r="AA1417" s="500"/>
      <c r="AB1417" s="500"/>
      <c r="AC1417" s="500"/>
      <c r="AD1417" s="500"/>
      <c r="AE1417" s="500"/>
      <c r="AF1417" s="500"/>
      <c r="AG1417" s="500"/>
      <c r="AH1417" s="500"/>
      <c r="AI1417" s="500"/>
      <c r="AJ1417" s="500"/>
      <c r="AK1417" s="500"/>
      <c r="AL1417" s="500"/>
      <c r="AM1417" s="500"/>
      <c r="AN1417" s="500"/>
      <c r="AO1417" s="500"/>
      <c r="AP1417" s="500"/>
    </row>
    <row r="1418" spans="1:42" ht="16.5" customHeight="1">
      <c r="A1418" s="439"/>
      <c r="B1418" s="439"/>
      <c r="C1418" s="439"/>
      <c r="D1418" s="439"/>
      <c r="E1418" s="439"/>
      <c r="F1418" s="439"/>
      <c r="Z1418" s="500"/>
      <c r="AA1418" s="500"/>
      <c r="AB1418" s="500"/>
      <c r="AC1418" s="500"/>
      <c r="AD1418" s="500"/>
      <c r="AE1418" s="500"/>
      <c r="AF1418" s="500"/>
      <c r="AG1418" s="500"/>
      <c r="AH1418" s="500"/>
      <c r="AI1418" s="500"/>
      <c r="AJ1418" s="500"/>
      <c r="AK1418" s="500"/>
      <c r="AL1418" s="500"/>
      <c r="AM1418" s="500"/>
      <c r="AN1418" s="500"/>
      <c r="AO1418" s="500"/>
      <c r="AP1418" s="500"/>
    </row>
    <row r="1419" spans="1:42" ht="16.5" customHeight="1">
      <c r="A1419" s="439"/>
      <c r="B1419" s="439"/>
      <c r="C1419" s="439"/>
      <c r="D1419" s="439"/>
      <c r="E1419" s="439"/>
      <c r="F1419" s="439"/>
      <c r="Z1419" s="500"/>
      <c r="AA1419" s="500"/>
      <c r="AB1419" s="500"/>
      <c r="AC1419" s="500"/>
      <c r="AD1419" s="500"/>
      <c r="AE1419" s="500"/>
      <c r="AF1419" s="500"/>
      <c r="AG1419" s="500"/>
      <c r="AH1419" s="500"/>
      <c r="AI1419" s="500"/>
      <c r="AJ1419" s="500"/>
      <c r="AK1419" s="500"/>
      <c r="AL1419" s="500"/>
      <c r="AM1419" s="500"/>
      <c r="AN1419" s="500"/>
      <c r="AO1419" s="500"/>
      <c r="AP1419" s="500"/>
    </row>
    <row r="1420" spans="1:42" ht="16.5" customHeight="1">
      <c r="A1420" s="439"/>
      <c r="B1420" s="439"/>
      <c r="C1420" s="439"/>
      <c r="D1420" s="439"/>
      <c r="E1420" s="439"/>
      <c r="F1420" s="439"/>
      <c r="Z1420" s="500"/>
      <c r="AA1420" s="500"/>
      <c r="AB1420" s="500"/>
      <c r="AC1420" s="500"/>
      <c r="AD1420" s="500"/>
      <c r="AE1420" s="500"/>
      <c r="AF1420" s="500"/>
      <c r="AG1420" s="500"/>
      <c r="AH1420" s="500"/>
      <c r="AI1420" s="500"/>
      <c r="AJ1420" s="500"/>
      <c r="AK1420" s="500"/>
      <c r="AL1420" s="500"/>
      <c r="AM1420" s="500"/>
      <c r="AN1420" s="500"/>
      <c r="AO1420" s="500"/>
      <c r="AP1420" s="500"/>
    </row>
    <row r="1421" spans="1:42" ht="16.5" customHeight="1">
      <c r="A1421" s="439"/>
      <c r="B1421" s="439"/>
      <c r="C1421" s="439"/>
      <c r="D1421" s="439"/>
      <c r="E1421" s="439"/>
      <c r="F1421" s="439"/>
      <c r="Z1421" s="500"/>
      <c r="AA1421" s="500"/>
      <c r="AB1421" s="500"/>
      <c r="AC1421" s="500"/>
      <c r="AD1421" s="500"/>
      <c r="AE1421" s="500"/>
      <c r="AF1421" s="500"/>
      <c r="AG1421" s="500"/>
      <c r="AH1421" s="500"/>
      <c r="AI1421" s="500"/>
      <c r="AJ1421" s="500"/>
      <c r="AK1421" s="500"/>
      <c r="AL1421" s="500"/>
      <c r="AM1421" s="500"/>
      <c r="AN1421" s="500"/>
      <c r="AO1421" s="500"/>
      <c r="AP1421" s="500"/>
    </row>
    <row r="1422" spans="1:42" ht="16.5" customHeight="1">
      <c r="A1422" s="439"/>
      <c r="B1422" s="439"/>
      <c r="C1422" s="439"/>
      <c r="D1422" s="439"/>
      <c r="E1422" s="439"/>
      <c r="F1422" s="439"/>
      <c r="Z1422" s="500"/>
      <c r="AA1422" s="500"/>
      <c r="AB1422" s="500"/>
      <c r="AC1422" s="500"/>
      <c r="AD1422" s="500"/>
      <c r="AE1422" s="500"/>
      <c r="AF1422" s="500"/>
      <c r="AG1422" s="500"/>
      <c r="AH1422" s="500"/>
      <c r="AI1422" s="500"/>
      <c r="AJ1422" s="500"/>
      <c r="AK1422" s="500"/>
      <c r="AL1422" s="500"/>
      <c r="AM1422" s="500"/>
      <c r="AN1422" s="500"/>
      <c r="AO1422" s="500"/>
      <c r="AP1422" s="500"/>
    </row>
    <row r="1423" spans="1:42" ht="16.5" customHeight="1">
      <c r="A1423" s="439"/>
      <c r="B1423" s="439"/>
      <c r="C1423" s="439"/>
      <c r="D1423" s="439"/>
      <c r="E1423" s="439"/>
      <c r="F1423" s="439"/>
      <c r="Z1423" s="500"/>
      <c r="AA1423" s="500"/>
      <c r="AB1423" s="500"/>
      <c r="AC1423" s="500"/>
      <c r="AD1423" s="500"/>
      <c r="AE1423" s="500"/>
      <c r="AF1423" s="500"/>
      <c r="AG1423" s="500"/>
      <c r="AH1423" s="500"/>
      <c r="AI1423" s="500"/>
      <c r="AJ1423" s="500"/>
      <c r="AK1423" s="500"/>
      <c r="AL1423" s="500"/>
      <c r="AM1423" s="500"/>
      <c r="AN1423" s="500"/>
      <c r="AO1423" s="500"/>
      <c r="AP1423" s="500"/>
    </row>
    <row r="1424" spans="1:42" ht="16.5" customHeight="1">
      <c r="A1424" s="439"/>
      <c r="B1424" s="439"/>
      <c r="C1424" s="439"/>
      <c r="D1424" s="439"/>
      <c r="E1424" s="439"/>
      <c r="F1424" s="439"/>
      <c r="Z1424" s="500"/>
      <c r="AA1424" s="500"/>
      <c r="AB1424" s="500"/>
      <c r="AC1424" s="500"/>
      <c r="AD1424" s="500"/>
      <c r="AE1424" s="500"/>
      <c r="AF1424" s="500"/>
      <c r="AG1424" s="500"/>
      <c r="AH1424" s="500"/>
      <c r="AI1424" s="500"/>
      <c r="AJ1424" s="500"/>
      <c r="AK1424" s="500"/>
      <c r="AL1424" s="500"/>
      <c r="AM1424" s="500"/>
      <c r="AN1424" s="500"/>
      <c r="AO1424" s="500"/>
      <c r="AP1424" s="500"/>
    </row>
    <row r="1425" spans="1:42" ht="16.5" customHeight="1">
      <c r="A1425" s="439"/>
      <c r="B1425" s="439"/>
      <c r="C1425" s="439"/>
      <c r="D1425" s="439"/>
      <c r="E1425" s="439"/>
      <c r="F1425" s="439"/>
      <c r="Z1425" s="500"/>
      <c r="AA1425" s="500"/>
      <c r="AB1425" s="500"/>
      <c r="AC1425" s="500"/>
      <c r="AD1425" s="500"/>
      <c r="AE1425" s="500"/>
      <c r="AF1425" s="500"/>
      <c r="AG1425" s="500"/>
      <c r="AH1425" s="500"/>
      <c r="AI1425" s="500"/>
      <c r="AJ1425" s="500"/>
      <c r="AK1425" s="500"/>
      <c r="AL1425" s="500"/>
      <c r="AM1425" s="500"/>
      <c r="AN1425" s="500"/>
      <c r="AO1425" s="500"/>
      <c r="AP1425" s="500"/>
    </row>
    <row r="1426" spans="1:42" ht="16.5" customHeight="1">
      <c r="A1426" s="439"/>
      <c r="B1426" s="439"/>
      <c r="C1426" s="439"/>
      <c r="D1426" s="439"/>
      <c r="E1426" s="439"/>
      <c r="F1426" s="439"/>
      <c r="Z1426" s="500"/>
      <c r="AA1426" s="500"/>
      <c r="AB1426" s="500"/>
      <c r="AC1426" s="500"/>
      <c r="AD1426" s="500"/>
      <c r="AE1426" s="500"/>
      <c r="AF1426" s="500"/>
      <c r="AG1426" s="500"/>
      <c r="AH1426" s="500"/>
      <c r="AI1426" s="500"/>
      <c r="AJ1426" s="500"/>
      <c r="AK1426" s="500"/>
      <c r="AL1426" s="500"/>
      <c r="AM1426" s="500"/>
      <c r="AN1426" s="500"/>
      <c r="AO1426" s="500"/>
      <c r="AP1426" s="500"/>
    </row>
    <row r="1427" spans="1:42" ht="16.5" customHeight="1">
      <c r="A1427" s="439"/>
      <c r="B1427" s="439"/>
      <c r="C1427" s="439"/>
      <c r="D1427" s="439"/>
      <c r="E1427" s="439"/>
      <c r="F1427" s="439"/>
      <c r="Z1427" s="500"/>
      <c r="AA1427" s="500"/>
      <c r="AB1427" s="500"/>
      <c r="AC1427" s="500"/>
      <c r="AD1427" s="500"/>
      <c r="AE1427" s="500"/>
      <c r="AF1427" s="500"/>
      <c r="AG1427" s="500"/>
      <c r="AH1427" s="500"/>
      <c r="AI1427" s="500"/>
      <c r="AJ1427" s="500"/>
      <c r="AK1427" s="500"/>
      <c r="AL1427" s="500"/>
      <c r="AM1427" s="500"/>
      <c r="AN1427" s="500"/>
      <c r="AO1427" s="500"/>
      <c r="AP1427" s="500"/>
    </row>
    <row r="1428" spans="1:42" ht="16.5" customHeight="1">
      <c r="A1428" s="439"/>
      <c r="B1428" s="439"/>
      <c r="C1428" s="439"/>
      <c r="D1428" s="439"/>
      <c r="E1428" s="439"/>
      <c r="F1428" s="439"/>
      <c r="Z1428" s="500"/>
      <c r="AA1428" s="500"/>
      <c r="AB1428" s="500"/>
      <c r="AC1428" s="500"/>
      <c r="AD1428" s="500"/>
      <c r="AE1428" s="500"/>
      <c r="AF1428" s="500"/>
      <c r="AG1428" s="500"/>
      <c r="AH1428" s="500"/>
      <c r="AI1428" s="500"/>
      <c r="AJ1428" s="500"/>
      <c r="AK1428" s="500"/>
      <c r="AL1428" s="500"/>
      <c r="AM1428" s="500"/>
      <c r="AN1428" s="500"/>
      <c r="AO1428" s="500"/>
      <c r="AP1428" s="500"/>
    </row>
    <row r="1429" spans="1:42" ht="16.5" customHeight="1">
      <c r="A1429" s="439"/>
      <c r="B1429" s="439"/>
      <c r="C1429" s="439"/>
      <c r="D1429" s="439"/>
      <c r="E1429" s="439"/>
      <c r="F1429" s="439"/>
      <c r="Z1429" s="500"/>
      <c r="AA1429" s="500"/>
      <c r="AB1429" s="500"/>
      <c r="AC1429" s="500"/>
      <c r="AD1429" s="500"/>
      <c r="AE1429" s="500"/>
      <c r="AF1429" s="500"/>
      <c r="AG1429" s="500"/>
      <c r="AH1429" s="500"/>
      <c r="AI1429" s="500"/>
      <c r="AJ1429" s="500"/>
      <c r="AK1429" s="500"/>
      <c r="AL1429" s="500"/>
      <c r="AM1429" s="500"/>
      <c r="AN1429" s="500"/>
      <c r="AO1429" s="500"/>
      <c r="AP1429" s="500"/>
    </row>
    <row r="1430" spans="1:42" ht="16.5" customHeight="1">
      <c r="A1430" s="439"/>
      <c r="B1430" s="439"/>
      <c r="C1430" s="439"/>
      <c r="D1430" s="439"/>
      <c r="E1430" s="439"/>
      <c r="F1430" s="439"/>
      <c r="Z1430" s="500"/>
      <c r="AA1430" s="500"/>
      <c r="AB1430" s="500"/>
      <c r="AC1430" s="500"/>
      <c r="AD1430" s="500"/>
      <c r="AE1430" s="500"/>
      <c r="AF1430" s="500"/>
      <c r="AG1430" s="500"/>
      <c r="AH1430" s="500"/>
      <c r="AI1430" s="500"/>
      <c r="AJ1430" s="500"/>
      <c r="AK1430" s="500"/>
      <c r="AL1430" s="500"/>
      <c r="AM1430" s="500"/>
      <c r="AN1430" s="500"/>
      <c r="AO1430" s="500"/>
      <c r="AP1430" s="500"/>
    </row>
    <row r="1431" spans="1:42" ht="16.5" customHeight="1">
      <c r="A1431" s="439"/>
      <c r="B1431" s="439"/>
      <c r="C1431" s="439"/>
      <c r="D1431" s="439"/>
      <c r="E1431" s="439"/>
      <c r="F1431" s="439"/>
      <c r="Z1431" s="500"/>
      <c r="AA1431" s="500"/>
      <c r="AB1431" s="500"/>
      <c r="AC1431" s="500"/>
      <c r="AD1431" s="500"/>
      <c r="AE1431" s="500"/>
      <c r="AF1431" s="500"/>
      <c r="AG1431" s="500"/>
      <c r="AH1431" s="500"/>
      <c r="AI1431" s="500"/>
      <c r="AJ1431" s="500"/>
      <c r="AK1431" s="500"/>
      <c r="AL1431" s="500"/>
      <c r="AM1431" s="500"/>
      <c r="AN1431" s="500"/>
      <c r="AO1431" s="500"/>
      <c r="AP1431" s="500"/>
    </row>
    <row r="1432" spans="1:42" ht="16.5" customHeight="1">
      <c r="A1432" s="439"/>
      <c r="B1432" s="439"/>
      <c r="C1432" s="439"/>
      <c r="D1432" s="439"/>
      <c r="E1432" s="439"/>
      <c r="F1432" s="439"/>
      <c r="Z1432" s="500"/>
      <c r="AA1432" s="500"/>
      <c r="AB1432" s="500"/>
      <c r="AC1432" s="500"/>
      <c r="AD1432" s="500"/>
      <c r="AE1432" s="500"/>
      <c r="AF1432" s="500"/>
      <c r="AG1432" s="500"/>
      <c r="AH1432" s="500"/>
      <c r="AI1432" s="500"/>
      <c r="AJ1432" s="500"/>
      <c r="AK1432" s="500"/>
      <c r="AL1432" s="500"/>
      <c r="AM1432" s="500"/>
      <c r="AN1432" s="500"/>
      <c r="AO1432" s="500"/>
      <c r="AP1432" s="500"/>
    </row>
    <row r="1433" spans="1:42" ht="16.5" customHeight="1">
      <c r="A1433" s="439"/>
      <c r="B1433" s="439"/>
      <c r="C1433" s="439"/>
      <c r="D1433" s="439"/>
      <c r="E1433" s="439"/>
      <c r="F1433" s="439"/>
      <c r="Z1433" s="500"/>
      <c r="AA1433" s="500"/>
      <c r="AB1433" s="500"/>
      <c r="AC1433" s="500"/>
      <c r="AD1433" s="500"/>
      <c r="AE1433" s="500"/>
      <c r="AF1433" s="500"/>
      <c r="AG1433" s="500"/>
      <c r="AH1433" s="500"/>
      <c r="AI1433" s="500"/>
      <c r="AJ1433" s="500"/>
      <c r="AK1433" s="500"/>
      <c r="AL1433" s="500"/>
      <c r="AM1433" s="500"/>
      <c r="AN1433" s="500"/>
      <c r="AO1433" s="500"/>
      <c r="AP1433" s="500"/>
    </row>
    <row r="1434" spans="1:42" ht="16.5" customHeight="1">
      <c r="A1434" s="439"/>
      <c r="B1434" s="439"/>
      <c r="C1434" s="439"/>
      <c r="D1434" s="439"/>
      <c r="E1434" s="439"/>
      <c r="F1434" s="439"/>
      <c r="Z1434" s="500"/>
      <c r="AA1434" s="500"/>
      <c r="AB1434" s="500"/>
      <c r="AC1434" s="500"/>
      <c r="AD1434" s="500"/>
      <c r="AE1434" s="500"/>
      <c r="AF1434" s="500"/>
      <c r="AG1434" s="500"/>
      <c r="AH1434" s="500"/>
      <c r="AI1434" s="500"/>
      <c r="AJ1434" s="500"/>
      <c r="AK1434" s="500"/>
      <c r="AL1434" s="500"/>
      <c r="AM1434" s="500"/>
      <c r="AN1434" s="500"/>
      <c r="AO1434" s="500"/>
      <c r="AP1434" s="500"/>
    </row>
    <row r="1435" spans="1:42" ht="16.5" customHeight="1">
      <c r="A1435" s="439"/>
      <c r="B1435" s="439"/>
      <c r="C1435" s="439"/>
      <c r="D1435" s="439"/>
      <c r="E1435" s="439"/>
      <c r="F1435" s="439"/>
      <c r="Z1435" s="500"/>
      <c r="AA1435" s="500"/>
      <c r="AB1435" s="500"/>
      <c r="AC1435" s="500"/>
      <c r="AD1435" s="500"/>
      <c r="AE1435" s="500"/>
      <c r="AF1435" s="500"/>
      <c r="AG1435" s="500"/>
      <c r="AH1435" s="500"/>
      <c r="AI1435" s="500"/>
      <c r="AJ1435" s="500"/>
      <c r="AK1435" s="500"/>
      <c r="AL1435" s="500"/>
      <c r="AM1435" s="500"/>
      <c r="AN1435" s="500"/>
      <c r="AO1435" s="500"/>
      <c r="AP1435" s="500"/>
    </row>
    <row r="1436" spans="1:42" ht="16.5" customHeight="1">
      <c r="A1436" s="439"/>
      <c r="B1436" s="439"/>
      <c r="C1436" s="439"/>
      <c r="D1436" s="439"/>
      <c r="E1436" s="439"/>
      <c r="F1436" s="439"/>
      <c r="Z1436" s="500"/>
      <c r="AA1436" s="500"/>
      <c r="AB1436" s="500"/>
      <c r="AC1436" s="500"/>
      <c r="AD1436" s="500"/>
      <c r="AE1436" s="500"/>
      <c r="AF1436" s="500"/>
      <c r="AG1436" s="500"/>
      <c r="AH1436" s="500"/>
      <c r="AI1436" s="500"/>
      <c r="AJ1436" s="500"/>
      <c r="AK1436" s="500"/>
      <c r="AL1436" s="500"/>
      <c r="AM1436" s="500"/>
      <c r="AN1436" s="500"/>
      <c r="AO1436" s="500"/>
      <c r="AP1436" s="500"/>
    </row>
    <row r="1437" spans="1:42" ht="16.5" customHeight="1">
      <c r="A1437" s="439"/>
      <c r="B1437" s="439"/>
      <c r="C1437" s="439"/>
      <c r="D1437" s="439"/>
      <c r="E1437" s="439"/>
      <c r="F1437" s="439"/>
      <c r="Z1437" s="500"/>
      <c r="AA1437" s="500"/>
      <c r="AB1437" s="500"/>
      <c r="AC1437" s="500"/>
      <c r="AD1437" s="500"/>
      <c r="AE1437" s="500"/>
      <c r="AF1437" s="500"/>
      <c r="AG1437" s="500"/>
      <c r="AH1437" s="500"/>
      <c r="AI1437" s="500"/>
      <c r="AJ1437" s="500"/>
      <c r="AK1437" s="500"/>
      <c r="AL1437" s="500"/>
      <c r="AM1437" s="500"/>
      <c r="AN1437" s="500"/>
      <c r="AO1437" s="500"/>
      <c r="AP1437" s="500"/>
    </row>
    <row r="1438" spans="1:42" ht="16.5" customHeight="1">
      <c r="A1438" s="439"/>
      <c r="B1438" s="439"/>
      <c r="C1438" s="439"/>
      <c r="D1438" s="439"/>
      <c r="E1438" s="439"/>
      <c r="F1438" s="439"/>
      <c r="Z1438" s="500"/>
      <c r="AA1438" s="500"/>
      <c r="AB1438" s="500"/>
      <c r="AC1438" s="500"/>
      <c r="AD1438" s="500"/>
      <c r="AE1438" s="500"/>
      <c r="AF1438" s="500"/>
      <c r="AG1438" s="500"/>
      <c r="AH1438" s="500"/>
      <c r="AI1438" s="500"/>
      <c r="AJ1438" s="500"/>
      <c r="AK1438" s="500"/>
      <c r="AL1438" s="500"/>
      <c r="AM1438" s="500"/>
      <c r="AN1438" s="500"/>
      <c r="AO1438" s="500"/>
      <c r="AP1438" s="500"/>
    </row>
    <row r="1439" spans="1:42" ht="16.5" customHeight="1">
      <c r="A1439" s="439"/>
      <c r="B1439" s="439"/>
      <c r="C1439" s="439"/>
      <c r="D1439" s="439"/>
      <c r="E1439" s="439"/>
      <c r="F1439" s="439"/>
      <c r="Z1439" s="500"/>
      <c r="AA1439" s="500"/>
      <c r="AB1439" s="500"/>
      <c r="AC1439" s="500"/>
      <c r="AD1439" s="500"/>
      <c r="AE1439" s="500"/>
      <c r="AF1439" s="500"/>
      <c r="AG1439" s="500"/>
      <c r="AH1439" s="500"/>
      <c r="AI1439" s="500"/>
      <c r="AJ1439" s="500"/>
      <c r="AK1439" s="500"/>
      <c r="AL1439" s="500"/>
      <c r="AM1439" s="500"/>
      <c r="AN1439" s="500"/>
      <c r="AO1439" s="500"/>
      <c r="AP1439" s="500"/>
    </row>
    <row r="1440" spans="1:42" ht="16.5" customHeight="1">
      <c r="A1440" s="439"/>
      <c r="B1440" s="439"/>
      <c r="C1440" s="439"/>
      <c r="D1440" s="439"/>
      <c r="E1440" s="439"/>
      <c r="F1440" s="439"/>
      <c r="Z1440" s="500"/>
      <c r="AA1440" s="500"/>
      <c r="AB1440" s="500"/>
      <c r="AC1440" s="500"/>
      <c r="AD1440" s="500"/>
      <c r="AE1440" s="500"/>
      <c r="AF1440" s="500"/>
      <c r="AG1440" s="500"/>
      <c r="AH1440" s="500"/>
      <c r="AI1440" s="500"/>
      <c r="AJ1440" s="500"/>
      <c r="AK1440" s="500"/>
      <c r="AL1440" s="500"/>
      <c r="AM1440" s="500"/>
      <c r="AN1440" s="500"/>
      <c r="AO1440" s="500"/>
      <c r="AP1440" s="500"/>
    </row>
    <row r="1441" spans="1:42" ht="16.5" customHeight="1">
      <c r="A1441" s="439"/>
      <c r="B1441" s="439"/>
      <c r="C1441" s="439"/>
      <c r="D1441" s="439"/>
      <c r="E1441" s="439"/>
      <c r="F1441" s="439"/>
      <c r="Z1441" s="500"/>
      <c r="AA1441" s="500"/>
      <c r="AB1441" s="500"/>
      <c r="AC1441" s="500"/>
      <c r="AD1441" s="500"/>
      <c r="AE1441" s="500"/>
      <c r="AF1441" s="500"/>
      <c r="AG1441" s="500"/>
      <c r="AH1441" s="500"/>
      <c r="AI1441" s="500"/>
      <c r="AJ1441" s="500"/>
      <c r="AK1441" s="500"/>
      <c r="AL1441" s="500"/>
      <c r="AM1441" s="500"/>
      <c r="AN1441" s="500"/>
      <c r="AO1441" s="500"/>
      <c r="AP1441" s="500"/>
    </row>
    <row r="1442" spans="1:42" ht="16.5" customHeight="1">
      <c r="A1442" s="439"/>
      <c r="B1442" s="439"/>
      <c r="C1442" s="439"/>
      <c r="D1442" s="439"/>
      <c r="E1442" s="439"/>
      <c r="F1442" s="439"/>
      <c r="Z1442" s="500"/>
      <c r="AA1442" s="500"/>
      <c r="AB1442" s="500"/>
      <c r="AC1442" s="500"/>
      <c r="AD1442" s="500"/>
      <c r="AE1442" s="500"/>
      <c r="AF1442" s="500"/>
      <c r="AG1442" s="500"/>
      <c r="AH1442" s="500"/>
      <c r="AI1442" s="500"/>
      <c r="AJ1442" s="500"/>
      <c r="AK1442" s="500"/>
      <c r="AL1442" s="500"/>
      <c r="AM1442" s="500"/>
      <c r="AN1442" s="500"/>
      <c r="AO1442" s="500"/>
      <c r="AP1442" s="500"/>
    </row>
    <row r="1443" spans="1:42" ht="16.5" customHeight="1">
      <c r="A1443" s="439"/>
      <c r="B1443" s="439"/>
      <c r="C1443" s="439"/>
      <c r="D1443" s="439"/>
      <c r="E1443" s="439"/>
      <c r="F1443" s="439"/>
      <c r="Z1443" s="500"/>
      <c r="AA1443" s="500"/>
      <c r="AB1443" s="500"/>
      <c r="AC1443" s="500"/>
      <c r="AD1443" s="500"/>
      <c r="AE1443" s="500"/>
      <c r="AF1443" s="500"/>
      <c r="AG1443" s="500"/>
      <c r="AH1443" s="500"/>
      <c r="AI1443" s="500"/>
      <c r="AJ1443" s="500"/>
      <c r="AK1443" s="500"/>
      <c r="AL1443" s="500"/>
      <c r="AM1443" s="500"/>
      <c r="AN1443" s="500"/>
      <c r="AO1443" s="500"/>
      <c r="AP1443" s="500"/>
    </row>
    <row r="1444" spans="1:42" ht="16.5" customHeight="1">
      <c r="A1444" s="439"/>
      <c r="B1444" s="439"/>
      <c r="C1444" s="439"/>
      <c r="D1444" s="439"/>
      <c r="E1444" s="439"/>
      <c r="F1444" s="439"/>
      <c r="Z1444" s="500"/>
      <c r="AA1444" s="500"/>
      <c r="AB1444" s="500"/>
      <c r="AC1444" s="500"/>
      <c r="AD1444" s="500"/>
      <c r="AE1444" s="500"/>
      <c r="AF1444" s="500"/>
      <c r="AG1444" s="500"/>
      <c r="AH1444" s="500"/>
      <c r="AI1444" s="500"/>
      <c r="AJ1444" s="500"/>
      <c r="AK1444" s="500"/>
      <c r="AL1444" s="500"/>
      <c r="AM1444" s="500"/>
      <c r="AN1444" s="500"/>
      <c r="AO1444" s="500"/>
      <c r="AP1444" s="500"/>
    </row>
    <row r="1445" spans="1:42" ht="16.5" customHeight="1">
      <c r="A1445" s="439"/>
      <c r="B1445" s="439"/>
      <c r="C1445" s="439"/>
      <c r="D1445" s="439"/>
      <c r="E1445" s="439"/>
      <c r="F1445" s="439"/>
      <c r="Z1445" s="500"/>
      <c r="AA1445" s="500"/>
      <c r="AB1445" s="500"/>
      <c r="AC1445" s="500"/>
      <c r="AD1445" s="500"/>
      <c r="AE1445" s="500"/>
      <c r="AF1445" s="500"/>
      <c r="AG1445" s="500"/>
      <c r="AH1445" s="500"/>
      <c r="AI1445" s="500"/>
      <c r="AJ1445" s="500"/>
      <c r="AK1445" s="500"/>
      <c r="AL1445" s="500"/>
      <c r="AM1445" s="500"/>
      <c r="AN1445" s="500"/>
      <c r="AO1445" s="500"/>
      <c r="AP1445" s="500"/>
    </row>
    <row r="1446" spans="1:42" ht="16.5" customHeight="1">
      <c r="A1446" s="439"/>
      <c r="B1446" s="439"/>
      <c r="C1446" s="439"/>
      <c r="D1446" s="439"/>
      <c r="E1446" s="439"/>
      <c r="F1446" s="439"/>
      <c r="Z1446" s="500"/>
      <c r="AA1446" s="500"/>
      <c r="AB1446" s="500"/>
      <c r="AC1446" s="500"/>
      <c r="AD1446" s="500"/>
      <c r="AE1446" s="500"/>
      <c r="AF1446" s="500"/>
      <c r="AG1446" s="500"/>
      <c r="AH1446" s="500"/>
      <c r="AI1446" s="500"/>
      <c r="AJ1446" s="500"/>
      <c r="AK1446" s="500"/>
      <c r="AL1446" s="500"/>
      <c r="AM1446" s="500"/>
      <c r="AN1446" s="500"/>
      <c r="AO1446" s="500"/>
      <c r="AP1446" s="500"/>
    </row>
    <row r="1447" spans="1:42" ht="16.5" customHeight="1">
      <c r="A1447" s="439"/>
      <c r="B1447" s="439"/>
      <c r="C1447" s="439"/>
      <c r="D1447" s="439"/>
      <c r="E1447" s="439"/>
      <c r="F1447" s="439"/>
      <c r="Z1447" s="500"/>
      <c r="AA1447" s="500"/>
      <c r="AB1447" s="500"/>
      <c r="AC1447" s="500"/>
      <c r="AD1447" s="500"/>
      <c r="AE1447" s="500"/>
      <c r="AF1447" s="500"/>
      <c r="AG1447" s="500"/>
      <c r="AH1447" s="500"/>
      <c r="AI1447" s="500"/>
      <c r="AJ1447" s="500"/>
      <c r="AK1447" s="500"/>
      <c r="AL1447" s="500"/>
      <c r="AM1447" s="500"/>
      <c r="AN1447" s="500"/>
      <c r="AO1447" s="500"/>
      <c r="AP1447" s="500"/>
    </row>
    <row r="1448" spans="1:42" ht="16.5" customHeight="1">
      <c r="A1448" s="439"/>
      <c r="B1448" s="439"/>
      <c r="C1448" s="439"/>
      <c r="D1448" s="439"/>
      <c r="E1448" s="439"/>
      <c r="F1448" s="439"/>
      <c r="Z1448" s="500"/>
      <c r="AA1448" s="500"/>
      <c r="AB1448" s="500"/>
      <c r="AC1448" s="500"/>
      <c r="AD1448" s="500"/>
      <c r="AE1448" s="500"/>
      <c r="AF1448" s="500"/>
      <c r="AG1448" s="500"/>
      <c r="AH1448" s="500"/>
      <c r="AI1448" s="500"/>
      <c r="AJ1448" s="500"/>
      <c r="AK1448" s="500"/>
      <c r="AL1448" s="500"/>
      <c r="AM1448" s="500"/>
      <c r="AN1448" s="500"/>
      <c r="AO1448" s="500"/>
      <c r="AP1448" s="500"/>
    </row>
    <row r="1449" spans="1:42" ht="16.5" customHeight="1">
      <c r="A1449" s="439"/>
      <c r="B1449" s="439"/>
      <c r="C1449" s="439"/>
      <c r="D1449" s="439"/>
      <c r="E1449" s="439"/>
      <c r="F1449" s="439"/>
      <c r="Z1449" s="500"/>
      <c r="AA1449" s="500"/>
      <c r="AB1449" s="500"/>
      <c r="AC1449" s="500"/>
      <c r="AD1449" s="500"/>
      <c r="AE1449" s="500"/>
      <c r="AF1449" s="500"/>
      <c r="AG1449" s="500"/>
      <c r="AH1449" s="500"/>
      <c r="AI1449" s="500"/>
      <c r="AJ1449" s="500"/>
      <c r="AK1449" s="500"/>
      <c r="AL1449" s="500"/>
      <c r="AM1449" s="500"/>
      <c r="AN1449" s="500"/>
      <c r="AO1449" s="500"/>
      <c r="AP1449" s="500"/>
    </row>
    <row r="1450" spans="1:42" ht="16.5" customHeight="1">
      <c r="A1450" s="439"/>
      <c r="B1450" s="439"/>
      <c r="C1450" s="439"/>
      <c r="D1450" s="439"/>
      <c r="E1450" s="439"/>
      <c r="F1450" s="439"/>
      <c r="Z1450" s="500"/>
      <c r="AA1450" s="500"/>
      <c r="AB1450" s="500"/>
      <c r="AC1450" s="500"/>
      <c r="AD1450" s="500"/>
      <c r="AE1450" s="500"/>
      <c r="AF1450" s="500"/>
      <c r="AG1450" s="500"/>
      <c r="AH1450" s="500"/>
      <c r="AI1450" s="500"/>
      <c r="AJ1450" s="500"/>
      <c r="AK1450" s="500"/>
      <c r="AL1450" s="500"/>
      <c r="AM1450" s="500"/>
      <c r="AN1450" s="500"/>
      <c r="AO1450" s="500"/>
      <c r="AP1450" s="500"/>
    </row>
    <row r="1451" spans="1:42" ht="16.5" customHeight="1">
      <c r="A1451" s="439"/>
      <c r="B1451" s="439"/>
      <c r="C1451" s="439"/>
      <c r="D1451" s="439"/>
      <c r="E1451" s="439"/>
      <c r="F1451" s="439"/>
      <c r="Z1451" s="500"/>
      <c r="AA1451" s="500"/>
      <c r="AB1451" s="500"/>
      <c r="AC1451" s="500"/>
      <c r="AD1451" s="500"/>
      <c r="AE1451" s="500"/>
      <c r="AF1451" s="500"/>
      <c r="AG1451" s="500"/>
      <c r="AH1451" s="500"/>
      <c r="AI1451" s="500"/>
      <c r="AJ1451" s="500"/>
      <c r="AK1451" s="500"/>
      <c r="AL1451" s="500"/>
      <c r="AM1451" s="500"/>
      <c r="AN1451" s="500"/>
      <c r="AO1451" s="500"/>
      <c r="AP1451" s="500"/>
    </row>
    <row r="1452" spans="1:42" ht="16.5" customHeight="1">
      <c r="A1452" s="439"/>
      <c r="B1452" s="439"/>
      <c r="C1452" s="439"/>
      <c r="D1452" s="439"/>
      <c r="E1452" s="439"/>
      <c r="F1452" s="439"/>
      <c r="Z1452" s="500"/>
      <c r="AA1452" s="500"/>
      <c r="AB1452" s="500"/>
      <c r="AC1452" s="500"/>
      <c r="AD1452" s="500"/>
      <c r="AE1452" s="500"/>
      <c r="AF1452" s="500"/>
      <c r="AG1452" s="500"/>
      <c r="AH1452" s="500"/>
      <c r="AI1452" s="500"/>
      <c r="AJ1452" s="500"/>
      <c r="AK1452" s="500"/>
      <c r="AL1452" s="500"/>
      <c r="AM1452" s="500"/>
      <c r="AN1452" s="500"/>
      <c r="AO1452" s="500"/>
      <c r="AP1452" s="500"/>
    </row>
    <row r="1453" spans="1:42" ht="16.5" customHeight="1">
      <c r="A1453" s="497"/>
      <c r="B1453" s="497"/>
      <c r="C1453" s="497"/>
      <c r="D1453" s="497"/>
      <c r="E1453" s="497"/>
      <c r="F1453" s="497"/>
      <c r="Z1453" s="500"/>
      <c r="AA1453" s="500"/>
      <c r="AB1453" s="500"/>
      <c r="AC1453" s="500"/>
      <c r="AD1453" s="500"/>
      <c r="AE1453" s="500"/>
      <c r="AF1453" s="500"/>
      <c r="AG1453" s="500"/>
      <c r="AH1453" s="500"/>
      <c r="AI1453" s="500"/>
      <c r="AJ1453" s="500"/>
      <c r="AK1453" s="500"/>
      <c r="AL1453" s="500"/>
      <c r="AM1453" s="500"/>
      <c r="AN1453" s="500"/>
      <c r="AO1453" s="500"/>
      <c r="AP1453" s="500"/>
    </row>
    <row r="1454" spans="1:42" ht="16.5" customHeight="1">
      <c r="A1454" s="616" t="s">
        <v>3487</v>
      </c>
      <c r="B1454" s="605"/>
      <c r="C1454" s="446">
        <f>E1454+D1454+F1454</f>
        <v>156165</v>
      </c>
      <c r="D1454" s="453">
        <f>ROUNDDOWN(SUMIF(N1357:N1403,M1454,D1357:D1403),0)</f>
        <v>112486</v>
      </c>
      <c r="E1454" s="454">
        <f>ROUNDDOWN(SUMIF(N1357:N1403,M1454,E1357:E1403),0)</f>
        <v>32003</v>
      </c>
      <c r="F1454" s="446">
        <f>ROUNDDOWN(SUMIF(N1357:N1403,M1454,F1357:F1403),0)</f>
        <v>11676</v>
      </c>
      <c r="M1454" s="501" t="s">
        <v>2354</v>
      </c>
      <c r="Z1454" s="500"/>
      <c r="AA1454" s="500"/>
      <c r="AB1454" s="500"/>
      <c r="AC1454" s="500"/>
      <c r="AD1454" s="500"/>
      <c r="AE1454" s="500"/>
      <c r="AF1454" s="500"/>
      <c r="AG1454" s="500"/>
      <c r="AH1454" s="500"/>
      <c r="AI1454" s="500"/>
      <c r="AJ1454" s="500"/>
      <c r="AK1454" s="500"/>
      <c r="AL1454" s="500"/>
      <c r="AM1454" s="500"/>
      <c r="AN1454" s="500"/>
      <c r="AO1454" s="500"/>
      <c r="AP1454" s="500"/>
    </row>
    <row r="1455" spans="1:42" ht="16.5" customHeight="1">
      <c r="A1455" s="502" t="s">
        <v>3350</v>
      </c>
      <c r="B1455" s="503" t="s">
        <v>1828</v>
      </c>
      <c r="C1455" s="615">
        <f>C1554</f>
        <v>295003</v>
      </c>
      <c r="D1455" s="615">
        <f>D1554</f>
        <v>194229</v>
      </c>
      <c r="E1455" s="615">
        <f>E1554</f>
        <v>58803</v>
      </c>
      <c r="F1455" s="615">
        <f>F1554</f>
        <v>41971</v>
      </c>
      <c r="G1455" s="486" t="str">
        <f>HYPERLINK("#G"&amp;ROW(G1512),"_x0005_`BDCOD|D01310_x0007_`POSS|"&amp;ROW(G1457)&amp;"_x0007_`POSE|"&amp;ROW(G1512)&amp;"_x0007_`")</f>
        <v>_x0005_`BDCOD|D01310_x0007_`POSS|1457_x0007_`POSE|1512_x0007_`</v>
      </c>
      <c r="Z1455" s="500"/>
      <c r="AA1455" s="500"/>
      <c r="AB1455" s="500"/>
      <c r="AC1455" s="500"/>
      <c r="AD1455" s="500"/>
      <c r="AE1455" s="500"/>
      <c r="AF1455" s="500"/>
      <c r="AG1455" s="500"/>
      <c r="AH1455" s="500"/>
      <c r="AI1455" s="500"/>
      <c r="AJ1455" s="500"/>
      <c r="AK1455" s="500"/>
      <c r="AL1455" s="500"/>
      <c r="AM1455" s="500"/>
      <c r="AN1455" s="500"/>
      <c r="AO1455" s="500"/>
      <c r="AP1455" s="500"/>
    </row>
    <row r="1456" spans="1:42" ht="16.5" customHeight="1">
      <c r="A1456" s="485"/>
      <c r="B1456" s="503" t="s">
        <v>3568</v>
      </c>
      <c r="C1456" s="593"/>
      <c r="D1456" s="593"/>
      <c r="E1456" s="593"/>
      <c r="F1456" s="593"/>
      <c r="M1456" s="501" t="s">
        <v>1828</v>
      </c>
      <c r="Z1456" s="500"/>
      <c r="AA1456" s="500"/>
      <c r="AB1456" s="500"/>
      <c r="AC1456" s="500"/>
      <c r="AD1456" s="500"/>
      <c r="AE1456" s="500"/>
      <c r="AF1456" s="500"/>
      <c r="AG1456" s="500"/>
      <c r="AH1456" s="500"/>
      <c r="AI1456" s="500"/>
      <c r="AJ1456" s="500"/>
      <c r="AK1456" s="500"/>
      <c r="AL1456" s="500"/>
      <c r="AM1456" s="500"/>
      <c r="AN1456" s="500"/>
      <c r="AO1456" s="500"/>
      <c r="AP1456" s="500"/>
    </row>
    <row r="1457" spans="1:42" ht="16.5" customHeight="1">
      <c r="A1457" s="439"/>
      <c r="B1457" s="439"/>
      <c r="C1457" s="504"/>
      <c r="D1457" s="504"/>
      <c r="E1457" s="504"/>
      <c r="F1457" s="504"/>
      <c r="G1457" s="451" t="s">
        <v>3406</v>
      </c>
      <c r="Z1457" s="500"/>
      <c r="AA1457" s="500"/>
      <c r="AB1457" s="500"/>
      <c r="AC1457" s="500"/>
      <c r="AD1457" s="500"/>
      <c r="AE1457" s="500"/>
      <c r="AF1457" s="500"/>
      <c r="AG1457" s="500"/>
      <c r="AH1457" s="500"/>
      <c r="AI1457" s="500"/>
      <c r="AJ1457" s="500"/>
      <c r="AK1457" s="500"/>
      <c r="AL1457" s="500"/>
      <c r="AM1457" s="500"/>
      <c r="AN1457" s="500"/>
      <c r="AO1457" s="500"/>
      <c r="AP1457" s="500"/>
    </row>
    <row r="1458" spans="1:42" ht="16.5" customHeight="1">
      <c r="A1458" s="434"/>
      <c r="B1458" s="437" t="s">
        <v>3542</v>
      </c>
      <c r="C1458" s="439"/>
      <c r="D1458" s="439"/>
      <c r="E1458" s="439"/>
      <c r="F1458" s="439"/>
      <c r="G1458" s="451" t="s">
        <v>3543</v>
      </c>
      <c r="Z1458" s="500"/>
      <c r="AA1458" s="500"/>
      <c r="AB1458" s="500"/>
      <c r="AC1458" s="500"/>
      <c r="AD1458" s="500"/>
      <c r="AE1458" s="500"/>
      <c r="AF1458" s="500"/>
      <c r="AG1458" s="500"/>
      <c r="AH1458" s="500"/>
      <c r="AI1458" s="500"/>
      <c r="AJ1458" s="500"/>
      <c r="AK1458" s="500"/>
      <c r="AL1458" s="500"/>
      <c r="AM1458" s="500"/>
      <c r="AN1458" s="500"/>
      <c r="AO1458" s="500"/>
      <c r="AP1458" s="500"/>
    </row>
    <row r="1459" spans="1:42" ht="16.5" customHeight="1">
      <c r="A1459" s="439"/>
      <c r="B1459" s="439"/>
      <c r="C1459" s="439"/>
      <c r="D1459" s="439"/>
      <c r="E1459" s="439"/>
      <c r="F1459" s="439"/>
      <c r="G1459" s="451" t="s">
        <v>3406</v>
      </c>
      <c r="Z1459" s="500"/>
      <c r="AA1459" s="500"/>
      <c r="AB1459" s="500"/>
      <c r="AC1459" s="500"/>
      <c r="AD1459" s="500"/>
      <c r="AE1459" s="500"/>
      <c r="AF1459" s="500"/>
      <c r="AG1459" s="500"/>
      <c r="AH1459" s="500"/>
      <c r="AI1459" s="500"/>
      <c r="AJ1459" s="500"/>
      <c r="AK1459" s="500"/>
      <c r="AL1459" s="500"/>
      <c r="AM1459" s="500"/>
      <c r="AN1459" s="500"/>
      <c r="AO1459" s="500"/>
      <c r="AP1459" s="500"/>
    </row>
    <row r="1460" spans="1:42" ht="16.5" customHeight="1">
      <c r="A1460" s="434"/>
      <c r="B1460" s="437" t="s">
        <v>3544</v>
      </c>
      <c r="C1460" s="439"/>
      <c r="D1460" s="439"/>
      <c r="E1460" s="439"/>
      <c r="F1460" s="439"/>
      <c r="G1460" s="451" t="s">
        <v>3545</v>
      </c>
      <c r="Z1460" s="500"/>
      <c r="AA1460" s="500"/>
      <c r="AB1460" s="500"/>
      <c r="AC1460" s="500"/>
      <c r="AD1460" s="500"/>
      <c r="AE1460" s="500"/>
      <c r="AF1460" s="500"/>
      <c r="AG1460" s="500"/>
      <c r="AH1460" s="500"/>
      <c r="AI1460" s="500"/>
      <c r="AJ1460" s="500"/>
      <c r="AK1460" s="500"/>
      <c r="AL1460" s="500"/>
      <c r="AM1460" s="500"/>
      <c r="AN1460" s="500"/>
      <c r="AO1460" s="500"/>
      <c r="AP1460" s="500"/>
    </row>
    <row r="1461" spans="1:42" ht="16.5" customHeight="1">
      <c r="A1461" s="439"/>
      <c r="B1461" s="439"/>
      <c r="C1461" s="439"/>
      <c r="D1461" s="439"/>
      <c r="E1461" s="439"/>
      <c r="F1461" s="439"/>
      <c r="G1461" s="451" t="s">
        <v>3406</v>
      </c>
      <c r="Z1461" s="500"/>
      <c r="AA1461" s="500"/>
      <c r="AB1461" s="500"/>
      <c r="AC1461" s="500"/>
      <c r="AD1461" s="500"/>
      <c r="AE1461" s="500"/>
      <c r="AF1461" s="500"/>
      <c r="AG1461" s="500"/>
      <c r="AH1461" s="500"/>
      <c r="AI1461" s="500"/>
      <c r="AJ1461" s="500"/>
      <c r="AK1461" s="500"/>
      <c r="AL1461" s="500"/>
      <c r="AM1461" s="500"/>
      <c r="AN1461" s="500"/>
      <c r="AO1461" s="500"/>
      <c r="AP1461" s="500"/>
    </row>
    <row r="1462" spans="1:42" ht="16.5" customHeight="1">
      <c r="A1462" s="434"/>
      <c r="B1462" s="437" t="str">
        <f>" 일당 작업량 :   Q = "&amp;Z1462&amp;"  주 "</f>
        <v xml:space="preserve"> 일당 작업량 :   Q = 9  주 </v>
      </c>
      <c r="C1462" s="439"/>
      <c r="D1462" s="439"/>
      <c r="E1462" s="439"/>
      <c r="F1462" s="439"/>
      <c r="G1462" s="451" t="s">
        <v>3569</v>
      </c>
      <c r="Z1462" s="515">
        <v>9</v>
      </c>
      <c r="AA1462" s="501" t="s">
        <v>3418</v>
      </c>
      <c r="AB1462" s="512">
        <f>Z1462</f>
        <v>9</v>
      </c>
      <c r="AC1462" s="500"/>
      <c r="AD1462" s="500"/>
      <c r="AE1462" s="500"/>
      <c r="AF1462" s="500"/>
      <c r="AG1462" s="500"/>
      <c r="AH1462" s="500"/>
      <c r="AI1462" s="500"/>
      <c r="AJ1462" s="500"/>
      <c r="AK1462" s="500"/>
      <c r="AL1462" s="500"/>
      <c r="AM1462" s="500"/>
      <c r="AN1462" s="500"/>
      <c r="AO1462" s="500"/>
      <c r="AP1462" s="500"/>
    </row>
    <row r="1463" spans="1:42" ht="16.5" customHeight="1">
      <c r="A1463" s="439"/>
      <c r="B1463" s="439"/>
      <c r="C1463" s="439"/>
      <c r="D1463" s="439"/>
      <c r="E1463" s="439"/>
      <c r="F1463" s="439"/>
      <c r="G1463" s="451" t="s">
        <v>3406</v>
      </c>
      <c r="Z1463" s="500"/>
      <c r="AA1463" s="500"/>
      <c r="AB1463" s="500"/>
      <c r="AC1463" s="500"/>
      <c r="AD1463" s="500"/>
      <c r="AE1463" s="500"/>
      <c r="AF1463" s="500"/>
      <c r="AG1463" s="500"/>
      <c r="AH1463" s="500"/>
      <c r="AI1463" s="500"/>
      <c r="AJ1463" s="500"/>
      <c r="AK1463" s="500"/>
      <c r="AL1463" s="500"/>
      <c r="AM1463" s="500"/>
      <c r="AN1463" s="500"/>
      <c r="AO1463" s="500"/>
      <c r="AP1463" s="500"/>
    </row>
    <row r="1464" spans="1:42" ht="16.5" customHeight="1">
      <c r="A1464" s="434"/>
      <c r="B1464" s="437" t="s">
        <v>3570</v>
      </c>
      <c r="C1464" s="439"/>
      <c r="D1464" s="439"/>
      <c r="E1464" s="439"/>
      <c r="F1464" s="439"/>
      <c r="G1464" s="451" t="s">
        <v>3571</v>
      </c>
      <c r="Z1464" s="500"/>
      <c r="AA1464" s="500"/>
      <c r="AB1464" s="500"/>
      <c r="AC1464" s="500"/>
      <c r="AD1464" s="500"/>
      <c r="AE1464" s="500"/>
      <c r="AF1464" s="500"/>
      <c r="AG1464" s="500"/>
      <c r="AH1464" s="500"/>
      <c r="AI1464" s="500"/>
      <c r="AJ1464" s="500"/>
      <c r="AK1464" s="500"/>
      <c r="AL1464" s="500"/>
      <c r="AM1464" s="500"/>
      <c r="AN1464" s="500"/>
      <c r="AO1464" s="500"/>
      <c r="AP1464" s="500"/>
    </row>
    <row r="1465" spans="1:42" ht="16.5" customHeight="1">
      <c r="A1465" s="439"/>
      <c r="B1465" s="439"/>
      <c r="C1465" s="439"/>
      <c r="D1465" s="439"/>
      <c r="E1465" s="439"/>
      <c r="F1465" s="439"/>
      <c r="G1465" s="451" t="s">
        <v>3406</v>
      </c>
      <c r="Z1465" s="500"/>
      <c r="AA1465" s="500"/>
      <c r="AB1465" s="500"/>
      <c r="AC1465" s="500"/>
      <c r="AD1465" s="500"/>
      <c r="AE1465" s="500"/>
      <c r="AF1465" s="500"/>
      <c r="AG1465" s="500"/>
      <c r="AH1465" s="500"/>
      <c r="AI1465" s="500"/>
      <c r="AJ1465" s="500"/>
      <c r="AK1465" s="500"/>
      <c r="AL1465" s="500"/>
      <c r="AM1465" s="500"/>
      <c r="AN1465" s="500"/>
      <c r="AO1465" s="500"/>
      <c r="AP1465" s="500"/>
    </row>
    <row r="1466" spans="1:42" ht="16.5" customHeight="1">
      <c r="A1466" s="439"/>
      <c r="B1466" s="439"/>
      <c r="C1466" s="439"/>
      <c r="D1466" s="439"/>
      <c r="E1466" s="439"/>
      <c r="F1466" s="439"/>
      <c r="G1466" s="451" t="s">
        <v>3406</v>
      </c>
      <c r="Z1466" s="500"/>
      <c r="AA1466" s="500"/>
      <c r="AB1466" s="500"/>
      <c r="AC1466" s="500"/>
      <c r="AD1466" s="500"/>
      <c r="AE1466" s="500"/>
      <c r="AF1466" s="500"/>
      <c r="AG1466" s="500"/>
      <c r="AH1466" s="500"/>
      <c r="AI1466" s="500"/>
      <c r="AJ1466" s="500"/>
      <c r="AK1466" s="500"/>
      <c r="AL1466" s="500"/>
      <c r="AM1466" s="500"/>
      <c r="AN1466" s="500"/>
      <c r="AO1466" s="500"/>
      <c r="AP1466" s="500"/>
    </row>
    <row r="1467" spans="1:42" ht="16.5" customHeight="1">
      <c r="A1467" s="439"/>
      <c r="B1467" s="439"/>
      <c r="C1467" s="439"/>
      <c r="D1467" s="439"/>
      <c r="E1467" s="439"/>
      <c r="F1467" s="439"/>
      <c r="G1467" s="451" t="s">
        <v>3406</v>
      </c>
      <c r="Z1467" s="500"/>
      <c r="AA1467" s="500"/>
      <c r="AB1467" s="500"/>
      <c r="AC1467" s="500"/>
      <c r="AD1467" s="500"/>
      <c r="AE1467" s="500"/>
      <c r="AF1467" s="500"/>
      <c r="AG1467" s="500"/>
      <c r="AH1467" s="500"/>
      <c r="AI1467" s="500"/>
      <c r="AJ1467" s="500"/>
      <c r="AK1467" s="500"/>
      <c r="AL1467" s="500"/>
      <c r="AM1467" s="500"/>
      <c r="AN1467" s="500"/>
      <c r="AO1467" s="500"/>
      <c r="AP1467" s="500"/>
    </row>
    <row r="1468" spans="1:42" ht="16.5" customHeight="1">
      <c r="A1468" s="439"/>
      <c r="B1468" s="439"/>
      <c r="C1468" s="439"/>
      <c r="D1468" s="439"/>
      <c r="E1468" s="439"/>
      <c r="F1468" s="439"/>
      <c r="G1468" s="451" t="s">
        <v>3406</v>
      </c>
      <c r="Z1468" s="500"/>
      <c r="AA1468" s="500"/>
      <c r="AB1468" s="500"/>
      <c r="AC1468" s="500"/>
      <c r="AD1468" s="500"/>
      <c r="AE1468" s="500"/>
      <c r="AF1468" s="500"/>
      <c r="AG1468" s="500"/>
      <c r="AH1468" s="500"/>
      <c r="AI1468" s="500"/>
      <c r="AJ1468" s="500"/>
      <c r="AK1468" s="500"/>
      <c r="AL1468" s="500"/>
      <c r="AM1468" s="500"/>
      <c r="AN1468" s="500"/>
      <c r="AO1468" s="500"/>
      <c r="AP1468" s="500"/>
    </row>
    <row r="1469" spans="1:42" ht="16.5" customHeight="1">
      <c r="A1469" s="434"/>
      <c r="B1469" s="437" t="s">
        <v>3549</v>
      </c>
      <c r="C1469" s="439"/>
      <c r="D1469" s="439"/>
      <c r="E1469" s="439"/>
      <c r="F1469" s="439"/>
      <c r="G1469" s="451" t="s">
        <v>3550</v>
      </c>
      <c r="Z1469" s="500"/>
      <c r="AA1469" s="500"/>
      <c r="AB1469" s="500"/>
      <c r="AC1469" s="500"/>
      <c r="AD1469" s="500"/>
      <c r="AE1469" s="500"/>
      <c r="AF1469" s="500"/>
      <c r="AG1469" s="500"/>
      <c r="AH1469" s="500"/>
      <c r="AI1469" s="500"/>
      <c r="AJ1469" s="500"/>
      <c r="AK1469" s="500"/>
      <c r="AL1469" s="500"/>
      <c r="AM1469" s="500"/>
      <c r="AN1469" s="500"/>
      <c r="AO1469" s="500"/>
      <c r="AP1469" s="500"/>
    </row>
    <row r="1470" spans="1:42" ht="16.5" customHeight="1">
      <c r="A1470" s="439"/>
      <c r="B1470" s="439"/>
      <c r="C1470" s="439"/>
      <c r="D1470" s="439"/>
      <c r="E1470" s="439"/>
      <c r="F1470" s="439"/>
      <c r="G1470" s="451" t="s">
        <v>3406</v>
      </c>
      <c r="Z1470" s="500"/>
      <c r="AA1470" s="500"/>
      <c r="AB1470" s="500"/>
      <c r="AC1470" s="500"/>
      <c r="AD1470" s="500"/>
      <c r="AE1470" s="500"/>
      <c r="AF1470" s="500"/>
      <c r="AG1470" s="500"/>
      <c r="AH1470" s="500"/>
      <c r="AI1470" s="500"/>
      <c r="AJ1470" s="500"/>
      <c r="AK1470" s="500"/>
      <c r="AL1470" s="500"/>
      <c r="AM1470" s="500"/>
      <c r="AN1470" s="500"/>
      <c r="AO1470" s="500"/>
      <c r="AP1470" s="500"/>
    </row>
    <row r="1471" spans="1:42" ht="16.5" customHeight="1">
      <c r="A1471" s="434" t="s">
        <v>3498</v>
      </c>
      <c r="B1471" s="505" t="str">
        <f>" 조경공 :  "&amp;TEXT(I1471,"#,##0"&amp;IF(I1471&lt;&gt;INT(I1471),".###",""))&amp;" * "&amp;AA1471&amp;" 인  / Q = "&amp;TEXT(C1471,"#,##0.0")&amp;""</f>
        <v xml:space="preserve"> 조경공 :  235,204 * 3 인  / Q = 78,401.3</v>
      </c>
      <c r="C1471" s="506">
        <f>E1471+D1471+F1471</f>
        <v>78401.3</v>
      </c>
      <c r="D1471" s="506">
        <f>IF(H1471=0,0,ROUNDDOWN(J1471*H1471,1))</f>
        <v>78401.3</v>
      </c>
      <c r="E1471" s="506">
        <f>IF(H1471=0,0,ROUNDDOWN(K1471*H1471,1))</f>
        <v>0</v>
      </c>
      <c r="F1471" s="506">
        <f>IF(H1471=0,0,ROUNDDOWN(L1471*H1471,1))</f>
        <v>0</v>
      </c>
      <c r="G1471" s="451" t="s">
        <v>3551</v>
      </c>
      <c r="H1471" s="507">
        <f>ROUNDUP(AE1471,14-LEN(ABS(INT(AE1471))))</f>
        <v>0.33333333333339998</v>
      </c>
      <c r="I1471" s="508">
        <f>K1471+J1471+L1471</f>
        <v>235204</v>
      </c>
      <c r="J1471" s="509">
        <f>노무비목록표!E15</f>
        <v>235204</v>
      </c>
      <c r="M1471" s="501" t="s">
        <v>2359</v>
      </c>
      <c r="N1471" s="501" t="s">
        <v>3416</v>
      </c>
      <c r="X1471" s="510" t="str">
        <f>노무비목록표!B15&amp;" / "&amp;노무비목록표!C15</f>
        <v xml:space="preserve">조경공 / </v>
      </c>
      <c r="Y1471" s="433" t="str">
        <f ca="1">HYPERLINK("#"&amp;노무비목록표!G2&amp;"!A"&amp;ROW(노무비목록표!A15),"L00184 →")</f>
        <v>L00184 →</v>
      </c>
      <c r="Z1471" s="501" t="s">
        <v>3500</v>
      </c>
      <c r="AA1471" s="515">
        <v>3</v>
      </c>
      <c r="AB1471" s="501" t="s">
        <v>3428</v>
      </c>
      <c r="AC1471" s="512">
        <f>AB1462</f>
        <v>9</v>
      </c>
      <c r="AD1471" s="501" t="s">
        <v>3418</v>
      </c>
      <c r="AE1471" s="512">
        <f>1*AA1471/AB1462</f>
        <v>0.33333333333333331</v>
      </c>
      <c r="AF1471" s="500"/>
      <c r="AG1471" s="500"/>
      <c r="AH1471" s="500"/>
      <c r="AI1471" s="500"/>
      <c r="AJ1471" s="500"/>
      <c r="AK1471" s="500"/>
      <c r="AL1471" s="500"/>
      <c r="AM1471" s="500"/>
      <c r="AN1471" s="500"/>
      <c r="AO1471" s="500"/>
      <c r="AP1471" s="500"/>
    </row>
    <row r="1472" spans="1:42" ht="16.5" customHeight="1">
      <c r="A1472" s="439"/>
      <c r="B1472" s="439"/>
      <c r="C1472" s="439"/>
      <c r="D1472" s="439"/>
      <c r="E1472" s="439"/>
      <c r="F1472" s="439"/>
      <c r="G1472" s="451" t="s">
        <v>3406</v>
      </c>
      <c r="Z1472" s="500"/>
      <c r="AA1472" s="500"/>
      <c r="AB1472" s="500"/>
      <c r="AC1472" s="500"/>
      <c r="AD1472" s="500"/>
      <c r="AE1472" s="500"/>
      <c r="AF1472" s="500"/>
      <c r="AG1472" s="500"/>
      <c r="AH1472" s="500"/>
      <c r="AI1472" s="500"/>
      <c r="AJ1472" s="500"/>
      <c r="AK1472" s="500"/>
      <c r="AL1472" s="500"/>
      <c r="AM1472" s="500"/>
      <c r="AN1472" s="500"/>
      <c r="AO1472" s="500"/>
      <c r="AP1472" s="500"/>
    </row>
    <row r="1473" spans="1:42" ht="16.5" customHeight="1">
      <c r="A1473" s="439"/>
      <c r="B1473" s="439"/>
      <c r="C1473" s="439"/>
      <c r="D1473" s="439"/>
      <c r="E1473" s="439"/>
      <c r="F1473" s="439"/>
      <c r="G1473" s="451" t="s">
        <v>3406</v>
      </c>
      <c r="Z1473" s="500"/>
      <c r="AA1473" s="500"/>
      <c r="AB1473" s="500"/>
      <c r="AC1473" s="500"/>
      <c r="AD1473" s="500"/>
      <c r="AE1473" s="500"/>
      <c r="AF1473" s="500"/>
      <c r="AG1473" s="500"/>
      <c r="AH1473" s="500"/>
      <c r="AI1473" s="500"/>
      <c r="AJ1473" s="500"/>
      <c r="AK1473" s="500"/>
      <c r="AL1473" s="500"/>
      <c r="AM1473" s="500"/>
      <c r="AN1473" s="500"/>
      <c r="AO1473" s="500"/>
      <c r="AP1473" s="500"/>
    </row>
    <row r="1474" spans="1:42" ht="16.5" customHeight="1">
      <c r="A1474" s="434" t="s">
        <v>3414</v>
      </c>
      <c r="B1474" s="505" t="str">
        <f>" 보통인부 : "&amp;TEXT(I1474,"#,##0"&amp;IF(I1474&lt;&gt;INT(I1474),".###",""))&amp;" * "&amp;AA1474&amp;" 인  / Q = "&amp;TEXT(C1474,"#,##0.0")&amp;""</f>
        <v xml:space="preserve"> 보통인부 : 172,068 * 1 인  / Q = 19,118.6</v>
      </c>
      <c r="C1474" s="506">
        <f>E1474+D1474+F1474</f>
        <v>19118.599999999999</v>
      </c>
      <c r="D1474" s="506">
        <f>IF(H1474=0,0,ROUNDDOWN(J1474*H1474,1))</f>
        <v>19118.599999999999</v>
      </c>
      <c r="E1474" s="506">
        <f>IF(H1474=0,0,ROUNDDOWN(K1474*H1474,1))</f>
        <v>0</v>
      </c>
      <c r="F1474" s="506">
        <f>IF(H1474=0,0,ROUNDDOWN(L1474*H1474,1))</f>
        <v>0</v>
      </c>
      <c r="G1474" s="451" t="s">
        <v>3552</v>
      </c>
      <c r="H1474" s="507">
        <f>ROUNDUP(AE1474,14-LEN(ABS(INT(AE1474))))</f>
        <v>0.11111111111120001</v>
      </c>
      <c r="I1474" s="508">
        <f>K1474+J1474+L1474</f>
        <v>172068</v>
      </c>
      <c r="J1474" s="509">
        <f>노무비목록표!E10</f>
        <v>172068</v>
      </c>
      <c r="M1474" s="501" t="s">
        <v>2363</v>
      </c>
      <c r="N1474" s="501" t="s">
        <v>3416</v>
      </c>
      <c r="X1474" s="510" t="str">
        <f>노무비목록표!B10&amp;" / "&amp;노무비목록표!C10</f>
        <v xml:space="preserve">보통인부 / </v>
      </c>
      <c r="Y1474" s="433" t="str">
        <f ca="1">HYPERLINK("#"&amp;노무비목록표!G2&amp;"!A"&amp;ROW(노무비목록표!A10),"L00017 →")</f>
        <v>L00017 →</v>
      </c>
      <c r="Z1474" s="501" t="s">
        <v>3500</v>
      </c>
      <c r="AA1474" s="515">
        <v>1</v>
      </c>
      <c r="AB1474" s="501" t="s">
        <v>3428</v>
      </c>
      <c r="AC1474" s="512">
        <f>AB1462</f>
        <v>9</v>
      </c>
      <c r="AD1474" s="501" t="s">
        <v>3418</v>
      </c>
      <c r="AE1474" s="512">
        <f>1*AA1474/AB1462</f>
        <v>0.1111111111111111</v>
      </c>
      <c r="AF1474" s="500"/>
      <c r="AG1474" s="500"/>
      <c r="AH1474" s="500"/>
      <c r="AI1474" s="500"/>
      <c r="AJ1474" s="500"/>
      <c r="AK1474" s="500"/>
      <c r="AL1474" s="500"/>
      <c r="AM1474" s="500"/>
      <c r="AN1474" s="500"/>
      <c r="AO1474" s="500"/>
      <c r="AP1474" s="500"/>
    </row>
    <row r="1475" spans="1:42" ht="16.5" customHeight="1">
      <c r="A1475" s="439"/>
      <c r="B1475" s="439"/>
      <c r="C1475" s="439"/>
      <c r="D1475" s="439"/>
      <c r="E1475" s="439"/>
      <c r="F1475" s="439"/>
      <c r="G1475" s="451" t="s">
        <v>3406</v>
      </c>
      <c r="Z1475" s="500"/>
      <c r="AA1475" s="500"/>
      <c r="AB1475" s="500"/>
      <c r="AC1475" s="500"/>
      <c r="AD1475" s="500"/>
      <c r="AE1475" s="500"/>
      <c r="AF1475" s="500"/>
      <c r="AG1475" s="500"/>
      <c r="AH1475" s="500"/>
      <c r="AI1475" s="500"/>
      <c r="AJ1475" s="500"/>
      <c r="AK1475" s="500"/>
      <c r="AL1475" s="500"/>
      <c r="AM1475" s="500"/>
      <c r="AN1475" s="500"/>
      <c r="AO1475" s="500"/>
      <c r="AP1475" s="500"/>
    </row>
    <row r="1476" spans="1:42" ht="16.5" customHeight="1">
      <c r="A1476" s="434"/>
      <c r="B1476" s="437" t="s">
        <v>3419</v>
      </c>
      <c r="C1476" s="513">
        <f>E1476+D1476+F1476</f>
        <v>97519.9</v>
      </c>
      <c r="D1476" s="513">
        <f>SUMIF(N1457:N1475,M1476,D1457:D1475)</f>
        <v>97519.9</v>
      </c>
      <c r="E1476" s="513">
        <f>SUMIF(N1457:N1475,M1476,E1457:E1475)</f>
        <v>0</v>
      </c>
      <c r="F1476" s="513">
        <f>SUMIF(N1457:N1475,M1476,F1457:F1475)</f>
        <v>0</v>
      </c>
      <c r="G1476" s="451" t="s">
        <v>3439</v>
      </c>
      <c r="M1476" s="501" t="s">
        <v>3416</v>
      </c>
      <c r="N1476" s="501" t="s">
        <v>3421</v>
      </c>
      <c r="Z1476" s="500"/>
      <c r="AA1476" s="500"/>
      <c r="AB1476" s="500"/>
      <c r="AC1476" s="500"/>
      <c r="AD1476" s="500"/>
      <c r="AE1476" s="500"/>
      <c r="AF1476" s="500"/>
      <c r="AG1476" s="500"/>
      <c r="AH1476" s="500"/>
      <c r="AI1476" s="500"/>
      <c r="AJ1476" s="500"/>
      <c r="AK1476" s="500"/>
      <c r="AL1476" s="500"/>
      <c r="AM1476" s="500"/>
      <c r="AN1476" s="500"/>
      <c r="AO1476" s="500"/>
      <c r="AP1476" s="500"/>
    </row>
    <row r="1477" spans="1:42" ht="16.5" customHeight="1">
      <c r="A1477" s="439"/>
      <c r="B1477" s="439"/>
      <c r="C1477" s="504"/>
      <c r="D1477" s="504"/>
      <c r="E1477" s="504"/>
      <c r="F1477" s="504"/>
      <c r="G1477" s="451" t="s">
        <v>3406</v>
      </c>
      <c r="Z1477" s="500"/>
      <c r="AA1477" s="500"/>
      <c r="AB1477" s="500"/>
      <c r="AC1477" s="500"/>
      <c r="AD1477" s="500"/>
      <c r="AE1477" s="500"/>
      <c r="AF1477" s="500"/>
      <c r="AG1477" s="500"/>
      <c r="AH1477" s="500"/>
      <c r="AI1477" s="500"/>
      <c r="AJ1477" s="500"/>
      <c r="AK1477" s="500"/>
      <c r="AL1477" s="500"/>
      <c r="AM1477" s="500"/>
      <c r="AN1477" s="500"/>
      <c r="AO1477" s="500"/>
      <c r="AP1477" s="500"/>
    </row>
    <row r="1478" spans="1:42" ht="16.5" customHeight="1">
      <c r="A1478" s="439"/>
      <c r="B1478" s="439"/>
      <c r="C1478" s="439"/>
      <c r="D1478" s="439"/>
      <c r="E1478" s="439"/>
      <c r="F1478" s="439"/>
      <c r="G1478" s="451" t="s">
        <v>3406</v>
      </c>
      <c r="Z1478" s="500"/>
      <c r="AA1478" s="500"/>
      <c r="AB1478" s="500"/>
      <c r="AC1478" s="500"/>
      <c r="AD1478" s="500"/>
      <c r="AE1478" s="500"/>
      <c r="AF1478" s="500"/>
      <c r="AG1478" s="500"/>
      <c r="AH1478" s="500"/>
      <c r="AI1478" s="500"/>
      <c r="AJ1478" s="500"/>
      <c r="AK1478" s="500"/>
      <c r="AL1478" s="500"/>
      <c r="AM1478" s="500"/>
      <c r="AN1478" s="500"/>
      <c r="AO1478" s="500"/>
      <c r="AP1478" s="500"/>
    </row>
    <row r="1479" spans="1:42" ht="16.5" customHeight="1">
      <c r="A1479" s="434"/>
      <c r="B1479" s="437" t="s">
        <v>3572</v>
      </c>
      <c r="C1479" s="439"/>
      <c r="D1479" s="439"/>
      <c r="E1479" s="439"/>
      <c r="F1479" s="439"/>
      <c r="G1479" s="451" t="s">
        <v>3573</v>
      </c>
      <c r="Z1479" s="500"/>
      <c r="AA1479" s="500"/>
      <c r="AB1479" s="500"/>
      <c r="AC1479" s="500"/>
      <c r="AD1479" s="500"/>
      <c r="AE1479" s="500"/>
      <c r="AF1479" s="500"/>
      <c r="AG1479" s="500"/>
      <c r="AH1479" s="500"/>
      <c r="AI1479" s="500"/>
      <c r="AJ1479" s="500"/>
      <c r="AK1479" s="500"/>
      <c r="AL1479" s="500"/>
      <c r="AM1479" s="500"/>
      <c r="AN1479" s="500"/>
      <c r="AO1479" s="500"/>
      <c r="AP1479" s="500"/>
    </row>
    <row r="1480" spans="1:42" ht="16.5" customHeight="1">
      <c r="A1480" s="439"/>
      <c r="B1480" s="439"/>
      <c r="C1480" s="439"/>
      <c r="D1480" s="439"/>
      <c r="E1480" s="439"/>
      <c r="F1480" s="439"/>
      <c r="G1480" s="451" t="s">
        <v>3406</v>
      </c>
      <c r="Z1480" s="500"/>
      <c r="AA1480" s="500"/>
      <c r="AB1480" s="500"/>
      <c r="AC1480" s="500"/>
      <c r="AD1480" s="500"/>
      <c r="AE1480" s="500"/>
      <c r="AF1480" s="500"/>
      <c r="AG1480" s="500"/>
      <c r="AH1480" s="500"/>
      <c r="AI1480" s="500"/>
      <c r="AJ1480" s="500"/>
      <c r="AK1480" s="500"/>
      <c r="AL1480" s="500"/>
      <c r="AM1480" s="500"/>
      <c r="AN1480" s="500"/>
      <c r="AO1480" s="500"/>
      <c r="AP1480" s="500"/>
    </row>
    <row r="1481" spans="1:42" ht="16.5" customHeight="1">
      <c r="A1481" s="434"/>
      <c r="B1481" s="437" t="s">
        <v>3574</v>
      </c>
      <c r="C1481" s="439"/>
      <c r="D1481" s="439"/>
      <c r="E1481" s="439"/>
      <c r="F1481" s="439"/>
      <c r="G1481" s="451" t="s">
        <v>3575</v>
      </c>
      <c r="Z1481" s="500"/>
      <c r="AA1481" s="500"/>
      <c r="AB1481" s="500"/>
      <c r="AC1481" s="500"/>
      <c r="AD1481" s="500"/>
      <c r="AE1481" s="500"/>
      <c r="AF1481" s="500"/>
      <c r="AG1481" s="500"/>
      <c r="AH1481" s="500"/>
      <c r="AI1481" s="500"/>
      <c r="AJ1481" s="500"/>
      <c r="AK1481" s="500"/>
      <c r="AL1481" s="500"/>
      <c r="AM1481" s="500"/>
      <c r="AN1481" s="500"/>
      <c r="AO1481" s="500"/>
      <c r="AP1481" s="500"/>
    </row>
    <row r="1482" spans="1:42" ht="16.5" customHeight="1">
      <c r="A1482" s="439"/>
      <c r="B1482" s="439"/>
      <c r="C1482" s="439"/>
      <c r="D1482" s="439"/>
      <c r="E1482" s="439"/>
      <c r="F1482" s="439"/>
      <c r="G1482" s="451" t="s">
        <v>3406</v>
      </c>
      <c r="Z1482" s="500"/>
      <c r="AA1482" s="500"/>
      <c r="AB1482" s="500"/>
      <c r="AC1482" s="500"/>
      <c r="AD1482" s="500"/>
      <c r="AE1482" s="500"/>
      <c r="AF1482" s="500"/>
      <c r="AG1482" s="500"/>
      <c r="AH1482" s="500"/>
      <c r="AI1482" s="500"/>
      <c r="AJ1482" s="500"/>
      <c r="AK1482" s="500"/>
      <c r="AL1482" s="500"/>
      <c r="AM1482" s="500"/>
      <c r="AN1482" s="500"/>
      <c r="AO1482" s="500"/>
      <c r="AP1482" s="500"/>
    </row>
    <row r="1483" spans="1:42" ht="16.5" customHeight="1">
      <c r="A1483" s="434" t="s">
        <v>3576</v>
      </c>
      <c r="B1483" s="505" t="str">
        <f>"  노 무 비 :  "&amp;TEXT(I1483,"#,##0"&amp;IF(I1483&lt;&gt;INT(I1483),".###",""))&amp;" / Q * "&amp;AC1483&amp;" = "&amp;TEXT(C1483,"#,##0.0")&amp;""</f>
        <v xml:space="preserve">  노 무 비 :  59,020 / Q * 8 = 52,462.2</v>
      </c>
      <c r="C1483" s="506">
        <f>E1483+D1483+F1483</f>
        <v>52462.2</v>
      </c>
      <c r="D1483" s="506">
        <f>IF(H1483=0,0,ROUNDDOWN(J1483*H1483,1))</f>
        <v>52462.2</v>
      </c>
      <c r="E1483" s="506">
        <f>IF(H1483=0,0,ROUNDDOWN(K1483*H1483,1))</f>
        <v>0</v>
      </c>
      <c r="F1483" s="506">
        <f>IF(H1483=0,0,ROUNDDOWN(L1483*H1483,1))</f>
        <v>0</v>
      </c>
      <c r="G1483" s="451" t="s">
        <v>3577</v>
      </c>
      <c r="H1483" s="507">
        <f>ROUNDUP(AE1483,14-LEN(ABS(INT(AE1483))))</f>
        <v>0.88888888888890005</v>
      </c>
      <c r="I1483" s="508">
        <f>K1483+J1483+L1483</f>
        <v>59020</v>
      </c>
      <c r="J1483" s="509">
        <f>중기목록표!F8</f>
        <v>59020</v>
      </c>
      <c r="M1483" s="501" t="s">
        <v>3159</v>
      </c>
      <c r="N1483" s="501" t="s">
        <v>3416</v>
      </c>
      <c r="X1483" s="510" t="str">
        <f>중기목록표!B8&amp;" / "&amp;중기목록표!C8</f>
        <v>굴착기(무한궤도) / 0.6㎥</v>
      </c>
      <c r="Y1483" s="433" t="str">
        <f ca="1">HYPERLINK("#"&amp;중기목록표!J2&amp;"!A"&amp;ROW(중기목록표!A8),"X00269 →")</f>
        <v>X00269 →</v>
      </c>
      <c r="Z1483" s="501" t="s">
        <v>3434</v>
      </c>
      <c r="AA1483" s="512">
        <f>AB1462</f>
        <v>9</v>
      </c>
      <c r="AB1483" s="501" t="s">
        <v>3368</v>
      </c>
      <c r="AC1483" s="515">
        <v>8</v>
      </c>
      <c r="AD1483" s="501" t="s">
        <v>3418</v>
      </c>
      <c r="AE1483" s="512">
        <f>1/AB1462*AC1483</f>
        <v>0.88888888888888884</v>
      </c>
      <c r="AF1483" s="500"/>
      <c r="AG1483" s="500"/>
      <c r="AH1483" s="500"/>
      <c r="AI1483" s="500"/>
      <c r="AJ1483" s="500"/>
      <c r="AK1483" s="500"/>
      <c r="AL1483" s="500"/>
      <c r="AM1483" s="500"/>
      <c r="AN1483" s="500"/>
      <c r="AO1483" s="500"/>
      <c r="AP1483" s="500"/>
    </row>
    <row r="1484" spans="1:42" ht="16.5" customHeight="1">
      <c r="A1484" s="439"/>
      <c r="B1484" s="439"/>
      <c r="C1484" s="439"/>
      <c r="D1484" s="439"/>
      <c r="E1484" s="439"/>
      <c r="F1484" s="439"/>
      <c r="G1484" s="451" t="s">
        <v>3406</v>
      </c>
      <c r="Z1484" s="500"/>
      <c r="AA1484" s="500"/>
      <c r="AB1484" s="500"/>
      <c r="AC1484" s="500"/>
      <c r="AD1484" s="500"/>
      <c r="AE1484" s="500"/>
      <c r="AF1484" s="500"/>
      <c r="AG1484" s="500"/>
      <c r="AH1484" s="500"/>
      <c r="AI1484" s="500"/>
      <c r="AJ1484" s="500"/>
      <c r="AK1484" s="500"/>
      <c r="AL1484" s="500"/>
      <c r="AM1484" s="500"/>
      <c r="AN1484" s="500"/>
      <c r="AO1484" s="500"/>
      <c r="AP1484" s="500"/>
    </row>
    <row r="1485" spans="1:42" ht="16.5" customHeight="1">
      <c r="A1485" s="434" t="s">
        <v>3578</v>
      </c>
      <c r="B1485" s="505" t="str">
        <f>"  재 료 비 :  "&amp;TEXT(I1485,"#,##0"&amp;IF(I1485&lt;&gt;INT(I1485),".###",""))&amp;" / Q * "&amp;AC1485&amp;" = "&amp;TEXT(C1485,"#,##0.0")&amp;""</f>
        <v xml:space="preserve">  재 료 비 :  17,160 / Q * 8 = 15,253.3</v>
      </c>
      <c r="C1485" s="506">
        <f>E1485+D1485+F1485</f>
        <v>15253.3</v>
      </c>
      <c r="D1485" s="506">
        <f>IF(H1485=0,0,ROUNDDOWN(J1485*H1485,1))</f>
        <v>0</v>
      </c>
      <c r="E1485" s="506">
        <f>IF(H1485=0,0,ROUNDDOWN(K1485*H1485,1))</f>
        <v>15253.3</v>
      </c>
      <c r="F1485" s="506">
        <f>IF(H1485=0,0,ROUNDDOWN(L1485*H1485,1))</f>
        <v>0</v>
      </c>
      <c r="G1485" s="451" t="s">
        <v>3579</v>
      </c>
      <c r="H1485" s="507">
        <f>ROUNDUP(AE1485,14-LEN(ABS(INT(AE1485))))</f>
        <v>0.88888888888890005</v>
      </c>
      <c r="I1485" s="508">
        <f>K1485+J1485+L1485</f>
        <v>17160</v>
      </c>
      <c r="K1485" s="509">
        <f>중기목록표!G8</f>
        <v>17160</v>
      </c>
      <c r="M1485" s="501" t="s">
        <v>3159</v>
      </c>
      <c r="N1485" s="501" t="s">
        <v>3416</v>
      </c>
      <c r="X1485" s="510" t="str">
        <f>중기목록표!B8&amp;" / "&amp;중기목록표!C8</f>
        <v>굴착기(무한궤도) / 0.6㎥</v>
      </c>
      <c r="Y1485" s="433" t="str">
        <f ca="1">HYPERLINK("#"&amp;중기목록표!J2&amp;"!A"&amp;ROW(중기목록표!A8),"X00269 →")</f>
        <v>X00269 →</v>
      </c>
      <c r="Z1485" s="501" t="s">
        <v>3434</v>
      </c>
      <c r="AA1485" s="512">
        <f>AB1462</f>
        <v>9</v>
      </c>
      <c r="AB1485" s="501" t="s">
        <v>3368</v>
      </c>
      <c r="AC1485" s="515">
        <v>8</v>
      </c>
      <c r="AD1485" s="501" t="s">
        <v>3418</v>
      </c>
      <c r="AE1485" s="512">
        <f>1/AB1462*AC1485</f>
        <v>0.88888888888888884</v>
      </c>
      <c r="AF1485" s="500"/>
      <c r="AG1485" s="500"/>
      <c r="AH1485" s="500"/>
      <c r="AI1485" s="500"/>
      <c r="AJ1485" s="500"/>
      <c r="AK1485" s="500"/>
      <c r="AL1485" s="500"/>
      <c r="AM1485" s="500"/>
      <c r="AN1485" s="500"/>
      <c r="AO1485" s="500"/>
      <c r="AP1485" s="500"/>
    </row>
    <row r="1486" spans="1:42" ht="16.5" customHeight="1">
      <c r="A1486" s="439"/>
      <c r="B1486" s="439"/>
      <c r="C1486" s="439"/>
      <c r="D1486" s="439"/>
      <c r="E1486" s="439"/>
      <c r="F1486" s="439"/>
      <c r="G1486" s="451" t="s">
        <v>3406</v>
      </c>
      <c r="Z1486" s="500"/>
      <c r="AA1486" s="500"/>
      <c r="AB1486" s="500"/>
      <c r="AC1486" s="500"/>
      <c r="AD1486" s="500"/>
      <c r="AE1486" s="500"/>
      <c r="AF1486" s="500"/>
      <c r="AG1486" s="500"/>
      <c r="AH1486" s="500"/>
      <c r="AI1486" s="500"/>
      <c r="AJ1486" s="500"/>
      <c r="AK1486" s="500"/>
      <c r="AL1486" s="500"/>
      <c r="AM1486" s="500"/>
      <c r="AN1486" s="500"/>
      <c r="AO1486" s="500"/>
      <c r="AP1486" s="500"/>
    </row>
    <row r="1487" spans="1:42" ht="16.5" customHeight="1">
      <c r="A1487" s="434" t="s">
        <v>3580</v>
      </c>
      <c r="B1487" s="505" t="str">
        <f>"  경    비 :  "&amp;TEXT(I1487,"#,##0"&amp;IF(I1487&lt;&gt;INT(I1487),".###",""))&amp;" / Q * "&amp;AC1487&amp;" = "&amp;TEXT(C1487,"#,##0.0")&amp;""</f>
        <v xml:space="preserve">  경    비 :  23,423 / Q * 8 = 20,820.4</v>
      </c>
      <c r="C1487" s="506">
        <f>E1487+D1487+F1487</f>
        <v>20820.400000000001</v>
      </c>
      <c r="D1487" s="506">
        <f>IF(H1487=0,0,ROUNDDOWN(J1487*H1487,1))</f>
        <v>0</v>
      </c>
      <c r="E1487" s="506">
        <f>IF(H1487=0,0,ROUNDDOWN(K1487*H1487,1))</f>
        <v>0</v>
      </c>
      <c r="F1487" s="506">
        <f>IF(H1487=0,0,ROUNDDOWN(L1487*H1487,1))</f>
        <v>20820.400000000001</v>
      </c>
      <c r="G1487" s="451" t="s">
        <v>3581</v>
      </c>
      <c r="H1487" s="507">
        <f>ROUNDUP(AE1487,14-LEN(ABS(INT(AE1487))))</f>
        <v>0.88888888888890005</v>
      </c>
      <c r="I1487" s="508">
        <f>K1487+J1487+L1487</f>
        <v>23423</v>
      </c>
      <c r="L1487" s="509">
        <f>중기목록표!H8</f>
        <v>23423</v>
      </c>
      <c r="M1487" s="501" t="s">
        <v>3159</v>
      </c>
      <c r="N1487" s="501" t="s">
        <v>3416</v>
      </c>
      <c r="X1487" s="510" t="str">
        <f>중기목록표!B8&amp;" / "&amp;중기목록표!C8</f>
        <v>굴착기(무한궤도) / 0.6㎥</v>
      </c>
      <c r="Y1487" s="433" t="str">
        <f ca="1">HYPERLINK("#"&amp;중기목록표!J2&amp;"!A"&amp;ROW(중기목록표!A8),"X00269 →")</f>
        <v>X00269 →</v>
      </c>
      <c r="Z1487" s="501" t="s">
        <v>3434</v>
      </c>
      <c r="AA1487" s="512">
        <f>AB1462</f>
        <v>9</v>
      </c>
      <c r="AB1487" s="501" t="s">
        <v>3368</v>
      </c>
      <c r="AC1487" s="515">
        <v>8</v>
      </c>
      <c r="AD1487" s="501" t="s">
        <v>3418</v>
      </c>
      <c r="AE1487" s="512">
        <f>1/AB1462*AC1487</f>
        <v>0.88888888888888884</v>
      </c>
      <c r="AF1487" s="500"/>
      <c r="AG1487" s="500"/>
      <c r="AH1487" s="500"/>
      <c r="AI1487" s="500"/>
      <c r="AJ1487" s="500"/>
      <c r="AK1487" s="500"/>
      <c r="AL1487" s="500"/>
      <c r="AM1487" s="500"/>
      <c r="AN1487" s="500"/>
      <c r="AO1487" s="500"/>
      <c r="AP1487" s="500"/>
    </row>
    <row r="1488" spans="1:42" ht="16.5" customHeight="1">
      <c r="A1488" s="439"/>
      <c r="B1488" s="439"/>
      <c r="C1488" s="439"/>
      <c r="D1488" s="439"/>
      <c r="E1488" s="439"/>
      <c r="F1488" s="439"/>
      <c r="G1488" s="451" t="s">
        <v>3406</v>
      </c>
      <c r="Z1488" s="500"/>
      <c r="AA1488" s="500"/>
      <c r="AB1488" s="500"/>
      <c r="AC1488" s="500"/>
      <c r="AD1488" s="500"/>
      <c r="AE1488" s="500"/>
      <c r="AF1488" s="500"/>
      <c r="AG1488" s="500"/>
      <c r="AH1488" s="500"/>
      <c r="AI1488" s="500"/>
      <c r="AJ1488" s="500"/>
      <c r="AK1488" s="500"/>
      <c r="AL1488" s="500"/>
      <c r="AM1488" s="500"/>
      <c r="AN1488" s="500"/>
      <c r="AO1488" s="500"/>
      <c r="AP1488" s="500"/>
    </row>
    <row r="1489" spans="1:42" ht="16.5" customHeight="1">
      <c r="A1489" s="439"/>
      <c r="B1489" s="439"/>
      <c r="C1489" s="439"/>
      <c r="D1489" s="439"/>
      <c r="E1489" s="439"/>
      <c r="F1489" s="439"/>
      <c r="G1489" s="451" t="s">
        <v>3406</v>
      </c>
      <c r="Z1489" s="500"/>
      <c r="AA1489" s="500"/>
      <c r="AB1489" s="500"/>
      <c r="AC1489" s="500"/>
      <c r="AD1489" s="500"/>
      <c r="AE1489" s="500"/>
      <c r="AF1489" s="500"/>
      <c r="AG1489" s="500"/>
      <c r="AH1489" s="500"/>
      <c r="AI1489" s="500"/>
      <c r="AJ1489" s="500"/>
      <c r="AK1489" s="500"/>
      <c r="AL1489" s="500"/>
      <c r="AM1489" s="500"/>
      <c r="AN1489" s="500"/>
      <c r="AO1489" s="500"/>
      <c r="AP1489" s="500"/>
    </row>
    <row r="1490" spans="1:42" ht="16.5" customHeight="1">
      <c r="A1490" s="434"/>
      <c r="B1490" s="437" t="s">
        <v>3582</v>
      </c>
      <c r="C1490" s="439"/>
      <c r="D1490" s="439"/>
      <c r="E1490" s="439"/>
      <c r="F1490" s="439"/>
      <c r="G1490" s="451" t="s">
        <v>3583</v>
      </c>
      <c r="Z1490" s="500"/>
      <c r="AA1490" s="500"/>
      <c r="AB1490" s="500"/>
      <c r="AC1490" s="500"/>
      <c r="AD1490" s="500"/>
      <c r="AE1490" s="500"/>
      <c r="AF1490" s="500"/>
      <c r="AG1490" s="500"/>
      <c r="AH1490" s="500"/>
      <c r="AI1490" s="500"/>
      <c r="AJ1490" s="500"/>
      <c r="AK1490" s="500"/>
      <c r="AL1490" s="500"/>
      <c r="AM1490" s="500"/>
      <c r="AN1490" s="500"/>
      <c r="AO1490" s="500"/>
      <c r="AP1490" s="500"/>
    </row>
    <row r="1491" spans="1:42" ht="16.5" customHeight="1">
      <c r="A1491" s="439"/>
      <c r="B1491" s="439"/>
      <c r="C1491" s="439"/>
      <c r="D1491" s="439"/>
      <c r="E1491" s="439"/>
      <c r="F1491" s="439"/>
      <c r="G1491" s="451" t="s">
        <v>3406</v>
      </c>
      <c r="Z1491" s="500"/>
      <c r="AA1491" s="500"/>
      <c r="AB1491" s="500"/>
      <c r="AC1491" s="500"/>
      <c r="AD1491" s="500"/>
      <c r="AE1491" s="500"/>
      <c r="AF1491" s="500"/>
      <c r="AG1491" s="500"/>
      <c r="AH1491" s="500"/>
      <c r="AI1491" s="500"/>
      <c r="AJ1491" s="500"/>
      <c r="AK1491" s="500"/>
      <c r="AL1491" s="500"/>
      <c r="AM1491" s="500"/>
      <c r="AN1491" s="500"/>
      <c r="AO1491" s="500"/>
      <c r="AP1491" s="500"/>
    </row>
    <row r="1492" spans="1:42" ht="16.5" customHeight="1">
      <c r="A1492" s="434" t="s">
        <v>3584</v>
      </c>
      <c r="B1492" s="505" t="str">
        <f>"  노 무 비 :  "&amp;TEXT(I1492,"#,##0"&amp;IF(I1492&lt;&gt;INT(I1492),".###",""))&amp;" / Q * "&amp;AC1492&amp;" = "&amp;TEXT(C1492,"#,##0.0")&amp;""</f>
        <v xml:space="preserve">  노 무 비 :  49,778 / Q * 8 = 44,247.1</v>
      </c>
      <c r="C1492" s="506">
        <f>E1492+D1492+F1492</f>
        <v>44247.1</v>
      </c>
      <c r="D1492" s="506">
        <f>IF(H1492=0,0,ROUNDDOWN(J1492*H1492,1))</f>
        <v>44247.1</v>
      </c>
      <c r="E1492" s="506">
        <f>IF(H1492=0,0,ROUNDDOWN(K1492*H1492,1))</f>
        <v>0</v>
      </c>
      <c r="F1492" s="506">
        <f>IF(H1492=0,0,ROUNDDOWN(L1492*H1492,1))</f>
        <v>0</v>
      </c>
      <c r="G1492" s="451" t="s">
        <v>3585</v>
      </c>
      <c r="H1492" s="507">
        <f>ROUNDUP(AE1492,14-LEN(ABS(INT(AE1492))))</f>
        <v>0.88888888888890005</v>
      </c>
      <c r="I1492" s="508">
        <f>K1492+J1492+L1492</f>
        <v>49778</v>
      </c>
      <c r="J1492" s="509">
        <f>중기목록표!F18</f>
        <v>49778</v>
      </c>
      <c r="M1492" s="501" t="s">
        <v>3586</v>
      </c>
      <c r="N1492" s="501" t="s">
        <v>3416</v>
      </c>
      <c r="X1492" s="510" t="str">
        <f>중기목록표!B18&amp;" / "&amp;중기목록표!C18</f>
        <v>트럭탑재형 크레인 / 10톤</v>
      </c>
      <c r="Y1492" s="433" t="str">
        <f ca="1">HYPERLINK("#"&amp;중기목록표!J2&amp;"!A"&amp;ROW(중기목록표!A18),"X00291 →")</f>
        <v>X00291 →</v>
      </c>
      <c r="Z1492" s="501" t="s">
        <v>3434</v>
      </c>
      <c r="AA1492" s="512">
        <f>AB1462</f>
        <v>9</v>
      </c>
      <c r="AB1492" s="501" t="s">
        <v>3368</v>
      </c>
      <c r="AC1492" s="515">
        <v>8</v>
      </c>
      <c r="AD1492" s="501" t="s">
        <v>3418</v>
      </c>
      <c r="AE1492" s="512">
        <f>1/AB1462*AC1492</f>
        <v>0.88888888888888884</v>
      </c>
      <c r="AF1492" s="500"/>
      <c r="AG1492" s="500"/>
      <c r="AH1492" s="500"/>
      <c r="AI1492" s="500"/>
      <c r="AJ1492" s="500"/>
      <c r="AK1492" s="500"/>
      <c r="AL1492" s="500"/>
      <c r="AM1492" s="500"/>
      <c r="AN1492" s="500"/>
      <c r="AO1492" s="500"/>
      <c r="AP1492" s="500"/>
    </row>
    <row r="1493" spans="1:42" ht="16.5" customHeight="1">
      <c r="A1493" s="439"/>
      <c r="B1493" s="439"/>
      <c r="C1493" s="439"/>
      <c r="D1493" s="439"/>
      <c r="E1493" s="439"/>
      <c r="F1493" s="439"/>
      <c r="G1493" s="451" t="s">
        <v>3406</v>
      </c>
      <c r="Z1493" s="500"/>
      <c r="AA1493" s="500"/>
      <c r="AB1493" s="500"/>
      <c r="AC1493" s="500"/>
      <c r="AD1493" s="500"/>
      <c r="AE1493" s="500"/>
      <c r="AF1493" s="500"/>
      <c r="AG1493" s="500"/>
      <c r="AH1493" s="500"/>
      <c r="AI1493" s="500"/>
      <c r="AJ1493" s="500"/>
      <c r="AK1493" s="500"/>
      <c r="AL1493" s="500"/>
      <c r="AM1493" s="500"/>
      <c r="AN1493" s="500"/>
      <c r="AO1493" s="500"/>
      <c r="AP1493" s="500"/>
    </row>
    <row r="1494" spans="1:42" ht="16.5" customHeight="1">
      <c r="A1494" s="434" t="s">
        <v>3587</v>
      </c>
      <c r="B1494" s="505" t="str">
        <f>"  재 료 비 :  "&amp;TEXT(I1494,"#,##0"&amp;IF(I1494&lt;&gt;INT(I1494),".###",""))&amp;" / Q * "&amp;AC1494&amp;" = "&amp;TEXT(C1494,"#,##0.0")&amp;""</f>
        <v xml:space="preserve">  재 료 비 :  17,044 / Q * 8 = 15,150.2</v>
      </c>
      <c r="C1494" s="506">
        <f>E1494+D1494+F1494</f>
        <v>15150.2</v>
      </c>
      <c r="D1494" s="506">
        <f>IF(H1494=0,0,ROUNDDOWN(J1494*H1494,1))</f>
        <v>0</v>
      </c>
      <c r="E1494" s="506">
        <f>IF(H1494=0,0,ROUNDDOWN(K1494*H1494,1))</f>
        <v>15150.2</v>
      </c>
      <c r="F1494" s="506">
        <f>IF(H1494=0,0,ROUNDDOWN(L1494*H1494,1))</f>
        <v>0</v>
      </c>
      <c r="G1494" s="451" t="s">
        <v>3588</v>
      </c>
      <c r="H1494" s="507">
        <f>ROUNDUP(AE1494,14-LEN(ABS(INT(AE1494))))</f>
        <v>0.88888888888890005</v>
      </c>
      <c r="I1494" s="508">
        <f>K1494+J1494+L1494</f>
        <v>17044</v>
      </c>
      <c r="K1494" s="509">
        <f>중기목록표!G18</f>
        <v>17044</v>
      </c>
      <c r="M1494" s="501" t="s">
        <v>3586</v>
      </c>
      <c r="N1494" s="501" t="s">
        <v>3416</v>
      </c>
      <c r="X1494" s="510" t="str">
        <f>중기목록표!B18&amp;" / "&amp;중기목록표!C18</f>
        <v>트럭탑재형 크레인 / 10톤</v>
      </c>
      <c r="Y1494" s="433" t="str">
        <f ca="1">HYPERLINK("#"&amp;중기목록표!J2&amp;"!A"&amp;ROW(중기목록표!A18),"X00291 →")</f>
        <v>X00291 →</v>
      </c>
      <c r="Z1494" s="501" t="s">
        <v>3434</v>
      </c>
      <c r="AA1494" s="512">
        <f>AB1462</f>
        <v>9</v>
      </c>
      <c r="AB1494" s="501" t="s">
        <v>3368</v>
      </c>
      <c r="AC1494" s="515">
        <v>8</v>
      </c>
      <c r="AD1494" s="501" t="s">
        <v>3418</v>
      </c>
      <c r="AE1494" s="512">
        <f>1/AB1462*AC1494</f>
        <v>0.88888888888888884</v>
      </c>
      <c r="AF1494" s="500"/>
      <c r="AG1494" s="500"/>
      <c r="AH1494" s="500"/>
      <c r="AI1494" s="500"/>
      <c r="AJ1494" s="500"/>
      <c r="AK1494" s="500"/>
      <c r="AL1494" s="500"/>
      <c r="AM1494" s="500"/>
      <c r="AN1494" s="500"/>
      <c r="AO1494" s="500"/>
      <c r="AP1494" s="500"/>
    </row>
    <row r="1495" spans="1:42" ht="16.5" customHeight="1">
      <c r="A1495" s="439"/>
      <c r="B1495" s="439"/>
      <c r="C1495" s="439"/>
      <c r="D1495" s="439"/>
      <c r="E1495" s="439"/>
      <c r="F1495" s="439"/>
      <c r="G1495" s="451" t="s">
        <v>3406</v>
      </c>
      <c r="Z1495" s="500"/>
      <c r="AA1495" s="500"/>
      <c r="AB1495" s="500"/>
      <c r="AC1495" s="500"/>
      <c r="AD1495" s="500"/>
      <c r="AE1495" s="500"/>
      <c r="AF1495" s="500"/>
      <c r="AG1495" s="500"/>
      <c r="AH1495" s="500"/>
      <c r="AI1495" s="500"/>
      <c r="AJ1495" s="500"/>
      <c r="AK1495" s="500"/>
      <c r="AL1495" s="500"/>
      <c r="AM1495" s="500"/>
      <c r="AN1495" s="500"/>
      <c r="AO1495" s="500"/>
      <c r="AP1495" s="500"/>
    </row>
    <row r="1496" spans="1:42" ht="16.5" customHeight="1">
      <c r="A1496" s="434" t="s">
        <v>3589</v>
      </c>
      <c r="B1496" s="505" t="str">
        <f>"  경    비 :  "&amp;TEXT(I1496,"#,##0"&amp;IF(I1496&lt;&gt;INT(I1496),".###",""))&amp;" / Q * "&amp;AC1496&amp;" = "&amp;TEXT(C1496,"#,##0.0")&amp;""</f>
        <v xml:space="preserve">  경    비 :  23,795 / Q * 8 = 21,151.1</v>
      </c>
      <c r="C1496" s="506">
        <f>E1496+D1496+F1496</f>
        <v>21151.1</v>
      </c>
      <c r="D1496" s="506">
        <f>IF(H1496=0,0,ROUNDDOWN(J1496*H1496,1))</f>
        <v>0</v>
      </c>
      <c r="E1496" s="506">
        <f>IF(H1496=0,0,ROUNDDOWN(K1496*H1496,1))</f>
        <v>0</v>
      </c>
      <c r="F1496" s="506">
        <f>IF(H1496=0,0,ROUNDDOWN(L1496*H1496,1))</f>
        <v>21151.1</v>
      </c>
      <c r="G1496" s="451" t="s">
        <v>3590</v>
      </c>
      <c r="H1496" s="507">
        <f>ROUNDUP(AE1496,14-LEN(ABS(INT(AE1496))))</f>
        <v>0.88888888888890005</v>
      </c>
      <c r="I1496" s="508">
        <f>K1496+J1496+L1496</f>
        <v>23795</v>
      </c>
      <c r="L1496" s="509">
        <f>중기목록표!H18</f>
        <v>23795</v>
      </c>
      <c r="M1496" s="501" t="s">
        <v>3586</v>
      </c>
      <c r="N1496" s="501" t="s">
        <v>3416</v>
      </c>
      <c r="X1496" s="510" t="str">
        <f>중기목록표!B18&amp;" / "&amp;중기목록표!C18</f>
        <v>트럭탑재형 크레인 / 10톤</v>
      </c>
      <c r="Y1496" s="433" t="str">
        <f ca="1">HYPERLINK("#"&amp;중기목록표!J2&amp;"!A"&amp;ROW(중기목록표!A18),"X00291 →")</f>
        <v>X00291 →</v>
      </c>
      <c r="Z1496" s="501" t="s">
        <v>3434</v>
      </c>
      <c r="AA1496" s="512">
        <f>AB1462</f>
        <v>9</v>
      </c>
      <c r="AB1496" s="501" t="s">
        <v>3368</v>
      </c>
      <c r="AC1496" s="515">
        <v>8</v>
      </c>
      <c r="AD1496" s="501" t="s">
        <v>3418</v>
      </c>
      <c r="AE1496" s="512">
        <f>1/AB1462*AC1496</f>
        <v>0.88888888888888884</v>
      </c>
      <c r="AF1496" s="500"/>
      <c r="AG1496" s="500"/>
      <c r="AH1496" s="500"/>
      <c r="AI1496" s="500"/>
      <c r="AJ1496" s="500"/>
      <c r="AK1496" s="500"/>
      <c r="AL1496" s="500"/>
      <c r="AM1496" s="500"/>
      <c r="AN1496" s="500"/>
      <c r="AO1496" s="500"/>
      <c r="AP1496" s="500"/>
    </row>
    <row r="1497" spans="1:42" ht="16.5" customHeight="1">
      <c r="A1497" s="439"/>
      <c r="B1497" s="439"/>
      <c r="C1497" s="439"/>
      <c r="D1497" s="439"/>
      <c r="E1497" s="439"/>
      <c r="F1497" s="439"/>
      <c r="G1497" s="451" t="s">
        <v>3406</v>
      </c>
      <c r="Z1497" s="500"/>
      <c r="AA1497" s="500"/>
      <c r="AB1497" s="500"/>
      <c r="AC1497" s="500"/>
      <c r="AD1497" s="500"/>
      <c r="AE1497" s="500"/>
      <c r="AF1497" s="500"/>
      <c r="AG1497" s="500"/>
      <c r="AH1497" s="500"/>
      <c r="AI1497" s="500"/>
      <c r="AJ1497" s="500"/>
      <c r="AK1497" s="500"/>
      <c r="AL1497" s="500"/>
      <c r="AM1497" s="500"/>
      <c r="AN1497" s="500"/>
      <c r="AO1497" s="500"/>
      <c r="AP1497" s="500"/>
    </row>
    <row r="1498" spans="1:42" ht="16.5" customHeight="1">
      <c r="A1498" s="439"/>
      <c r="B1498" s="439"/>
      <c r="C1498" s="439"/>
      <c r="D1498" s="439"/>
      <c r="E1498" s="439"/>
      <c r="F1498" s="439"/>
      <c r="G1498" s="451" t="s">
        <v>3406</v>
      </c>
      <c r="Z1498" s="500"/>
      <c r="AA1498" s="500"/>
      <c r="AB1498" s="500"/>
      <c r="AC1498" s="500"/>
      <c r="AD1498" s="500"/>
      <c r="AE1498" s="500"/>
      <c r="AF1498" s="500"/>
      <c r="AG1498" s="500"/>
      <c r="AH1498" s="500"/>
      <c r="AI1498" s="500"/>
      <c r="AJ1498" s="500"/>
      <c r="AK1498" s="500"/>
      <c r="AL1498" s="500"/>
      <c r="AM1498" s="500"/>
      <c r="AN1498" s="500"/>
      <c r="AO1498" s="500"/>
      <c r="AP1498" s="500"/>
    </row>
    <row r="1499" spans="1:42" ht="16.5" customHeight="1">
      <c r="A1499" s="434"/>
      <c r="B1499" s="437" t="s">
        <v>3419</v>
      </c>
      <c r="C1499" s="513">
        <f>E1499+D1499+F1499</f>
        <v>169084.3</v>
      </c>
      <c r="D1499" s="513">
        <f>SUMIF(N1477:N1498,M1499,D1477:D1498)</f>
        <v>96709.299999999988</v>
      </c>
      <c r="E1499" s="513">
        <f>SUMIF(N1477:N1498,M1499,E1477:E1498)</f>
        <v>30403.5</v>
      </c>
      <c r="F1499" s="513">
        <f>SUMIF(N1477:N1498,M1499,F1477:F1498)</f>
        <v>41971.5</v>
      </c>
      <c r="G1499" s="451" t="s">
        <v>3439</v>
      </c>
      <c r="M1499" s="501" t="s">
        <v>3416</v>
      </c>
      <c r="N1499" s="501" t="s">
        <v>3421</v>
      </c>
      <c r="Z1499" s="500"/>
      <c r="AA1499" s="500"/>
      <c r="AB1499" s="500"/>
      <c r="AC1499" s="500"/>
      <c r="AD1499" s="500"/>
      <c r="AE1499" s="500"/>
      <c r="AF1499" s="500"/>
      <c r="AG1499" s="500"/>
      <c r="AH1499" s="500"/>
      <c r="AI1499" s="500"/>
      <c r="AJ1499" s="500"/>
      <c r="AK1499" s="500"/>
      <c r="AL1499" s="500"/>
      <c r="AM1499" s="500"/>
      <c r="AN1499" s="500"/>
      <c r="AO1499" s="500"/>
      <c r="AP1499" s="500"/>
    </row>
    <row r="1500" spans="1:42" ht="16.5" customHeight="1">
      <c r="A1500" s="439"/>
      <c r="B1500" s="439"/>
      <c r="C1500" s="504"/>
      <c r="D1500" s="504"/>
      <c r="E1500" s="504"/>
      <c r="F1500" s="504"/>
      <c r="G1500" s="451" t="s">
        <v>3406</v>
      </c>
      <c r="Z1500" s="500"/>
      <c r="AA1500" s="500"/>
      <c r="AB1500" s="500"/>
      <c r="AC1500" s="500"/>
      <c r="AD1500" s="500"/>
      <c r="AE1500" s="500"/>
      <c r="AF1500" s="500"/>
      <c r="AG1500" s="500"/>
      <c r="AH1500" s="500"/>
      <c r="AI1500" s="500"/>
      <c r="AJ1500" s="500"/>
      <c r="AK1500" s="500"/>
      <c r="AL1500" s="500"/>
      <c r="AM1500" s="500"/>
      <c r="AN1500" s="500"/>
      <c r="AO1500" s="500"/>
      <c r="AP1500" s="500"/>
    </row>
    <row r="1501" spans="1:42" ht="16.5" customHeight="1">
      <c r="A1501" s="439"/>
      <c r="B1501" s="439"/>
      <c r="C1501" s="439"/>
      <c r="D1501" s="439"/>
      <c r="E1501" s="439"/>
      <c r="F1501" s="439"/>
      <c r="G1501" s="451" t="s">
        <v>3406</v>
      </c>
      <c r="Z1501" s="500"/>
      <c r="AA1501" s="500"/>
      <c r="AB1501" s="500"/>
      <c r="AC1501" s="500"/>
      <c r="AD1501" s="500"/>
      <c r="AE1501" s="500"/>
      <c r="AF1501" s="500"/>
      <c r="AG1501" s="500"/>
      <c r="AH1501" s="500"/>
      <c r="AI1501" s="500"/>
      <c r="AJ1501" s="500"/>
      <c r="AK1501" s="500"/>
      <c r="AL1501" s="500"/>
      <c r="AM1501" s="500"/>
      <c r="AN1501" s="500"/>
      <c r="AO1501" s="500"/>
      <c r="AP1501" s="500"/>
    </row>
    <row r="1502" spans="1:42" ht="16.5" customHeight="1">
      <c r="A1502" s="434"/>
      <c r="B1502" s="437" t="s">
        <v>3562</v>
      </c>
      <c r="C1502" s="439"/>
      <c r="D1502" s="439"/>
      <c r="E1502" s="439"/>
      <c r="F1502" s="439"/>
      <c r="G1502" s="451" t="s">
        <v>3563</v>
      </c>
      <c r="Z1502" s="500"/>
      <c r="AA1502" s="500"/>
      <c r="AB1502" s="500"/>
      <c r="AC1502" s="500"/>
      <c r="AD1502" s="500"/>
      <c r="AE1502" s="500"/>
      <c r="AF1502" s="500"/>
      <c r="AG1502" s="500"/>
      <c r="AH1502" s="500"/>
      <c r="AI1502" s="500"/>
      <c r="AJ1502" s="500"/>
      <c r="AK1502" s="500"/>
      <c r="AL1502" s="500"/>
      <c r="AM1502" s="500"/>
      <c r="AN1502" s="500"/>
      <c r="AO1502" s="500"/>
      <c r="AP1502" s="500"/>
    </row>
    <row r="1503" spans="1:42" ht="16.5" customHeight="1">
      <c r="A1503" s="439"/>
      <c r="B1503" s="439"/>
      <c r="C1503" s="439"/>
      <c r="D1503" s="439"/>
      <c r="E1503" s="439"/>
      <c r="F1503" s="439"/>
      <c r="G1503" s="451" t="s">
        <v>3406</v>
      </c>
      <c r="Z1503" s="500"/>
      <c r="AA1503" s="500"/>
      <c r="AB1503" s="500"/>
      <c r="AC1503" s="500"/>
      <c r="AD1503" s="500"/>
      <c r="AE1503" s="500"/>
      <c r="AF1503" s="500"/>
      <c r="AG1503" s="500"/>
      <c r="AH1503" s="500"/>
      <c r="AI1503" s="500"/>
      <c r="AJ1503" s="500"/>
      <c r="AK1503" s="500"/>
      <c r="AL1503" s="500"/>
      <c r="AM1503" s="500"/>
      <c r="AN1503" s="500"/>
      <c r="AO1503" s="500"/>
      <c r="AP1503" s="500"/>
    </row>
    <row r="1504" spans="1:42" ht="16.5" customHeight="1">
      <c r="A1504" s="434" t="s">
        <v>3564</v>
      </c>
      <c r="B1504" s="505" t="str">
        <f>"  지주목삼발이, L1800 : "&amp;TEXT(I1504,"#,##0"&amp;IF(I1504&lt;&gt;INT(I1504),".###",""))&amp;" * "&amp;AA1504&amp;" 조  = "&amp;TEXT(C1504,"#,##0.0")&amp;""</f>
        <v xml:space="preserve">  지주목삼발이, L1800 : 13,400 * 1 조  = 13,400.0</v>
      </c>
      <c r="C1504" s="506">
        <f>E1504+D1504+F1504</f>
        <v>13400</v>
      </c>
      <c r="D1504" s="506">
        <f>IF(H1504=0,0,ROUNDDOWN(J1504*H1504,1))</f>
        <v>0</v>
      </c>
      <c r="E1504" s="506">
        <f>IF(H1504=0,0,ROUNDDOWN(K1504*H1504,1))</f>
        <v>13400</v>
      </c>
      <c r="F1504" s="506">
        <f>IF(H1504=0,0,ROUNDDOWN(L1504*H1504,1))</f>
        <v>0</v>
      </c>
      <c r="G1504" s="451" t="s">
        <v>3565</v>
      </c>
      <c r="H1504" s="507">
        <f>ROUNDUP(AC1504,14-LEN(ABS(INT(AC1504))))</f>
        <v>1</v>
      </c>
      <c r="I1504" s="508">
        <f>K1504+J1504+L1504</f>
        <v>13400</v>
      </c>
      <c r="K1504" s="509">
        <f>재료비목록표!E92</f>
        <v>13400</v>
      </c>
      <c r="M1504" s="501" t="s">
        <v>3566</v>
      </c>
      <c r="N1504" s="501" t="s">
        <v>3416</v>
      </c>
      <c r="X1504" s="510" t="str">
        <f>재료비목록표!B92&amp;" / "&amp;재료비목록표!C92</f>
        <v>지주목 / 삼발이, L1800</v>
      </c>
      <c r="Y1504" s="433" t="str">
        <f ca="1">HYPERLINK("#"&amp;재료비목록표!G2&amp;"!A"&amp;ROW(재료비목록표!A92),"M08850 →")</f>
        <v>M08850 →</v>
      </c>
      <c r="Z1504" s="501" t="s">
        <v>3500</v>
      </c>
      <c r="AA1504" s="515">
        <v>1</v>
      </c>
      <c r="AB1504" s="501" t="s">
        <v>3418</v>
      </c>
      <c r="AC1504" s="512">
        <f>1*AA1504</f>
        <v>1</v>
      </c>
      <c r="AD1504" s="500"/>
      <c r="AE1504" s="500"/>
      <c r="AF1504" s="500"/>
      <c r="AG1504" s="500"/>
      <c r="AH1504" s="500"/>
      <c r="AI1504" s="500"/>
      <c r="AJ1504" s="500"/>
      <c r="AK1504" s="500"/>
      <c r="AL1504" s="500"/>
      <c r="AM1504" s="500"/>
      <c r="AN1504" s="500"/>
      <c r="AO1504" s="500"/>
      <c r="AP1504" s="500"/>
    </row>
    <row r="1505" spans="1:42" ht="16.5" customHeight="1">
      <c r="A1505" s="439"/>
      <c r="B1505" s="439"/>
      <c r="C1505" s="439"/>
      <c r="D1505" s="439"/>
      <c r="E1505" s="439"/>
      <c r="F1505" s="439"/>
      <c r="G1505" s="451" t="s">
        <v>3406</v>
      </c>
      <c r="Z1505" s="500"/>
      <c r="AA1505" s="500"/>
      <c r="AB1505" s="500"/>
      <c r="AC1505" s="500"/>
      <c r="AD1505" s="500"/>
      <c r="AE1505" s="500"/>
      <c r="AF1505" s="500"/>
      <c r="AG1505" s="500"/>
      <c r="AH1505" s="500"/>
      <c r="AI1505" s="500"/>
      <c r="AJ1505" s="500"/>
      <c r="AK1505" s="500"/>
      <c r="AL1505" s="500"/>
      <c r="AM1505" s="500"/>
      <c r="AN1505" s="500"/>
      <c r="AO1505" s="500"/>
      <c r="AP1505" s="500"/>
    </row>
    <row r="1506" spans="1:42" ht="16.5" customHeight="1">
      <c r="A1506" s="439"/>
      <c r="B1506" s="439"/>
      <c r="C1506" s="439"/>
      <c r="D1506" s="439"/>
      <c r="E1506" s="439"/>
      <c r="F1506" s="439"/>
      <c r="G1506" s="451" t="s">
        <v>3406</v>
      </c>
      <c r="Z1506" s="500"/>
      <c r="AA1506" s="500"/>
      <c r="AB1506" s="500"/>
      <c r="AC1506" s="500"/>
      <c r="AD1506" s="500"/>
      <c r="AE1506" s="500"/>
      <c r="AF1506" s="500"/>
      <c r="AG1506" s="500"/>
      <c r="AH1506" s="500"/>
      <c r="AI1506" s="500"/>
      <c r="AJ1506" s="500"/>
      <c r="AK1506" s="500"/>
      <c r="AL1506" s="500"/>
      <c r="AM1506" s="500"/>
      <c r="AN1506" s="500"/>
      <c r="AO1506" s="500"/>
      <c r="AP1506" s="500"/>
    </row>
    <row r="1507" spans="1:42" ht="16.5" customHeight="1">
      <c r="A1507" s="434" t="s">
        <v>3504</v>
      </c>
      <c r="B1507" s="505" t="str">
        <f>"  유기질비료 수목이식·식재용 : "&amp;TEXT(I1507,"#,##0"&amp;IF(I1507&lt;&gt;INT(I1507),".###",""))&amp;" * "&amp;AA1507&amp;" KG   = "&amp;TEXT(C1507,"#,##0.0")&amp;""</f>
        <v xml:space="preserve">  유기질비료 수목이식·식재용 : 500 * 30 KG   = 15,000.0</v>
      </c>
      <c r="C1507" s="506">
        <f>E1507+D1507+F1507</f>
        <v>15000</v>
      </c>
      <c r="D1507" s="506">
        <f>IF(H1507=0,0,ROUNDDOWN(J1507*H1507,1))</f>
        <v>0</v>
      </c>
      <c r="E1507" s="506">
        <f>IF(H1507=0,0,ROUNDDOWN(K1507*H1507,1))</f>
        <v>15000</v>
      </c>
      <c r="F1507" s="506">
        <f>IF(H1507=0,0,ROUNDDOWN(L1507*H1507,1))</f>
        <v>0</v>
      </c>
      <c r="G1507" s="451" t="s">
        <v>3591</v>
      </c>
      <c r="H1507" s="507">
        <f>ROUNDUP(AC1507,14-LEN(ABS(INT(AC1507))))</f>
        <v>30</v>
      </c>
      <c r="I1507" s="508">
        <f>K1507+J1507+L1507</f>
        <v>500</v>
      </c>
      <c r="K1507" s="509">
        <f>재료비목록표!E78</f>
        <v>500</v>
      </c>
      <c r="M1507" s="501" t="s">
        <v>3506</v>
      </c>
      <c r="N1507" s="501" t="s">
        <v>3416</v>
      </c>
      <c r="X1507" s="510" t="str">
        <f>재료비목록표!B78&amp;" / "&amp;재료비목록표!C78</f>
        <v>유기질비료 / 수목이식·식재용</v>
      </c>
      <c r="Y1507" s="433" t="str">
        <f ca="1">HYPERLINK("#"&amp;재료비목록표!G2&amp;"!A"&amp;ROW(재료비목록표!A78),"M01159 →")</f>
        <v>M01159 →</v>
      </c>
      <c r="Z1507" s="501" t="s">
        <v>3500</v>
      </c>
      <c r="AA1507" s="515">
        <v>30</v>
      </c>
      <c r="AB1507" s="501" t="s">
        <v>3418</v>
      </c>
      <c r="AC1507" s="512">
        <f>1*AA1507</f>
        <v>30</v>
      </c>
      <c r="AD1507" s="500"/>
      <c r="AE1507" s="500"/>
      <c r="AF1507" s="500"/>
      <c r="AG1507" s="500"/>
      <c r="AH1507" s="500"/>
      <c r="AI1507" s="500"/>
      <c r="AJ1507" s="500"/>
      <c r="AK1507" s="500"/>
      <c r="AL1507" s="500"/>
      <c r="AM1507" s="500"/>
      <c r="AN1507" s="500"/>
      <c r="AO1507" s="500"/>
      <c r="AP1507" s="500"/>
    </row>
    <row r="1508" spans="1:42" ht="16.5" customHeight="1">
      <c r="A1508" s="439"/>
      <c r="B1508" s="439"/>
      <c r="C1508" s="439"/>
      <c r="D1508" s="439"/>
      <c r="E1508" s="439"/>
      <c r="F1508" s="439"/>
      <c r="G1508" s="451" t="s">
        <v>3406</v>
      </c>
      <c r="Z1508" s="500"/>
      <c r="AA1508" s="500"/>
      <c r="AB1508" s="500"/>
      <c r="AC1508" s="500"/>
      <c r="AD1508" s="500"/>
      <c r="AE1508" s="500"/>
      <c r="AF1508" s="500"/>
      <c r="AG1508" s="500"/>
      <c r="AH1508" s="500"/>
      <c r="AI1508" s="500"/>
      <c r="AJ1508" s="500"/>
      <c r="AK1508" s="500"/>
      <c r="AL1508" s="500"/>
      <c r="AM1508" s="500"/>
      <c r="AN1508" s="500"/>
      <c r="AO1508" s="500"/>
      <c r="AP1508" s="500"/>
    </row>
    <row r="1509" spans="1:42" ht="16.5" customHeight="1">
      <c r="A1509" s="434"/>
      <c r="B1509" s="437" t="s">
        <v>3419</v>
      </c>
      <c r="C1509" s="513">
        <f>E1509+D1509+F1509</f>
        <v>28400</v>
      </c>
      <c r="D1509" s="513">
        <f>SUMIF(N1500:N1508,M1509,D1500:D1508)</f>
        <v>0</v>
      </c>
      <c r="E1509" s="513">
        <f>SUMIF(N1500:N1508,M1509,E1500:E1508)</f>
        <v>28400</v>
      </c>
      <c r="F1509" s="513">
        <f>SUMIF(N1500:N1508,M1509,F1500:F1508)</f>
        <v>0</v>
      </c>
      <c r="G1509" s="451" t="s">
        <v>3439</v>
      </c>
      <c r="M1509" s="501" t="s">
        <v>3416</v>
      </c>
      <c r="N1509" s="501" t="s">
        <v>3421</v>
      </c>
      <c r="Z1509" s="500"/>
      <c r="AA1509" s="500"/>
      <c r="AB1509" s="500"/>
      <c r="AC1509" s="500"/>
      <c r="AD1509" s="500"/>
      <c r="AE1509" s="500"/>
      <c r="AF1509" s="500"/>
      <c r="AG1509" s="500"/>
      <c r="AH1509" s="500"/>
      <c r="AI1509" s="500"/>
      <c r="AJ1509" s="500"/>
      <c r="AK1509" s="500"/>
      <c r="AL1509" s="500"/>
      <c r="AM1509" s="500"/>
      <c r="AN1509" s="500"/>
      <c r="AO1509" s="500"/>
      <c r="AP1509" s="500"/>
    </row>
    <row r="1510" spans="1:42" ht="16.5" customHeight="1">
      <c r="A1510" s="439"/>
      <c r="B1510" s="439"/>
      <c r="C1510" s="504"/>
      <c r="D1510" s="504"/>
      <c r="E1510" s="504"/>
      <c r="F1510" s="504"/>
      <c r="G1510" s="451" t="s">
        <v>3406</v>
      </c>
      <c r="Z1510" s="500"/>
      <c r="AA1510" s="500"/>
      <c r="AB1510" s="500"/>
      <c r="AC1510" s="500"/>
      <c r="AD1510" s="500"/>
      <c r="AE1510" s="500"/>
      <c r="AF1510" s="500"/>
      <c r="AG1510" s="500"/>
      <c r="AH1510" s="500"/>
      <c r="AI1510" s="500"/>
      <c r="AJ1510" s="500"/>
      <c r="AK1510" s="500"/>
      <c r="AL1510" s="500"/>
      <c r="AM1510" s="500"/>
      <c r="AN1510" s="500"/>
      <c r="AO1510" s="500"/>
      <c r="AP1510" s="500"/>
    </row>
    <row r="1511" spans="1:42" ht="16.5" customHeight="1">
      <c r="A1511" s="434"/>
      <c r="B1511" s="437" t="s">
        <v>3440</v>
      </c>
      <c r="C1511" s="513">
        <f>E1511+D1511+F1511</f>
        <v>295004.19999999995</v>
      </c>
      <c r="D1511" s="513">
        <f>SUMIF(N1457:N1510,M1511,D1457:D1510)</f>
        <v>194229.19999999998</v>
      </c>
      <c r="E1511" s="513">
        <f>SUMIF(N1457:N1510,M1511,E1457:E1510)</f>
        <v>58803.5</v>
      </c>
      <c r="F1511" s="513">
        <f>SUMIF(N1457:N1510,M1511,F1457:F1510)</f>
        <v>41971.5</v>
      </c>
      <c r="G1511" s="451" t="s">
        <v>3441</v>
      </c>
      <c r="M1511" s="501" t="s">
        <v>3421</v>
      </c>
      <c r="N1511" s="501" t="s">
        <v>2354</v>
      </c>
      <c r="Z1511" s="500"/>
      <c r="AA1511" s="500"/>
      <c r="AB1511" s="500"/>
      <c r="AC1511" s="500"/>
      <c r="AD1511" s="500"/>
      <c r="AE1511" s="500"/>
      <c r="AF1511" s="500"/>
      <c r="AG1511" s="500"/>
      <c r="AH1511" s="500"/>
      <c r="AI1511" s="500"/>
      <c r="AJ1511" s="500"/>
      <c r="AK1511" s="500"/>
      <c r="AL1511" s="500"/>
      <c r="AM1511" s="500"/>
      <c r="AN1511" s="500"/>
      <c r="AO1511" s="500"/>
      <c r="AP1511" s="500"/>
    </row>
    <row r="1512" spans="1:42" ht="16.5" customHeight="1">
      <c r="A1512" s="439"/>
      <c r="B1512" s="439"/>
      <c r="C1512" s="504"/>
      <c r="D1512" s="504"/>
      <c r="E1512" s="504"/>
      <c r="F1512" s="504"/>
      <c r="G1512" s="451" t="s">
        <v>3413</v>
      </c>
      <c r="Z1512" s="500"/>
      <c r="AA1512" s="500"/>
      <c r="AB1512" s="500"/>
      <c r="AC1512" s="500"/>
      <c r="AD1512" s="500"/>
      <c r="AE1512" s="500"/>
      <c r="AF1512" s="500"/>
      <c r="AG1512" s="500"/>
      <c r="AH1512" s="500"/>
      <c r="AI1512" s="500"/>
      <c r="AJ1512" s="500"/>
      <c r="AK1512" s="500"/>
      <c r="AL1512" s="500"/>
      <c r="AM1512" s="500"/>
      <c r="AN1512" s="500"/>
      <c r="AO1512" s="500"/>
      <c r="AP1512" s="500"/>
    </row>
    <row r="1513" spans="1:42" ht="16.5" customHeight="1">
      <c r="A1513" s="439"/>
      <c r="B1513" s="439"/>
      <c r="C1513" s="439"/>
      <c r="D1513" s="439"/>
      <c r="E1513" s="439"/>
      <c r="F1513" s="439"/>
      <c r="Z1513" s="500"/>
      <c r="AA1513" s="500"/>
      <c r="AB1513" s="500"/>
      <c r="AC1513" s="500"/>
      <c r="AD1513" s="500"/>
      <c r="AE1513" s="500"/>
      <c r="AF1513" s="500"/>
      <c r="AG1513" s="500"/>
      <c r="AH1513" s="500"/>
      <c r="AI1513" s="500"/>
      <c r="AJ1513" s="500"/>
      <c r="AK1513" s="500"/>
      <c r="AL1513" s="500"/>
      <c r="AM1513" s="500"/>
      <c r="AN1513" s="500"/>
      <c r="AO1513" s="500"/>
      <c r="AP1513" s="500"/>
    </row>
    <row r="1514" spans="1:42" ht="16.5" customHeight="1">
      <c r="A1514" s="439"/>
      <c r="B1514" s="439"/>
      <c r="C1514" s="439"/>
      <c r="D1514" s="439"/>
      <c r="E1514" s="439"/>
      <c r="F1514" s="439"/>
      <c r="Z1514" s="500"/>
      <c r="AA1514" s="500"/>
      <c r="AB1514" s="500"/>
      <c r="AC1514" s="500"/>
      <c r="AD1514" s="500"/>
      <c r="AE1514" s="500"/>
      <c r="AF1514" s="500"/>
      <c r="AG1514" s="500"/>
      <c r="AH1514" s="500"/>
      <c r="AI1514" s="500"/>
      <c r="AJ1514" s="500"/>
      <c r="AK1514" s="500"/>
      <c r="AL1514" s="500"/>
      <c r="AM1514" s="500"/>
      <c r="AN1514" s="500"/>
      <c r="AO1514" s="500"/>
      <c r="AP1514" s="500"/>
    </row>
    <row r="1515" spans="1:42" ht="16.5" customHeight="1">
      <c r="A1515" s="439"/>
      <c r="B1515" s="439"/>
      <c r="C1515" s="439"/>
      <c r="D1515" s="439"/>
      <c r="E1515" s="439"/>
      <c r="F1515" s="439"/>
      <c r="Z1515" s="500"/>
      <c r="AA1515" s="500"/>
      <c r="AB1515" s="500"/>
      <c r="AC1515" s="500"/>
      <c r="AD1515" s="500"/>
      <c r="AE1515" s="500"/>
      <c r="AF1515" s="500"/>
      <c r="AG1515" s="500"/>
      <c r="AH1515" s="500"/>
      <c r="AI1515" s="500"/>
      <c r="AJ1515" s="500"/>
      <c r="AK1515" s="500"/>
      <c r="AL1515" s="500"/>
      <c r="AM1515" s="500"/>
      <c r="AN1515" s="500"/>
      <c r="AO1515" s="500"/>
      <c r="AP1515" s="500"/>
    </row>
    <row r="1516" spans="1:42" ht="16.5" customHeight="1">
      <c r="A1516" s="439"/>
      <c r="B1516" s="439"/>
      <c r="C1516" s="439"/>
      <c r="D1516" s="439"/>
      <c r="E1516" s="439"/>
      <c r="F1516" s="439"/>
      <c r="Z1516" s="500"/>
      <c r="AA1516" s="500"/>
      <c r="AB1516" s="500"/>
      <c r="AC1516" s="500"/>
      <c r="AD1516" s="500"/>
      <c r="AE1516" s="500"/>
      <c r="AF1516" s="500"/>
      <c r="AG1516" s="500"/>
      <c r="AH1516" s="500"/>
      <c r="AI1516" s="500"/>
      <c r="AJ1516" s="500"/>
      <c r="AK1516" s="500"/>
      <c r="AL1516" s="500"/>
      <c r="AM1516" s="500"/>
      <c r="AN1516" s="500"/>
      <c r="AO1516" s="500"/>
      <c r="AP1516" s="500"/>
    </row>
    <row r="1517" spans="1:42" ht="16.5" customHeight="1">
      <c r="A1517" s="439"/>
      <c r="B1517" s="439"/>
      <c r="C1517" s="439"/>
      <c r="D1517" s="439"/>
      <c r="E1517" s="439"/>
      <c r="F1517" s="439"/>
      <c r="Z1517" s="500"/>
      <c r="AA1517" s="500"/>
      <c r="AB1517" s="500"/>
      <c r="AC1517" s="500"/>
      <c r="AD1517" s="500"/>
      <c r="AE1517" s="500"/>
      <c r="AF1517" s="500"/>
      <c r="AG1517" s="500"/>
      <c r="AH1517" s="500"/>
      <c r="AI1517" s="500"/>
      <c r="AJ1517" s="500"/>
      <c r="AK1517" s="500"/>
      <c r="AL1517" s="500"/>
      <c r="AM1517" s="500"/>
      <c r="AN1517" s="500"/>
      <c r="AO1517" s="500"/>
      <c r="AP1517" s="500"/>
    </row>
    <row r="1518" spans="1:42" ht="16.5" customHeight="1">
      <c r="A1518" s="439"/>
      <c r="B1518" s="439"/>
      <c r="C1518" s="439"/>
      <c r="D1518" s="439"/>
      <c r="E1518" s="439"/>
      <c r="F1518" s="439"/>
      <c r="Z1518" s="500"/>
      <c r="AA1518" s="500"/>
      <c r="AB1518" s="500"/>
      <c r="AC1518" s="500"/>
      <c r="AD1518" s="500"/>
      <c r="AE1518" s="500"/>
      <c r="AF1518" s="500"/>
      <c r="AG1518" s="500"/>
      <c r="AH1518" s="500"/>
      <c r="AI1518" s="500"/>
      <c r="AJ1518" s="500"/>
      <c r="AK1518" s="500"/>
      <c r="AL1518" s="500"/>
      <c r="AM1518" s="500"/>
      <c r="AN1518" s="500"/>
      <c r="AO1518" s="500"/>
      <c r="AP1518" s="500"/>
    </row>
    <row r="1519" spans="1:42" ht="16.5" customHeight="1">
      <c r="A1519" s="439"/>
      <c r="B1519" s="439"/>
      <c r="C1519" s="439"/>
      <c r="D1519" s="439"/>
      <c r="E1519" s="439"/>
      <c r="F1519" s="439"/>
      <c r="Z1519" s="500"/>
      <c r="AA1519" s="500"/>
      <c r="AB1519" s="500"/>
      <c r="AC1519" s="500"/>
      <c r="AD1519" s="500"/>
      <c r="AE1519" s="500"/>
      <c r="AF1519" s="500"/>
      <c r="AG1519" s="500"/>
      <c r="AH1519" s="500"/>
      <c r="AI1519" s="500"/>
      <c r="AJ1519" s="500"/>
      <c r="AK1519" s="500"/>
      <c r="AL1519" s="500"/>
      <c r="AM1519" s="500"/>
      <c r="AN1519" s="500"/>
      <c r="AO1519" s="500"/>
      <c r="AP1519" s="500"/>
    </row>
    <row r="1520" spans="1:42" ht="16.5" customHeight="1">
      <c r="A1520" s="439"/>
      <c r="B1520" s="439"/>
      <c r="C1520" s="439"/>
      <c r="D1520" s="439"/>
      <c r="E1520" s="439"/>
      <c r="F1520" s="439"/>
      <c r="Z1520" s="500"/>
      <c r="AA1520" s="500"/>
      <c r="AB1520" s="500"/>
      <c r="AC1520" s="500"/>
      <c r="AD1520" s="500"/>
      <c r="AE1520" s="500"/>
      <c r="AF1520" s="500"/>
      <c r="AG1520" s="500"/>
      <c r="AH1520" s="500"/>
      <c r="AI1520" s="500"/>
      <c r="AJ1520" s="500"/>
      <c r="AK1520" s="500"/>
      <c r="AL1520" s="500"/>
      <c r="AM1520" s="500"/>
      <c r="AN1520" s="500"/>
      <c r="AO1520" s="500"/>
      <c r="AP1520" s="500"/>
    </row>
    <row r="1521" spans="1:42" ht="16.5" customHeight="1">
      <c r="A1521" s="439"/>
      <c r="B1521" s="439"/>
      <c r="C1521" s="439"/>
      <c r="D1521" s="439"/>
      <c r="E1521" s="439"/>
      <c r="F1521" s="439"/>
      <c r="Z1521" s="500"/>
      <c r="AA1521" s="500"/>
      <c r="AB1521" s="500"/>
      <c r="AC1521" s="500"/>
      <c r="AD1521" s="500"/>
      <c r="AE1521" s="500"/>
      <c r="AF1521" s="500"/>
      <c r="AG1521" s="500"/>
      <c r="AH1521" s="500"/>
      <c r="AI1521" s="500"/>
      <c r="AJ1521" s="500"/>
      <c r="AK1521" s="500"/>
      <c r="AL1521" s="500"/>
      <c r="AM1521" s="500"/>
      <c r="AN1521" s="500"/>
      <c r="AO1521" s="500"/>
      <c r="AP1521" s="500"/>
    </row>
    <row r="1522" spans="1:42" ht="16.5" customHeight="1">
      <c r="A1522" s="439"/>
      <c r="B1522" s="439"/>
      <c r="C1522" s="439"/>
      <c r="D1522" s="439"/>
      <c r="E1522" s="439"/>
      <c r="F1522" s="439"/>
      <c r="Z1522" s="500"/>
      <c r="AA1522" s="500"/>
      <c r="AB1522" s="500"/>
      <c r="AC1522" s="500"/>
      <c r="AD1522" s="500"/>
      <c r="AE1522" s="500"/>
      <c r="AF1522" s="500"/>
      <c r="AG1522" s="500"/>
      <c r="AH1522" s="500"/>
      <c r="AI1522" s="500"/>
      <c r="AJ1522" s="500"/>
      <c r="AK1522" s="500"/>
      <c r="AL1522" s="500"/>
      <c r="AM1522" s="500"/>
      <c r="AN1522" s="500"/>
      <c r="AO1522" s="500"/>
      <c r="AP1522" s="500"/>
    </row>
    <row r="1523" spans="1:42" ht="16.5" customHeight="1">
      <c r="A1523" s="439"/>
      <c r="B1523" s="439"/>
      <c r="C1523" s="439"/>
      <c r="D1523" s="439"/>
      <c r="E1523" s="439"/>
      <c r="F1523" s="439"/>
      <c r="Z1523" s="500"/>
      <c r="AA1523" s="500"/>
      <c r="AB1523" s="500"/>
      <c r="AC1523" s="500"/>
      <c r="AD1523" s="500"/>
      <c r="AE1523" s="500"/>
      <c r="AF1523" s="500"/>
      <c r="AG1523" s="500"/>
      <c r="AH1523" s="500"/>
      <c r="AI1523" s="500"/>
      <c r="AJ1523" s="500"/>
      <c r="AK1523" s="500"/>
      <c r="AL1523" s="500"/>
      <c r="AM1523" s="500"/>
      <c r="AN1523" s="500"/>
      <c r="AO1523" s="500"/>
      <c r="AP1523" s="500"/>
    </row>
    <row r="1524" spans="1:42" ht="16.5" customHeight="1">
      <c r="A1524" s="439"/>
      <c r="B1524" s="439"/>
      <c r="C1524" s="439"/>
      <c r="D1524" s="439"/>
      <c r="E1524" s="439"/>
      <c r="F1524" s="439"/>
      <c r="Z1524" s="500"/>
      <c r="AA1524" s="500"/>
      <c r="AB1524" s="500"/>
      <c r="AC1524" s="500"/>
      <c r="AD1524" s="500"/>
      <c r="AE1524" s="500"/>
      <c r="AF1524" s="500"/>
      <c r="AG1524" s="500"/>
      <c r="AH1524" s="500"/>
      <c r="AI1524" s="500"/>
      <c r="AJ1524" s="500"/>
      <c r="AK1524" s="500"/>
      <c r="AL1524" s="500"/>
      <c r="AM1524" s="500"/>
      <c r="AN1524" s="500"/>
      <c r="AO1524" s="500"/>
      <c r="AP1524" s="500"/>
    </row>
    <row r="1525" spans="1:42" ht="16.5" customHeight="1">
      <c r="A1525" s="439"/>
      <c r="B1525" s="439"/>
      <c r="C1525" s="439"/>
      <c r="D1525" s="439"/>
      <c r="E1525" s="439"/>
      <c r="F1525" s="439"/>
      <c r="Z1525" s="500"/>
      <c r="AA1525" s="500"/>
      <c r="AB1525" s="500"/>
      <c r="AC1525" s="500"/>
      <c r="AD1525" s="500"/>
      <c r="AE1525" s="500"/>
      <c r="AF1525" s="500"/>
      <c r="AG1525" s="500"/>
      <c r="AH1525" s="500"/>
      <c r="AI1525" s="500"/>
      <c r="AJ1525" s="500"/>
      <c r="AK1525" s="500"/>
      <c r="AL1525" s="500"/>
      <c r="AM1525" s="500"/>
      <c r="AN1525" s="500"/>
      <c r="AO1525" s="500"/>
      <c r="AP1525" s="500"/>
    </row>
    <row r="1526" spans="1:42" ht="16.5" customHeight="1">
      <c r="A1526" s="439"/>
      <c r="B1526" s="439"/>
      <c r="C1526" s="439"/>
      <c r="D1526" s="439"/>
      <c r="E1526" s="439"/>
      <c r="F1526" s="439"/>
      <c r="Z1526" s="500"/>
      <c r="AA1526" s="500"/>
      <c r="AB1526" s="500"/>
      <c r="AC1526" s="500"/>
      <c r="AD1526" s="500"/>
      <c r="AE1526" s="500"/>
      <c r="AF1526" s="500"/>
      <c r="AG1526" s="500"/>
      <c r="AH1526" s="500"/>
      <c r="AI1526" s="500"/>
      <c r="AJ1526" s="500"/>
      <c r="AK1526" s="500"/>
      <c r="AL1526" s="500"/>
      <c r="AM1526" s="500"/>
      <c r="AN1526" s="500"/>
      <c r="AO1526" s="500"/>
      <c r="AP1526" s="500"/>
    </row>
    <row r="1527" spans="1:42" ht="16.5" customHeight="1">
      <c r="A1527" s="439"/>
      <c r="B1527" s="439"/>
      <c r="C1527" s="439"/>
      <c r="D1527" s="439"/>
      <c r="E1527" s="439"/>
      <c r="F1527" s="439"/>
      <c r="Z1527" s="500"/>
      <c r="AA1527" s="500"/>
      <c r="AB1527" s="500"/>
      <c r="AC1527" s="500"/>
      <c r="AD1527" s="500"/>
      <c r="AE1527" s="500"/>
      <c r="AF1527" s="500"/>
      <c r="AG1527" s="500"/>
      <c r="AH1527" s="500"/>
      <c r="AI1527" s="500"/>
      <c r="AJ1527" s="500"/>
      <c r="AK1527" s="500"/>
      <c r="AL1527" s="500"/>
      <c r="AM1527" s="500"/>
      <c r="AN1527" s="500"/>
      <c r="AO1527" s="500"/>
      <c r="AP1527" s="500"/>
    </row>
    <row r="1528" spans="1:42" ht="16.5" customHeight="1">
      <c r="A1528" s="439"/>
      <c r="B1528" s="439"/>
      <c r="C1528" s="439"/>
      <c r="D1528" s="439"/>
      <c r="E1528" s="439"/>
      <c r="F1528" s="439"/>
      <c r="Z1528" s="500"/>
      <c r="AA1528" s="500"/>
      <c r="AB1528" s="500"/>
      <c r="AC1528" s="500"/>
      <c r="AD1528" s="500"/>
      <c r="AE1528" s="500"/>
      <c r="AF1528" s="500"/>
      <c r="AG1528" s="500"/>
      <c r="AH1528" s="500"/>
      <c r="AI1528" s="500"/>
      <c r="AJ1528" s="500"/>
      <c r="AK1528" s="500"/>
      <c r="AL1528" s="500"/>
      <c r="AM1528" s="500"/>
      <c r="AN1528" s="500"/>
      <c r="AO1528" s="500"/>
      <c r="AP1528" s="500"/>
    </row>
    <row r="1529" spans="1:42" ht="16.5" customHeight="1">
      <c r="A1529" s="439"/>
      <c r="B1529" s="439"/>
      <c r="C1529" s="439"/>
      <c r="D1529" s="439"/>
      <c r="E1529" s="439"/>
      <c r="F1529" s="439"/>
      <c r="Z1529" s="500"/>
      <c r="AA1529" s="500"/>
      <c r="AB1529" s="500"/>
      <c r="AC1529" s="500"/>
      <c r="AD1529" s="500"/>
      <c r="AE1529" s="500"/>
      <c r="AF1529" s="500"/>
      <c r="AG1529" s="500"/>
      <c r="AH1529" s="500"/>
      <c r="AI1529" s="500"/>
      <c r="AJ1529" s="500"/>
      <c r="AK1529" s="500"/>
      <c r="AL1529" s="500"/>
      <c r="AM1529" s="500"/>
      <c r="AN1529" s="500"/>
      <c r="AO1529" s="500"/>
      <c r="AP1529" s="500"/>
    </row>
    <row r="1530" spans="1:42" ht="16.5" customHeight="1">
      <c r="A1530" s="439"/>
      <c r="B1530" s="439"/>
      <c r="C1530" s="439"/>
      <c r="D1530" s="439"/>
      <c r="E1530" s="439"/>
      <c r="F1530" s="439"/>
      <c r="Z1530" s="500"/>
      <c r="AA1530" s="500"/>
      <c r="AB1530" s="500"/>
      <c r="AC1530" s="500"/>
      <c r="AD1530" s="500"/>
      <c r="AE1530" s="500"/>
      <c r="AF1530" s="500"/>
      <c r="AG1530" s="500"/>
      <c r="AH1530" s="500"/>
      <c r="AI1530" s="500"/>
      <c r="AJ1530" s="500"/>
      <c r="AK1530" s="500"/>
      <c r="AL1530" s="500"/>
      <c r="AM1530" s="500"/>
      <c r="AN1530" s="500"/>
      <c r="AO1530" s="500"/>
      <c r="AP1530" s="500"/>
    </row>
    <row r="1531" spans="1:42" ht="16.5" customHeight="1">
      <c r="A1531" s="439"/>
      <c r="B1531" s="439"/>
      <c r="C1531" s="439"/>
      <c r="D1531" s="439"/>
      <c r="E1531" s="439"/>
      <c r="F1531" s="439"/>
      <c r="Z1531" s="500"/>
      <c r="AA1531" s="500"/>
      <c r="AB1531" s="500"/>
      <c r="AC1531" s="500"/>
      <c r="AD1531" s="500"/>
      <c r="AE1531" s="500"/>
      <c r="AF1531" s="500"/>
      <c r="AG1531" s="500"/>
      <c r="AH1531" s="500"/>
      <c r="AI1531" s="500"/>
      <c r="AJ1531" s="500"/>
      <c r="AK1531" s="500"/>
      <c r="AL1531" s="500"/>
      <c r="AM1531" s="500"/>
      <c r="AN1531" s="500"/>
      <c r="AO1531" s="500"/>
      <c r="AP1531" s="500"/>
    </row>
    <row r="1532" spans="1:42" ht="16.5" customHeight="1">
      <c r="A1532" s="439"/>
      <c r="B1532" s="439"/>
      <c r="C1532" s="439"/>
      <c r="D1532" s="439"/>
      <c r="E1532" s="439"/>
      <c r="F1532" s="439"/>
      <c r="Z1532" s="500"/>
      <c r="AA1532" s="500"/>
      <c r="AB1532" s="500"/>
      <c r="AC1532" s="500"/>
      <c r="AD1532" s="500"/>
      <c r="AE1532" s="500"/>
      <c r="AF1532" s="500"/>
      <c r="AG1532" s="500"/>
      <c r="AH1532" s="500"/>
      <c r="AI1532" s="500"/>
      <c r="AJ1532" s="500"/>
      <c r="AK1532" s="500"/>
      <c r="AL1532" s="500"/>
      <c r="AM1532" s="500"/>
      <c r="AN1532" s="500"/>
      <c r="AO1532" s="500"/>
      <c r="AP1532" s="500"/>
    </row>
    <row r="1533" spans="1:42" ht="16.5" customHeight="1">
      <c r="A1533" s="439"/>
      <c r="B1533" s="439"/>
      <c r="C1533" s="439"/>
      <c r="D1533" s="439"/>
      <c r="E1533" s="439"/>
      <c r="F1533" s="439"/>
      <c r="Z1533" s="500"/>
      <c r="AA1533" s="500"/>
      <c r="AB1533" s="500"/>
      <c r="AC1533" s="500"/>
      <c r="AD1533" s="500"/>
      <c r="AE1533" s="500"/>
      <c r="AF1533" s="500"/>
      <c r="AG1533" s="500"/>
      <c r="AH1533" s="500"/>
      <c r="AI1533" s="500"/>
      <c r="AJ1533" s="500"/>
      <c r="AK1533" s="500"/>
      <c r="AL1533" s="500"/>
      <c r="AM1533" s="500"/>
      <c r="AN1533" s="500"/>
      <c r="AO1533" s="500"/>
      <c r="AP1533" s="500"/>
    </row>
    <row r="1534" spans="1:42" ht="16.5" customHeight="1">
      <c r="A1534" s="439"/>
      <c r="B1534" s="439"/>
      <c r="C1534" s="439"/>
      <c r="D1534" s="439"/>
      <c r="E1534" s="439"/>
      <c r="F1534" s="439"/>
      <c r="Z1534" s="500"/>
      <c r="AA1534" s="500"/>
      <c r="AB1534" s="500"/>
      <c r="AC1534" s="500"/>
      <c r="AD1534" s="500"/>
      <c r="AE1534" s="500"/>
      <c r="AF1534" s="500"/>
      <c r="AG1534" s="500"/>
      <c r="AH1534" s="500"/>
      <c r="AI1534" s="500"/>
      <c r="AJ1534" s="500"/>
      <c r="AK1534" s="500"/>
      <c r="AL1534" s="500"/>
      <c r="AM1534" s="500"/>
      <c r="AN1534" s="500"/>
      <c r="AO1534" s="500"/>
      <c r="AP1534" s="500"/>
    </row>
    <row r="1535" spans="1:42" ht="16.5" customHeight="1">
      <c r="A1535" s="439"/>
      <c r="B1535" s="439"/>
      <c r="C1535" s="439"/>
      <c r="D1535" s="439"/>
      <c r="E1535" s="439"/>
      <c r="F1535" s="439"/>
      <c r="Z1535" s="500"/>
      <c r="AA1535" s="500"/>
      <c r="AB1535" s="500"/>
      <c r="AC1535" s="500"/>
      <c r="AD1535" s="500"/>
      <c r="AE1535" s="500"/>
      <c r="AF1535" s="500"/>
      <c r="AG1535" s="500"/>
      <c r="AH1535" s="500"/>
      <c r="AI1535" s="500"/>
      <c r="AJ1535" s="500"/>
      <c r="AK1535" s="500"/>
      <c r="AL1535" s="500"/>
      <c r="AM1535" s="500"/>
      <c r="AN1535" s="500"/>
      <c r="AO1535" s="500"/>
      <c r="AP1535" s="500"/>
    </row>
    <row r="1536" spans="1:42" ht="16.5" customHeight="1">
      <c r="A1536" s="439"/>
      <c r="B1536" s="439"/>
      <c r="C1536" s="439"/>
      <c r="D1536" s="439"/>
      <c r="E1536" s="439"/>
      <c r="F1536" s="439"/>
      <c r="Z1536" s="500"/>
      <c r="AA1536" s="500"/>
      <c r="AB1536" s="500"/>
      <c r="AC1536" s="500"/>
      <c r="AD1536" s="500"/>
      <c r="AE1536" s="500"/>
      <c r="AF1536" s="500"/>
      <c r="AG1536" s="500"/>
      <c r="AH1536" s="500"/>
      <c r="AI1536" s="500"/>
      <c r="AJ1536" s="500"/>
      <c r="AK1536" s="500"/>
      <c r="AL1536" s="500"/>
      <c r="AM1536" s="500"/>
      <c r="AN1536" s="500"/>
      <c r="AO1536" s="500"/>
      <c r="AP1536" s="500"/>
    </row>
    <row r="1537" spans="1:42" ht="16.5" customHeight="1">
      <c r="A1537" s="439"/>
      <c r="B1537" s="439"/>
      <c r="C1537" s="439"/>
      <c r="D1537" s="439"/>
      <c r="E1537" s="439"/>
      <c r="F1537" s="439"/>
      <c r="Z1537" s="500"/>
      <c r="AA1537" s="500"/>
      <c r="AB1537" s="500"/>
      <c r="AC1537" s="500"/>
      <c r="AD1537" s="500"/>
      <c r="AE1537" s="500"/>
      <c r="AF1537" s="500"/>
      <c r="AG1537" s="500"/>
      <c r="AH1537" s="500"/>
      <c r="AI1537" s="500"/>
      <c r="AJ1537" s="500"/>
      <c r="AK1537" s="500"/>
      <c r="AL1537" s="500"/>
      <c r="AM1537" s="500"/>
      <c r="AN1537" s="500"/>
      <c r="AO1537" s="500"/>
      <c r="AP1537" s="500"/>
    </row>
    <row r="1538" spans="1:42" ht="16.5" customHeight="1">
      <c r="A1538" s="439"/>
      <c r="B1538" s="439"/>
      <c r="C1538" s="439"/>
      <c r="D1538" s="439"/>
      <c r="E1538" s="439"/>
      <c r="F1538" s="439"/>
      <c r="Z1538" s="500"/>
      <c r="AA1538" s="500"/>
      <c r="AB1538" s="500"/>
      <c r="AC1538" s="500"/>
      <c r="AD1538" s="500"/>
      <c r="AE1538" s="500"/>
      <c r="AF1538" s="500"/>
      <c r="AG1538" s="500"/>
      <c r="AH1538" s="500"/>
      <c r="AI1538" s="500"/>
      <c r="AJ1538" s="500"/>
      <c r="AK1538" s="500"/>
      <c r="AL1538" s="500"/>
      <c r="AM1538" s="500"/>
      <c r="AN1538" s="500"/>
      <c r="AO1538" s="500"/>
      <c r="AP1538" s="500"/>
    </row>
    <row r="1539" spans="1:42" ht="16.5" customHeight="1">
      <c r="A1539" s="439"/>
      <c r="B1539" s="439"/>
      <c r="C1539" s="439"/>
      <c r="D1539" s="439"/>
      <c r="E1539" s="439"/>
      <c r="F1539" s="439"/>
      <c r="Z1539" s="500"/>
      <c r="AA1539" s="500"/>
      <c r="AB1539" s="500"/>
      <c r="AC1539" s="500"/>
      <c r="AD1539" s="500"/>
      <c r="AE1539" s="500"/>
      <c r="AF1539" s="500"/>
      <c r="AG1539" s="500"/>
      <c r="AH1539" s="500"/>
      <c r="AI1539" s="500"/>
      <c r="AJ1539" s="500"/>
      <c r="AK1539" s="500"/>
      <c r="AL1539" s="500"/>
      <c r="AM1539" s="500"/>
      <c r="AN1539" s="500"/>
      <c r="AO1539" s="500"/>
      <c r="AP1539" s="500"/>
    </row>
    <row r="1540" spans="1:42" ht="16.5" customHeight="1">
      <c r="A1540" s="439"/>
      <c r="B1540" s="439"/>
      <c r="C1540" s="439"/>
      <c r="D1540" s="439"/>
      <c r="E1540" s="439"/>
      <c r="F1540" s="439"/>
      <c r="Z1540" s="500"/>
      <c r="AA1540" s="500"/>
      <c r="AB1540" s="500"/>
      <c r="AC1540" s="500"/>
      <c r="AD1540" s="500"/>
      <c r="AE1540" s="500"/>
      <c r="AF1540" s="500"/>
      <c r="AG1540" s="500"/>
      <c r="AH1540" s="500"/>
      <c r="AI1540" s="500"/>
      <c r="AJ1540" s="500"/>
      <c r="AK1540" s="500"/>
      <c r="AL1540" s="500"/>
      <c r="AM1540" s="500"/>
      <c r="AN1540" s="500"/>
      <c r="AO1540" s="500"/>
      <c r="AP1540" s="500"/>
    </row>
    <row r="1541" spans="1:42" ht="16.5" customHeight="1">
      <c r="A1541" s="439"/>
      <c r="B1541" s="439"/>
      <c r="C1541" s="439"/>
      <c r="D1541" s="439"/>
      <c r="E1541" s="439"/>
      <c r="F1541" s="439"/>
      <c r="Z1541" s="500"/>
      <c r="AA1541" s="500"/>
      <c r="AB1541" s="500"/>
      <c r="AC1541" s="500"/>
      <c r="AD1541" s="500"/>
      <c r="AE1541" s="500"/>
      <c r="AF1541" s="500"/>
      <c r="AG1541" s="500"/>
      <c r="AH1541" s="500"/>
      <c r="AI1541" s="500"/>
      <c r="AJ1541" s="500"/>
      <c r="AK1541" s="500"/>
      <c r="AL1541" s="500"/>
      <c r="AM1541" s="500"/>
      <c r="AN1541" s="500"/>
      <c r="AO1541" s="500"/>
      <c r="AP1541" s="500"/>
    </row>
    <row r="1542" spans="1:42" ht="16.5" customHeight="1">
      <c r="A1542" s="439"/>
      <c r="B1542" s="439"/>
      <c r="C1542" s="439"/>
      <c r="D1542" s="439"/>
      <c r="E1542" s="439"/>
      <c r="F1542" s="439"/>
      <c r="Z1542" s="500"/>
      <c r="AA1542" s="500"/>
      <c r="AB1542" s="500"/>
      <c r="AC1542" s="500"/>
      <c r="AD1542" s="500"/>
      <c r="AE1542" s="500"/>
      <c r="AF1542" s="500"/>
      <c r="AG1542" s="500"/>
      <c r="AH1542" s="500"/>
      <c r="AI1542" s="500"/>
      <c r="AJ1542" s="500"/>
      <c r="AK1542" s="500"/>
      <c r="AL1542" s="500"/>
      <c r="AM1542" s="500"/>
      <c r="AN1542" s="500"/>
      <c r="AO1542" s="500"/>
      <c r="AP1542" s="500"/>
    </row>
    <row r="1543" spans="1:42" ht="16.5" customHeight="1">
      <c r="A1543" s="439"/>
      <c r="B1543" s="439"/>
      <c r="C1543" s="439"/>
      <c r="D1543" s="439"/>
      <c r="E1543" s="439"/>
      <c r="F1543" s="439"/>
      <c r="Z1543" s="500"/>
      <c r="AA1543" s="500"/>
      <c r="AB1543" s="500"/>
      <c r="AC1543" s="500"/>
      <c r="AD1543" s="500"/>
      <c r="AE1543" s="500"/>
      <c r="AF1543" s="500"/>
      <c r="AG1543" s="500"/>
      <c r="AH1543" s="500"/>
      <c r="AI1543" s="500"/>
      <c r="AJ1543" s="500"/>
      <c r="AK1543" s="500"/>
      <c r="AL1543" s="500"/>
      <c r="AM1543" s="500"/>
      <c r="AN1543" s="500"/>
      <c r="AO1543" s="500"/>
      <c r="AP1543" s="500"/>
    </row>
    <row r="1544" spans="1:42" ht="16.5" customHeight="1">
      <c r="A1544" s="439"/>
      <c r="B1544" s="439"/>
      <c r="C1544" s="439"/>
      <c r="D1544" s="439"/>
      <c r="E1544" s="439"/>
      <c r="F1544" s="439"/>
      <c r="Z1544" s="500"/>
      <c r="AA1544" s="500"/>
      <c r="AB1544" s="500"/>
      <c r="AC1544" s="500"/>
      <c r="AD1544" s="500"/>
      <c r="AE1544" s="500"/>
      <c r="AF1544" s="500"/>
      <c r="AG1544" s="500"/>
      <c r="AH1544" s="500"/>
      <c r="AI1544" s="500"/>
      <c r="AJ1544" s="500"/>
      <c r="AK1544" s="500"/>
      <c r="AL1544" s="500"/>
      <c r="AM1544" s="500"/>
      <c r="AN1544" s="500"/>
      <c r="AO1544" s="500"/>
      <c r="AP1544" s="500"/>
    </row>
    <row r="1545" spans="1:42" ht="16.5" customHeight="1">
      <c r="A1545" s="439"/>
      <c r="B1545" s="439"/>
      <c r="C1545" s="439"/>
      <c r="D1545" s="439"/>
      <c r="E1545" s="439"/>
      <c r="F1545" s="439"/>
      <c r="Z1545" s="500"/>
      <c r="AA1545" s="500"/>
      <c r="AB1545" s="500"/>
      <c r="AC1545" s="500"/>
      <c r="AD1545" s="500"/>
      <c r="AE1545" s="500"/>
      <c r="AF1545" s="500"/>
      <c r="AG1545" s="500"/>
      <c r="AH1545" s="500"/>
      <c r="AI1545" s="500"/>
      <c r="AJ1545" s="500"/>
      <c r="AK1545" s="500"/>
      <c r="AL1545" s="500"/>
      <c r="AM1545" s="500"/>
      <c r="AN1545" s="500"/>
      <c r="AO1545" s="500"/>
      <c r="AP1545" s="500"/>
    </row>
    <row r="1546" spans="1:42" ht="16.5" customHeight="1">
      <c r="A1546" s="439"/>
      <c r="B1546" s="439"/>
      <c r="C1546" s="439"/>
      <c r="D1546" s="439"/>
      <c r="E1546" s="439"/>
      <c r="F1546" s="439"/>
      <c r="Z1546" s="500"/>
      <c r="AA1546" s="500"/>
      <c r="AB1546" s="500"/>
      <c r="AC1546" s="500"/>
      <c r="AD1546" s="500"/>
      <c r="AE1546" s="500"/>
      <c r="AF1546" s="500"/>
      <c r="AG1546" s="500"/>
      <c r="AH1546" s="500"/>
      <c r="AI1546" s="500"/>
      <c r="AJ1546" s="500"/>
      <c r="AK1546" s="500"/>
      <c r="AL1546" s="500"/>
      <c r="AM1546" s="500"/>
      <c r="AN1546" s="500"/>
      <c r="AO1546" s="500"/>
      <c r="AP1546" s="500"/>
    </row>
    <row r="1547" spans="1:42" ht="16.5" customHeight="1">
      <c r="A1547" s="439"/>
      <c r="B1547" s="439"/>
      <c r="C1547" s="439"/>
      <c r="D1547" s="439"/>
      <c r="E1547" s="439"/>
      <c r="F1547" s="439"/>
      <c r="Z1547" s="500"/>
      <c r="AA1547" s="500"/>
      <c r="AB1547" s="500"/>
      <c r="AC1547" s="500"/>
      <c r="AD1547" s="500"/>
      <c r="AE1547" s="500"/>
      <c r="AF1547" s="500"/>
      <c r="AG1547" s="500"/>
      <c r="AH1547" s="500"/>
      <c r="AI1547" s="500"/>
      <c r="AJ1547" s="500"/>
      <c r="AK1547" s="500"/>
      <c r="AL1547" s="500"/>
      <c r="AM1547" s="500"/>
      <c r="AN1547" s="500"/>
      <c r="AO1547" s="500"/>
      <c r="AP1547" s="500"/>
    </row>
    <row r="1548" spans="1:42" ht="16.5" customHeight="1">
      <c r="A1548" s="439"/>
      <c r="B1548" s="439"/>
      <c r="C1548" s="439"/>
      <c r="D1548" s="439"/>
      <c r="E1548" s="439"/>
      <c r="F1548" s="439"/>
      <c r="Z1548" s="500"/>
      <c r="AA1548" s="500"/>
      <c r="AB1548" s="500"/>
      <c r="AC1548" s="500"/>
      <c r="AD1548" s="500"/>
      <c r="AE1548" s="500"/>
      <c r="AF1548" s="500"/>
      <c r="AG1548" s="500"/>
      <c r="AH1548" s="500"/>
      <c r="AI1548" s="500"/>
      <c r="AJ1548" s="500"/>
      <c r="AK1548" s="500"/>
      <c r="AL1548" s="500"/>
      <c r="AM1548" s="500"/>
      <c r="AN1548" s="500"/>
      <c r="AO1548" s="500"/>
      <c r="AP1548" s="500"/>
    </row>
    <row r="1549" spans="1:42" ht="16.5" customHeight="1">
      <c r="A1549" s="439"/>
      <c r="B1549" s="439"/>
      <c r="C1549" s="439"/>
      <c r="D1549" s="439"/>
      <c r="E1549" s="439"/>
      <c r="F1549" s="439"/>
      <c r="Z1549" s="500"/>
      <c r="AA1549" s="500"/>
      <c r="AB1549" s="500"/>
      <c r="AC1549" s="500"/>
      <c r="AD1549" s="500"/>
      <c r="AE1549" s="500"/>
      <c r="AF1549" s="500"/>
      <c r="AG1549" s="500"/>
      <c r="AH1549" s="500"/>
      <c r="AI1549" s="500"/>
      <c r="AJ1549" s="500"/>
      <c r="AK1549" s="500"/>
      <c r="AL1549" s="500"/>
      <c r="AM1549" s="500"/>
      <c r="AN1549" s="500"/>
      <c r="AO1549" s="500"/>
      <c r="AP1549" s="500"/>
    </row>
    <row r="1550" spans="1:42" ht="16.5" customHeight="1">
      <c r="A1550" s="439"/>
      <c r="B1550" s="439"/>
      <c r="C1550" s="439"/>
      <c r="D1550" s="439"/>
      <c r="E1550" s="439"/>
      <c r="F1550" s="439"/>
      <c r="Z1550" s="500"/>
      <c r="AA1550" s="500"/>
      <c r="AB1550" s="500"/>
      <c r="AC1550" s="500"/>
      <c r="AD1550" s="500"/>
      <c r="AE1550" s="500"/>
      <c r="AF1550" s="500"/>
      <c r="AG1550" s="500"/>
      <c r="AH1550" s="500"/>
      <c r="AI1550" s="500"/>
      <c r="AJ1550" s="500"/>
      <c r="AK1550" s="500"/>
      <c r="AL1550" s="500"/>
      <c r="AM1550" s="500"/>
      <c r="AN1550" s="500"/>
      <c r="AO1550" s="500"/>
      <c r="AP1550" s="500"/>
    </row>
    <row r="1551" spans="1:42" ht="16.5" customHeight="1">
      <c r="A1551" s="439"/>
      <c r="B1551" s="439"/>
      <c r="C1551" s="439"/>
      <c r="D1551" s="439"/>
      <c r="E1551" s="439"/>
      <c r="F1551" s="439"/>
      <c r="Z1551" s="500"/>
      <c r="AA1551" s="500"/>
      <c r="AB1551" s="500"/>
      <c r="AC1551" s="500"/>
      <c r="AD1551" s="500"/>
      <c r="AE1551" s="500"/>
      <c r="AF1551" s="500"/>
      <c r="AG1551" s="500"/>
      <c r="AH1551" s="500"/>
      <c r="AI1551" s="500"/>
      <c r="AJ1551" s="500"/>
      <c r="AK1551" s="500"/>
      <c r="AL1551" s="500"/>
      <c r="AM1551" s="500"/>
      <c r="AN1551" s="500"/>
      <c r="AO1551" s="500"/>
      <c r="AP1551" s="500"/>
    </row>
    <row r="1552" spans="1:42" ht="16.5" customHeight="1">
      <c r="A1552" s="439"/>
      <c r="B1552" s="439"/>
      <c r="C1552" s="439"/>
      <c r="D1552" s="439"/>
      <c r="E1552" s="439"/>
      <c r="F1552" s="439"/>
      <c r="Z1552" s="500"/>
      <c r="AA1552" s="500"/>
      <c r="AB1552" s="500"/>
      <c r="AC1552" s="500"/>
      <c r="AD1552" s="500"/>
      <c r="AE1552" s="500"/>
      <c r="AF1552" s="500"/>
      <c r="AG1552" s="500"/>
      <c r="AH1552" s="500"/>
      <c r="AI1552" s="500"/>
      <c r="AJ1552" s="500"/>
      <c r="AK1552" s="500"/>
      <c r="AL1552" s="500"/>
      <c r="AM1552" s="500"/>
      <c r="AN1552" s="500"/>
      <c r="AO1552" s="500"/>
      <c r="AP1552" s="500"/>
    </row>
    <row r="1553" spans="1:42" ht="16.5" customHeight="1">
      <c r="A1553" s="497"/>
      <c r="B1553" s="497"/>
      <c r="C1553" s="497"/>
      <c r="D1553" s="497"/>
      <c r="E1553" s="497"/>
      <c r="F1553" s="497"/>
      <c r="Z1553" s="500"/>
      <c r="AA1553" s="500"/>
      <c r="AB1553" s="500"/>
      <c r="AC1553" s="500"/>
      <c r="AD1553" s="500"/>
      <c r="AE1553" s="500"/>
      <c r="AF1553" s="500"/>
      <c r="AG1553" s="500"/>
      <c r="AH1553" s="500"/>
      <c r="AI1553" s="500"/>
      <c r="AJ1553" s="500"/>
      <c r="AK1553" s="500"/>
      <c r="AL1553" s="500"/>
      <c r="AM1553" s="500"/>
      <c r="AN1553" s="500"/>
      <c r="AO1553" s="500"/>
      <c r="AP1553" s="500"/>
    </row>
    <row r="1554" spans="1:42" ht="16.5" customHeight="1">
      <c r="A1554" s="616" t="s">
        <v>3487</v>
      </c>
      <c r="B1554" s="605"/>
      <c r="C1554" s="446">
        <f>E1554+D1554+F1554</f>
        <v>295003</v>
      </c>
      <c r="D1554" s="453">
        <f>ROUNDDOWN(SUMIF(N1457:N1512,M1554,D1457:D1512),0)</f>
        <v>194229</v>
      </c>
      <c r="E1554" s="454">
        <f>ROUNDDOWN(SUMIF(N1457:N1512,M1554,E1457:E1512),0)</f>
        <v>58803</v>
      </c>
      <c r="F1554" s="446">
        <f>ROUNDDOWN(SUMIF(N1457:N1512,M1554,F1457:F1512),0)</f>
        <v>41971</v>
      </c>
      <c r="M1554" s="501" t="s">
        <v>2354</v>
      </c>
      <c r="Z1554" s="500"/>
      <c r="AA1554" s="500"/>
      <c r="AB1554" s="500"/>
      <c r="AC1554" s="500"/>
      <c r="AD1554" s="500"/>
      <c r="AE1554" s="500"/>
      <c r="AF1554" s="500"/>
      <c r="AG1554" s="500"/>
      <c r="AH1554" s="500"/>
      <c r="AI1554" s="500"/>
      <c r="AJ1554" s="500"/>
      <c r="AK1554" s="500"/>
      <c r="AL1554" s="500"/>
      <c r="AM1554" s="500"/>
      <c r="AN1554" s="500"/>
      <c r="AO1554" s="500"/>
      <c r="AP1554" s="500"/>
    </row>
    <row r="1555" spans="1:42" ht="16.5" customHeight="1">
      <c r="A1555" s="502" t="s">
        <v>3350</v>
      </c>
      <c r="B1555" s="503" t="s">
        <v>1832</v>
      </c>
      <c r="C1555" s="615">
        <f>C1654</f>
        <v>404707</v>
      </c>
      <c r="D1555" s="615">
        <f>D1654</f>
        <v>249723</v>
      </c>
      <c r="E1555" s="615">
        <f>E1654</f>
        <v>92413</v>
      </c>
      <c r="F1555" s="615">
        <f>F1654</f>
        <v>62571</v>
      </c>
      <c r="G1555" s="486" t="str">
        <f>HYPERLINK("#G"&amp;ROW(G1613),"_x0005_`BDCOD|D01311_x0007_`POSS|"&amp;ROW(G1557)&amp;"_x0007_`POSE|"&amp;ROW(G1613)&amp;"_x0007_`")</f>
        <v>_x0005_`BDCOD|D01311_x0007_`POSS|1557_x0007_`POSE|1613_x0007_`</v>
      </c>
      <c r="Z1555" s="500"/>
      <c r="AA1555" s="500"/>
      <c r="AB1555" s="500"/>
      <c r="AC1555" s="500"/>
      <c r="AD1555" s="500"/>
      <c r="AE1555" s="500"/>
      <c r="AF1555" s="500"/>
      <c r="AG1555" s="500"/>
      <c r="AH1555" s="500"/>
      <c r="AI1555" s="500"/>
      <c r="AJ1555" s="500"/>
      <c r="AK1555" s="500"/>
      <c r="AL1555" s="500"/>
      <c r="AM1555" s="500"/>
      <c r="AN1555" s="500"/>
      <c r="AO1555" s="500"/>
      <c r="AP1555" s="500"/>
    </row>
    <row r="1556" spans="1:42" ht="16.5" customHeight="1">
      <c r="A1556" s="485"/>
      <c r="B1556" s="503" t="s">
        <v>3592</v>
      </c>
      <c r="C1556" s="593"/>
      <c r="D1556" s="593"/>
      <c r="E1556" s="593"/>
      <c r="F1556" s="593"/>
      <c r="M1556" s="501" t="s">
        <v>1832</v>
      </c>
      <c r="Z1556" s="500"/>
      <c r="AA1556" s="500"/>
      <c r="AB1556" s="500"/>
      <c r="AC1556" s="500"/>
      <c r="AD1556" s="500"/>
      <c r="AE1556" s="500"/>
      <c r="AF1556" s="500"/>
      <c r="AG1556" s="500"/>
      <c r="AH1556" s="500"/>
      <c r="AI1556" s="500"/>
      <c r="AJ1556" s="500"/>
      <c r="AK1556" s="500"/>
      <c r="AL1556" s="500"/>
      <c r="AM1556" s="500"/>
      <c r="AN1556" s="500"/>
      <c r="AO1556" s="500"/>
      <c r="AP1556" s="500"/>
    </row>
    <row r="1557" spans="1:42" ht="16.5" customHeight="1">
      <c r="A1557" s="439"/>
      <c r="B1557" s="439"/>
      <c r="C1557" s="504"/>
      <c r="D1557" s="504"/>
      <c r="E1557" s="504"/>
      <c r="F1557" s="504"/>
      <c r="G1557" s="451" t="s">
        <v>3406</v>
      </c>
      <c r="Z1557" s="500"/>
      <c r="AA1557" s="500"/>
      <c r="AB1557" s="500"/>
      <c r="AC1557" s="500"/>
      <c r="AD1557" s="500"/>
      <c r="AE1557" s="500"/>
      <c r="AF1557" s="500"/>
      <c r="AG1557" s="500"/>
      <c r="AH1557" s="500"/>
      <c r="AI1557" s="500"/>
      <c r="AJ1557" s="500"/>
      <c r="AK1557" s="500"/>
      <c r="AL1557" s="500"/>
      <c r="AM1557" s="500"/>
      <c r="AN1557" s="500"/>
      <c r="AO1557" s="500"/>
      <c r="AP1557" s="500"/>
    </row>
    <row r="1558" spans="1:42" ht="16.5" customHeight="1">
      <c r="A1558" s="434"/>
      <c r="B1558" s="437" t="s">
        <v>3542</v>
      </c>
      <c r="C1558" s="439"/>
      <c r="D1558" s="439"/>
      <c r="E1558" s="439"/>
      <c r="F1558" s="439"/>
      <c r="G1558" s="451" t="s">
        <v>3543</v>
      </c>
      <c r="Z1558" s="500"/>
      <c r="AA1558" s="500"/>
      <c r="AB1558" s="500"/>
      <c r="AC1558" s="500"/>
      <c r="AD1558" s="500"/>
      <c r="AE1558" s="500"/>
      <c r="AF1558" s="500"/>
      <c r="AG1558" s="500"/>
      <c r="AH1558" s="500"/>
      <c r="AI1558" s="500"/>
      <c r="AJ1558" s="500"/>
      <c r="AK1558" s="500"/>
      <c r="AL1558" s="500"/>
      <c r="AM1558" s="500"/>
      <c r="AN1558" s="500"/>
      <c r="AO1558" s="500"/>
      <c r="AP1558" s="500"/>
    </row>
    <row r="1559" spans="1:42" ht="16.5" customHeight="1">
      <c r="A1559" s="439"/>
      <c r="B1559" s="439"/>
      <c r="C1559" s="439"/>
      <c r="D1559" s="439"/>
      <c r="E1559" s="439"/>
      <c r="F1559" s="439"/>
      <c r="G1559" s="451" t="s">
        <v>3406</v>
      </c>
      <c r="Z1559" s="500"/>
      <c r="AA1559" s="500"/>
      <c r="AB1559" s="500"/>
      <c r="AC1559" s="500"/>
      <c r="AD1559" s="500"/>
      <c r="AE1559" s="500"/>
      <c r="AF1559" s="500"/>
      <c r="AG1559" s="500"/>
      <c r="AH1559" s="500"/>
      <c r="AI1559" s="500"/>
      <c r="AJ1559" s="500"/>
      <c r="AK1559" s="500"/>
      <c r="AL1559" s="500"/>
      <c r="AM1559" s="500"/>
      <c r="AN1559" s="500"/>
      <c r="AO1559" s="500"/>
      <c r="AP1559" s="500"/>
    </row>
    <row r="1560" spans="1:42" ht="16.5" customHeight="1">
      <c r="A1560" s="434"/>
      <c r="B1560" s="437" t="s">
        <v>3544</v>
      </c>
      <c r="C1560" s="439"/>
      <c r="D1560" s="439"/>
      <c r="E1560" s="439"/>
      <c r="F1560" s="439"/>
      <c r="G1560" s="451" t="s">
        <v>3545</v>
      </c>
      <c r="Z1560" s="500"/>
      <c r="AA1560" s="500"/>
      <c r="AB1560" s="500"/>
      <c r="AC1560" s="500"/>
      <c r="AD1560" s="500"/>
      <c r="AE1560" s="500"/>
      <c r="AF1560" s="500"/>
      <c r="AG1560" s="500"/>
      <c r="AH1560" s="500"/>
      <c r="AI1560" s="500"/>
      <c r="AJ1560" s="500"/>
      <c r="AK1560" s="500"/>
      <c r="AL1560" s="500"/>
      <c r="AM1560" s="500"/>
      <c r="AN1560" s="500"/>
      <c r="AO1560" s="500"/>
      <c r="AP1560" s="500"/>
    </row>
    <row r="1561" spans="1:42" ht="16.5" customHeight="1">
      <c r="A1561" s="439"/>
      <c r="B1561" s="439"/>
      <c r="C1561" s="439"/>
      <c r="D1561" s="439"/>
      <c r="E1561" s="439"/>
      <c r="F1561" s="439"/>
      <c r="G1561" s="451" t="s">
        <v>3406</v>
      </c>
      <c r="Z1561" s="500"/>
      <c r="AA1561" s="500"/>
      <c r="AB1561" s="500"/>
      <c r="AC1561" s="500"/>
      <c r="AD1561" s="500"/>
      <c r="AE1561" s="500"/>
      <c r="AF1561" s="500"/>
      <c r="AG1561" s="500"/>
      <c r="AH1561" s="500"/>
      <c r="AI1561" s="500"/>
      <c r="AJ1561" s="500"/>
      <c r="AK1561" s="500"/>
      <c r="AL1561" s="500"/>
      <c r="AM1561" s="500"/>
      <c r="AN1561" s="500"/>
      <c r="AO1561" s="500"/>
      <c r="AP1561" s="500"/>
    </row>
    <row r="1562" spans="1:42" ht="16.5" customHeight="1">
      <c r="A1562" s="434"/>
      <c r="B1562" s="437" t="str">
        <f>" 일당 작업량 :   Q = "&amp;Z1562&amp;"  주 "</f>
        <v xml:space="preserve"> 일당 작업량 :   Q = 7  주 </v>
      </c>
      <c r="C1562" s="439"/>
      <c r="D1562" s="439"/>
      <c r="E1562" s="439"/>
      <c r="F1562" s="439"/>
      <c r="G1562" s="451" t="s">
        <v>3593</v>
      </c>
      <c r="Z1562" s="515">
        <v>7</v>
      </c>
      <c r="AA1562" s="501" t="s">
        <v>3418</v>
      </c>
      <c r="AB1562" s="512">
        <f>Z1562</f>
        <v>7</v>
      </c>
      <c r="AC1562" s="500"/>
      <c r="AD1562" s="500"/>
      <c r="AE1562" s="500"/>
      <c r="AF1562" s="500"/>
      <c r="AG1562" s="500"/>
      <c r="AH1562" s="500"/>
      <c r="AI1562" s="500"/>
      <c r="AJ1562" s="500"/>
      <c r="AK1562" s="500"/>
      <c r="AL1562" s="500"/>
      <c r="AM1562" s="500"/>
      <c r="AN1562" s="500"/>
      <c r="AO1562" s="500"/>
      <c r="AP1562" s="500"/>
    </row>
    <row r="1563" spans="1:42" ht="16.5" customHeight="1">
      <c r="A1563" s="439"/>
      <c r="B1563" s="439"/>
      <c r="C1563" s="439"/>
      <c r="D1563" s="439"/>
      <c r="E1563" s="439"/>
      <c r="F1563" s="439"/>
      <c r="G1563" s="451" t="s">
        <v>3406</v>
      </c>
      <c r="Z1563" s="500"/>
      <c r="AA1563" s="500"/>
      <c r="AB1563" s="500"/>
      <c r="AC1563" s="500"/>
      <c r="AD1563" s="500"/>
      <c r="AE1563" s="500"/>
      <c r="AF1563" s="500"/>
      <c r="AG1563" s="500"/>
      <c r="AH1563" s="500"/>
      <c r="AI1563" s="500"/>
      <c r="AJ1563" s="500"/>
      <c r="AK1563" s="500"/>
      <c r="AL1563" s="500"/>
      <c r="AM1563" s="500"/>
      <c r="AN1563" s="500"/>
      <c r="AO1563" s="500"/>
      <c r="AP1563" s="500"/>
    </row>
    <row r="1564" spans="1:42" ht="16.5" customHeight="1">
      <c r="A1564" s="434"/>
      <c r="B1564" s="437" t="s">
        <v>3594</v>
      </c>
      <c r="C1564" s="439"/>
      <c r="D1564" s="439"/>
      <c r="E1564" s="439"/>
      <c r="F1564" s="439"/>
      <c r="G1564" s="451" t="s">
        <v>3595</v>
      </c>
      <c r="Z1564" s="500"/>
      <c r="AA1564" s="500"/>
      <c r="AB1564" s="500"/>
      <c r="AC1564" s="500"/>
      <c r="AD1564" s="500"/>
      <c r="AE1564" s="500"/>
      <c r="AF1564" s="500"/>
      <c r="AG1564" s="500"/>
      <c r="AH1564" s="500"/>
      <c r="AI1564" s="500"/>
      <c r="AJ1564" s="500"/>
      <c r="AK1564" s="500"/>
      <c r="AL1564" s="500"/>
      <c r="AM1564" s="500"/>
      <c r="AN1564" s="500"/>
      <c r="AO1564" s="500"/>
      <c r="AP1564" s="500"/>
    </row>
    <row r="1565" spans="1:42" ht="16.5" customHeight="1">
      <c r="A1565" s="439"/>
      <c r="B1565" s="439"/>
      <c r="C1565" s="439"/>
      <c r="D1565" s="439"/>
      <c r="E1565" s="439"/>
      <c r="F1565" s="439"/>
      <c r="G1565" s="451" t="s">
        <v>3406</v>
      </c>
      <c r="Z1565" s="500"/>
      <c r="AA1565" s="500"/>
      <c r="AB1565" s="500"/>
      <c r="AC1565" s="500"/>
      <c r="AD1565" s="500"/>
      <c r="AE1565" s="500"/>
      <c r="AF1565" s="500"/>
      <c r="AG1565" s="500"/>
      <c r="AH1565" s="500"/>
      <c r="AI1565" s="500"/>
      <c r="AJ1565" s="500"/>
      <c r="AK1565" s="500"/>
      <c r="AL1565" s="500"/>
      <c r="AM1565" s="500"/>
      <c r="AN1565" s="500"/>
      <c r="AO1565" s="500"/>
      <c r="AP1565" s="500"/>
    </row>
    <row r="1566" spans="1:42" ht="16.5" customHeight="1">
      <c r="A1566" s="439"/>
      <c r="B1566" s="439"/>
      <c r="C1566" s="439"/>
      <c r="D1566" s="439"/>
      <c r="E1566" s="439"/>
      <c r="F1566" s="439"/>
      <c r="G1566" s="451" t="s">
        <v>3406</v>
      </c>
      <c r="Z1566" s="500"/>
      <c r="AA1566" s="500"/>
      <c r="AB1566" s="500"/>
      <c r="AC1566" s="500"/>
      <c r="AD1566" s="500"/>
      <c r="AE1566" s="500"/>
      <c r="AF1566" s="500"/>
      <c r="AG1566" s="500"/>
      <c r="AH1566" s="500"/>
      <c r="AI1566" s="500"/>
      <c r="AJ1566" s="500"/>
      <c r="AK1566" s="500"/>
      <c r="AL1566" s="500"/>
      <c r="AM1566" s="500"/>
      <c r="AN1566" s="500"/>
      <c r="AO1566" s="500"/>
      <c r="AP1566" s="500"/>
    </row>
    <row r="1567" spans="1:42" ht="16.5" customHeight="1">
      <c r="A1567" s="439"/>
      <c r="B1567" s="439"/>
      <c r="C1567" s="439"/>
      <c r="D1567" s="439"/>
      <c r="E1567" s="439"/>
      <c r="F1567" s="439"/>
      <c r="G1567" s="451" t="s">
        <v>3406</v>
      </c>
      <c r="Z1567" s="500"/>
      <c r="AA1567" s="500"/>
      <c r="AB1567" s="500"/>
      <c r="AC1567" s="500"/>
      <c r="AD1567" s="500"/>
      <c r="AE1567" s="500"/>
      <c r="AF1567" s="500"/>
      <c r="AG1567" s="500"/>
      <c r="AH1567" s="500"/>
      <c r="AI1567" s="500"/>
      <c r="AJ1567" s="500"/>
      <c r="AK1567" s="500"/>
      <c r="AL1567" s="500"/>
      <c r="AM1567" s="500"/>
      <c r="AN1567" s="500"/>
      <c r="AO1567" s="500"/>
      <c r="AP1567" s="500"/>
    </row>
    <row r="1568" spans="1:42" ht="16.5" customHeight="1">
      <c r="A1568" s="439"/>
      <c r="B1568" s="439"/>
      <c r="C1568" s="439"/>
      <c r="D1568" s="439"/>
      <c r="E1568" s="439"/>
      <c r="F1568" s="439"/>
      <c r="G1568" s="451" t="s">
        <v>3406</v>
      </c>
      <c r="Z1568" s="500"/>
      <c r="AA1568" s="500"/>
      <c r="AB1568" s="500"/>
      <c r="AC1568" s="500"/>
      <c r="AD1568" s="500"/>
      <c r="AE1568" s="500"/>
      <c r="AF1568" s="500"/>
      <c r="AG1568" s="500"/>
      <c r="AH1568" s="500"/>
      <c r="AI1568" s="500"/>
      <c r="AJ1568" s="500"/>
      <c r="AK1568" s="500"/>
      <c r="AL1568" s="500"/>
      <c r="AM1568" s="500"/>
      <c r="AN1568" s="500"/>
      <c r="AO1568" s="500"/>
      <c r="AP1568" s="500"/>
    </row>
    <row r="1569" spans="1:42" ht="16.5" customHeight="1">
      <c r="A1569" s="434"/>
      <c r="B1569" s="437" t="s">
        <v>3549</v>
      </c>
      <c r="C1569" s="439"/>
      <c r="D1569" s="439"/>
      <c r="E1569" s="439"/>
      <c r="F1569" s="439"/>
      <c r="G1569" s="451" t="s">
        <v>3550</v>
      </c>
      <c r="Z1569" s="500"/>
      <c r="AA1569" s="500"/>
      <c r="AB1569" s="500"/>
      <c r="AC1569" s="500"/>
      <c r="AD1569" s="500"/>
      <c r="AE1569" s="500"/>
      <c r="AF1569" s="500"/>
      <c r="AG1569" s="500"/>
      <c r="AH1569" s="500"/>
      <c r="AI1569" s="500"/>
      <c r="AJ1569" s="500"/>
      <c r="AK1569" s="500"/>
      <c r="AL1569" s="500"/>
      <c r="AM1569" s="500"/>
      <c r="AN1569" s="500"/>
      <c r="AO1569" s="500"/>
      <c r="AP1569" s="500"/>
    </row>
    <row r="1570" spans="1:42" ht="16.5" customHeight="1">
      <c r="A1570" s="439"/>
      <c r="B1570" s="439"/>
      <c r="C1570" s="439"/>
      <c r="D1570" s="439"/>
      <c r="E1570" s="439"/>
      <c r="F1570" s="439"/>
      <c r="G1570" s="451" t="s">
        <v>3406</v>
      </c>
      <c r="Z1570" s="500"/>
      <c r="AA1570" s="500"/>
      <c r="AB1570" s="500"/>
      <c r="AC1570" s="500"/>
      <c r="AD1570" s="500"/>
      <c r="AE1570" s="500"/>
      <c r="AF1570" s="500"/>
      <c r="AG1570" s="500"/>
      <c r="AH1570" s="500"/>
      <c r="AI1570" s="500"/>
      <c r="AJ1570" s="500"/>
      <c r="AK1570" s="500"/>
      <c r="AL1570" s="500"/>
      <c r="AM1570" s="500"/>
      <c r="AN1570" s="500"/>
      <c r="AO1570" s="500"/>
      <c r="AP1570" s="500"/>
    </row>
    <row r="1571" spans="1:42" ht="16.5" customHeight="1">
      <c r="A1571" s="434" t="s">
        <v>3498</v>
      </c>
      <c r="B1571" s="505" t="str">
        <f>" 조경공 :  "&amp;TEXT(I1571,"#,##0"&amp;IF(I1571&lt;&gt;INT(I1571),".###",""))&amp;" * "&amp;AA1571&amp;" 인  / Q = "&amp;TEXT(C1571,"#,##0.0")&amp;""</f>
        <v xml:space="preserve"> 조경공 :  235,204 * 3 인  / Q = 100,801.7</v>
      </c>
      <c r="C1571" s="506">
        <f>E1571+D1571+F1571</f>
        <v>100801.7</v>
      </c>
      <c r="D1571" s="506">
        <f>IF(H1571=0,0,ROUNDDOWN(J1571*H1571,1))</f>
        <v>100801.7</v>
      </c>
      <c r="E1571" s="506">
        <f>IF(H1571=0,0,ROUNDDOWN(K1571*H1571,1))</f>
        <v>0</v>
      </c>
      <c r="F1571" s="506">
        <f>IF(H1571=0,0,ROUNDDOWN(L1571*H1571,1))</f>
        <v>0</v>
      </c>
      <c r="G1571" s="451" t="s">
        <v>3551</v>
      </c>
      <c r="H1571" s="507">
        <f>ROUNDUP(AE1571,14-LEN(ABS(INT(AE1571))))</f>
        <v>0.42857142857149999</v>
      </c>
      <c r="I1571" s="508">
        <f>K1571+J1571+L1571</f>
        <v>235204</v>
      </c>
      <c r="J1571" s="509">
        <f>노무비목록표!E15</f>
        <v>235204</v>
      </c>
      <c r="M1571" s="501" t="s">
        <v>2359</v>
      </c>
      <c r="N1571" s="501" t="s">
        <v>3416</v>
      </c>
      <c r="X1571" s="510" t="str">
        <f>노무비목록표!B15&amp;" / "&amp;노무비목록표!C15</f>
        <v xml:space="preserve">조경공 / </v>
      </c>
      <c r="Y1571" s="433" t="str">
        <f ca="1">HYPERLINK("#"&amp;노무비목록표!G2&amp;"!A"&amp;ROW(노무비목록표!A15),"L00184 →")</f>
        <v>L00184 →</v>
      </c>
      <c r="Z1571" s="501" t="s">
        <v>3500</v>
      </c>
      <c r="AA1571" s="515">
        <v>3</v>
      </c>
      <c r="AB1571" s="501" t="s">
        <v>3428</v>
      </c>
      <c r="AC1571" s="512">
        <f>AB1562</f>
        <v>7</v>
      </c>
      <c r="AD1571" s="501" t="s">
        <v>3418</v>
      </c>
      <c r="AE1571" s="512">
        <f>1*AA1571/AB1562</f>
        <v>0.42857142857142855</v>
      </c>
      <c r="AF1571" s="500"/>
      <c r="AG1571" s="500"/>
      <c r="AH1571" s="500"/>
      <c r="AI1571" s="500"/>
      <c r="AJ1571" s="500"/>
      <c r="AK1571" s="500"/>
      <c r="AL1571" s="500"/>
      <c r="AM1571" s="500"/>
      <c r="AN1571" s="500"/>
      <c r="AO1571" s="500"/>
      <c r="AP1571" s="500"/>
    </row>
    <row r="1572" spans="1:42" ht="16.5" customHeight="1">
      <c r="A1572" s="439"/>
      <c r="B1572" s="439"/>
      <c r="C1572" s="439"/>
      <c r="D1572" s="439"/>
      <c r="E1572" s="439"/>
      <c r="F1572" s="439"/>
      <c r="G1572" s="451" t="s">
        <v>3406</v>
      </c>
      <c r="Z1572" s="500"/>
      <c r="AA1572" s="500"/>
      <c r="AB1572" s="500"/>
      <c r="AC1572" s="500"/>
      <c r="AD1572" s="500"/>
      <c r="AE1572" s="500"/>
      <c r="AF1572" s="500"/>
      <c r="AG1572" s="500"/>
      <c r="AH1572" s="500"/>
      <c r="AI1572" s="500"/>
      <c r="AJ1572" s="500"/>
      <c r="AK1572" s="500"/>
      <c r="AL1572" s="500"/>
      <c r="AM1572" s="500"/>
      <c r="AN1572" s="500"/>
      <c r="AO1572" s="500"/>
      <c r="AP1572" s="500"/>
    </row>
    <row r="1573" spans="1:42" ht="16.5" customHeight="1">
      <c r="A1573" s="439"/>
      <c r="B1573" s="439"/>
      <c r="C1573" s="439"/>
      <c r="D1573" s="439"/>
      <c r="E1573" s="439"/>
      <c r="F1573" s="439"/>
      <c r="G1573" s="451" t="s">
        <v>3406</v>
      </c>
      <c r="Z1573" s="500"/>
      <c r="AA1573" s="500"/>
      <c r="AB1573" s="500"/>
      <c r="AC1573" s="500"/>
      <c r="AD1573" s="500"/>
      <c r="AE1573" s="500"/>
      <c r="AF1573" s="500"/>
      <c r="AG1573" s="500"/>
      <c r="AH1573" s="500"/>
      <c r="AI1573" s="500"/>
      <c r="AJ1573" s="500"/>
      <c r="AK1573" s="500"/>
      <c r="AL1573" s="500"/>
      <c r="AM1573" s="500"/>
      <c r="AN1573" s="500"/>
      <c r="AO1573" s="500"/>
      <c r="AP1573" s="500"/>
    </row>
    <row r="1574" spans="1:42" ht="16.5" customHeight="1">
      <c r="A1574" s="434" t="s">
        <v>3414</v>
      </c>
      <c r="B1574" s="505" t="str">
        <f>" 보통인부 : "&amp;TEXT(I1574,"#,##0"&amp;IF(I1574&lt;&gt;INT(I1574),".###",""))&amp;" * "&amp;AA1574&amp;" 인  / Q = "&amp;TEXT(C1574,"#,##0.0")&amp;""</f>
        <v xml:space="preserve"> 보통인부 : 172,068 * 1 인  / Q = 24,581.1</v>
      </c>
      <c r="C1574" s="506">
        <f>E1574+D1574+F1574</f>
        <v>24581.1</v>
      </c>
      <c r="D1574" s="506">
        <f>IF(H1574=0,0,ROUNDDOWN(J1574*H1574,1))</f>
        <v>24581.1</v>
      </c>
      <c r="E1574" s="506">
        <f>IF(H1574=0,0,ROUNDDOWN(K1574*H1574,1))</f>
        <v>0</v>
      </c>
      <c r="F1574" s="506">
        <f>IF(H1574=0,0,ROUNDDOWN(L1574*H1574,1))</f>
        <v>0</v>
      </c>
      <c r="G1574" s="451" t="s">
        <v>3552</v>
      </c>
      <c r="H1574" s="507">
        <f>ROUNDUP(AE1574,14-LEN(ABS(INT(AE1574))))</f>
        <v>0.1428571428572</v>
      </c>
      <c r="I1574" s="508">
        <f>K1574+J1574+L1574</f>
        <v>172068</v>
      </c>
      <c r="J1574" s="509">
        <f>노무비목록표!E10</f>
        <v>172068</v>
      </c>
      <c r="M1574" s="501" t="s">
        <v>2363</v>
      </c>
      <c r="N1574" s="501" t="s">
        <v>3416</v>
      </c>
      <c r="X1574" s="510" t="str">
        <f>노무비목록표!B10&amp;" / "&amp;노무비목록표!C10</f>
        <v xml:space="preserve">보통인부 / </v>
      </c>
      <c r="Y1574" s="433" t="str">
        <f ca="1">HYPERLINK("#"&amp;노무비목록표!G2&amp;"!A"&amp;ROW(노무비목록표!A10),"L00017 →")</f>
        <v>L00017 →</v>
      </c>
      <c r="Z1574" s="501" t="s">
        <v>3500</v>
      </c>
      <c r="AA1574" s="515">
        <v>1</v>
      </c>
      <c r="AB1574" s="501" t="s">
        <v>3428</v>
      </c>
      <c r="AC1574" s="512">
        <f>AB1562</f>
        <v>7</v>
      </c>
      <c r="AD1574" s="501" t="s">
        <v>3418</v>
      </c>
      <c r="AE1574" s="512">
        <f>1*AA1574/AB1562</f>
        <v>0.14285714285714285</v>
      </c>
      <c r="AF1574" s="500"/>
      <c r="AG1574" s="500"/>
      <c r="AH1574" s="500"/>
      <c r="AI1574" s="500"/>
      <c r="AJ1574" s="500"/>
      <c r="AK1574" s="500"/>
      <c r="AL1574" s="500"/>
      <c r="AM1574" s="500"/>
      <c r="AN1574" s="500"/>
      <c r="AO1574" s="500"/>
      <c r="AP1574" s="500"/>
    </row>
    <row r="1575" spans="1:42" ht="16.5" customHeight="1">
      <c r="A1575" s="439"/>
      <c r="B1575" s="439"/>
      <c r="C1575" s="439"/>
      <c r="D1575" s="439"/>
      <c r="E1575" s="439"/>
      <c r="F1575" s="439"/>
      <c r="G1575" s="451" t="s">
        <v>3406</v>
      </c>
      <c r="Z1575" s="500"/>
      <c r="AA1575" s="500"/>
      <c r="AB1575" s="500"/>
      <c r="AC1575" s="500"/>
      <c r="AD1575" s="500"/>
      <c r="AE1575" s="500"/>
      <c r="AF1575" s="500"/>
      <c r="AG1575" s="500"/>
      <c r="AH1575" s="500"/>
      <c r="AI1575" s="500"/>
      <c r="AJ1575" s="500"/>
      <c r="AK1575" s="500"/>
      <c r="AL1575" s="500"/>
      <c r="AM1575" s="500"/>
      <c r="AN1575" s="500"/>
      <c r="AO1575" s="500"/>
      <c r="AP1575" s="500"/>
    </row>
    <row r="1576" spans="1:42" ht="16.5" customHeight="1">
      <c r="A1576" s="434"/>
      <c r="B1576" s="437" t="s">
        <v>3419</v>
      </c>
      <c r="C1576" s="513">
        <f>E1576+D1576+F1576</f>
        <v>125382.79999999999</v>
      </c>
      <c r="D1576" s="513">
        <f>SUMIF(N1557:N1575,M1576,D1557:D1575)</f>
        <v>125382.79999999999</v>
      </c>
      <c r="E1576" s="513">
        <f>SUMIF(N1557:N1575,M1576,E1557:E1575)</f>
        <v>0</v>
      </c>
      <c r="F1576" s="513">
        <f>SUMIF(N1557:N1575,M1576,F1557:F1575)</f>
        <v>0</v>
      </c>
      <c r="G1576" s="451" t="s">
        <v>3439</v>
      </c>
      <c r="M1576" s="501" t="s">
        <v>3416</v>
      </c>
      <c r="N1576" s="501" t="s">
        <v>3421</v>
      </c>
      <c r="Z1576" s="500"/>
      <c r="AA1576" s="500"/>
      <c r="AB1576" s="500"/>
      <c r="AC1576" s="500"/>
      <c r="AD1576" s="500"/>
      <c r="AE1576" s="500"/>
      <c r="AF1576" s="500"/>
      <c r="AG1576" s="500"/>
      <c r="AH1576" s="500"/>
      <c r="AI1576" s="500"/>
      <c r="AJ1576" s="500"/>
      <c r="AK1576" s="500"/>
      <c r="AL1576" s="500"/>
      <c r="AM1576" s="500"/>
      <c r="AN1576" s="500"/>
      <c r="AO1576" s="500"/>
      <c r="AP1576" s="500"/>
    </row>
    <row r="1577" spans="1:42" ht="16.5" customHeight="1">
      <c r="A1577" s="439"/>
      <c r="B1577" s="439"/>
      <c r="C1577" s="504"/>
      <c r="D1577" s="504"/>
      <c r="E1577" s="504"/>
      <c r="F1577" s="504"/>
      <c r="G1577" s="451" t="s">
        <v>3406</v>
      </c>
      <c r="Z1577" s="500"/>
      <c r="AA1577" s="500"/>
      <c r="AB1577" s="500"/>
      <c r="AC1577" s="500"/>
      <c r="AD1577" s="500"/>
      <c r="AE1577" s="500"/>
      <c r="AF1577" s="500"/>
      <c r="AG1577" s="500"/>
      <c r="AH1577" s="500"/>
      <c r="AI1577" s="500"/>
      <c r="AJ1577" s="500"/>
      <c r="AK1577" s="500"/>
      <c r="AL1577" s="500"/>
      <c r="AM1577" s="500"/>
      <c r="AN1577" s="500"/>
      <c r="AO1577" s="500"/>
      <c r="AP1577" s="500"/>
    </row>
    <row r="1578" spans="1:42" ht="16.5" customHeight="1">
      <c r="A1578" s="439"/>
      <c r="B1578" s="439"/>
      <c r="C1578" s="439"/>
      <c r="D1578" s="439"/>
      <c r="E1578" s="439"/>
      <c r="F1578" s="439"/>
      <c r="G1578" s="451" t="s">
        <v>3406</v>
      </c>
      <c r="Z1578" s="500"/>
      <c r="AA1578" s="500"/>
      <c r="AB1578" s="500"/>
      <c r="AC1578" s="500"/>
      <c r="AD1578" s="500"/>
      <c r="AE1578" s="500"/>
      <c r="AF1578" s="500"/>
      <c r="AG1578" s="500"/>
      <c r="AH1578" s="500"/>
      <c r="AI1578" s="500"/>
      <c r="AJ1578" s="500"/>
      <c r="AK1578" s="500"/>
      <c r="AL1578" s="500"/>
      <c r="AM1578" s="500"/>
      <c r="AN1578" s="500"/>
      <c r="AO1578" s="500"/>
      <c r="AP1578" s="500"/>
    </row>
    <row r="1579" spans="1:42" ht="16.5" customHeight="1">
      <c r="A1579" s="434"/>
      <c r="B1579" s="437" t="s">
        <v>3572</v>
      </c>
      <c r="C1579" s="439"/>
      <c r="D1579" s="439"/>
      <c r="E1579" s="439"/>
      <c r="F1579" s="439"/>
      <c r="G1579" s="451" t="s">
        <v>3573</v>
      </c>
      <c r="Z1579" s="500"/>
      <c r="AA1579" s="500"/>
      <c r="AB1579" s="500"/>
      <c r="AC1579" s="500"/>
      <c r="AD1579" s="500"/>
      <c r="AE1579" s="500"/>
      <c r="AF1579" s="500"/>
      <c r="AG1579" s="500"/>
      <c r="AH1579" s="500"/>
      <c r="AI1579" s="500"/>
      <c r="AJ1579" s="500"/>
      <c r="AK1579" s="500"/>
      <c r="AL1579" s="500"/>
      <c r="AM1579" s="500"/>
      <c r="AN1579" s="500"/>
      <c r="AO1579" s="500"/>
      <c r="AP1579" s="500"/>
    </row>
    <row r="1580" spans="1:42" ht="16.5" customHeight="1">
      <c r="A1580" s="439"/>
      <c r="B1580" s="439"/>
      <c r="C1580" s="439"/>
      <c r="D1580" s="439"/>
      <c r="E1580" s="439"/>
      <c r="F1580" s="439"/>
      <c r="G1580" s="451" t="s">
        <v>3406</v>
      </c>
      <c r="Z1580" s="500"/>
      <c r="AA1580" s="500"/>
      <c r="AB1580" s="500"/>
      <c r="AC1580" s="500"/>
      <c r="AD1580" s="500"/>
      <c r="AE1580" s="500"/>
      <c r="AF1580" s="500"/>
      <c r="AG1580" s="500"/>
      <c r="AH1580" s="500"/>
      <c r="AI1580" s="500"/>
      <c r="AJ1580" s="500"/>
      <c r="AK1580" s="500"/>
      <c r="AL1580" s="500"/>
      <c r="AM1580" s="500"/>
      <c r="AN1580" s="500"/>
      <c r="AO1580" s="500"/>
      <c r="AP1580" s="500"/>
    </row>
    <row r="1581" spans="1:42" ht="16.5" customHeight="1">
      <c r="A1581" s="434"/>
      <c r="B1581" s="437" t="s">
        <v>3574</v>
      </c>
      <c r="C1581" s="439"/>
      <c r="D1581" s="439"/>
      <c r="E1581" s="439"/>
      <c r="F1581" s="439"/>
      <c r="G1581" s="451" t="s">
        <v>3575</v>
      </c>
      <c r="Z1581" s="500"/>
      <c r="AA1581" s="500"/>
      <c r="AB1581" s="500"/>
      <c r="AC1581" s="500"/>
      <c r="AD1581" s="500"/>
      <c r="AE1581" s="500"/>
      <c r="AF1581" s="500"/>
      <c r="AG1581" s="500"/>
      <c r="AH1581" s="500"/>
      <c r="AI1581" s="500"/>
      <c r="AJ1581" s="500"/>
      <c r="AK1581" s="500"/>
      <c r="AL1581" s="500"/>
      <c r="AM1581" s="500"/>
      <c r="AN1581" s="500"/>
      <c r="AO1581" s="500"/>
      <c r="AP1581" s="500"/>
    </row>
    <row r="1582" spans="1:42" ht="16.5" customHeight="1">
      <c r="A1582" s="439"/>
      <c r="B1582" s="439"/>
      <c r="C1582" s="439"/>
      <c r="D1582" s="439"/>
      <c r="E1582" s="439"/>
      <c r="F1582" s="439"/>
      <c r="G1582" s="451" t="s">
        <v>3406</v>
      </c>
      <c r="Z1582" s="500"/>
      <c r="AA1582" s="500"/>
      <c r="AB1582" s="500"/>
      <c r="AC1582" s="500"/>
      <c r="AD1582" s="500"/>
      <c r="AE1582" s="500"/>
      <c r="AF1582" s="500"/>
      <c r="AG1582" s="500"/>
      <c r="AH1582" s="500"/>
      <c r="AI1582" s="500"/>
      <c r="AJ1582" s="500"/>
      <c r="AK1582" s="500"/>
      <c r="AL1582" s="500"/>
      <c r="AM1582" s="500"/>
      <c r="AN1582" s="500"/>
      <c r="AO1582" s="500"/>
      <c r="AP1582" s="500"/>
    </row>
    <row r="1583" spans="1:42" ht="16.5" customHeight="1">
      <c r="A1583" s="434" t="s">
        <v>3576</v>
      </c>
      <c r="B1583" s="505" t="str">
        <f>"  노 무 비 :  "&amp;TEXT(I1583,"#,##0"&amp;IF(I1583&lt;&gt;INT(I1583),".###",""))&amp;" / Q * "&amp;AC1583&amp;" = "&amp;TEXT(C1583,"#,##0.0")&amp;""</f>
        <v xml:space="preserve">  노 무 비 :  59,020 / Q * 8 = 67,451.4</v>
      </c>
      <c r="C1583" s="506">
        <f>E1583+D1583+F1583</f>
        <v>67451.399999999994</v>
      </c>
      <c r="D1583" s="506">
        <f>IF(H1583=0,0,ROUNDDOWN(J1583*H1583,1))</f>
        <v>67451.399999999994</v>
      </c>
      <c r="E1583" s="506">
        <f>IF(H1583=0,0,ROUNDDOWN(K1583*H1583,1))</f>
        <v>0</v>
      </c>
      <c r="F1583" s="506">
        <f>IF(H1583=0,0,ROUNDDOWN(L1583*H1583,1))</f>
        <v>0</v>
      </c>
      <c r="G1583" s="451" t="s">
        <v>3577</v>
      </c>
      <c r="H1583" s="507">
        <f>ROUNDUP(AE1583,14-LEN(ABS(INT(AE1583))))</f>
        <v>1.1428571428571999</v>
      </c>
      <c r="I1583" s="508">
        <f>K1583+J1583+L1583</f>
        <v>59020</v>
      </c>
      <c r="J1583" s="509">
        <f>중기목록표!F8</f>
        <v>59020</v>
      </c>
      <c r="M1583" s="501" t="s">
        <v>3159</v>
      </c>
      <c r="N1583" s="501" t="s">
        <v>3416</v>
      </c>
      <c r="X1583" s="510" t="str">
        <f>중기목록표!B8&amp;" / "&amp;중기목록표!C8</f>
        <v>굴착기(무한궤도) / 0.6㎥</v>
      </c>
      <c r="Y1583" s="433" t="str">
        <f ca="1">HYPERLINK("#"&amp;중기목록표!J2&amp;"!A"&amp;ROW(중기목록표!A8),"X00269 →")</f>
        <v>X00269 →</v>
      </c>
      <c r="Z1583" s="501" t="s">
        <v>3434</v>
      </c>
      <c r="AA1583" s="512">
        <f>AB1562</f>
        <v>7</v>
      </c>
      <c r="AB1583" s="501" t="s">
        <v>3368</v>
      </c>
      <c r="AC1583" s="515">
        <v>8</v>
      </c>
      <c r="AD1583" s="501" t="s">
        <v>3418</v>
      </c>
      <c r="AE1583" s="512">
        <f>1/AB1562*AC1583</f>
        <v>1.1428571428571428</v>
      </c>
      <c r="AF1583" s="500"/>
      <c r="AG1583" s="500"/>
      <c r="AH1583" s="500"/>
      <c r="AI1583" s="500"/>
      <c r="AJ1583" s="500"/>
      <c r="AK1583" s="500"/>
      <c r="AL1583" s="500"/>
      <c r="AM1583" s="500"/>
      <c r="AN1583" s="500"/>
      <c r="AO1583" s="500"/>
      <c r="AP1583" s="500"/>
    </row>
    <row r="1584" spans="1:42" ht="16.5" customHeight="1">
      <c r="A1584" s="439"/>
      <c r="B1584" s="439"/>
      <c r="C1584" s="439"/>
      <c r="D1584" s="439"/>
      <c r="E1584" s="439"/>
      <c r="F1584" s="439"/>
      <c r="G1584" s="451" t="s">
        <v>3406</v>
      </c>
      <c r="Z1584" s="500"/>
      <c r="AA1584" s="500"/>
      <c r="AB1584" s="500"/>
      <c r="AC1584" s="500"/>
      <c r="AD1584" s="500"/>
      <c r="AE1584" s="500"/>
      <c r="AF1584" s="500"/>
      <c r="AG1584" s="500"/>
      <c r="AH1584" s="500"/>
      <c r="AI1584" s="500"/>
      <c r="AJ1584" s="500"/>
      <c r="AK1584" s="500"/>
      <c r="AL1584" s="500"/>
      <c r="AM1584" s="500"/>
      <c r="AN1584" s="500"/>
      <c r="AO1584" s="500"/>
      <c r="AP1584" s="500"/>
    </row>
    <row r="1585" spans="1:42" ht="16.5" customHeight="1">
      <c r="A1585" s="434" t="s">
        <v>3578</v>
      </c>
      <c r="B1585" s="505" t="str">
        <f>"  재 료 비 :  "&amp;TEXT(I1585,"#,##0"&amp;IF(I1585&lt;&gt;INT(I1585),".###",""))&amp;" / Q * "&amp;AC1585&amp;" = "&amp;TEXT(C1585,"#,##0.0")&amp;""</f>
        <v xml:space="preserve">  재 료 비 :  17,160 / Q * 8 = 19,611.4</v>
      </c>
      <c r="C1585" s="506">
        <f>E1585+D1585+F1585</f>
        <v>19611.400000000001</v>
      </c>
      <c r="D1585" s="506">
        <f>IF(H1585=0,0,ROUNDDOWN(J1585*H1585,1))</f>
        <v>0</v>
      </c>
      <c r="E1585" s="506">
        <f>IF(H1585=0,0,ROUNDDOWN(K1585*H1585,1))</f>
        <v>19611.400000000001</v>
      </c>
      <c r="F1585" s="506">
        <f>IF(H1585=0,0,ROUNDDOWN(L1585*H1585,1))</f>
        <v>0</v>
      </c>
      <c r="G1585" s="451" t="s">
        <v>3579</v>
      </c>
      <c r="H1585" s="507">
        <f>ROUNDUP(AE1585,14-LEN(ABS(INT(AE1585))))</f>
        <v>1.1428571428571999</v>
      </c>
      <c r="I1585" s="508">
        <f>K1585+J1585+L1585</f>
        <v>17160</v>
      </c>
      <c r="K1585" s="509">
        <f>중기목록표!G8</f>
        <v>17160</v>
      </c>
      <c r="M1585" s="501" t="s">
        <v>3159</v>
      </c>
      <c r="N1585" s="501" t="s">
        <v>3416</v>
      </c>
      <c r="X1585" s="510" t="str">
        <f>중기목록표!B8&amp;" / "&amp;중기목록표!C8</f>
        <v>굴착기(무한궤도) / 0.6㎥</v>
      </c>
      <c r="Y1585" s="433" t="str">
        <f ca="1">HYPERLINK("#"&amp;중기목록표!J2&amp;"!A"&amp;ROW(중기목록표!A8),"X00269 →")</f>
        <v>X00269 →</v>
      </c>
      <c r="Z1585" s="501" t="s">
        <v>3434</v>
      </c>
      <c r="AA1585" s="512">
        <f>AB1562</f>
        <v>7</v>
      </c>
      <c r="AB1585" s="501" t="s">
        <v>3368</v>
      </c>
      <c r="AC1585" s="515">
        <v>8</v>
      </c>
      <c r="AD1585" s="501" t="s">
        <v>3418</v>
      </c>
      <c r="AE1585" s="512">
        <f>1/AB1562*AC1585</f>
        <v>1.1428571428571428</v>
      </c>
      <c r="AF1585" s="500"/>
      <c r="AG1585" s="500"/>
      <c r="AH1585" s="500"/>
      <c r="AI1585" s="500"/>
      <c r="AJ1585" s="500"/>
      <c r="AK1585" s="500"/>
      <c r="AL1585" s="500"/>
      <c r="AM1585" s="500"/>
      <c r="AN1585" s="500"/>
      <c r="AO1585" s="500"/>
      <c r="AP1585" s="500"/>
    </row>
    <row r="1586" spans="1:42" ht="16.5" customHeight="1">
      <c r="A1586" s="439"/>
      <c r="B1586" s="439"/>
      <c r="C1586" s="439"/>
      <c r="D1586" s="439"/>
      <c r="E1586" s="439"/>
      <c r="F1586" s="439"/>
      <c r="G1586" s="451" t="s">
        <v>3406</v>
      </c>
      <c r="Z1586" s="500"/>
      <c r="AA1586" s="500"/>
      <c r="AB1586" s="500"/>
      <c r="AC1586" s="500"/>
      <c r="AD1586" s="500"/>
      <c r="AE1586" s="500"/>
      <c r="AF1586" s="500"/>
      <c r="AG1586" s="500"/>
      <c r="AH1586" s="500"/>
      <c r="AI1586" s="500"/>
      <c r="AJ1586" s="500"/>
      <c r="AK1586" s="500"/>
      <c r="AL1586" s="500"/>
      <c r="AM1586" s="500"/>
      <c r="AN1586" s="500"/>
      <c r="AO1586" s="500"/>
      <c r="AP1586" s="500"/>
    </row>
    <row r="1587" spans="1:42" ht="16.5" customHeight="1">
      <c r="A1587" s="434" t="s">
        <v>3580</v>
      </c>
      <c r="B1587" s="505" t="str">
        <f>"  경    비 :  "&amp;TEXT(I1587,"#,##0"&amp;IF(I1587&lt;&gt;INT(I1587),".###",""))&amp;" / Q * "&amp;AC1587&amp;" = "&amp;TEXT(C1587,"#,##0.0")&amp;""</f>
        <v xml:space="preserve">  경    비 :  23,423 / Q * 8 = 26,769.1</v>
      </c>
      <c r="C1587" s="506">
        <f>E1587+D1587+F1587</f>
        <v>26769.1</v>
      </c>
      <c r="D1587" s="506">
        <f>IF(H1587=0,0,ROUNDDOWN(J1587*H1587,1))</f>
        <v>0</v>
      </c>
      <c r="E1587" s="506">
        <f>IF(H1587=0,0,ROUNDDOWN(K1587*H1587,1))</f>
        <v>0</v>
      </c>
      <c r="F1587" s="506">
        <f>IF(H1587=0,0,ROUNDDOWN(L1587*H1587,1))</f>
        <v>26769.1</v>
      </c>
      <c r="G1587" s="451" t="s">
        <v>3581</v>
      </c>
      <c r="H1587" s="507">
        <f>ROUNDUP(AE1587,14-LEN(ABS(INT(AE1587))))</f>
        <v>1.1428571428571999</v>
      </c>
      <c r="I1587" s="508">
        <f>K1587+J1587+L1587</f>
        <v>23423</v>
      </c>
      <c r="L1587" s="509">
        <f>중기목록표!H8</f>
        <v>23423</v>
      </c>
      <c r="M1587" s="501" t="s">
        <v>3159</v>
      </c>
      <c r="N1587" s="501" t="s">
        <v>3416</v>
      </c>
      <c r="X1587" s="510" t="str">
        <f>중기목록표!B8&amp;" / "&amp;중기목록표!C8</f>
        <v>굴착기(무한궤도) / 0.6㎥</v>
      </c>
      <c r="Y1587" s="433" t="str">
        <f ca="1">HYPERLINK("#"&amp;중기목록표!J2&amp;"!A"&amp;ROW(중기목록표!A8),"X00269 →")</f>
        <v>X00269 →</v>
      </c>
      <c r="Z1587" s="501" t="s">
        <v>3434</v>
      </c>
      <c r="AA1587" s="512">
        <f>AB1562</f>
        <v>7</v>
      </c>
      <c r="AB1587" s="501" t="s">
        <v>3368</v>
      </c>
      <c r="AC1587" s="515">
        <v>8</v>
      </c>
      <c r="AD1587" s="501" t="s">
        <v>3418</v>
      </c>
      <c r="AE1587" s="512">
        <f>1/AB1562*AC1587</f>
        <v>1.1428571428571428</v>
      </c>
      <c r="AF1587" s="500"/>
      <c r="AG1587" s="500"/>
      <c r="AH1587" s="500"/>
      <c r="AI1587" s="500"/>
      <c r="AJ1587" s="500"/>
      <c r="AK1587" s="500"/>
      <c r="AL1587" s="500"/>
      <c r="AM1587" s="500"/>
      <c r="AN1587" s="500"/>
      <c r="AO1587" s="500"/>
      <c r="AP1587" s="500"/>
    </row>
    <row r="1588" spans="1:42" ht="16.5" customHeight="1">
      <c r="A1588" s="439"/>
      <c r="B1588" s="439"/>
      <c r="C1588" s="439"/>
      <c r="D1588" s="439"/>
      <c r="E1588" s="439"/>
      <c r="F1588" s="439"/>
      <c r="G1588" s="451" t="s">
        <v>3406</v>
      </c>
      <c r="Z1588" s="500"/>
      <c r="AA1588" s="500"/>
      <c r="AB1588" s="500"/>
      <c r="AC1588" s="500"/>
      <c r="AD1588" s="500"/>
      <c r="AE1588" s="500"/>
      <c r="AF1588" s="500"/>
      <c r="AG1588" s="500"/>
      <c r="AH1588" s="500"/>
      <c r="AI1588" s="500"/>
      <c r="AJ1588" s="500"/>
      <c r="AK1588" s="500"/>
      <c r="AL1588" s="500"/>
      <c r="AM1588" s="500"/>
      <c r="AN1588" s="500"/>
      <c r="AO1588" s="500"/>
      <c r="AP1588" s="500"/>
    </row>
    <row r="1589" spans="1:42" ht="16.5" customHeight="1">
      <c r="A1589" s="439"/>
      <c r="B1589" s="439"/>
      <c r="C1589" s="439"/>
      <c r="D1589" s="439"/>
      <c r="E1589" s="439"/>
      <c r="F1589" s="439"/>
      <c r="G1589" s="451" t="s">
        <v>3406</v>
      </c>
      <c r="Z1589" s="500"/>
      <c r="AA1589" s="500"/>
      <c r="AB1589" s="500"/>
      <c r="AC1589" s="500"/>
      <c r="AD1589" s="500"/>
      <c r="AE1589" s="500"/>
      <c r="AF1589" s="500"/>
      <c r="AG1589" s="500"/>
      <c r="AH1589" s="500"/>
      <c r="AI1589" s="500"/>
      <c r="AJ1589" s="500"/>
      <c r="AK1589" s="500"/>
      <c r="AL1589" s="500"/>
      <c r="AM1589" s="500"/>
      <c r="AN1589" s="500"/>
      <c r="AO1589" s="500"/>
      <c r="AP1589" s="500"/>
    </row>
    <row r="1590" spans="1:42" ht="16.5" customHeight="1">
      <c r="A1590" s="434"/>
      <c r="B1590" s="437" t="s">
        <v>3596</v>
      </c>
      <c r="C1590" s="439"/>
      <c r="D1590" s="439"/>
      <c r="E1590" s="439"/>
      <c r="F1590" s="439"/>
      <c r="G1590" s="451" t="s">
        <v>3597</v>
      </c>
      <c r="Z1590" s="500"/>
      <c r="AA1590" s="500"/>
      <c r="AB1590" s="500"/>
      <c r="AC1590" s="500"/>
      <c r="AD1590" s="500"/>
      <c r="AE1590" s="500"/>
      <c r="AF1590" s="500"/>
      <c r="AG1590" s="500"/>
      <c r="AH1590" s="500"/>
      <c r="AI1590" s="500"/>
      <c r="AJ1590" s="500"/>
      <c r="AK1590" s="500"/>
      <c r="AL1590" s="500"/>
      <c r="AM1590" s="500"/>
      <c r="AN1590" s="500"/>
      <c r="AO1590" s="500"/>
      <c r="AP1590" s="500"/>
    </row>
    <row r="1591" spans="1:42" ht="16.5" customHeight="1">
      <c r="A1591" s="439"/>
      <c r="B1591" s="439"/>
      <c r="C1591" s="439"/>
      <c r="D1591" s="439"/>
      <c r="E1591" s="439"/>
      <c r="F1591" s="439"/>
      <c r="G1591" s="451" t="s">
        <v>3406</v>
      </c>
      <c r="Z1591" s="500"/>
      <c r="AA1591" s="500"/>
      <c r="AB1591" s="500"/>
      <c r="AC1591" s="500"/>
      <c r="AD1591" s="500"/>
      <c r="AE1591" s="500"/>
      <c r="AF1591" s="500"/>
      <c r="AG1591" s="500"/>
      <c r="AH1591" s="500"/>
      <c r="AI1591" s="500"/>
      <c r="AJ1591" s="500"/>
      <c r="AK1591" s="500"/>
      <c r="AL1591" s="500"/>
      <c r="AM1591" s="500"/>
      <c r="AN1591" s="500"/>
      <c r="AO1591" s="500"/>
      <c r="AP1591" s="500"/>
    </row>
    <row r="1592" spans="1:42" ht="16.5" customHeight="1">
      <c r="A1592" s="434" t="s">
        <v>3598</v>
      </c>
      <c r="B1592" s="505" t="str">
        <f>"  노 무 비 :  "&amp;TEXT(I1592,"#,##0"&amp;IF(I1592&lt;&gt;INT(I1592),".###",""))&amp;" / Q * "&amp;AC1592&amp;" = "&amp;TEXT(C1592,"#,##0.0")&amp;""</f>
        <v xml:space="preserve">  노 무 비 :  49,778 / Q * 8 = 56,889.1</v>
      </c>
      <c r="C1592" s="506">
        <f>E1592+D1592+F1592</f>
        <v>56889.1</v>
      </c>
      <c r="D1592" s="506">
        <f>IF(H1592=0,0,ROUNDDOWN(J1592*H1592,1))</f>
        <v>56889.1</v>
      </c>
      <c r="E1592" s="506">
        <f>IF(H1592=0,0,ROUNDDOWN(K1592*H1592,1))</f>
        <v>0</v>
      </c>
      <c r="F1592" s="506">
        <f>IF(H1592=0,0,ROUNDDOWN(L1592*H1592,1))</f>
        <v>0</v>
      </c>
      <c r="G1592" s="451" t="s">
        <v>3599</v>
      </c>
      <c r="H1592" s="507">
        <f>ROUNDUP(AE1592,14-LEN(ABS(INT(AE1592))))</f>
        <v>1.1428571428571999</v>
      </c>
      <c r="I1592" s="508">
        <f>K1592+J1592+L1592</f>
        <v>49778</v>
      </c>
      <c r="J1592" s="509">
        <f>중기목록표!F19</f>
        <v>49778</v>
      </c>
      <c r="M1592" s="501" t="s">
        <v>3600</v>
      </c>
      <c r="N1592" s="501" t="s">
        <v>3416</v>
      </c>
      <c r="X1592" s="510" t="str">
        <f>중기목록표!B19&amp;" / "&amp;중기목록표!C19</f>
        <v>트럭탑재형 크레인 / 15톤</v>
      </c>
      <c r="Y1592" s="433" t="str">
        <f ca="1">HYPERLINK("#"&amp;중기목록표!J2&amp;"!A"&amp;ROW(중기목록표!A19),"X00290 →")</f>
        <v>X00290 →</v>
      </c>
      <c r="Z1592" s="501" t="s">
        <v>3434</v>
      </c>
      <c r="AA1592" s="512">
        <f>AB1562</f>
        <v>7</v>
      </c>
      <c r="AB1592" s="501" t="s">
        <v>3368</v>
      </c>
      <c r="AC1592" s="515">
        <v>8</v>
      </c>
      <c r="AD1592" s="501" t="s">
        <v>3418</v>
      </c>
      <c r="AE1592" s="512">
        <f>1/AB1562*AC1592</f>
        <v>1.1428571428571428</v>
      </c>
      <c r="AF1592" s="500"/>
      <c r="AG1592" s="500"/>
      <c r="AH1592" s="500"/>
      <c r="AI1592" s="500"/>
      <c r="AJ1592" s="500"/>
      <c r="AK1592" s="500"/>
      <c r="AL1592" s="500"/>
      <c r="AM1592" s="500"/>
      <c r="AN1592" s="500"/>
      <c r="AO1592" s="500"/>
      <c r="AP1592" s="500"/>
    </row>
    <row r="1593" spans="1:42" ht="16.5" customHeight="1">
      <c r="A1593" s="439"/>
      <c r="B1593" s="439"/>
      <c r="C1593" s="439"/>
      <c r="D1593" s="439"/>
      <c r="E1593" s="439"/>
      <c r="F1593" s="439"/>
      <c r="G1593" s="451" t="s">
        <v>3406</v>
      </c>
      <c r="Z1593" s="500"/>
      <c r="AA1593" s="500"/>
      <c r="AB1593" s="500"/>
      <c r="AC1593" s="500"/>
      <c r="AD1593" s="500"/>
      <c r="AE1593" s="500"/>
      <c r="AF1593" s="500"/>
      <c r="AG1593" s="500"/>
      <c r="AH1593" s="500"/>
      <c r="AI1593" s="500"/>
      <c r="AJ1593" s="500"/>
      <c r="AK1593" s="500"/>
      <c r="AL1593" s="500"/>
      <c r="AM1593" s="500"/>
      <c r="AN1593" s="500"/>
      <c r="AO1593" s="500"/>
      <c r="AP1593" s="500"/>
    </row>
    <row r="1594" spans="1:42" ht="16.5" customHeight="1">
      <c r="A1594" s="434" t="s">
        <v>3601</v>
      </c>
      <c r="B1594" s="505" t="str">
        <f>"  재 료 비 :  "&amp;TEXT(I1594,"#,##0"&amp;IF(I1594&lt;&gt;INT(I1594),".###",""))&amp;" / Q * "&amp;AC1594&amp;" = "&amp;TEXT(C1594,"#,##0.0")&amp;""</f>
        <v xml:space="preserve">  재 료 비 :  18,202 / Q * 8 = 20,802.2</v>
      </c>
      <c r="C1594" s="506">
        <f>E1594+D1594+F1594</f>
        <v>20802.2</v>
      </c>
      <c r="D1594" s="506">
        <f>IF(H1594=0,0,ROUNDDOWN(J1594*H1594,1))</f>
        <v>0</v>
      </c>
      <c r="E1594" s="506">
        <f>IF(H1594=0,0,ROUNDDOWN(K1594*H1594,1))</f>
        <v>20802.2</v>
      </c>
      <c r="F1594" s="506">
        <f>IF(H1594=0,0,ROUNDDOWN(L1594*H1594,1))</f>
        <v>0</v>
      </c>
      <c r="G1594" s="451" t="s">
        <v>3602</v>
      </c>
      <c r="H1594" s="507">
        <f>ROUNDUP(AE1594,14-LEN(ABS(INT(AE1594))))</f>
        <v>1.1428571428571999</v>
      </c>
      <c r="I1594" s="508">
        <f>K1594+J1594+L1594</f>
        <v>18202</v>
      </c>
      <c r="K1594" s="509">
        <f>중기목록표!G19</f>
        <v>18202</v>
      </c>
      <c r="M1594" s="501" t="s">
        <v>3600</v>
      </c>
      <c r="N1594" s="501" t="s">
        <v>3416</v>
      </c>
      <c r="X1594" s="510" t="str">
        <f>중기목록표!B19&amp;" / "&amp;중기목록표!C19</f>
        <v>트럭탑재형 크레인 / 15톤</v>
      </c>
      <c r="Y1594" s="433" t="str">
        <f ca="1">HYPERLINK("#"&amp;중기목록표!J2&amp;"!A"&amp;ROW(중기목록표!A19),"X00290 →")</f>
        <v>X00290 →</v>
      </c>
      <c r="Z1594" s="501" t="s">
        <v>3434</v>
      </c>
      <c r="AA1594" s="512">
        <f>AB1562</f>
        <v>7</v>
      </c>
      <c r="AB1594" s="501" t="s">
        <v>3368</v>
      </c>
      <c r="AC1594" s="515">
        <v>8</v>
      </c>
      <c r="AD1594" s="501" t="s">
        <v>3418</v>
      </c>
      <c r="AE1594" s="512">
        <f>1/AB1562*AC1594</f>
        <v>1.1428571428571428</v>
      </c>
      <c r="AF1594" s="500"/>
      <c r="AG1594" s="500"/>
      <c r="AH1594" s="500"/>
      <c r="AI1594" s="500"/>
      <c r="AJ1594" s="500"/>
      <c r="AK1594" s="500"/>
      <c r="AL1594" s="500"/>
      <c r="AM1594" s="500"/>
      <c r="AN1594" s="500"/>
      <c r="AO1594" s="500"/>
      <c r="AP1594" s="500"/>
    </row>
    <row r="1595" spans="1:42" ht="16.5" customHeight="1">
      <c r="A1595" s="439"/>
      <c r="B1595" s="439"/>
      <c r="C1595" s="439"/>
      <c r="D1595" s="439"/>
      <c r="E1595" s="439"/>
      <c r="F1595" s="439"/>
      <c r="G1595" s="451" t="s">
        <v>3406</v>
      </c>
      <c r="Z1595" s="500"/>
      <c r="AA1595" s="500"/>
      <c r="AB1595" s="500"/>
      <c r="AC1595" s="500"/>
      <c r="AD1595" s="500"/>
      <c r="AE1595" s="500"/>
      <c r="AF1595" s="500"/>
      <c r="AG1595" s="500"/>
      <c r="AH1595" s="500"/>
      <c r="AI1595" s="500"/>
      <c r="AJ1595" s="500"/>
      <c r="AK1595" s="500"/>
      <c r="AL1595" s="500"/>
      <c r="AM1595" s="500"/>
      <c r="AN1595" s="500"/>
      <c r="AO1595" s="500"/>
      <c r="AP1595" s="500"/>
    </row>
    <row r="1596" spans="1:42" ht="16.5" customHeight="1">
      <c r="A1596" s="434" t="s">
        <v>3603</v>
      </c>
      <c r="B1596" s="505" t="str">
        <f>"  경    비 :  "&amp;TEXT(I1596,"#,##0"&amp;IF(I1596&lt;&gt;INT(I1596),".###",""))&amp;" / Q * "&amp;AC1596&amp;" = "&amp;TEXT(C1596,"#,##0.0")&amp;""</f>
        <v xml:space="preserve">  경    비 :  31,327 / Q * 8 = 35,802.2</v>
      </c>
      <c r="C1596" s="506">
        <f>E1596+D1596+F1596</f>
        <v>35802.199999999997</v>
      </c>
      <c r="D1596" s="506">
        <f>IF(H1596=0,0,ROUNDDOWN(J1596*H1596,1))</f>
        <v>0</v>
      </c>
      <c r="E1596" s="506">
        <f>IF(H1596=0,0,ROUNDDOWN(K1596*H1596,1))</f>
        <v>0</v>
      </c>
      <c r="F1596" s="506">
        <f>IF(H1596=0,0,ROUNDDOWN(L1596*H1596,1))</f>
        <v>35802.199999999997</v>
      </c>
      <c r="G1596" s="451" t="s">
        <v>3604</v>
      </c>
      <c r="H1596" s="507">
        <f>ROUNDUP(AE1596,14-LEN(ABS(INT(AE1596))))</f>
        <v>1.1428571428571999</v>
      </c>
      <c r="I1596" s="508">
        <f>K1596+J1596+L1596</f>
        <v>31327</v>
      </c>
      <c r="L1596" s="509">
        <f>중기목록표!H19</f>
        <v>31327</v>
      </c>
      <c r="M1596" s="501" t="s">
        <v>3600</v>
      </c>
      <c r="N1596" s="501" t="s">
        <v>3416</v>
      </c>
      <c r="X1596" s="510" t="str">
        <f>중기목록표!B19&amp;" / "&amp;중기목록표!C19</f>
        <v>트럭탑재형 크레인 / 15톤</v>
      </c>
      <c r="Y1596" s="433" t="str">
        <f ca="1">HYPERLINK("#"&amp;중기목록표!J2&amp;"!A"&amp;ROW(중기목록표!A19),"X00290 →")</f>
        <v>X00290 →</v>
      </c>
      <c r="Z1596" s="501" t="s">
        <v>3434</v>
      </c>
      <c r="AA1596" s="512">
        <f>AB1562</f>
        <v>7</v>
      </c>
      <c r="AB1596" s="501" t="s">
        <v>3368</v>
      </c>
      <c r="AC1596" s="515">
        <v>8</v>
      </c>
      <c r="AD1596" s="501" t="s">
        <v>3418</v>
      </c>
      <c r="AE1596" s="512">
        <f>1/AB1562*AC1596</f>
        <v>1.1428571428571428</v>
      </c>
      <c r="AF1596" s="500"/>
      <c r="AG1596" s="500"/>
      <c r="AH1596" s="500"/>
      <c r="AI1596" s="500"/>
      <c r="AJ1596" s="500"/>
      <c r="AK1596" s="500"/>
      <c r="AL1596" s="500"/>
      <c r="AM1596" s="500"/>
      <c r="AN1596" s="500"/>
      <c r="AO1596" s="500"/>
      <c r="AP1596" s="500"/>
    </row>
    <row r="1597" spans="1:42" ht="16.5" customHeight="1">
      <c r="A1597" s="439"/>
      <c r="B1597" s="439"/>
      <c r="C1597" s="439"/>
      <c r="D1597" s="439"/>
      <c r="E1597" s="439"/>
      <c r="F1597" s="439"/>
      <c r="G1597" s="451" t="s">
        <v>3406</v>
      </c>
      <c r="Z1597" s="500"/>
      <c r="AA1597" s="500"/>
      <c r="AB1597" s="500"/>
      <c r="AC1597" s="500"/>
      <c r="AD1597" s="500"/>
      <c r="AE1597" s="500"/>
      <c r="AF1597" s="500"/>
      <c r="AG1597" s="500"/>
      <c r="AH1597" s="500"/>
      <c r="AI1597" s="500"/>
      <c r="AJ1597" s="500"/>
      <c r="AK1597" s="500"/>
      <c r="AL1597" s="500"/>
      <c r="AM1597" s="500"/>
      <c r="AN1597" s="500"/>
      <c r="AO1597" s="500"/>
      <c r="AP1597" s="500"/>
    </row>
    <row r="1598" spans="1:42" ht="16.5" customHeight="1">
      <c r="A1598" s="439"/>
      <c r="B1598" s="439"/>
      <c r="C1598" s="439"/>
      <c r="D1598" s="439"/>
      <c r="E1598" s="439"/>
      <c r="F1598" s="439"/>
      <c r="G1598" s="451" t="s">
        <v>3406</v>
      </c>
      <c r="Z1598" s="500"/>
      <c r="AA1598" s="500"/>
      <c r="AB1598" s="500"/>
      <c r="AC1598" s="500"/>
      <c r="AD1598" s="500"/>
      <c r="AE1598" s="500"/>
      <c r="AF1598" s="500"/>
      <c r="AG1598" s="500"/>
      <c r="AH1598" s="500"/>
      <c r="AI1598" s="500"/>
      <c r="AJ1598" s="500"/>
      <c r="AK1598" s="500"/>
      <c r="AL1598" s="500"/>
      <c r="AM1598" s="500"/>
      <c r="AN1598" s="500"/>
      <c r="AO1598" s="500"/>
      <c r="AP1598" s="500"/>
    </row>
    <row r="1599" spans="1:42" ht="16.5" customHeight="1">
      <c r="A1599" s="434"/>
      <c r="B1599" s="437" t="s">
        <v>3419</v>
      </c>
      <c r="C1599" s="513">
        <f>E1599+D1599+F1599</f>
        <v>227325.4</v>
      </c>
      <c r="D1599" s="513">
        <f>SUMIF(N1577:N1598,M1599,D1577:D1598)</f>
        <v>124340.5</v>
      </c>
      <c r="E1599" s="513">
        <f>SUMIF(N1577:N1598,M1599,E1577:E1598)</f>
        <v>40413.600000000006</v>
      </c>
      <c r="F1599" s="513">
        <f>SUMIF(N1577:N1598,M1599,F1577:F1598)</f>
        <v>62571.299999999996</v>
      </c>
      <c r="G1599" s="451" t="s">
        <v>3439</v>
      </c>
      <c r="M1599" s="501" t="s">
        <v>3416</v>
      </c>
      <c r="N1599" s="501" t="s">
        <v>3421</v>
      </c>
      <c r="Z1599" s="500"/>
      <c r="AA1599" s="500"/>
      <c r="AB1599" s="500"/>
      <c r="AC1599" s="500"/>
      <c r="AD1599" s="500"/>
      <c r="AE1599" s="500"/>
      <c r="AF1599" s="500"/>
      <c r="AG1599" s="500"/>
      <c r="AH1599" s="500"/>
      <c r="AI1599" s="500"/>
      <c r="AJ1599" s="500"/>
      <c r="AK1599" s="500"/>
      <c r="AL1599" s="500"/>
      <c r="AM1599" s="500"/>
      <c r="AN1599" s="500"/>
      <c r="AO1599" s="500"/>
      <c r="AP1599" s="500"/>
    </row>
    <row r="1600" spans="1:42" ht="16.5" customHeight="1">
      <c r="A1600" s="439"/>
      <c r="B1600" s="439"/>
      <c r="C1600" s="504"/>
      <c r="D1600" s="504"/>
      <c r="E1600" s="504"/>
      <c r="F1600" s="504"/>
      <c r="G1600" s="451" t="s">
        <v>3406</v>
      </c>
      <c r="Z1600" s="500"/>
      <c r="AA1600" s="500"/>
      <c r="AB1600" s="500"/>
      <c r="AC1600" s="500"/>
      <c r="AD1600" s="500"/>
      <c r="AE1600" s="500"/>
      <c r="AF1600" s="500"/>
      <c r="AG1600" s="500"/>
      <c r="AH1600" s="500"/>
      <c r="AI1600" s="500"/>
      <c r="AJ1600" s="500"/>
      <c r="AK1600" s="500"/>
      <c r="AL1600" s="500"/>
      <c r="AM1600" s="500"/>
      <c r="AN1600" s="500"/>
      <c r="AO1600" s="500"/>
      <c r="AP1600" s="500"/>
    </row>
    <row r="1601" spans="1:42" ht="16.5" customHeight="1">
      <c r="A1601" s="439"/>
      <c r="B1601" s="439"/>
      <c r="C1601" s="439"/>
      <c r="D1601" s="439"/>
      <c r="E1601" s="439"/>
      <c r="F1601" s="439"/>
      <c r="G1601" s="451" t="s">
        <v>3406</v>
      </c>
      <c r="Z1601" s="500"/>
      <c r="AA1601" s="500"/>
      <c r="AB1601" s="500"/>
      <c r="AC1601" s="500"/>
      <c r="AD1601" s="500"/>
      <c r="AE1601" s="500"/>
      <c r="AF1601" s="500"/>
      <c r="AG1601" s="500"/>
      <c r="AH1601" s="500"/>
      <c r="AI1601" s="500"/>
      <c r="AJ1601" s="500"/>
      <c r="AK1601" s="500"/>
      <c r="AL1601" s="500"/>
      <c r="AM1601" s="500"/>
      <c r="AN1601" s="500"/>
      <c r="AO1601" s="500"/>
      <c r="AP1601" s="500"/>
    </row>
    <row r="1602" spans="1:42" ht="16.5" customHeight="1">
      <c r="A1602" s="434"/>
      <c r="B1602" s="437" t="s">
        <v>3562</v>
      </c>
      <c r="C1602" s="439"/>
      <c r="D1602" s="439"/>
      <c r="E1602" s="439"/>
      <c r="F1602" s="439"/>
      <c r="G1602" s="451" t="s">
        <v>3563</v>
      </c>
      <c r="Z1602" s="500"/>
      <c r="AA1602" s="500"/>
      <c r="AB1602" s="500"/>
      <c r="AC1602" s="500"/>
      <c r="AD1602" s="500"/>
      <c r="AE1602" s="500"/>
      <c r="AF1602" s="500"/>
      <c r="AG1602" s="500"/>
      <c r="AH1602" s="500"/>
      <c r="AI1602" s="500"/>
      <c r="AJ1602" s="500"/>
      <c r="AK1602" s="500"/>
      <c r="AL1602" s="500"/>
      <c r="AM1602" s="500"/>
      <c r="AN1602" s="500"/>
      <c r="AO1602" s="500"/>
      <c r="AP1602" s="500"/>
    </row>
    <row r="1603" spans="1:42" ht="16.5" customHeight="1">
      <c r="A1603" s="439"/>
      <c r="B1603" s="439"/>
      <c r="C1603" s="439"/>
      <c r="D1603" s="439"/>
      <c r="E1603" s="439"/>
      <c r="F1603" s="439"/>
      <c r="G1603" s="451" t="s">
        <v>3406</v>
      </c>
      <c r="Z1603" s="500"/>
      <c r="AA1603" s="500"/>
      <c r="AB1603" s="500"/>
      <c r="AC1603" s="500"/>
      <c r="AD1603" s="500"/>
      <c r="AE1603" s="500"/>
      <c r="AF1603" s="500"/>
      <c r="AG1603" s="500"/>
      <c r="AH1603" s="500"/>
      <c r="AI1603" s="500"/>
      <c r="AJ1603" s="500"/>
      <c r="AK1603" s="500"/>
      <c r="AL1603" s="500"/>
      <c r="AM1603" s="500"/>
      <c r="AN1603" s="500"/>
      <c r="AO1603" s="500"/>
      <c r="AP1603" s="500"/>
    </row>
    <row r="1604" spans="1:42" ht="16.5" customHeight="1">
      <c r="A1604" s="434" t="s">
        <v>3605</v>
      </c>
      <c r="B1604" s="505" t="str">
        <f>"  지주목 삼발이, L2700 : "&amp;TEXT(I1604,"#,##0"&amp;IF(I1604&lt;&gt;INT(I1604),".###",""))&amp;" * "&amp;AA1604&amp;" 조  = "&amp;TEXT(C1604,"#,##0.0")&amp;""</f>
        <v xml:space="preserve">  지주목 삼발이, L2700 : 32,000 * 1 조  = 32,000.0</v>
      </c>
      <c r="C1604" s="506">
        <f>E1604+D1604+F1604</f>
        <v>32000</v>
      </c>
      <c r="D1604" s="506">
        <f>IF(H1604=0,0,ROUNDDOWN(J1604*H1604,1))</f>
        <v>0</v>
      </c>
      <c r="E1604" s="506">
        <f>IF(H1604=0,0,ROUNDDOWN(K1604*H1604,1))</f>
        <v>32000</v>
      </c>
      <c r="F1604" s="506">
        <f>IF(H1604=0,0,ROUNDDOWN(L1604*H1604,1))</f>
        <v>0</v>
      </c>
      <c r="G1604" s="451" t="s">
        <v>3606</v>
      </c>
      <c r="H1604" s="507">
        <f>ROUNDUP(AC1604,14-LEN(ABS(INT(AC1604))))</f>
        <v>1</v>
      </c>
      <c r="I1604" s="508">
        <f>K1604+J1604+L1604</f>
        <v>32000</v>
      </c>
      <c r="K1604" s="509">
        <f>재료비목록표!E93</f>
        <v>32000</v>
      </c>
      <c r="M1604" s="501" t="s">
        <v>3607</v>
      </c>
      <c r="N1604" s="501" t="s">
        <v>3416</v>
      </c>
      <c r="X1604" s="510" t="str">
        <f>재료비목록표!B93&amp;" / "&amp;재료비목록표!C93</f>
        <v>지주목 / 삼발이, L2700</v>
      </c>
      <c r="Y1604" s="433" t="str">
        <f ca="1">HYPERLINK("#"&amp;재료비목록표!G2&amp;"!A"&amp;ROW(재료비목록표!A93),"M08851 →")</f>
        <v>M08851 →</v>
      </c>
      <c r="Z1604" s="501" t="s">
        <v>3500</v>
      </c>
      <c r="AA1604" s="515">
        <v>1</v>
      </c>
      <c r="AB1604" s="501" t="s">
        <v>3418</v>
      </c>
      <c r="AC1604" s="512">
        <f>1*AA1604</f>
        <v>1</v>
      </c>
      <c r="AD1604" s="500"/>
      <c r="AE1604" s="500"/>
      <c r="AF1604" s="500"/>
      <c r="AG1604" s="500"/>
      <c r="AH1604" s="500"/>
      <c r="AI1604" s="500"/>
      <c r="AJ1604" s="500"/>
      <c r="AK1604" s="500"/>
      <c r="AL1604" s="500"/>
      <c r="AM1604" s="500"/>
      <c r="AN1604" s="500"/>
      <c r="AO1604" s="500"/>
      <c r="AP1604" s="500"/>
    </row>
    <row r="1605" spans="1:42" ht="16.5" customHeight="1">
      <c r="A1605" s="439"/>
      <c r="B1605" s="439"/>
      <c r="C1605" s="439"/>
      <c r="D1605" s="439"/>
      <c r="E1605" s="439"/>
      <c r="F1605" s="439"/>
      <c r="G1605" s="451" t="s">
        <v>3406</v>
      </c>
      <c r="Z1605" s="500"/>
      <c r="AA1605" s="500"/>
      <c r="AB1605" s="500"/>
      <c r="AC1605" s="500"/>
      <c r="AD1605" s="500"/>
      <c r="AE1605" s="500"/>
      <c r="AF1605" s="500"/>
      <c r="AG1605" s="500"/>
      <c r="AH1605" s="500"/>
      <c r="AI1605" s="500"/>
      <c r="AJ1605" s="500"/>
      <c r="AK1605" s="500"/>
      <c r="AL1605" s="500"/>
      <c r="AM1605" s="500"/>
      <c r="AN1605" s="500"/>
      <c r="AO1605" s="500"/>
      <c r="AP1605" s="500"/>
    </row>
    <row r="1606" spans="1:42" ht="16.5" customHeight="1">
      <c r="A1606" s="439"/>
      <c r="B1606" s="439"/>
      <c r="C1606" s="439"/>
      <c r="D1606" s="439"/>
      <c r="E1606" s="439"/>
      <c r="F1606" s="439"/>
      <c r="G1606" s="451" t="s">
        <v>3406</v>
      </c>
      <c r="Z1606" s="500"/>
      <c r="AA1606" s="500"/>
      <c r="AB1606" s="500"/>
      <c r="AC1606" s="500"/>
      <c r="AD1606" s="500"/>
      <c r="AE1606" s="500"/>
      <c r="AF1606" s="500"/>
      <c r="AG1606" s="500"/>
      <c r="AH1606" s="500"/>
      <c r="AI1606" s="500"/>
      <c r="AJ1606" s="500"/>
      <c r="AK1606" s="500"/>
      <c r="AL1606" s="500"/>
      <c r="AM1606" s="500"/>
      <c r="AN1606" s="500"/>
      <c r="AO1606" s="500"/>
      <c r="AP1606" s="500"/>
    </row>
    <row r="1607" spans="1:42" ht="16.5" customHeight="1">
      <c r="A1607" s="439"/>
      <c r="B1607" s="439"/>
      <c r="C1607" s="439"/>
      <c r="D1607" s="439"/>
      <c r="E1607" s="439"/>
      <c r="F1607" s="439"/>
      <c r="G1607" s="451" t="s">
        <v>3406</v>
      </c>
      <c r="Z1607" s="500"/>
      <c r="AA1607" s="500"/>
      <c r="AB1607" s="500"/>
      <c r="AC1607" s="500"/>
      <c r="AD1607" s="500"/>
      <c r="AE1607" s="500"/>
      <c r="AF1607" s="500"/>
      <c r="AG1607" s="500"/>
      <c r="AH1607" s="500"/>
      <c r="AI1607" s="500"/>
      <c r="AJ1607" s="500"/>
      <c r="AK1607" s="500"/>
      <c r="AL1607" s="500"/>
      <c r="AM1607" s="500"/>
      <c r="AN1607" s="500"/>
      <c r="AO1607" s="500"/>
      <c r="AP1607" s="500"/>
    </row>
    <row r="1608" spans="1:42" ht="16.5" customHeight="1">
      <c r="A1608" s="434" t="s">
        <v>3504</v>
      </c>
      <c r="B1608" s="505" t="str">
        <f>"  유기질비료 수목이식·식재용 : "&amp;TEXT(I1608,"#,##0"&amp;IF(I1608&lt;&gt;INT(I1608),".###",""))&amp;" * "&amp;AA1608&amp;" KG   = "&amp;TEXT(C1608,"#,##0.0")&amp;""</f>
        <v xml:space="preserve">  유기질비료 수목이식·식재용 : 500 * 40 KG   = 20,000.0</v>
      </c>
      <c r="C1608" s="506">
        <f>E1608+D1608+F1608</f>
        <v>20000</v>
      </c>
      <c r="D1608" s="506">
        <f>IF(H1608=0,0,ROUNDDOWN(J1608*H1608,1))</f>
        <v>0</v>
      </c>
      <c r="E1608" s="506">
        <f>IF(H1608=0,0,ROUNDDOWN(K1608*H1608,1))</f>
        <v>20000</v>
      </c>
      <c r="F1608" s="506">
        <f>IF(H1608=0,0,ROUNDDOWN(L1608*H1608,1))</f>
        <v>0</v>
      </c>
      <c r="G1608" s="451" t="s">
        <v>3608</v>
      </c>
      <c r="H1608" s="507">
        <f>ROUNDUP(AC1608,14-LEN(ABS(INT(AC1608))))</f>
        <v>40</v>
      </c>
      <c r="I1608" s="508">
        <f>K1608+J1608+L1608</f>
        <v>500</v>
      </c>
      <c r="K1608" s="509">
        <f>재료비목록표!E78</f>
        <v>500</v>
      </c>
      <c r="M1608" s="501" t="s">
        <v>3506</v>
      </c>
      <c r="N1608" s="501" t="s">
        <v>3416</v>
      </c>
      <c r="X1608" s="510" t="str">
        <f>재료비목록표!B78&amp;" / "&amp;재료비목록표!C78</f>
        <v>유기질비료 / 수목이식·식재용</v>
      </c>
      <c r="Y1608" s="433" t="str">
        <f ca="1">HYPERLINK("#"&amp;재료비목록표!G2&amp;"!A"&amp;ROW(재료비목록표!A78),"M01159 →")</f>
        <v>M01159 →</v>
      </c>
      <c r="Z1608" s="501" t="s">
        <v>3500</v>
      </c>
      <c r="AA1608" s="515">
        <v>40</v>
      </c>
      <c r="AB1608" s="501" t="s">
        <v>3418</v>
      </c>
      <c r="AC1608" s="512">
        <f>1*AA1608</f>
        <v>40</v>
      </c>
      <c r="AD1608" s="500"/>
      <c r="AE1608" s="500"/>
      <c r="AF1608" s="500"/>
      <c r="AG1608" s="500"/>
      <c r="AH1608" s="500"/>
      <c r="AI1608" s="500"/>
      <c r="AJ1608" s="500"/>
      <c r="AK1608" s="500"/>
      <c r="AL1608" s="500"/>
      <c r="AM1608" s="500"/>
      <c r="AN1608" s="500"/>
      <c r="AO1608" s="500"/>
      <c r="AP1608" s="500"/>
    </row>
    <row r="1609" spans="1:42" ht="16.5" customHeight="1">
      <c r="A1609" s="439"/>
      <c r="B1609" s="439"/>
      <c r="C1609" s="439"/>
      <c r="D1609" s="439"/>
      <c r="E1609" s="439"/>
      <c r="F1609" s="439"/>
      <c r="G1609" s="451" t="s">
        <v>3406</v>
      </c>
      <c r="Z1609" s="500"/>
      <c r="AA1609" s="500"/>
      <c r="AB1609" s="500"/>
      <c r="AC1609" s="500"/>
      <c r="AD1609" s="500"/>
      <c r="AE1609" s="500"/>
      <c r="AF1609" s="500"/>
      <c r="AG1609" s="500"/>
      <c r="AH1609" s="500"/>
      <c r="AI1609" s="500"/>
      <c r="AJ1609" s="500"/>
      <c r="AK1609" s="500"/>
      <c r="AL1609" s="500"/>
      <c r="AM1609" s="500"/>
      <c r="AN1609" s="500"/>
      <c r="AO1609" s="500"/>
      <c r="AP1609" s="500"/>
    </row>
    <row r="1610" spans="1:42" ht="16.5" customHeight="1">
      <c r="A1610" s="434"/>
      <c r="B1610" s="437" t="s">
        <v>3419</v>
      </c>
      <c r="C1610" s="513">
        <f>E1610+D1610+F1610</f>
        <v>52000</v>
      </c>
      <c r="D1610" s="513">
        <f>SUMIF(N1600:N1609,M1610,D1600:D1609)</f>
        <v>0</v>
      </c>
      <c r="E1610" s="513">
        <f>SUMIF(N1600:N1609,M1610,E1600:E1609)</f>
        <v>52000</v>
      </c>
      <c r="F1610" s="513">
        <f>SUMIF(N1600:N1609,M1610,F1600:F1609)</f>
        <v>0</v>
      </c>
      <c r="G1610" s="451" t="s">
        <v>3439</v>
      </c>
      <c r="M1610" s="501" t="s">
        <v>3416</v>
      </c>
      <c r="N1610" s="501" t="s">
        <v>3421</v>
      </c>
      <c r="Z1610" s="500"/>
      <c r="AA1610" s="500"/>
      <c r="AB1610" s="500"/>
      <c r="AC1610" s="500"/>
      <c r="AD1610" s="500"/>
      <c r="AE1610" s="500"/>
      <c r="AF1610" s="500"/>
      <c r="AG1610" s="500"/>
      <c r="AH1610" s="500"/>
      <c r="AI1610" s="500"/>
      <c r="AJ1610" s="500"/>
      <c r="AK1610" s="500"/>
      <c r="AL1610" s="500"/>
      <c r="AM1610" s="500"/>
      <c r="AN1610" s="500"/>
      <c r="AO1610" s="500"/>
      <c r="AP1610" s="500"/>
    </row>
    <row r="1611" spans="1:42" ht="16.5" customHeight="1">
      <c r="A1611" s="439"/>
      <c r="B1611" s="439"/>
      <c r="C1611" s="504"/>
      <c r="D1611" s="504"/>
      <c r="E1611" s="504"/>
      <c r="F1611" s="504"/>
      <c r="G1611" s="451" t="s">
        <v>3406</v>
      </c>
      <c r="Z1611" s="500"/>
      <c r="AA1611" s="500"/>
      <c r="AB1611" s="500"/>
      <c r="AC1611" s="500"/>
      <c r="AD1611" s="500"/>
      <c r="AE1611" s="500"/>
      <c r="AF1611" s="500"/>
      <c r="AG1611" s="500"/>
      <c r="AH1611" s="500"/>
      <c r="AI1611" s="500"/>
      <c r="AJ1611" s="500"/>
      <c r="AK1611" s="500"/>
      <c r="AL1611" s="500"/>
      <c r="AM1611" s="500"/>
      <c r="AN1611" s="500"/>
      <c r="AO1611" s="500"/>
      <c r="AP1611" s="500"/>
    </row>
    <row r="1612" spans="1:42" ht="16.5" customHeight="1">
      <c r="A1612" s="434"/>
      <c r="B1612" s="437" t="s">
        <v>3440</v>
      </c>
      <c r="C1612" s="513">
        <f>E1612+D1612+F1612</f>
        <v>404708.2</v>
      </c>
      <c r="D1612" s="513">
        <f>SUMIF(N1557:N1611,M1612,D1557:D1611)</f>
        <v>249723.3</v>
      </c>
      <c r="E1612" s="513">
        <f>SUMIF(N1557:N1611,M1612,E1557:E1611)</f>
        <v>92413.6</v>
      </c>
      <c r="F1612" s="513">
        <f>SUMIF(N1557:N1611,M1612,F1557:F1611)</f>
        <v>62571.299999999996</v>
      </c>
      <c r="G1612" s="451" t="s">
        <v>3441</v>
      </c>
      <c r="M1612" s="501" t="s">
        <v>3421</v>
      </c>
      <c r="N1612" s="501" t="s">
        <v>2354</v>
      </c>
      <c r="Z1612" s="500"/>
      <c r="AA1612" s="500"/>
      <c r="AB1612" s="500"/>
      <c r="AC1612" s="500"/>
      <c r="AD1612" s="500"/>
      <c r="AE1612" s="500"/>
      <c r="AF1612" s="500"/>
      <c r="AG1612" s="500"/>
      <c r="AH1612" s="500"/>
      <c r="AI1612" s="500"/>
      <c r="AJ1612" s="500"/>
      <c r="AK1612" s="500"/>
      <c r="AL1612" s="500"/>
      <c r="AM1612" s="500"/>
      <c r="AN1612" s="500"/>
      <c r="AO1612" s="500"/>
      <c r="AP1612" s="500"/>
    </row>
    <row r="1613" spans="1:42" ht="16.5" customHeight="1">
      <c r="A1613" s="439"/>
      <c r="B1613" s="439"/>
      <c r="C1613" s="504"/>
      <c r="D1613" s="504"/>
      <c r="E1613" s="504"/>
      <c r="F1613" s="504"/>
      <c r="G1613" s="451" t="s">
        <v>3413</v>
      </c>
      <c r="Z1613" s="500"/>
      <c r="AA1613" s="500"/>
      <c r="AB1613" s="500"/>
      <c r="AC1613" s="500"/>
      <c r="AD1613" s="500"/>
      <c r="AE1613" s="500"/>
      <c r="AF1613" s="500"/>
      <c r="AG1613" s="500"/>
      <c r="AH1613" s="500"/>
      <c r="AI1613" s="500"/>
      <c r="AJ1613" s="500"/>
      <c r="AK1613" s="500"/>
      <c r="AL1613" s="500"/>
      <c r="AM1613" s="500"/>
      <c r="AN1613" s="500"/>
      <c r="AO1613" s="500"/>
      <c r="AP1613" s="500"/>
    </row>
    <row r="1614" spans="1:42" ht="16.5" customHeight="1">
      <c r="A1614" s="439"/>
      <c r="B1614" s="439"/>
      <c r="C1614" s="439"/>
      <c r="D1614" s="439"/>
      <c r="E1614" s="439"/>
      <c r="F1614" s="439"/>
      <c r="Z1614" s="500"/>
      <c r="AA1614" s="500"/>
      <c r="AB1614" s="500"/>
      <c r="AC1614" s="500"/>
      <c r="AD1614" s="500"/>
      <c r="AE1614" s="500"/>
      <c r="AF1614" s="500"/>
      <c r="AG1614" s="500"/>
      <c r="AH1614" s="500"/>
      <c r="AI1614" s="500"/>
      <c r="AJ1614" s="500"/>
      <c r="AK1614" s="500"/>
      <c r="AL1614" s="500"/>
      <c r="AM1614" s="500"/>
      <c r="AN1614" s="500"/>
      <c r="AO1614" s="500"/>
      <c r="AP1614" s="500"/>
    </row>
    <row r="1615" spans="1:42" ht="16.5" customHeight="1">
      <c r="A1615" s="439"/>
      <c r="B1615" s="439"/>
      <c r="C1615" s="439"/>
      <c r="D1615" s="439"/>
      <c r="E1615" s="439"/>
      <c r="F1615" s="439"/>
      <c r="Z1615" s="500"/>
      <c r="AA1615" s="500"/>
      <c r="AB1615" s="500"/>
      <c r="AC1615" s="500"/>
      <c r="AD1615" s="500"/>
      <c r="AE1615" s="500"/>
      <c r="AF1615" s="500"/>
      <c r="AG1615" s="500"/>
      <c r="AH1615" s="500"/>
      <c r="AI1615" s="500"/>
      <c r="AJ1615" s="500"/>
      <c r="AK1615" s="500"/>
      <c r="AL1615" s="500"/>
      <c r="AM1615" s="500"/>
      <c r="AN1615" s="500"/>
      <c r="AO1615" s="500"/>
      <c r="AP1615" s="500"/>
    </row>
    <row r="1616" spans="1:42" ht="16.5" customHeight="1">
      <c r="A1616" s="439"/>
      <c r="B1616" s="439"/>
      <c r="C1616" s="439"/>
      <c r="D1616" s="439"/>
      <c r="E1616" s="439"/>
      <c r="F1616" s="439"/>
      <c r="Z1616" s="500"/>
      <c r="AA1616" s="500"/>
      <c r="AB1616" s="500"/>
      <c r="AC1616" s="500"/>
      <c r="AD1616" s="500"/>
      <c r="AE1616" s="500"/>
      <c r="AF1616" s="500"/>
      <c r="AG1616" s="500"/>
      <c r="AH1616" s="500"/>
      <c r="AI1616" s="500"/>
      <c r="AJ1616" s="500"/>
      <c r="AK1616" s="500"/>
      <c r="AL1616" s="500"/>
      <c r="AM1616" s="500"/>
      <c r="AN1616" s="500"/>
      <c r="AO1616" s="500"/>
      <c r="AP1616" s="500"/>
    </row>
    <row r="1617" spans="1:42" ht="16.5" customHeight="1">
      <c r="A1617" s="439"/>
      <c r="B1617" s="439"/>
      <c r="C1617" s="439"/>
      <c r="D1617" s="439"/>
      <c r="E1617" s="439"/>
      <c r="F1617" s="439"/>
      <c r="Z1617" s="500"/>
      <c r="AA1617" s="500"/>
      <c r="AB1617" s="500"/>
      <c r="AC1617" s="500"/>
      <c r="AD1617" s="500"/>
      <c r="AE1617" s="500"/>
      <c r="AF1617" s="500"/>
      <c r="AG1617" s="500"/>
      <c r="AH1617" s="500"/>
      <c r="AI1617" s="500"/>
      <c r="AJ1617" s="500"/>
      <c r="AK1617" s="500"/>
      <c r="AL1617" s="500"/>
      <c r="AM1617" s="500"/>
      <c r="AN1617" s="500"/>
      <c r="AO1617" s="500"/>
      <c r="AP1617" s="500"/>
    </row>
    <row r="1618" spans="1:42" ht="16.5" customHeight="1">
      <c r="A1618" s="439"/>
      <c r="B1618" s="439"/>
      <c r="C1618" s="439"/>
      <c r="D1618" s="439"/>
      <c r="E1618" s="439"/>
      <c r="F1618" s="439"/>
      <c r="Z1618" s="500"/>
      <c r="AA1618" s="500"/>
      <c r="AB1618" s="500"/>
      <c r="AC1618" s="500"/>
      <c r="AD1618" s="500"/>
      <c r="AE1618" s="500"/>
      <c r="AF1618" s="500"/>
      <c r="AG1618" s="500"/>
      <c r="AH1618" s="500"/>
      <c r="AI1618" s="500"/>
      <c r="AJ1618" s="500"/>
      <c r="AK1618" s="500"/>
      <c r="AL1618" s="500"/>
      <c r="AM1618" s="500"/>
      <c r="AN1618" s="500"/>
      <c r="AO1618" s="500"/>
      <c r="AP1618" s="500"/>
    </row>
    <row r="1619" spans="1:42" ht="16.5" customHeight="1">
      <c r="A1619" s="439"/>
      <c r="B1619" s="439"/>
      <c r="C1619" s="439"/>
      <c r="D1619" s="439"/>
      <c r="E1619" s="439"/>
      <c r="F1619" s="439"/>
      <c r="Z1619" s="500"/>
      <c r="AA1619" s="500"/>
      <c r="AB1619" s="500"/>
      <c r="AC1619" s="500"/>
      <c r="AD1619" s="500"/>
      <c r="AE1619" s="500"/>
      <c r="AF1619" s="500"/>
      <c r="AG1619" s="500"/>
      <c r="AH1619" s="500"/>
      <c r="AI1619" s="500"/>
      <c r="AJ1619" s="500"/>
      <c r="AK1619" s="500"/>
      <c r="AL1619" s="500"/>
      <c r="AM1619" s="500"/>
      <c r="AN1619" s="500"/>
      <c r="AO1619" s="500"/>
      <c r="AP1619" s="500"/>
    </row>
    <row r="1620" spans="1:42" ht="16.5" customHeight="1">
      <c r="A1620" s="439"/>
      <c r="B1620" s="439"/>
      <c r="C1620" s="439"/>
      <c r="D1620" s="439"/>
      <c r="E1620" s="439"/>
      <c r="F1620" s="439"/>
      <c r="Z1620" s="500"/>
      <c r="AA1620" s="500"/>
      <c r="AB1620" s="500"/>
      <c r="AC1620" s="500"/>
      <c r="AD1620" s="500"/>
      <c r="AE1620" s="500"/>
      <c r="AF1620" s="500"/>
      <c r="AG1620" s="500"/>
      <c r="AH1620" s="500"/>
      <c r="AI1620" s="500"/>
      <c r="AJ1620" s="500"/>
      <c r="AK1620" s="500"/>
      <c r="AL1620" s="500"/>
      <c r="AM1620" s="500"/>
      <c r="AN1620" s="500"/>
      <c r="AO1620" s="500"/>
      <c r="AP1620" s="500"/>
    </row>
    <row r="1621" spans="1:42" ht="16.5" customHeight="1">
      <c r="A1621" s="439"/>
      <c r="B1621" s="439"/>
      <c r="C1621" s="439"/>
      <c r="D1621" s="439"/>
      <c r="E1621" s="439"/>
      <c r="F1621" s="439"/>
      <c r="Z1621" s="500"/>
      <c r="AA1621" s="500"/>
      <c r="AB1621" s="500"/>
      <c r="AC1621" s="500"/>
      <c r="AD1621" s="500"/>
      <c r="AE1621" s="500"/>
      <c r="AF1621" s="500"/>
      <c r="AG1621" s="500"/>
      <c r="AH1621" s="500"/>
      <c r="AI1621" s="500"/>
      <c r="AJ1621" s="500"/>
      <c r="AK1621" s="500"/>
      <c r="AL1621" s="500"/>
      <c r="AM1621" s="500"/>
      <c r="AN1621" s="500"/>
      <c r="AO1621" s="500"/>
      <c r="AP1621" s="500"/>
    </row>
    <row r="1622" spans="1:42" ht="16.5" customHeight="1">
      <c r="A1622" s="439"/>
      <c r="B1622" s="439"/>
      <c r="C1622" s="439"/>
      <c r="D1622" s="439"/>
      <c r="E1622" s="439"/>
      <c r="F1622" s="439"/>
      <c r="Z1622" s="500"/>
      <c r="AA1622" s="500"/>
      <c r="AB1622" s="500"/>
      <c r="AC1622" s="500"/>
      <c r="AD1622" s="500"/>
      <c r="AE1622" s="500"/>
      <c r="AF1622" s="500"/>
      <c r="AG1622" s="500"/>
      <c r="AH1622" s="500"/>
      <c r="AI1622" s="500"/>
      <c r="AJ1622" s="500"/>
      <c r="AK1622" s="500"/>
      <c r="AL1622" s="500"/>
      <c r="AM1622" s="500"/>
      <c r="AN1622" s="500"/>
      <c r="AO1622" s="500"/>
      <c r="AP1622" s="500"/>
    </row>
    <row r="1623" spans="1:42" ht="16.5" customHeight="1">
      <c r="A1623" s="439"/>
      <c r="B1623" s="439"/>
      <c r="C1623" s="439"/>
      <c r="D1623" s="439"/>
      <c r="E1623" s="439"/>
      <c r="F1623" s="439"/>
      <c r="Z1623" s="500"/>
      <c r="AA1623" s="500"/>
      <c r="AB1623" s="500"/>
      <c r="AC1623" s="500"/>
      <c r="AD1623" s="500"/>
      <c r="AE1623" s="500"/>
      <c r="AF1623" s="500"/>
      <c r="AG1623" s="500"/>
      <c r="AH1623" s="500"/>
      <c r="AI1623" s="500"/>
      <c r="AJ1623" s="500"/>
      <c r="AK1623" s="500"/>
      <c r="AL1623" s="500"/>
      <c r="AM1623" s="500"/>
      <c r="AN1623" s="500"/>
      <c r="AO1623" s="500"/>
      <c r="AP1623" s="500"/>
    </row>
    <row r="1624" spans="1:42" ht="16.5" customHeight="1">
      <c r="A1624" s="439"/>
      <c r="B1624" s="439"/>
      <c r="C1624" s="439"/>
      <c r="D1624" s="439"/>
      <c r="E1624" s="439"/>
      <c r="F1624" s="439"/>
      <c r="Z1624" s="500"/>
      <c r="AA1624" s="500"/>
      <c r="AB1624" s="500"/>
      <c r="AC1624" s="500"/>
      <c r="AD1624" s="500"/>
      <c r="AE1624" s="500"/>
      <c r="AF1624" s="500"/>
      <c r="AG1624" s="500"/>
      <c r="AH1624" s="500"/>
      <c r="AI1624" s="500"/>
      <c r="AJ1624" s="500"/>
      <c r="AK1624" s="500"/>
      <c r="AL1624" s="500"/>
      <c r="AM1624" s="500"/>
      <c r="AN1624" s="500"/>
      <c r="AO1624" s="500"/>
      <c r="AP1624" s="500"/>
    </row>
    <row r="1625" spans="1:42" ht="16.5" customHeight="1">
      <c r="A1625" s="439"/>
      <c r="B1625" s="439"/>
      <c r="C1625" s="439"/>
      <c r="D1625" s="439"/>
      <c r="E1625" s="439"/>
      <c r="F1625" s="439"/>
      <c r="Z1625" s="500"/>
      <c r="AA1625" s="500"/>
      <c r="AB1625" s="500"/>
      <c r="AC1625" s="500"/>
      <c r="AD1625" s="500"/>
      <c r="AE1625" s="500"/>
      <c r="AF1625" s="500"/>
      <c r="AG1625" s="500"/>
      <c r="AH1625" s="500"/>
      <c r="AI1625" s="500"/>
      <c r="AJ1625" s="500"/>
      <c r="AK1625" s="500"/>
      <c r="AL1625" s="500"/>
      <c r="AM1625" s="500"/>
      <c r="AN1625" s="500"/>
      <c r="AO1625" s="500"/>
      <c r="AP1625" s="500"/>
    </row>
    <row r="1626" spans="1:42" ht="16.5" customHeight="1">
      <c r="A1626" s="439"/>
      <c r="B1626" s="439"/>
      <c r="C1626" s="439"/>
      <c r="D1626" s="439"/>
      <c r="E1626" s="439"/>
      <c r="F1626" s="439"/>
      <c r="Z1626" s="500"/>
      <c r="AA1626" s="500"/>
      <c r="AB1626" s="500"/>
      <c r="AC1626" s="500"/>
      <c r="AD1626" s="500"/>
      <c r="AE1626" s="500"/>
      <c r="AF1626" s="500"/>
      <c r="AG1626" s="500"/>
      <c r="AH1626" s="500"/>
      <c r="AI1626" s="500"/>
      <c r="AJ1626" s="500"/>
      <c r="AK1626" s="500"/>
      <c r="AL1626" s="500"/>
      <c r="AM1626" s="500"/>
      <c r="AN1626" s="500"/>
      <c r="AO1626" s="500"/>
      <c r="AP1626" s="500"/>
    </row>
    <row r="1627" spans="1:42" ht="16.5" customHeight="1">
      <c r="A1627" s="439"/>
      <c r="B1627" s="439"/>
      <c r="C1627" s="439"/>
      <c r="D1627" s="439"/>
      <c r="E1627" s="439"/>
      <c r="F1627" s="439"/>
      <c r="Z1627" s="500"/>
      <c r="AA1627" s="500"/>
      <c r="AB1627" s="500"/>
      <c r="AC1627" s="500"/>
      <c r="AD1627" s="500"/>
      <c r="AE1627" s="500"/>
      <c r="AF1627" s="500"/>
      <c r="AG1627" s="500"/>
      <c r="AH1627" s="500"/>
      <c r="AI1627" s="500"/>
      <c r="AJ1627" s="500"/>
      <c r="AK1627" s="500"/>
      <c r="AL1627" s="500"/>
      <c r="AM1627" s="500"/>
      <c r="AN1627" s="500"/>
      <c r="AO1627" s="500"/>
      <c r="AP1627" s="500"/>
    </row>
    <row r="1628" spans="1:42" ht="16.5" customHeight="1">
      <c r="A1628" s="439"/>
      <c r="B1628" s="439"/>
      <c r="C1628" s="439"/>
      <c r="D1628" s="439"/>
      <c r="E1628" s="439"/>
      <c r="F1628" s="439"/>
      <c r="Z1628" s="500"/>
      <c r="AA1628" s="500"/>
      <c r="AB1628" s="500"/>
      <c r="AC1628" s="500"/>
      <c r="AD1628" s="500"/>
      <c r="AE1628" s="500"/>
      <c r="AF1628" s="500"/>
      <c r="AG1628" s="500"/>
      <c r="AH1628" s="500"/>
      <c r="AI1628" s="500"/>
      <c r="AJ1628" s="500"/>
      <c r="AK1628" s="500"/>
      <c r="AL1628" s="500"/>
      <c r="AM1628" s="500"/>
      <c r="AN1628" s="500"/>
      <c r="AO1628" s="500"/>
      <c r="AP1628" s="500"/>
    </row>
    <row r="1629" spans="1:42" ht="16.5" customHeight="1">
      <c r="A1629" s="439"/>
      <c r="B1629" s="439"/>
      <c r="C1629" s="439"/>
      <c r="D1629" s="439"/>
      <c r="E1629" s="439"/>
      <c r="F1629" s="439"/>
      <c r="Z1629" s="500"/>
      <c r="AA1629" s="500"/>
      <c r="AB1629" s="500"/>
      <c r="AC1629" s="500"/>
      <c r="AD1629" s="500"/>
      <c r="AE1629" s="500"/>
      <c r="AF1629" s="500"/>
      <c r="AG1629" s="500"/>
      <c r="AH1629" s="500"/>
      <c r="AI1629" s="500"/>
      <c r="AJ1629" s="500"/>
      <c r="AK1629" s="500"/>
      <c r="AL1629" s="500"/>
      <c r="AM1629" s="500"/>
      <c r="AN1629" s="500"/>
      <c r="AO1629" s="500"/>
      <c r="AP1629" s="500"/>
    </row>
    <row r="1630" spans="1:42" ht="16.5" customHeight="1">
      <c r="A1630" s="439"/>
      <c r="B1630" s="439"/>
      <c r="C1630" s="439"/>
      <c r="D1630" s="439"/>
      <c r="E1630" s="439"/>
      <c r="F1630" s="439"/>
      <c r="Z1630" s="500"/>
      <c r="AA1630" s="500"/>
      <c r="AB1630" s="500"/>
      <c r="AC1630" s="500"/>
      <c r="AD1630" s="500"/>
      <c r="AE1630" s="500"/>
      <c r="AF1630" s="500"/>
      <c r="AG1630" s="500"/>
      <c r="AH1630" s="500"/>
      <c r="AI1630" s="500"/>
      <c r="AJ1630" s="500"/>
      <c r="AK1630" s="500"/>
      <c r="AL1630" s="500"/>
      <c r="AM1630" s="500"/>
      <c r="AN1630" s="500"/>
      <c r="AO1630" s="500"/>
      <c r="AP1630" s="500"/>
    </row>
    <row r="1631" spans="1:42" ht="16.5" customHeight="1">
      <c r="A1631" s="439"/>
      <c r="B1631" s="439"/>
      <c r="C1631" s="439"/>
      <c r="D1631" s="439"/>
      <c r="E1631" s="439"/>
      <c r="F1631" s="439"/>
      <c r="Z1631" s="500"/>
      <c r="AA1631" s="500"/>
      <c r="AB1631" s="500"/>
      <c r="AC1631" s="500"/>
      <c r="AD1631" s="500"/>
      <c r="AE1631" s="500"/>
      <c r="AF1631" s="500"/>
      <c r="AG1631" s="500"/>
      <c r="AH1631" s="500"/>
      <c r="AI1631" s="500"/>
      <c r="AJ1631" s="500"/>
      <c r="AK1631" s="500"/>
      <c r="AL1631" s="500"/>
      <c r="AM1631" s="500"/>
      <c r="AN1631" s="500"/>
      <c r="AO1631" s="500"/>
      <c r="AP1631" s="500"/>
    </row>
    <row r="1632" spans="1:42" ht="16.5" customHeight="1">
      <c r="A1632" s="439"/>
      <c r="B1632" s="439"/>
      <c r="C1632" s="439"/>
      <c r="D1632" s="439"/>
      <c r="E1632" s="439"/>
      <c r="F1632" s="439"/>
      <c r="Z1632" s="500"/>
      <c r="AA1632" s="500"/>
      <c r="AB1632" s="500"/>
      <c r="AC1632" s="500"/>
      <c r="AD1632" s="500"/>
      <c r="AE1632" s="500"/>
      <c r="AF1632" s="500"/>
      <c r="AG1632" s="500"/>
      <c r="AH1632" s="500"/>
      <c r="AI1632" s="500"/>
      <c r="AJ1632" s="500"/>
      <c r="AK1632" s="500"/>
      <c r="AL1632" s="500"/>
      <c r="AM1632" s="500"/>
      <c r="AN1632" s="500"/>
      <c r="AO1632" s="500"/>
      <c r="AP1632" s="500"/>
    </row>
    <row r="1633" spans="1:42" ht="16.5" customHeight="1">
      <c r="A1633" s="439"/>
      <c r="B1633" s="439"/>
      <c r="C1633" s="439"/>
      <c r="D1633" s="439"/>
      <c r="E1633" s="439"/>
      <c r="F1633" s="439"/>
      <c r="Z1633" s="500"/>
      <c r="AA1633" s="500"/>
      <c r="AB1633" s="500"/>
      <c r="AC1633" s="500"/>
      <c r="AD1633" s="500"/>
      <c r="AE1633" s="500"/>
      <c r="AF1633" s="500"/>
      <c r="AG1633" s="500"/>
      <c r="AH1633" s="500"/>
      <c r="AI1633" s="500"/>
      <c r="AJ1633" s="500"/>
      <c r="AK1633" s="500"/>
      <c r="AL1633" s="500"/>
      <c r="AM1633" s="500"/>
      <c r="AN1633" s="500"/>
      <c r="AO1633" s="500"/>
      <c r="AP1633" s="500"/>
    </row>
    <row r="1634" spans="1:42" ht="16.5" customHeight="1">
      <c r="A1634" s="439"/>
      <c r="B1634" s="439"/>
      <c r="C1634" s="439"/>
      <c r="D1634" s="439"/>
      <c r="E1634" s="439"/>
      <c r="F1634" s="439"/>
      <c r="Z1634" s="500"/>
      <c r="AA1634" s="500"/>
      <c r="AB1634" s="500"/>
      <c r="AC1634" s="500"/>
      <c r="AD1634" s="500"/>
      <c r="AE1634" s="500"/>
      <c r="AF1634" s="500"/>
      <c r="AG1634" s="500"/>
      <c r="AH1634" s="500"/>
      <c r="AI1634" s="500"/>
      <c r="AJ1634" s="500"/>
      <c r="AK1634" s="500"/>
      <c r="AL1634" s="500"/>
      <c r="AM1634" s="500"/>
      <c r="AN1634" s="500"/>
      <c r="AO1634" s="500"/>
      <c r="AP1634" s="500"/>
    </row>
    <row r="1635" spans="1:42" ht="16.5" customHeight="1">
      <c r="A1635" s="439"/>
      <c r="B1635" s="439"/>
      <c r="C1635" s="439"/>
      <c r="D1635" s="439"/>
      <c r="E1635" s="439"/>
      <c r="F1635" s="439"/>
      <c r="Z1635" s="500"/>
      <c r="AA1635" s="500"/>
      <c r="AB1635" s="500"/>
      <c r="AC1635" s="500"/>
      <c r="AD1635" s="500"/>
      <c r="AE1635" s="500"/>
      <c r="AF1635" s="500"/>
      <c r="AG1635" s="500"/>
      <c r="AH1635" s="500"/>
      <c r="AI1635" s="500"/>
      <c r="AJ1635" s="500"/>
      <c r="AK1635" s="500"/>
      <c r="AL1635" s="500"/>
      <c r="AM1635" s="500"/>
      <c r="AN1635" s="500"/>
      <c r="AO1635" s="500"/>
      <c r="AP1635" s="500"/>
    </row>
    <row r="1636" spans="1:42" ht="16.5" customHeight="1">
      <c r="A1636" s="439"/>
      <c r="B1636" s="439"/>
      <c r="C1636" s="439"/>
      <c r="D1636" s="439"/>
      <c r="E1636" s="439"/>
      <c r="F1636" s="439"/>
      <c r="Z1636" s="500"/>
      <c r="AA1636" s="500"/>
      <c r="AB1636" s="500"/>
      <c r="AC1636" s="500"/>
      <c r="AD1636" s="500"/>
      <c r="AE1636" s="500"/>
      <c r="AF1636" s="500"/>
      <c r="AG1636" s="500"/>
      <c r="AH1636" s="500"/>
      <c r="AI1636" s="500"/>
      <c r="AJ1636" s="500"/>
      <c r="AK1636" s="500"/>
      <c r="AL1636" s="500"/>
      <c r="AM1636" s="500"/>
      <c r="AN1636" s="500"/>
      <c r="AO1636" s="500"/>
      <c r="AP1636" s="500"/>
    </row>
    <row r="1637" spans="1:42" ht="16.5" customHeight="1">
      <c r="A1637" s="439"/>
      <c r="B1637" s="439"/>
      <c r="C1637" s="439"/>
      <c r="D1637" s="439"/>
      <c r="E1637" s="439"/>
      <c r="F1637" s="439"/>
      <c r="Z1637" s="500"/>
      <c r="AA1637" s="500"/>
      <c r="AB1637" s="500"/>
      <c r="AC1637" s="500"/>
      <c r="AD1637" s="500"/>
      <c r="AE1637" s="500"/>
      <c r="AF1637" s="500"/>
      <c r="AG1637" s="500"/>
      <c r="AH1637" s="500"/>
      <c r="AI1637" s="500"/>
      <c r="AJ1637" s="500"/>
      <c r="AK1637" s="500"/>
      <c r="AL1637" s="500"/>
      <c r="AM1637" s="500"/>
      <c r="AN1637" s="500"/>
      <c r="AO1637" s="500"/>
      <c r="AP1637" s="500"/>
    </row>
    <row r="1638" spans="1:42" ht="16.5" customHeight="1">
      <c r="A1638" s="439"/>
      <c r="B1638" s="439"/>
      <c r="C1638" s="439"/>
      <c r="D1638" s="439"/>
      <c r="E1638" s="439"/>
      <c r="F1638" s="439"/>
      <c r="Z1638" s="500"/>
      <c r="AA1638" s="500"/>
      <c r="AB1638" s="500"/>
      <c r="AC1638" s="500"/>
      <c r="AD1638" s="500"/>
      <c r="AE1638" s="500"/>
      <c r="AF1638" s="500"/>
      <c r="AG1638" s="500"/>
      <c r="AH1638" s="500"/>
      <c r="AI1638" s="500"/>
      <c r="AJ1638" s="500"/>
      <c r="AK1638" s="500"/>
      <c r="AL1638" s="500"/>
      <c r="AM1638" s="500"/>
      <c r="AN1638" s="500"/>
      <c r="AO1638" s="500"/>
      <c r="AP1638" s="500"/>
    </row>
    <row r="1639" spans="1:42" ht="16.5" customHeight="1">
      <c r="A1639" s="439"/>
      <c r="B1639" s="439"/>
      <c r="C1639" s="439"/>
      <c r="D1639" s="439"/>
      <c r="E1639" s="439"/>
      <c r="F1639" s="439"/>
      <c r="Z1639" s="500"/>
      <c r="AA1639" s="500"/>
      <c r="AB1639" s="500"/>
      <c r="AC1639" s="500"/>
      <c r="AD1639" s="500"/>
      <c r="AE1639" s="500"/>
      <c r="AF1639" s="500"/>
      <c r="AG1639" s="500"/>
      <c r="AH1639" s="500"/>
      <c r="AI1639" s="500"/>
      <c r="AJ1639" s="500"/>
      <c r="AK1639" s="500"/>
      <c r="AL1639" s="500"/>
      <c r="AM1639" s="500"/>
      <c r="AN1639" s="500"/>
      <c r="AO1639" s="500"/>
      <c r="AP1639" s="500"/>
    </row>
    <row r="1640" spans="1:42" ht="16.5" customHeight="1">
      <c r="A1640" s="439"/>
      <c r="B1640" s="439"/>
      <c r="C1640" s="439"/>
      <c r="D1640" s="439"/>
      <c r="E1640" s="439"/>
      <c r="F1640" s="439"/>
      <c r="Z1640" s="500"/>
      <c r="AA1640" s="500"/>
      <c r="AB1640" s="500"/>
      <c r="AC1640" s="500"/>
      <c r="AD1640" s="500"/>
      <c r="AE1640" s="500"/>
      <c r="AF1640" s="500"/>
      <c r="AG1640" s="500"/>
      <c r="AH1640" s="500"/>
      <c r="AI1640" s="500"/>
      <c r="AJ1640" s="500"/>
      <c r="AK1640" s="500"/>
      <c r="AL1640" s="500"/>
      <c r="AM1640" s="500"/>
      <c r="AN1640" s="500"/>
      <c r="AO1640" s="500"/>
      <c r="AP1640" s="500"/>
    </row>
    <row r="1641" spans="1:42" ht="16.5" customHeight="1">
      <c r="A1641" s="439"/>
      <c r="B1641" s="439"/>
      <c r="C1641" s="439"/>
      <c r="D1641" s="439"/>
      <c r="E1641" s="439"/>
      <c r="F1641" s="439"/>
      <c r="Z1641" s="500"/>
      <c r="AA1641" s="500"/>
      <c r="AB1641" s="500"/>
      <c r="AC1641" s="500"/>
      <c r="AD1641" s="500"/>
      <c r="AE1641" s="500"/>
      <c r="AF1641" s="500"/>
      <c r="AG1641" s="500"/>
      <c r="AH1641" s="500"/>
      <c r="AI1641" s="500"/>
      <c r="AJ1641" s="500"/>
      <c r="AK1641" s="500"/>
      <c r="AL1641" s="500"/>
      <c r="AM1641" s="500"/>
      <c r="AN1641" s="500"/>
      <c r="AO1641" s="500"/>
      <c r="AP1641" s="500"/>
    </row>
    <row r="1642" spans="1:42" ht="16.5" customHeight="1">
      <c r="A1642" s="439"/>
      <c r="B1642" s="439"/>
      <c r="C1642" s="439"/>
      <c r="D1642" s="439"/>
      <c r="E1642" s="439"/>
      <c r="F1642" s="439"/>
      <c r="Z1642" s="500"/>
      <c r="AA1642" s="500"/>
      <c r="AB1642" s="500"/>
      <c r="AC1642" s="500"/>
      <c r="AD1642" s="500"/>
      <c r="AE1642" s="500"/>
      <c r="AF1642" s="500"/>
      <c r="AG1642" s="500"/>
      <c r="AH1642" s="500"/>
      <c r="AI1642" s="500"/>
      <c r="AJ1642" s="500"/>
      <c r="AK1642" s="500"/>
      <c r="AL1642" s="500"/>
      <c r="AM1642" s="500"/>
      <c r="AN1642" s="500"/>
      <c r="AO1642" s="500"/>
      <c r="AP1642" s="500"/>
    </row>
    <row r="1643" spans="1:42" ht="16.5" customHeight="1">
      <c r="A1643" s="439"/>
      <c r="B1643" s="439"/>
      <c r="C1643" s="439"/>
      <c r="D1643" s="439"/>
      <c r="E1643" s="439"/>
      <c r="F1643" s="439"/>
      <c r="Z1643" s="500"/>
      <c r="AA1643" s="500"/>
      <c r="AB1643" s="500"/>
      <c r="AC1643" s="500"/>
      <c r="AD1643" s="500"/>
      <c r="AE1643" s="500"/>
      <c r="AF1643" s="500"/>
      <c r="AG1643" s="500"/>
      <c r="AH1643" s="500"/>
      <c r="AI1643" s="500"/>
      <c r="AJ1643" s="500"/>
      <c r="AK1643" s="500"/>
      <c r="AL1643" s="500"/>
      <c r="AM1643" s="500"/>
      <c r="AN1643" s="500"/>
      <c r="AO1643" s="500"/>
      <c r="AP1643" s="500"/>
    </row>
    <row r="1644" spans="1:42" ht="16.5" customHeight="1">
      <c r="A1644" s="439"/>
      <c r="B1644" s="439"/>
      <c r="C1644" s="439"/>
      <c r="D1644" s="439"/>
      <c r="E1644" s="439"/>
      <c r="F1644" s="439"/>
      <c r="Z1644" s="500"/>
      <c r="AA1644" s="500"/>
      <c r="AB1644" s="500"/>
      <c r="AC1644" s="500"/>
      <c r="AD1644" s="500"/>
      <c r="AE1644" s="500"/>
      <c r="AF1644" s="500"/>
      <c r="AG1644" s="500"/>
      <c r="AH1644" s="500"/>
      <c r="AI1644" s="500"/>
      <c r="AJ1644" s="500"/>
      <c r="AK1644" s="500"/>
      <c r="AL1644" s="500"/>
      <c r="AM1644" s="500"/>
      <c r="AN1644" s="500"/>
      <c r="AO1644" s="500"/>
      <c r="AP1644" s="500"/>
    </row>
    <row r="1645" spans="1:42" ht="16.5" customHeight="1">
      <c r="A1645" s="439"/>
      <c r="B1645" s="439"/>
      <c r="C1645" s="439"/>
      <c r="D1645" s="439"/>
      <c r="E1645" s="439"/>
      <c r="F1645" s="439"/>
      <c r="Z1645" s="500"/>
      <c r="AA1645" s="500"/>
      <c r="AB1645" s="500"/>
      <c r="AC1645" s="500"/>
      <c r="AD1645" s="500"/>
      <c r="AE1645" s="500"/>
      <c r="AF1645" s="500"/>
      <c r="AG1645" s="500"/>
      <c r="AH1645" s="500"/>
      <c r="AI1645" s="500"/>
      <c r="AJ1645" s="500"/>
      <c r="AK1645" s="500"/>
      <c r="AL1645" s="500"/>
      <c r="AM1645" s="500"/>
      <c r="AN1645" s="500"/>
      <c r="AO1645" s="500"/>
      <c r="AP1645" s="500"/>
    </row>
    <row r="1646" spans="1:42" ht="16.5" customHeight="1">
      <c r="A1646" s="439"/>
      <c r="B1646" s="439"/>
      <c r="C1646" s="439"/>
      <c r="D1646" s="439"/>
      <c r="E1646" s="439"/>
      <c r="F1646" s="439"/>
      <c r="Z1646" s="500"/>
      <c r="AA1646" s="500"/>
      <c r="AB1646" s="500"/>
      <c r="AC1646" s="500"/>
      <c r="AD1646" s="500"/>
      <c r="AE1646" s="500"/>
      <c r="AF1646" s="500"/>
      <c r="AG1646" s="500"/>
      <c r="AH1646" s="500"/>
      <c r="AI1646" s="500"/>
      <c r="AJ1646" s="500"/>
      <c r="AK1646" s="500"/>
      <c r="AL1646" s="500"/>
      <c r="AM1646" s="500"/>
      <c r="AN1646" s="500"/>
      <c r="AO1646" s="500"/>
      <c r="AP1646" s="500"/>
    </row>
    <row r="1647" spans="1:42" ht="16.5" customHeight="1">
      <c r="A1647" s="439"/>
      <c r="B1647" s="439"/>
      <c r="C1647" s="439"/>
      <c r="D1647" s="439"/>
      <c r="E1647" s="439"/>
      <c r="F1647" s="439"/>
      <c r="Z1647" s="500"/>
      <c r="AA1647" s="500"/>
      <c r="AB1647" s="500"/>
      <c r="AC1647" s="500"/>
      <c r="AD1647" s="500"/>
      <c r="AE1647" s="500"/>
      <c r="AF1647" s="500"/>
      <c r="AG1647" s="500"/>
      <c r="AH1647" s="500"/>
      <c r="AI1647" s="500"/>
      <c r="AJ1647" s="500"/>
      <c r="AK1647" s="500"/>
      <c r="AL1647" s="500"/>
      <c r="AM1647" s="500"/>
      <c r="AN1647" s="500"/>
      <c r="AO1647" s="500"/>
      <c r="AP1647" s="500"/>
    </row>
    <row r="1648" spans="1:42" ht="16.5" customHeight="1">
      <c r="A1648" s="439"/>
      <c r="B1648" s="439"/>
      <c r="C1648" s="439"/>
      <c r="D1648" s="439"/>
      <c r="E1648" s="439"/>
      <c r="F1648" s="439"/>
      <c r="Z1648" s="500"/>
      <c r="AA1648" s="500"/>
      <c r="AB1648" s="500"/>
      <c r="AC1648" s="500"/>
      <c r="AD1648" s="500"/>
      <c r="AE1648" s="500"/>
      <c r="AF1648" s="500"/>
      <c r="AG1648" s="500"/>
      <c r="AH1648" s="500"/>
      <c r="AI1648" s="500"/>
      <c r="AJ1648" s="500"/>
      <c r="AK1648" s="500"/>
      <c r="AL1648" s="500"/>
      <c r="AM1648" s="500"/>
      <c r="AN1648" s="500"/>
      <c r="AO1648" s="500"/>
      <c r="AP1648" s="500"/>
    </row>
    <row r="1649" spans="1:42" ht="16.5" customHeight="1">
      <c r="A1649" s="439"/>
      <c r="B1649" s="439"/>
      <c r="C1649" s="439"/>
      <c r="D1649" s="439"/>
      <c r="E1649" s="439"/>
      <c r="F1649" s="439"/>
      <c r="Z1649" s="500"/>
      <c r="AA1649" s="500"/>
      <c r="AB1649" s="500"/>
      <c r="AC1649" s="500"/>
      <c r="AD1649" s="500"/>
      <c r="AE1649" s="500"/>
      <c r="AF1649" s="500"/>
      <c r="AG1649" s="500"/>
      <c r="AH1649" s="500"/>
      <c r="AI1649" s="500"/>
      <c r="AJ1649" s="500"/>
      <c r="AK1649" s="500"/>
      <c r="AL1649" s="500"/>
      <c r="AM1649" s="500"/>
      <c r="AN1649" s="500"/>
      <c r="AO1649" s="500"/>
      <c r="AP1649" s="500"/>
    </row>
    <row r="1650" spans="1:42" ht="16.5" customHeight="1">
      <c r="A1650" s="439"/>
      <c r="B1650" s="439"/>
      <c r="C1650" s="439"/>
      <c r="D1650" s="439"/>
      <c r="E1650" s="439"/>
      <c r="F1650" s="439"/>
      <c r="Z1650" s="500"/>
      <c r="AA1650" s="500"/>
      <c r="AB1650" s="500"/>
      <c r="AC1650" s="500"/>
      <c r="AD1650" s="500"/>
      <c r="AE1650" s="500"/>
      <c r="AF1650" s="500"/>
      <c r="AG1650" s="500"/>
      <c r="AH1650" s="500"/>
      <c r="AI1650" s="500"/>
      <c r="AJ1650" s="500"/>
      <c r="AK1650" s="500"/>
      <c r="AL1650" s="500"/>
      <c r="AM1650" s="500"/>
      <c r="AN1650" s="500"/>
      <c r="AO1650" s="500"/>
      <c r="AP1650" s="500"/>
    </row>
    <row r="1651" spans="1:42" ht="16.5" customHeight="1">
      <c r="A1651" s="439"/>
      <c r="B1651" s="439"/>
      <c r="C1651" s="439"/>
      <c r="D1651" s="439"/>
      <c r="E1651" s="439"/>
      <c r="F1651" s="439"/>
      <c r="Z1651" s="500"/>
      <c r="AA1651" s="500"/>
      <c r="AB1651" s="500"/>
      <c r="AC1651" s="500"/>
      <c r="AD1651" s="500"/>
      <c r="AE1651" s="500"/>
      <c r="AF1651" s="500"/>
      <c r="AG1651" s="500"/>
      <c r="AH1651" s="500"/>
      <c r="AI1651" s="500"/>
      <c r="AJ1651" s="500"/>
      <c r="AK1651" s="500"/>
      <c r="AL1651" s="500"/>
      <c r="AM1651" s="500"/>
      <c r="AN1651" s="500"/>
      <c r="AO1651" s="500"/>
      <c r="AP1651" s="500"/>
    </row>
    <row r="1652" spans="1:42" ht="16.5" customHeight="1">
      <c r="A1652" s="439"/>
      <c r="B1652" s="439"/>
      <c r="C1652" s="439"/>
      <c r="D1652" s="439"/>
      <c r="E1652" s="439"/>
      <c r="F1652" s="439"/>
      <c r="Z1652" s="500"/>
      <c r="AA1652" s="500"/>
      <c r="AB1652" s="500"/>
      <c r="AC1652" s="500"/>
      <c r="AD1652" s="500"/>
      <c r="AE1652" s="500"/>
      <c r="AF1652" s="500"/>
      <c r="AG1652" s="500"/>
      <c r="AH1652" s="500"/>
      <c r="AI1652" s="500"/>
      <c r="AJ1652" s="500"/>
      <c r="AK1652" s="500"/>
      <c r="AL1652" s="500"/>
      <c r="AM1652" s="500"/>
      <c r="AN1652" s="500"/>
      <c r="AO1652" s="500"/>
      <c r="AP1652" s="500"/>
    </row>
    <row r="1653" spans="1:42" ht="16.5" customHeight="1">
      <c r="A1653" s="497"/>
      <c r="B1653" s="497"/>
      <c r="C1653" s="497"/>
      <c r="D1653" s="497"/>
      <c r="E1653" s="497"/>
      <c r="F1653" s="497"/>
      <c r="Z1653" s="500"/>
      <c r="AA1653" s="500"/>
      <c r="AB1653" s="500"/>
      <c r="AC1653" s="500"/>
      <c r="AD1653" s="500"/>
      <c r="AE1653" s="500"/>
      <c r="AF1653" s="500"/>
      <c r="AG1653" s="500"/>
      <c r="AH1653" s="500"/>
      <c r="AI1653" s="500"/>
      <c r="AJ1653" s="500"/>
      <c r="AK1653" s="500"/>
      <c r="AL1653" s="500"/>
      <c r="AM1653" s="500"/>
      <c r="AN1653" s="500"/>
      <c r="AO1653" s="500"/>
      <c r="AP1653" s="500"/>
    </row>
    <row r="1654" spans="1:42" ht="16.5" customHeight="1">
      <c r="A1654" s="616" t="s">
        <v>3487</v>
      </c>
      <c r="B1654" s="605"/>
      <c r="C1654" s="446">
        <f>E1654+D1654+F1654</f>
        <v>404707</v>
      </c>
      <c r="D1654" s="453">
        <f>ROUNDDOWN(SUMIF(N1557:N1613,M1654,D1557:D1613),0)</f>
        <v>249723</v>
      </c>
      <c r="E1654" s="454">
        <f>ROUNDDOWN(SUMIF(N1557:N1613,M1654,E1557:E1613),0)</f>
        <v>92413</v>
      </c>
      <c r="F1654" s="446">
        <f>ROUNDDOWN(SUMIF(N1557:N1613,M1654,F1557:F1613),0)</f>
        <v>62571</v>
      </c>
      <c r="M1654" s="501" t="s">
        <v>2354</v>
      </c>
      <c r="Z1654" s="500"/>
      <c r="AA1654" s="500"/>
      <c r="AB1654" s="500"/>
      <c r="AC1654" s="500"/>
      <c r="AD1654" s="500"/>
      <c r="AE1654" s="500"/>
      <c r="AF1654" s="500"/>
      <c r="AG1654" s="500"/>
      <c r="AH1654" s="500"/>
      <c r="AI1654" s="500"/>
      <c r="AJ1654" s="500"/>
      <c r="AK1654" s="500"/>
      <c r="AL1654" s="500"/>
      <c r="AM1654" s="500"/>
      <c r="AN1654" s="500"/>
      <c r="AO1654" s="500"/>
      <c r="AP1654" s="500"/>
    </row>
    <row r="1655" spans="1:42" ht="16.5" customHeight="1">
      <c r="A1655" s="502" t="s">
        <v>3350</v>
      </c>
      <c r="B1655" s="503" t="s">
        <v>1836</v>
      </c>
      <c r="C1655" s="615">
        <f>C1754</f>
        <v>600641</v>
      </c>
      <c r="D1655" s="615">
        <f>D1754</f>
        <v>364400</v>
      </c>
      <c r="E1655" s="615">
        <f>E1754</f>
        <v>103163</v>
      </c>
      <c r="F1655" s="615">
        <f>F1754</f>
        <v>133078</v>
      </c>
      <c r="G1655" s="486" t="str">
        <f>HYPERLINK("#G"&amp;ROW(G1713),"_x0005_`BDCOD|D01312_x0007_`POSS|"&amp;ROW(G1657)&amp;"_x0007_`POSE|"&amp;ROW(G1713)&amp;"_x0007_`")</f>
        <v>_x0005_`BDCOD|D01312_x0007_`POSS|1657_x0007_`POSE|1713_x0007_`</v>
      </c>
      <c r="Z1655" s="500"/>
      <c r="AA1655" s="500"/>
      <c r="AB1655" s="500"/>
      <c r="AC1655" s="500"/>
      <c r="AD1655" s="500"/>
      <c r="AE1655" s="500"/>
      <c r="AF1655" s="500"/>
      <c r="AG1655" s="500"/>
      <c r="AH1655" s="500"/>
      <c r="AI1655" s="500"/>
      <c r="AJ1655" s="500"/>
      <c r="AK1655" s="500"/>
      <c r="AL1655" s="500"/>
      <c r="AM1655" s="500"/>
      <c r="AN1655" s="500"/>
      <c r="AO1655" s="500"/>
      <c r="AP1655" s="500"/>
    </row>
    <row r="1656" spans="1:42" ht="16.5" customHeight="1">
      <c r="A1656" s="485"/>
      <c r="B1656" s="503" t="s">
        <v>3609</v>
      </c>
      <c r="C1656" s="593"/>
      <c r="D1656" s="593"/>
      <c r="E1656" s="593"/>
      <c r="F1656" s="593"/>
      <c r="M1656" s="501" t="s">
        <v>1836</v>
      </c>
      <c r="Z1656" s="500"/>
      <c r="AA1656" s="500"/>
      <c r="AB1656" s="500"/>
      <c r="AC1656" s="500"/>
      <c r="AD1656" s="500"/>
      <c r="AE1656" s="500"/>
      <c r="AF1656" s="500"/>
      <c r="AG1656" s="500"/>
      <c r="AH1656" s="500"/>
      <c r="AI1656" s="500"/>
      <c r="AJ1656" s="500"/>
      <c r="AK1656" s="500"/>
      <c r="AL1656" s="500"/>
      <c r="AM1656" s="500"/>
      <c r="AN1656" s="500"/>
      <c r="AO1656" s="500"/>
      <c r="AP1656" s="500"/>
    </row>
    <row r="1657" spans="1:42" ht="16.5" customHeight="1">
      <c r="A1657" s="439"/>
      <c r="B1657" s="439"/>
      <c r="C1657" s="504"/>
      <c r="D1657" s="504"/>
      <c r="E1657" s="504"/>
      <c r="F1657" s="504"/>
      <c r="G1657" s="451" t="s">
        <v>3406</v>
      </c>
      <c r="Z1657" s="500"/>
      <c r="AA1657" s="500"/>
      <c r="AB1657" s="500"/>
      <c r="AC1657" s="500"/>
      <c r="AD1657" s="500"/>
      <c r="AE1657" s="500"/>
      <c r="AF1657" s="500"/>
      <c r="AG1657" s="500"/>
      <c r="AH1657" s="500"/>
      <c r="AI1657" s="500"/>
      <c r="AJ1657" s="500"/>
      <c r="AK1657" s="500"/>
      <c r="AL1657" s="500"/>
      <c r="AM1657" s="500"/>
      <c r="AN1657" s="500"/>
      <c r="AO1657" s="500"/>
      <c r="AP1657" s="500"/>
    </row>
    <row r="1658" spans="1:42" ht="16.5" customHeight="1">
      <c r="A1658" s="434"/>
      <c r="B1658" s="437" t="s">
        <v>3542</v>
      </c>
      <c r="C1658" s="439"/>
      <c r="D1658" s="439"/>
      <c r="E1658" s="439"/>
      <c r="F1658" s="439"/>
      <c r="G1658" s="451" t="s">
        <v>3543</v>
      </c>
      <c r="Z1658" s="500"/>
      <c r="AA1658" s="500"/>
      <c r="AB1658" s="500"/>
      <c r="AC1658" s="500"/>
      <c r="AD1658" s="500"/>
      <c r="AE1658" s="500"/>
      <c r="AF1658" s="500"/>
      <c r="AG1658" s="500"/>
      <c r="AH1658" s="500"/>
      <c r="AI1658" s="500"/>
      <c r="AJ1658" s="500"/>
      <c r="AK1658" s="500"/>
      <c r="AL1658" s="500"/>
      <c r="AM1658" s="500"/>
      <c r="AN1658" s="500"/>
      <c r="AO1658" s="500"/>
      <c r="AP1658" s="500"/>
    </row>
    <row r="1659" spans="1:42" ht="16.5" customHeight="1">
      <c r="A1659" s="439"/>
      <c r="B1659" s="439"/>
      <c r="C1659" s="439"/>
      <c r="D1659" s="439"/>
      <c r="E1659" s="439"/>
      <c r="F1659" s="439"/>
      <c r="G1659" s="451" t="s">
        <v>3406</v>
      </c>
      <c r="Z1659" s="500"/>
      <c r="AA1659" s="500"/>
      <c r="AB1659" s="500"/>
      <c r="AC1659" s="500"/>
      <c r="AD1659" s="500"/>
      <c r="AE1659" s="500"/>
      <c r="AF1659" s="500"/>
      <c r="AG1659" s="500"/>
      <c r="AH1659" s="500"/>
      <c r="AI1659" s="500"/>
      <c r="AJ1659" s="500"/>
      <c r="AK1659" s="500"/>
      <c r="AL1659" s="500"/>
      <c r="AM1659" s="500"/>
      <c r="AN1659" s="500"/>
      <c r="AO1659" s="500"/>
      <c r="AP1659" s="500"/>
    </row>
    <row r="1660" spans="1:42" ht="16.5" customHeight="1">
      <c r="A1660" s="434"/>
      <c r="B1660" s="437" t="s">
        <v>3544</v>
      </c>
      <c r="C1660" s="439"/>
      <c r="D1660" s="439"/>
      <c r="E1660" s="439"/>
      <c r="F1660" s="439"/>
      <c r="G1660" s="451" t="s">
        <v>3545</v>
      </c>
      <c r="Z1660" s="500"/>
      <c r="AA1660" s="500"/>
      <c r="AB1660" s="500"/>
      <c r="AC1660" s="500"/>
      <c r="AD1660" s="500"/>
      <c r="AE1660" s="500"/>
      <c r="AF1660" s="500"/>
      <c r="AG1660" s="500"/>
      <c r="AH1660" s="500"/>
      <c r="AI1660" s="500"/>
      <c r="AJ1660" s="500"/>
      <c r="AK1660" s="500"/>
      <c r="AL1660" s="500"/>
      <c r="AM1660" s="500"/>
      <c r="AN1660" s="500"/>
      <c r="AO1660" s="500"/>
      <c r="AP1660" s="500"/>
    </row>
    <row r="1661" spans="1:42" ht="16.5" customHeight="1">
      <c r="A1661" s="439"/>
      <c r="B1661" s="439"/>
      <c r="C1661" s="439"/>
      <c r="D1661" s="439"/>
      <c r="E1661" s="439"/>
      <c r="F1661" s="439"/>
      <c r="G1661" s="451" t="s">
        <v>3406</v>
      </c>
      <c r="Z1661" s="500"/>
      <c r="AA1661" s="500"/>
      <c r="AB1661" s="500"/>
      <c r="AC1661" s="500"/>
      <c r="AD1661" s="500"/>
      <c r="AE1661" s="500"/>
      <c r="AF1661" s="500"/>
      <c r="AG1661" s="500"/>
      <c r="AH1661" s="500"/>
      <c r="AI1661" s="500"/>
      <c r="AJ1661" s="500"/>
      <c r="AK1661" s="500"/>
      <c r="AL1661" s="500"/>
      <c r="AM1661" s="500"/>
      <c r="AN1661" s="500"/>
      <c r="AO1661" s="500"/>
      <c r="AP1661" s="500"/>
    </row>
    <row r="1662" spans="1:42" ht="16.5" customHeight="1">
      <c r="A1662" s="434"/>
      <c r="B1662" s="437" t="str">
        <f>" 일당 작업량 :   Q = "&amp;Z1662&amp;"  주 "</f>
        <v xml:space="preserve"> 일당 작업량 :   Q = 5  주 </v>
      </c>
      <c r="C1662" s="439"/>
      <c r="D1662" s="439"/>
      <c r="E1662" s="439"/>
      <c r="F1662" s="439"/>
      <c r="G1662" s="451" t="s">
        <v>3610</v>
      </c>
      <c r="Z1662" s="515">
        <v>5</v>
      </c>
      <c r="AA1662" s="501" t="s">
        <v>3418</v>
      </c>
      <c r="AB1662" s="512">
        <f>Z1662</f>
        <v>5</v>
      </c>
      <c r="AC1662" s="500"/>
      <c r="AD1662" s="500"/>
      <c r="AE1662" s="500"/>
      <c r="AF1662" s="500"/>
      <c r="AG1662" s="500"/>
      <c r="AH1662" s="500"/>
      <c r="AI1662" s="500"/>
      <c r="AJ1662" s="500"/>
      <c r="AK1662" s="500"/>
      <c r="AL1662" s="500"/>
      <c r="AM1662" s="500"/>
      <c r="AN1662" s="500"/>
      <c r="AO1662" s="500"/>
      <c r="AP1662" s="500"/>
    </row>
    <row r="1663" spans="1:42" ht="16.5" customHeight="1">
      <c r="A1663" s="439"/>
      <c r="B1663" s="439"/>
      <c r="C1663" s="439"/>
      <c r="D1663" s="439"/>
      <c r="E1663" s="439"/>
      <c r="F1663" s="439"/>
      <c r="G1663" s="451" t="s">
        <v>3406</v>
      </c>
      <c r="Z1663" s="500"/>
      <c r="AA1663" s="500"/>
      <c r="AB1663" s="500"/>
      <c r="AC1663" s="500"/>
      <c r="AD1663" s="500"/>
      <c r="AE1663" s="500"/>
      <c r="AF1663" s="500"/>
      <c r="AG1663" s="500"/>
      <c r="AH1663" s="500"/>
      <c r="AI1663" s="500"/>
      <c r="AJ1663" s="500"/>
      <c r="AK1663" s="500"/>
      <c r="AL1663" s="500"/>
      <c r="AM1663" s="500"/>
      <c r="AN1663" s="500"/>
      <c r="AO1663" s="500"/>
      <c r="AP1663" s="500"/>
    </row>
    <row r="1664" spans="1:42" ht="16.5" customHeight="1">
      <c r="A1664" s="434"/>
      <c r="B1664" s="437" t="s">
        <v>3611</v>
      </c>
      <c r="C1664" s="439"/>
      <c r="D1664" s="439"/>
      <c r="E1664" s="439"/>
      <c r="F1664" s="439"/>
      <c r="G1664" s="451" t="s">
        <v>3612</v>
      </c>
      <c r="Z1664" s="500"/>
      <c r="AA1664" s="500"/>
      <c r="AB1664" s="500"/>
      <c r="AC1664" s="500"/>
      <c r="AD1664" s="500"/>
      <c r="AE1664" s="500"/>
      <c r="AF1664" s="500"/>
      <c r="AG1664" s="500"/>
      <c r="AH1664" s="500"/>
      <c r="AI1664" s="500"/>
      <c r="AJ1664" s="500"/>
      <c r="AK1664" s="500"/>
      <c r="AL1664" s="500"/>
      <c r="AM1664" s="500"/>
      <c r="AN1664" s="500"/>
      <c r="AO1664" s="500"/>
      <c r="AP1664" s="500"/>
    </row>
    <row r="1665" spans="1:42" ht="16.5" customHeight="1">
      <c r="A1665" s="439"/>
      <c r="B1665" s="439"/>
      <c r="C1665" s="439"/>
      <c r="D1665" s="439"/>
      <c r="E1665" s="439"/>
      <c r="F1665" s="439"/>
      <c r="G1665" s="451" t="s">
        <v>3406</v>
      </c>
      <c r="Z1665" s="500"/>
      <c r="AA1665" s="500"/>
      <c r="AB1665" s="500"/>
      <c r="AC1665" s="500"/>
      <c r="AD1665" s="500"/>
      <c r="AE1665" s="500"/>
      <c r="AF1665" s="500"/>
      <c r="AG1665" s="500"/>
      <c r="AH1665" s="500"/>
      <c r="AI1665" s="500"/>
      <c r="AJ1665" s="500"/>
      <c r="AK1665" s="500"/>
      <c r="AL1665" s="500"/>
      <c r="AM1665" s="500"/>
      <c r="AN1665" s="500"/>
      <c r="AO1665" s="500"/>
      <c r="AP1665" s="500"/>
    </row>
    <row r="1666" spans="1:42" ht="16.5" customHeight="1">
      <c r="A1666" s="439"/>
      <c r="B1666" s="439"/>
      <c r="C1666" s="439"/>
      <c r="D1666" s="439"/>
      <c r="E1666" s="439"/>
      <c r="F1666" s="439"/>
      <c r="G1666" s="451" t="s">
        <v>3406</v>
      </c>
      <c r="Z1666" s="500"/>
      <c r="AA1666" s="500"/>
      <c r="AB1666" s="500"/>
      <c r="AC1666" s="500"/>
      <c r="AD1666" s="500"/>
      <c r="AE1666" s="500"/>
      <c r="AF1666" s="500"/>
      <c r="AG1666" s="500"/>
      <c r="AH1666" s="500"/>
      <c r="AI1666" s="500"/>
      <c r="AJ1666" s="500"/>
      <c r="AK1666" s="500"/>
      <c r="AL1666" s="500"/>
      <c r="AM1666" s="500"/>
      <c r="AN1666" s="500"/>
      <c r="AO1666" s="500"/>
      <c r="AP1666" s="500"/>
    </row>
    <row r="1667" spans="1:42" ht="16.5" customHeight="1">
      <c r="A1667" s="439"/>
      <c r="B1667" s="439"/>
      <c r="C1667" s="439"/>
      <c r="D1667" s="439"/>
      <c r="E1667" s="439"/>
      <c r="F1667" s="439"/>
      <c r="G1667" s="451" t="s">
        <v>3406</v>
      </c>
      <c r="Z1667" s="500"/>
      <c r="AA1667" s="500"/>
      <c r="AB1667" s="500"/>
      <c r="AC1667" s="500"/>
      <c r="AD1667" s="500"/>
      <c r="AE1667" s="500"/>
      <c r="AF1667" s="500"/>
      <c r="AG1667" s="500"/>
      <c r="AH1667" s="500"/>
      <c r="AI1667" s="500"/>
      <c r="AJ1667" s="500"/>
      <c r="AK1667" s="500"/>
      <c r="AL1667" s="500"/>
      <c r="AM1667" s="500"/>
      <c r="AN1667" s="500"/>
      <c r="AO1667" s="500"/>
      <c r="AP1667" s="500"/>
    </row>
    <row r="1668" spans="1:42" ht="16.5" customHeight="1">
      <c r="A1668" s="439"/>
      <c r="B1668" s="439"/>
      <c r="C1668" s="439"/>
      <c r="D1668" s="439"/>
      <c r="E1668" s="439"/>
      <c r="F1668" s="439"/>
      <c r="G1668" s="451" t="s">
        <v>3406</v>
      </c>
      <c r="Z1668" s="500"/>
      <c r="AA1668" s="500"/>
      <c r="AB1668" s="500"/>
      <c r="AC1668" s="500"/>
      <c r="AD1668" s="500"/>
      <c r="AE1668" s="500"/>
      <c r="AF1668" s="500"/>
      <c r="AG1668" s="500"/>
      <c r="AH1668" s="500"/>
      <c r="AI1668" s="500"/>
      <c r="AJ1668" s="500"/>
      <c r="AK1668" s="500"/>
      <c r="AL1668" s="500"/>
      <c r="AM1668" s="500"/>
      <c r="AN1668" s="500"/>
      <c r="AO1668" s="500"/>
      <c r="AP1668" s="500"/>
    </row>
    <row r="1669" spans="1:42" ht="16.5" customHeight="1">
      <c r="A1669" s="434"/>
      <c r="B1669" s="437" t="s">
        <v>3549</v>
      </c>
      <c r="C1669" s="439"/>
      <c r="D1669" s="439"/>
      <c r="E1669" s="439"/>
      <c r="F1669" s="439"/>
      <c r="G1669" s="451" t="s">
        <v>3550</v>
      </c>
      <c r="Z1669" s="500"/>
      <c r="AA1669" s="500"/>
      <c r="AB1669" s="500"/>
      <c r="AC1669" s="500"/>
      <c r="AD1669" s="500"/>
      <c r="AE1669" s="500"/>
      <c r="AF1669" s="500"/>
      <c r="AG1669" s="500"/>
      <c r="AH1669" s="500"/>
      <c r="AI1669" s="500"/>
      <c r="AJ1669" s="500"/>
      <c r="AK1669" s="500"/>
      <c r="AL1669" s="500"/>
      <c r="AM1669" s="500"/>
      <c r="AN1669" s="500"/>
      <c r="AO1669" s="500"/>
      <c r="AP1669" s="500"/>
    </row>
    <row r="1670" spans="1:42" ht="16.5" customHeight="1">
      <c r="A1670" s="439"/>
      <c r="B1670" s="439"/>
      <c r="C1670" s="439"/>
      <c r="D1670" s="439"/>
      <c r="E1670" s="439"/>
      <c r="F1670" s="439"/>
      <c r="G1670" s="451" t="s">
        <v>3406</v>
      </c>
      <c r="Z1670" s="500"/>
      <c r="AA1670" s="500"/>
      <c r="AB1670" s="500"/>
      <c r="AC1670" s="500"/>
      <c r="AD1670" s="500"/>
      <c r="AE1670" s="500"/>
      <c r="AF1670" s="500"/>
      <c r="AG1670" s="500"/>
      <c r="AH1670" s="500"/>
      <c r="AI1670" s="500"/>
      <c r="AJ1670" s="500"/>
      <c r="AK1670" s="500"/>
      <c r="AL1670" s="500"/>
      <c r="AM1670" s="500"/>
      <c r="AN1670" s="500"/>
      <c r="AO1670" s="500"/>
      <c r="AP1670" s="500"/>
    </row>
    <row r="1671" spans="1:42" ht="16.5" customHeight="1">
      <c r="A1671" s="434" t="s">
        <v>3498</v>
      </c>
      <c r="B1671" s="505" t="str">
        <f>" 조경공 :  "&amp;TEXT(I1671,"#,##0"&amp;IF(I1671&lt;&gt;INT(I1671),".###",""))&amp;" * "&amp;AA1671&amp;" 인  / Q = "&amp;TEXT(C1671,"#,##0.0")&amp;""</f>
        <v xml:space="preserve"> 조경공 :  235,204 * 3 인  / Q = 141,122.4</v>
      </c>
      <c r="C1671" s="506">
        <f>E1671+D1671+F1671</f>
        <v>141122.4</v>
      </c>
      <c r="D1671" s="506">
        <f>IF(H1671=0,0,ROUNDDOWN(J1671*H1671,1))</f>
        <v>141122.4</v>
      </c>
      <c r="E1671" s="506">
        <f>IF(H1671=0,0,ROUNDDOWN(K1671*H1671,1))</f>
        <v>0</v>
      </c>
      <c r="F1671" s="506">
        <f>IF(H1671=0,0,ROUNDDOWN(L1671*H1671,1))</f>
        <v>0</v>
      </c>
      <c r="G1671" s="451" t="s">
        <v>3551</v>
      </c>
      <c r="H1671" s="507">
        <f>ROUNDUP(AE1671,14-LEN(ABS(INT(AE1671))))</f>
        <v>0.6</v>
      </c>
      <c r="I1671" s="508">
        <f>K1671+J1671+L1671</f>
        <v>235204</v>
      </c>
      <c r="J1671" s="509">
        <f>노무비목록표!E15</f>
        <v>235204</v>
      </c>
      <c r="M1671" s="501" t="s">
        <v>2359</v>
      </c>
      <c r="N1671" s="501" t="s">
        <v>3416</v>
      </c>
      <c r="X1671" s="510" t="str">
        <f>노무비목록표!B15&amp;" / "&amp;노무비목록표!C15</f>
        <v xml:space="preserve">조경공 / </v>
      </c>
      <c r="Y1671" s="433" t="str">
        <f ca="1">HYPERLINK("#"&amp;노무비목록표!G2&amp;"!A"&amp;ROW(노무비목록표!A15),"L00184 →")</f>
        <v>L00184 →</v>
      </c>
      <c r="Z1671" s="501" t="s">
        <v>3500</v>
      </c>
      <c r="AA1671" s="515">
        <v>3</v>
      </c>
      <c r="AB1671" s="501" t="s">
        <v>3428</v>
      </c>
      <c r="AC1671" s="512">
        <f>AB1662</f>
        <v>5</v>
      </c>
      <c r="AD1671" s="501" t="s">
        <v>3418</v>
      </c>
      <c r="AE1671" s="512">
        <f>1*AA1671/AB1662</f>
        <v>0.6</v>
      </c>
      <c r="AF1671" s="500"/>
      <c r="AG1671" s="500"/>
      <c r="AH1671" s="500"/>
      <c r="AI1671" s="500"/>
      <c r="AJ1671" s="500"/>
      <c r="AK1671" s="500"/>
      <c r="AL1671" s="500"/>
      <c r="AM1671" s="500"/>
      <c r="AN1671" s="500"/>
      <c r="AO1671" s="500"/>
      <c r="AP1671" s="500"/>
    </row>
    <row r="1672" spans="1:42" ht="16.5" customHeight="1">
      <c r="A1672" s="439"/>
      <c r="B1672" s="439"/>
      <c r="C1672" s="439"/>
      <c r="D1672" s="439"/>
      <c r="E1672" s="439"/>
      <c r="F1672" s="439"/>
      <c r="G1672" s="451" t="s">
        <v>3406</v>
      </c>
      <c r="Z1672" s="500"/>
      <c r="AA1672" s="500"/>
      <c r="AB1672" s="500"/>
      <c r="AC1672" s="500"/>
      <c r="AD1672" s="500"/>
      <c r="AE1672" s="500"/>
      <c r="AF1672" s="500"/>
      <c r="AG1672" s="500"/>
      <c r="AH1672" s="500"/>
      <c r="AI1672" s="500"/>
      <c r="AJ1672" s="500"/>
      <c r="AK1672" s="500"/>
      <c r="AL1672" s="500"/>
      <c r="AM1672" s="500"/>
      <c r="AN1672" s="500"/>
      <c r="AO1672" s="500"/>
      <c r="AP1672" s="500"/>
    </row>
    <row r="1673" spans="1:42" ht="16.5" customHeight="1">
      <c r="A1673" s="439"/>
      <c r="B1673" s="439"/>
      <c r="C1673" s="439"/>
      <c r="D1673" s="439"/>
      <c r="E1673" s="439"/>
      <c r="F1673" s="439"/>
      <c r="G1673" s="451" t="s">
        <v>3406</v>
      </c>
      <c r="Z1673" s="500"/>
      <c r="AA1673" s="500"/>
      <c r="AB1673" s="500"/>
      <c r="AC1673" s="500"/>
      <c r="AD1673" s="500"/>
      <c r="AE1673" s="500"/>
      <c r="AF1673" s="500"/>
      <c r="AG1673" s="500"/>
      <c r="AH1673" s="500"/>
      <c r="AI1673" s="500"/>
      <c r="AJ1673" s="500"/>
      <c r="AK1673" s="500"/>
      <c r="AL1673" s="500"/>
      <c r="AM1673" s="500"/>
      <c r="AN1673" s="500"/>
      <c r="AO1673" s="500"/>
      <c r="AP1673" s="500"/>
    </row>
    <row r="1674" spans="1:42" ht="16.5" customHeight="1">
      <c r="A1674" s="434" t="s">
        <v>3414</v>
      </c>
      <c r="B1674" s="505" t="str">
        <f>" 보통인부 : "&amp;TEXT(I1674,"#,##0"&amp;IF(I1674&lt;&gt;INT(I1674),".###",""))&amp;" * "&amp;AA1674&amp;" 인  / Q = "&amp;TEXT(C1674,"#,##0.0")&amp;""</f>
        <v xml:space="preserve"> 보통인부 : 172,068 * 1 인  / Q = 34,413.6</v>
      </c>
      <c r="C1674" s="506">
        <f>E1674+D1674+F1674</f>
        <v>34413.599999999999</v>
      </c>
      <c r="D1674" s="506">
        <f>IF(H1674=0,0,ROUNDDOWN(J1674*H1674,1))</f>
        <v>34413.599999999999</v>
      </c>
      <c r="E1674" s="506">
        <f>IF(H1674=0,0,ROUNDDOWN(K1674*H1674,1))</f>
        <v>0</v>
      </c>
      <c r="F1674" s="506">
        <f>IF(H1674=0,0,ROUNDDOWN(L1674*H1674,1))</f>
        <v>0</v>
      </c>
      <c r="G1674" s="451" t="s">
        <v>3552</v>
      </c>
      <c r="H1674" s="507">
        <f>ROUNDUP(AE1674,14-LEN(ABS(INT(AE1674))))</f>
        <v>0.2</v>
      </c>
      <c r="I1674" s="508">
        <f>K1674+J1674+L1674</f>
        <v>172068</v>
      </c>
      <c r="J1674" s="509">
        <f>노무비목록표!E10</f>
        <v>172068</v>
      </c>
      <c r="M1674" s="501" t="s">
        <v>2363</v>
      </c>
      <c r="N1674" s="501" t="s">
        <v>3416</v>
      </c>
      <c r="X1674" s="510" t="str">
        <f>노무비목록표!B10&amp;" / "&amp;노무비목록표!C10</f>
        <v xml:space="preserve">보통인부 / </v>
      </c>
      <c r="Y1674" s="433" t="str">
        <f ca="1">HYPERLINK("#"&amp;노무비목록표!G2&amp;"!A"&amp;ROW(노무비목록표!A10),"L00017 →")</f>
        <v>L00017 →</v>
      </c>
      <c r="Z1674" s="501" t="s">
        <v>3500</v>
      </c>
      <c r="AA1674" s="515">
        <v>1</v>
      </c>
      <c r="AB1674" s="501" t="s">
        <v>3428</v>
      </c>
      <c r="AC1674" s="512">
        <f>AB1662</f>
        <v>5</v>
      </c>
      <c r="AD1674" s="501" t="s">
        <v>3418</v>
      </c>
      <c r="AE1674" s="512">
        <f>1*AA1674/AB1662</f>
        <v>0.2</v>
      </c>
      <c r="AF1674" s="500"/>
      <c r="AG1674" s="500"/>
      <c r="AH1674" s="500"/>
      <c r="AI1674" s="500"/>
      <c r="AJ1674" s="500"/>
      <c r="AK1674" s="500"/>
      <c r="AL1674" s="500"/>
      <c r="AM1674" s="500"/>
      <c r="AN1674" s="500"/>
      <c r="AO1674" s="500"/>
      <c r="AP1674" s="500"/>
    </row>
    <row r="1675" spans="1:42" ht="16.5" customHeight="1">
      <c r="A1675" s="439"/>
      <c r="B1675" s="439"/>
      <c r="C1675" s="439"/>
      <c r="D1675" s="439"/>
      <c r="E1675" s="439"/>
      <c r="F1675" s="439"/>
      <c r="G1675" s="451" t="s">
        <v>3406</v>
      </c>
      <c r="Z1675" s="500"/>
      <c r="AA1675" s="500"/>
      <c r="AB1675" s="500"/>
      <c r="AC1675" s="500"/>
      <c r="AD1675" s="500"/>
      <c r="AE1675" s="500"/>
      <c r="AF1675" s="500"/>
      <c r="AG1675" s="500"/>
      <c r="AH1675" s="500"/>
      <c r="AI1675" s="500"/>
      <c r="AJ1675" s="500"/>
      <c r="AK1675" s="500"/>
      <c r="AL1675" s="500"/>
      <c r="AM1675" s="500"/>
      <c r="AN1675" s="500"/>
      <c r="AO1675" s="500"/>
      <c r="AP1675" s="500"/>
    </row>
    <row r="1676" spans="1:42" ht="16.5" customHeight="1">
      <c r="A1676" s="434"/>
      <c r="B1676" s="437" t="s">
        <v>3419</v>
      </c>
      <c r="C1676" s="513">
        <f>E1676+D1676+F1676</f>
        <v>175536</v>
      </c>
      <c r="D1676" s="513">
        <f>SUMIF(N1657:N1675,M1676,D1657:D1675)</f>
        <v>175536</v>
      </c>
      <c r="E1676" s="513">
        <f>SUMIF(N1657:N1675,M1676,E1657:E1675)</f>
        <v>0</v>
      </c>
      <c r="F1676" s="513">
        <f>SUMIF(N1657:N1675,M1676,F1657:F1675)</f>
        <v>0</v>
      </c>
      <c r="G1676" s="451" t="s">
        <v>3439</v>
      </c>
      <c r="M1676" s="501" t="s">
        <v>3416</v>
      </c>
      <c r="N1676" s="501" t="s">
        <v>3421</v>
      </c>
      <c r="Z1676" s="500"/>
      <c r="AA1676" s="500"/>
      <c r="AB1676" s="500"/>
      <c r="AC1676" s="500"/>
      <c r="AD1676" s="500"/>
      <c r="AE1676" s="500"/>
      <c r="AF1676" s="500"/>
      <c r="AG1676" s="500"/>
      <c r="AH1676" s="500"/>
      <c r="AI1676" s="500"/>
      <c r="AJ1676" s="500"/>
      <c r="AK1676" s="500"/>
      <c r="AL1676" s="500"/>
      <c r="AM1676" s="500"/>
      <c r="AN1676" s="500"/>
      <c r="AO1676" s="500"/>
      <c r="AP1676" s="500"/>
    </row>
    <row r="1677" spans="1:42" ht="16.5" customHeight="1">
      <c r="A1677" s="439"/>
      <c r="B1677" s="439"/>
      <c r="C1677" s="504"/>
      <c r="D1677" s="504"/>
      <c r="E1677" s="504"/>
      <c r="F1677" s="504"/>
      <c r="G1677" s="451" t="s">
        <v>3406</v>
      </c>
      <c r="Z1677" s="500"/>
      <c r="AA1677" s="500"/>
      <c r="AB1677" s="500"/>
      <c r="AC1677" s="500"/>
      <c r="AD1677" s="500"/>
      <c r="AE1677" s="500"/>
      <c r="AF1677" s="500"/>
      <c r="AG1677" s="500"/>
      <c r="AH1677" s="500"/>
      <c r="AI1677" s="500"/>
      <c r="AJ1677" s="500"/>
      <c r="AK1677" s="500"/>
      <c r="AL1677" s="500"/>
      <c r="AM1677" s="500"/>
      <c r="AN1677" s="500"/>
      <c r="AO1677" s="500"/>
      <c r="AP1677" s="500"/>
    </row>
    <row r="1678" spans="1:42" ht="16.5" customHeight="1">
      <c r="A1678" s="439"/>
      <c r="B1678" s="439"/>
      <c r="C1678" s="439"/>
      <c r="D1678" s="439"/>
      <c r="E1678" s="439"/>
      <c r="F1678" s="439"/>
      <c r="G1678" s="451" t="s">
        <v>3406</v>
      </c>
      <c r="Z1678" s="500"/>
      <c r="AA1678" s="500"/>
      <c r="AB1678" s="500"/>
      <c r="AC1678" s="500"/>
      <c r="AD1678" s="500"/>
      <c r="AE1678" s="500"/>
      <c r="AF1678" s="500"/>
      <c r="AG1678" s="500"/>
      <c r="AH1678" s="500"/>
      <c r="AI1678" s="500"/>
      <c r="AJ1678" s="500"/>
      <c r="AK1678" s="500"/>
      <c r="AL1678" s="500"/>
      <c r="AM1678" s="500"/>
      <c r="AN1678" s="500"/>
      <c r="AO1678" s="500"/>
      <c r="AP1678" s="500"/>
    </row>
    <row r="1679" spans="1:42" ht="16.5" customHeight="1">
      <c r="A1679" s="434"/>
      <c r="B1679" s="437" t="s">
        <v>3572</v>
      </c>
      <c r="C1679" s="439"/>
      <c r="D1679" s="439"/>
      <c r="E1679" s="439"/>
      <c r="F1679" s="439"/>
      <c r="G1679" s="451" t="s">
        <v>3573</v>
      </c>
      <c r="Z1679" s="500"/>
      <c r="AA1679" s="500"/>
      <c r="AB1679" s="500"/>
      <c r="AC1679" s="500"/>
      <c r="AD1679" s="500"/>
      <c r="AE1679" s="500"/>
      <c r="AF1679" s="500"/>
      <c r="AG1679" s="500"/>
      <c r="AH1679" s="500"/>
      <c r="AI1679" s="500"/>
      <c r="AJ1679" s="500"/>
      <c r="AK1679" s="500"/>
      <c r="AL1679" s="500"/>
      <c r="AM1679" s="500"/>
      <c r="AN1679" s="500"/>
      <c r="AO1679" s="500"/>
      <c r="AP1679" s="500"/>
    </row>
    <row r="1680" spans="1:42" ht="16.5" customHeight="1">
      <c r="A1680" s="439"/>
      <c r="B1680" s="439"/>
      <c r="C1680" s="439"/>
      <c r="D1680" s="439"/>
      <c r="E1680" s="439"/>
      <c r="F1680" s="439"/>
      <c r="G1680" s="451" t="s">
        <v>3406</v>
      </c>
      <c r="Z1680" s="500"/>
      <c r="AA1680" s="500"/>
      <c r="AB1680" s="500"/>
      <c r="AC1680" s="500"/>
      <c r="AD1680" s="500"/>
      <c r="AE1680" s="500"/>
      <c r="AF1680" s="500"/>
      <c r="AG1680" s="500"/>
      <c r="AH1680" s="500"/>
      <c r="AI1680" s="500"/>
      <c r="AJ1680" s="500"/>
      <c r="AK1680" s="500"/>
      <c r="AL1680" s="500"/>
      <c r="AM1680" s="500"/>
      <c r="AN1680" s="500"/>
      <c r="AO1680" s="500"/>
      <c r="AP1680" s="500"/>
    </row>
    <row r="1681" spans="1:42" ht="16.5" customHeight="1">
      <c r="A1681" s="434"/>
      <c r="B1681" s="437" t="s">
        <v>3574</v>
      </c>
      <c r="C1681" s="439"/>
      <c r="D1681" s="439"/>
      <c r="E1681" s="439"/>
      <c r="F1681" s="439"/>
      <c r="G1681" s="451" t="s">
        <v>3575</v>
      </c>
      <c r="Z1681" s="500"/>
      <c r="AA1681" s="500"/>
      <c r="AB1681" s="500"/>
      <c r="AC1681" s="500"/>
      <c r="AD1681" s="500"/>
      <c r="AE1681" s="500"/>
      <c r="AF1681" s="500"/>
      <c r="AG1681" s="500"/>
      <c r="AH1681" s="500"/>
      <c r="AI1681" s="500"/>
      <c r="AJ1681" s="500"/>
      <c r="AK1681" s="500"/>
      <c r="AL1681" s="500"/>
      <c r="AM1681" s="500"/>
      <c r="AN1681" s="500"/>
      <c r="AO1681" s="500"/>
      <c r="AP1681" s="500"/>
    </row>
    <row r="1682" spans="1:42" ht="16.5" customHeight="1">
      <c r="A1682" s="439"/>
      <c r="B1682" s="439"/>
      <c r="C1682" s="439"/>
      <c r="D1682" s="439"/>
      <c r="E1682" s="439"/>
      <c r="F1682" s="439"/>
      <c r="G1682" s="451" t="s">
        <v>3406</v>
      </c>
      <c r="Z1682" s="500"/>
      <c r="AA1682" s="500"/>
      <c r="AB1682" s="500"/>
      <c r="AC1682" s="500"/>
      <c r="AD1682" s="500"/>
      <c r="AE1682" s="500"/>
      <c r="AF1682" s="500"/>
      <c r="AG1682" s="500"/>
      <c r="AH1682" s="500"/>
      <c r="AI1682" s="500"/>
      <c r="AJ1682" s="500"/>
      <c r="AK1682" s="500"/>
      <c r="AL1682" s="500"/>
      <c r="AM1682" s="500"/>
      <c r="AN1682" s="500"/>
      <c r="AO1682" s="500"/>
      <c r="AP1682" s="500"/>
    </row>
    <row r="1683" spans="1:42" ht="16.5" customHeight="1">
      <c r="A1683" s="434" t="s">
        <v>3576</v>
      </c>
      <c r="B1683" s="505" t="str">
        <f>"  노 무 비 :  "&amp;TEXT(I1683,"#,##0"&amp;IF(I1683&lt;&gt;INT(I1683),".###",""))&amp;" / Q * "&amp;AC1683&amp;" = "&amp;TEXT(C1683,"#,##0.0")&amp;""</f>
        <v xml:space="preserve">  노 무 비 :  59,020 / Q * 8 = 94,432.0</v>
      </c>
      <c r="C1683" s="506">
        <f>E1683+D1683+F1683</f>
        <v>94432</v>
      </c>
      <c r="D1683" s="506">
        <f>IF(H1683=0,0,ROUNDDOWN(J1683*H1683,1))</f>
        <v>94432</v>
      </c>
      <c r="E1683" s="506">
        <f>IF(H1683=0,0,ROUNDDOWN(K1683*H1683,1))</f>
        <v>0</v>
      </c>
      <c r="F1683" s="506">
        <f>IF(H1683=0,0,ROUNDDOWN(L1683*H1683,1))</f>
        <v>0</v>
      </c>
      <c r="G1683" s="451" t="s">
        <v>3577</v>
      </c>
      <c r="H1683" s="507">
        <f>ROUNDUP(AE1683,14-LEN(ABS(INT(AE1683))))</f>
        <v>1.6</v>
      </c>
      <c r="I1683" s="508">
        <f>K1683+J1683+L1683</f>
        <v>59020</v>
      </c>
      <c r="J1683" s="509">
        <f>중기목록표!F8</f>
        <v>59020</v>
      </c>
      <c r="M1683" s="501" t="s">
        <v>3159</v>
      </c>
      <c r="N1683" s="501" t="s">
        <v>3416</v>
      </c>
      <c r="X1683" s="510" t="str">
        <f>중기목록표!B8&amp;" / "&amp;중기목록표!C8</f>
        <v>굴착기(무한궤도) / 0.6㎥</v>
      </c>
      <c r="Y1683" s="433" t="str">
        <f ca="1">HYPERLINK("#"&amp;중기목록표!J2&amp;"!A"&amp;ROW(중기목록표!A8),"X00269 →")</f>
        <v>X00269 →</v>
      </c>
      <c r="Z1683" s="501" t="s">
        <v>3434</v>
      </c>
      <c r="AA1683" s="512">
        <f>AB1662</f>
        <v>5</v>
      </c>
      <c r="AB1683" s="501" t="s">
        <v>3368</v>
      </c>
      <c r="AC1683" s="515">
        <v>8</v>
      </c>
      <c r="AD1683" s="501" t="s">
        <v>3418</v>
      </c>
      <c r="AE1683" s="512">
        <f>1/AB1662*AC1683</f>
        <v>1.6</v>
      </c>
      <c r="AF1683" s="500"/>
      <c r="AG1683" s="500"/>
      <c r="AH1683" s="500"/>
      <c r="AI1683" s="500"/>
      <c r="AJ1683" s="500"/>
      <c r="AK1683" s="500"/>
      <c r="AL1683" s="500"/>
      <c r="AM1683" s="500"/>
      <c r="AN1683" s="500"/>
      <c r="AO1683" s="500"/>
      <c r="AP1683" s="500"/>
    </row>
    <row r="1684" spans="1:42" ht="16.5" customHeight="1">
      <c r="A1684" s="439"/>
      <c r="B1684" s="439"/>
      <c r="C1684" s="439"/>
      <c r="D1684" s="439"/>
      <c r="E1684" s="439"/>
      <c r="F1684" s="439"/>
      <c r="G1684" s="451" t="s">
        <v>3406</v>
      </c>
      <c r="Z1684" s="500"/>
      <c r="AA1684" s="500"/>
      <c r="AB1684" s="500"/>
      <c r="AC1684" s="500"/>
      <c r="AD1684" s="500"/>
      <c r="AE1684" s="500"/>
      <c r="AF1684" s="500"/>
      <c r="AG1684" s="500"/>
      <c r="AH1684" s="500"/>
      <c r="AI1684" s="500"/>
      <c r="AJ1684" s="500"/>
      <c r="AK1684" s="500"/>
      <c r="AL1684" s="500"/>
      <c r="AM1684" s="500"/>
      <c r="AN1684" s="500"/>
      <c r="AO1684" s="500"/>
      <c r="AP1684" s="500"/>
    </row>
    <row r="1685" spans="1:42" ht="16.5" customHeight="1">
      <c r="A1685" s="434" t="s">
        <v>3578</v>
      </c>
      <c r="B1685" s="505" t="str">
        <f>"  재 료 비 :  "&amp;TEXT(I1685,"#,##0"&amp;IF(I1685&lt;&gt;INT(I1685),".###",""))&amp;" / Q * "&amp;AC1685&amp;" = "&amp;TEXT(C1685,"#,##0.0")&amp;""</f>
        <v xml:space="preserve">  재 료 비 :  17,160 / Q * 8 = 27,456.0</v>
      </c>
      <c r="C1685" s="506">
        <f>E1685+D1685+F1685</f>
        <v>27456</v>
      </c>
      <c r="D1685" s="506">
        <f>IF(H1685=0,0,ROUNDDOWN(J1685*H1685,1))</f>
        <v>0</v>
      </c>
      <c r="E1685" s="506">
        <f>IF(H1685=0,0,ROUNDDOWN(K1685*H1685,1))</f>
        <v>27456</v>
      </c>
      <c r="F1685" s="506">
        <f>IF(H1685=0,0,ROUNDDOWN(L1685*H1685,1))</f>
        <v>0</v>
      </c>
      <c r="G1685" s="451" t="s">
        <v>3579</v>
      </c>
      <c r="H1685" s="507">
        <f>ROUNDUP(AE1685,14-LEN(ABS(INT(AE1685))))</f>
        <v>1.6</v>
      </c>
      <c r="I1685" s="508">
        <f>K1685+J1685+L1685</f>
        <v>17160</v>
      </c>
      <c r="K1685" s="509">
        <f>중기목록표!G8</f>
        <v>17160</v>
      </c>
      <c r="M1685" s="501" t="s">
        <v>3159</v>
      </c>
      <c r="N1685" s="501" t="s">
        <v>3416</v>
      </c>
      <c r="X1685" s="510" t="str">
        <f>중기목록표!B8&amp;" / "&amp;중기목록표!C8</f>
        <v>굴착기(무한궤도) / 0.6㎥</v>
      </c>
      <c r="Y1685" s="433" t="str">
        <f ca="1">HYPERLINK("#"&amp;중기목록표!J2&amp;"!A"&amp;ROW(중기목록표!A8),"X00269 →")</f>
        <v>X00269 →</v>
      </c>
      <c r="Z1685" s="501" t="s">
        <v>3434</v>
      </c>
      <c r="AA1685" s="512">
        <f>AB1662</f>
        <v>5</v>
      </c>
      <c r="AB1685" s="501" t="s">
        <v>3368</v>
      </c>
      <c r="AC1685" s="515">
        <v>8</v>
      </c>
      <c r="AD1685" s="501" t="s">
        <v>3418</v>
      </c>
      <c r="AE1685" s="512">
        <f>1/AB1662*AC1685</f>
        <v>1.6</v>
      </c>
      <c r="AF1685" s="500"/>
      <c r="AG1685" s="500"/>
      <c r="AH1685" s="500"/>
      <c r="AI1685" s="500"/>
      <c r="AJ1685" s="500"/>
      <c r="AK1685" s="500"/>
      <c r="AL1685" s="500"/>
      <c r="AM1685" s="500"/>
      <c r="AN1685" s="500"/>
      <c r="AO1685" s="500"/>
      <c r="AP1685" s="500"/>
    </row>
    <row r="1686" spans="1:42" ht="16.5" customHeight="1">
      <c r="A1686" s="439"/>
      <c r="B1686" s="439"/>
      <c r="C1686" s="439"/>
      <c r="D1686" s="439"/>
      <c r="E1686" s="439"/>
      <c r="F1686" s="439"/>
      <c r="G1686" s="451" t="s">
        <v>3406</v>
      </c>
      <c r="Z1686" s="500"/>
      <c r="AA1686" s="500"/>
      <c r="AB1686" s="500"/>
      <c r="AC1686" s="500"/>
      <c r="AD1686" s="500"/>
      <c r="AE1686" s="500"/>
      <c r="AF1686" s="500"/>
      <c r="AG1686" s="500"/>
      <c r="AH1686" s="500"/>
      <c r="AI1686" s="500"/>
      <c r="AJ1686" s="500"/>
      <c r="AK1686" s="500"/>
      <c r="AL1686" s="500"/>
      <c r="AM1686" s="500"/>
      <c r="AN1686" s="500"/>
      <c r="AO1686" s="500"/>
      <c r="AP1686" s="500"/>
    </row>
    <row r="1687" spans="1:42" ht="16.5" customHeight="1">
      <c r="A1687" s="434" t="s">
        <v>3580</v>
      </c>
      <c r="B1687" s="505" t="str">
        <f>"  경    비 :  "&amp;TEXT(I1687,"#,##0"&amp;IF(I1687&lt;&gt;INT(I1687),".###",""))&amp;" / Q * "&amp;AC1687&amp;" = "&amp;TEXT(C1687,"#,##0.0")&amp;""</f>
        <v xml:space="preserve">  경    비 :  23,423 / Q * 8 = 37,476.8</v>
      </c>
      <c r="C1687" s="506">
        <f>E1687+D1687+F1687</f>
        <v>37476.800000000003</v>
      </c>
      <c r="D1687" s="506">
        <f>IF(H1687=0,0,ROUNDDOWN(J1687*H1687,1))</f>
        <v>0</v>
      </c>
      <c r="E1687" s="506">
        <f>IF(H1687=0,0,ROUNDDOWN(K1687*H1687,1))</f>
        <v>0</v>
      </c>
      <c r="F1687" s="506">
        <f>IF(H1687=0,0,ROUNDDOWN(L1687*H1687,1))</f>
        <v>37476.800000000003</v>
      </c>
      <c r="G1687" s="451" t="s">
        <v>3581</v>
      </c>
      <c r="H1687" s="507">
        <f>ROUNDUP(AE1687,14-LEN(ABS(INT(AE1687))))</f>
        <v>1.6</v>
      </c>
      <c r="I1687" s="508">
        <f>K1687+J1687+L1687</f>
        <v>23423</v>
      </c>
      <c r="L1687" s="509">
        <f>중기목록표!H8</f>
        <v>23423</v>
      </c>
      <c r="M1687" s="501" t="s">
        <v>3159</v>
      </c>
      <c r="N1687" s="501" t="s">
        <v>3416</v>
      </c>
      <c r="X1687" s="510" t="str">
        <f>중기목록표!B8&amp;" / "&amp;중기목록표!C8</f>
        <v>굴착기(무한궤도) / 0.6㎥</v>
      </c>
      <c r="Y1687" s="433" t="str">
        <f ca="1">HYPERLINK("#"&amp;중기목록표!J2&amp;"!A"&amp;ROW(중기목록표!A8),"X00269 →")</f>
        <v>X00269 →</v>
      </c>
      <c r="Z1687" s="501" t="s">
        <v>3434</v>
      </c>
      <c r="AA1687" s="512">
        <f>AB1662</f>
        <v>5</v>
      </c>
      <c r="AB1687" s="501" t="s">
        <v>3368</v>
      </c>
      <c r="AC1687" s="515">
        <v>8</v>
      </c>
      <c r="AD1687" s="501" t="s">
        <v>3418</v>
      </c>
      <c r="AE1687" s="512">
        <f>1/AB1662*AC1687</f>
        <v>1.6</v>
      </c>
      <c r="AF1687" s="500"/>
      <c r="AG1687" s="500"/>
      <c r="AH1687" s="500"/>
      <c r="AI1687" s="500"/>
      <c r="AJ1687" s="500"/>
      <c r="AK1687" s="500"/>
      <c r="AL1687" s="500"/>
      <c r="AM1687" s="500"/>
      <c r="AN1687" s="500"/>
      <c r="AO1687" s="500"/>
      <c r="AP1687" s="500"/>
    </row>
    <row r="1688" spans="1:42" ht="16.5" customHeight="1">
      <c r="A1688" s="439"/>
      <c r="B1688" s="439"/>
      <c r="C1688" s="439"/>
      <c r="D1688" s="439"/>
      <c r="E1688" s="439"/>
      <c r="F1688" s="439"/>
      <c r="G1688" s="451" t="s">
        <v>3406</v>
      </c>
      <c r="Z1688" s="500"/>
      <c r="AA1688" s="500"/>
      <c r="AB1688" s="500"/>
      <c r="AC1688" s="500"/>
      <c r="AD1688" s="500"/>
      <c r="AE1688" s="500"/>
      <c r="AF1688" s="500"/>
      <c r="AG1688" s="500"/>
      <c r="AH1688" s="500"/>
      <c r="AI1688" s="500"/>
      <c r="AJ1688" s="500"/>
      <c r="AK1688" s="500"/>
      <c r="AL1688" s="500"/>
      <c r="AM1688" s="500"/>
      <c r="AN1688" s="500"/>
      <c r="AO1688" s="500"/>
      <c r="AP1688" s="500"/>
    </row>
    <row r="1689" spans="1:42" ht="16.5" customHeight="1">
      <c r="A1689" s="439"/>
      <c r="B1689" s="439"/>
      <c r="C1689" s="439"/>
      <c r="D1689" s="439"/>
      <c r="E1689" s="439"/>
      <c r="F1689" s="439"/>
      <c r="G1689" s="451" t="s">
        <v>3406</v>
      </c>
      <c r="Z1689" s="500"/>
      <c r="AA1689" s="500"/>
      <c r="AB1689" s="500"/>
      <c r="AC1689" s="500"/>
      <c r="AD1689" s="500"/>
      <c r="AE1689" s="500"/>
      <c r="AF1689" s="500"/>
      <c r="AG1689" s="500"/>
      <c r="AH1689" s="500"/>
      <c r="AI1689" s="500"/>
      <c r="AJ1689" s="500"/>
      <c r="AK1689" s="500"/>
      <c r="AL1689" s="500"/>
      <c r="AM1689" s="500"/>
      <c r="AN1689" s="500"/>
      <c r="AO1689" s="500"/>
      <c r="AP1689" s="500"/>
    </row>
    <row r="1690" spans="1:42" ht="16.5" customHeight="1">
      <c r="A1690" s="434"/>
      <c r="B1690" s="437" t="s">
        <v>3613</v>
      </c>
      <c r="C1690" s="439"/>
      <c r="D1690" s="439"/>
      <c r="E1690" s="439"/>
      <c r="F1690" s="439"/>
      <c r="G1690" s="451" t="s">
        <v>3614</v>
      </c>
      <c r="Z1690" s="500"/>
      <c r="AA1690" s="500"/>
      <c r="AB1690" s="500"/>
      <c r="AC1690" s="500"/>
      <c r="AD1690" s="500"/>
      <c r="AE1690" s="500"/>
      <c r="AF1690" s="500"/>
      <c r="AG1690" s="500"/>
      <c r="AH1690" s="500"/>
      <c r="AI1690" s="500"/>
      <c r="AJ1690" s="500"/>
      <c r="AK1690" s="500"/>
      <c r="AL1690" s="500"/>
      <c r="AM1690" s="500"/>
      <c r="AN1690" s="500"/>
      <c r="AO1690" s="500"/>
      <c r="AP1690" s="500"/>
    </row>
    <row r="1691" spans="1:42" ht="16.5" customHeight="1">
      <c r="A1691" s="439"/>
      <c r="B1691" s="439"/>
      <c r="C1691" s="439"/>
      <c r="D1691" s="439"/>
      <c r="E1691" s="439"/>
      <c r="F1691" s="439"/>
      <c r="G1691" s="451" t="s">
        <v>3406</v>
      </c>
      <c r="Z1691" s="500"/>
      <c r="AA1691" s="500"/>
      <c r="AB1691" s="500"/>
      <c r="AC1691" s="500"/>
      <c r="AD1691" s="500"/>
      <c r="AE1691" s="500"/>
      <c r="AF1691" s="500"/>
      <c r="AG1691" s="500"/>
      <c r="AH1691" s="500"/>
      <c r="AI1691" s="500"/>
      <c r="AJ1691" s="500"/>
      <c r="AK1691" s="500"/>
      <c r="AL1691" s="500"/>
      <c r="AM1691" s="500"/>
      <c r="AN1691" s="500"/>
      <c r="AO1691" s="500"/>
      <c r="AP1691" s="500"/>
    </row>
    <row r="1692" spans="1:42" ht="16.5" customHeight="1">
      <c r="A1692" s="434" t="s">
        <v>3615</v>
      </c>
      <c r="B1692" s="505" t="str">
        <f>"  노 무 비 :  "&amp;TEXT(I1692,"#,##0"&amp;IF(I1692&lt;&gt;INT(I1692),".###",""))&amp;" / Q * "&amp;AC1692&amp;" = "&amp;TEXT(C1692,"#,##0.0")&amp;""</f>
        <v xml:space="preserve">  노 무 비 :  59,020 / Q * 8 = 94,432.0</v>
      </c>
      <c r="C1692" s="506">
        <f>E1692+D1692+F1692</f>
        <v>94432</v>
      </c>
      <c r="D1692" s="506">
        <f>IF(H1692=0,0,ROUNDDOWN(J1692*H1692,1))</f>
        <v>94432</v>
      </c>
      <c r="E1692" s="506">
        <f>IF(H1692=0,0,ROUNDDOWN(K1692*H1692,1))</f>
        <v>0</v>
      </c>
      <c r="F1692" s="506">
        <f>IF(H1692=0,0,ROUNDDOWN(L1692*H1692,1))</f>
        <v>0</v>
      </c>
      <c r="G1692" s="451" t="s">
        <v>3616</v>
      </c>
      <c r="H1692" s="507">
        <f>ROUNDUP(AE1692,14-LEN(ABS(INT(AE1692))))</f>
        <v>1.6</v>
      </c>
      <c r="I1692" s="508">
        <f>K1692+J1692+L1692</f>
        <v>59020</v>
      </c>
      <c r="J1692" s="509">
        <f>중기목록표!F17</f>
        <v>59020</v>
      </c>
      <c r="M1692" s="501" t="s">
        <v>3617</v>
      </c>
      <c r="N1692" s="501" t="s">
        <v>3416</v>
      </c>
      <c r="X1692" s="510" t="str">
        <f>중기목록표!B17&amp;" / "&amp;중기목록표!C17</f>
        <v>크레인(타이어) / 25톤</v>
      </c>
      <c r="Y1692" s="433" t="str">
        <f ca="1">HYPERLINK("#"&amp;중기목록표!J2&amp;"!A"&amp;ROW(중기목록표!A17),"X00301 →")</f>
        <v>X00301 →</v>
      </c>
      <c r="Z1692" s="501" t="s">
        <v>3434</v>
      </c>
      <c r="AA1692" s="512">
        <f>AB1662</f>
        <v>5</v>
      </c>
      <c r="AB1692" s="501" t="s">
        <v>3368</v>
      </c>
      <c r="AC1692" s="515">
        <v>8</v>
      </c>
      <c r="AD1692" s="501" t="s">
        <v>3418</v>
      </c>
      <c r="AE1692" s="512">
        <f>1/AB1662*AC1692</f>
        <v>1.6</v>
      </c>
      <c r="AF1692" s="500"/>
      <c r="AG1692" s="500"/>
      <c r="AH1692" s="500"/>
      <c r="AI1692" s="500"/>
      <c r="AJ1692" s="500"/>
      <c r="AK1692" s="500"/>
      <c r="AL1692" s="500"/>
      <c r="AM1692" s="500"/>
      <c r="AN1692" s="500"/>
      <c r="AO1692" s="500"/>
      <c r="AP1692" s="500"/>
    </row>
    <row r="1693" spans="1:42" ht="16.5" customHeight="1">
      <c r="A1693" s="439"/>
      <c r="B1693" s="439"/>
      <c r="C1693" s="439"/>
      <c r="D1693" s="439"/>
      <c r="E1693" s="439"/>
      <c r="F1693" s="439"/>
      <c r="G1693" s="451" t="s">
        <v>3406</v>
      </c>
      <c r="Z1693" s="500"/>
      <c r="AA1693" s="500"/>
      <c r="AB1693" s="500"/>
      <c r="AC1693" s="500"/>
      <c r="AD1693" s="500"/>
      <c r="AE1693" s="500"/>
      <c r="AF1693" s="500"/>
      <c r="AG1693" s="500"/>
      <c r="AH1693" s="500"/>
      <c r="AI1693" s="500"/>
      <c r="AJ1693" s="500"/>
      <c r="AK1693" s="500"/>
      <c r="AL1693" s="500"/>
      <c r="AM1693" s="500"/>
      <c r="AN1693" s="500"/>
      <c r="AO1693" s="500"/>
      <c r="AP1693" s="500"/>
    </row>
    <row r="1694" spans="1:42" ht="16.5" customHeight="1">
      <c r="A1694" s="434" t="s">
        <v>3618</v>
      </c>
      <c r="B1694" s="505" t="str">
        <f>"  재 료 비 :  "&amp;TEXT(I1694,"#,##0"&amp;IF(I1694&lt;&gt;INT(I1694),".###",""))&amp;" / Q * "&amp;AC1694&amp;" = "&amp;TEXT(C1694,"#,##0.0")&amp;""</f>
        <v xml:space="preserve">  재 료 비 :  11,692 / Q * 8 = 18,707.2</v>
      </c>
      <c r="C1694" s="506">
        <f>E1694+D1694+F1694</f>
        <v>18707.2</v>
      </c>
      <c r="D1694" s="506">
        <f>IF(H1694=0,0,ROUNDDOWN(J1694*H1694,1))</f>
        <v>0</v>
      </c>
      <c r="E1694" s="506">
        <f>IF(H1694=0,0,ROUNDDOWN(K1694*H1694,1))</f>
        <v>18707.2</v>
      </c>
      <c r="F1694" s="506">
        <f>IF(H1694=0,0,ROUNDDOWN(L1694*H1694,1))</f>
        <v>0</v>
      </c>
      <c r="G1694" s="451" t="s">
        <v>3619</v>
      </c>
      <c r="H1694" s="507">
        <f>ROUNDUP(AE1694,14-LEN(ABS(INT(AE1694))))</f>
        <v>1.6</v>
      </c>
      <c r="I1694" s="508">
        <f>K1694+J1694+L1694</f>
        <v>11692</v>
      </c>
      <c r="K1694" s="509">
        <f>중기목록표!G17</f>
        <v>11692</v>
      </c>
      <c r="M1694" s="501" t="s">
        <v>3617</v>
      </c>
      <c r="N1694" s="501" t="s">
        <v>3416</v>
      </c>
      <c r="X1694" s="510" t="str">
        <f>중기목록표!B17&amp;" / "&amp;중기목록표!C17</f>
        <v>크레인(타이어) / 25톤</v>
      </c>
      <c r="Y1694" s="433" t="str">
        <f ca="1">HYPERLINK("#"&amp;중기목록표!J2&amp;"!A"&amp;ROW(중기목록표!A17),"X00301 →")</f>
        <v>X00301 →</v>
      </c>
      <c r="Z1694" s="501" t="s">
        <v>3434</v>
      </c>
      <c r="AA1694" s="512">
        <f>AB1662</f>
        <v>5</v>
      </c>
      <c r="AB1694" s="501" t="s">
        <v>3368</v>
      </c>
      <c r="AC1694" s="515">
        <v>8</v>
      </c>
      <c r="AD1694" s="501" t="s">
        <v>3418</v>
      </c>
      <c r="AE1694" s="512">
        <f>1/AB1662*AC1694</f>
        <v>1.6</v>
      </c>
      <c r="AF1694" s="500"/>
      <c r="AG1694" s="500"/>
      <c r="AH1694" s="500"/>
      <c r="AI1694" s="500"/>
      <c r="AJ1694" s="500"/>
      <c r="AK1694" s="500"/>
      <c r="AL1694" s="500"/>
      <c r="AM1694" s="500"/>
      <c r="AN1694" s="500"/>
      <c r="AO1694" s="500"/>
      <c r="AP1694" s="500"/>
    </row>
    <row r="1695" spans="1:42" ht="16.5" customHeight="1">
      <c r="A1695" s="439"/>
      <c r="B1695" s="439"/>
      <c r="C1695" s="439"/>
      <c r="D1695" s="439"/>
      <c r="E1695" s="439"/>
      <c r="F1695" s="439"/>
      <c r="G1695" s="451" t="s">
        <v>3406</v>
      </c>
      <c r="Z1695" s="500"/>
      <c r="AA1695" s="500"/>
      <c r="AB1695" s="500"/>
      <c r="AC1695" s="500"/>
      <c r="AD1695" s="500"/>
      <c r="AE1695" s="500"/>
      <c r="AF1695" s="500"/>
      <c r="AG1695" s="500"/>
      <c r="AH1695" s="500"/>
      <c r="AI1695" s="500"/>
      <c r="AJ1695" s="500"/>
      <c r="AK1695" s="500"/>
      <c r="AL1695" s="500"/>
      <c r="AM1695" s="500"/>
      <c r="AN1695" s="500"/>
      <c r="AO1695" s="500"/>
      <c r="AP1695" s="500"/>
    </row>
    <row r="1696" spans="1:42" ht="16.5" customHeight="1">
      <c r="A1696" s="434" t="s">
        <v>3620</v>
      </c>
      <c r="B1696" s="505" t="str">
        <f>"  경    비 :  "&amp;TEXT(I1696,"#,##0"&amp;IF(I1696&lt;&gt;INT(I1696),".###",""))&amp;" / Q * "&amp;AC1696&amp;" = "&amp;TEXT(C1696,"#,##0.0")&amp;""</f>
        <v xml:space="preserve">  경    비 :  59,751 / Q * 8 = 95,601.6</v>
      </c>
      <c r="C1696" s="506">
        <f>E1696+D1696+F1696</f>
        <v>95601.600000000006</v>
      </c>
      <c r="D1696" s="506">
        <f>IF(H1696=0,0,ROUNDDOWN(J1696*H1696,1))</f>
        <v>0</v>
      </c>
      <c r="E1696" s="506">
        <f>IF(H1696=0,0,ROUNDDOWN(K1696*H1696,1))</f>
        <v>0</v>
      </c>
      <c r="F1696" s="506">
        <f>IF(H1696=0,0,ROUNDDOWN(L1696*H1696,1))</f>
        <v>95601.600000000006</v>
      </c>
      <c r="G1696" s="451" t="s">
        <v>3621</v>
      </c>
      <c r="H1696" s="507">
        <f>ROUNDUP(AE1696,14-LEN(ABS(INT(AE1696))))</f>
        <v>1.6</v>
      </c>
      <c r="I1696" s="508">
        <f>K1696+J1696+L1696</f>
        <v>59751</v>
      </c>
      <c r="L1696" s="509">
        <f>중기목록표!H17</f>
        <v>59751</v>
      </c>
      <c r="M1696" s="501" t="s">
        <v>3617</v>
      </c>
      <c r="N1696" s="501" t="s">
        <v>3416</v>
      </c>
      <c r="X1696" s="510" t="str">
        <f>중기목록표!B17&amp;" / "&amp;중기목록표!C17</f>
        <v>크레인(타이어) / 25톤</v>
      </c>
      <c r="Y1696" s="433" t="str">
        <f ca="1">HYPERLINK("#"&amp;중기목록표!J2&amp;"!A"&amp;ROW(중기목록표!A17),"X00301 →")</f>
        <v>X00301 →</v>
      </c>
      <c r="Z1696" s="501" t="s">
        <v>3434</v>
      </c>
      <c r="AA1696" s="512">
        <f>AB1662</f>
        <v>5</v>
      </c>
      <c r="AB1696" s="501" t="s">
        <v>3368</v>
      </c>
      <c r="AC1696" s="515">
        <v>8</v>
      </c>
      <c r="AD1696" s="501" t="s">
        <v>3418</v>
      </c>
      <c r="AE1696" s="512">
        <f>1/AB1662*AC1696</f>
        <v>1.6</v>
      </c>
      <c r="AF1696" s="500"/>
      <c r="AG1696" s="500"/>
      <c r="AH1696" s="500"/>
      <c r="AI1696" s="500"/>
      <c r="AJ1696" s="500"/>
      <c r="AK1696" s="500"/>
      <c r="AL1696" s="500"/>
      <c r="AM1696" s="500"/>
      <c r="AN1696" s="500"/>
      <c r="AO1696" s="500"/>
      <c r="AP1696" s="500"/>
    </row>
    <row r="1697" spans="1:42" ht="16.5" customHeight="1">
      <c r="A1697" s="439"/>
      <c r="B1697" s="439"/>
      <c r="C1697" s="439"/>
      <c r="D1697" s="439"/>
      <c r="E1697" s="439"/>
      <c r="F1697" s="439"/>
      <c r="G1697" s="451" t="s">
        <v>3406</v>
      </c>
      <c r="Z1697" s="500"/>
      <c r="AA1697" s="500"/>
      <c r="AB1697" s="500"/>
      <c r="AC1697" s="500"/>
      <c r="AD1697" s="500"/>
      <c r="AE1697" s="500"/>
      <c r="AF1697" s="500"/>
      <c r="AG1697" s="500"/>
      <c r="AH1697" s="500"/>
      <c r="AI1697" s="500"/>
      <c r="AJ1697" s="500"/>
      <c r="AK1697" s="500"/>
      <c r="AL1697" s="500"/>
      <c r="AM1697" s="500"/>
      <c r="AN1697" s="500"/>
      <c r="AO1697" s="500"/>
      <c r="AP1697" s="500"/>
    </row>
    <row r="1698" spans="1:42" ht="16.5" customHeight="1">
      <c r="A1698" s="439"/>
      <c r="B1698" s="439"/>
      <c r="C1698" s="439"/>
      <c r="D1698" s="439"/>
      <c r="E1698" s="439"/>
      <c r="F1698" s="439"/>
      <c r="G1698" s="451" t="s">
        <v>3406</v>
      </c>
      <c r="Z1698" s="500"/>
      <c r="AA1698" s="500"/>
      <c r="AB1698" s="500"/>
      <c r="AC1698" s="500"/>
      <c r="AD1698" s="500"/>
      <c r="AE1698" s="500"/>
      <c r="AF1698" s="500"/>
      <c r="AG1698" s="500"/>
      <c r="AH1698" s="500"/>
      <c r="AI1698" s="500"/>
      <c r="AJ1698" s="500"/>
      <c r="AK1698" s="500"/>
      <c r="AL1698" s="500"/>
      <c r="AM1698" s="500"/>
      <c r="AN1698" s="500"/>
      <c r="AO1698" s="500"/>
      <c r="AP1698" s="500"/>
    </row>
    <row r="1699" spans="1:42" ht="16.5" customHeight="1">
      <c r="A1699" s="434"/>
      <c r="B1699" s="437" t="s">
        <v>3419</v>
      </c>
      <c r="C1699" s="513">
        <f>E1699+D1699+F1699</f>
        <v>368105.60000000003</v>
      </c>
      <c r="D1699" s="513">
        <f>SUMIF(N1677:N1698,M1699,D1677:D1698)</f>
        <v>188864</v>
      </c>
      <c r="E1699" s="513">
        <f>SUMIF(N1677:N1698,M1699,E1677:E1698)</f>
        <v>46163.199999999997</v>
      </c>
      <c r="F1699" s="513">
        <f>SUMIF(N1677:N1698,M1699,F1677:F1698)</f>
        <v>133078.40000000002</v>
      </c>
      <c r="G1699" s="451" t="s">
        <v>3439</v>
      </c>
      <c r="M1699" s="501" t="s">
        <v>3416</v>
      </c>
      <c r="N1699" s="501" t="s">
        <v>3421</v>
      </c>
      <c r="Z1699" s="500"/>
      <c r="AA1699" s="500"/>
      <c r="AB1699" s="500"/>
      <c r="AC1699" s="500"/>
      <c r="AD1699" s="500"/>
      <c r="AE1699" s="500"/>
      <c r="AF1699" s="500"/>
      <c r="AG1699" s="500"/>
      <c r="AH1699" s="500"/>
      <c r="AI1699" s="500"/>
      <c r="AJ1699" s="500"/>
      <c r="AK1699" s="500"/>
      <c r="AL1699" s="500"/>
      <c r="AM1699" s="500"/>
      <c r="AN1699" s="500"/>
      <c r="AO1699" s="500"/>
      <c r="AP1699" s="500"/>
    </row>
    <row r="1700" spans="1:42" ht="16.5" customHeight="1">
      <c r="A1700" s="439"/>
      <c r="B1700" s="439"/>
      <c r="C1700" s="504"/>
      <c r="D1700" s="504"/>
      <c r="E1700" s="504"/>
      <c r="F1700" s="504"/>
      <c r="G1700" s="451" t="s">
        <v>3406</v>
      </c>
      <c r="Z1700" s="500"/>
      <c r="AA1700" s="500"/>
      <c r="AB1700" s="500"/>
      <c r="AC1700" s="500"/>
      <c r="AD1700" s="500"/>
      <c r="AE1700" s="500"/>
      <c r="AF1700" s="500"/>
      <c r="AG1700" s="500"/>
      <c r="AH1700" s="500"/>
      <c r="AI1700" s="500"/>
      <c r="AJ1700" s="500"/>
      <c r="AK1700" s="500"/>
      <c r="AL1700" s="500"/>
      <c r="AM1700" s="500"/>
      <c r="AN1700" s="500"/>
      <c r="AO1700" s="500"/>
      <c r="AP1700" s="500"/>
    </row>
    <row r="1701" spans="1:42" ht="16.5" customHeight="1">
      <c r="A1701" s="439"/>
      <c r="B1701" s="439"/>
      <c r="C1701" s="439"/>
      <c r="D1701" s="439"/>
      <c r="E1701" s="439"/>
      <c r="F1701" s="439"/>
      <c r="G1701" s="451" t="s">
        <v>3406</v>
      </c>
      <c r="Z1701" s="500"/>
      <c r="AA1701" s="500"/>
      <c r="AB1701" s="500"/>
      <c r="AC1701" s="500"/>
      <c r="AD1701" s="500"/>
      <c r="AE1701" s="500"/>
      <c r="AF1701" s="500"/>
      <c r="AG1701" s="500"/>
      <c r="AH1701" s="500"/>
      <c r="AI1701" s="500"/>
      <c r="AJ1701" s="500"/>
      <c r="AK1701" s="500"/>
      <c r="AL1701" s="500"/>
      <c r="AM1701" s="500"/>
      <c r="AN1701" s="500"/>
      <c r="AO1701" s="500"/>
      <c r="AP1701" s="500"/>
    </row>
    <row r="1702" spans="1:42" ht="16.5" customHeight="1">
      <c r="A1702" s="434"/>
      <c r="B1702" s="437" t="s">
        <v>3562</v>
      </c>
      <c r="C1702" s="439"/>
      <c r="D1702" s="439"/>
      <c r="E1702" s="439"/>
      <c r="F1702" s="439"/>
      <c r="G1702" s="451" t="s">
        <v>3563</v>
      </c>
      <c r="Z1702" s="500"/>
      <c r="AA1702" s="500"/>
      <c r="AB1702" s="500"/>
      <c r="AC1702" s="500"/>
      <c r="AD1702" s="500"/>
      <c r="AE1702" s="500"/>
      <c r="AF1702" s="500"/>
      <c r="AG1702" s="500"/>
      <c r="AH1702" s="500"/>
      <c r="AI1702" s="500"/>
      <c r="AJ1702" s="500"/>
      <c r="AK1702" s="500"/>
      <c r="AL1702" s="500"/>
      <c r="AM1702" s="500"/>
      <c r="AN1702" s="500"/>
      <c r="AO1702" s="500"/>
      <c r="AP1702" s="500"/>
    </row>
    <row r="1703" spans="1:42" ht="16.5" customHeight="1">
      <c r="A1703" s="439"/>
      <c r="B1703" s="439"/>
      <c r="C1703" s="439"/>
      <c r="D1703" s="439"/>
      <c r="E1703" s="439"/>
      <c r="F1703" s="439"/>
      <c r="G1703" s="451" t="s">
        <v>3406</v>
      </c>
      <c r="Z1703" s="500"/>
      <c r="AA1703" s="500"/>
      <c r="AB1703" s="500"/>
      <c r="AC1703" s="500"/>
      <c r="AD1703" s="500"/>
      <c r="AE1703" s="500"/>
      <c r="AF1703" s="500"/>
      <c r="AG1703" s="500"/>
      <c r="AH1703" s="500"/>
      <c r="AI1703" s="500"/>
      <c r="AJ1703" s="500"/>
      <c r="AK1703" s="500"/>
      <c r="AL1703" s="500"/>
      <c r="AM1703" s="500"/>
      <c r="AN1703" s="500"/>
      <c r="AO1703" s="500"/>
      <c r="AP1703" s="500"/>
    </row>
    <row r="1704" spans="1:42" ht="16.5" customHeight="1">
      <c r="A1704" s="434" t="s">
        <v>3605</v>
      </c>
      <c r="B1704" s="505" t="str">
        <f>"  지주목 삼발이, L2700 : "&amp;TEXT(I1704,"#,##0"&amp;IF(I1704&lt;&gt;INT(I1704),".###",""))&amp;" * "&amp;AA1704&amp;" 조  = "&amp;TEXT(C1704,"#,##0.0")&amp;""</f>
        <v xml:space="preserve">  지주목 삼발이, L2700 : 32,000 * 1 조  = 32,000.0</v>
      </c>
      <c r="C1704" s="506">
        <f>E1704+D1704+F1704</f>
        <v>32000</v>
      </c>
      <c r="D1704" s="506">
        <f>IF(H1704=0,0,ROUNDDOWN(J1704*H1704,1))</f>
        <v>0</v>
      </c>
      <c r="E1704" s="506">
        <f>IF(H1704=0,0,ROUNDDOWN(K1704*H1704,1))</f>
        <v>32000</v>
      </c>
      <c r="F1704" s="506">
        <f>IF(H1704=0,0,ROUNDDOWN(L1704*H1704,1))</f>
        <v>0</v>
      </c>
      <c r="G1704" s="451" t="s">
        <v>3606</v>
      </c>
      <c r="H1704" s="507">
        <f>ROUNDUP(AC1704,14-LEN(ABS(INT(AC1704))))</f>
        <v>1</v>
      </c>
      <c r="I1704" s="508">
        <f>K1704+J1704+L1704</f>
        <v>32000</v>
      </c>
      <c r="K1704" s="509">
        <f>재료비목록표!E93</f>
        <v>32000</v>
      </c>
      <c r="M1704" s="501" t="s">
        <v>3607</v>
      </c>
      <c r="N1704" s="501" t="s">
        <v>3416</v>
      </c>
      <c r="X1704" s="510" t="str">
        <f>재료비목록표!B93&amp;" / "&amp;재료비목록표!C93</f>
        <v>지주목 / 삼발이, L2700</v>
      </c>
      <c r="Y1704" s="433" t="str">
        <f ca="1">HYPERLINK("#"&amp;재료비목록표!G2&amp;"!A"&amp;ROW(재료비목록표!A93),"M08851 →")</f>
        <v>M08851 →</v>
      </c>
      <c r="Z1704" s="501" t="s">
        <v>3500</v>
      </c>
      <c r="AA1704" s="515">
        <v>1</v>
      </c>
      <c r="AB1704" s="501" t="s">
        <v>3418</v>
      </c>
      <c r="AC1704" s="512">
        <f>1*AA1704</f>
        <v>1</v>
      </c>
      <c r="AD1704" s="500"/>
      <c r="AE1704" s="500"/>
      <c r="AF1704" s="500"/>
      <c r="AG1704" s="500"/>
      <c r="AH1704" s="500"/>
      <c r="AI1704" s="500"/>
      <c r="AJ1704" s="500"/>
      <c r="AK1704" s="500"/>
      <c r="AL1704" s="500"/>
      <c r="AM1704" s="500"/>
      <c r="AN1704" s="500"/>
      <c r="AO1704" s="500"/>
      <c r="AP1704" s="500"/>
    </row>
    <row r="1705" spans="1:42" ht="16.5" customHeight="1">
      <c r="A1705" s="439"/>
      <c r="B1705" s="439"/>
      <c r="C1705" s="439"/>
      <c r="D1705" s="439"/>
      <c r="E1705" s="439"/>
      <c r="F1705" s="439"/>
      <c r="G1705" s="451" t="s">
        <v>3406</v>
      </c>
      <c r="Z1705" s="500"/>
      <c r="AA1705" s="500"/>
      <c r="AB1705" s="500"/>
      <c r="AC1705" s="500"/>
      <c r="AD1705" s="500"/>
      <c r="AE1705" s="500"/>
      <c r="AF1705" s="500"/>
      <c r="AG1705" s="500"/>
      <c r="AH1705" s="500"/>
      <c r="AI1705" s="500"/>
      <c r="AJ1705" s="500"/>
      <c r="AK1705" s="500"/>
      <c r="AL1705" s="500"/>
      <c r="AM1705" s="500"/>
      <c r="AN1705" s="500"/>
      <c r="AO1705" s="500"/>
      <c r="AP1705" s="500"/>
    </row>
    <row r="1706" spans="1:42" ht="16.5" customHeight="1">
      <c r="A1706" s="439"/>
      <c r="B1706" s="439"/>
      <c r="C1706" s="439"/>
      <c r="D1706" s="439"/>
      <c r="E1706" s="439"/>
      <c r="F1706" s="439"/>
      <c r="G1706" s="451" t="s">
        <v>3406</v>
      </c>
      <c r="Z1706" s="500"/>
      <c r="AA1706" s="500"/>
      <c r="AB1706" s="500"/>
      <c r="AC1706" s="500"/>
      <c r="AD1706" s="500"/>
      <c r="AE1706" s="500"/>
      <c r="AF1706" s="500"/>
      <c r="AG1706" s="500"/>
      <c r="AH1706" s="500"/>
      <c r="AI1706" s="500"/>
      <c r="AJ1706" s="500"/>
      <c r="AK1706" s="500"/>
      <c r="AL1706" s="500"/>
      <c r="AM1706" s="500"/>
      <c r="AN1706" s="500"/>
      <c r="AO1706" s="500"/>
      <c r="AP1706" s="500"/>
    </row>
    <row r="1707" spans="1:42" ht="16.5" customHeight="1">
      <c r="A1707" s="439"/>
      <c r="B1707" s="439"/>
      <c r="C1707" s="439"/>
      <c r="D1707" s="439"/>
      <c r="E1707" s="439"/>
      <c r="F1707" s="439"/>
      <c r="G1707" s="451" t="s">
        <v>3406</v>
      </c>
      <c r="Z1707" s="500"/>
      <c r="AA1707" s="500"/>
      <c r="AB1707" s="500"/>
      <c r="AC1707" s="500"/>
      <c r="AD1707" s="500"/>
      <c r="AE1707" s="500"/>
      <c r="AF1707" s="500"/>
      <c r="AG1707" s="500"/>
      <c r="AH1707" s="500"/>
      <c r="AI1707" s="500"/>
      <c r="AJ1707" s="500"/>
      <c r="AK1707" s="500"/>
      <c r="AL1707" s="500"/>
      <c r="AM1707" s="500"/>
      <c r="AN1707" s="500"/>
      <c r="AO1707" s="500"/>
      <c r="AP1707" s="500"/>
    </row>
    <row r="1708" spans="1:42" ht="16.5" customHeight="1">
      <c r="A1708" s="434" t="s">
        <v>3504</v>
      </c>
      <c r="B1708" s="505" t="str">
        <f>"  유기질비료 수목이식·식재용 : "&amp;TEXT(I1708,"#,##0"&amp;IF(I1708&lt;&gt;INT(I1708),".###",""))&amp;" * "&amp;AA1708&amp;" KG   = "&amp;TEXT(C1708,"#,##0.0")&amp;""</f>
        <v xml:space="preserve">  유기질비료 수목이식·식재용 : 500 * 50 KG   = 25,000.0</v>
      </c>
      <c r="C1708" s="506">
        <f>E1708+D1708+F1708</f>
        <v>25000</v>
      </c>
      <c r="D1708" s="506">
        <f>IF(H1708=0,0,ROUNDDOWN(J1708*H1708,1))</f>
        <v>0</v>
      </c>
      <c r="E1708" s="506">
        <f>IF(H1708=0,0,ROUNDDOWN(K1708*H1708,1))</f>
        <v>25000</v>
      </c>
      <c r="F1708" s="506">
        <f>IF(H1708=0,0,ROUNDDOWN(L1708*H1708,1))</f>
        <v>0</v>
      </c>
      <c r="G1708" s="451" t="s">
        <v>3622</v>
      </c>
      <c r="H1708" s="507">
        <f>ROUNDUP(AC1708,14-LEN(ABS(INT(AC1708))))</f>
        <v>50</v>
      </c>
      <c r="I1708" s="508">
        <f>K1708+J1708+L1708</f>
        <v>500</v>
      </c>
      <c r="K1708" s="509">
        <f>재료비목록표!E78</f>
        <v>500</v>
      </c>
      <c r="M1708" s="501" t="s">
        <v>3506</v>
      </c>
      <c r="N1708" s="501" t="s">
        <v>3416</v>
      </c>
      <c r="X1708" s="510" t="str">
        <f>재료비목록표!B78&amp;" / "&amp;재료비목록표!C78</f>
        <v>유기질비료 / 수목이식·식재용</v>
      </c>
      <c r="Y1708" s="433" t="str">
        <f ca="1">HYPERLINK("#"&amp;재료비목록표!G2&amp;"!A"&amp;ROW(재료비목록표!A78),"M01159 →")</f>
        <v>M01159 →</v>
      </c>
      <c r="Z1708" s="501" t="s">
        <v>3500</v>
      </c>
      <c r="AA1708" s="515">
        <v>50</v>
      </c>
      <c r="AB1708" s="501" t="s">
        <v>3418</v>
      </c>
      <c r="AC1708" s="512">
        <f>1*AA1708</f>
        <v>50</v>
      </c>
      <c r="AD1708" s="500"/>
      <c r="AE1708" s="500"/>
      <c r="AF1708" s="500"/>
      <c r="AG1708" s="500"/>
      <c r="AH1708" s="500"/>
      <c r="AI1708" s="500"/>
      <c r="AJ1708" s="500"/>
      <c r="AK1708" s="500"/>
      <c r="AL1708" s="500"/>
      <c r="AM1708" s="500"/>
      <c r="AN1708" s="500"/>
      <c r="AO1708" s="500"/>
      <c r="AP1708" s="500"/>
    </row>
    <row r="1709" spans="1:42" ht="16.5" customHeight="1">
      <c r="A1709" s="439"/>
      <c r="B1709" s="439"/>
      <c r="C1709" s="439"/>
      <c r="D1709" s="439"/>
      <c r="E1709" s="439"/>
      <c r="F1709" s="439"/>
      <c r="G1709" s="451" t="s">
        <v>3406</v>
      </c>
      <c r="Z1709" s="500"/>
      <c r="AA1709" s="500"/>
      <c r="AB1709" s="500"/>
      <c r="AC1709" s="500"/>
      <c r="AD1709" s="500"/>
      <c r="AE1709" s="500"/>
      <c r="AF1709" s="500"/>
      <c r="AG1709" s="500"/>
      <c r="AH1709" s="500"/>
      <c r="AI1709" s="500"/>
      <c r="AJ1709" s="500"/>
      <c r="AK1709" s="500"/>
      <c r="AL1709" s="500"/>
      <c r="AM1709" s="500"/>
      <c r="AN1709" s="500"/>
      <c r="AO1709" s="500"/>
      <c r="AP1709" s="500"/>
    </row>
    <row r="1710" spans="1:42" ht="16.5" customHeight="1">
      <c r="A1710" s="434"/>
      <c r="B1710" s="437" t="s">
        <v>3419</v>
      </c>
      <c r="C1710" s="513">
        <f>E1710+D1710+F1710</f>
        <v>57000</v>
      </c>
      <c r="D1710" s="513">
        <f>SUMIF(N1700:N1709,M1710,D1700:D1709)</f>
        <v>0</v>
      </c>
      <c r="E1710" s="513">
        <f>SUMIF(N1700:N1709,M1710,E1700:E1709)</f>
        <v>57000</v>
      </c>
      <c r="F1710" s="513">
        <f>SUMIF(N1700:N1709,M1710,F1700:F1709)</f>
        <v>0</v>
      </c>
      <c r="G1710" s="451" t="s">
        <v>3439</v>
      </c>
      <c r="M1710" s="501" t="s">
        <v>3416</v>
      </c>
      <c r="N1710" s="501" t="s">
        <v>3421</v>
      </c>
      <c r="Z1710" s="500"/>
      <c r="AA1710" s="500"/>
      <c r="AB1710" s="500"/>
      <c r="AC1710" s="500"/>
      <c r="AD1710" s="500"/>
      <c r="AE1710" s="500"/>
      <c r="AF1710" s="500"/>
      <c r="AG1710" s="500"/>
      <c r="AH1710" s="500"/>
      <c r="AI1710" s="500"/>
      <c r="AJ1710" s="500"/>
      <c r="AK1710" s="500"/>
      <c r="AL1710" s="500"/>
      <c r="AM1710" s="500"/>
      <c r="AN1710" s="500"/>
      <c r="AO1710" s="500"/>
      <c r="AP1710" s="500"/>
    </row>
    <row r="1711" spans="1:42" ht="16.5" customHeight="1">
      <c r="A1711" s="439"/>
      <c r="B1711" s="439"/>
      <c r="C1711" s="504"/>
      <c r="D1711" s="504"/>
      <c r="E1711" s="504"/>
      <c r="F1711" s="504"/>
      <c r="G1711" s="451" t="s">
        <v>3406</v>
      </c>
      <c r="Z1711" s="500"/>
      <c r="AA1711" s="500"/>
      <c r="AB1711" s="500"/>
      <c r="AC1711" s="500"/>
      <c r="AD1711" s="500"/>
      <c r="AE1711" s="500"/>
      <c r="AF1711" s="500"/>
      <c r="AG1711" s="500"/>
      <c r="AH1711" s="500"/>
      <c r="AI1711" s="500"/>
      <c r="AJ1711" s="500"/>
      <c r="AK1711" s="500"/>
      <c r="AL1711" s="500"/>
      <c r="AM1711" s="500"/>
      <c r="AN1711" s="500"/>
      <c r="AO1711" s="500"/>
      <c r="AP1711" s="500"/>
    </row>
    <row r="1712" spans="1:42" ht="16.5" customHeight="1">
      <c r="A1712" s="434"/>
      <c r="B1712" s="437" t="s">
        <v>3440</v>
      </c>
      <c r="C1712" s="513">
        <f>E1712+D1712+F1712</f>
        <v>600641.60000000009</v>
      </c>
      <c r="D1712" s="513">
        <f>SUMIF(N1657:N1711,M1712,D1657:D1711)</f>
        <v>364400</v>
      </c>
      <c r="E1712" s="513">
        <f>SUMIF(N1657:N1711,M1712,E1657:E1711)</f>
        <v>103163.2</v>
      </c>
      <c r="F1712" s="513">
        <f>SUMIF(N1657:N1711,M1712,F1657:F1711)</f>
        <v>133078.40000000002</v>
      </c>
      <c r="G1712" s="451" t="s">
        <v>3441</v>
      </c>
      <c r="M1712" s="501" t="s">
        <v>3421</v>
      </c>
      <c r="N1712" s="501" t="s">
        <v>2354</v>
      </c>
      <c r="Z1712" s="500"/>
      <c r="AA1712" s="500"/>
      <c r="AB1712" s="500"/>
      <c r="AC1712" s="500"/>
      <c r="AD1712" s="500"/>
      <c r="AE1712" s="500"/>
      <c r="AF1712" s="500"/>
      <c r="AG1712" s="500"/>
      <c r="AH1712" s="500"/>
      <c r="AI1712" s="500"/>
      <c r="AJ1712" s="500"/>
      <c r="AK1712" s="500"/>
      <c r="AL1712" s="500"/>
      <c r="AM1712" s="500"/>
      <c r="AN1712" s="500"/>
      <c r="AO1712" s="500"/>
      <c r="AP1712" s="500"/>
    </row>
    <row r="1713" spans="1:42" ht="16.5" customHeight="1">
      <c r="A1713" s="439"/>
      <c r="B1713" s="439"/>
      <c r="C1713" s="504"/>
      <c r="D1713" s="504"/>
      <c r="E1713" s="504"/>
      <c r="F1713" s="504"/>
      <c r="G1713" s="451" t="s">
        <v>3413</v>
      </c>
      <c r="Z1713" s="500"/>
      <c r="AA1713" s="500"/>
      <c r="AB1713" s="500"/>
      <c r="AC1713" s="500"/>
      <c r="AD1713" s="500"/>
      <c r="AE1713" s="500"/>
      <c r="AF1713" s="500"/>
      <c r="AG1713" s="500"/>
      <c r="AH1713" s="500"/>
      <c r="AI1713" s="500"/>
      <c r="AJ1713" s="500"/>
      <c r="AK1713" s="500"/>
      <c r="AL1713" s="500"/>
      <c r="AM1713" s="500"/>
      <c r="AN1713" s="500"/>
      <c r="AO1713" s="500"/>
      <c r="AP1713" s="500"/>
    </row>
    <row r="1714" spans="1:42" ht="16.5" customHeight="1">
      <c r="A1714" s="439"/>
      <c r="B1714" s="439"/>
      <c r="C1714" s="439"/>
      <c r="D1714" s="439"/>
      <c r="E1714" s="439"/>
      <c r="F1714" s="439"/>
      <c r="Z1714" s="500"/>
      <c r="AA1714" s="500"/>
      <c r="AB1714" s="500"/>
      <c r="AC1714" s="500"/>
      <c r="AD1714" s="500"/>
      <c r="AE1714" s="500"/>
      <c r="AF1714" s="500"/>
      <c r="AG1714" s="500"/>
      <c r="AH1714" s="500"/>
      <c r="AI1714" s="500"/>
      <c r="AJ1714" s="500"/>
      <c r="AK1714" s="500"/>
      <c r="AL1714" s="500"/>
      <c r="AM1714" s="500"/>
      <c r="AN1714" s="500"/>
      <c r="AO1714" s="500"/>
      <c r="AP1714" s="500"/>
    </row>
    <row r="1715" spans="1:42" ht="16.5" customHeight="1">
      <c r="A1715" s="439"/>
      <c r="B1715" s="439"/>
      <c r="C1715" s="439"/>
      <c r="D1715" s="439"/>
      <c r="E1715" s="439"/>
      <c r="F1715" s="439"/>
      <c r="Z1715" s="500"/>
      <c r="AA1715" s="500"/>
      <c r="AB1715" s="500"/>
      <c r="AC1715" s="500"/>
      <c r="AD1715" s="500"/>
      <c r="AE1715" s="500"/>
      <c r="AF1715" s="500"/>
      <c r="AG1715" s="500"/>
      <c r="AH1715" s="500"/>
      <c r="AI1715" s="500"/>
      <c r="AJ1715" s="500"/>
      <c r="AK1715" s="500"/>
      <c r="AL1715" s="500"/>
      <c r="AM1715" s="500"/>
      <c r="AN1715" s="500"/>
      <c r="AO1715" s="500"/>
      <c r="AP1715" s="500"/>
    </row>
    <row r="1716" spans="1:42" ht="16.5" customHeight="1">
      <c r="A1716" s="439"/>
      <c r="B1716" s="439"/>
      <c r="C1716" s="439"/>
      <c r="D1716" s="439"/>
      <c r="E1716" s="439"/>
      <c r="F1716" s="439"/>
      <c r="Z1716" s="500"/>
      <c r="AA1716" s="500"/>
      <c r="AB1716" s="500"/>
      <c r="AC1716" s="500"/>
      <c r="AD1716" s="500"/>
      <c r="AE1716" s="500"/>
      <c r="AF1716" s="500"/>
      <c r="AG1716" s="500"/>
      <c r="AH1716" s="500"/>
      <c r="AI1716" s="500"/>
      <c r="AJ1716" s="500"/>
      <c r="AK1716" s="500"/>
      <c r="AL1716" s="500"/>
      <c r="AM1716" s="500"/>
      <c r="AN1716" s="500"/>
      <c r="AO1716" s="500"/>
      <c r="AP1716" s="500"/>
    </row>
    <row r="1717" spans="1:42" ht="16.5" customHeight="1">
      <c r="A1717" s="439"/>
      <c r="B1717" s="439"/>
      <c r="C1717" s="439"/>
      <c r="D1717" s="439"/>
      <c r="E1717" s="439"/>
      <c r="F1717" s="439"/>
      <c r="Z1717" s="500"/>
      <c r="AA1717" s="500"/>
      <c r="AB1717" s="500"/>
      <c r="AC1717" s="500"/>
      <c r="AD1717" s="500"/>
      <c r="AE1717" s="500"/>
      <c r="AF1717" s="500"/>
      <c r="AG1717" s="500"/>
      <c r="AH1717" s="500"/>
      <c r="AI1717" s="500"/>
      <c r="AJ1717" s="500"/>
      <c r="AK1717" s="500"/>
      <c r="AL1717" s="500"/>
      <c r="AM1717" s="500"/>
      <c r="AN1717" s="500"/>
      <c r="AO1717" s="500"/>
      <c r="AP1717" s="500"/>
    </row>
    <row r="1718" spans="1:42" ht="16.5" customHeight="1">
      <c r="A1718" s="439"/>
      <c r="B1718" s="439"/>
      <c r="C1718" s="439"/>
      <c r="D1718" s="439"/>
      <c r="E1718" s="439"/>
      <c r="F1718" s="439"/>
      <c r="Z1718" s="500"/>
      <c r="AA1718" s="500"/>
      <c r="AB1718" s="500"/>
      <c r="AC1718" s="500"/>
      <c r="AD1718" s="500"/>
      <c r="AE1718" s="500"/>
      <c r="AF1718" s="500"/>
      <c r="AG1718" s="500"/>
      <c r="AH1718" s="500"/>
      <c r="AI1718" s="500"/>
      <c r="AJ1718" s="500"/>
      <c r="AK1718" s="500"/>
      <c r="AL1718" s="500"/>
      <c r="AM1718" s="500"/>
      <c r="AN1718" s="500"/>
      <c r="AO1718" s="500"/>
      <c r="AP1718" s="500"/>
    </row>
    <row r="1719" spans="1:42" ht="16.5" customHeight="1">
      <c r="A1719" s="439"/>
      <c r="B1719" s="439"/>
      <c r="C1719" s="439"/>
      <c r="D1719" s="439"/>
      <c r="E1719" s="439"/>
      <c r="F1719" s="439"/>
      <c r="Z1719" s="500"/>
      <c r="AA1719" s="500"/>
      <c r="AB1719" s="500"/>
      <c r="AC1719" s="500"/>
      <c r="AD1719" s="500"/>
      <c r="AE1719" s="500"/>
      <c r="AF1719" s="500"/>
      <c r="AG1719" s="500"/>
      <c r="AH1719" s="500"/>
      <c r="AI1719" s="500"/>
      <c r="AJ1719" s="500"/>
      <c r="AK1719" s="500"/>
      <c r="AL1719" s="500"/>
      <c r="AM1719" s="500"/>
      <c r="AN1719" s="500"/>
      <c r="AO1719" s="500"/>
      <c r="AP1719" s="500"/>
    </row>
    <row r="1720" spans="1:42" ht="16.5" customHeight="1">
      <c r="A1720" s="439"/>
      <c r="B1720" s="439"/>
      <c r="C1720" s="439"/>
      <c r="D1720" s="439"/>
      <c r="E1720" s="439"/>
      <c r="F1720" s="439"/>
      <c r="Z1720" s="500"/>
      <c r="AA1720" s="500"/>
      <c r="AB1720" s="500"/>
      <c r="AC1720" s="500"/>
      <c r="AD1720" s="500"/>
      <c r="AE1720" s="500"/>
      <c r="AF1720" s="500"/>
      <c r="AG1720" s="500"/>
      <c r="AH1720" s="500"/>
      <c r="AI1720" s="500"/>
      <c r="AJ1720" s="500"/>
      <c r="AK1720" s="500"/>
      <c r="AL1720" s="500"/>
      <c r="AM1720" s="500"/>
      <c r="AN1720" s="500"/>
      <c r="AO1720" s="500"/>
      <c r="AP1720" s="500"/>
    </row>
    <row r="1721" spans="1:42" ht="16.5" customHeight="1">
      <c r="A1721" s="439"/>
      <c r="B1721" s="439"/>
      <c r="C1721" s="439"/>
      <c r="D1721" s="439"/>
      <c r="E1721" s="439"/>
      <c r="F1721" s="439"/>
      <c r="Z1721" s="500"/>
      <c r="AA1721" s="500"/>
      <c r="AB1721" s="500"/>
      <c r="AC1721" s="500"/>
      <c r="AD1721" s="500"/>
      <c r="AE1721" s="500"/>
      <c r="AF1721" s="500"/>
      <c r="AG1721" s="500"/>
      <c r="AH1721" s="500"/>
      <c r="AI1721" s="500"/>
      <c r="AJ1721" s="500"/>
      <c r="AK1721" s="500"/>
      <c r="AL1721" s="500"/>
      <c r="AM1721" s="500"/>
      <c r="AN1721" s="500"/>
      <c r="AO1721" s="500"/>
      <c r="AP1721" s="500"/>
    </row>
    <row r="1722" spans="1:42" ht="16.5" customHeight="1">
      <c r="A1722" s="439"/>
      <c r="B1722" s="439"/>
      <c r="C1722" s="439"/>
      <c r="D1722" s="439"/>
      <c r="E1722" s="439"/>
      <c r="F1722" s="439"/>
      <c r="Z1722" s="500"/>
      <c r="AA1722" s="500"/>
      <c r="AB1722" s="500"/>
      <c r="AC1722" s="500"/>
      <c r="AD1722" s="500"/>
      <c r="AE1722" s="500"/>
      <c r="AF1722" s="500"/>
      <c r="AG1722" s="500"/>
      <c r="AH1722" s="500"/>
      <c r="AI1722" s="500"/>
      <c r="AJ1722" s="500"/>
      <c r="AK1722" s="500"/>
      <c r="AL1722" s="500"/>
      <c r="AM1722" s="500"/>
      <c r="AN1722" s="500"/>
      <c r="AO1722" s="500"/>
      <c r="AP1722" s="500"/>
    </row>
    <row r="1723" spans="1:42" ht="16.5" customHeight="1">
      <c r="A1723" s="439"/>
      <c r="B1723" s="439"/>
      <c r="C1723" s="439"/>
      <c r="D1723" s="439"/>
      <c r="E1723" s="439"/>
      <c r="F1723" s="439"/>
      <c r="Z1723" s="500"/>
      <c r="AA1723" s="500"/>
      <c r="AB1723" s="500"/>
      <c r="AC1723" s="500"/>
      <c r="AD1723" s="500"/>
      <c r="AE1723" s="500"/>
      <c r="AF1723" s="500"/>
      <c r="AG1723" s="500"/>
      <c r="AH1723" s="500"/>
      <c r="AI1723" s="500"/>
      <c r="AJ1723" s="500"/>
      <c r="AK1723" s="500"/>
      <c r="AL1723" s="500"/>
      <c r="AM1723" s="500"/>
      <c r="AN1723" s="500"/>
      <c r="AO1723" s="500"/>
      <c r="AP1723" s="500"/>
    </row>
    <row r="1724" spans="1:42" ht="16.5" customHeight="1">
      <c r="A1724" s="439"/>
      <c r="B1724" s="439"/>
      <c r="C1724" s="439"/>
      <c r="D1724" s="439"/>
      <c r="E1724" s="439"/>
      <c r="F1724" s="439"/>
      <c r="Z1724" s="500"/>
      <c r="AA1724" s="500"/>
      <c r="AB1724" s="500"/>
      <c r="AC1724" s="500"/>
      <c r="AD1724" s="500"/>
      <c r="AE1724" s="500"/>
      <c r="AF1724" s="500"/>
      <c r="AG1724" s="500"/>
      <c r="AH1724" s="500"/>
      <c r="AI1724" s="500"/>
      <c r="AJ1724" s="500"/>
      <c r="AK1724" s="500"/>
      <c r="AL1724" s="500"/>
      <c r="AM1724" s="500"/>
      <c r="AN1724" s="500"/>
      <c r="AO1724" s="500"/>
      <c r="AP1724" s="500"/>
    </row>
    <row r="1725" spans="1:42" ht="16.5" customHeight="1">
      <c r="A1725" s="439"/>
      <c r="B1725" s="439"/>
      <c r="C1725" s="439"/>
      <c r="D1725" s="439"/>
      <c r="E1725" s="439"/>
      <c r="F1725" s="439"/>
      <c r="Z1725" s="500"/>
      <c r="AA1725" s="500"/>
      <c r="AB1725" s="500"/>
      <c r="AC1725" s="500"/>
      <c r="AD1725" s="500"/>
      <c r="AE1725" s="500"/>
      <c r="AF1725" s="500"/>
      <c r="AG1725" s="500"/>
      <c r="AH1725" s="500"/>
      <c r="AI1725" s="500"/>
      <c r="AJ1725" s="500"/>
      <c r="AK1725" s="500"/>
      <c r="AL1725" s="500"/>
      <c r="AM1725" s="500"/>
      <c r="AN1725" s="500"/>
      <c r="AO1725" s="500"/>
      <c r="AP1725" s="500"/>
    </row>
    <row r="1726" spans="1:42" ht="16.5" customHeight="1">
      <c r="A1726" s="439"/>
      <c r="B1726" s="439"/>
      <c r="C1726" s="439"/>
      <c r="D1726" s="439"/>
      <c r="E1726" s="439"/>
      <c r="F1726" s="439"/>
      <c r="Z1726" s="500"/>
      <c r="AA1726" s="500"/>
      <c r="AB1726" s="500"/>
      <c r="AC1726" s="500"/>
      <c r="AD1726" s="500"/>
      <c r="AE1726" s="500"/>
      <c r="AF1726" s="500"/>
      <c r="AG1726" s="500"/>
      <c r="AH1726" s="500"/>
      <c r="AI1726" s="500"/>
      <c r="AJ1726" s="500"/>
      <c r="AK1726" s="500"/>
      <c r="AL1726" s="500"/>
      <c r="AM1726" s="500"/>
      <c r="AN1726" s="500"/>
      <c r="AO1726" s="500"/>
      <c r="AP1726" s="500"/>
    </row>
    <row r="1727" spans="1:42" ht="16.5" customHeight="1">
      <c r="A1727" s="439"/>
      <c r="B1727" s="439"/>
      <c r="C1727" s="439"/>
      <c r="D1727" s="439"/>
      <c r="E1727" s="439"/>
      <c r="F1727" s="439"/>
      <c r="Z1727" s="500"/>
      <c r="AA1727" s="500"/>
      <c r="AB1727" s="500"/>
      <c r="AC1727" s="500"/>
      <c r="AD1727" s="500"/>
      <c r="AE1727" s="500"/>
      <c r="AF1727" s="500"/>
      <c r="AG1727" s="500"/>
      <c r="AH1727" s="500"/>
      <c r="AI1727" s="500"/>
      <c r="AJ1727" s="500"/>
      <c r="AK1727" s="500"/>
      <c r="AL1727" s="500"/>
      <c r="AM1727" s="500"/>
      <c r="AN1727" s="500"/>
      <c r="AO1727" s="500"/>
      <c r="AP1727" s="500"/>
    </row>
    <row r="1728" spans="1:42" ht="16.5" customHeight="1">
      <c r="A1728" s="439"/>
      <c r="B1728" s="439"/>
      <c r="C1728" s="439"/>
      <c r="D1728" s="439"/>
      <c r="E1728" s="439"/>
      <c r="F1728" s="439"/>
      <c r="Z1728" s="500"/>
      <c r="AA1728" s="500"/>
      <c r="AB1728" s="500"/>
      <c r="AC1728" s="500"/>
      <c r="AD1728" s="500"/>
      <c r="AE1728" s="500"/>
      <c r="AF1728" s="500"/>
      <c r="AG1728" s="500"/>
      <c r="AH1728" s="500"/>
      <c r="AI1728" s="500"/>
      <c r="AJ1728" s="500"/>
      <c r="AK1728" s="500"/>
      <c r="AL1728" s="500"/>
      <c r="AM1728" s="500"/>
      <c r="AN1728" s="500"/>
      <c r="AO1728" s="500"/>
      <c r="AP1728" s="500"/>
    </row>
    <row r="1729" spans="1:42" ht="16.5" customHeight="1">
      <c r="A1729" s="439"/>
      <c r="B1729" s="439"/>
      <c r="C1729" s="439"/>
      <c r="D1729" s="439"/>
      <c r="E1729" s="439"/>
      <c r="F1729" s="439"/>
      <c r="Z1729" s="500"/>
      <c r="AA1729" s="500"/>
      <c r="AB1729" s="500"/>
      <c r="AC1729" s="500"/>
      <c r="AD1729" s="500"/>
      <c r="AE1729" s="500"/>
      <c r="AF1729" s="500"/>
      <c r="AG1729" s="500"/>
      <c r="AH1729" s="500"/>
      <c r="AI1729" s="500"/>
      <c r="AJ1729" s="500"/>
      <c r="AK1729" s="500"/>
      <c r="AL1729" s="500"/>
      <c r="AM1729" s="500"/>
      <c r="AN1729" s="500"/>
      <c r="AO1729" s="500"/>
      <c r="AP1729" s="500"/>
    </row>
    <row r="1730" spans="1:42" ht="16.5" customHeight="1">
      <c r="A1730" s="439"/>
      <c r="B1730" s="439"/>
      <c r="C1730" s="439"/>
      <c r="D1730" s="439"/>
      <c r="E1730" s="439"/>
      <c r="F1730" s="439"/>
      <c r="Z1730" s="500"/>
      <c r="AA1730" s="500"/>
      <c r="AB1730" s="500"/>
      <c r="AC1730" s="500"/>
      <c r="AD1730" s="500"/>
      <c r="AE1730" s="500"/>
      <c r="AF1730" s="500"/>
      <c r="AG1730" s="500"/>
      <c r="AH1730" s="500"/>
      <c r="AI1730" s="500"/>
      <c r="AJ1730" s="500"/>
      <c r="AK1730" s="500"/>
      <c r="AL1730" s="500"/>
      <c r="AM1730" s="500"/>
      <c r="AN1730" s="500"/>
      <c r="AO1730" s="500"/>
      <c r="AP1730" s="500"/>
    </row>
    <row r="1731" spans="1:42" ht="16.5" customHeight="1">
      <c r="A1731" s="439"/>
      <c r="B1731" s="439"/>
      <c r="C1731" s="439"/>
      <c r="D1731" s="439"/>
      <c r="E1731" s="439"/>
      <c r="F1731" s="439"/>
      <c r="Z1731" s="500"/>
      <c r="AA1731" s="500"/>
      <c r="AB1731" s="500"/>
      <c r="AC1731" s="500"/>
      <c r="AD1731" s="500"/>
      <c r="AE1731" s="500"/>
      <c r="AF1731" s="500"/>
      <c r="AG1731" s="500"/>
      <c r="AH1731" s="500"/>
      <c r="AI1731" s="500"/>
      <c r="AJ1731" s="500"/>
      <c r="AK1731" s="500"/>
      <c r="AL1731" s="500"/>
      <c r="AM1731" s="500"/>
      <c r="AN1731" s="500"/>
      <c r="AO1731" s="500"/>
      <c r="AP1731" s="500"/>
    </row>
    <row r="1732" spans="1:42" ht="16.5" customHeight="1">
      <c r="A1732" s="439"/>
      <c r="B1732" s="439"/>
      <c r="C1732" s="439"/>
      <c r="D1732" s="439"/>
      <c r="E1732" s="439"/>
      <c r="F1732" s="439"/>
      <c r="Z1732" s="500"/>
      <c r="AA1732" s="500"/>
      <c r="AB1732" s="500"/>
      <c r="AC1732" s="500"/>
      <c r="AD1732" s="500"/>
      <c r="AE1732" s="500"/>
      <c r="AF1732" s="500"/>
      <c r="AG1732" s="500"/>
      <c r="AH1732" s="500"/>
      <c r="AI1732" s="500"/>
      <c r="AJ1732" s="500"/>
      <c r="AK1732" s="500"/>
      <c r="AL1732" s="500"/>
      <c r="AM1732" s="500"/>
      <c r="AN1732" s="500"/>
      <c r="AO1732" s="500"/>
      <c r="AP1732" s="500"/>
    </row>
    <row r="1733" spans="1:42" ht="16.5" customHeight="1">
      <c r="A1733" s="439"/>
      <c r="B1733" s="439"/>
      <c r="C1733" s="439"/>
      <c r="D1733" s="439"/>
      <c r="E1733" s="439"/>
      <c r="F1733" s="439"/>
      <c r="Z1733" s="500"/>
      <c r="AA1733" s="500"/>
      <c r="AB1733" s="500"/>
      <c r="AC1733" s="500"/>
      <c r="AD1733" s="500"/>
      <c r="AE1733" s="500"/>
      <c r="AF1733" s="500"/>
      <c r="AG1733" s="500"/>
      <c r="AH1733" s="500"/>
      <c r="AI1733" s="500"/>
      <c r="AJ1733" s="500"/>
      <c r="AK1733" s="500"/>
      <c r="AL1733" s="500"/>
      <c r="AM1733" s="500"/>
      <c r="AN1733" s="500"/>
      <c r="AO1733" s="500"/>
      <c r="AP1733" s="500"/>
    </row>
    <row r="1734" spans="1:42" ht="16.5" customHeight="1">
      <c r="A1734" s="439"/>
      <c r="B1734" s="439"/>
      <c r="C1734" s="439"/>
      <c r="D1734" s="439"/>
      <c r="E1734" s="439"/>
      <c r="F1734" s="439"/>
      <c r="Z1734" s="500"/>
      <c r="AA1734" s="500"/>
      <c r="AB1734" s="500"/>
      <c r="AC1734" s="500"/>
      <c r="AD1734" s="500"/>
      <c r="AE1734" s="500"/>
      <c r="AF1734" s="500"/>
      <c r="AG1734" s="500"/>
      <c r="AH1734" s="500"/>
      <c r="AI1734" s="500"/>
      <c r="AJ1734" s="500"/>
      <c r="AK1734" s="500"/>
      <c r="AL1734" s="500"/>
      <c r="AM1734" s="500"/>
      <c r="AN1734" s="500"/>
      <c r="AO1734" s="500"/>
      <c r="AP1734" s="500"/>
    </row>
    <row r="1735" spans="1:42" ht="16.5" customHeight="1">
      <c r="A1735" s="439"/>
      <c r="B1735" s="439"/>
      <c r="C1735" s="439"/>
      <c r="D1735" s="439"/>
      <c r="E1735" s="439"/>
      <c r="F1735" s="439"/>
      <c r="Z1735" s="500"/>
      <c r="AA1735" s="500"/>
      <c r="AB1735" s="500"/>
      <c r="AC1735" s="500"/>
      <c r="AD1735" s="500"/>
      <c r="AE1735" s="500"/>
      <c r="AF1735" s="500"/>
      <c r="AG1735" s="500"/>
      <c r="AH1735" s="500"/>
      <c r="AI1735" s="500"/>
      <c r="AJ1735" s="500"/>
      <c r="AK1735" s="500"/>
      <c r="AL1735" s="500"/>
      <c r="AM1735" s="500"/>
      <c r="AN1735" s="500"/>
      <c r="AO1735" s="500"/>
      <c r="AP1735" s="500"/>
    </row>
    <row r="1736" spans="1:42" ht="16.5" customHeight="1">
      <c r="A1736" s="439"/>
      <c r="B1736" s="439"/>
      <c r="C1736" s="439"/>
      <c r="D1736" s="439"/>
      <c r="E1736" s="439"/>
      <c r="F1736" s="439"/>
      <c r="Z1736" s="500"/>
      <c r="AA1736" s="500"/>
      <c r="AB1736" s="500"/>
      <c r="AC1736" s="500"/>
      <c r="AD1736" s="500"/>
      <c r="AE1736" s="500"/>
      <c r="AF1736" s="500"/>
      <c r="AG1736" s="500"/>
      <c r="AH1736" s="500"/>
      <c r="AI1736" s="500"/>
      <c r="AJ1736" s="500"/>
      <c r="AK1736" s="500"/>
      <c r="AL1736" s="500"/>
      <c r="AM1736" s="500"/>
      <c r="AN1736" s="500"/>
      <c r="AO1736" s="500"/>
      <c r="AP1736" s="500"/>
    </row>
    <row r="1737" spans="1:42" ht="16.5" customHeight="1">
      <c r="A1737" s="439"/>
      <c r="B1737" s="439"/>
      <c r="C1737" s="439"/>
      <c r="D1737" s="439"/>
      <c r="E1737" s="439"/>
      <c r="F1737" s="439"/>
      <c r="Z1737" s="500"/>
      <c r="AA1737" s="500"/>
      <c r="AB1737" s="500"/>
      <c r="AC1737" s="500"/>
      <c r="AD1737" s="500"/>
      <c r="AE1737" s="500"/>
      <c r="AF1737" s="500"/>
      <c r="AG1737" s="500"/>
      <c r="AH1737" s="500"/>
      <c r="AI1737" s="500"/>
      <c r="AJ1737" s="500"/>
      <c r="AK1737" s="500"/>
      <c r="AL1737" s="500"/>
      <c r="AM1737" s="500"/>
      <c r="AN1737" s="500"/>
      <c r="AO1737" s="500"/>
      <c r="AP1737" s="500"/>
    </row>
    <row r="1738" spans="1:42" ht="16.5" customHeight="1">
      <c r="A1738" s="439"/>
      <c r="B1738" s="439"/>
      <c r="C1738" s="439"/>
      <c r="D1738" s="439"/>
      <c r="E1738" s="439"/>
      <c r="F1738" s="439"/>
      <c r="Z1738" s="500"/>
      <c r="AA1738" s="500"/>
      <c r="AB1738" s="500"/>
      <c r="AC1738" s="500"/>
      <c r="AD1738" s="500"/>
      <c r="AE1738" s="500"/>
      <c r="AF1738" s="500"/>
      <c r="AG1738" s="500"/>
      <c r="AH1738" s="500"/>
      <c r="AI1738" s="500"/>
      <c r="AJ1738" s="500"/>
      <c r="AK1738" s="500"/>
      <c r="AL1738" s="500"/>
      <c r="AM1738" s="500"/>
      <c r="AN1738" s="500"/>
      <c r="AO1738" s="500"/>
      <c r="AP1738" s="500"/>
    </row>
    <row r="1739" spans="1:42" ht="16.5" customHeight="1">
      <c r="A1739" s="439"/>
      <c r="B1739" s="439"/>
      <c r="C1739" s="439"/>
      <c r="D1739" s="439"/>
      <c r="E1739" s="439"/>
      <c r="F1739" s="439"/>
      <c r="Z1739" s="500"/>
      <c r="AA1739" s="500"/>
      <c r="AB1739" s="500"/>
      <c r="AC1739" s="500"/>
      <c r="AD1739" s="500"/>
      <c r="AE1739" s="500"/>
      <c r="AF1739" s="500"/>
      <c r="AG1739" s="500"/>
      <c r="AH1739" s="500"/>
      <c r="AI1739" s="500"/>
      <c r="AJ1739" s="500"/>
      <c r="AK1739" s="500"/>
      <c r="AL1739" s="500"/>
      <c r="AM1739" s="500"/>
      <c r="AN1739" s="500"/>
      <c r="AO1739" s="500"/>
      <c r="AP1739" s="500"/>
    </row>
    <row r="1740" spans="1:42" ht="16.5" customHeight="1">
      <c r="A1740" s="439"/>
      <c r="B1740" s="439"/>
      <c r="C1740" s="439"/>
      <c r="D1740" s="439"/>
      <c r="E1740" s="439"/>
      <c r="F1740" s="439"/>
      <c r="Z1740" s="500"/>
      <c r="AA1740" s="500"/>
      <c r="AB1740" s="500"/>
      <c r="AC1740" s="500"/>
      <c r="AD1740" s="500"/>
      <c r="AE1740" s="500"/>
      <c r="AF1740" s="500"/>
      <c r="AG1740" s="500"/>
      <c r="AH1740" s="500"/>
      <c r="AI1740" s="500"/>
      <c r="AJ1740" s="500"/>
      <c r="AK1740" s="500"/>
      <c r="AL1740" s="500"/>
      <c r="AM1740" s="500"/>
      <c r="AN1740" s="500"/>
      <c r="AO1740" s="500"/>
      <c r="AP1740" s="500"/>
    </row>
    <row r="1741" spans="1:42" ht="16.5" customHeight="1">
      <c r="A1741" s="439"/>
      <c r="B1741" s="439"/>
      <c r="C1741" s="439"/>
      <c r="D1741" s="439"/>
      <c r="E1741" s="439"/>
      <c r="F1741" s="439"/>
      <c r="Z1741" s="500"/>
      <c r="AA1741" s="500"/>
      <c r="AB1741" s="500"/>
      <c r="AC1741" s="500"/>
      <c r="AD1741" s="500"/>
      <c r="AE1741" s="500"/>
      <c r="AF1741" s="500"/>
      <c r="AG1741" s="500"/>
      <c r="AH1741" s="500"/>
      <c r="AI1741" s="500"/>
      <c r="AJ1741" s="500"/>
      <c r="AK1741" s="500"/>
      <c r="AL1741" s="500"/>
      <c r="AM1741" s="500"/>
      <c r="AN1741" s="500"/>
      <c r="AO1741" s="500"/>
      <c r="AP1741" s="500"/>
    </row>
    <row r="1742" spans="1:42" ht="16.5" customHeight="1">
      <c r="A1742" s="439"/>
      <c r="B1742" s="439"/>
      <c r="C1742" s="439"/>
      <c r="D1742" s="439"/>
      <c r="E1742" s="439"/>
      <c r="F1742" s="439"/>
      <c r="Z1742" s="500"/>
      <c r="AA1742" s="500"/>
      <c r="AB1742" s="500"/>
      <c r="AC1742" s="500"/>
      <c r="AD1742" s="500"/>
      <c r="AE1742" s="500"/>
      <c r="AF1742" s="500"/>
      <c r="AG1742" s="500"/>
      <c r="AH1742" s="500"/>
      <c r="AI1742" s="500"/>
      <c r="AJ1742" s="500"/>
      <c r="AK1742" s="500"/>
      <c r="AL1742" s="500"/>
      <c r="AM1742" s="500"/>
      <c r="AN1742" s="500"/>
      <c r="AO1742" s="500"/>
      <c r="AP1742" s="500"/>
    </row>
    <row r="1743" spans="1:42" ht="16.5" customHeight="1">
      <c r="A1743" s="439"/>
      <c r="B1743" s="439"/>
      <c r="C1743" s="439"/>
      <c r="D1743" s="439"/>
      <c r="E1743" s="439"/>
      <c r="F1743" s="439"/>
      <c r="Z1743" s="500"/>
      <c r="AA1743" s="500"/>
      <c r="AB1743" s="500"/>
      <c r="AC1743" s="500"/>
      <c r="AD1743" s="500"/>
      <c r="AE1743" s="500"/>
      <c r="AF1743" s="500"/>
      <c r="AG1743" s="500"/>
      <c r="AH1743" s="500"/>
      <c r="AI1743" s="500"/>
      <c r="AJ1743" s="500"/>
      <c r="AK1743" s="500"/>
      <c r="AL1743" s="500"/>
      <c r="AM1743" s="500"/>
      <c r="AN1743" s="500"/>
      <c r="AO1743" s="500"/>
      <c r="AP1743" s="500"/>
    </row>
    <row r="1744" spans="1:42" ht="16.5" customHeight="1">
      <c r="A1744" s="439"/>
      <c r="B1744" s="439"/>
      <c r="C1744" s="439"/>
      <c r="D1744" s="439"/>
      <c r="E1744" s="439"/>
      <c r="F1744" s="439"/>
      <c r="Z1744" s="500"/>
      <c r="AA1744" s="500"/>
      <c r="AB1744" s="500"/>
      <c r="AC1744" s="500"/>
      <c r="AD1744" s="500"/>
      <c r="AE1744" s="500"/>
      <c r="AF1744" s="500"/>
      <c r="AG1744" s="500"/>
      <c r="AH1744" s="500"/>
      <c r="AI1744" s="500"/>
      <c r="AJ1744" s="500"/>
      <c r="AK1744" s="500"/>
      <c r="AL1744" s="500"/>
      <c r="AM1744" s="500"/>
      <c r="AN1744" s="500"/>
      <c r="AO1744" s="500"/>
      <c r="AP1744" s="500"/>
    </row>
    <row r="1745" spans="1:42" ht="16.5" customHeight="1">
      <c r="A1745" s="439"/>
      <c r="B1745" s="439"/>
      <c r="C1745" s="439"/>
      <c r="D1745" s="439"/>
      <c r="E1745" s="439"/>
      <c r="F1745" s="439"/>
      <c r="Z1745" s="500"/>
      <c r="AA1745" s="500"/>
      <c r="AB1745" s="500"/>
      <c r="AC1745" s="500"/>
      <c r="AD1745" s="500"/>
      <c r="AE1745" s="500"/>
      <c r="AF1745" s="500"/>
      <c r="AG1745" s="500"/>
      <c r="AH1745" s="500"/>
      <c r="AI1745" s="500"/>
      <c r="AJ1745" s="500"/>
      <c r="AK1745" s="500"/>
      <c r="AL1745" s="500"/>
      <c r="AM1745" s="500"/>
      <c r="AN1745" s="500"/>
      <c r="AO1745" s="500"/>
      <c r="AP1745" s="500"/>
    </row>
    <row r="1746" spans="1:42" ht="16.5" customHeight="1">
      <c r="A1746" s="439"/>
      <c r="B1746" s="439"/>
      <c r="C1746" s="439"/>
      <c r="D1746" s="439"/>
      <c r="E1746" s="439"/>
      <c r="F1746" s="439"/>
      <c r="Z1746" s="500"/>
      <c r="AA1746" s="500"/>
      <c r="AB1746" s="500"/>
      <c r="AC1746" s="500"/>
      <c r="AD1746" s="500"/>
      <c r="AE1746" s="500"/>
      <c r="AF1746" s="500"/>
      <c r="AG1746" s="500"/>
      <c r="AH1746" s="500"/>
      <c r="AI1746" s="500"/>
      <c r="AJ1746" s="500"/>
      <c r="AK1746" s="500"/>
      <c r="AL1746" s="500"/>
      <c r="AM1746" s="500"/>
      <c r="AN1746" s="500"/>
      <c r="AO1746" s="500"/>
      <c r="AP1746" s="500"/>
    </row>
    <row r="1747" spans="1:42" ht="16.5" customHeight="1">
      <c r="A1747" s="439"/>
      <c r="B1747" s="439"/>
      <c r="C1747" s="439"/>
      <c r="D1747" s="439"/>
      <c r="E1747" s="439"/>
      <c r="F1747" s="439"/>
      <c r="Z1747" s="500"/>
      <c r="AA1747" s="500"/>
      <c r="AB1747" s="500"/>
      <c r="AC1747" s="500"/>
      <c r="AD1747" s="500"/>
      <c r="AE1747" s="500"/>
      <c r="AF1747" s="500"/>
      <c r="AG1747" s="500"/>
      <c r="AH1747" s="500"/>
      <c r="AI1747" s="500"/>
      <c r="AJ1747" s="500"/>
      <c r="AK1747" s="500"/>
      <c r="AL1747" s="500"/>
      <c r="AM1747" s="500"/>
      <c r="AN1747" s="500"/>
      <c r="AO1747" s="500"/>
      <c r="AP1747" s="500"/>
    </row>
    <row r="1748" spans="1:42" ht="16.5" customHeight="1">
      <c r="A1748" s="439"/>
      <c r="B1748" s="439"/>
      <c r="C1748" s="439"/>
      <c r="D1748" s="439"/>
      <c r="E1748" s="439"/>
      <c r="F1748" s="439"/>
      <c r="Z1748" s="500"/>
      <c r="AA1748" s="500"/>
      <c r="AB1748" s="500"/>
      <c r="AC1748" s="500"/>
      <c r="AD1748" s="500"/>
      <c r="AE1748" s="500"/>
      <c r="AF1748" s="500"/>
      <c r="AG1748" s="500"/>
      <c r="AH1748" s="500"/>
      <c r="AI1748" s="500"/>
      <c r="AJ1748" s="500"/>
      <c r="AK1748" s="500"/>
      <c r="AL1748" s="500"/>
      <c r="AM1748" s="500"/>
      <c r="AN1748" s="500"/>
      <c r="AO1748" s="500"/>
      <c r="AP1748" s="500"/>
    </row>
    <row r="1749" spans="1:42" ht="16.5" customHeight="1">
      <c r="A1749" s="439"/>
      <c r="B1749" s="439"/>
      <c r="C1749" s="439"/>
      <c r="D1749" s="439"/>
      <c r="E1749" s="439"/>
      <c r="F1749" s="439"/>
      <c r="Z1749" s="500"/>
      <c r="AA1749" s="500"/>
      <c r="AB1749" s="500"/>
      <c r="AC1749" s="500"/>
      <c r="AD1749" s="500"/>
      <c r="AE1749" s="500"/>
      <c r="AF1749" s="500"/>
      <c r="AG1749" s="500"/>
      <c r="AH1749" s="500"/>
      <c r="AI1749" s="500"/>
      <c r="AJ1749" s="500"/>
      <c r="AK1749" s="500"/>
      <c r="AL1749" s="500"/>
      <c r="AM1749" s="500"/>
      <c r="AN1749" s="500"/>
      <c r="AO1749" s="500"/>
      <c r="AP1749" s="500"/>
    </row>
    <row r="1750" spans="1:42" ht="16.5" customHeight="1">
      <c r="A1750" s="439"/>
      <c r="B1750" s="439"/>
      <c r="C1750" s="439"/>
      <c r="D1750" s="439"/>
      <c r="E1750" s="439"/>
      <c r="F1750" s="439"/>
      <c r="Z1750" s="500"/>
      <c r="AA1750" s="500"/>
      <c r="AB1750" s="500"/>
      <c r="AC1750" s="500"/>
      <c r="AD1750" s="500"/>
      <c r="AE1750" s="500"/>
      <c r="AF1750" s="500"/>
      <c r="AG1750" s="500"/>
      <c r="AH1750" s="500"/>
      <c r="AI1750" s="500"/>
      <c r="AJ1750" s="500"/>
      <c r="AK1750" s="500"/>
      <c r="AL1750" s="500"/>
      <c r="AM1750" s="500"/>
      <c r="AN1750" s="500"/>
      <c r="AO1750" s="500"/>
      <c r="AP1750" s="500"/>
    </row>
    <row r="1751" spans="1:42" ht="16.5" customHeight="1">
      <c r="A1751" s="439"/>
      <c r="B1751" s="439"/>
      <c r="C1751" s="439"/>
      <c r="D1751" s="439"/>
      <c r="E1751" s="439"/>
      <c r="F1751" s="439"/>
      <c r="Z1751" s="500"/>
      <c r="AA1751" s="500"/>
      <c r="AB1751" s="500"/>
      <c r="AC1751" s="500"/>
      <c r="AD1751" s="500"/>
      <c r="AE1751" s="500"/>
      <c r="AF1751" s="500"/>
      <c r="AG1751" s="500"/>
      <c r="AH1751" s="500"/>
      <c r="AI1751" s="500"/>
      <c r="AJ1751" s="500"/>
      <c r="AK1751" s="500"/>
      <c r="AL1751" s="500"/>
      <c r="AM1751" s="500"/>
      <c r="AN1751" s="500"/>
      <c r="AO1751" s="500"/>
      <c r="AP1751" s="500"/>
    </row>
    <row r="1752" spans="1:42" ht="16.5" customHeight="1">
      <c r="A1752" s="439"/>
      <c r="B1752" s="439"/>
      <c r="C1752" s="439"/>
      <c r="D1752" s="439"/>
      <c r="E1752" s="439"/>
      <c r="F1752" s="439"/>
      <c r="Z1752" s="500"/>
      <c r="AA1752" s="500"/>
      <c r="AB1752" s="500"/>
      <c r="AC1752" s="500"/>
      <c r="AD1752" s="500"/>
      <c r="AE1752" s="500"/>
      <c r="AF1752" s="500"/>
      <c r="AG1752" s="500"/>
      <c r="AH1752" s="500"/>
      <c r="AI1752" s="500"/>
      <c r="AJ1752" s="500"/>
      <c r="AK1752" s="500"/>
      <c r="AL1752" s="500"/>
      <c r="AM1752" s="500"/>
      <c r="AN1752" s="500"/>
      <c r="AO1752" s="500"/>
      <c r="AP1752" s="500"/>
    </row>
    <row r="1753" spans="1:42" ht="16.5" customHeight="1">
      <c r="A1753" s="497"/>
      <c r="B1753" s="497"/>
      <c r="C1753" s="497"/>
      <c r="D1753" s="497"/>
      <c r="E1753" s="497"/>
      <c r="F1753" s="497"/>
      <c r="Z1753" s="500"/>
      <c r="AA1753" s="500"/>
      <c r="AB1753" s="500"/>
      <c r="AC1753" s="500"/>
      <c r="AD1753" s="500"/>
      <c r="AE1753" s="500"/>
      <c r="AF1753" s="500"/>
      <c r="AG1753" s="500"/>
      <c r="AH1753" s="500"/>
      <c r="AI1753" s="500"/>
      <c r="AJ1753" s="500"/>
      <c r="AK1753" s="500"/>
      <c r="AL1753" s="500"/>
      <c r="AM1753" s="500"/>
      <c r="AN1753" s="500"/>
      <c r="AO1753" s="500"/>
      <c r="AP1753" s="500"/>
    </row>
    <row r="1754" spans="1:42" ht="16.5" customHeight="1">
      <c r="A1754" s="616" t="s">
        <v>3487</v>
      </c>
      <c r="B1754" s="605"/>
      <c r="C1754" s="446">
        <f>E1754+D1754+F1754</f>
        <v>600641</v>
      </c>
      <c r="D1754" s="453">
        <f>ROUNDDOWN(SUMIF(N1657:N1713,M1754,D1657:D1713),0)</f>
        <v>364400</v>
      </c>
      <c r="E1754" s="454">
        <f>ROUNDDOWN(SUMIF(N1657:N1713,M1754,E1657:E1713),0)</f>
        <v>103163</v>
      </c>
      <c r="F1754" s="446">
        <f>ROUNDDOWN(SUMIF(N1657:N1713,M1754,F1657:F1713),0)</f>
        <v>133078</v>
      </c>
      <c r="M1754" s="501" t="s">
        <v>2354</v>
      </c>
      <c r="Z1754" s="500"/>
      <c r="AA1754" s="500"/>
      <c r="AB1754" s="500"/>
      <c r="AC1754" s="500"/>
      <c r="AD1754" s="500"/>
      <c r="AE1754" s="500"/>
      <c r="AF1754" s="500"/>
      <c r="AG1754" s="500"/>
      <c r="AH1754" s="500"/>
      <c r="AI1754" s="500"/>
      <c r="AJ1754" s="500"/>
      <c r="AK1754" s="500"/>
      <c r="AL1754" s="500"/>
      <c r="AM1754" s="500"/>
      <c r="AN1754" s="500"/>
      <c r="AO1754" s="500"/>
      <c r="AP1754" s="500"/>
    </row>
    <row r="1755" spans="1:42" ht="16.5" customHeight="1">
      <c r="A1755" s="502" t="s">
        <v>3350</v>
      </c>
      <c r="B1755" s="503" t="s">
        <v>1840</v>
      </c>
      <c r="C1755" s="615">
        <f>C1854</f>
        <v>741552</v>
      </c>
      <c r="D1755" s="615">
        <f>D1854</f>
        <v>455500</v>
      </c>
      <c r="E1755" s="615">
        <f>E1854</f>
        <v>119704</v>
      </c>
      <c r="F1755" s="615">
        <f>F1854</f>
        <v>166348</v>
      </c>
      <c r="G1755" s="486" t="str">
        <f>HYPERLINK("#G"&amp;ROW(G1813),"_x0005_`BDCOD|D01313_x0007_`POSS|"&amp;ROW(G1757)&amp;"_x0007_`POSE|"&amp;ROW(G1813)&amp;"_x0007_`")</f>
        <v>_x0005_`BDCOD|D01313_x0007_`POSS|1757_x0007_`POSE|1813_x0007_`</v>
      </c>
      <c r="Z1755" s="500"/>
      <c r="AA1755" s="500"/>
      <c r="AB1755" s="500"/>
      <c r="AC1755" s="500"/>
      <c r="AD1755" s="500"/>
      <c r="AE1755" s="500"/>
      <c r="AF1755" s="500"/>
      <c r="AG1755" s="500"/>
      <c r="AH1755" s="500"/>
      <c r="AI1755" s="500"/>
      <c r="AJ1755" s="500"/>
      <c r="AK1755" s="500"/>
      <c r="AL1755" s="500"/>
      <c r="AM1755" s="500"/>
      <c r="AN1755" s="500"/>
      <c r="AO1755" s="500"/>
      <c r="AP1755" s="500"/>
    </row>
    <row r="1756" spans="1:42" ht="16.5" customHeight="1">
      <c r="A1756" s="485"/>
      <c r="B1756" s="503" t="s">
        <v>3623</v>
      </c>
      <c r="C1756" s="593"/>
      <c r="D1756" s="593"/>
      <c r="E1756" s="593"/>
      <c r="F1756" s="593"/>
      <c r="M1756" s="501" t="s">
        <v>1840</v>
      </c>
      <c r="Z1756" s="500"/>
      <c r="AA1756" s="500"/>
      <c r="AB1756" s="500"/>
      <c r="AC1756" s="500"/>
      <c r="AD1756" s="500"/>
      <c r="AE1756" s="500"/>
      <c r="AF1756" s="500"/>
      <c r="AG1756" s="500"/>
      <c r="AH1756" s="500"/>
      <c r="AI1756" s="500"/>
      <c r="AJ1756" s="500"/>
      <c r="AK1756" s="500"/>
      <c r="AL1756" s="500"/>
      <c r="AM1756" s="500"/>
      <c r="AN1756" s="500"/>
      <c r="AO1756" s="500"/>
      <c r="AP1756" s="500"/>
    </row>
    <row r="1757" spans="1:42" ht="16.5" customHeight="1">
      <c r="A1757" s="439"/>
      <c r="B1757" s="439"/>
      <c r="C1757" s="504"/>
      <c r="D1757" s="504"/>
      <c r="E1757" s="504"/>
      <c r="F1757" s="504"/>
      <c r="G1757" s="451" t="s">
        <v>3406</v>
      </c>
      <c r="Z1757" s="500"/>
      <c r="AA1757" s="500"/>
      <c r="AB1757" s="500"/>
      <c r="AC1757" s="500"/>
      <c r="AD1757" s="500"/>
      <c r="AE1757" s="500"/>
      <c r="AF1757" s="500"/>
      <c r="AG1757" s="500"/>
      <c r="AH1757" s="500"/>
      <c r="AI1757" s="500"/>
      <c r="AJ1757" s="500"/>
      <c r="AK1757" s="500"/>
      <c r="AL1757" s="500"/>
      <c r="AM1757" s="500"/>
      <c r="AN1757" s="500"/>
      <c r="AO1757" s="500"/>
      <c r="AP1757" s="500"/>
    </row>
    <row r="1758" spans="1:42" ht="16.5" customHeight="1">
      <c r="A1758" s="434"/>
      <c r="B1758" s="437" t="s">
        <v>3542</v>
      </c>
      <c r="C1758" s="439"/>
      <c r="D1758" s="439"/>
      <c r="E1758" s="439"/>
      <c r="F1758" s="439"/>
      <c r="G1758" s="451" t="s">
        <v>3543</v>
      </c>
      <c r="Z1758" s="500"/>
      <c r="AA1758" s="500"/>
      <c r="AB1758" s="500"/>
      <c r="AC1758" s="500"/>
      <c r="AD1758" s="500"/>
      <c r="AE1758" s="500"/>
      <c r="AF1758" s="500"/>
      <c r="AG1758" s="500"/>
      <c r="AH1758" s="500"/>
      <c r="AI1758" s="500"/>
      <c r="AJ1758" s="500"/>
      <c r="AK1758" s="500"/>
      <c r="AL1758" s="500"/>
      <c r="AM1758" s="500"/>
      <c r="AN1758" s="500"/>
      <c r="AO1758" s="500"/>
      <c r="AP1758" s="500"/>
    </row>
    <row r="1759" spans="1:42" ht="16.5" customHeight="1">
      <c r="A1759" s="439"/>
      <c r="B1759" s="439"/>
      <c r="C1759" s="439"/>
      <c r="D1759" s="439"/>
      <c r="E1759" s="439"/>
      <c r="F1759" s="439"/>
      <c r="G1759" s="451" t="s">
        <v>3406</v>
      </c>
      <c r="Z1759" s="500"/>
      <c r="AA1759" s="500"/>
      <c r="AB1759" s="500"/>
      <c r="AC1759" s="500"/>
      <c r="AD1759" s="500"/>
      <c r="AE1759" s="500"/>
      <c r="AF1759" s="500"/>
      <c r="AG1759" s="500"/>
      <c r="AH1759" s="500"/>
      <c r="AI1759" s="500"/>
      <c r="AJ1759" s="500"/>
      <c r="AK1759" s="500"/>
      <c r="AL1759" s="500"/>
      <c r="AM1759" s="500"/>
      <c r="AN1759" s="500"/>
      <c r="AO1759" s="500"/>
      <c r="AP1759" s="500"/>
    </row>
    <row r="1760" spans="1:42" ht="16.5" customHeight="1">
      <c r="A1760" s="434"/>
      <c r="B1760" s="437" t="s">
        <v>3544</v>
      </c>
      <c r="C1760" s="439"/>
      <c r="D1760" s="439"/>
      <c r="E1760" s="439"/>
      <c r="F1760" s="439"/>
      <c r="G1760" s="451" t="s">
        <v>3545</v>
      </c>
      <c r="Z1760" s="500"/>
      <c r="AA1760" s="500"/>
      <c r="AB1760" s="500"/>
      <c r="AC1760" s="500"/>
      <c r="AD1760" s="500"/>
      <c r="AE1760" s="500"/>
      <c r="AF1760" s="500"/>
      <c r="AG1760" s="500"/>
      <c r="AH1760" s="500"/>
      <c r="AI1760" s="500"/>
      <c r="AJ1760" s="500"/>
      <c r="AK1760" s="500"/>
      <c r="AL1760" s="500"/>
      <c r="AM1760" s="500"/>
      <c r="AN1760" s="500"/>
      <c r="AO1760" s="500"/>
      <c r="AP1760" s="500"/>
    </row>
    <row r="1761" spans="1:42" ht="16.5" customHeight="1">
      <c r="A1761" s="439"/>
      <c r="B1761" s="439"/>
      <c r="C1761" s="439"/>
      <c r="D1761" s="439"/>
      <c r="E1761" s="439"/>
      <c r="F1761" s="439"/>
      <c r="G1761" s="451" t="s">
        <v>3406</v>
      </c>
      <c r="Z1761" s="500"/>
      <c r="AA1761" s="500"/>
      <c r="AB1761" s="500"/>
      <c r="AC1761" s="500"/>
      <c r="AD1761" s="500"/>
      <c r="AE1761" s="500"/>
      <c r="AF1761" s="500"/>
      <c r="AG1761" s="500"/>
      <c r="AH1761" s="500"/>
      <c r="AI1761" s="500"/>
      <c r="AJ1761" s="500"/>
      <c r="AK1761" s="500"/>
      <c r="AL1761" s="500"/>
      <c r="AM1761" s="500"/>
      <c r="AN1761" s="500"/>
      <c r="AO1761" s="500"/>
      <c r="AP1761" s="500"/>
    </row>
    <row r="1762" spans="1:42" ht="16.5" customHeight="1">
      <c r="A1762" s="434"/>
      <c r="B1762" s="437" t="str">
        <f>" 일당 작업량 :   Q = "&amp;Z1762&amp;"  주 "</f>
        <v xml:space="preserve"> 일당 작업량 :   Q = 4  주 </v>
      </c>
      <c r="C1762" s="439"/>
      <c r="D1762" s="439"/>
      <c r="E1762" s="439"/>
      <c r="F1762" s="439"/>
      <c r="G1762" s="451" t="s">
        <v>3624</v>
      </c>
      <c r="Z1762" s="515">
        <v>4</v>
      </c>
      <c r="AA1762" s="501" t="s">
        <v>3418</v>
      </c>
      <c r="AB1762" s="512">
        <f>Z1762</f>
        <v>4</v>
      </c>
      <c r="AC1762" s="500"/>
      <c r="AD1762" s="500"/>
      <c r="AE1762" s="500"/>
      <c r="AF1762" s="500"/>
      <c r="AG1762" s="500"/>
      <c r="AH1762" s="500"/>
      <c r="AI1762" s="500"/>
      <c r="AJ1762" s="500"/>
      <c r="AK1762" s="500"/>
      <c r="AL1762" s="500"/>
      <c r="AM1762" s="500"/>
      <c r="AN1762" s="500"/>
      <c r="AO1762" s="500"/>
      <c r="AP1762" s="500"/>
    </row>
    <row r="1763" spans="1:42" ht="16.5" customHeight="1">
      <c r="A1763" s="439"/>
      <c r="B1763" s="439"/>
      <c r="C1763" s="439"/>
      <c r="D1763" s="439"/>
      <c r="E1763" s="439"/>
      <c r="F1763" s="439"/>
      <c r="G1763" s="451" t="s">
        <v>3406</v>
      </c>
      <c r="Z1763" s="500"/>
      <c r="AA1763" s="500"/>
      <c r="AB1763" s="500"/>
      <c r="AC1763" s="500"/>
      <c r="AD1763" s="500"/>
      <c r="AE1763" s="500"/>
      <c r="AF1763" s="500"/>
      <c r="AG1763" s="500"/>
      <c r="AH1763" s="500"/>
      <c r="AI1763" s="500"/>
      <c r="AJ1763" s="500"/>
      <c r="AK1763" s="500"/>
      <c r="AL1763" s="500"/>
      <c r="AM1763" s="500"/>
      <c r="AN1763" s="500"/>
      <c r="AO1763" s="500"/>
      <c r="AP1763" s="500"/>
    </row>
    <row r="1764" spans="1:42" ht="16.5" customHeight="1">
      <c r="A1764" s="434"/>
      <c r="B1764" s="437" t="s">
        <v>3611</v>
      </c>
      <c r="C1764" s="439"/>
      <c r="D1764" s="439"/>
      <c r="E1764" s="439"/>
      <c r="F1764" s="439"/>
      <c r="G1764" s="451" t="s">
        <v>3612</v>
      </c>
      <c r="Z1764" s="500"/>
      <c r="AA1764" s="500"/>
      <c r="AB1764" s="500"/>
      <c r="AC1764" s="500"/>
      <c r="AD1764" s="500"/>
      <c r="AE1764" s="500"/>
      <c r="AF1764" s="500"/>
      <c r="AG1764" s="500"/>
      <c r="AH1764" s="500"/>
      <c r="AI1764" s="500"/>
      <c r="AJ1764" s="500"/>
      <c r="AK1764" s="500"/>
      <c r="AL1764" s="500"/>
      <c r="AM1764" s="500"/>
      <c r="AN1764" s="500"/>
      <c r="AO1764" s="500"/>
      <c r="AP1764" s="500"/>
    </row>
    <row r="1765" spans="1:42" ht="16.5" customHeight="1">
      <c r="A1765" s="439"/>
      <c r="B1765" s="439"/>
      <c r="C1765" s="439"/>
      <c r="D1765" s="439"/>
      <c r="E1765" s="439"/>
      <c r="F1765" s="439"/>
      <c r="G1765" s="451" t="s">
        <v>3406</v>
      </c>
      <c r="Z1765" s="500"/>
      <c r="AA1765" s="500"/>
      <c r="AB1765" s="500"/>
      <c r="AC1765" s="500"/>
      <c r="AD1765" s="500"/>
      <c r="AE1765" s="500"/>
      <c r="AF1765" s="500"/>
      <c r="AG1765" s="500"/>
      <c r="AH1765" s="500"/>
      <c r="AI1765" s="500"/>
      <c r="AJ1765" s="500"/>
      <c r="AK1765" s="500"/>
      <c r="AL1765" s="500"/>
      <c r="AM1765" s="500"/>
      <c r="AN1765" s="500"/>
      <c r="AO1765" s="500"/>
      <c r="AP1765" s="500"/>
    </row>
    <row r="1766" spans="1:42" ht="16.5" customHeight="1">
      <c r="A1766" s="439"/>
      <c r="B1766" s="439"/>
      <c r="C1766" s="439"/>
      <c r="D1766" s="439"/>
      <c r="E1766" s="439"/>
      <c r="F1766" s="439"/>
      <c r="G1766" s="451" t="s">
        <v>3406</v>
      </c>
      <c r="Z1766" s="500"/>
      <c r="AA1766" s="500"/>
      <c r="AB1766" s="500"/>
      <c r="AC1766" s="500"/>
      <c r="AD1766" s="500"/>
      <c r="AE1766" s="500"/>
      <c r="AF1766" s="500"/>
      <c r="AG1766" s="500"/>
      <c r="AH1766" s="500"/>
      <c r="AI1766" s="500"/>
      <c r="AJ1766" s="500"/>
      <c r="AK1766" s="500"/>
      <c r="AL1766" s="500"/>
      <c r="AM1766" s="500"/>
      <c r="AN1766" s="500"/>
      <c r="AO1766" s="500"/>
      <c r="AP1766" s="500"/>
    </row>
    <row r="1767" spans="1:42" ht="16.5" customHeight="1">
      <c r="A1767" s="439"/>
      <c r="B1767" s="439"/>
      <c r="C1767" s="439"/>
      <c r="D1767" s="439"/>
      <c r="E1767" s="439"/>
      <c r="F1767" s="439"/>
      <c r="G1767" s="451" t="s">
        <v>3406</v>
      </c>
      <c r="Z1767" s="500"/>
      <c r="AA1767" s="500"/>
      <c r="AB1767" s="500"/>
      <c r="AC1767" s="500"/>
      <c r="AD1767" s="500"/>
      <c r="AE1767" s="500"/>
      <c r="AF1767" s="500"/>
      <c r="AG1767" s="500"/>
      <c r="AH1767" s="500"/>
      <c r="AI1767" s="500"/>
      <c r="AJ1767" s="500"/>
      <c r="AK1767" s="500"/>
      <c r="AL1767" s="500"/>
      <c r="AM1767" s="500"/>
      <c r="AN1767" s="500"/>
      <c r="AO1767" s="500"/>
      <c r="AP1767" s="500"/>
    </row>
    <row r="1768" spans="1:42" ht="16.5" customHeight="1">
      <c r="A1768" s="439"/>
      <c r="B1768" s="439"/>
      <c r="C1768" s="439"/>
      <c r="D1768" s="439"/>
      <c r="E1768" s="439"/>
      <c r="F1768" s="439"/>
      <c r="G1768" s="451" t="s">
        <v>3406</v>
      </c>
      <c r="Z1768" s="500"/>
      <c r="AA1768" s="500"/>
      <c r="AB1768" s="500"/>
      <c r="AC1768" s="500"/>
      <c r="AD1768" s="500"/>
      <c r="AE1768" s="500"/>
      <c r="AF1768" s="500"/>
      <c r="AG1768" s="500"/>
      <c r="AH1768" s="500"/>
      <c r="AI1768" s="500"/>
      <c r="AJ1768" s="500"/>
      <c r="AK1768" s="500"/>
      <c r="AL1768" s="500"/>
      <c r="AM1768" s="500"/>
      <c r="AN1768" s="500"/>
      <c r="AO1768" s="500"/>
      <c r="AP1768" s="500"/>
    </row>
    <row r="1769" spans="1:42" ht="16.5" customHeight="1">
      <c r="A1769" s="434"/>
      <c r="B1769" s="437" t="s">
        <v>3549</v>
      </c>
      <c r="C1769" s="439"/>
      <c r="D1769" s="439"/>
      <c r="E1769" s="439"/>
      <c r="F1769" s="439"/>
      <c r="G1769" s="451" t="s">
        <v>3550</v>
      </c>
      <c r="Z1769" s="500"/>
      <c r="AA1769" s="500"/>
      <c r="AB1769" s="500"/>
      <c r="AC1769" s="500"/>
      <c r="AD1769" s="500"/>
      <c r="AE1769" s="500"/>
      <c r="AF1769" s="500"/>
      <c r="AG1769" s="500"/>
      <c r="AH1769" s="500"/>
      <c r="AI1769" s="500"/>
      <c r="AJ1769" s="500"/>
      <c r="AK1769" s="500"/>
      <c r="AL1769" s="500"/>
      <c r="AM1769" s="500"/>
      <c r="AN1769" s="500"/>
      <c r="AO1769" s="500"/>
      <c r="AP1769" s="500"/>
    </row>
    <row r="1770" spans="1:42" ht="16.5" customHeight="1">
      <c r="A1770" s="439"/>
      <c r="B1770" s="439"/>
      <c r="C1770" s="439"/>
      <c r="D1770" s="439"/>
      <c r="E1770" s="439"/>
      <c r="F1770" s="439"/>
      <c r="G1770" s="451" t="s">
        <v>3406</v>
      </c>
      <c r="Z1770" s="500"/>
      <c r="AA1770" s="500"/>
      <c r="AB1770" s="500"/>
      <c r="AC1770" s="500"/>
      <c r="AD1770" s="500"/>
      <c r="AE1770" s="500"/>
      <c r="AF1770" s="500"/>
      <c r="AG1770" s="500"/>
      <c r="AH1770" s="500"/>
      <c r="AI1770" s="500"/>
      <c r="AJ1770" s="500"/>
      <c r="AK1770" s="500"/>
      <c r="AL1770" s="500"/>
      <c r="AM1770" s="500"/>
      <c r="AN1770" s="500"/>
      <c r="AO1770" s="500"/>
      <c r="AP1770" s="500"/>
    </row>
    <row r="1771" spans="1:42" ht="16.5" customHeight="1">
      <c r="A1771" s="434" t="s">
        <v>3498</v>
      </c>
      <c r="B1771" s="505" t="str">
        <f>" 조경공 :  "&amp;TEXT(I1771,"#,##0"&amp;IF(I1771&lt;&gt;INT(I1771),".###",""))&amp;" * "&amp;AA1771&amp;" 인  / Q = "&amp;TEXT(C1771,"#,##0.0")&amp;""</f>
        <v xml:space="preserve"> 조경공 :  235,204 * 3 인  / Q = 176,403.0</v>
      </c>
      <c r="C1771" s="506">
        <f>E1771+D1771+F1771</f>
        <v>176403</v>
      </c>
      <c r="D1771" s="506">
        <f>IF(H1771=0,0,ROUNDDOWN(J1771*H1771,1))</f>
        <v>176403</v>
      </c>
      <c r="E1771" s="506">
        <f>IF(H1771=0,0,ROUNDDOWN(K1771*H1771,1))</f>
        <v>0</v>
      </c>
      <c r="F1771" s="506">
        <f>IF(H1771=0,0,ROUNDDOWN(L1771*H1771,1))</f>
        <v>0</v>
      </c>
      <c r="G1771" s="451" t="s">
        <v>3551</v>
      </c>
      <c r="H1771" s="507">
        <f>ROUNDUP(AE1771,14-LEN(ABS(INT(AE1771))))</f>
        <v>0.75</v>
      </c>
      <c r="I1771" s="508">
        <f>K1771+J1771+L1771</f>
        <v>235204</v>
      </c>
      <c r="J1771" s="509">
        <f>노무비목록표!E15</f>
        <v>235204</v>
      </c>
      <c r="M1771" s="501" t="s">
        <v>2359</v>
      </c>
      <c r="N1771" s="501" t="s">
        <v>3416</v>
      </c>
      <c r="X1771" s="510" t="str">
        <f>노무비목록표!B15&amp;" / "&amp;노무비목록표!C15</f>
        <v xml:space="preserve">조경공 / </v>
      </c>
      <c r="Y1771" s="433" t="str">
        <f ca="1">HYPERLINK("#"&amp;노무비목록표!G2&amp;"!A"&amp;ROW(노무비목록표!A15),"L00184 →")</f>
        <v>L00184 →</v>
      </c>
      <c r="Z1771" s="501" t="s">
        <v>3500</v>
      </c>
      <c r="AA1771" s="515">
        <v>3</v>
      </c>
      <c r="AB1771" s="501" t="s">
        <v>3428</v>
      </c>
      <c r="AC1771" s="512">
        <f>AB1762</f>
        <v>4</v>
      </c>
      <c r="AD1771" s="501" t="s">
        <v>3418</v>
      </c>
      <c r="AE1771" s="512">
        <f>1*AA1771/AB1762</f>
        <v>0.75</v>
      </c>
      <c r="AF1771" s="500"/>
      <c r="AG1771" s="500"/>
      <c r="AH1771" s="500"/>
      <c r="AI1771" s="500"/>
      <c r="AJ1771" s="500"/>
      <c r="AK1771" s="500"/>
      <c r="AL1771" s="500"/>
      <c r="AM1771" s="500"/>
      <c r="AN1771" s="500"/>
      <c r="AO1771" s="500"/>
      <c r="AP1771" s="500"/>
    </row>
    <row r="1772" spans="1:42" ht="16.5" customHeight="1">
      <c r="A1772" s="439"/>
      <c r="B1772" s="439"/>
      <c r="C1772" s="439"/>
      <c r="D1772" s="439"/>
      <c r="E1772" s="439"/>
      <c r="F1772" s="439"/>
      <c r="G1772" s="451" t="s">
        <v>3406</v>
      </c>
      <c r="Z1772" s="500"/>
      <c r="AA1772" s="500"/>
      <c r="AB1772" s="500"/>
      <c r="AC1772" s="500"/>
      <c r="AD1772" s="500"/>
      <c r="AE1772" s="500"/>
      <c r="AF1772" s="500"/>
      <c r="AG1772" s="500"/>
      <c r="AH1772" s="500"/>
      <c r="AI1772" s="500"/>
      <c r="AJ1772" s="500"/>
      <c r="AK1772" s="500"/>
      <c r="AL1772" s="500"/>
      <c r="AM1772" s="500"/>
      <c r="AN1772" s="500"/>
      <c r="AO1772" s="500"/>
      <c r="AP1772" s="500"/>
    </row>
    <row r="1773" spans="1:42" ht="16.5" customHeight="1">
      <c r="A1773" s="439"/>
      <c r="B1773" s="439"/>
      <c r="C1773" s="439"/>
      <c r="D1773" s="439"/>
      <c r="E1773" s="439"/>
      <c r="F1773" s="439"/>
      <c r="G1773" s="451" t="s">
        <v>3406</v>
      </c>
      <c r="Z1773" s="500"/>
      <c r="AA1773" s="500"/>
      <c r="AB1773" s="500"/>
      <c r="AC1773" s="500"/>
      <c r="AD1773" s="500"/>
      <c r="AE1773" s="500"/>
      <c r="AF1773" s="500"/>
      <c r="AG1773" s="500"/>
      <c r="AH1773" s="500"/>
      <c r="AI1773" s="500"/>
      <c r="AJ1773" s="500"/>
      <c r="AK1773" s="500"/>
      <c r="AL1773" s="500"/>
      <c r="AM1773" s="500"/>
      <c r="AN1773" s="500"/>
      <c r="AO1773" s="500"/>
      <c r="AP1773" s="500"/>
    </row>
    <row r="1774" spans="1:42" ht="16.5" customHeight="1">
      <c r="A1774" s="434" t="s">
        <v>3414</v>
      </c>
      <c r="B1774" s="505" t="str">
        <f>" 보통인부 : "&amp;TEXT(I1774,"#,##0"&amp;IF(I1774&lt;&gt;INT(I1774),".###",""))&amp;" * "&amp;AA1774&amp;" 인  / Q = "&amp;TEXT(C1774,"#,##0.0")&amp;""</f>
        <v xml:space="preserve"> 보통인부 : 172,068 * 1 인  / Q = 43,017.0</v>
      </c>
      <c r="C1774" s="506">
        <f>E1774+D1774+F1774</f>
        <v>43017</v>
      </c>
      <c r="D1774" s="506">
        <f>IF(H1774=0,0,ROUNDDOWN(J1774*H1774,1))</f>
        <v>43017</v>
      </c>
      <c r="E1774" s="506">
        <f>IF(H1774=0,0,ROUNDDOWN(K1774*H1774,1))</f>
        <v>0</v>
      </c>
      <c r="F1774" s="506">
        <f>IF(H1774=0,0,ROUNDDOWN(L1774*H1774,1))</f>
        <v>0</v>
      </c>
      <c r="G1774" s="451" t="s">
        <v>3552</v>
      </c>
      <c r="H1774" s="507">
        <f>ROUNDUP(AE1774,14-LEN(ABS(INT(AE1774))))</f>
        <v>0.25</v>
      </c>
      <c r="I1774" s="508">
        <f>K1774+J1774+L1774</f>
        <v>172068</v>
      </c>
      <c r="J1774" s="509">
        <f>노무비목록표!E10</f>
        <v>172068</v>
      </c>
      <c r="M1774" s="501" t="s">
        <v>2363</v>
      </c>
      <c r="N1774" s="501" t="s">
        <v>3416</v>
      </c>
      <c r="X1774" s="510" t="str">
        <f>노무비목록표!B10&amp;" / "&amp;노무비목록표!C10</f>
        <v xml:space="preserve">보통인부 / </v>
      </c>
      <c r="Y1774" s="433" t="str">
        <f ca="1">HYPERLINK("#"&amp;노무비목록표!G2&amp;"!A"&amp;ROW(노무비목록표!A10),"L00017 →")</f>
        <v>L00017 →</v>
      </c>
      <c r="Z1774" s="501" t="s">
        <v>3500</v>
      </c>
      <c r="AA1774" s="515">
        <v>1</v>
      </c>
      <c r="AB1774" s="501" t="s">
        <v>3428</v>
      </c>
      <c r="AC1774" s="512">
        <f>AB1762</f>
        <v>4</v>
      </c>
      <c r="AD1774" s="501" t="s">
        <v>3418</v>
      </c>
      <c r="AE1774" s="512">
        <f>1*AA1774/AB1762</f>
        <v>0.25</v>
      </c>
      <c r="AF1774" s="500"/>
      <c r="AG1774" s="500"/>
      <c r="AH1774" s="500"/>
      <c r="AI1774" s="500"/>
      <c r="AJ1774" s="500"/>
      <c r="AK1774" s="500"/>
      <c r="AL1774" s="500"/>
      <c r="AM1774" s="500"/>
      <c r="AN1774" s="500"/>
      <c r="AO1774" s="500"/>
      <c r="AP1774" s="500"/>
    </row>
    <row r="1775" spans="1:42" ht="16.5" customHeight="1">
      <c r="A1775" s="439"/>
      <c r="B1775" s="439"/>
      <c r="C1775" s="439"/>
      <c r="D1775" s="439"/>
      <c r="E1775" s="439"/>
      <c r="F1775" s="439"/>
      <c r="G1775" s="451" t="s">
        <v>3406</v>
      </c>
      <c r="Z1775" s="500"/>
      <c r="AA1775" s="500"/>
      <c r="AB1775" s="500"/>
      <c r="AC1775" s="500"/>
      <c r="AD1775" s="500"/>
      <c r="AE1775" s="500"/>
      <c r="AF1775" s="500"/>
      <c r="AG1775" s="500"/>
      <c r="AH1775" s="500"/>
      <c r="AI1775" s="500"/>
      <c r="AJ1775" s="500"/>
      <c r="AK1775" s="500"/>
      <c r="AL1775" s="500"/>
      <c r="AM1775" s="500"/>
      <c r="AN1775" s="500"/>
      <c r="AO1775" s="500"/>
      <c r="AP1775" s="500"/>
    </row>
    <row r="1776" spans="1:42" ht="16.5" customHeight="1">
      <c r="A1776" s="434"/>
      <c r="B1776" s="437" t="s">
        <v>3419</v>
      </c>
      <c r="C1776" s="513">
        <f>E1776+D1776+F1776</f>
        <v>219420</v>
      </c>
      <c r="D1776" s="513">
        <f>SUMIF(N1757:N1775,M1776,D1757:D1775)</f>
        <v>219420</v>
      </c>
      <c r="E1776" s="513">
        <f>SUMIF(N1757:N1775,M1776,E1757:E1775)</f>
        <v>0</v>
      </c>
      <c r="F1776" s="513">
        <f>SUMIF(N1757:N1775,M1776,F1757:F1775)</f>
        <v>0</v>
      </c>
      <c r="G1776" s="451" t="s">
        <v>3439</v>
      </c>
      <c r="M1776" s="501" t="s">
        <v>3416</v>
      </c>
      <c r="N1776" s="501" t="s">
        <v>3421</v>
      </c>
      <c r="Z1776" s="500"/>
      <c r="AA1776" s="500"/>
      <c r="AB1776" s="500"/>
      <c r="AC1776" s="500"/>
      <c r="AD1776" s="500"/>
      <c r="AE1776" s="500"/>
      <c r="AF1776" s="500"/>
      <c r="AG1776" s="500"/>
      <c r="AH1776" s="500"/>
      <c r="AI1776" s="500"/>
      <c r="AJ1776" s="500"/>
      <c r="AK1776" s="500"/>
      <c r="AL1776" s="500"/>
      <c r="AM1776" s="500"/>
      <c r="AN1776" s="500"/>
      <c r="AO1776" s="500"/>
      <c r="AP1776" s="500"/>
    </row>
    <row r="1777" spans="1:42" ht="16.5" customHeight="1">
      <c r="A1777" s="439"/>
      <c r="B1777" s="439"/>
      <c r="C1777" s="504"/>
      <c r="D1777" s="504"/>
      <c r="E1777" s="504"/>
      <c r="F1777" s="504"/>
      <c r="G1777" s="451" t="s">
        <v>3406</v>
      </c>
      <c r="Z1777" s="500"/>
      <c r="AA1777" s="500"/>
      <c r="AB1777" s="500"/>
      <c r="AC1777" s="500"/>
      <c r="AD1777" s="500"/>
      <c r="AE1777" s="500"/>
      <c r="AF1777" s="500"/>
      <c r="AG1777" s="500"/>
      <c r="AH1777" s="500"/>
      <c r="AI1777" s="500"/>
      <c r="AJ1777" s="500"/>
      <c r="AK1777" s="500"/>
      <c r="AL1777" s="500"/>
      <c r="AM1777" s="500"/>
      <c r="AN1777" s="500"/>
      <c r="AO1777" s="500"/>
      <c r="AP1777" s="500"/>
    </row>
    <row r="1778" spans="1:42" ht="16.5" customHeight="1">
      <c r="A1778" s="439"/>
      <c r="B1778" s="439"/>
      <c r="C1778" s="439"/>
      <c r="D1778" s="439"/>
      <c r="E1778" s="439"/>
      <c r="F1778" s="439"/>
      <c r="G1778" s="451" t="s">
        <v>3406</v>
      </c>
      <c r="Z1778" s="500"/>
      <c r="AA1778" s="500"/>
      <c r="AB1778" s="500"/>
      <c r="AC1778" s="500"/>
      <c r="AD1778" s="500"/>
      <c r="AE1778" s="500"/>
      <c r="AF1778" s="500"/>
      <c r="AG1778" s="500"/>
      <c r="AH1778" s="500"/>
      <c r="AI1778" s="500"/>
      <c r="AJ1778" s="500"/>
      <c r="AK1778" s="500"/>
      <c r="AL1778" s="500"/>
      <c r="AM1778" s="500"/>
      <c r="AN1778" s="500"/>
      <c r="AO1778" s="500"/>
      <c r="AP1778" s="500"/>
    </row>
    <row r="1779" spans="1:42" ht="16.5" customHeight="1">
      <c r="A1779" s="434"/>
      <c r="B1779" s="437" t="s">
        <v>3572</v>
      </c>
      <c r="C1779" s="439"/>
      <c r="D1779" s="439"/>
      <c r="E1779" s="439"/>
      <c r="F1779" s="439"/>
      <c r="G1779" s="451" t="s">
        <v>3573</v>
      </c>
      <c r="Z1779" s="500"/>
      <c r="AA1779" s="500"/>
      <c r="AB1779" s="500"/>
      <c r="AC1779" s="500"/>
      <c r="AD1779" s="500"/>
      <c r="AE1779" s="500"/>
      <c r="AF1779" s="500"/>
      <c r="AG1779" s="500"/>
      <c r="AH1779" s="500"/>
      <c r="AI1779" s="500"/>
      <c r="AJ1779" s="500"/>
      <c r="AK1779" s="500"/>
      <c r="AL1779" s="500"/>
      <c r="AM1779" s="500"/>
      <c r="AN1779" s="500"/>
      <c r="AO1779" s="500"/>
      <c r="AP1779" s="500"/>
    </row>
    <row r="1780" spans="1:42" ht="16.5" customHeight="1">
      <c r="A1780" s="439"/>
      <c r="B1780" s="439"/>
      <c r="C1780" s="439"/>
      <c r="D1780" s="439"/>
      <c r="E1780" s="439"/>
      <c r="F1780" s="439"/>
      <c r="G1780" s="451" t="s">
        <v>3406</v>
      </c>
      <c r="Z1780" s="500"/>
      <c r="AA1780" s="500"/>
      <c r="AB1780" s="500"/>
      <c r="AC1780" s="500"/>
      <c r="AD1780" s="500"/>
      <c r="AE1780" s="500"/>
      <c r="AF1780" s="500"/>
      <c r="AG1780" s="500"/>
      <c r="AH1780" s="500"/>
      <c r="AI1780" s="500"/>
      <c r="AJ1780" s="500"/>
      <c r="AK1780" s="500"/>
      <c r="AL1780" s="500"/>
      <c r="AM1780" s="500"/>
      <c r="AN1780" s="500"/>
      <c r="AO1780" s="500"/>
      <c r="AP1780" s="500"/>
    </row>
    <row r="1781" spans="1:42" ht="16.5" customHeight="1">
      <c r="A1781" s="434"/>
      <c r="B1781" s="437" t="s">
        <v>3574</v>
      </c>
      <c r="C1781" s="439"/>
      <c r="D1781" s="439"/>
      <c r="E1781" s="439"/>
      <c r="F1781" s="439"/>
      <c r="G1781" s="451" t="s">
        <v>3575</v>
      </c>
      <c r="Z1781" s="500"/>
      <c r="AA1781" s="500"/>
      <c r="AB1781" s="500"/>
      <c r="AC1781" s="500"/>
      <c r="AD1781" s="500"/>
      <c r="AE1781" s="500"/>
      <c r="AF1781" s="500"/>
      <c r="AG1781" s="500"/>
      <c r="AH1781" s="500"/>
      <c r="AI1781" s="500"/>
      <c r="AJ1781" s="500"/>
      <c r="AK1781" s="500"/>
      <c r="AL1781" s="500"/>
      <c r="AM1781" s="500"/>
      <c r="AN1781" s="500"/>
      <c r="AO1781" s="500"/>
      <c r="AP1781" s="500"/>
    </row>
    <row r="1782" spans="1:42" ht="16.5" customHeight="1">
      <c r="A1782" s="439"/>
      <c r="B1782" s="439"/>
      <c r="C1782" s="439"/>
      <c r="D1782" s="439"/>
      <c r="E1782" s="439"/>
      <c r="F1782" s="439"/>
      <c r="G1782" s="451" t="s">
        <v>3406</v>
      </c>
      <c r="Z1782" s="500"/>
      <c r="AA1782" s="500"/>
      <c r="AB1782" s="500"/>
      <c r="AC1782" s="500"/>
      <c r="AD1782" s="500"/>
      <c r="AE1782" s="500"/>
      <c r="AF1782" s="500"/>
      <c r="AG1782" s="500"/>
      <c r="AH1782" s="500"/>
      <c r="AI1782" s="500"/>
      <c r="AJ1782" s="500"/>
      <c r="AK1782" s="500"/>
      <c r="AL1782" s="500"/>
      <c r="AM1782" s="500"/>
      <c r="AN1782" s="500"/>
      <c r="AO1782" s="500"/>
      <c r="AP1782" s="500"/>
    </row>
    <row r="1783" spans="1:42" ht="16.5" customHeight="1">
      <c r="A1783" s="434" t="s">
        <v>3576</v>
      </c>
      <c r="B1783" s="505" t="str">
        <f>"  노 무 비 :  "&amp;TEXT(I1783,"#,##0"&amp;IF(I1783&lt;&gt;INT(I1783),".###",""))&amp;" / Q * "&amp;AC1783&amp;" = "&amp;TEXT(C1783,"#,##0.0")&amp;""</f>
        <v xml:space="preserve">  노 무 비 :  59,020 / Q * 8 = 118,040.0</v>
      </c>
      <c r="C1783" s="506">
        <f>E1783+D1783+F1783</f>
        <v>118040</v>
      </c>
      <c r="D1783" s="506">
        <f>IF(H1783=0,0,ROUNDDOWN(J1783*H1783,1))</f>
        <v>118040</v>
      </c>
      <c r="E1783" s="506">
        <f>IF(H1783=0,0,ROUNDDOWN(K1783*H1783,1))</f>
        <v>0</v>
      </c>
      <c r="F1783" s="506">
        <f>IF(H1783=0,0,ROUNDDOWN(L1783*H1783,1))</f>
        <v>0</v>
      </c>
      <c r="G1783" s="451" t="s">
        <v>3577</v>
      </c>
      <c r="H1783" s="507">
        <f>ROUNDUP(AE1783,14-LEN(ABS(INT(AE1783))))</f>
        <v>2</v>
      </c>
      <c r="I1783" s="508">
        <f>K1783+J1783+L1783</f>
        <v>59020</v>
      </c>
      <c r="J1783" s="509">
        <f>중기목록표!F8</f>
        <v>59020</v>
      </c>
      <c r="M1783" s="501" t="s">
        <v>3159</v>
      </c>
      <c r="N1783" s="501" t="s">
        <v>3416</v>
      </c>
      <c r="X1783" s="510" t="str">
        <f>중기목록표!B8&amp;" / "&amp;중기목록표!C8</f>
        <v>굴착기(무한궤도) / 0.6㎥</v>
      </c>
      <c r="Y1783" s="433" t="str">
        <f ca="1">HYPERLINK("#"&amp;중기목록표!J2&amp;"!A"&amp;ROW(중기목록표!A8),"X00269 →")</f>
        <v>X00269 →</v>
      </c>
      <c r="Z1783" s="501" t="s">
        <v>3434</v>
      </c>
      <c r="AA1783" s="512">
        <f>AB1762</f>
        <v>4</v>
      </c>
      <c r="AB1783" s="501" t="s">
        <v>3368</v>
      </c>
      <c r="AC1783" s="515">
        <v>8</v>
      </c>
      <c r="AD1783" s="501" t="s">
        <v>3418</v>
      </c>
      <c r="AE1783" s="512">
        <f>1/AB1762*AC1783</f>
        <v>2</v>
      </c>
      <c r="AF1783" s="500"/>
      <c r="AG1783" s="500"/>
      <c r="AH1783" s="500"/>
      <c r="AI1783" s="500"/>
      <c r="AJ1783" s="500"/>
      <c r="AK1783" s="500"/>
      <c r="AL1783" s="500"/>
      <c r="AM1783" s="500"/>
      <c r="AN1783" s="500"/>
      <c r="AO1783" s="500"/>
      <c r="AP1783" s="500"/>
    </row>
    <row r="1784" spans="1:42" ht="16.5" customHeight="1">
      <c r="A1784" s="439"/>
      <c r="B1784" s="439"/>
      <c r="C1784" s="439"/>
      <c r="D1784" s="439"/>
      <c r="E1784" s="439"/>
      <c r="F1784" s="439"/>
      <c r="G1784" s="451" t="s">
        <v>3406</v>
      </c>
      <c r="Z1784" s="500"/>
      <c r="AA1784" s="500"/>
      <c r="AB1784" s="500"/>
      <c r="AC1784" s="500"/>
      <c r="AD1784" s="500"/>
      <c r="AE1784" s="500"/>
      <c r="AF1784" s="500"/>
      <c r="AG1784" s="500"/>
      <c r="AH1784" s="500"/>
      <c r="AI1784" s="500"/>
      <c r="AJ1784" s="500"/>
      <c r="AK1784" s="500"/>
      <c r="AL1784" s="500"/>
      <c r="AM1784" s="500"/>
      <c r="AN1784" s="500"/>
      <c r="AO1784" s="500"/>
      <c r="AP1784" s="500"/>
    </row>
    <row r="1785" spans="1:42" ht="16.5" customHeight="1">
      <c r="A1785" s="434" t="s">
        <v>3578</v>
      </c>
      <c r="B1785" s="505" t="str">
        <f>"  재 료 비 :  "&amp;TEXT(I1785,"#,##0"&amp;IF(I1785&lt;&gt;INT(I1785),".###",""))&amp;" / Q * "&amp;AC1785&amp;" = "&amp;TEXT(C1785,"#,##0.0")&amp;""</f>
        <v xml:space="preserve">  재 료 비 :  17,160 / Q * 8 = 34,320.0</v>
      </c>
      <c r="C1785" s="506">
        <f>E1785+D1785+F1785</f>
        <v>34320</v>
      </c>
      <c r="D1785" s="506">
        <f>IF(H1785=0,0,ROUNDDOWN(J1785*H1785,1))</f>
        <v>0</v>
      </c>
      <c r="E1785" s="506">
        <f>IF(H1785=0,0,ROUNDDOWN(K1785*H1785,1))</f>
        <v>34320</v>
      </c>
      <c r="F1785" s="506">
        <f>IF(H1785=0,0,ROUNDDOWN(L1785*H1785,1))</f>
        <v>0</v>
      </c>
      <c r="G1785" s="451" t="s">
        <v>3579</v>
      </c>
      <c r="H1785" s="507">
        <f>ROUNDUP(AE1785,14-LEN(ABS(INT(AE1785))))</f>
        <v>2</v>
      </c>
      <c r="I1785" s="508">
        <f>K1785+J1785+L1785</f>
        <v>17160</v>
      </c>
      <c r="K1785" s="509">
        <f>중기목록표!G8</f>
        <v>17160</v>
      </c>
      <c r="M1785" s="501" t="s">
        <v>3159</v>
      </c>
      <c r="N1785" s="501" t="s">
        <v>3416</v>
      </c>
      <c r="X1785" s="510" t="str">
        <f>중기목록표!B8&amp;" / "&amp;중기목록표!C8</f>
        <v>굴착기(무한궤도) / 0.6㎥</v>
      </c>
      <c r="Y1785" s="433" t="str">
        <f ca="1">HYPERLINK("#"&amp;중기목록표!J2&amp;"!A"&amp;ROW(중기목록표!A8),"X00269 →")</f>
        <v>X00269 →</v>
      </c>
      <c r="Z1785" s="501" t="s">
        <v>3434</v>
      </c>
      <c r="AA1785" s="512">
        <f>AB1762</f>
        <v>4</v>
      </c>
      <c r="AB1785" s="501" t="s">
        <v>3368</v>
      </c>
      <c r="AC1785" s="515">
        <v>8</v>
      </c>
      <c r="AD1785" s="501" t="s">
        <v>3418</v>
      </c>
      <c r="AE1785" s="512">
        <f>1/AB1762*AC1785</f>
        <v>2</v>
      </c>
      <c r="AF1785" s="500"/>
      <c r="AG1785" s="500"/>
      <c r="AH1785" s="500"/>
      <c r="AI1785" s="500"/>
      <c r="AJ1785" s="500"/>
      <c r="AK1785" s="500"/>
      <c r="AL1785" s="500"/>
      <c r="AM1785" s="500"/>
      <c r="AN1785" s="500"/>
      <c r="AO1785" s="500"/>
      <c r="AP1785" s="500"/>
    </row>
    <row r="1786" spans="1:42" ht="16.5" customHeight="1">
      <c r="A1786" s="439"/>
      <c r="B1786" s="439"/>
      <c r="C1786" s="439"/>
      <c r="D1786" s="439"/>
      <c r="E1786" s="439"/>
      <c r="F1786" s="439"/>
      <c r="G1786" s="451" t="s">
        <v>3406</v>
      </c>
      <c r="Z1786" s="500"/>
      <c r="AA1786" s="500"/>
      <c r="AB1786" s="500"/>
      <c r="AC1786" s="500"/>
      <c r="AD1786" s="500"/>
      <c r="AE1786" s="500"/>
      <c r="AF1786" s="500"/>
      <c r="AG1786" s="500"/>
      <c r="AH1786" s="500"/>
      <c r="AI1786" s="500"/>
      <c r="AJ1786" s="500"/>
      <c r="AK1786" s="500"/>
      <c r="AL1786" s="500"/>
      <c r="AM1786" s="500"/>
      <c r="AN1786" s="500"/>
      <c r="AO1786" s="500"/>
      <c r="AP1786" s="500"/>
    </row>
    <row r="1787" spans="1:42" ht="16.5" customHeight="1">
      <c r="A1787" s="434" t="s">
        <v>3580</v>
      </c>
      <c r="B1787" s="505" t="str">
        <f>"  경    비 :  "&amp;TEXT(I1787,"#,##0"&amp;IF(I1787&lt;&gt;INT(I1787),".###",""))&amp;" / Q * "&amp;AC1787&amp;" = "&amp;TEXT(C1787,"#,##0.0")&amp;""</f>
        <v xml:space="preserve">  경    비 :  23,423 / Q * 8 = 46,846.0</v>
      </c>
      <c r="C1787" s="506">
        <f>E1787+D1787+F1787</f>
        <v>46846</v>
      </c>
      <c r="D1787" s="506">
        <f>IF(H1787=0,0,ROUNDDOWN(J1787*H1787,1))</f>
        <v>0</v>
      </c>
      <c r="E1787" s="506">
        <f>IF(H1787=0,0,ROUNDDOWN(K1787*H1787,1))</f>
        <v>0</v>
      </c>
      <c r="F1787" s="506">
        <f>IF(H1787=0,0,ROUNDDOWN(L1787*H1787,1))</f>
        <v>46846</v>
      </c>
      <c r="G1787" s="451" t="s">
        <v>3581</v>
      </c>
      <c r="H1787" s="507">
        <f>ROUNDUP(AE1787,14-LEN(ABS(INT(AE1787))))</f>
        <v>2</v>
      </c>
      <c r="I1787" s="508">
        <f>K1787+J1787+L1787</f>
        <v>23423</v>
      </c>
      <c r="L1787" s="509">
        <f>중기목록표!H8</f>
        <v>23423</v>
      </c>
      <c r="M1787" s="501" t="s">
        <v>3159</v>
      </c>
      <c r="N1787" s="501" t="s">
        <v>3416</v>
      </c>
      <c r="X1787" s="510" t="str">
        <f>중기목록표!B8&amp;" / "&amp;중기목록표!C8</f>
        <v>굴착기(무한궤도) / 0.6㎥</v>
      </c>
      <c r="Y1787" s="433" t="str">
        <f ca="1">HYPERLINK("#"&amp;중기목록표!J2&amp;"!A"&amp;ROW(중기목록표!A8),"X00269 →")</f>
        <v>X00269 →</v>
      </c>
      <c r="Z1787" s="501" t="s">
        <v>3434</v>
      </c>
      <c r="AA1787" s="512">
        <f>AB1762</f>
        <v>4</v>
      </c>
      <c r="AB1787" s="501" t="s">
        <v>3368</v>
      </c>
      <c r="AC1787" s="515">
        <v>8</v>
      </c>
      <c r="AD1787" s="501" t="s">
        <v>3418</v>
      </c>
      <c r="AE1787" s="512">
        <f>1/AB1762*AC1787</f>
        <v>2</v>
      </c>
      <c r="AF1787" s="500"/>
      <c r="AG1787" s="500"/>
      <c r="AH1787" s="500"/>
      <c r="AI1787" s="500"/>
      <c r="AJ1787" s="500"/>
      <c r="AK1787" s="500"/>
      <c r="AL1787" s="500"/>
      <c r="AM1787" s="500"/>
      <c r="AN1787" s="500"/>
      <c r="AO1787" s="500"/>
      <c r="AP1787" s="500"/>
    </row>
    <row r="1788" spans="1:42" ht="16.5" customHeight="1">
      <c r="A1788" s="439"/>
      <c r="B1788" s="439"/>
      <c r="C1788" s="439"/>
      <c r="D1788" s="439"/>
      <c r="E1788" s="439"/>
      <c r="F1788" s="439"/>
      <c r="G1788" s="451" t="s">
        <v>3406</v>
      </c>
      <c r="Z1788" s="500"/>
      <c r="AA1788" s="500"/>
      <c r="AB1788" s="500"/>
      <c r="AC1788" s="500"/>
      <c r="AD1788" s="500"/>
      <c r="AE1788" s="500"/>
      <c r="AF1788" s="500"/>
      <c r="AG1788" s="500"/>
      <c r="AH1788" s="500"/>
      <c r="AI1788" s="500"/>
      <c r="AJ1788" s="500"/>
      <c r="AK1788" s="500"/>
      <c r="AL1788" s="500"/>
      <c r="AM1788" s="500"/>
      <c r="AN1788" s="500"/>
      <c r="AO1788" s="500"/>
      <c r="AP1788" s="500"/>
    </row>
    <row r="1789" spans="1:42" ht="16.5" customHeight="1">
      <c r="A1789" s="439"/>
      <c r="B1789" s="439"/>
      <c r="C1789" s="439"/>
      <c r="D1789" s="439"/>
      <c r="E1789" s="439"/>
      <c r="F1789" s="439"/>
      <c r="G1789" s="451" t="s">
        <v>3406</v>
      </c>
      <c r="Z1789" s="500"/>
      <c r="AA1789" s="500"/>
      <c r="AB1789" s="500"/>
      <c r="AC1789" s="500"/>
      <c r="AD1789" s="500"/>
      <c r="AE1789" s="500"/>
      <c r="AF1789" s="500"/>
      <c r="AG1789" s="500"/>
      <c r="AH1789" s="500"/>
      <c r="AI1789" s="500"/>
      <c r="AJ1789" s="500"/>
      <c r="AK1789" s="500"/>
      <c r="AL1789" s="500"/>
      <c r="AM1789" s="500"/>
      <c r="AN1789" s="500"/>
      <c r="AO1789" s="500"/>
      <c r="AP1789" s="500"/>
    </row>
    <row r="1790" spans="1:42" ht="16.5" customHeight="1">
      <c r="A1790" s="434"/>
      <c r="B1790" s="437" t="s">
        <v>3613</v>
      </c>
      <c r="C1790" s="439"/>
      <c r="D1790" s="439"/>
      <c r="E1790" s="439"/>
      <c r="F1790" s="439"/>
      <c r="G1790" s="451" t="s">
        <v>3614</v>
      </c>
      <c r="Z1790" s="500"/>
      <c r="AA1790" s="500"/>
      <c r="AB1790" s="500"/>
      <c r="AC1790" s="500"/>
      <c r="AD1790" s="500"/>
      <c r="AE1790" s="500"/>
      <c r="AF1790" s="500"/>
      <c r="AG1790" s="500"/>
      <c r="AH1790" s="500"/>
      <c r="AI1790" s="500"/>
      <c r="AJ1790" s="500"/>
      <c r="AK1790" s="500"/>
      <c r="AL1790" s="500"/>
      <c r="AM1790" s="500"/>
      <c r="AN1790" s="500"/>
      <c r="AO1790" s="500"/>
      <c r="AP1790" s="500"/>
    </row>
    <row r="1791" spans="1:42" ht="16.5" customHeight="1">
      <c r="A1791" s="439"/>
      <c r="B1791" s="439"/>
      <c r="C1791" s="439"/>
      <c r="D1791" s="439"/>
      <c r="E1791" s="439"/>
      <c r="F1791" s="439"/>
      <c r="G1791" s="451" t="s">
        <v>3406</v>
      </c>
      <c r="Z1791" s="500"/>
      <c r="AA1791" s="500"/>
      <c r="AB1791" s="500"/>
      <c r="AC1791" s="500"/>
      <c r="AD1791" s="500"/>
      <c r="AE1791" s="500"/>
      <c r="AF1791" s="500"/>
      <c r="AG1791" s="500"/>
      <c r="AH1791" s="500"/>
      <c r="AI1791" s="500"/>
      <c r="AJ1791" s="500"/>
      <c r="AK1791" s="500"/>
      <c r="AL1791" s="500"/>
      <c r="AM1791" s="500"/>
      <c r="AN1791" s="500"/>
      <c r="AO1791" s="500"/>
      <c r="AP1791" s="500"/>
    </row>
    <row r="1792" spans="1:42" ht="16.5" customHeight="1">
      <c r="A1792" s="434" t="s">
        <v>3615</v>
      </c>
      <c r="B1792" s="505" t="str">
        <f>"  노 무 비 :  "&amp;TEXT(I1792,"#,##0"&amp;IF(I1792&lt;&gt;INT(I1792),".###",""))&amp;" / Q * "&amp;AC1792&amp;" = "&amp;TEXT(C1792,"#,##0.0")&amp;""</f>
        <v xml:space="preserve">  노 무 비 :  59,020 / Q * 8 = 118,040.0</v>
      </c>
      <c r="C1792" s="506">
        <f>E1792+D1792+F1792</f>
        <v>118040</v>
      </c>
      <c r="D1792" s="506">
        <f>IF(H1792=0,0,ROUNDDOWN(J1792*H1792,1))</f>
        <v>118040</v>
      </c>
      <c r="E1792" s="506">
        <f>IF(H1792=0,0,ROUNDDOWN(K1792*H1792,1))</f>
        <v>0</v>
      </c>
      <c r="F1792" s="506">
        <f>IF(H1792=0,0,ROUNDDOWN(L1792*H1792,1))</f>
        <v>0</v>
      </c>
      <c r="G1792" s="451" t="s">
        <v>3616</v>
      </c>
      <c r="H1792" s="507">
        <f>ROUNDUP(AE1792,14-LEN(ABS(INT(AE1792))))</f>
        <v>2</v>
      </c>
      <c r="I1792" s="508">
        <f>K1792+J1792+L1792</f>
        <v>59020</v>
      </c>
      <c r="J1792" s="509">
        <f>중기목록표!F17</f>
        <v>59020</v>
      </c>
      <c r="M1792" s="501" t="s">
        <v>3617</v>
      </c>
      <c r="N1792" s="501" t="s">
        <v>3416</v>
      </c>
      <c r="X1792" s="510" t="str">
        <f>중기목록표!B17&amp;" / "&amp;중기목록표!C17</f>
        <v>크레인(타이어) / 25톤</v>
      </c>
      <c r="Y1792" s="433" t="str">
        <f ca="1">HYPERLINK("#"&amp;중기목록표!J2&amp;"!A"&amp;ROW(중기목록표!A17),"X00301 →")</f>
        <v>X00301 →</v>
      </c>
      <c r="Z1792" s="501" t="s">
        <v>3434</v>
      </c>
      <c r="AA1792" s="512">
        <f>AB1762</f>
        <v>4</v>
      </c>
      <c r="AB1792" s="501" t="s">
        <v>3368</v>
      </c>
      <c r="AC1792" s="515">
        <v>8</v>
      </c>
      <c r="AD1792" s="501" t="s">
        <v>3418</v>
      </c>
      <c r="AE1792" s="512">
        <f>1/AB1762*AC1792</f>
        <v>2</v>
      </c>
      <c r="AF1792" s="500"/>
      <c r="AG1792" s="500"/>
      <c r="AH1792" s="500"/>
      <c r="AI1792" s="500"/>
      <c r="AJ1792" s="500"/>
      <c r="AK1792" s="500"/>
      <c r="AL1792" s="500"/>
      <c r="AM1792" s="500"/>
      <c r="AN1792" s="500"/>
      <c r="AO1792" s="500"/>
      <c r="AP1792" s="500"/>
    </row>
    <row r="1793" spans="1:42" ht="16.5" customHeight="1">
      <c r="A1793" s="439"/>
      <c r="B1793" s="439"/>
      <c r="C1793" s="439"/>
      <c r="D1793" s="439"/>
      <c r="E1793" s="439"/>
      <c r="F1793" s="439"/>
      <c r="G1793" s="451" t="s">
        <v>3406</v>
      </c>
      <c r="Z1793" s="500"/>
      <c r="AA1793" s="500"/>
      <c r="AB1793" s="500"/>
      <c r="AC1793" s="500"/>
      <c r="AD1793" s="500"/>
      <c r="AE1793" s="500"/>
      <c r="AF1793" s="500"/>
      <c r="AG1793" s="500"/>
      <c r="AH1793" s="500"/>
      <c r="AI1793" s="500"/>
      <c r="AJ1793" s="500"/>
      <c r="AK1793" s="500"/>
      <c r="AL1793" s="500"/>
      <c r="AM1793" s="500"/>
      <c r="AN1793" s="500"/>
      <c r="AO1793" s="500"/>
      <c r="AP1793" s="500"/>
    </row>
    <row r="1794" spans="1:42" ht="16.5" customHeight="1">
      <c r="A1794" s="434" t="s">
        <v>3618</v>
      </c>
      <c r="B1794" s="505" t="str">
        <f>"  재 료 비 :  "&amp;TEXT(I1794,"#,##0"&amp;IF(I1794&lt;&gt;INT(I1794),".###",""))&amp;" / Q * "&amp;AC1794&amp;" = "&amp;TEXT(C1794,"#,##0.0")&amp;""</f>
        <v xml:space="preserve">  재 료 비 :  11,692 / Q * 8 = 23,384.0</v>
      </c>
      <c r="C1794" s="506">
        <f>E1794+D1794+F1794</f>
        <v>23384</v>
      </c>
      <c r="D1794" s="506">
        <f>IF(H1794=0,0,ROUNDDOWN(J1794*H1794,1))</f>
        <v>0</v>
      </c>
      <c r="E1794" s="506">
        <f>IF(H1794=0,0,ROUNDDOWN(K1794*H1794,1))</f>
        <v>23384</v>
      </c>
      <c r="F1794" s="506">
        <f>IF(H1794=0,0,ROUNDDOWN(L1794*H1794,1))</f>
        <v>0</v>
      </c>
      <c r="G1794" s="451" t="s">
        <v>3619</v>
      </c>
      <c r="H1794" s="507">
        <f>ROUNDUP(AE1794,14-LEN(ABS(INT(AE1794))))</f>
        <v>2</v>
      </c>
      <c r="I1794" s="508">
        <f>K1794+J1794+L1794</f>
        <v>11692</v>
      </c>
      <c r="K1794" s="509">
        <f>중기목록표!G17</f>
        <v>11692</v>
      </c>
      <c r="M1794" s="501" t="s">
        <v>3617</v>
      </c>
      <c r="N1794" s="501" t="s">
        <v>3416</v>
      </c>
      <c r="X1794" s="510" t="str">
        <f>중기목록표!B17&amp;" / "&amp;중기목록표!C17</f>
        <v>크레인(타이어) / 25톤</v>
      </c>
      <c r="Y1794" s="433" t="str">
        <f ca="1">HYPERLINK("#"&amp;중기목록표!J2&amp;"!A"&amp;ROW(중기목록표!A17),"X00301 →")</f>
        <v>X00301 →</v>
      </c>
      <c r="Z1794" s="501" t="s">
        <v>3434</v>
      </c>
      <c r="AA1794" s="512">
        <f>AB1762</f>
        <v>4</v>
      </c>
      <c r="AB1794" s="501" t="s">
        <v>3368</v>
      </c>
      <c r="AC1794" s="515">
        <v>8</v>
      </c>
      <c r="AD1794" s="501" t="s">
        <v>3418</v>
      </c>
      <c r="AE1794" s="512">
        <f>1/AB1762*AC1794</f>
        <v>2</v>
      </c>
      <c r="AF1794" s="500"/>
      <c r="AG1794" s="500"/>
      <c r="AH1794" s="500"/>
      <c r="AI1794" s="500"/>
      <c r="AJ1794" s="500"/>
      <c r="AK1794" s="500"/>
      <c r="AL1794" s="500"/>
      <c r="AM1794" s="500"/>
      <c r="AN1794" s="500"/>
      <c r="AO1794" s="500"/>
      <c r="AP1794" s="500"/>
    </row>
    <row r="1795" spans="1:42" ht="16.5" customHeight="1">
      <c r="A1795" s="439"/>
      <c r="B1795" s="439"/>
      <c r="C1795" s="439"/>
      <c r="D1795" s="439"/>
      <c r="E1795" s="439"/>
      <c r="F1795" s="439"/>
      <c r="G1795" s="451" t="s">
        <v>3406</v>
      </c>
      <c r="Z1795" s="500"/>
      <c r="AA1795" s="500"/>
      <c r="AB1795" s="500"/>
      <c r="AC1795" s="500"/>
      <c r="AD1795" s="500"/>
      <c r="AE1795" s="500"/>
      <c r="AF1795" s="500"/>
      <c r="AG1795" s="500"/>
      <c r="AH1795" s="500"/>
      <c r="AI1795" s="500"/>
      <c r="AJ1795" s="500"/>
      <c r="AK1795" s="500"/>
      <c r="AL1795" s="500"/>
      <c r="AM1795" s="500"/>
      <c r="AN1795" s="500"/>
      <c r="AO1795" s="500"/>
      <c r="AP1795" s="500"/>
    </row>
    <row r="1796" spans="1:42" ht="16.5" customHeight="1">
      <c r="A1796" s="434" t="s">
        <v>3620</v>
      </c>
      <c r="B1796" s="505" t="str">
        <f>"  경    비 :  "&amp;TEXT(I1796,"#,##0"&amp;IF(I1796&lt;&gt;INT(I1796),".###",""))&amp;" / Q * "&amp;AC1796&amp;" = "&amp;TEXT(C1796,"#,##0.0")&amp;""</f>
        <v xml:space="preserve">  경    비 :  59,751 / Q * 8 = 119,502.0</v>
      </c>
      <c r="C1796" s="506">
        <f>E1796+D1796+F1796</f>
        <v>119502</v>
      </c>
      <c r="D1796" s="506">
        <f>IF(H1796=0,0,ROUNDDOWN(J1796*H1796,1))</f>
        <v>0</v>
      </c>
      <c r="E1796" s="506">
        <f>IF(H1796=0,0,ROUNDDOWN(K1796*H1796,1))</f>
        <v>0</v>
      </c>
      <c r="F1796" s="506">
        <f>IF(H1796=0,0,ROUNDDOWN(L1796*H1796,1))</f>
        <v>119502</v>
      </c>
      <c r="G1796" s="451" t="s">
        <v>3621</v>
      </c>
      <c r="H1796" s="507">
        <f>ROUNDUP(AE1796,14-LEN(ABS(INT(AE1796))))</f>
        <v>2</v>
      </c>
      <c r="I1796" s="508">
        <f>K1796+J1796+L1796</f>
        <v>59751</v>
      </c>
      <c r="L1796" s="509">
        <f>중기목록표!H17</f>
        <v>59751</v>
      </c>
      <c r="M1796" s="501" t="s">
        <v>3617</v>
      </c>
      <c r="N1796" s="501" t="s">
        <v>3416</v>
      </c>
      <c r="X1796" s="510" t="str">
        <f>중기목록표!B17&amp;" / "&amp;중기목록표!C17</f>
        <v>크레인(타이어) / 25톤</v>
      </c>
      <c r="Y1796" s="433" t="str">
        <f ca="1">HYPERLINK("#"&amp;중기목록표!J2&amp;"!A"&amp;ROW(중기목록표!A17),"X00301 →")</f>
        <v>X00301 →</v>
      </c>
      <c r="Z1796" s="501" t="s">
        <v>3434</v>
      </c>
      <c r="AA1796" s="512">
        <f>AB1762</f>
        <v>4</v>
      </c>
      <c r="AB1796" s="501" t="s">
        <v>3368</v>
      </c>
      <c r="AC1796" s="515">
        <v>8</v>
      </c>
      <c r="AD1796" s="501" t="s">
        <v>3418</v>
      </c>
      <c r="AE1796" s="512">
        <f>1/AB1762*AC1796</f>
        <v>2</v>
      </c>
      <c r="AF1796" s="500"/>
      <c r="AG1796" s="500"/>
      <c r="AH1796" s="500"/>
      <c r="AI1796" s="500"/>
      <c r="AJ1796" s="500"/>
      <c r="AK1796" s="500"/>
      <c r="AL1796" s="500"/>
      <c r="AM1796" s="500"/>
      <c r="AN1796" s="500"/>
      <c r="AO1796" s="500"/>
      <c r="AP1796" s="500"/>
    </row>
    <row r="1797" spans="1:42" ht="16.5" customHeight="1">
      <c r="A1797" s="439"/>
      <c r="B1797" s="439"/>
      <c r="C1797" s="439"/>
      <c r="D1797" s="439"/>
      <c r="E1797" s="439"/>
      <c r="F1797" s="439"/>
      <c r="G1797" s="451" t="s">
        <v>3406</v>
      </c>
      <c r="Z1797" s="500"/>
      <c r="AA1797" s="500"/>
      <c r="AB1797" s="500"/>
      <c r="AC1797" s="500"/>
      <c r="AD1797" s="500"/>
      <c r="AE1797" s="500"/>
      <c r="AF1797" s="500"/>
      <c r="AG1797" s="500"/>
      <c r="AH1797" s="500"/>
      <c r="AI1797" s="500"/>
      <c r="AJ1797" s="500"/>
      <c r="AK1797" s="500"/>
      <c r="AL1797" s="500"/>
      <c r="AM1797" s="500"/>
      <c r="AN1797" s="500"/>
      <c r="AO1797" s="500"/>
      <c r="AP1797" s="500"/>
    </row>
    <row r="1798" spans="1:42" ht="16.5" customHeight="1">
      <c r="A1798" s="439"/>
      <c r="B1798" s="439"/>
      <c r="C1798" s="439"/>
      <c r="D1798" s="439"/>
      <c r="E1798" s="439"/>
      <c r="F1798" s="439"/>
      <c r="G1798" s="451" t="s">
        <v>3406</v>
      </c>
      <c r="Z1798" s="500"/>
      <c r="AA1798" s="500"/>
      <c r="AB1798" s="500"/>
      <c r="AC1798" s="500"/>
      <c r="AD1798" s="500"/>
      <c r="AE1798" s="500"/>
      <c r="AF1798" s="500"/>
      <c r="AG1798" s="500"/>
      <c r="AH1798" s="500"/>
      <c r="AI1798" s="500"/>
      <c r="AJ1798" s="500"/>
      <c r="AK1798" s="500"/>
      <c r="AL1798" s="500"/>
      <c r="AM1798" s="500"/>
      <c r="AN1798" s="500"/>
      <c r="AO1798" s="500"/>
      <c r="AP1798" s="500"/>
    </row>
    <row r="1799" spans="1:42" ht="16.5" customHeight="1">
      <c r="A1799" s="434"/>
      <c r="B1799" s="437" t="s">
        <v>3419</v>
      </c>
      <c r="C1799" s="513">
        <f>E1799+D1799+F1799</f>
        <v>460132</v>
      </c>
      <c r="D1799" s="513">
        <f>SUMIF(N1777:N1798,M1799,D1777:D1798)</f>
        <v>236080</v>
      </c>
      <c r="E1799" s="513">
        <f>SUMIF(N1777:N1798,M1799,E1777:E1798)</f>
        <v>57704</v>
      </c>
      <c r="F1799" s="513">
        <f>SUMIF(N1777:N1798,M1799,F1777:F1798)</f>
        <v>166348</v>
      </c>
      <c r="G1799" s="451" t="s">
        <v>3439</v>
      </c>
      <c r="M1799" s="501" t="s">
        <v>3416</v>
      </c>
      <c r="N1799" s="501" t="s">
        <v>3421</v>
      </c>
      <c r="Z1799" s="500"/>
      <c r="AA1799" s="500"/>
      <c r="AB1799" s="500"/>
      <c r="AC1799" s="500"/>
      <c r="AD1799" s="500"/>
      <c r="AE1799" s="500"/>
      <c r="AF1799" s="500"/>
      <c r="AG1799" s="500"/>
      <c r="AH1799" s="500"/>
      <c r="AI1799" s="500"/>
      <c r="AJ1799" s="500"/>
      <c r="AK1799" s="500"/>
      <c r="AL1799" s="500"/>
      <c r="AM1799" s="500"/>
      <c r="AN1799" s="500"/>
      <c r="AO1799" s="500"/>
      <c r="AP1799" s="500"/>
    </row>
    <row r="1800" spans="1:42" ht="16.5" customHeight="1">
      <c r="A1800" s="439"/>
      <c r="B1800" s="439"/>
      <c r="C1800" s="504"/>
      <c r="D1800" s="504"/>
      <c r="E1800" s="504"/>
      <c r="F1800" s="504"/>
      <c r="G1800" s="451" t="s">
        <v>3406</v>
      </c>
      <c r="Z1800" s="500"/>
      <c r="AA1800" s="500"/>
      <c r="AB1800" s="500"/>
      <c r="AC1800" s="500"/>
      <c r="AD1800" s="500"/>
      <c r="AE1800" s="500"/>
      <c r="AF1800" s="500"/>
      <c r="AG1800" s="500"/>
      <c r="AH1800" s="500"/>
      <c r="AI1800" s="500"/>
      <c r="AJ1800" s="500"/>
      <c r="AK1800" s="500"/>
      <c r="AL1800" s="500"/>
      <c r="AM1800" s="500"/>
      <c r="AN1800" s="500"/>
      <c r="AO1800" s="500"/>
      <c r="AP1800" s="500"/>
    </row>
    <row r="1801" spans="1:42" ht="16.5" customHeight="1">
      <c r="A1801" s="439"/>
      <c r="B1801" s="439"/>
      <c r="C1801" s="439"/>
      <c r="D1801" s="439"/>
      <c r="E1801" s="439"/>
      <c r="F1801" s="439"/>
      <c r="G1801" s="451" t="s">
        <v>3406</v>
      </c>
      <c r="Z1801" s="500"/>
      <c r="AA1801" s="500"/>
      <c r="AB1801" s="500"/>
      <c r="AC1801" s="500"/>
      <c r="AD1801" s="500"/>
      <c r="AE1801" s="500"/>
      <c r="AF1801" s="500"/>
      <c r="AG1801" s="500"/>
      <c r="AH1801" s="500"/>
      <c r="AI1801" s="500"/>
      <c r="AJ1801" s="500"/>
      <c r="AK1801" s="500"/>
      <c r="AL1801" s="500"/>
      <c r="AM1801" s="500"/>
      <c r="AN1801" s="500"/>
      <c r="AO1801" s="500"/>
      <c r="AP1801" s="500"/>
    </row>
    <row r="1802" spans="1:42" ht="16.5" customHeight="1">
      <c r="A1802" s="434"/>
      <c r="B1802" s="437" t="s">
        <v>3562</v>
      </c>
      <c r="C1802" s="439"/>
      <c r="D1802" s="439"/>
      <c r="E1802" s="439"/>
      <c r="F1802" s="439"/>
      <c r="G1802" s="451" t="s">
        <v>3563</v>
      </c>
      <c r="Z1802" s="500"/>
      <c r="AA1802" s="500"/>
      <c r="AB1802" s="500"/>
      <c r="AC1802" s="500"/>
      <c r="AD1802" s="500"/>
      <c r="AE1802" s="500"/>
      <c r="AF1802" s="500"/>
      <c r="AG1802" s="500"/>
      <c r="AH1802" s="500"/>
      <c r="AI1802" s="500"/>
      <c r="AJ1802" s="500"/>
      <c r="AK1802" s="500"/>
      <c r="AL1802" s="500"/>
      <c r="AM1802" s="500"/>
      <c r="AN1802" s="500"/>
      <c r="AO1802" s="500"/>
      <c r="AP1802" s="500"/>
    </row>
    <row r="1803" spans="1:42" ht="16.5" customHeight="1">
      <c r="A1803" s="439"/>
      <c r="B1803" s="439"/>
      <c r="C1803" s="439"/>
      <c r="D1803" s="439"/>
      <c r="E1803" s="439"/>
      <c r="F1803" s="439"/>
      <c r="G1803" s="451" t="s">
        <v>3406</v>
      </c>
      <c r="Z1803" s="500"/>
      <c r="AA1803" s="500"/>
      <c r="AB1803" s="500"/>
      <c r="AC1803" s="500"/>
      <c r="AD1803" s="500"/>
      <c r="AE1803" s="500"/>
      <c r="AF1803" s="500"/>
      <c r="AG1803" s="500"/>
      <c r="AH1803" s="500"/>
      <c r="AI1803" s="500"/>
      <c r="AJ1803" s="500"/>
      <c r="AK1803" s="500"/>
      <c r="AL1803" s="500"/>
      <c r="AM1803" s="500"/>
      <c r="AN1803" s="500"/>
      <c r="AO1803" s="500"/>
      <c r="AP1803" s="500"/>
    </row>
    <row r="1804" spans="1:42" ht="16.5" customHeight="1">
      <c r="A1804" s="434" t="s">
        <v>3605</v>
      </c>
      <c r="B1804" s="505" t="str">
        <f>"  지주목 삼발이, L2700 : "&amp;TEXT(I1804,"#,##0"&amp;IF(I1804&lt;&gt;INT(I1804),".###",""))&amp;" * "&amp;AA1804&amp;" 조  = "&amp;TEXT(C1804,"#,##0.0")&amp;""</f>
        <v xml:space="preserve">  지주목 삼발이, L2700 : 32,000 * 1 조  = 32,000.0</v>
      </c>
      <c r="C1804" s="506">
        <f>E1804+D1804+F1804</f>
        <v>32000</v>
      </c>
      <c r="D1804" s="506">
        <f>IF(H1804=0,0,ROUNDDOWN(J1804*H1804,1))</f>
        <v>0</v>
      </c>
      <c r="E1804" s="506">
        <f>IF(H1804=0,0,ROUNDDOWN(K1804*H1804,1))</f>
        <v>32000</v>
      </c>
      <c r="F1804" s="506">
        <f>IF(H1804=0,0,ROUNDDOWN(L1804*H1804,1))</f>
        <v>0</v>
      </c>
      <c r="G1804" s="451" t="s">
        <v>3606</v>
      </c>
      <c r="H1804" s="507">
        <f>ROUNDUP(AC1804,14-LEN(ABS(INT(AC1804))))</f>
        <v>1</v>
      </c>
      <c r="I1804" s="508">
        <f>K1804+J1804+L1804</f>
        <v>32000</v>
      </c>
      <c r="K1804" s="509">
        <f>재료비목록표!E93</f>
        <v>32000</v>
      </c>
      <c r="M1804" s="501" t="s">
        <v>3607</v>
      </c>
      <c r="N1804" s="501" t="s">
        <v>3416</v>
      </c>
      <c r="X1804" s="510" t="str">
        <f>재료비목록표!B93&amp;" / "&amp;재료비목록표!C93</f>
        <v>지주목 / 삼발이, L2700</v>
      </c>
      <c r="Y1804" s="433" t="str">
        <f ca="1">HYPERLINK("#"&amp;재료비목록표!G2&amp;"!A"&amp;ROW(재료비목록표!A93),"M08851 →")</f>
        <v>M08851 →</v>
      </c>
      <c r="Z1804" s="501" t="s">
        <v>3500</v>
      </c>
      <c r="AA1804" s="515">
        <v>1</v>
      </c>
      <c r="AB1804" s="501" t="s">
        <v>3418</v>
      </c>
      <c r="AC1804" s="512">
        <f>1*AA1804</f>
        <v>1</v>
      </c>
      <c r="AD1804" s="500"/>
      <c r="AE1804" s="500"/>
      <c r="AF1804" s="500"/>
      <c r="AG1804" s="500"/>
      <c r="AH1804" s="500"/>
      <c r="AI1804" s="500"/>
      <c r="AJ1804" s="500"/>
      <c r="AK1804" s="500"/>
      <c r="AL1804" s="500"/>
      <c r="AM1804" s="500"/>
      <c r="AN1804" s="500"/>
      <c r="AO1804" s="500"/>
      <c r="AP1804" s="500"/>
    </row>
    <row r="1805" spans="1:42" ht="16.5" customHeight="1">
      <c r="A1805" s="439"/>
      <c r="B1805" s="439"/>
      <c r="C1805" s="439"/>
      <c r="D1805" s="439"/>
      <c r="E1805" s="439"/>
      <c r="F1805" s="439"/>
      <c r="G1805" s="451" t="s">
        <v>3406</v>
      </c>
      <c r="Z1805" s="500"/>
      <c r="AA1805" s="500"/>
      <c r="AB1805" s="500"/>
      <c r="AC1805" s="500"/>
      <c r="AD1805" s="500"/>
      <c r="AE1805" s="500"/>
      <c r="AF1805" s="500"/>
      <c r="AG1805" s="500"/>
      <c r="AH1805" s="500"/>
      <c r="AI1805" s="500"/>
      <c r="AJ1805" s="500"/>
      <c r="AK1805" s="500"/>
      <c r="AL1805" s="500"/>
      <c r="AM1805" s="500"/>
      <c r="AN1805" s="500"/>
      <c r="AO1805" s="500"/>
      <c r="AP1805" s="500"/>
    </row>
    <row r="1806" spans="1:42" ht="16.5" customHeight="1">
      <c r="A1806" s="439"/>
      <c r="B1806" s="439"/>
      <c r="C1806" s="439"/>
      <c r="D1806" s="439"/>
      <c r="E1806" s="439"/>
      <c r="F1806" s="439"/>
      <c r="G1806" s="451" t="s">
        <v>3406</v>
      </c>
      <c r="Z1806" s="500"/>
      <c r="AA1806" s="500"/>
      <c r="AB1806" s="500"/>
      <c r="AC1806" s="500"/>
      <c r="AD1806" s="500"/>
      <c r="AE1806" s="500"/>
      <c r="AF1806" s="500"/>
      <c r="AG1806" s="500"/>
      <c r="AH1806" s="500"/>
      <c r="AI1806" s="500"/>
      <c r="AJ1806" s="500"/>
      <c r="AK1806" s="500"/>
      <c r="AL1806" s="500"/>
      <c r="AM1806" s="500"/>
      <c r="AN1806" s="500"/>
      <c r="AO1806" s="500"/>
      <c r="AP1806" s="500"/>
    </row>
    <row r="1807" spans="1:42" ht="16.5" customHeight="1">
      <c r="A1807" s="439"/>
      <c r="B1807" s="439"/>
      <c r="C1807" s="439"/>
      <c r="D1807" s="439"/>
      <c r="E1807" s="439"/>
      <c r="F1807" s="439"/>
      <c r="G1807" s="451" t="s">
        <v>3406</v>
      </c>
      <c r="Z1807" s="500"/>
      <c r="AA1807" s="500"/>
      <c r="AB1807" s="500"/>
      <c r="AC1807" s="500"/>
      <c r="AD1807" s="500"/>
      <c r="AE1807" s="500"/>
      <c r="AF1807" s="500"/>
      <c r="AG1807" s="500"/>
      <c r="AH1807" s="500"/>
      <c r="AI1807" s="500"/>
      <c r="AJ1807" s="500"/>
      <c r="AK1807" s="500"/>
      <c r="AL1807" s="500"/>
      <c r="AM1807" s="500"/>
      <c r="AN1807" s="500"/>
      <c r="AO1807" s="500"/>
      <c r="AP1807" s="500"/>
    </row>
    <row r="1808" spans="1:42" ht="16.5" customHeight="1">
      <c r="A1808" s="434" t="s">
        <v>3504</v>
      </c>
      <c r="B1808" s="505" t="str">
        <f>"  유기질비료 수목이식·식재용 : "&amp;TEXT(I1808,"#,##0"&amp;IF(I1808&lt;&gt;INT(I1808),".###",""))&amp;" * "&amp;AA1808&amp;" KG   = "&amp;TEXT(C1808,"#,##0.0")&amp;""</f>
        <v xml:space="preserve">  유기질비료 수목이식·식재용 : 500 * 60 KG   = 30,000.0</v>
      </c>
      <c r="C1808" s="506">
        <f>E1808+D1808+F1808</f>
        <v>30000</v>
      </c>
      <c r="D1808" s="506">
        <f>IF(H1808=0,0,ROUNDDOWN(J1808*H1808,1))</f>
        <v>0</v>
      </c>
      <c r="E1808" s="506">
        <f>IF(H1808=0,0,ROUNDDOWN(K1808*H1808,1))</f>
        <v>30000</v>
      </c>
      <c r="F1808" s="506">
        <f>IF(H1808=0,0,ROUNDDOWN(L1808*H1808,1))</f>
        <v>0</v>
      </c>
      <c r="G1808" s="451" t="s">
        <v>3625</v>
      </c>
      <c r="H1808" s="507">
        <f>ROUNDUP(AC1808,14-LEN(ABS(INT(AC1808))))</f>
        <v>60</v>
      </c>
      <c r="I1808" s="508">
        <f>K1808+J1808+L1808</f>
        <v>500</v>
      </c>
      <c r="K1808" s="509">
        <f>재료비목록표!E78</f>
        <v>500</v>
      </c>
      <c r="M1808" s="501" t="s">
        <v>3506</v>
      </c>
      <c r="N1808" s="501" t="s">
        <v>3416</v>
      </c>
      <c r="X1808" s="510" t="str">
        <f>재료비목록표!B78&amp;" / "&amp;재료비목록표!C78</f>
        <v>유기질비료 / 수목이식·식재용</v>
      </c>
      <c r="Y1808" s="433" t="str">
        <f ca="1">HYPERLINK("#"&amp;재료비목록표!G2&amp;"!A"&amp;ROW(재료비목록표!A78),"M01159 →")</f>
        <v>M01159 →</v>
      </c>
      <c r="Z1808" s="501" t="s">
        <v>3500</v>
      </c>
      <c r="AA1808" s="515">
        <v>60</v>
      </c>
      <c r="AB1808" s="501" t="s">
        <v>3418</v>
      </c>
      <c r="AC1808" s="512">
        <f>1*AA1808</f>
        <v>60</v>
      </c>
      <c r="AD1808" s="500"/>
      <c r="AE1808" s="500"/>
      <c r="AF1808" s="500"/>
      <c r="AG1808" s="500"/>
      <c r="AH1808" s="500"/>
      <c r="AI1808" s="500"/>
      <c r="AJ1808" s="500"/>
      <c r="AK1808" s="500"/>
      <c r="AL1808" s="500"/>
      <c r="AM1808" s="500"/>
      <c r="AN1808" s="500"/>
      <c r="AO1808" s="500"/>
      <c r="AP1808" s="500"/>
    </row>
    <row r="1809" spans="1:42" ht="16.5" customHeight="1">
      <c r="A1809" s="439"/>
      <c r="B1809" s="439"/>
      <c r="C1809" s="439"/>
      <c r="D1809" s="439"/>
      <c r="E1809" s="439"/>
      <c r="F1809" s="439"/>
      <c r="G1809" s="451" t="s">
        <v>3406</v>
      </c>
      <c r="Z1809" s="500"/>
      <c r="AA1809" s="500"/>
      <c r="AB1809" s="500"/>
      <c r="AC1809" s="500"/>
      <c r="AD1809" s="500"/>
      <c r="AE1809" s="500"/>
      <c r="AF1809" s="500"/>
      <c r="AG1809" s="500"/>
      <c r="AH1809" s="500"/>
      <c r="AI1809" s="500"/>
      <c r="AJ1809" s="500"/>
      <c r="AK1809" s="500"/>
      <c r="AL1809" s="500"/>
      <c r="AM1809" s="500"/>
      <c r="AN1809" s="500"/>
      <c r="AO1809" s="500"/>
      <c r="AP1809" s="500"/>
    </row>
    <row r="1810" spans="1:42" ht="16.5" customHeight="1">
      <c r="A1810" s="434"/>
      <c r="B1810" s="437" t="s">
        <v>3419</v>
      </c>
      <c r="C1810" s="513">
        <f>E1810+D1810+F1810</f>
        <v>62000</v>
      </c>
      <c r="D1810" s="513">
        <f>SUMIF(N1800:N1809,M1810,D1800:D1809)</f>
        <v>0</v>
      </c>
      <c r="E1810" s="513">
        <f>SUMIF(N1800:N1809,M1810,E1800:E1809)</f>
        <v>62000</v>
      </c>
      <c r="F1810" s="513">
        <f>SUMIF(N1800:N1809,M1810,F1800:F1809)</f>
        <v>0</v>
      </c>
      <c r="G1810" s="451" t="s">
        <v>3439</v>
      </c>
      <c r="M1810" s="501" t="s">
        <v>3416</v>
      </c>
      <c r="N1810" s="501" t="s">
        <v>3421</v>
      </c>
      <c r="Z1810" s="500"/>
      <c r="AA1810" s="500"/>
      <c r="AB1810" s="500"/>
      <c r="AC1810" s="500"/>
      <c r="AD1810" s="500"/>
      <c r="AE1810" s="500"/>
      <c r="AF1810" s="500"/>
      <c r="AG1810" s="500"/>
      <c r="AH1810" s="500"/>
      <c r="AI1810" s="500"/>
      <c r="AJ1810" s="500"/>
      <c r="AK1810" s="500"/>
      <c r="AL1810" s="500"/>
      <c r="AM1810" s="500"/>
      <c r="AN1810" s="500"/>
      <c r="AO1810" s="500"/>
      <c r="AP1810" s="500"/>
    </row>
    <row r="1811" spans="1:42" ht="16.5" customHeight="1">
      <c r="A1811" s="439"/>
      <c r="B1811" s="439"/>
      <c r="C1811" s="504"/>
      <c r="D1811" s="504"/>
      <c r="E1811" s="504"/>
      <c r="F1811" s="504"/>
      <c r="G1811" s="451" t="s">
        <v>3406</v>
      </c>
      <c r="Z1811" s="500"/>
      <c r="AA1811" s="500"/>
      <c r="AB1811" s="500"/>
      <c r="AC1811" s="500"/>
      <c r="AD1811" s="500"/>
      <c r="AE1811" s="500"/>
      <c r="AF1811" s="500"/>
      <c r="AG1811" s="500"/>
      <c r="AH1811" s="500"/>
      <c r="AI1811" s="500"/>
      <c r="AJ1811" s="500"/>
      <c r="AK1811" s="500"/>
      <c r="AL1811" s="500"/>
      <c r="AM1811" s="500"/>
      <c r="AN1811" s="500"/>
      <c r="AO1811" s="500"/>
      <c r="AP1811" s="500"/>
    </row>
    <row r="1812" spans="1:42" ht="16.5" customHeight="1">
      <c r="A1812" s="434"/>
      <c r="B1812" s="437" t="s">
        <v>3440</v>
      </c>
      <c r="C1812" s="513">
        <f>E1812+D1812+F1812</f>
        <v>741552</v>
      </c>
      <c r="D1812" s="513">
        <f>SUMIF(N1757:N1811,M1812,D1757:D1811)</f>
        <v>455500</v>
      </c>
      <c r="E1812" s="513">
        <f>SUMIF(N1757:N1811,M1812,E1757:E1811)</f>
        <v>119704</v>
      </c>
      <c r="F1812" s="513">
        <f>SUMIF(N1757:N1811,M1812,F1757:F1811)</f>
        <v>166348</v>
      </c>
      <c r="G1812" s="451" t="s">
        <v>3441</v>
      </c>
      <c r="M1812" s="501" t="s">
        <v>3421</v>
      </c>
      <c r="N1812" s="501" t="s">
        <v>2354</v>
      </c>
      <c r="Z1812" s="500"/>
      <c r="AA1812" s="500"/>
      <c r="AB1812" s="500"/>
      <c r="AC1812" s="500"/>
      <c r="AD1812" s="500"/>
      <c r="AE1812" s="500"/>
      <c r="AF1812" s="500"/>
      <c r="AG1812" s="500"/>
      <c r="AH1812" s="500"/>
      <c r="AI1812" s="500"/>
      <c r="AJ1812" s="500"/>
      <c r="AK1812" s="500"/>
      <c r="AL1812" s="500"/>
      <c r="AM1812" s="500"/>
      <c r="AN1812" s="500"/>
      <c r="AO1812" s="500"/>
      <c r="AP1812" s="500"/>
    </row>
    <row r="1813" spans="1:42" ht="16.5" customHeight="1">
      <c r="A1813" s="439"/>
      <c r="B1813" s="439"/>
      <c r="C1813" s="504"/>
      <c r="D1813" s="504"/>
      <c r="E1813" s="504"/>
      <c r="F1813" s="504"/>
      <c r="G1813" s="451" t="s">
        <v>3413</v>
      </c>
      <c r="Z1813" s="500"/>
      <c r="AA1813" s="500"/>
      <c r="AB1813" s="500"/>
      <c r="AC1813" s="500"/>
      <c r="AD1813" s="500"/>
      <c r="AE1813" s="500"/>
      <c r="AF1813" s="500"/>
      <c r="AG1813" s="500"/>
      <c r="AH1813" s="500"/>
      <c r="AI1813" s="500"/>
      <c r="AJ1813" s="500"/>
      <c r="AK1813" s="500"/>
      <c r="AL1813" s="500"/>
      <c r="AM1813" s="500"/>
      <c r="AN1813" s="500"/>
      <c r="AO1813" s="500"/>
      <c r="AP1813" s="500"/>
    </row>
    <row r="1814" spans="1:42" ht="16.5" customHeight="1">
      <c r="A1814" s="439"/>
      <c r="B1814" s="439"/>
      <c r="C1814" s="439"/>
      <c r="D1814" s="439"/>
      <c r="E1814" s="439"/>
      <c r="F1814" s="439"/>
      <c r="Z1814" s="500"/>
      <c r="AA1814" s="500"/>
      <c r="AB1814" s="500"/>
      <c r="AC1814" s="500"/>
      <c r="AD1814" s="500"/>
      <c r="AE1814" s="500"/>
      <c r="AF1814" s="500"/>
      <c r="AG1814" s="500"/>
      <c r="AH1814" s="500"/>
      <c r="AI1814" s="500"/>
      <c r="AJ1814" s="500"/>
      <c r="AK1814" s="500"/>
      <c r="AL1814" s="500"/>
      <c r="AM1814" s="500"/>
      <c r="AN1814" s="500"/>
      <c r="AO1814" s="500"/>
      <c r="AP1814" s="500"/>
    </row>
    <row r="1815" spans="1:42" ht="16.5" customHeight="1">
      <c r="A1815" s="439"/>
      <c r="B1815" s="439"/>
      <c r="C1815" s="439"/>
      <c r="D1815" s="439"/>
      <c r="E1815" s="439"/>
      <c r="F1815" s="439"/>
      <c r="Z1815" s="500"/>
      <c r="AA1815" s="500"/>
      <c r="AB1815" s="500"/>
      <c r="AC1815" s="500"/>
      <c r="AD1815" s="500"/>
      <c r="AE1815" s="500"/>
      <c r="AF1815" s="500"/>
      <c r="AG1815" s="500"/>
      <c r="AH1815" s="500"/>
      <c r="AI1815" s="500"/>
      <c r="AJ1815" s="500"/>
      <c r="AK1815" s="500"/>
      <c r="AL1815" s="500"/>
      <c r="AM1815" s="500"/>
      <c r="AN1815" s="500"/>
      <c r="AO1815" s="500"/>
      <c r="AP1815" s="500"/>
    </row>
    <row r="1816" spans="1:42" ht="16.5" customHeight="1">
      <c r="A1816" s="439"/>
      <c r="B1816" s="439"/>
      <c r="C1816" s="439"/>
      <c r="D1816" s="439"/>
      <c r="E1816" s="439"/>
      <c r="F1816" s="439"/>
      <c r="Z1816" s="500"/>
      <c r="AA1816" s="500"/>
      <c r="AB1816" s="500"/>
      <c r="AC1816" s="500"/>
      <c r="AD1816" s="500"/>
      <c r="AE1816" s="500"/>
      <c r="AF1816" s="500"/>
      <c r="AG1816" s="500"/>
      <c r="AH1816" s="500"/>
      <c r="AI1816" s="500"/>
      <c r="AJ1816" s="500"/>
      <c r="AK1816" s="500"/>
      <c r="AL1816" s="500"/>
      <c r="AM1816" s="500"/>
      <c r="AN1816" s="500"/>
      <c r="AO1816" s="500"/>
      <c r="AP1816" s="500"/>
    </row>
    <row r="1817" spans="1:42" ht="16.5" customHeight="1">
      <c r="A1817" s="439"/>
      <c r="B1817" s="439"/>
      <c r="C1817" s="439"/>
      <c r="D1817" s="439"/>
      <c r="E1817" s="439"/>
      <c r="F1817" s="439"/>
      <c r="Z1817" s="500"/>
      <c r="AA1817" s="500"/>
      <c r="AB1817" s="500"/>
      <c r="AC1817" s="500"/>
      <c r="AD1817" s="500"/>
      <c r="AE1817" s="500"/>
      <c r="AF1817" s="500"/>
      <c r="AG1817" s="500"/>
      <c r="AH1817" s="500"/>
      <c r="AI1817" s="500"/>
      <c r="AJ1817" s="500"/>
      <c r="AK1817" s="500"/>
      <c r="AL1817" s="500"/>
      <c r="AM1817" s="500"/>
      <c r="AN1817" s="500"/>
      <c r="AO1817" s="500"/>
      <c r="AP1817" s="500"/>
    </row>
    <row r="1818" spans="1:42" ht="16.5" customHeight="1">
      <c r="A1818" s="439"/>
      <c r="B1818" s="439"/>
      <c r="C1818" s="439"/>
      <c r="D1818" s="439"/>
      <c r="E1818" s="439"/>
      <c r="F1818" s="439"/>
      <c r="Z1818" s="500"/>
      <c r="AA1818" s="500"/>
      <c r="AB1818" s="500"/>
      <c r="AC1818" s="500"/>
      <c r="AD1818" s="500"/>
      <c r="AE1818" s="500"/>
      <c r="AF1818" s="500"/>
      <c r="AG1818" s="500"/>
      <c r="AH1818" s="500"/>
      <c r="AI1818" s="500"/>
      <c r="AJ1818" s="500"/>
      <c r="AK1818" s="500"/>
      <c r="AL1818" s="500"/>
      <c r="AM1818" s="500"/>
      <c r="AN1818" s="500"/>
      <c r="AO1818" s="500"/>
      <c r="AP1818" s="500"/>
    </row>
    <row r="1819" spans="1:42" ht="16.5" customHeight="1">
      <c r="A1819" s="439"/>
      <c r="B1819" s="439"/>
      <c r="C1819" s="439"/>
      <c r="D1819" s="439"/>
      <c r="E1819" s="439"/>
      <c r="F1819" s="439"/>
      <c r="Z1819" s="500"/>
      <c r="AA1819" s="500"/>
      <c r="AB1819" s="500"/>
      <c r="AC1819" s="500"/>
      <c r="AD1819" s="500"/>
      <c r="AE1819" s="500"/>
      <c r="AF1819" s="500"/>
      <c r="AG1819" s="500"/>
      <c r="AH1819" s="500"/>
      <c r="AI1819" s="500"/>
      <c r="AJ1819" s="500"/>
      <c r="AK1819" s="500"/>
      <c r="AL1819" s="500"/>
      <c r="AM1819" s="500"/>
      <c r="AN1819" s="500"/>
      <c r="AO1819" s="500"/>
      <c r="AP1819" s="500"/>
    </row>
    <row r="1820" spans="1:42" ht="16.5" customHeight="1">
      <c r="A1820" s="439"/>
      <c r="B1820" s="439"/>
      <c r="C1820" s="439"/>
      <c r="D1820" s="439"/>
      <c r="E1820" s="439"/>
      <c r="F1820" s="439"/>
      <c r="Z1820" s="500"/>
      <c r="AA1820" s="500"/>
      <c r="AB1820" s="500"/>
      <c r="AC1820" s="500"/>
      <c r="AD1820" s="500"/>
      <c r="AE1820" s="500"/>
      <c r="AF1820" s="500"/>
      <c r="AG1820" s="500"/>
      <c r="AH1820" s="500"/>
      <c r="AI1820" s="500"/>
      <c r="AJ1820" s="500"/>
      <c r="AK1820" s="500"/>
      <c r="AL1820" s="500"/>
      <c r="AM1820" s="500"/>
      <c r="AN1820" s="500"/>
      <c r="AO1820" s="500"/>
      <c r="AP1820" s="500"/>
    </row>
    <row r="1821" spans="1:42" ht="16.5" customHeight="1">
      <c r="A1821" s="439"/>
      <c r="B1821" s="439"/>
      <c r="C1821" s="439"/>
      <c r="D1821" s="439"/>
      <c r="E1821" s="439"/>
      <c r="F1821" s="439"/>
      <c r="Z1821" s="500"/>
      <c r="AA1821" s="500"/>
      <c r="AB1821" s="500"/>
      <c r="AC1821" s="500"/>
      <c r="AD1821" s="500"/>
      <c r="AE1821" s="500"/>
      <c r="AF1821" s="500"/>
      <c r="AG1821" s="500"/>
      <c r="AH1821" s="500"/>
      <c r="AI1821" s="500"/>
      <c r="AJ1821" s="500"/>
      <c r="AK1821" s="500"/>
      <c r="AL1821" s="500"/>
      <c r="AM1821" s="500"/>
      <c r="AN1821" s="500"/>
      <c r="AO1821" s="500"/>
      <c r="AP1821" s="500"/>
    </row>
    <row r="1822" spans="1:42" ht="16.5" customHeight="1">
      <c r="A1822" s="439"/>
      <c r="B1822" s="439"/>
      <c r="C1822" s="439"/>
      <c r="D1822" s="439"/>
      <c r="E1822" s="439"/>
      <c r="F1822" s="439"/>
      <c r="Z1822" s="500"/>
      <c r="AA1822" s="500"/>
      <c r="AB1822" s="500"/>
      <c r="AC1822" s="500"/>
      <c r="AD1822" s="500"/>
      <c r="AE1822" s="500"/>
      <c r="AF1822" s="500"/>
      <c r="AG1822" s="500"/>
      <c r="AH1822" s="500"/>
      <c r="AI1822" s="500"/>
      <c r="AJ1822" s="500"/>
      <c r="AK1822" s="500"/>
      <c r="AL1822" s="500"/>
      <c r="AM1822" s="500"/>
      <c r="AN1822" s="500"/>
      <c r="AO1822" s="500"/>
      <c r="AP1822" s="500"/>
    </row>
    <row r="1823" spans="1:42" ht="16.5" customHeight="1">
      <c r="A1823" s="439"/>
      <c r="B1823" s="439"/>
      <c r="C1823" s="439"/>
      <c r="D1823" s="439"/>
      <c r="E1823" s="439"/>
      <c r="F1823" s="439"/>
      <c r="Z1823" s="500"/>
      <c r="AA1823" s="500"/>
      <c r="AB1823" s="500"/>
      <c r="AC1823" s="500"/>
      <c r="AD1823" s="500"/>
      <c r="AE1823" s="500"/>
      <c r="AF1823" s="500"/>
      <c r="AG1823" s="500"/>
      <c r="AH1823" s="500"/>
      <c r="AI1823" s="500"/>
      <c r="AJ1823" s="500"/>
      <c r="AK1823" s="500"/>
      <c r="AL1823" s="500"/>
      <c r="AM1823" s="500"/>
      <c r="AN1823" s="500"/>
      <c r="AO1823" s="500"/>
      <c r="AP1823" s="500"/>
    </row>
    <row r="1824" spans="1:42" ht="16.5" customHeight="1">
      <c r="A1824" s="439"/>
      <c r="B1824" s="439"/>
      <c r="C1824" s="439"/>
      <c r="D1824" s="439"/>
      <c r="E1824" s="439"/>
      <c r="F1824" s="439"/>
      <c r="Z1824" s="500"/>
      <c r="AA1824" s="500"/>
      <c r="AB1824" s="500"/>
      <c r="AC1824" s="500"/>
      <c r="AD1824" s="500"/>
      <c r="AE1824" s="500"/>
      <c r="AF1824" s="500"/>
      <c r="AG1824" s="500"/>
      <c r="AH1824" s="500"/>
      <c r="AI1824" s="500"/>
      <c r="AJ1824" s="500"/>
      <c r="AK1824" s="500"/>
      <c r="AL1824" s="500"/>
      <c r="AM1824" s="500"/>
      <c r="AN1824" s="500"/>
      <c r="AO1824" s="500"/>
      <c r="AP1824" s="500"/>
    </row>
    <row r="1825" spans="1:42" ht="16.5" customHeight="1">
      <c r="A1825" s="439"/>
      <c r="B1825" s="439"/>
      <c r="C1825" s="439"/>
      <c r="D1825" s="439"/>
      <c r="E1825" s="439"/>
      <c r="F1825" s="439"/>
      <c r="Z1825" s="500"/>
      <c r="AA1825" s="500"/>
      <c r="AB1825" s="500"/>
      <c r="AC1825" s="500"/>
      <c r="AD1825" s="500"/>
      <c r="AE1825" s="500"/>
      <c r="AF1825" s="500"/>
      <c r="AG1825" s="500"/>
      <c r="AH1825" s="500"/>
      <c r="AI1825" s="500"/>
      <c r="AJ1825" s="500"/>
      <c r="AK1825" s="500"/>
      <c r="AL1825" s="500"/>
      <c r="AM1825" s="500"/>
      <c r="AN1825" s="500"/>
      <c r="AO1825" s="500"/>
      <c r="AP1825" s="500"/>
    </row>
    <row r="1826" spans="1:42" ht="16.5" customHeight="1">
      <c r="A1826" s="439"/>
      <c r="B1826" s="439"/>
      <c r="C1826" s="439"/>
      <c r="D1826" s="439"/>
      <c r="E1826" s="439"/>
      <c r="F1826" s="439"/>
      <c r="Z1826" s="500"/>
      <c r="AA1826" s="500"/>
      <c r="AB1826" s="500"/>
      <c r="AC1826" s="500"/>
      <c r="AD1826" s="500"/>
      <c r="AE1826" s="500"/>
      <c r="AF1826" s="500"/>
      <c r="AG1826" s="500"/>
      <c r="AH1826" s="500"/>
      <c r="AI1826" s="500"/>
      <c r="AJ1826" s="500"/>
      <c r="AK1826" s="500"/>
      <c r="AL1826" s="500"/>
      <c r="AM1826" s="500"/>
      <c r="AN1826" s="500"/>
      <c r="AO1826" s="500"/>
      <c r="AP1826" s="500"/>
    </row>
    <row r="1827" spans="1:42" ht="16.5" customHeight="1">
      <c r="A1827" s="439"/>
      <c r="B1827" s="439"/>
      <c r="C1827" s="439"/>
      <c r="D1827" s="439"/>
      <c r="E1827" s="439"/>
      <c r="F1827" s="439"/>
      <c r="Z1827" s="500"/>
      <c r="AA1827" s="500"/>
      <c r="AB1827" s="500"/>
      <c r="AC1827" s="500"/>
      <c r="AD1827" s="500"/>
      <c r="AE1827" s="500"/>
      <c r="AF1827" s="500"/>
      <c r="AG1827" s="500"/>
      <c r="AH1827" s="500"/>
      <c r="AI1827" s="500"/>
      <c r="AJ1827" s="500"/>
      <c r="AK1827" s="500"/>
      <c r="AL1827" s="500"/>
      <c r="AM1827" s="500"/>
      <c r="AN1827" s="500"/>
      <c r="AO1827" s="500"/>
      <c r="AP1827" s="500"/>
    </row>
    <row r="1828" spans="1:42" ht="16.5" customHeight="1">
      <c r="A1828" s="439"/>
      <c r="B1828" s="439"/>
      <c r="C1828" s="439"/>
      <c r="D1828" s="439"/>
      <c r="E1828" s="439"/>
      <c r="F1828" s="439"/>
      <c r="Z1828" s="500"/>
      <c r="AA1828" s="500"/>
      <c r="AB1828" s="500"/>
      <c r="AC1828" s="500"/>
      <c r="AD1828" s="500"/>
      <c r="AE1828" s="500"/>
      <c r="AF1828" s="500"/>
      <c r="AG1828" s="500"/>
      <c r="AH1828" s="500"/>
      <c r="AI1828" s="500"/>
      <c r="AJ1828" s="500"/>
      <c r="AK1828" s="500"/>
      <c r="AL1828" s="500"/>
      <c r="AM1828" s="500"/>
      <c r="AN1828" s="500"/>
      <c r="AO1828" s="500"/>
      <c r="AP1828" s="500"/>
    </row>
    <row r="1829" spans="1:42" ht="16.5" customHeight="1">
      <c r="A1829" s="439"/>
      <c r="B1829" s="439"/>
      <c r="C1829" s="439"/>
      <c r="D1829" s="439"/>
      <c r="E1829" s="439"/>
      <c r="F1829" s="439"/>
      <c r="Z1829" s="500"/>
      <c r="AA1829" s="500"/>
      <c r="AB1829" s="500"/>
      <c r="AC1829" s="500"/>
      <c r="AD1829" s="500"/>
      <c r="AE1829" s="500"/>
      <c r="AF1829" s="500"/>
      <c r="AG1829" s="500"/>
      <c r="AH1829" s="500"/>
      <c r="AI1829" s="500"/>
      <c r="AJ1829" s="500"/>
      <c r="AK1829" s="500"/>
      <c r="AL1829" s="500"/>
      <c r="AM1829" s="500"/>
      <c r="AN1829" s="500"/>
      <c r="AO1829" s="500"/>
      <c r="AP1829" s="500"/>
    </row>
    <row r="1830" spans="1:42" ht="16.5" customHeight="1">
      <c r="A1830" s="439"/>
      <c r="B1830" s="439"/>
      <c r="C1830" s="439"/>
      <c r="D1830" s="439"/>
      <c r="E1830" s="439"/>
      <c r="F1830" s="439"/>
      <c r="Z1830" s="500"/>
      <c r="AA1830" s="500"/>
      <c r="AB1830" s="500"/>
      <c r="AC1830" s="500"/>
      <c r="AD1830" s="500"/>
      <c r="AE1830" s="500"/>
      <c r="AF1830" s="500"/>
      <c r="AG1830" s="500"/>
      <c r="AH1830" s="500"/>
      <c r="AI1830" s="500"/>
      <c r="AJ1830" s="500"/>
      <c r="AK1830" s="500"/>
      <c r="AL1830" s="500"/>
      <c r="AM1830" s="500"/>
      <c r="AN1830" s="500"/>
      <c r="AO1830" s="500"/>
      <c r="AP1830" s="500"/>
    </row>
    <row r="1831" spans="1:42" ht="16.5" customHeight="1">
      <c r="A1831" s="439"/>
      <c r="B1831" s="439"/>
      <c r="C1831" s="439"/>
      <c r="D1831" s="439"/>
      <c r="E1831" s="439"/>
      <c r="F1831" s="439"/>
      <c r="Z1831" s="500"/>
      <c r="AA1831" s="500"/>
      <c r="AB1831" s="500"/>
      <c r="AC1831" s="500"/>
      <c r="AD1831" s="500"/>
      <c r="AE1831" s="500"/>
      <c r="AF1831" s="500"/>
      <c r="AG1831" s="500"/>
      <c r="AH1831" s="500"/>
      <c r="AI1831" s="500"/>
      <c r="AJ1831" s="500"/>
      <c r="AK1831" s="500"/>
      <c r="AL1831" s="500"/>
      <c r="AM1831" s="500"/>
      <c r="AN1831" s="500"/>
      <c r="AO1831" s="500"/>
      <c r="AP1831" s="500"/>
    </row>
    <row r="1832" spans="1:42" ht="16.5" customHeight="1">
      <c r="A1832" s="439"/>
      <c r="B1832" s="439"/>
      <c r="C1832" s="439"/>
      <c r="D1832" s="439"/>
      <c r="E1832" s="439"/>
      <c r="F1832" s="439"/>
      <c r="Z1832" s="500"/>
      <c r="AA1832" s="500"/>
      <c r="AB1832" s="500"/>
      <c r="AC1832" s="500"/>
      <c r="AD1832" s="500"/>
      <c r="AE1832" s="500"/>
      <c r="AF1832" s="500"/>
      <c r="AG1832" s="500"/>
      <c r="AH1832" s="500"/>
      <c r="AI1832" s="500"/>
      <c r="AJ1832" s="500"/>
      <c r="AK1832" s="500"/>
      <c r="AL1832" s="500"/>
      <c r="AM1832" s="500"/>
      <c r="AN1832" s="500"/>
      <c r="AO1832" s="500"/>
      <c r="AP1832" s="500"/>
    </row>
    <row r="1833" spans="1:42" ht="16.5" customHeight="1">
      <c r="A1833" s="439"/>
      <c r="B1833" s="439"/>
      <c r="C1833" s="439"/>
      <c r="D1833" s="439"/>
      <c r="E1833" s="439"/>
      <c r="F1833" s="439"/>
      <c r="Z1833" s="500"/>
      <c r="AA1833" s="500"/>
      <c r="AB1833" s="500"/>
      <c r="AC1833" s="500"/>
      <c r="AD1833" s="500"/>
      <c r="AE1833" s="500"/>
      <c r="AF1833" s="500"/>
      <c r="AG1833" s="500"/>
      <c r="AH1833" s="500"/>
      <c r="AI1833" s="500"/>
      <c r="AJ1833" s="500"/>
      <c r="AK1833" s="500"/>
      <c r="AL1833" s="500"/>
      <c r="AM1833" s="500"/>
      <c r="AN1833" s="500"/>
      <c r="AO1833" s="500"/>
      <c r="AP1833" s="500"/>
    </row>
    <row r="1834" spans="1:42" ht="16.5" customHeight="1">
      <c r="A1834" s="439"/>
      <c r="B1834" s="439"/>
      <c r="C1834" s="439"/>
      <c r="D1834" s="439"/>
      <c r="E1834" s="439"/>
      <c r="F1834" s="439"/>
      <c r="Z1834" s="500"/>
      <c r="AA1834" s="500"/>
      <c r="AB1834" s="500"/>
      <c r="AC1834" s="500"/>
      <c r="AD1834" s="500"/>
      <c r="AE1834" s="500"/>
      <c r="AF1834" s="500"/>
      <c r="AG1834" s="500"/>
      <c r="AH1834" s="500"/>
      <c r="AI1834" s="500"/>
      <c r="AJ1834" s="500"/>
      <c r="AK1834" s="500"/>
      <c r="AL1834" s="500"/>
      <c r="AM1834" s="500"/>
      <c r="AN1834" s="500"/>
      <c r="AO1834" s="500"/>
      <c r="AP1834" s="500"/>
    </row>
    <row r="1835" spans="1:42" ht="16.5" customHeight="1">
      <c r="A1835" s="439"/>
      <c r="B1835" s="439"/>
      <c r="C1835" s="439"/>
      <c r="D1835" s="439"/>
      <c r="E1835" s="439"/>
      <c r="F1835" s="439"/>
      <c r="Z1835" s="500"/>
      <c r="AA1835" s="500"/>
      <c r="AB1835" s="500"/>
      <c r="AC1835" s="500"/>
      <c r="AD1835" s="500"/>
      <c r="AE1835" s="500"/>
      <c r="AF1835" s="500"/>
      <c r="AG1835" s="500"/>
      <c r="AH1835" s="500"/>
      <c r="AI1835" s="500"/>
      <c r="AJ1835" s="500"/>
      <c r="AK1835" s="500"/>
      <c r="AL1835" s="500"/>
      <c r="AM1835" s="500"/>
      <c r="AN1835" s="500"/>
      <c r="AO1835" s="500"/>
      <c r="AP1835" s="500"/>
    </row>
    <row r="1836" spans="1:42" ht="16.5" customHeight="1">
      <c r="A1836" s="439"/>
      <c r="B1836" s="439"/>
      <c r="C1836" s="439"/>
      <c r="D1836" s="439"/>
      <c r="E1836" s="439"/>
      <c r="F1836" s="439"/>
      <c r="Z1836" s="500"/>
      <c r="AA1836" s="500"/>
      <c r="AB1836" s="500"/>
      <c r="AC1836" s="500"/>
      <c r="AD1836" s="500"/>
      <c r="AE1836" s="500"/>
      <c r="AF1836" s="500"/>
      <c r="AG1836" s="500"/>
      <c r="AH1836" s="500"/>
      <c r="AI1836" s="500"/>
      <c r="AJ1836" s="500"/>
      <c r="AK1836" s="500"/>
      <c r="AL1836" s="500"/>
      <c r="AM1836" s="500"/>
      <c r="AN1836" s="500"/>
      <c r="AO1836" s="500"/>
      <c r="AP1836" s="500"/>
    </row>
    <row r="1837" spans="1:42" ht="16.5" customHeight="1">
      <c r="A1837" s="439"/>
      <c r="B1837" s="439"/>
      <c r="C1837" s="439"/>
      <c r="D1837" s="439"/>
      <c r="E1837" s="439"/>
      <c r="F1837" s="439"/>
      <c r="Z1837" s="500"/>
      <c r="AA1837" s="500"/>
      <c r="AB1837" s="500"/>
      <c r="AC1837" s="500"/>
      <c r="AD1837" s="500"/>
      <c r="AE1837" s="500"/>
      <c r="AF1837" s="500"/>
      <c r="AG1837" s="500"/>
      <c r="AH1837" s="500"/>
      <c r="AI1837" s="500"/>
      <c r="AJ1837" s="500"/>
      <c r="AK1837" s="500"/>
      <c r="AL1837" s="500"/>
      <c r="AM1837" s="500"/>
      <c r="AN1837" s="500"/>
      <c r="AO1837" s="500"/>
      <c r="AP1837" s="500"/>
    </row>
    <row r="1838" spans="1:42" ht="16.5" customHeight="1">
      <c r="A1838" s="439"/>
      <c r="B1838" s="439"/>
      <c r="C1838" s="439"/>
      <c r="D1838" s="439"/>
      <c r="E1838" s="439"/>
      <c r="F1838" s="439"/>
      <c r="Z1838" s="500"/>
      <c r="AA1838" s="500"/>
      <c r="AB1838" s="500"/>
      <c r="AC1838" s="500"/>
      <c r="AD1838" s="500"/>
      <c r="AE1838" s="500"/>
      <c r="AF1838" s="500"/>
      <c r="AG1838" s="500"/>
      <c r="AH1838" s="500"/>
      <c r="AI1838" s="500"/>
      <c r="AJ1838" s="500"/>
      <c r="AK1838" s="500"/>
      <c r="AL1838" s="500"/>
      <c r="AM1838" s="500"/>
      <c r="AN1838" s="500"/>
      <c r="AO1838" s="500"/>
      <c r="AP1838" s="500"/>
    </row>
    <row r="1839" spans="1:42" ht="16.5" customHeight="1">
      <c r="A1839" s="439"/>
      <c r="B1839" s="439"/>
      <c r="C1839" s="439"/>
      <c r="D1839" s="439"/>
      <c r="E1839" s="439"/>
      <c r="F1839" s="439"/>
      <c r="Z1839" s="500"/>
      <c r="AA1839" s="500"/>
      <c r="AB1839" s="500"/>
      <c r="AC1839" s="500"/>
      <c r="AD1839" s="500"/>
      <c r="AE1839" s="500"/>
      <c r="AF1839" s="500"/>
      <c r="AG1839" s="500"/>
      <c r="AH1839" s="500"/>
      <c r="AI1839" s="500"/>
      <c r="AJ1839" s="500"/>
      <c r="AK1839" s="500"/>
      <c r="AL1839" s="500"/>
      <c r="AM1839" s="500"/>
      <c r="AN1839" s="500"/>
      <c r="AO1839" s="500"/>
      <c r="AP1839" s="500"/>
    </row>
    <row r="1840" spans="1:42" ht="16.5" customHeight="1">
      <c r="A1840" s="439"/>
      <c r="B1840" s="439"/>
      <c r="C1840" s="439"/>
      <c r="D1840" s="439"/>
      <c r="E1840" s="439"/>
      <c r="F1840" s="439"/>
      <c r="Z1840" s="500"/>
      <c r="AA1840" s="500"/>
      <c r="AB1840" s="500"/>
      <c r="AC1840" s="500"/>
      <c r="AD1840" s="500"/>
      <c r="AE1840" s="500"/>
      <c r="AF1840" s="500"/>
      <c r="AG1840" s="500"/>
      <c r="AH1840" s="500"/>
      <c r="AI1840" s="500"/>
      <c r="AJ1840" s="500"/>
      <c r="AK1840" s="500"/>
      <c r="AL1840" s="500"/>
      <c r="AM1840" s="500"/>
      <c r="AN1840" s="500"/>
      <c r="AO1840" s="500"/>
      <c r="AP1840" s="500"/>
    </row>
    <row r="1841" spans="1:42" ht="16.5" customHeight="1">
      <c r="A1841" s="439"/>
      <c r="B1841" s="439"/>
      <c r="C1841" s="439"/>
      <c r="D1841" s="439"/>
      <c r="E1841" s="439"/>
      <c r="F1841" s="439"/>
      <c r="Z1841" s="500"/>
      <c r="AA1841" s="500"/>
      <c r="AB1841" s="500"/>
      <c r="AC1841" s="500"/>
      <c r="AD1841" s="500"/>
      <c r="AE1841" s="500"/>
      <c r="AF1841" s="500"/>
      <c r="AG1841" s="500"/>
      <c r="AH1841" s="500"/>
      <c r="AI1841" s="500"/>
      <c r="AJ1841" s="500"/>
      <c r="AK1841" s="500"/>
      <c r="AL1841" s="500"/>
      <c r="AM1841" s="500"/>
      <c r="AN1841" s="500"/>
      <c r="AO1841" s="500"/>
      <c r="AP1841" s="500"/>
    </row>
    <row r="1842" spans="1:42" ht="16.5" customHeight="1">
      <c r="A1842" s="439"/>
      <c r="B1842" s="439"/>
      <c r="C1842" s="439"/>
      <c r="D1842" s="439"/>
      <c r="E1842" s="439"/>
      <c r="F1842" s="439"/>
      <c r="Z1842" s="500"/>
      <c r="AA1842" s="500"/>
      <c r="AB1842" s="500"/>
      <c r="AC1842" s="500"/>
      <c r="AD1842" s="500"/>
      <c r="AE1842" s="500"/>
      <c r="AF1842" s="500"/>
      <c r="AG1842" s="500"/>
      <c r="AH1842" s="500"/>
      <c r="AI1842" s="500"/>
      <c r="AJ1842" s="500"/>
      <c r="AK1842" s="500"/>
      <c r="AL1842" s="500"/>
      <c r="AM1842" s="500"/>
      <c r="AN1842" s="500"/>
      <c r="AO1842" s="500"/>
      <c r="AP1842" s="500"/>
    </row>
    <row r="1843" spans="1:42" ht="16.5" customHeight="1">
      <c r="A1843" s="439"/>
      <c r="B1843" s="439"/>
      <c r="C1843" s="439"/>
      <c r="D1843" s="439"/>
      <c r="E1843" s="439"/>
      <c r="F1843" s="439"/>
      <c r="Z1843" s="500"/>
      <c r="AA1843" s="500"/>
      <c r="AB1843" s="500"/>
      <c r="AC1843" s="500"/>
      <c r="AD1843" s="500"/>
      <c r="AE1843" s="500"/>
      <c r="AF1843" s="500"/>
      <c r="AG1843" s="500"/>
      <c r="AH1843" s="500"/>
      <c r="AI1843" s="500"/>
      <c r="AJ1843" s="500"/>
      <c r="AK1843" s="500"/>
      <c r="AL1843" s="500"/>
      <c r="AM1843" s="500"/>
      <c r="AN1843" s="500"/>
      <c r="AO1843" s="500"/>
      <c r="AP1843" s="500"/>
    </row>
    <row r="1844" spans="1:42" ht="16.5" customHeight="1">
      <c r="A1844" s="439"/>
      <c r="B1844" s="439"/>
      <c r="C1844" s="439"/>
      <c r="D1844" s="439"/>
      <c r="E1844" s="439"/>
      <c r="F1844" s="439"/>
      <c r="Z1844" s="500"/>
      <c r="AA1844" s="500"/>
      <c r="AB1844" s="500"/>
      <c r="AC1844" s="500"/>
      <c r="AD1844" s="500"/>
      <c r="AE1844" s="500"/>
      <c r="AF1844" s="500"/>
      <c r="AG1844" s="500"/>
      <c r="AH1844" s="500"/>
      <c r="AI1844" s="500"/>
      <c r="AJ1844" s="500"/>
      <c r="AK1844" s="500"/>
      <c r="AL1844" s="500"/>
      <c r="AM1844" s="500"/>
      <c r="AN1844" s="500"/>
      <c r="AO1844" s="500"/>
      <c r="AP1844" s="500"/>
    </row>
    <row r="1845" spans="1:42" ht="16.5" customHeight="1">
      <c r="A1845" s="439"/>
      <c r="B1845" s="439"/>
      <c r="C1845" s="439"/>
      <c r="D1845" s="439"/>
      <c r="E1845" s="439"/>
      <c r="F1845" s="439"/>
      <c r="Z1845" s="500"/>
      <c r="AA1845" s="500"/>
      <c r="AB1845" s="500"/>
      <c r="AC1845" s="500"/>
      <c r="AD1845" s="500"/>
      <c r="AE1845" s="500"/>
      <c r="AF1845" s="500"/>
      <c r="AG1845" s="500"/>
      <c r="AH1845" s="500"/>
      <c r="AI1845" s="500"/>
      <c r="AJ1845" s="500"/>
      <c r="AK1845" s="500"/>
      <c r="AL1845" s="500"/>
      <c r="AM1845" s="500"/>
      <c r="AN1845" s="500"/>
      <c r="AO1845" s="500"/>
      <c r="AP1845" s="500"/>
    </row>
    <row r="1846" spans="1:42" ht="16.5" customHeight="1">
      <c r="A1846" s="439"/>
      <c r="B1846" s="439"/>
      <c r="C1846" s="439"/>
      <c r="D1846" s="439"/>
      <c r="E1846" s="439"/>
      <c r="F1846" s="439"/>
      <c r="Z1846" s="500"/>
      <c r="AA1846" s="500"/>
      <c r="AB1846" s="500"/>
      <c r="AC1846" s="500"/>
      <c r="AD1846" s="500"/>
      <c r="AE1846" s="500"/>
      <c r="AF1846" s="500"/>
      <c r="AG1846" s="500"/>
      <c r="AH1846" s="500"/>
      <c r="AI1846" s="500"/>
      <c r="AJ1846" s="500"/>
      <c r="AK1846" s="500"/>
      <c r="AL1846" s="500"/>
      <c r="AM1846" s="500"/>
      <c r="AN1846" s="500"/>
      <c r="AO1846" s="500"/>
      <c r="AP1846" s="500"/>
    </row>
    <row r="1847" spans="1:42" ht="16.5" customHeight="1">
      <c r="A1847" s="439"/>
      <c r="B1847" s="439"/>
      <c r="C1847" s="439"/>
      <c r="D1847" s="439"/>
      <c r="E1847" s="439"/>
      <c r="F1847" s="439"/>
      <c r="Z1847" s="500"/>
      <c r="AA1847" s="500"/>
      <c r="AB1847" s="500"/>
      <c r="AC1847" s="500"/>
      <c r="AD1847" s="500"/>
      <c r="AE1847" s="500"/>
      <c r="AF1847" s="500"/>
      <c r="AG1847" s="500"/>
      <c r="AH1847" s="500"/>
      <c r="AI1847" s="500"/>
      <c r="AJ1847" s="500"/>
      <c r="AK1847" s="500"/>
      <c r="AL1847" s="500"/>
      <c r="AM1847" s="500"/>
      <c r="AN1847" s="500"/>
      <c r="AO1847" s="500"/>
      <c r="AP1847" s="500"/>
    </row>
    <row r="1848" spans="1:42" ht="16.5" customHeight="1">
      <c r="A1848" s="439"/>
      <c r="B1848" s="439"/>
      <c r="C1848" s="439"/>
      <c r="D1848" s="439"/>
      <c r="E1848" s="439"/>
      <c r="F1848" s="439"/>
      <c r="Z1848" s="500"/>
      <c r="AA1848" s="500"/>
      <c r="AB1848" s="500"/>
      <c r="AC1848" s="500"/>
      <c r="AD1848" s="500"/>
      <c r="AE1848" s="500"/>
      <c r="AF1848" s="500"/>
      <c r="AG1848" s="500"/>
      <c r="AH1848" s="500"/>
      <c r="AI1848" s="500"/>
      <c r="AJ1848" s="500"/>
      <c r="AK1848" s="500"/>
      <c r="AL1848" s="500"/>
      <c r="AM1848" s="500"/>
      <c r="AN1848" s="500"/>
      <c r="AO1848" s="500"/>
      <c r="AP1848" s="500"/>
    </row>
    <row r="1849" spans="1:42" ht="16.5" customHeight="1">
      <c r="A1849" s="439"/>
      <c r="B1849" s="439"/>
      <c r="C1849" s="439"/>
      <c r="D1849" s="439"/>
      <c r="E1849" s="439"/>
      <c r="F1849" s="439"/>
      <c r="Z1849" s="500"/>
      <c r="AA1849" s="500"/>
      <c r="AB1849" s="500"/>
      <c r="AC1849" s="500"/>
      <c r="AD1849" s="500"/>
      <c r="AE1849" s="500"/>
      <c r="AF1849" s="500"/>
      <c r="AG1849" s="500"/>
      <c r="AH1849" s="500"/>
      <c r="AI1849" s="500"/>
      <c r="AJ1849" s="500"/>
      <c r="AK1849" s="500"/>
      <c r="AL1849" s="500"/>
      <c r="AM1849" s="500"/>
      <c r="AN1849" s="500"/>
      <c r="AO1849" s="500"/>
      <c r="AP1849" s="500"/>
    </row>
    <row r="1850" spans="1:42" ht="16.5" customHeight="1">
      <c r="A1850" s="439"/>
      <c r="B1850" s="439"/>
      <c r="C1850" s="439"/>
      <c r="D1850" s="439"/>
      <c r="E1850" s="439"/>
      <c r="F1850" s="439"/>
      <c r="Z1850" s="500"/>
      <c r="AA1850" s="500"/>
      <c r="AB1850" s="500"/>
      <c r="AC1850" s="500"/>
      <c r="AD1850" s="500"/>
      <c r="AE1850" s="500"/>
      <c r="AF1850" s="500"/>
      <c r="AG1850" s="500"/>
      <c r="AH1850" s="500"/>
      <c r="AI1850" s="500"/>
      <c r="AJ1850" s="500"/>
      <c r="AK1850" s="500"/>
      <c r="AL1850" s="500"/>
      <c r="AM1850" s="500"/>
      <c r="AN1850" s="500"/>
      <c r="AO1850" s="500"/>
      <c r="AP1850" s="500"/>
    </row>
    <row r="1851" spans="1:42" ht="16.5" customHeight="1">
      <c r="A1851" s="439"/>
      <c r="B1851" s="439"/>
      <c r="C1851" s="439"/>
      <c r="D1851" s="439"/>
      <c r="E1851" s="439"/>
      <c r="F1851" s="439"/>
      <c r="Z1851" s="500"/>
      <c r="AA1851" s="500"/>
      <c r="AB1851" s="500"/>
      <c r="AC1851" s="500"/>
      <c r="AD1851" s="500"/>
      <c r="AE1851" s="500"/>
      <c r="AF1851" s="500"/>
      <c r="AG1851" s="500"/>
      <c r="AH1851" s="500"/>
      <c r="AI1851" s="500"/>
      <c r="AJ1851" s="500"/>
      <c r="AK1851" s="500"/>
      <c r="AL1851" s="500"/>
      <c r="AM1851" s="500"/>
      <c r="AN1851" s="500"/>
      <c r="AO1851" s="500"/>
      <c r="AP1851" s="500"/>
    </row>
    <row r="1852" spans="1:42" ht="16.5" customHeight="1">
      <c r="A1852" s="439"/>
      <c r="B1852" s="439"/>
      <c r="C1852" s="439"/>
      <c r="D1852" s="439"/>
      <c r="E1852" s="439"/>
      <c r="F1852" s="439"/>
      <c r="Z1852" s="500"/>
      <c r="AA1852" s="500"/>
      <c r="AB1852" s="500"/>
      <c r="AC1852" s="500"/>
      <c r="AD1852" s="500"/>
      <c r="AE1852" s="500"/>
      <c r="AF1852" s="500"/>
      <c r="AG1852" s="500"/>
      <c r="AH1852" s="500"/>
      <c r="AI1852" s="500"/>
      <c r="AJ1852" s="500"/>
      <c r="AK1852" s="500"/>
      <c r="AL1852" s="500"/>
      <c r="AM1852" s="500"/>
      <c r="AN1852" s="500"/>
      <c r="AO1852" s="500"/>
      <c r="AP1852" s="500"/>
    </row>
    <row r="1853" spans="1:42" ht="16.5" customHeight="1">
      <c r="A1853" s="497"/>
      <c r="B1853" s="497"/>
      <c r="C1853" s="497"/>
      <c r="D1853" s="497"/>
      <c r="E1853" s="497"/>
      <c r="F1853" s="497"/>
      <c r="Z1853" s="500"/>
      <c r="AA1853" s="500"/>
      <c r="AB1853" s="500"/>
      <c r="AC1853" s="500"/>
      <c r="AD1853" s="500"/>
      <c r="AE1853" s="500"/>
      <c r="AF1853" s="500"/>
      <c r="AG1853" s="500"/>
      <c r="AH1853" s="500"/>
      <c r="AI1853" s="500"/>
      <c r="AJ1853" s="500"/>
      <c r="AK1853" s="500"/>
      <c r="AL1853" s="500"/>
      <c r="AM1853" s="500"/>
      <c r="AN1853" s="500"/>
      <c r="AO1853" s="500"/>
      <c r="AP1853" s="500"/>
    </row>
    <row r="1854" spans="1:42" ht="16.5" customHeight="1">
      <c r="A1854" s="616" t="s">
        <v>3487</v>
      </c>
      <c r="B1854" s="605"/>
      <c r="C1854" s="446">
        <f>E1854+D1854+F1854</f>
        <v>741552</v>
      </c>
      <c r="D1854" s="453">
        <f>ROUNDDOWN(SUMIF(N1757:N1813,M1854,D1757:D1813),0)</f>
        <v>455500</v>
      </c>
      <c r="E1854" s="454">
        <f>ROUNDDOWN(SUMIF(N1757:N1813,M1854,E1757:E1813),0)</f>
        <v>119704</v>
      </c>
      <c r="F1854" s="446">
        <f>ROUNDDOWN(SUMIF(N1757:N1813,M1854,F1757:F1813),0)</f>
        <v>166348</v>
      </c>
      <c r="M1854" s="501" t="s">
        <v>2354</v>
      </c>
      <c r="Z1854" s="500"/>
      <c r="AA1854" s="500"/>
      <c r="AB1854" s="500"/>
      <c r="AC1854" s="500"/>
      <c r="AD1854" s="500"/>
      <c r="AE1854" s="500"/>
      <c r="AF1854" s="500"/>
      <c r="AG1854" s="500"/>
      <c r="AH1854" s="500"/>
      <c r="AI1854" s="500"/>
      <c r="AJ1854" s="500"/>
      <c r="AK1854" s="500"/>
      <c r="AL1854" s="500"/>
      <c r="AM1854" s="500"/>
      <c r="AN1854" s="500"/>
      <c r="AO1854" s="500"/>
      <c r="AP1854" s="500"/>
    </row>
    <row r="1855" spans="1:42" ht="16.5" customHeight="1">
      <c r="A1855" s="502" t="s">
        <v>3350</v>
      </c>
      <c r="B1855" s="503" t="s">
        <v>1813</v>
      </c>
      <c r="C1855" s="615">
        <f>C1904</f>
        <v>48369</v>
      </c>
      <c r="D1855" s="615">
        <f>D1904</f>
        <v>29996</v>
      </c>
      <c r="E1855" s="615">
        <f>E1904</f>
        <v>15260</v>
      </c>
      <c r="F1855" s="615">
        <f>F1904</f>
        <v>3113</v>
      </c>
      <c r="G1855" s="486" t="str">
        <f>HYPERLINK("#G"&amp;ROW(G1902),"_x0005_`BDCOD|D01305_x0007_`POSS|"&amp;ROW(G1857)&amp;"_x0007_`POSE|"&amp;ROW(G1902)&amp;"_x0007_`")</f>
        <v>_x0005_`BDCOD|D01305_x0007_`POSS|1857_x0007_`POSE|1902_x0007_`</v>
      </c>
      <c r="Z1855" s="500"/>
      <c r="AA1855" s="500"/>
      <c r="AB1855" s="500"/>
      <c r="AC1855" s="500"/>
      <c r="AD1855" s="500"/>
      <c r="AE1855" s="500"/>
      <c r="AF1855" s="500"/>
      <c r="AG1855" s="500"/>
      <c r="AH1855" s="500"/>
      <c r="AI1855" s="500"/>
      <c r="AJ1855" s="500"/>
      <c r="AK1855" s="500"/>
      <c r="AL1855" s="500"/>
      <c r="AM1855" s="500"/>
      <c r="AN1855" s="500"/>
      <c r="AO1855" s="500"/>
      <c r="AP1855" s="500"/>
    </row>
    <row r="1856" spans="1:42" ht="16.5" customHeight="1">
      <c r="A1856" s="485"/>
      <c r="B1856" s="503" t="s">
        <v>3626</v>
      </c>
      <c r="C1856" s="593"/>
      <c r="D1856" s="593"/>
      <c r="E1856" s="593"/>
      <c r="F1856" s="593"/>
      <c r="M1856" s="501" t="s">
        <v>1813</v>
      </c>
      <c r="Z1856" s="500"/>
      <c r="AA1856" s="500"/>
      <c r="AB1856" s="500"/>
      <c r="AC1856" s="500"/>
      <c r="AD1856" s="500"/>
      <c r="AE1856" s="500"/>
      <c r="AF1856" s="500"/>
      <c r="AG1856" s="500"/>
      <c r="AH1856" s="500"/>
      <c r="AI1856" s="500"/>
      <c r="AJ1856" s="500"/>
      <c r="AK1856" s="500"/>
      <c r="AL1856" s="500"/>
      <c r="AM1856" s="500"/>
      <c r="AN1856" s="500"/>
      <c r="AO1856" s="500"/>
      <c r="AP1856" s="500"/>
    </row>
    <row r="1857" spans="1:42" ht="16.5" customHeight="1">
      <c r="A1857" s="439"/>
      <c r="B1857" s="439"/>
      <c r="C1857" s="504"/>
      <c r="D1857" s="504"/>
      <c r="E1857" s="504"/>
      <c r="F1857" s="504"/>
      <c r="G1857" s="451" t="s">
        <v>3406</v>
      </c>
      <c r="Z1857" s="500"/>
      <c r="AA1857" s="500"/>
      <c r="AB1857" s="500"/>
      <c r="AC1857" s="500"/>
      <c r="AD1857" s="500"/>
      <c r="AE1857" s="500"/>
      <c r="AF1857" s="500"/>
      <c r="AG1857" s="500"/>
      <c r="AH1857" s="500"/>
      <c r="AI1857" s="500"/>
      <c r="AJ1857" s="500"/>
      <c r="AK1857" s="500"/>
      <c r="AL1857" s="500"/>
      <c r="AM1857" s="500"/>
      <c r="AN1857" s="500"/>
      <c r="AO1857" s="500"/>
      <c r="AP1857" s="500"/>
    </row>
    <row r="1858" spans="1:42" ht="16.5" customHeight="1">
      <c r="A1858" s="434"/>
      <c r="B1858" s="437" t="s">
        <v>3542</v>
      </c>
      <c r="C1858" s="439"/>
      <c r="D1858" s="439"/>
      <c r="E1858" s="439"/>
      <c r="F1858" s="439"/>
      <c r="G1858" s="451" t="s">
        <v>3543</v>
      </c>
      <c r="Z1858" s="500"/>
      <c r="AA1858" s="500"/>
      <c r="AB1858" s="500"/>
      <c r="AC1858" s="500"/>
      <c r="AD1858" s="500"/>
      <c r="AE1858" s="500"/>
      <c r="AF1858" s="500"/>
      <c r="AG1858" s="500"/>
      <c r="AH1858" s="500"/>
      <c r="AI1858" s="500"/>
      <c r="AJ1858" s="500"/>
      <c r="AK1858" s="500"/>
      <c r="AL1858" s="500"/>
      <c r="AM1858" s="500"/>
      <c r="AN1858" s="500"/>
      <c r="AO1858" s="500"/>
      <c r="AP1858" s="500"/>
    </row>
    <row r="1859" spans="1:42" ht="16.5" customHeight="1">
      <c r="A1859" s="439"/>
      <c r="B1859" s="439"/>
      <c r="C1859" s="439"/>
      <c r="D1859" s="439"/>
      <c r="E1859" s="439"/>
      <c r="F1859" s="439"/>
      <c r="G1859" s="451" t="s">
        <v>3406</v>
      </c>
      <c r="Z1859" s="500"/>
      <c r="AA1859" s="500"/>
      <c r="AB1859" s="500"/>
      <c r="AC1859" s="500"/>
      <c r="AD1859" s="500"/>
      <c r="AE1859" s="500"/>
      <c r="AF1859" s="500"/>
      <c r="AG1859" s="500"/>
      <c r="AH1859" s="500"/>
      <c r="AI1859" s="500"/>
      <c r="AJ1859" s="500"/>
      <c r="AK1859" s="500"/>
      <c r="AL1859" s="500"/>
      <c r="AM1859" s="500"/>
      <c r="AN1859" s="500"/>
      <c r="AO1859" s="500"/>
      <c r="AP1859" s="500"/>
    </row>
    <row r="1860" spans="1:42" ht="16.5" customHeight="1">
      <c r="A1860" s="434"/>
      <c r="B1860" s="437" t="s">
        <v>3544</v>
      </c>
      <c r="C1860" s="439"/>
      <c r="D1860" s="439"/>
      <c r="E1860" s="439"/>
      <c r="F1860" s="439"/>
      <c r="G1860" s="451" t="s">
        <v>3545</v>
      </c>
      <c r="Z1860" s="500"/>
      <c r="AA1860" s="500"/>
      <c r="AB1860" s="500"/>
      <c r="AC1860" s="500"/>
      <c r="AD1860" s="500"/>
      <c r="AE1860" s="500"/>
      <c r="AF1860" s="500"/>
      <c r="AG1860" s="500"/>
      <c r="AH1860" s="500"/>
      <c r="AI1860" s="500"/>
      <c r="AJ1860" s="500"/>
      <c r="AK1860" s="500"/>
      <c r="AL1860" s="500"/>
      <c r="AM1860" s="500"/>
      <c r="AN1860" s="500"/>
      <c r="AO1860" s="500"/>
      <c r="AP1860" s="500"/>
    </row>
    <row r="1861" spans="1:42" ht="16.5" customHeight="1">
      <c r="A1861" s="439"/>
      <c r="B1861" s="439"/>
      <c r="C1861" s="439"/>
      <c r="D1861" s="439"/>
      <c r="E1861" s="439"/>
      <c r="F1861" s="439"/>
      <c r="G1861" s="451" t="s">
        <v>3406</v>
      </c>
      <c r="Z1861" s="500"/>
      <c r="AA1861" s="500"/>
      <c r="AB1861" s="500"/>
      <c r="AC1861" s="500"/>
      <c r="AD1861" s="500"/>
      <c r="AE1861" s="500"/>
      <c r="AF1861" s="500"/>
      <c r="AG1861" s="500"/>
      <c r="AH1861" s="500"/>
      <c r="AI1861" s="500"/>
      <c r="AJ1861" s="500"/>
      <c r="AK1861" s="500"/>
      <c r="AL1861" s="500"/>
      <c r="AM1861" s="500"/>
      <c r="AN1861" s="500"/>
      <c r="AO1861" s="500"/>
      <c r="AP1861" s="500"/>
    </row>
    <row r="1862" spans="1:42" ht="16.5" customHeight="1">
      <c r="A1862" s="434"/>
      <c r="B1862" s="437" t="str">
        <f>" 일당 작업량 :   Q = "&amp;Z1862&amp;"  주 "</f>
        <v xml:space="preserve"> 일당 작업량 :   Q = 45  주 </v>
      </c>
      <c r="C1862" s="439"/>
      <c r="D1862" s="439"/>
      <c r="E1862" s="439"/>
      <c r="F1862" s="439"/>
      <c r="G1862" s="451" t="s">
        <v>3627</v>
      </c>
      <c r="Z1862" s="515">
        <v>45</v>
      </c>
      <c r="AA1862" s="501" t="s">
        <v>3418</v>
      </c>
      <c r="AB1862" s="512">
        <f>Z1862</f>
        <v>45</v>
      </c>
      <c r="AC1862" s="500"/>
      <c r="AD1862" s="500"/>
      <c r="AE1862" s="500"/>
      <c r="AF1862" s="500"/>
      <c r="AG1862" s="500"/>
      <c r="AH1862" s="500"/>
      <c r="AI1862" s="500"/>
      <c r="AJ1862" s="500"/>
      <c r="AK1862" s="500"/>
      <c r="AL1862" s="500"/>
      <c r="AM1862" s="500"/>
      <c r="AN1862" s="500"/>
      <c r="AO1862" s="500"/>
      <c r="AP1862" s="500"/>
    </row>
    <row r="1863" spans="1:42" ht="16.5" customHeight="1">
      <c r="A1863" s="439"/>
      <c r="B1863" s="439"/>
      <c r="C1863" s="439"/>
      <c r="D1863" s="439"/>
      <c r="E1863" s="439"/>
      <c r="F1863" s="439"/>
      <c r="G1863" s="451" t="s">
        <v>3406</v>
      </c>
      <c r="Z1863" s="500"/>
      <c r="AA1863" s="500"/>
      <c r="AB1863" s="500"/>
      <c r="AC1863" s="500"/>
      <c r="AD1863" s="500"/>
      <c r="AE1863" s="500"/>
      <c r="AF1863" s="500"/>
      <c r="AG1863" s="500"/>
      <c r="AH1863" s="500"/>
      <c r="AI1863" s="500"/>
      <c r="AJ1863" s="500"/>
      <c r="AK1863" s="500"/>
      <c r="AL1863" s="500"/>
      <c r="AM1863" s="500"/>
      <c r="AN1863" s="500"/>
      <c r="AO1863" s="500"/>
      <c r="AP1863" s="500"/>
    </row>
    <row r="1864" spans="1:42" ht="16.5" customHeight="1">
      <c r="A1864" s="434"/>
      <c r="B1864" s="437" t="s">
        <v>3547</v>
      </c>
      <c r="C1864" s="439"/>
      <c r="D1864" s="439"/>
      <c r="E1864" s="439"/>
      <c r="F1864" s="439"/>
      <c r="G1864" s="451" t="s">
        <v>3548</v>
      </c>
      <c r="Z1864" s="500"/>
      <c r="AA1864" s="500"/>
      <c r="AB1864" s="500"/>
      <c r="AC1864" s="500"/>
      <c r="AD1864" s="500"/>
      <c r="AE1864" s="500"/>
      <c r="AF1864" s="500"/>
      <c r="AG1864" s="500"/>
      <c r="AH1864" s="500"/>
      <c r="AI1864" s="500"/>
      <c r="AJ1864" s="500"/>
      <c r="AK1864" s="500"/>
      <c r="AL1864" s="500"/>
      <c r="AM1864" s="500"/>
      <c r="AN1864" s="500"/>
      <c r="AO1864" s="500"/>
      <c r="AP1864" s="500"/>
    </row>
    <row r="1865" spans="1:42" ht="16.5" customHeight="1">
      <c r="A1865" s="439"/>
      <c r="B1865" s="439"/>
      <c r="C1865" s="439"/>
      <c r="D1865" s="439"/>
      <c r="E1865" s="439"/>
      <c r="F1865" s="439"/>
      <c r="G1865" s="451" t="s">
        <v>3406</v>
      </c>
      <c r="Z1865" s="500"/>
      <c r="AA1865" s="500"/>
      <c r="AB1865" s="500"/>
      <c r="AC1865" s="500"/>
      <c r="AD1865" s="500"/>
      <c r="AE1865" s="500"/>
      <c r="AF1865" s="500"/>
      <c r="AG1865" s="500"/>
      <c r="AH1865" s="500"/>
      <c r="AI1865" s="500"/>
      <c r="AJ1865" s="500"/>
      <c r="AK1865" s="500"/>
      <c r="AL1865" s="500"/>
      <c r="AM1865" s="500"/>
      <c r="AN1865" s="500"/>
      <c r="AO1865" s="500"/>
      <c r="AP1865" s="500"/>
    </row>
    <row r="1866" spans="1:42" ht="16.5" customHeight="1">
      <c r="A1866" s="439"/>
      <c r="B1866" s="439"/>
      <c r="C1866" s="439"/>
      <c r="D1866" s="439"/>
      <c r="E1866" s="439"/>
      <c r="F1866" s="439"/>
      <c r="G1866" s="451" t="s">
        <v>3406</v>
      </c>
      <c r="Z1866" s="500"/>
      <c r="AA1866" s="500"/>
      <c r="AB1866" s="500"/>
      <c r="AC1866" s="500"/>
      <c r="AD1866" s="500"/>
      <c r="AE1866" s="500"/>
      <c r="AF1866" s="500"/>
      <c r="AG1866" s="500"/>
      <c r="AH1866" s="500"/>
      <c r="AI1866" s="500"/>
      <c r="AJ1866" s="500"/>
      <c r="AK1866" s="500"/>
      <c r="AL1866" s="500"/>
      <c r="AM1866" s="500"/>
      <c r="AN1866" s="500"/>
      <c r="AO1866" s="500"/>
      <c r="AP1866" s="500"/>
    </row>
    <row r="1867" spans="1:42" ht="16.5" customHeight="1">
      <c r="A1867" s="439"/>
      <c r="B1867" s="439"/>
      <c r="C1867" s="439"/>
      <c r="D1867" s="439"/>
      <c r="E1867" s="439"/>
      <c r="F1867" s="439"/>
      <c r="G1867" s="451" t="s">
        <v>3406</v>
      </c>
      <c r="Z1867" s="500"/>
      <c r="AA1867" s="500"/>
      <c r="AB1867" s="500"/>
      <c r="AC1867" s="500"/>
      <c r="AD1867" s="500"/>
      <c r="AE1867" s="500"/>
      <c r="AF1867" s="500"/>
      <c r="AG1867" s="500"/>
      <c r="AH1867" s="500"/>
      <c r="AI1867" s="500"/>
      <c r="AJ1867" s="500"/>
      <c r="AK1867" s="500"/>
      <c r="AL1867" s="500"/>
      <c r="AM1867" s="500"/>
      <c r="AN1867" s="500"/>
      <c r="AO1867" s="500"/>
      <c r="AP1867" s="500"/>
    </row>
    <row r="1868" spans="1:42" ht="16.5" customHeight="1">
      <c r="A1868" s="439"/>
      <c r="B1868" s="439"/>
      <c r="C1868" s="439"/>
      <c r="D1868" s="439"/>
      <c r="E1868" s="439"/>
      <c r="F1868" s="439"/>
      <c r="G1868" s="451" t="s">
        <v>3406</v>
      </c>
      <c r="Z1868" s="500"/>
      <c r="AA1868" s="500"/>
      <c r="AB1868" s="500"/>
      <c r="AC1868" s="500"/>
      <c r="AD1868" s="500"/>
      <c r="AE1868" s="500"/>
      <c r="AF1868" s="500"/>
      <c r="AG1868" s="500"/>
      <c r="AH1868" s="500"/>
      <c r="AI1868" s="500"/>
      <c r="AJ1868" s="500"/>
      <c r="AK1868" s="500"/>
      <c r="AL1868" s="500"/>
      <c r="AM1868" s="500"/>
      <c r="AN1868" s="500"/>
      <c r="AO1868" s="500"/>
      <c r="AP1868" s="500"/>
    </row>
    <row r="1869" spans="1:42" ht="16.5" customHeight="1">
      <c r="A1869" s="434"/>
      <c r="B1869" s="437" t="s">
        <v>3549</v>
      </c>
      <c r="C1869" s="439"/>
      <c r="D1869" s="439"/>
      <c r="E1869" s="439"/>
      <c r="F1869" s="439"/>
      <c r="G1869" s="451" t="s">
        <v>3550</v>
      </c>
      <c r="Z1869" s="500"/>
      <c r="AA1869" s="500"/>
      <c r="AB1869" s="500"/>
      <c r="AC1869" s="500"/>
      <c r="AD1869" s="500"/>
      <c r="AE1869" s="500"/>
      <c r="AF1869" s="500"/>
      <c r="AG1869" s="500"/>
      <c r="AH1869" s="500"/>
      <c r="AI1869" s="500"/>
      <c r="AJ1869" s="500"/>
      <c r="AK1869" s="500"/>
      <c r="AL1869" s="500"/>
      <c r="AM1869" s="500"/>
      <c r="AN1869" s="500"/>
      <c r="AO1869" s="500"/>
      <c r="AP1869" s="500"/>
    </row>
    <row r="1870" spans="1:42" ht="16.5" customHeight="1">
      <c r="A1870" s="439"/>
      <c r="B1870" s="439"/>
      <c r="C1870" s="439"/>
      <c r="D1870" s="439"/>
      <c r="E1870" s="439"/>
      <c r="F1870" s="439"/>
      <c r="G1870" s="451" t="s">
        <v>3406</v>
      </c>
      <c r="Z1870" s="500"/>
      <c r="AA1870" s="500"/>
      <c r="AB1870" s="500"/>
      <c r="AC1870" s="500"/>
      <c r="AD1870" s="500"/>
      <c r="AE1870" s="500"/>
      <c r="AF1870" s="500"/>
      <c r="AG1870" s="500"/>
      <c r="AH1870" s="500"/>
      <c r="AI1870" s="500"/>
      <c r="AJ1870" s="500"/>
      <c r="AK1870" s="500"/>
      <c r="AL1870" s="500"/>
      <c r="AM1870" s="500"/>
      <c r="AN1870" s="500"/>
      <c r="AO1870" s="500"/>
      <c r="AP1870" s="500"/>
    </row>
    <row r="1871" spans="1:42" ht="16.5" customHeight="1">
      <c r="A1871" s="434" t="s">
        <v>3498</v>
      </c>
      <c r="B1871" s="505" t="str">
        <f>" 조경공 :  "&amp;TEXT(I1871,"#,##0"&amp;IF(I1871&lt;&gt;INT(I1871),".###",""))&amp;" * "&amp;AA1871&amp;" 인  / Q = "&amp;TEXT(C1871,"#,##0.0")&amp;""</f>
        <v xml:space="preserve"> 조경공 :  235,204 * 3 인  / Q = 15,680.2</v>
      </c>
      <c r="C1871" s="506">
        <f>E1871+D1871+F1871</f>
        <v>15680.2</v>
      </c>
      <c r="D1871" s="506">
        <f>IF(H1871=0,0,ROUNDDOWN(J1871*H1871,1))</f>
        <v>15680.2</v>
      </c>
      <c r="E1871" s="506">
        <f>IF(H1871=0,0,ROUNDDOWN(K1871*H1871,1))</f>
        <v>0</v>
      </c>
      <c r="F1871" s="506">
        <f>IF(H1871=0,0,ROUNDDOWN(L1871*H1871,1))</f>
        <v>0</v>
      </c>
      <c r="G1871" s="451" t="s">
        <v>3551</v>
      </c>
      <c r="H1871" s="507">
        <f>ROUNDUP(AE1871,14-LEN(ABS(INT(AE1871))))</f>
        <v>6.66666666667E-2</v>
      </c>
      <c r="I1871" s="508">
        <f>K1871+J1871+L1871</f>
        <v>235204</v>
      </c>
      <c r="J1871" s="509">
        <f>노무비목록표!E15</f>
        <v>235204</v>
      </c>
      <c r="M1871" s="501" t="s">
        <v>2359</v>
      </c>
      <c r="N1871" s="501" t="s">
        <v>3416</v>
      </c>
      <c r="X1871" s="510" t="str">
        <f>노무비목록표!B15&amp;" / "&amp;노무비목록표!C15</f>
        <v xml:space="preserve">조경공 / </v>
      </c>
      <c r="Y1871" s="433" t="str">
        <f ca="1">HYPERLINK("#"&amp;노무비목록표!G2&amp;"!A"&amp;ROW(노무비목록표!A15),"L00184 →")</f>
        <v>L00184 →</v>
      </c>
      <c r="Z1871" s="501" t="s">
        <v>3500</v>
      </c>
      <c r="AA1871" s="515">
        <v>3</v>
      </c>
      <c r="AB1871" s="501" t="s">
        <v>3428</v>
      </c>
      <c r="AC1871" s="512">
        <f>AB1862</f>
        <v>45</v>
      </c>
      <c r="AD1871" s="501" t="s">
        <v>3418</v>
      </c>
      <c r="AE1871" s="512">
        <f>1*AA1871/AB1862</f>
        <v>6.6666666666666666E-2</v>
      </c>
      <c r="AF1871" s="500"/>
      <c r="AG1871" s="500"/>
      <c r="AH1871" s="500"/>
      <c r="AI1871" s="500"/>
      <c r="AJ1871" s="500"/>
      <c r="AK1871" s="500"/>
      <c r="AL1871" s="500"/>
      <c r="AM1871" s="500"/>
      <c r="AN1871" s="500"/>
      <c r="AO1871" s="500"/>
      <c r="AP1871" s="500"/>
    </row>
    <row r="1872" spans="1:42" ht="16.5" customHeight="1">
      <c r="A1872" s="439"/>
      <c r="B1872" s="439"/>
      <c r="C1872" s="439"/>
      <c r="D1872" s="439"/>
      <c r="E1872" s="439"/>
      <c r="F1872" s="439"/>
      <c r="G1872" s="451" t="s">
        <v>3406</v>
      </c>
      <c r="Z1872" s="500"/>
      <c r="AA1872" s="500"/>
      <c r="AB1872" s="500"/>
      <c r="AC1872" s="500"/>
      <c r="AD1872" s="500"/>
      <c r="AE1872" s="500"/>
      <c r="AF1872" s="500"/>
      <c r="AG1872" s="500"/>
      <c r="AH1872" s="500"/>
      <c r="AI1872" s="500"/>
      <c r="AJ1872" s="500"/>
      <c r="AK1872" s="500"/>
      <c r="AL1872" s="500"/>
      <c r="AM1872" s="500"/>
      <c r="AN1872" s="500"/>
      <c r="AO1872" s="500"/>
      <c r="AP1872" s="500"/>
    </row>
    <row r="1873" spans="1:42" ht="16.5" customHeight="1">
      <c r="A1873" s="439"/>
      <c r="B1873" s="439"/>
      <c r="C1873" s="439"/>
      <c r="D1873" s="439"/>
      <c r="E1873" s="439"/>
      <c r="F1873" s="439"/>
      <c r="G1873" s="451" t="s">
        <v>3406</v>
      </c>
      <c r="Z1873" s="500"/>
      <c r="AA1873" s="500"/>
      <c r="AB1873" s="500"/>
      <c r="AC1873" s="500"/>
      <c r="AD1873" s="500"/>
      <c r="AE1873" s="500"/>
      <c r="AF1873" s="500"/>
      <c r="AG1873" s="500"/>
      <c r="AH1873" s="500"/>
      <c r="AI1873" s="500"/>
      <c r="AJ1873" s="500"/>
      <c r="AK1873" s="500"/>
      <c r="AL1873" s="500"/>
      <c r="AM1873" s="500"/>
      <c r="AN1873" s="500"/>
      <c r="AO1873" s="500"/>
      <c r="AP1873" s="500"/>
    </row>
    <row r="1874" spans="1:42" ht="16.5" customHeight="1">
      <c r="A1874" s="434" t="s">
        <v>3414</v>
      </c>
      <c r="B1874" s="505" t="str">
        <f>" 보통인부 : "&amp;TEXT(I1874,"#,##0"&amp;IF(I1874&lt;&gt;INT(I1874),".###",""))&amp;" * "&amp;AA1874&amp;" 인  / Q = "&amp;TEXT(C1874,"#,##0.0")&amp;""</f>
        <v xml:space="preserve"> 보통인부 : 172,068 * 1 인  / Q = 3,823.7</v>
      </c>
      <c r="C1874" s="506">
        <f>E1874+D1874+F1874</f>
        <v>3823.7</v>
      </c>
      <c r="D1874" s="506">
        <f>IF(H1874=0,0,ROUNDDOWN(J1874*H1874,1))</f>
        <v>3823.7</v>
      </c>
      <c r="E1874" s="506">
        <f>IF(H1874=0,0,ROUNDDOWN(K1874*H1874,1))</f>
        <v>0</v>
      </c>
      <c r="F1874" s="506">
        <f>IF(H1874=0,0,ROUNDDOWN(L1874*H1874,1))</f>
        <v>0</v>
      </c>
      <c r="G1874" s="451" t="s">
        <v>3552</v>
      </c>
      <c r="H1874" s="507">
        <f>ROUNDUP(AE1874,14-LEN(ABS(INT(AE1874))))</f>
        <v>2.2222222222300001E-2</v>
      </c>
      <c r="I1874" s="508">
        <f>K1874+J1874+L1874</f>
        <v>172068</v>
      </c>
      <c r="J1874" s="509">
        <f>노무비목록표!E10</f>
        <v>172068</v>
      </c>
      <c r="M1874" s="501" t="s">
        <v>2363</v>
      </c>
      <c r="N1874" s="501" t="s">
        <v>3416</v>
      </c>
      <c r="X1874" s="510" t="str">
        <f>노무비목록표!B10&amp;" / "&amp;노무비목록표!C10</f>
        <v xml:space="preserve">보통인부 / </v>
      </c>
      <c r="Y1874" s="433" t="str">
        <f ca="1">HYPERLINK("#"&amp;노무비목록표!G2&amp;"!A"&amp;ROW(노무비목록표!A10),"L00017 →")</f>
        <v>L00017 →</v>
      </c>
      <c r="Z1874" s="501" t="s">
        <v>3500</v>
      </c>
      <c r="AA1874" s="515">
        <v>1</v>
      </c>
      <c r="AB1874" s="501" t="s">
        <v>3428</v>
      </c>
      <c r="AC1874" s="512">
        <f>AB1862</f>
        <v>45</v>
      </c>
      <c r="AD1874" s="501" t="s">
        <v>3418</v>
      </c>
      <c r="AE1874" s="512">
        <f>1*AA1874/AB1862</f>
        <v>2.2222222222222223E-2</v>
      </c>
      <c r="AF1874" s="500"/>
      <c r="AG1874" s="500"/>
      <c r="AH1874" s="500"/>
      <c r="AI1874" s="500"/>
      <c r="AJ1874" s="500"/>
      <c r="AK1874" s="500"/>
      <c r="AL1874" s="500"/>
      <c r="AM1874" s="500"/>
      <c r="AN1874" s="500"/>
      <c r="AO1874" s="500"/>
      <c r="AP1874" s="500"/>
    </row>
    <row r="1875" spans="1:42" ht="16.5" customHeight="1">
      <c r="A1875" s="439"/>
      <c r="B1875" s="439"/>
      <c r="C1875" s="439"/>
      <c r="D1875" s="439"/>
      <c r="E1875" s="439"/>
      <c r="F1875" s="439"/>
      <c r="G1875" s="451" t="s">
        <v>3406</v>
      </c>
      <c r="Z1875" s="500"/>
      <c r="AA1875" s="500"/>
      <c r="AB1875" s="500"/>
      <c r="AC1875" s="500"/>
      <c r="AD1875" s="500"/>
      <c r="AE1875" s="500"/>
      <c r="AF1875" s="500"/>
      <c r="AG1875" s="500"/>
      <c r="AH1875" s="500"/>
      <c r="AI1875" s="500"/>
      <c r="AJ1875" s="500"/>
      <c r="AK1875" s="500"/>
      <c r="AL1875" s="500"/>
      <c r="AM1875" s="500"/>
      <c r="AN1875" s="500"/>
      <c r="AO1875" s="500"/>
      <c r="AP1875" s="500"/>
    </row>
    <row r="1876" spans="1:42" ht="16.5" customHeight="1">
      <c r="A1876" s="434"/>
      <c r="B1876" s="437" t="s">
        <v>3419</v>
      </c>
      <c r="C1876" s="513">
        <f>E1876+D1876+F1876</f>
        <v>19503.900000000001</v>
      </c>
      <c r="D1876" s="513">
        <f>SUMIF(N1857:N1875,M1876,D1857:D1875)</f>
        <v>19503.900000000001</v>
      </c>
      <c r="E1876" s="513">
        <f>SUMIF(N1857:N1875,M1876,E1857:E1875)</f>
        <v>0</v>
      </c>
      <c r="F1876" s="513">
        <f>SUMIF(N1857:N1875,M1876,F1857:F1875)</f>
        <v>0</v>
      </c>
      <c r="G1876" s="451" t="s">
        <v>3439</v>
      </c>
      <c r="M1876" s="501" t="s">
        <v>3416</v>
      </c>
      <c r="N1876" s="501" t="s">
        <v>3421</v>
      </c>
      <c r="Z1876" s="500"/>
      <c r="AA1876" s="500"/>
      <c r="AB1876" s="500"/>
      <c r="AC1876" s="500"/>
      <c r="AD1876" s="500"/>
      <c r="AE1876" s="500"/>
      <c r="AF1876" s="500"/>
      <c r="AG1876" s="500"/>
      <c r="AH1876" s="500"/>
      <c r="AI1876" s="500"/>
      <c r="AJ1876" s="500"/>
      <c r="AK1876" s="500"/>
      <c r="AL1876" s="500"/>
      <c r="AM1876" s="500"/>
      <c r="AN1876" s="500"/>
      <c r="AO1876" s="500"/>
      <c r="AP1876" s="500"/>
    </row>
    <row r="1877" spans="1:42" ht="16.5" customHeight="1">
      <c r="A1877" s="439"/>
      <c r="B1877" s="439"/>
      <c r="C1877" s="504"/>
      <c r="D1877" s="504"/>
      <c r="E1877" s="504"/>
      <c r="F1877" s="504"/>
      <c r="G1877" s="451" t="s">
        <v>3406</v>
      </c>
      <c r="Z1877" s="500"/>
      <c r="AA1877" s="500"/>
      <c r="AB1877" s="500"/>
      <c r="AC1877" s="500"/>
      <c r="AD1877" s="500"/>
      <c r="AE1877" s="500"/>
      <c r="AF1877" s="500"/>
      <c r="AG1877" s="500"/>
      <c r="AH1877" s="500"/>
      <c r="AI1877" s="500"/>
      <c r="AJ1877" s="500"/>
      <c r="AK1877" s="500"/>
      <c r="AL1877" s="500"/>
      <c r="AM1877" s="500"/>
      <c r="AN1877" s="500"/>
      <c r="AO1877" s="500"/>
      <c r="AP1877" s="500"/>
    </row>
    <row r="1878" spans="1:42" ht="16.5" customHeight="1">
      <c r="A1878" s="439"/>
      <c r="B1878" s="439"/>
      <c r="C1878" s="439"/>
      <c r="D1878" s="439"/>
      <c r="E1878" s="439"/>
      <c r="F1878" s="439"/>
      <c r="G1878" s="451" t="s">
        <v>3406</v>
      </c>
      <c r="Z1878" s="500"/>
      <c r="AA1878" s="500"/>
      <c r="AB1878" s="500"/>
      <c r="AC1878" s="500"/>
      <c r="AD1878" s="500"/>
      <c r="AE1878" s="500"/>
      <c r="AF1878" s="500"/>
      <c r="AG1878" s="500"/>
      <c r="AH1878" s="500"/>
      <c r="AI1878" s="500"/>
      <c r="AJ1878" s="500"/>
      <c r="AK1878" s="500"/>
      <c r="AL1878" s="500"/>
      <c r="AM1878" s="500"/>
      <c r="AN1878" s="500"/>
      <c r="AO1878" s="500"/>
      <c r="AP1878" s="500"/>
    </row>
    <row r="1879" spans="1:42" ht="16.5" customHeight="1">
      <c r="A1879" s="434"/>
      <c r="B1879" s="437" t="s">
        <v>3553</v>
      </c>
      <c r="C1879" s="439"/>
      <c r="D1879" s="439"/>
      <c r="E1879" s="439"/>
      <c r="F1879" s="439"/>
      <c r="G1879" s="451" t="s">
        <v>3554</v>
      </c>
      <c r="Z1879" s="500"/>
      <c r="AA1879" s="500"/>
      <c r="AB1879" s="500"/>
      <c r="AC1879" s="500"/>
      <c r="AD1879" s="500"/>
      <c r="AE1879" s="500"/>
      <c r="AF1879" s="500"/>
      <c r="AG1879" s="500"/>
      <c r="AH1879" s="500"/>
      <c r="AI1879" s="500"/>
      <c r="AJ1879" s="500"/>
      <c r="AK1879" s="500"/>
      <c r="AL1879" s="500"/>
      <c r="AM1879" s="500"/>
      <c r="AN1879" s="500"/>
      <c r="AO1879" s="500"/>
      <c r="AP1879" s="500"/>
    </row>
    <row r="1880" spans="1:42" ht="16.5" customHeight="1">
      <c r="A1880" s="439"/>
      <c r="B1880" s="439"/>
      <c r="C1880" s="439"/>
      <c r="D1880" s="439"/>
      <c r="E1880" s="439"/>
      <c r="F1880" s="439"/>
      <c r="G1880" s="451" t="s">
        <v>3406</v>
      </c>
      <c r="Z1880" s="500"/>
      <c r="AA1880" s="500"/>
      <c r="AB1880" s="500"/>
      <c r="AC1880" s="500"/>
      <c r="AD1880" s="500"/>
      <c r="AE1880" s="500"/>
      <c r="AF1880" s="500"/>
      <c r="AG1880" s="500"/>
      <c r="AH1880" s="500"/>
      <c r="AI1880" s="500"/>
      <c r="AJ1880" s="500"/>
      <c r="AK1880" s="500"/>
      <c r="AL1880" s="500"/>
      <c r="AM1880" s="500"/>
      <c r="AN1880" s="500"/>
      <c r="AO1880" s="500"/>
      <c r="AP1880" s="500"/>
    </row>
    <row r="1881" spans="1:42" ht="16.5" customHeight="1">
      <c r="A1881" s="434" t="s">
        <v>3555</v>
      </c>
      <c r="B1881" s="505" t="str">
        <f>"  노 무 비 :  "&amp;TEXT(I1881,"#,##0"&amp;IF(I1881&lt;&gt;INT(I1881),".###",""))&amp;" / Q * "&amp;AC1881&amp;" = "&amp;TEXT(C1881,"#,##0.0")&amp;""</f>
        <v xml:space="preserve">  노 무 비 :  59,020 / Q * 8 = 10,492.4</v>
      </c>
      <c r="C1881" s="506">
        <f>E1881+D1881+F1881</f>
        <v>10492.4</v>
      </c>
      <c r="D1881" s="506">
        <f>IF(H1881=0,0,ROUNDDOWN(J1881*H1881,1))</f>
        <v>10492.4</v>
      </c>
      <c r="E1881" s="506">
        <f>IF(H1881=0,0,ROUNDDOWN(K1881*H1881,1))</f>
        <v>0</v>
      </c>
      <c r="F1881" s="506">
        <f>IF(H1881=0,0,ROUNDDOWN(L1881*H1881,1))</f>
        <v>0</v>
      </c>
      <c r="G1881" s="451" t="s">
        <v>3556</v>
      </c>
      <c r="H1881" s="507">
        <f>ROUNDUP(AE1881,14-LEN(ABS(INT(AE1881))))</f>
        <v>0.17777777777780002</v>
      </c>
      <c r="I1881" s="508">
        <f>K1881+J1881+L1881</f>
        <v>59020</v>
      </c>
      <c r="J1881" s="509">
        <f>중기목록표!F7</f>
        <v>59020</v>
      </c>
      <c r="M1881" s="501" t="s">
        <v>3557</v>
      </c>
      <c r="N1881" s="501" t="s">
        <v>3416</v>
      </c>
      <c r="X1881" s="510" t="str">
        <f>중기목록표!B7&amp;" / "&amp;중기목록표!C7</f>
        <v>굴착기(무한궤도) / 0.4㎥</v>
      </c>
      <c r="Y1881" s="433" t="str">
        <f ca="1">HYPERLINK("#"&amp;중기목록표!J2&amp;"!A"&amp;ROW(중기목록표!A7),"X00266 →")</f>
        <v>X00266 →</v>
      </c>
      <c r="Z1881" s="501" t="s">
        <v>3434</v>
      </c>
      <c r="AA1881" s="512">
        <f>AB1862</f>
        <v>45</v>
      </c>
      <c r="AB1881" s="501" t="s">
        <v>3368</v>
      </c>
      <c r="AC1881" s="515">
        <v>8</v>
      </c>
      <c r="AD1881" s="501" t="s">
        <v>3418</v>
      </c>
      <c r="AE1881" s="512">
        <f>1/AB1862*AC1881</f>
        <v>0.17777777777777778</v>
      </c>
      <c r="AF1881" s="500"/>
      <c r="AG1881" s="500"/>
      <c r="AH1881" s="500"/>
      <c r="AI1881" s="500"/>
      <c r="AJ1881" s="500"/>
      <c r="AK1881" s="500"/>
      <c r="AL1881" s="500"/>
      <c r="AM1881" s="500"/>
      <c r="AN1881" s="500"/>
      <c r="AO1881" s="500"/>
      <c r="AP1881" s="500"/>
    </row>
    <row r="1882" spans="1:42" ht="16.5" customHeight="1">
      <c r="A1882" s="439"/>
      <c r="B1882" s="439"/>
      <c r="C1882" s="439"/>
      <c r="D1882" s="439"/>
      <c r="E1882" s="439"/>
      <c r="F1882" s="439"/>
      <c r="G1882" s="451" t="s">
        <v>3406</v>
      </c>
      <c r="Z1882" s="500"/>
      <c r="AA1882" s="500"/>
      <c r="AB1882" s="500"/>
      <c r="AC1882" s="500"/>
      <c r="AD1882" s="500"/>
      <c r="AE1882" s="500"/>
      <c r="AF1882" s="500"/>
      <c r="AG1882" s="500"/>
      <c r="AH1882" s="500"/>
      <c r="AI1882" s="500"/>
      <c r="AJ1882" s="500"/>
      <c r="AK1882" s="500"/>
      <c r="AL1882" s="500"/>
      <c r="AM1882" s="500"/>
      <c r="AN1882" s="500"/>
      <c r="AO1882" s="500"/>
      <c r="AP1882" s="500"/>
    </row>
    <row r="1883" spans="1:42" ht="16.5" customHeight="1">
      <c r="A1883" s="434" t="s">
        <v>3558</v>
      </c>
      <c r="B1883" s="505" t="str">
        <f>"  재 료 비 :  "&amp;TEXT(I1883,"#,##0"&amp;IF(I1883&lt;&gt;INT(I1883),".###",""))&amp;" / Q * "&amp;AC1883&amp;" = "&amp;TEXT(C1883,"#,##0.0")&amp;""</f>
        <v xml:space="preserve">  재 료 비 :  16,655 / Q * 8 = 2,960.8</v>
      </c>
      <c r="C1883" s="506">
        <f>E1883+D1883+F1883</f>
        <v>2960.8</v>
      </c>
      <c r="D1883" s="506">
        <f>IF(H1883=0,0,ROUNDDOWN(J1883*H1883,1))</f>
        <v>0</v>
      </c>
      <c r="E1883" s="506">
        <f>IF(H1883=0,0,ROUNDDOWN(K1883*H1883,1))</f>
        <v>2960.8</v>
      </c>
      <c r="F1883" s="506">
        <f>IF(H1883=0,0,ROUNDDOWN(L1883*H1883,1))</f>
        <v>0</v>
      </c>
      <c r="G1883" s="451" t="s">
        <v>3559</v>
      </c>
      <c r="H1883" s="507">
        <f>ROUNDUP(AE1883,14-LEN(ABS(INT(AE1883))))</f>
        <v>0.17777777777780002</v>
      </c>
      <c r="I1883" s="508">
        <f>K1883+J1883+L1883</f>
        <v>16655</v>
      </c>
      <c r="K1883" s="509">
        <f>중기목록표!G7</f>
        <v>16655</v>
      </c>
      <c r="M1883" s="501" t="s">
        <v>3557</v>
      </c>
      <c r="N1883" s="501" t="s">
        <v>3416</v>
      </c>
      <c r="X1883" s="510" t="str">
        <f>중기목록표!B7&amp;" / "&amp;중기목록표!C7</f>
        <v>굴착기(무한궤도) / 0.4㎥</v>
      </c>
      <c r="Y1883" s="433" t="str">
        <f ca="1">HYPERLINK("#"&amp;중기목록표!J2&amp;"!A"&amp;ROW(중기목록표!A7),"X00266 →")</f>
        <v>X00266 →</v>
      </c>
      <c r="Z1883" s="501" t="s">
        <v>3434</v>
      </c>
      <c r="AA1883" s="512">
        <f>AB1862</f>
        <v>45</v>
      </c>
      <c r="AB1883" s="501" t="s">
        <v>3368</v>
      </c>
      <c r="AC1883" s="515">
        <v>8</v>
      </c>
      <c r="AD1883" s="501" t="s">
        <v>3418</v>
      </c>
      <c r="AE1883" s="512">
        <f>1/AB1862*AC1883</f>
        <v>0.17777777777777778</v>
      </c>
      <c r="AF1883" s="500"/>
      <c r="AG1883" s="500"/>
      <c r="AH1883" s="500"/>
      <c r="AI1883" s="500"/>
      <c r="AJ1883" s="500"/>
      <c r="AK1883" s="500"/>
      <c r="AL1883" s="500"/>
      <c r="AM1883" s="500"/>
      <c r="AN1883" s="500"/>
      <c r="AO1883" s="500"/>
      <c r="AP1883" s="500"/>
    </row>
    <row r="1884" spans="1:42" ht="16.5" customHeight="1">
      <c r="A1884" s="439"/>
      <c r="B1884" s="439"/>
      <c r="C1884" s="439"/>
      <c r="D1884" s="439"/>
      <c r="E1884" s="439"/>
      <c r="F1884" s="439"/>
      <c r="G1884" s="451" t="s">
        <v>3406</v>
      </c>
      <c r="Z1884" s="500"/>
      <c r="AA1884" s="500"/>
      <c r="AB1884" s="500"/>
      <c r="AC1884" s="500"/>
      <c r="AD1884" s="500"/>
      <c r="AE1884" s="500"/>
      <c r="AF1884" s="500"/>
      <c r="AG1884" s="500"/>
      <c r="AH1884" s="500"/>
      <c r="AI1884" s="500"/>
      <c r="AJ1884" s="500"/>
      <c r="AK1884" s="500"/>
      <c r="AL1884" s="500"/>
      <c r="AM1884" s="500"/>
      <c r="AN1884" s="500"/>
      <c r="AO1884" s="500"/>
      <c r="AP1884" s="500"/>
    </row>
    <row r="1885" spans="1:42" ht="16.5" customHeight="1">
      <c r="A1885" s="434" t="s">
        <v>3560</v>
      </c>
      <c r="B1885" s="505" t="str">
        <f>"  경    비 :  "&amp;TEXT(I1885,"#,##0"&amp;IF(I1885&lt;&gt;INT(I1885),".###",""))&amp;" / Q * "&amp;AC1885&amp;" = "&amp;TEXT(C1885,"#,##0.0")&amp;""</f>
        <v xml:space="preserve">  경    비 :  17,514 / Q * 8 = 3,113.6</v>
      </c>
      <c r="C1885" s="506">
        <f>E1885+D1885+F1885</f>
        <v>3113.6</v>
      </c>
      <c r="D1885" s="506">
        <f>IF(H1885=0,0,ROUNDDOWN(J1885*H1885,1))</f>
        <v>0</v>
      </c>
      <c r="E1885" s="506">
        <f>IF(H1885=0,0,ROUNDDOWN(K1885*H1885,1))</f>
        <v>0</v>
      </c>
      <c r="F1885" s="506">
        <f>IF(H1885=0,0,ROUNDDOWN(L1885*H1885,1))</f>
        <v>3113.6</v>
      </c>
      <c r="G1885" s="451" t="s">
        <v>3561</v>
      </c>
      <c r="H1885" s="507">
        <f>ROUNDUP(AE1885,14-LEN(ABS(INT(AE1885))))</f>
        <v>0.17777777777780002</v>
      </c>
      <c r="I1885" s="508">
        <f>K1885+J1885+L1885</f>
        <v>17514</v>
      </c>
      <c r="L1885" s="509">
        <f>중기목록표!H7</f>
        <v>17514</v>
      </c>
      <c r="M1885" s="501" t="s">
        <v>3557</v>
      </c>
      <c r="N1885" s="501" t="s">
        <v>3416</v>
      </c>
      <c r="X1885" s="510" t="str">
        <f>중기목록표!B7&amp;" / "&amp;중기목록표!C7</f>
        <v>굴착기(무한궤도) / 0.4㎥</v>
      </c>
      <c r="Y1885" s="433" t="str">
        <f ca="1">HYPERLINK("#"&amp;중기목록표!J2&amp;"!A"&amp;ROW(중기목록표!A7),"X00266 →")</f>
        <v>X00266 →</v>
      </c>
      <c r="Z1885" s="501" t="s">
        <v>3434</v>
      </c>
      <c r="AA1885" s="512">
        <f>AB1862</f>
        <v>45</v>
      </c>
      <c r="AB1885" s="501" t="s">
        <v>3368</v>
      </c>
      <c r="AC1885" s="515">
        <v>8</v>
      </c>
      <c r="AD1885" s="501" t="s">
        <v>3418</v>
      </c>
      <c r="AE1885" s="512">
        <f>1/AB1862*AC1885</f>
        <v>0.17777777777777778</v>
      </c>
      <c r="AF1885" s="500"/>
      <c r="AG1885" s="500"/>
      <c r="AH1885" s="500"/>
      <c r="AI1885" s="500"/>
      <c r="AJ1885" s="500"/>
      <c r="AK1885" s="500"/>
      <c r="AL1885" s="500"/>
      <c r="AM1885" s="500"/>
      <c r="AN1885" s="500"/>
      <c r="AO1885" s="500"/>
      <c r="AP1885" s="500"/>
    </row>
    <row r="1886" spans="1:42" ht="16.5" customHeight="1">
      <c r="A1886" s="439"/>
      <c r="B1886" s="439"/>
      <c r="C1886" s="439"/>
      <c r="D1886" s="439"/>
      <c r="E1886" s="439"/>
      <c r="F1886" s="439"/>
      <c r="G1886" s="451" t="s">
        <v>3406</v>
      </c>
      <c r="Z1886" s="500"/>
      <c r="AA1886" s="500"/>
      <c r="AB1886" s="500"/>
      <c r="AC1886" s="500"/>
      <c r="AD1886" s="500"/>
      <c r="AE1886" s="500"/>
      <c r="AF1886" s="500"/>
      <c r="AG1886" s="500"/>
      <c r="AH1886" s="500"/>
      <c r="AI1886" s="500"/>
      <c r="AJ1886" s="500"/>
      <c r="AK1886" s="500"/>
      <c r="AL1886" s="500"/>
      <c r="AM1886" s="500"/>
      <c r="AN1886" s="500"/>
      <c r="AO1886" s="500"/>
      <c r="AP1886" s="500"/>
    </row>
    <row r="1887" spans="1:42" ht="16.5" customHeight="1">
      <c r="A1887" s="439"/>
      <c r="B1887" s="439"/>
      <c r="C1887" s="439"/>
      <c r="D1887" s="439"/>
      <c r="E1887" s="439"/>
      <c r="F1887" s="439"/>
      <c r="G1887" s="451" t="s">
        <v>3406</v>
      </c>
      <c r="Z1887" s="500"/>
      <c r="AA1887" s="500"/>
      <c r="AB1887" s="500"/>
      <c r="AC1887" s="500"/>
      <c r="AD1887" s="500"/>
      <c r="AE1887" s="500"/>
      <c r="AF1887" s="500"/>
      <c r="AG1887" s="500"/>
      <c r="AH1887" s="500"/>
      <c r="AI1887" s="500"/>
      <c r="AJ1887" s="500"/>
      <c r="AK1887" s="500"/>
      <c r="AL1887" s="500"/>
      <c r="AM1887" s="500"/>
      <c r="AN1887" s="500"/>
      <c r="AO1887" s="500"/>
      <c r="AP1887" s="500"/>
    </row>
    <row r="1888" spans="1:42" ht="16.5" customHeight="1">
      <c r="A1888" s="439"/>
      <c r="B1888" s="439"/>
      <c r="C1888" s="439"/>
      <c r="D1888" s="439"/>
      <c r="E1888" s="439"/>
      <c r="F1888" s="439"/>
      <c r="G1888" s="451" t="s">
        <v>3406</v>
      </c>
      <c r="Z1888" s="500"/>
      <c r="AA1888" s="500"/>
      <c r="AB1888" s="500"/>
      <c r="AC1888" s="500"/>
      <c r="AD1888" s="500"/>
      <c r="AE1888" s="500"/>
      <c r="AF1888" s="500"/>
      <c r="AG1888" s="500"/>
      <c r="AH1888" s="500"/>
      <c r="AI1888" s="500"/>
      <c r="AJ1888" s="500"/>
      <c r="AK1888" s="500"/>
      <c r="AL1888" s="500"/>
      <c r="AM1888" s="500"/>
      <c r="AN1888" s="500"/>
      <c r="AO1888" s="500"/>
      <c r="AP1888" s="500"/>
    </row>
    <row r="1889" spans="1:42" ht="16.5" customHeight="1">
      <c r="A1889" s="434"/>
      <c r="B1889" s="437" t="s">
        <v>3419</v>
      </c>
      <c r="C1889" s="513">
        <f>E1889+D1889+F1889</f>
        <v>16566.8</v>
      </c>
      <c r="D1889" s="513">
        <f>SUMIF(N1877:N1888,M1889,D1877:D1888)</f>
        <v>10492.4</v>
      </c>
      <c r="E1889" s="513">
        <f>SUMIF(N1877:N1888,M1889,E1877:E1888)</f>
        <v>2960.8</v>
      </c>
      <c r="F1889" s="513">
        <f>SUMIF(N1877:N1888,M1889,F1877:F1888)</f>
        <v>3113.6</v>
      </c>
      <c r="G1889" s="451" t="s">
        <v>3439</v>
      </c>
      <c r="M1889" s="501" t="s">
        <v>3416</v>
      </c>
      <c r="N1889" s="501" t="s">
        <v>3421</v>
      </c>
      <c r="Z1889" s="500"/>
      <c r="AA1889" s="500"/>
      <c r="AB1889" s="500"/>
      <c r="AC1889" s="500"/>
      <c r="AD1889" s="500"/>
      <c r="AE1889" s="500"/>
      <c r="AF1889" s="500"/>
      <c r="AG1889" s="500"/>
      <c r="AH1889" s="500"/>
      <c r="AI1889" s="500"/>
      <c r="AJ1889" s="500"/>
      <c r="AK1889" s="500"/>
      <c r="AL1889" s="500"/>
      <c r="AM1889" s="500"/>
      <c r="AN1889" s="500"/>
      <c r="AO1889" s="500"/>
      <c r="AP1889" s="500"/>
    </row>
    <row r="1890" spans="1:42" ht="16.5" customHeight="1">
      <c r="A1890" s="439"/>
      <c r="B1890" s="439"/>
      <c r="C1890" s="504"/>
      <c r="D1890" s="504"/>
      <c r="E1890" s="504"/>
      <c r="F1890" s="504"/>
      <c r="G1890" s="451" t="s">
        <v>3406</v>
      </c>
      <c r="Z1890" s="500"/>
      <c r="AA1890" s="500"/>
      <c r="AB1890" s="500"/>
      <c r="AC1890" s="500"/>
      <c r="AD1890" s="500"/>
      <c r="AE1890" s="500"/>
      <c r="AF1890" s="500"/>
      <c r="AG1890" s="500"/>
      <c r="AH1890" s="500"/>
      <c r="AI1890" s="500"/>
      <c r="AJ1890" s="500"/>
      <c r="AK1890" s="500"/>
      <c r="AL1890" s="500"/>
      <c r="AM1890" s="500"/>
      <c r="AN1890" s="500"/>
      <c r="AO1890" s="500"/>
      <c r="AP1890" s="500"/>
    </row>
    <row r="1891" spans="1:42" ht="16.5" customHeight="1">
      <c r="A1891" s="439"/>
      <c r="B1891" s="439"/>
      <c r="C1891" s="439"/>
      <c r="D1891" s="439"/>
      <c r="E1891" s="439"/>
      <c r="F1891" s="439"/>
      <c r="G1891" s="451" t="s">
        <v>3406</v>
      </c>
      <c r="Z1891" s="500"/>
      <c r="AA1891" s="500"/>
      <c r="AB1891" s="500"/>
      <c r="AC1891" s="500"/>
      <c r="AD1891" s="500"/>
      <c r="AE1891" s="500"/>
      <c r="AF1891" s="500"/>
      <c r="AG1891" s="500"/>
      <c r="AH1891" s="500"/>
      <c r="AI1891" s="500"/>
      <c r="AJ1891" s="500"/>
      <c r="AK1891" s="500"/>
      <c r="AL1891" s="500"/>
      <c r="AM1891" s="500"/>
      <c r="AN1891" s="500"/>
      <c r="AO1891" s="500"/>
      <c r="AP1891" s="500"/>
    </row>
    <row r="1892" spans="1:42" ht="16.5" customHeight="1">
      <c r="A1892" s="434"/>
      <c r="B1892" s="437" t="s">
        <v>3562</v>
      </c>
      <c r="C1892" s="439"/>
      <c r="D1892" s="439"/>
      <c r="E1892" s="439"/>
      <c r="F1892" s="439"/>
      <c r="G1892" s="451" t="s">
        <v>3563</v>
      </c>
      <c r="Z1892" s="500"/>
      <c r="AA1892" s="500"/>
      <c r="AB1892" s="500"/>
      <c r="AC1892" s="500"/>
      <c r="AD1892" s="500"/>
      <c r="AE1892" s="500"/>
      <c r="AF1892" s="500"/>
      <c r="AG1892" s="500"/>
      <c r="AH1892" s="500"/>
      <c r="AI1892" s="500"/>
      <c r="AJ1892" s="500"/>
      <c r="AK1892" s="500"/>
      <c r="AL1892" s="500"/>
      <c r="AM1892" s="500"/>
      <c r="AN1892" s="500"/>
      <c r="AO1892" s="500"/>
      <c r="AP1892" s="500"/>
    </row>
    <row r="1893" spans="1:42" ht="16.5" customHeight="1">
      <c r="A1893" s="439"/>
      <c r="B1893" s="439"/>
      <c r="C1893" s="439"/>
      <c r="D1893" s="439"/>
      <c r="E1893" s="439"/>
      <c r="F1893" s="439"/>
      <c r="G1893" s="451" t="s">
        <v>3406</v>
      </c>
      <c r="Z1893" s="500"/>
      <c r="AA1893" s="500"/>
      <c r="AB1893" s="500"/>
      <c r="AC1893" s="500"/>
      <c r="AD1893" s="500"/>
      <c r="AE1893" s="500"/>
      <c r="AF1893" s="500"/>
      <c r="AG1893" s="500"/>
      <c r="AH1893" s="500"/>
      <c r="AI1893" s="500"/>
      <c r="AJ1893" s="500"/>
      <c r="AK1893" s="500"/>
      <c r="AL1893" s="500"/>
      <c r="AM1893" s="500"/>
      <c r="AN1893" s="500"/>
      <c r="AO1893" s="500"/>
      <c r="AP1893" s="500"/>
    </row>
    <row r="1894" spans="1:42" ht="16.5" customHeight="1">
      <c r="A1894" s="434" t="s">
        <v>3628</v>
      </c>
      <c r="B1894" s="505" t="str">
        <f>"  지주목 이각, L1200 : "&amp;TEXT(I1894,"#,##0"&amp;IF(I1894&lt;&gt;INT(I1894),".###",""))&amp;" * "&amp;AA1894&amp;" 조  = "&amp;TEXT(C1894,"#,##0.0")&amp;""</f>
        <v xml:space="preserve">  지주목 이각, L1200 : 7,300 * 1 조  = 7,300.0</v>
      </c>
      <c r="C1894" s="506">
        <f>E1894+D1894+F1894</f>
        <v>7300</v>
      </c>
      <c r="D1894" s="506">
        <f>IF(H1894=0,0,ROUNDDOWN(J1894*H1894,1))</f>
        <v>0</v>
      </c>
      <c r="E1894" s="506">
        <f>IF(H1894=0,0,ROUNDDOWN(K1894*H1894,1))</f>
        <v>7300</v>
      </c>
      <c r="F1894" s="506">
        <f>IF(H1894=0,0,ROUNDDOWN(L1894*H1894,1))</f>
        <v>0</v>
      </c>
      <c r="G1894" s="451" t="s">
        <v>3629</v>
      </c>
      <c r="H1894" s="507">
        <f>ROUNDUP(AC1894,14-LEN(ABS(INT(AC1894))))</f>
        <v>1</v>
      </c>
      <c r="I1894" s="508">
        <f>K1894+J1894+L1894</f>
        <v>7300</v>
      </c>
      <c r="K1894" s="509">
        <f>재료비목록표!E94</f>
        <v>7300</v>
      </c>
      <c r="M1894" s="501" t="s">
        <v>3630</v>
      </c>
      <c r="N1894" s="501" t="s">
        <v>3416</v>
      </c>
      <c r="X1894" s="510" t="str">
        <f>재료비목록표!B94&amp;" / "&amp;재료비목록표!C94</f>
        <v>지주목 / 이각, L1200</v>
      </c>
      <c r="Y1894" s="433" t="str">
        <f ca="1">HYPERLINK("#"&amp;재료비목록표!G2&amp;"!A"&amp;ROW(재료비목록표!A94),"M08848 →")</f>
        <v>M08848 →</v>
      </c>
      <c r="Z1894" s="501" t="s">
        <v>3500</v>
      </c>
      <c r="AA1894" s="515">
        <v>1</v>
      </c>
      <c r="AB1894" s="501" t="s">
        <v>3418</v>
      </c>
      <c r="AC1894" s="512">
        <f>1*AA1894</f>
        <v>1</v>
      </c>
      <c r="AD1894" s="500"/>
      <c r="AE1894" s="500"/>
      <c r="AF1894" s="500"/>
      <c r="AG1894" s="500"/>
      <c r="AH1894" s="500"/>
      <c r="AI1894" s="500"/>
      <c r="AJ1894" s="500"/>
      <c r="AK1894" s="500"/>
      <c r="AL1894" s="500"/>
      <c r="AM1894" s="500"/>
      <c r="AN1894" s="500"/>
      <c r="AO1894" s="500"/>
      <c r="AP1894" s="500"/>
    </row>
    <row r="1895" spans="1:42" ht="16.5" customHeight="1">
      <c r="A1895" s="439"/>
      <c r="B1895" s="439"/>
      <c r="C1895" s="439"/>
      <c r="D1895" s="439"/>
      <c r="E1895" s="439"/>
      <c r="F1895" s="439"/>
      <c r="G1895" s="451" t="s">
        <v>3406</v>
      </c>
      <c r="Z1895" s="500"/>
      <c r="AA1895" s="500"/>
      <c r="AB1895" s="500"/>
      <c r="AC1895" s="500"/>
      <c r="AD1895" s="500"/>
      <c r="AE1895" s="500"/>
      <c r="AF1895" s="500"/>
      <c r="AG1895" s="500"/>
      <c r="AH1895" s="500"/>
      <c r="AI1895" s="500"/>
      <c r="AJ1895" s="500"/>
      <c r="AK1895" s="500"/>
      <c r="AL1895" s="500"/>
      <c r="AM1895" s="500"/>
      <c r="AN1895" s="500"/>
      <c r="AO1895" s="500"/>
      <c r="AP1895" s="500"/>
    </row>
    <row r="1896" spans="1:42" ht="16.5" customHeight="1">
      <c r="A1896" s="439"/>
      <c r="B1896" s="439"/>
      <c r="C1896" s="439"/>
      <c r="D1896" s="439"/>
      <c r="E1896" s="439"/>
      <c r="F1896" s="439"/>
      <c r="G1896" s="451" t="s">
        <v>3406</v>
      </c>
      <c r="Z1896" s="500"/>
      <c r="AA1896" s="500"/>
      <c r="AB1896" s="500"/>
      <c r="AC1896" s="500"/>
      <c r="AD1896" s="500"/>
      <c r="AE1896" s="500"/>
      <c r="AF1896" s="500"/>
      <c r="AG1896" s="500"/>
      <c r="AH1896" s="500"/>
      <c r="AI1896" s="500"/>
      <c r="AJ1896" s="500"/>
      <c r="AK1896" s="500"/>
      <c r="AL1896" s="500"/>
      <c r="AM1896" s="500"/>
      <c r="AN1896" s="500"/>
      <c r="AO1896" s="500"/>
      <c r="AP1896" s="500"/>
    </row>
    <row r="1897" spans="1:42" ht="16.5" customHeight="1">
      <c r="A1897" s="434" t="s">
        <v>3504</v>
      </c>
      <c r="B1897" s="505" t="str">
        <f>"  유기질비료 수목이식·식재용 : "&amp;TEXT(I1897,"#,##0"&amp;IF(I1897&lt;&gt;INT(I1897),".###",""))&amp;" * "&amp;AA1897&amp;" KG   = "&amp;TEXT(C1897,"#,##0.0")&amp;""</f>
        <v xml:space="preserve">  유기질비료 수목이식·식재용 : 500 * 10 KG   = 5,000.0</v>
      </c>
      <c r="C1897" s="506">
        <f>E1897+D1897+F1897</f>
        <v>5000</v>
      </c>
      <c r="D1897" s="506">
        <f>IF(H1897=0,0,ROUNDDOWN(J1897*H1897,1))</f>
        <v>0</v>
      </c>
      <c r="E1897" s="506">
        <f>IF(H1897=0,0,ROUNDDOWN(K1897*H1897,1))</f>
        <v>5000</v>
      </c>
      <c r="F1897" s="506">
        <f>IF(H1897=0,0,ROUNDDOWN(L1897*H1897,1))</f>
        <v>0</v>
      </c>
      <c r="G1897" s="451" t="s">
        <v>3631</v>
      </c>
      <c r="H1897" s="507">
        <f>ROUNDUP(AC1897,14-LEN(ABS(INT(AC1897))))</f>
        <v>10</v>
      </c>
      <c r="I1897" s="508">
        <f>K1897+J1897+L1897</f>
        <v>500</v>
      </c>
      <c r="K1897" s="509">
        <f>재료비목록표!E78</f>
        <v>500</v>
      </c>
      <c r="M1897" s="501" t="s">
        <v>3506</v>
      </c>
      <c r="N1897" s="501" t="s">
        <v>3416</v>
      </c>
      <c r="X1897" s="510" t="str">
        <f>재료비목록표!B78&amp;" / "&amp;재료비목록표!C78</f>
        <v>유기질비료 / 수목이식·식재용</v>
      </c>
      <c r="Y1897" s="433" t="str">
        <f ca="1">HYPERLINK("#"&amp;재료비목록표!G2&amp;"!A"&amp;ROW(재료비목록표!A78),"M01159 →")</f>
        <v>M01159 →</v>
      </c>
      <c r="Z1897" s="501" t="s">
        <v>3500</v>
      </c>
      <c r="AA1897" s="515">
        <v>10</v>
      </c>
      <c r="AB1897" s="501" t="s">
        <v>3418</v>
      </c>
      <c r="AC1897" s="512">
        <f>1*AA1897</f>
        <v>10</v>
      </c>
      <c r="AD1897" s="500"/>
      <c r="AE1897" s="500"/>
      <c r="AF1897" s="500"/>
      <c r="AG1897" s="500"/>
      <c r="AH1897" s="500"/>
      <c r="AI1897" s="500"/>
      <c r="AJ1897" s="500"/>
      <c r="AK1897" s="500"/>
      <c r="AL1897" s="500"/>
      <c r="AM1897" s="500"/>
      <c r="AN1897" s="500"/>
      <c r="AO1897" s="500"/>
      <c r="AP1897" s="500"/>
    </row>
    <row r="1898" spans="1:42" ht="16.5" customHeight="1">
      <c r="A1898" s="439"/>
      <c r="B1898" s="439"/>
      <c r="C1898" s="439"/>
      <c r="D1898" s="439"/>
      <c r="E1898" s="439"/>
      <c r="F1898" s="439"/>
      <c r="G1898" s="451" t="s">
        <v>3406</v>
      </c>
      <c r="Z1898" s="500"/>
      <c r="AA1898" s="500"/>
      <c r="AB1898" s="500"/>
      <c r="AC1898" s="500"/>
      <c r="AD1898" s="500"/>
      <c r="AE1898" s="500"/>
      <c r="AF1898" s="500"/>
      <c r="AG1898" s="500"/>
      <c r="AH1898" s="500"/>
      <c r="AI1898" s="500"/>
      <c r="AJ1898" s="500"/>
      <c r="AK1898" s="500"/>
      <c r="AL1898" s="500"/>
      <c r="AM1898" s="500"/>
      <c r="AN1898" s="500"/>
      <c r="AO1898" s="500"/>
      <c r="AP1898" s="500"/>
    </row>
    <row r="1899" spans="1:42" ht="16.5" customHeight="1">
      <c r="A1899" s="434"/>
      <c r="B1899" s="437" t="s">
        <v>3419</v>
      </c>
      <c r="C1899" s="513">
        <f>E1899+D1899+F1899</f>
        <v>12300</v>
      </c>
      <c r="D1899" s="513">
        <f>SUMIF(N1890:N1898,M1899,D1890:D1898)</f>
        <v>0</v>
      </c>
      <c r="E1899" s="513">
        <f>SUMIF(N1890:N1898,M1899,E1890:E1898)</f>
        <v>12300</v>
      </c>
      <c r="F1899" s="513">
        <f>SUMIF(N1890:N1898,M1899,F1890:F1898)</f>
        <v>0</v>
      </c>
      <c r="G1899" s="451" t="s">
        <v>3439</v>
      </c>
      <c r="M1899" s="501" t="s">
        <v>3416</v>
      </c>
      <c r="N1899" s="501" t="s">
        <v>3421</v>
      </c>
      <c r="Z1899" s="500"/>
      <c r="AA1899" s="500"/>
      <c r="AB1899" s="500"/>
      <c r="AC1899" s="500"/>
      <c r="AD1899" s="500"/>
      <c r="AE1899" s="500"/>
      <c r="AF1899" s="500"/>
      <c r="AG1899" s="500"/>
      <c r="AH1899" s="500"/>
      <c r="AI1899" s="500"/>
      <c r="AJ1899" s="500"/>
      <c r="AK1899" s="500"/>
      <c r="AL1899" s="500"/>
      <c r="AM1899" s="500"/>
      <c r="AN1899" s="500"/>
      <c r="AO1899" s="500"/>
      <c r="AP1899" s="500"/>
    </row>
    <row r="1900" spans="1:42" ht="16.5" customHeight="1">
      <c r="A1900" s="439"/>
      <c r="B1900" s="439"/>
      <c r="C1900" s="504"/>
      <c r="D1900" s="504"/>
      <c r="E1900" s="504"/>
      <c r="F1900" s="504"/>
      <c r="G1900" s="451" t="s">
        <v>3406</v>
      </c>
      <c r="Z1900" s="500"/>
      <c r="AA1900" s="500"/>
      <c r="AB1900" s="500"/>
      <c r="AC1900" s="500"/>
      <c r="AD1900" s="500"/>
      <c r="AE1900" s="500"/>
      <c r="AF1900" s="500"/>
      <c r="AG1900" s="500"/>
      <c r="AH1900" s="500"/>
      <c r="AI1900" s="500"/>
      <c r="AJ1900" s="500"/>
      <c r="AK1900" s="500"/>
      <c r="AL1900" s="500"/>
      <c r="AM1900" s="500"/>
      <c r="AN1900" s="500"/>
      <c r="AO1900" s="500"/>
      <c r="AP1900" s="500"/>
    </row>
    <row r="1901" spans="1:42" ht="16.5" customHeight="1">
      <c r="A1901" s="434"/>
      <c r="B1901" s="437" t="s">
        <v>3440</v>
      </c>
      <c r="C1901" s="513">
        <f>E1901+D1901+F1901</f>
        <v>48370.700000000004</v>
      </c>
      <c r="D1901" s="513">
        <f>SUMIF(N1857:N1900,M1901,D1857:D1900)</f>
        <v>29996.300000000003</v>
      </c>
      <c r="E1901" s="513">
        <f>SUMIF(N1857:N1900,M1901,E1857:E1900)</f>
        <v>15260.8</v>
      </c>
      <c r="F1901" s="513">
        <f>SUMIF(N1857:N1900,M1901,F1857:F1900)</f>
        <v>3113.6</v>
      </c>
      <c r="G1901" s="451" t="s">
        <v>3441</v>
      </c>
      <c r="M1901" s="501" t="s">
        <v>3421</v>
      </c>
      <c r="N1901" s="501" t="s">
        <v>2354</v>
      </c>
      <c r="Z1901" s="500"/>
      <c r="AA1901" s="500"/>
      <c r="AB1901" s="500"/>
      <c r="AC1901" s="500"/>
      <c r="AD1901" s="500"/>
      <c r="AE1901" s="500"/>
      <c r="AF1901" s="500"/>
      <c r="AG1901" s="500"/>
      <c r="AH1901" s="500"/>
      <c r="AI1901" s="500"/>
      <c r="AJ1901" s="500"/>
      <c r="AK1901" s="500"/>
      <c r="AL1901" s="500"/>
      <c r="AM1901" s="500"/>
      <c r="AN1901" s="500"/>
      <c r="AO1901" s="500"/>
      <c r="AP1901" s="500"/>
    </row>
    <row r="1902" spans="1:42" ht="16.5" customHeight="1">
      <c r="A1902" s="439"/>
      <c r="B1902" s="439"/>
      <c r="C1902" s="504"/>
      <c r="D1902" s="504"/>
      <c r="E1902" s="504"/>
      <c r="F1902" s="504"/>
      <c r="G1902" s="451" t="s">
        <v>3413</v>
      </c>
      <c r="Z1902" s="500"/>
      <c r="AA1902" s="500"/>
      <c r="AB1902" s="500"/>
      <c r="AC1902" s="500"/>
      <c r="AD1902" s="500"/>
      <c r="AE1902" s="500"/>
      <c r="AF1902" s="500"/>
      <c r="AG1902" s="500"/>
      <c r="AH1902" s="500"/>
      <c r="AI1902" s="500"/>
      <c r="AJ1902" s="500"/>
      <c r="AK1902" s="500"/>
      <c r="AL1902" s="500"/>
      <c r="AM1902" s="500"/>
      <c r="AN1902" s="500"/>
      <c r="AO1902" s="500"/>
      <c r="AP1902" s="500"/>
    </row>
    <row r="1903" spans="1:42" ht="16.5" customHeight="1">
      <c r="A1903" s="497"/>
      <c r="B1903" s="497"/>
      <c r="C1903" s="497"/>
      <c r="D1903" s="497"/>
      <c r="E1903" s="497"/>
      <c r="F1903" s="497"/>
      <c r="Z1903" s="500"/>
      <c r="AA1903" s="500"/>
      <c r="AB1903" s="500"/>
      <c r="AC1903" s="500"/>
      <c r="AD1903" s="500"/>
      <c r="AE1903" s="500"/>
      <c r="AF1903" s="500"/>
      <c r="AG1903" s="500"/>
      <c r="AH1903" s="500"/>
      <c r="AI1903" s="500"/>
      <c r="AJ1903" s="500"/>
      <c r="AK1903" s="500"/>
      <c r="AL1903" s="500"/>
      <c r="AM1903" s="500"/>
      <c r="AN1903" s="500"/>
      <c r="AO1903" s="500"/>
      <c r="AP1903" s="500"/>
    </row>
    <row r="1904" spans="1:42" ht="16.5" customHeight="1">
      <c r="A1904" s="616" t="s">
        <v>3487</v>
      </c>
      <c r="B1904" s="605"/>
      <c r="C1904" s="446">
        <f>E1904+D1904+F1904</f>
        <v>48369</v>
      </c>
      <c r="D1904" s="453">
        <f>ROUNDDOWN(SUMIF(N1857:N1902,M1904,D1857:D1902),0)</f>
        <v>29996</v>
      </c>
      <c r="E1904" s="454">
        <f>ROUNDDOWN(SUMIF(N1857:N1902,M1904,E1857:E1902),0)</f>
        <v>15260</v>
      </c>
      <c r="F1904" s="446">
        <f>ROUNDDOWN(SUMIF(N1857:N1902,M1904,F1857:F1902),0)</f>
        <v>3113</v>
      </c>
      <c r="M1904" s="501" t="s">
        <v>2354</v>
      </c>
      <c r="Z1904" s="500"/>
      <c r="AA1904" s="500"/>
      <c r="AB1904" s="500"/>
      <c r="AC1904" s="500"/>
      <c r="AD1904" s="500"/>
      <c r="AE1904" s="500"/>
      <c r="AF1904" s="500"/>
      <c r="AG1904" s="500"/>
      <c r="AH1904" s="500"/>
      <c r="AI1904" s="500"/>
      <c r="AJ1904" s="500"/>
      <c r="AK1904" s="500"/>
      <c r="AL1904" s="500"/>
      <c r="AM1904" s="500"/>
      <c r="AN1904" s="500"/>
      <c r="AO1904" s="500"/>
      <c r="AP1904" s="500"/>
    </row>
    <row r="1905" spans="1:42" ht="16.5" customHeight="1">
      <c r="A1905" s="502" t="s">
        <v>3350</v>
      </c>
      <c r="B1905" s="503" t="s">
        <v>1816</v>
      </c>
      <c r="C1905" s="615">
        <f>C2004</f>
        <v>89780</v>
      </c>
      <c r="D1905" s="615">
        <f>D2004</f>
        <v>61356</v>
      </c>
      <c r="E1905" s="615">
        <f>E2004</f>
        <v>22056</v>
      </c>
      <c r="F1905" s="615">
        <f>F2004</f>
        <v>6368</v>
      </c>
      <c r="G1905" s="486" t="str">
        <f>HYPERLINK("#G"&amp;ROW(G1953),"_x0005_`BDCOD|D01307_x0007_`POSS|"&amp;ROW(G1907)&amp;"_x0007_`POSE|"&amp;ROW(G1953)&amp;"_x0007_`")</f>
        <v>_x0005_`BDCOD|D01307_x0007_`POSS|1907_x0007_`POSE|1953_x0007_`</v>
      </c>
      <c r="Z1905" s="500"/>
      <c r="AA1905" s="500"/>
      <c r="AB1905" s="500"/>
      <c r="AC1905" s="500"/>
      <c r="AD1905" s="500"/>
      <c r="AE1905" s="500"/>
      <c r="AF1905" s="500"/>
      <c r="AG1905" s="500"/>
      <c r="AH1905" s="500"/>
      <c r="AI1905" s="500"/>
      <c r="AJ1905" s="500"/>
      <c r="AK1905" s="500"/>
      <c r="AL1905" s="500"/>
      <c r="AM1905" s="500"/>
      <c r="AN1905" s="500"/>
      <c r="AO1905" s="500"/>
      <c r="AP1905" s="500"/>
    </row>
    <row r="1906" spans="1:42" ht="16.5" customHeight="1">
      <c r="A1906" s="485"/>
      <c r="B1906" s="503" t="s">
        <v>3632</v>
      </c>
      <c r="C1906" s="593"/>
      <c r="D1906" s="593"/>
      <c r="E1906" s="593"/>
      <c r="F1906" s="593"/>
      <c r="M1906" s="501" t="s">
        <v>1816</v>
      </c>
      <c r="Z1906" s="500"/>
      <c r="AA1906" s="500"/>
      <c r="AB1906" s="500"/>
      <c r="AC1906" s="500"/>
      <c r="AD1906" s="500"/>
      <c r="AE1906" s="500"/>
      <c r="AF1906" s="500"/>
      <c r="AG1906" s="500"/>
      <c r="AH1906" s="500"/>
      <c r="AI1906" s="500"/>
      <c r="AJ1906" s="500"/>
      <c r="AK1906" s="500"/>
      <c r="AL1906" s="500"/>
      <c r="AM1906" s="500"/>
      <c r="AN1906" s="500"/>
      <c r="AO1906" s="500"/>
      <c r="AP1906" s="500"/>
    </row>
    <row r="1907" spans="1:42" ht="16.5" customHeight="1">
      <c r="A1907" s="439"/>
      <c r="B1907" s="439"/>
      <c r="C1907" s="504"/>
      <c r="D1907" s="504"/>
      <c r="E1907" s="504"/>
      <c r="F1907" s="504"/>
      <c r="G1907" s="451" t="s">
        <v>3406</v>
      </c>
      <c r="Z1907" s="500"/>
      <c r="AA1907" s="500"/>
      <c r="AB1907" s="500"/>
      <c r="AC1907" s="500"/>
      <c r="AD1907" s="500"/>
      <c r="AE1907" s="500"/>
      <c r="AF1907" s="500"/>
      <c r="AG1907" s="500"/>
      <c r="AH1907" s="500"/>
      <c r="AI1907" s="500"/>
      <c r="AJ1907" s="500"/>
      <c r="AK1907" s="500"/>
      <c r="AL1907" s="500"/>
      <c r="AM1907" s="500"/>
      <c r="AN1907" s="500"/>
      <c r="AO1907" s="500"/>
      <c r="AP1907" s="500"/>
    </row>
    <row r="1908" spans="1:42" ht="16.5" customHeight="1">
      <c r="A1908" s="434"/>
      <c r="B1908" s="437" t="s">
        <v>3542</v>
      </c>
      <c r="C1908" s="439"/>
      <c r="D1908" s="439"/>
      <c r="E1908" s="439"/>
      <c r="F1908" s="439"/>
      <c r="G1908" s="451" t="s">
        <v>3543</v>
      </c>
      <c r="Z1908" s="500"/>
      <c r="AA1908" s="500"/>
      <c r="AB1908" s="500"/>
      <c r="AC1908" s="500"/>
      <c r="AD1908" s="500"/>
      <c r="AE1908" s="500"/>
      <c r="AF1908" s="500"/>
      <c r="AG1908" s="500"/>
      <c r="AH1908" s="500"/>
      <c r="AI1908" s="500"/>
      <c r="AJ1908" s="500"/>
      <c r="AK1908" s="500"/>
      <c r="AL1908" s="500"/>
      <c r="AM1908" s="500"/>
      <c r="AN1908" s="500"/>
      <c r="AO1908" s="500"/>
      <c r="AP1908" s="500"/>
    </row>
    <row r="1909" spans="1:42" ht="16.5" customHeight="1">
      <c r="A1909" s="439"/>
      <c r="B1909" s="439"/>
      <c r="C1909" s="439"/>
      <c r="D1909" s="439"/>
      <c r="E1909" s="439"/>
      <c r="F1909" s="439"/>
      <c r="G1909" s="451" t="s">
        <v>3406</v>
      </c>
      <c r="Z1909" s="500"/>
      <c r="AA1909" s="500"/>
      <c r="AB1909" s="500"/>
      <c r="AC1909" s="500"/>
      <c r="AD1909" s="500"/>
      <c r="AE1909" s="500"/>
      <c r="AF1909" s="500"/>
      <c r="AG1909" s="500"/>
      <c r="AH1909" s="500"/>
      <c r="AI1909" s="500"/>
      <c r="AJ1909" s="500"/>
      <c r="AK1909" s="500"/>
      <c r="AL1909" s="500"/>
      <c r="AM1909" s="500"/>
      <c r="AN1909" s="500"/>
      <c r="AO1909" s="500"/>
      <c r="AP1909" s="500"/>
    </row>
    <row r="1910" spans="1:42" ht="16.5" customHeight="1">
      <c r="A1910" s="434"/>
      <c r="B1910" s="437" t="s">
        <v>3544</v>
      </c>
      <c r="C1910" s="439"/>
      <c r="D1910" s="439"/>
      <c r="E1910" s="439"/>
      <c r="F1910" s="439"/>
      <c r="G1910" s="451" t="s">
        <v>3545</v>
      </c>
      <c r="Z1910" s="500"/>
      <c r="AA1910" s="500"/>
      <c r="AB1910" s="500"/>
      <c r="AC1910" s="500"/>
      <c r="AD1910" s="500"/>
      <c r="AE1910" s="500"/>
      <c r="AF1910" s="500"/>
      <c r="AG1910" s="500"/>
      <c r="AH1910" s="500"/>
      <c r="AI1910" s="500"/>
      <c r="AJ1910" s="500"/>
      <c r="AK1910" s="500"/>
      <c r="AL1910" s="500"/>
      <c r="AM1910" s="500"/>
      <c r="AN1910" s="500"/>
      <c r="AO1910" s="500"/>
      <c r="AP1910" s="500"/>
    </row>
    <row r="1911" spans="1:42" ht="16.5" customHeight="1">
      <c r="A1911" s="439"/>
      <c r="B1911" s="439"/>
      <c r="C1911" s="439"/>
      <c r="D1911" s="439"/>
      <c r="E1911" s="439"/>
      <c r="F1911" s="439"/>
      <c r="G1911" s="451" t="s">
        <v>3406</v>
      </c>
      <c r="Z1911" s="500"/>
      <c r="AA1911" s="500"/>
      <c r="AB1911" s="500"/>
      <c r="AC1911" s="500"/>
      <c r="AD1911" s="500"/>
      <c r="AE1911" s="500"/>
      <c r="AF1911" s="500"/>
      <c r="AG1911" s="500"/>
      <c r="AH1911" s="500"/>
      <c r="AI1911" s="500"/>
      <c r="AJ1911" s="500"/>
      <c r="AK1911" s="500"/>
      <c r="AL1911" s="500"/>
      <c r="AM1911" s="500"/>
      <c r="AN1911" s="500"/>
      <c r="AO1911" s="500"/>
      <c r="AP1911" s="500"/>
    </row>
    <row r="1912" spans="1:42" ht="16.5" customHeight="1">
      <c r="A1912" s="434"/>
      <c r="B1912" s="437" t="str">
        <f>" 일당 작업량 :   Q = "&amp;Z1912&amp;"  주 "</f>
        <v xml:space="preserve"> 일당 작업량 :   Q = 22  주 </v>
      </c>
      <c r="C1912" s="439"/>
      <c r="D1912" s="439"/>
      <c r="E1912" s="439"/>
      <c r="F1912" s="439"/>
      <c r="G1912" s="451" t="s">
        <v>3633</v>
      </c>
      <c r="Z1912" s="515">
        <v>22</v>
      </c>
      <c r="AA1912" s="501" t="s">
        <v>3418</v>
      </c>
      <c r="AB1912" s="512">
        <f>Z1912</f>
        <v>22</v>
      </c>
      <c r="AC1912" s="500"/>
      <c r="AD1912" s="500"/>
      <c r="AE1912" s="500"/>
      <c r="AF1912" s="500"/>
      <c r="AG1912" s="500"/>
      <c r="AH1912" s="500"/>
      <c r="AI1912" s="500"/>
      <c r="AJ1912" s="500"/>
      <c r="AK1912" s="500"/>
      <c r="AL1912" s="500"/>
      <c r="AM1912" s="500"/>
      <c r="AN1912" s="500"/>
      <c r="AO1912" s="500"/>
      <c r="AP1912" s="500"/>
    </row>
    <row r="1913" spans="1:42" ht="16.5" customHeight="1">
      <c r="A1913" s="439"/>
      <c r="B1913" s="439"/>
      <c r="C1913" s="439"/>
      <c r="D1913" s="439"/>
      <c r="E1913" s="439"/>
      <c r="F1913" s="439"/>
      <c r="G1913" s="451" t="s">
        <v>3406</v>
      </c>
      <c r="Z1913" s="500"/>
      <c r="AA1913" s="500"/>
      <c r="AB1913" s="500"/>
      <c r="AC1913" s="500"/>
      <c r="AD1913" s="500"/>
      <c r="AE1913" s="500"/>
      <c r="AF1913" s="500"/>
      <c r="AG1913" s="500"/>
      <c r="AH1913" s="500"/>
      <c r="AI1913" s="500"/>
      <c r="AJ1913" s="500"/>
      <c r="AK1913" s="500"/>
      <c r="AL1913" s="500"/>
      <c r="AM1913" s="500"/>
      <c r="AN1913" s="500"/>
      <c r="AO1913" s="500"/>
      <c r="AP1913" s="500"/>
    </row>
    <row r="1914" spans="1:42" ht="16.5" customHeight="1">
      <c r="A1914" s="434"/>
      <c r="B1914" s="437" t="s">
        <v>3547</v>
      </c>
      <c r="C1914" s="439"/>
      <c r="D1914" s="439"/>
      <c r="E1914" s="439"/>
      <c r="F1914" s="439"/>
      <c r="G1914" s="451" t="s">
        <v>3548</v>
      </c>
      <c r="Z1914" s="500"/>
      <c r="AA1914" s="500"/>
      <c r="AB1914" s="500"/>
      <c r="AC1914" s="500"/>
      <c r="AD1914" s="500"/>
      <c r="AE1914" s="500"/>
      <c r="AF1914" s="500"/>
      <c r="AG1914" s="500"/>
      <c r="AH1914" s="500"/>
      <c r="AI1914" s="500"/>
      <c r="AJ1914" s="500"/>
      <c r="AK1914" s="500"/>
      <c r="AL1914" s="500"/>
      <c r="AM1914" s="500"/>
      <c r="AN1914" s="500"/>
      <c r="AO1914" s="500"/>
      <c r="AP1914" s="500"/>
    </row>
    <row r="1915" spans="1:42" ht="16.5" customHeight="1">
      <c r="A1915" s="439"/>
      <c r="B1915" s="439"/>
      <c r="C1915" s="439"/>
      <c r="D1915" s="439"/>
      <c r="E1915" s="439"/>
      <c r="F1915" s="439"/>
      <c r="G1915" s="451" t="s">
        <v>3406</v>
      </c>
      <c r="Z1915" s="500"/>
      <c r="AA1915" s="500"/>
      <c r="AB1915" s="500"/>
      <c r="AC1915" s="500"/>
      <c r="AD1915" s="500"/>
      <c r="AE1915" s="500"/>
      <c r="AF1915" s="500"/>
      <c r="AG1915" s="500"/>
      <c r="AH1915" s="500"/>
      <c r="AI1915" s="500"/>
      <c r="AJ1915" s="500"/>
      <c r="AK1915" s="500"/>
      <c r="AL1915" s="500"/>
      <c r="AM1915" s="500"/>
      <c r="AN1915" s="500"/>
      <c r="AO1915" s="500"/>
      <c r="AP1915" s="500"/>
    </row>
    <row r="1916" spans="1:42" ht="16.5" customHeight="1">
      <c r="A1916" s="439"/>
      <c r="B1916" s="439"/>
      <c r="C1916" s="439"/>
      <c r="D1916" s="439"/>
      <c r="E1916" s="439"/>
      <c r="F1916" s="439"/>
      <c r="G1916" s="451" t="s">
        <v>3406</v>
      </c>
      <c r="Z1916" s="500"/>
      <c r="AA1916" s="500"/>
      <c r="AB1916" s="500"/>
      <c r="AC1916" s="500"/>
      <c r="AD1916" s="500"/>
      <c r="AE1916" s="500"/>
      <c r="AF1916" s="500"/>
      <c r="AG1916" s="500"/>
      <c r="AH1916" s="500"/>
      <c r="AI1916" s="500"/>
      <c r="AJ1916" s="500"/>
      <c r="AK1916" s="500"/>
      <c r="AL1916" s="500"/>
      <c r="AM1916" s="500"/>
      <c r="AN1916" s="500"/>
      <c r="AO1916" s="500"/>
      <c r="AP1916" s="500"/>
    </row>
    <row r="1917" spans="1:42" ht="16.5" customHeight="1">
      <c r="A1917" s="439"/>
      <c r="B1917" s="439"/>
      <c r="C1917" s="439"/>
      <c r="D1917" s="439"/>
      <c r="E1917" s="439"/>
      <c r="F1917" s="439"/>
      <c r="G1917" s="451" t="s">
        <v>3406</v>
      </c>
      <c r="Z1917" s="500"/>
      <c r="AA1917" s="500"/>
      <c r="AB1917" s="500"/>
      <c r="AC1917" s="500"/>
      <c r="AD1917" s="500"/>
      <c r="AE1917" s="500"/>
      <c r="AF1917" s="500"/>
      <c r="AG1917" s="500"/>
      <c r="AH1917" s="500"/>
      <c r="AI1917" s="500"/>
      <c r="AJ1917" s="500"/>
      <c r="AK1917" s="500"/>
      <c r="AL1917" s="500"/>
      <c r="AM1917" s="500"/>
      <c r="AN1917" s="500"/>
      <c r="AO1917" s="500"/>
      <c r="AP1917" s="500"/>
    </row>
    <row r="1918" spans="1:42" ht="16.5" customHeight="1">
      <c r="A1918" s="439"/>
      <c r="B1918" s="439"/>
      <c r="C1918" s="439"/>
      <c r="D1918" s="439"/>
      <c r="E1918" s="439"/>
      <c r="F1918" s="439"/>
      <c r="G1918" s="451" t="s">
        <v>3406</v>
      </c>
      <c r="Z1918" s="500"/>
      <c r="AA1918" s="500"/>
      <c r="AB1918" s="500"/>
      <c r="AC1918" s="500"/>
      <c r="AD1918" s="500"/>
      <c r="AE1918" s="500"/>
      <c r="AF1918" s="500"/>
      <c r="AG1918" s="500"/>
      <c r="AH1918" s="500"/>
      <c r="AI1918" s="500"/>
      <c r="AJ1918" s="500"/>
      <c r="AK1918" s="500"/>
      <c r="AL1918" s="500"/>
      <c r="AM1918" s="500"/>
      <c r="AN1918" s="500"/>
      <c r="AO1918" s="500"/>
      <c r="AP1918" s="500"/>
    </row>
    <row r="1919" spans="1:42" ht="16.5" customHeight="1">
      <c r="A1919" s="434"/>
      <c r="B1919" s="437" t="s">
        <v>3549</v>
      </c>
      <c r="C1919" s="439"/>
      <c r="D1919" s="439"/>
      <c r="E1919" s="439"/>
      <c r="F1919" s="439"/>
      <c r="G1919" s="451" t="s">
        <v>3550</v>
      </c>
      <c r="Z1919" s="500"/>
      <c r="AA1919" s="500"/>
      <c r="AB1919" s="500"/>
      <c r="AC1919" s="500"/>
      <c r="AD1919" s="500"/>
      <c r="AE1919" s="500"/>
      <c r="AF1919" s="500"/>
      <c r="AG1919" s="500"/>
      <c r="AH1919" s="500"/>
      <c r="AI1919" s="500"/>
      <c r="AJ1919" s="500"/>
      <c r="AK1919" s="500"/>
      <c r="AL1919" s="500"/>
      <c r="AM1919" s="500"/>
      <c r="AN1919" s="500"/>
      <c r="AO1919" s="500"/>
      <c r="AP1919" s="500"/>
    </row>
    <row r="1920" spans="1:42" ht="16.5" customHeight="1">
      <c r="A1920" s="439"/>
      <c r="B1920" s="439"/>
      <c r="C1920" s="439"/>
      <c r="D1920" s="439"/>
      <c r="E1920" s="439"/>
      <c r="F1920" s="439"/>
      <c r="G1920" s="451" t="s">
        <v>3406</v>
      </c>
      <c r="Z1920" s="500"/>
      <c r="AA1920" s="500"/>
      <c r="AB1920" s="500"/>
      <c r="AC1920" s="500"/>
      <c r="AD1920" s="500"/>
      <c r="AE1920" s="500"/>
      <c r="AF1920" s="500"/>
      <c r="AG1920" s="500"/>
      <c r="AH1920" s="500"/>
      <c r="AI1920" s="500"/>
      <c r="AJ1920" s="500"/>
      <c r="AK1920" s="500"/>
      <c r="AL1920" s="500"/>
      <c r="AM1920" s="500"/>
      <c r="AN1920" s="500"/>
      <c r="AO1920" s="500"/>
      <c r="AP1920" s="500"/>
    </row>
    <row r="1921" spans="1:42" ht="16.5" customHeight="1">
      <c r="A1921" s="434" t="s">
        <v>3498</v>
      </c>
      <c r="B1921" s="505" t="str">
        <f>" 조경공 :  "&amp;TEXT(I1921,"#,##0"&amp;IF(I1921&lt;&gt;INT(I1921),".###",""))&amp;" * "&amp;AA1921&amp;" 인  / Q = "&amp;TEXT(C1921,"#,##0.0")&amp;""</f>
        <v xml:space="preserve"> 조경공 :  235,204 * 3 인  / Q = 32,073.2</v>
      </c>
      <c r="C1921" s="506">
        <f>E1921+D1921+F1921</f>
        <v>32073.200000000001</v>
      </c>
      <c r="D1921" s="506">
        <f>IF(H1921=0,0,ROUNDDOWN(J1921*H1921,1))</f>
        <v>32073.200000000001</v>
      </c>
      <c r="E1921" s="506">
        <f>IF(H1921=0,0,ROUNDDOWN(K1921*H1921,1))</f>
        <v>0</v>
      </c>
      <c r="F1921" s="506">
        <f>IF(H1921=0,0,ROUNDDOWN(L1921*H1921,1))</f>
        <v>0</v>
      </c>
      <c r="G1921" s="451" t="s">
        <v>3551</v>
      </c>
      <c r="H1921" s="507">
        <f>ROUNDUP(AE1921,14-LEN(ABS(INT(AE1921))))</f>
        <v>0.1363636363637</v>
      </c>
      <c r="I1921" s="508">
        <f>K1921+J1921+L1921</f>
        <v>235204</v>
      </c>
      <c r="J1921" s="509">
        <f>노무비목록표!E15</f>
        <v>235204</v>
      </c>
      <c r="M1921" s="501" t="s">
        <v>2359</v>
      </c>
      <c r="N1921" s="501" t="s">
        <v>3416</v>
      </c>
      <c r="X1921" s="510" t="str">
        <f>노무비목록표!B15&amp;" / "&amp;노무비목록표!C15</f>
        <v xml:space="preserve">조경공 / </v>
      </c>
      <c r="Y1921" s="433" t="str">
        <f ca="1">HYPERLINK("#"&amp;노무비목록표!G2&amp;"!A"&amp;ROW(노무비목록표!A15),"L00184 →")</f>
        <v>L00184 →</v>
      </c>
      <c r="Z1921" s="501" t="s">
        <v>3500</v>
      </c>
      <c r="AA1921" s="515">
        <v>3</v>
      </c>
      <c r="AB1921" s="501" t="s">
        <v>3428</v>
      </c>
      <c r="AC1921" s="512">
        <f>AB1912</f>
        <v>22</v>
      </c>
      <c r="AD1921" s="501" t="s">
        <v>3418</v>
      </c>
      <c r="AE1921" s="512">
        <f>1*AA1921/AB1912</f>
        <v>0.13636363636363635</v>
      </c>
      <c r="AF1921" s="500"/>
      <c r="AG1921" s="500"/>
      <c r="AH1921" s="500"/>
      <c r="AI1921" s="500"/>
      <c r="AJ1921" s="500"/>
      <c r="AK1921" s="500"/>
      <c r="AL1921" s="500"/>
      <c r="AM1921" s="500"/>
      <c r="AN1921" s="500"/>
      <c r="AO1921" s="500"/>
      <c r="AP1921" s="500"/>
    </row>
    <row r="1922" spans="1:42" ht="16.5" customHeight="1">
      <c r="A1922" s="439"/>
      <c r="B1922" s="439"/>
      <c r="C1922" s="439"/>
      <c r="D1922" s="439"/>
      <c r="E1922" s="439"/>
      <c r="F1922" s="439"/>
      <c r="G1922" s="451" t="s">
        <v>3406</v>
      </c>
      <c r="Z1922" s="500"/>
      <c r="AA1922" s="500"/>
      <c r="AB1922" s="500"/>
      <c r="AC1922" s="500"/>
      <c r="AD1922" s="500"/>
      <c r="AE1922" s="500"/>
      <c r="AF1922" s="500"/>
      <c r="AG1922" s="500"/>
      <c r="AH1922" s="500"/>
      <c r="AI1922" s="500"/>
      <c r="AJ1922" s="500"/>
      <c r="AK1922" s="500"/>
      <c r="AL1922" s="500"/>
      <c r="AM1922" s="500"/>
      <c r="AN1922" s="500"/>
      <c r="AO1922" s="500"/>
      <c r="AP1922" s="500"/>
    </row>
    <row r="1923" spans="1:42" ht="16.5" customHeight="1">
      <c r="A1923" s="439"/>
      <c r="B1923" s="439"/>
      <c r="C1923" s="439"/>
      <c r="D1923" s="439"/>
      <c r="E1923" s="439"/>
      <c r="F1923" s="439"/>
      <c r="G1923" s="451" t="s">
        <v>3406</v>
      </c>
      <c r="Z1923" s="500"/>
      <c r="AA1923" s="500"/>
      <c r="AB1923" s="500"/>
      <c r="AC1923" s="500"/>
      <c r="AD1923" s="500"/>
      <c r="AE1923" s="500"/>
      <c r="AF1923" s="500"/>
      <c r="AG1923" s="500"/>
      <c r="AH1923" s="500"/>
      <c r="AI1923" s="500"/>
      <c r="AJ1923" s="500"/>
      <c r="AK1923" s="500"/>
      <c r="AL1923" s="500"/>
      <c r="AM1923" s="500"/>
      <c r="AN1923" s="500"/>
      <c r="AO1923" s="500"/>
      <c r="AP1923" s="500"/>
    </row>
    <row r="1924" spans="1:42" ht="16.5" customHeight="1">
      <c r="A1924" s="434" t="s">
        <v>3414</v>
      </c>
      <c r="B1924" s="505" t="str">
        <f>" 보통인부 : "&amp;TEXT(I1924,"#,##0"&amp;IF(I1924&lt;&gt;INT(I1924),".###",""))&amp;" * "&amp;AA1924&amp;" 인  / Q = "&amp;TEXT(C1924,"#,##0.0")&amp;""</f>
        <v xml:space="preserve"> 보통인부 : 172,068 * 1 인  / Q = 7,821.2</v>
      </c>
      <c r="C1924" s="506">
        <f>E1924+D1924+F1924</f>
        <v>7821.2</v>
      </c>
      <c r="D1924" s="506">
        <f>IF(H1924=0,0,ROUNDDOWN(J1924*H1924,1))</f>
        <v>7821.2</v>
      </c>
      <c r="E1924" s="506">
        <f>IF(H1924=0,0,ROUNDDOWN(K1924*H1924,1))</f>
        <v>0</v>
      </c>
      <c r="F1924" s="506">
        <f>IF(H1924=0,0,ROUNDDOWN(L1924*H1924,1))</f>
        <v>0</v>
      </c>
      <c r="G1924" s="451" t="s">
        <v>3552</v>
      </c>
      <c r="H1924" s="507">
        <f>ROUNDUP(AE1924,14-LEN(ABS(INT(AE1924))))</f>
        <v>4.5454545454600002E-2</v>
      </c>
      <c r="I1924" s="508">
        <f>K1924+J1924+L1924</f>
        <v>172068</v>
      </c>
      <c r="J1924" s="509">
        <f>노무비목록표!E10</f>
        <v>172068</v>
      </c>
      <c r="M1924" s="501" t="s">
        <v>2363</v>
      </c>
      <c r="N1924" s="501" t="s">
        <v>3416</v>
      </c>
      <c r="X1924" s="510" t="str">
        <f>노무비목록표!B10&amp;" / "&amp;노무비목록표!C10</f>
        <v xml:space="preserve">보통인부 / </v>
      </c>
      <c r="Y1924" s="433" t="str">
        <f ca="1">HYPERLINK("#"&amp;노무비목록표!G2&amp;"!A"&amp;ROW(노무비목록표!A10),"L00017 →")</f>
        <v>L00017 →</v>
      </c>
      <c r="Z1924" s="501" t="s">
        <v>3500</v>
      </c>
      <c r="AA1924" s="515">
        <v>1</v>
      </c>
      <c r="AB1924" s="501" t="s">
        <v>3428</v>
      </c>
      <c r="AC1924" s="512">
        <f>AB1912</f>
        <v>22</v>
      </c>
      <c r="AD1924" s="501" t="s">
        <v>3418</v>
      </c>
      <c r="AE1924" s="512">
        <f>1*AA1924/AB1912</f>
        <v>4.5454545454545456E-2</v>
      </c>
      <c r="AF1924" s="500"/>
      <c r="AG1924" s="500"/>
      <c r="AH1924" s="500"/>
      <c r="AI1924" s="500"/>
      <c r="AJ1924" s="500"/>
      <c r="AK1924" s="500"/>
      <c r="AL1924" s="500"/>
      <c r="AM1924" s="500"/>
      <c r="AN1924" s="500"/>
      <c r="AO1924" s="500"/>
      <c r="AP1924" s="500"/>
    </row>
    <row r="1925" spans="1:42" ht="16.5" customHeight="1">
      <c r="A1925" s="439"/>
      <c r="B1925" s="439"/>
      <c r="C1925" s="439"/>
      <c r="D1925" s="439"/>
      <c r="E1925" s="439"/>
      <c r="F1925" s="439"/>
      <c r="G1925" s="451" t="s">
        <v>3406</v>
      </c>
      <c r="Z1925" s="500"/>
      <c r="AA1925" s="500"/>
      <c r="AB1925" s="500"/>
      <c r="AC1925" s="500"/>
      <c r="AD1925" s="500"/>
      <c r="AE1925" s="500"/>
      <c r="AF1925" s="500"/>
      <c r="AG1925" s="500"/>
      <c r="AH1925" s="500"/>
      <c r="AI1925" s="500"/>
      <c r="AJ1925" s="500"/>
      <c r="AK1925" s="500"/>
      <c r="AL1925" s="500"/>
      <c r="AM1925" s="500"/>
      <c r="AN1925" s="500"/>
      <c r="AO1925" s="500"/>
      <c r="AP1925" s="500"/>
    </row>
    <row r="1926" spans="1:42" ht="16.5" customHeight="1">
      <c r="A1926" s="434"/>
      <c r="B1926" s="437" t="s">
        <v>3419</v>
      </c>
      <c r="C1926" s="513">
        <f>E1926+D1926+F1926</f>
        <v>39894.400000000001</v>
      </c>
      <c r="D1926" s="513">
        <f>SUMIF(N1907:N1925,M1926,D1907:D1925)</f>
        <v>39894.400000000001</v>
      </c>
      <c r="E1926" s="513">
        <f>SUMIF(N1907:N1925,M1926,E1907:E1925)</f>
        <v>0</v>
      </c>
      <c r="F1926" s="513">
        <f>SUMIF(N1907:N1925,M1926,F1907:F1925)</f>
        <v>0</v>
      </c>
      <c r="G1926" s="451" t="s">
        <v>3439</v>
      </c>
      <c r="M1926" s="501" t="s">
        <v>3416</v>
      </c>
      <c r="N1926" s="501" t="s">
        <v>3421</v>
      </c>
      <c r="Z1926" s="500"/>
      <c r="AA1926" s="500"/>
      <c r="AB1926" s="500"/>
      <c r="AC1926" s="500"/>
      <c r="AD1926" s="500"/>
      <c r="AE1926" s="500"/>
      <c r="AF1926" s="500"/>
      <c r="AG1926" s="500"/>
      <c r="AH1926" s="500"/>
      <c r="AI1926" s="500"/>
      <c r="AJ1926" s="500"/>
      <c r="AK1926" s="500"/>
      <c r="AL1926" s="500"/>
      <c r="AM1926" s="500"/>
      <c r="AN1926" s="500"/>
      <c r="AO1926" s="500"/>
      <c r="AP1926" s="500"/>
    </row>
    <row r="1927" spans="1:42" ht="16.5" customHeight="1">
      <c r="A1927" s="439"/>
      <c r="B1927" s="439"/>
      <c r="C1927" s="504"/>
      <c r="D1927" s="504"/>
      <c r="E1927" s="504"/>
      <c r="F1927" s="504"/>
      <c r="G1927" s="451" t="s">
        <v>3406</v>
      </c>
      <c r="Z1927" s="500"/>
      <c r="AA1927" s="500"/>
      <c r="AB1927" s="500"/>
      <c r="AC1927" s="500"/>
      <c r="AD1927" s="500"/>
      <c r="AE1927" s="500"/>
      <c r="AF1927" s="500"/>
      <c r="AG1927" s="500"/>
      <c r="AH1927" s="500"/>
      <c r="AI1927" s="500"/>
      <c r="AJ1927" s="500"/>
      <c r="AK1927" s="500"/>
      <c r="AL1927" s="500"/>
      <c r="AM1927" s="500"/>
      <c r="AN1927" s="500"/>
      <c r="AO1927" s="500"/>
      <c r="AP1927" s="500"/>
    </row>
    <row r="1928" spans="1:42" ht="16.5" customHeight="1">
      <c r="A1928" s="439"/>
      <c r="B1928" s="439"/>
      <c r="C1928" s="439"/>
      <c r="D1928" s="439"/>
      <c r="E1928" s="439"/>
      <c r="F1928" s="439"/>
      <c r="G1928" s="451" t="s">
        <v>3406</v>
      </c>
      <c r="Z1928" s="500"/>
      <c r="AA1928" s="500"/>
      <c r="AB1928" s="500"/>
      <c r="AC1928" s="500"/>
      <c r="AD1928" s="500"/>
      <c r="AE1928" s="500"/>
      <c r="AF1928" s="500"/>
      <c r="AG1928" s="500"/>
      <c r="AH1928" s="500"/>
      <c r="AI1928" s="500"/>
      <c r="AJ1928" s="500"/>
      <c r="AK1928" s="500"/>
      <c r="AL1928" s="500"/>
      <c r="AM1928" s="500"/>
      <c r="AN1928" s="500"/>
      <c r="AO1928" s="500"/>
      <c r="AP1928" s="500"/>
    </row>
    <row r="1929" spans="1:42" ht="16.5" customHeight="1">
      <c r="A1929" s="434"/>
      <c r="B1929" s="437" t="s">
        <v>3553</v>
      </c>
      <c r="C1929" s="439"/>
      <c r="D1929" s="439"/>
      <c r="E1929" s="439"/>
      <c r="F1929" s="439"/>
      <c r="G1929" s="451" t="s">
        <v>3554</v>
      </c>
      <c r="Z1929" s="500"/>
      <c r="AA1929" s="500"/>
      <c r="AB1929" s="500"/>
      <c r="AC1929" s="500"/>
      <c r="AD1929" s="500"/>
      <c r="AE1929" s="500"/>
      <c r="AF1929" s="500"/>
      <c r="AG1929" s="500"/>
      <c r="AH1929" s="500"/>
      <c r="AI1929" s="500"/>
      <c r="AJ1929" s="500"/>
      <c r="AK1929" s="500"/>
      <c r="AL1929" s="500"/>
      <c r="AM1929" s="500"/>
      <c r="AN1929" s="500"/>
      <c r="AO1929" s="500"/>
      <c r="AP1929" s="500"/>
    </row>
    <row r="1930" spans="1:42" ht="16.5" customHeight="1">
      <c r="A1930" s="439"/>
      <c r="B1930" s="439"/>
      <c r="C1930" s="439"/>
      <c r="D1930" s="439"/>
      <c r="E1930" s="439"/>
      <c r="F1930" s="439"/>
      <c r="G1930" s="451" t="s">
        <v>3406</v>
      </c>
      <c r="Z1930" s="500"/>
      <c r="AA1930" s="500"/>
      <c r="AB1930" s="500"/>
      <c r="AC1930" s="500"/>
      <c r="AD1930" s="500"/>
      <c r="AE1930" s="500"/>
      <c r="AF1930" s="500"/>
      <c r="AG1930" s="500"/>
      <c r="AH1930" s="500"/>
      <c r="AI1930" s="500"/>
      <c r="AJ1930" s="500"/>
      <c r="AK1930" s="500"/>
      <c r="AL1930" s="500"/>
      <c r="AM1930" s="500"/>
      <c r="AN1930" s="500"/>
      <c r="AO1930" s="500"/>
      <c r="AP1930" s="500"/>
    </row>
    <row r="1931" spans="1:42" ht="16.5" customHeight="1">
      <c r="A1931" s="434" t="s">
        <v>3555</v>
      </c>
      <c r="B1931" s="505" t="str">
        <f>"  노 무 비 :  "&amp;TEXT(I1931,"#,##0"&amp;IF(I1931&lt;&gt;INT(I1931),".###",""))&amp;" / Q * "&amp;AC1931&amp;" = "&amp;TEXT(C1931,"#,##0.0")&amp;""</f>
        <v xml:space="preserve">  노 무 비 :  59,020 / Q * 8 = 21,461.8</v>
      </c>
      <c r="C1931" s="506">
        <f>E1931+D1931+F1931</f>
        <v>21461.8</v>
      </c>
      <c r="D1931" s="506">
        <f>IF(H1931=0,0,ROUNDDOWN(J1931*H1931,1))</f>
        <v>21461.8</v>
      </c>
      <c r="E1931" s="506">
        <f>IF(H1931=0,0,ROUNDDOWN(K1931*H1931,1))</f>
        <v>0</v>
      </c>
      <c r="F1931" s="506">
        <f>IF(H1931=0,0,ROUNDDOWN(L1931*H1931,1))</f>
        <v>0</v>
      </c>
      <c r="G1931" s="451" t="s">
        <v>3556</v>
      </c>
      <c r="H1931" s="507">
        <f>ROUNDUP(AE1931,14-LEN(ABS(INT(AE1931))))</f>
        <v>0.36363636363639995</v>
      </c>
      <c r="I1931" s="508">
        <f>K1931+J1931+L1931</f>
        <v>59020</v>
      </c>
      <c r="J1931" s="509">
        <f>중기목록표!F7</f>
        <v>59020</v>
      </c>
      <c r="M1931" s="501" t="s">
        <v>3557</v>
      </c>
      <c r="N1931" s="501" t="s">
        <v>3416</v>
      </c>
      <c r="X1931" s="510" t="str">
        <f>중기목록표!B7&amp;" / "&amp;중기목록표!C7</f>
        <v>굴착기(무한궤도) / 0.4㎥</v>
      </c>
      <c r="Y1931" s="433" t="str">
        <f ca="1">HYPERLINK("#"&amp;중기목록표!J2&amp;"!A"&amp;ROW(중기목록표!A7),"X00266 →")</f>
        <v>X00266 →</v>
      </c>
      <c r="Z1931" s="501" t="s">
        <v>3434</v>
      </c>
      <c r="AA1931" s="512">
        <f>AB1912</f>
        <v>22</v>
      </c>
      <c r="AB1931" s="501" t="s">
        <v>3368</v>
      </c>
      <c r="AC1931" s="515">
        <v>8</v>
      </c>
      <c r="AD1931" s="501" t="s">
        <v>3418</v>
      </c>
      <c r="AE1931" s="512">
        <f>1/AB1912*AC1931</f>
        <v>0.36363636363636365</v>
      </c>
      <c r="AF1931" s="500"/>
      <c r="AG1931" s="500"/>
      <c r="AH1931" s="500"/>
      <c r="AI1931" s="500"/>
      <c r="AJ1931" s="500"/>
      <c r="AK1931" s="500"/>
      <c r="AL1931" s="500"/>
      <c r="AM1931" s="500"/>
      <c r="AN1931" s="500"/>
      <c r="AO1931" s="500"/>
      <c r="AP1931" s="500"/>
    </row>
    <row r="1932" spans="1:42" ht="16.5" customHeight="1">
      <c r="A1932" s="439"/>
      <c r="B1932" s="439"/>
      <c r="C1932" s="439"/>
      <c r="D1932" s="439"/>
      <c r="E1932" s="439"/>
      <c r="F1932" s="439"/>
      <c r="G1932" s="451" t="s">
        <v>3406</v>
      </c>
      <c r="Z1932" s="500"/>
      <c r="AA1932" s="500"/>
      <c r="AB1932" s="500"/>
      <c r="AC1932" s="500"/>
      <c r="AD1932" s="500"/>
      <c r="AE1932" s="500"/>
      <c r="AF1932" s="500"/>
      <c r="AG1932" s="500"/>
      <c r="AH1932" s="500"/>
      <c r="AI1932" s="500"/>
      <c r="AJ1932" s="500"/>
      <c r="AK1932" s="500"/>
      <c r="AL1932" s="500"/>
      <c r="AM1932" s="500"/>
      <c r="AN1932" s="500"/>
      <c r="AO1932" s="500"/>
      <c r="AP1932" s="500"/>
    </row>
    <row r="1933" spans="1:42" ht="16.5" customHeight="1">
      <c r="A1933" s="434" t="s">
        <v>3558</v>
      </c>
      <c r="B1933" s="505" t="str">
        <f>"  재 료 비 :  "&amp;TEXT(I1933,"#,##0"&amp;IF(I1933&lt;&gt;INT(I1933),".###",""))&amp;" / Q * "&amp;AC1933&amp;" = "&amp;TEXT(C1933,"#,##0.0")&amp;""</f>
        <v xml:space="preserve">  재 료 비 :  16,655 / Q * 8 = 6,056.3</v>
      </c>
      <c r="C1933" s="506">
        <f>E1933+D1933+F1933</f>
        <v>6056.3</v>
      </c>
      <c r="D1933" s="506">
        <f>IF(H1933=0,0,ROUNDDOWN(J1933*H1933,1))</f>
        <v>0</v>
      </c>
      <c r="E1933" s="506">
        <f>IF(H1933=0,0,ROUNDDOWN(K1933*H1933,1))</f>
        <v>6056.3</v>
      </c>
      <c r="F1933" s="506">
        <f>IF(H1933=0,0,ROUNDDOWN(L1933*H1933,1))</f>
        <v>0</v>
      </c>
      <c r="G1933" s="451" t="s">
        <v>3559</v>
      </c>
      <c r="H1933" s="507">
        <f>ROUNDUP(AE1933,14-LEN(ABS(INT(AE1933))))</f>
        <v>0.36363636363639995</v>
      </c>
      <c r="I1933" s="508">
        <f>K1933+J1933+L1933</f>
        <v>16655</v>
      </c>
      <c r="K1933" s="509">
        <f>중기목록표!G7</f>
        <v>16655</v>
      </c>
      <c r="M1933" s="501" t="s">
        <v>3557</v>
      </c>
      <c r="N1933" s="501" t="s">
        <v>3416</v>
      </c>
      <c r="X1933" s="510" t="str">
        <f>중기목록표!B7&amp;" / "&amp;중기목록표!C7</f>
        <v>굴착기(무한궤도) / 0.4㎥</v>
      </c>
      <c r="Y1933" s="433" t="str">
        <f ca="1">HYPERLINK("#"&amp;중기목록표!J2&amp;"!A"&amp;ROW(중기목록표!A7),"X00266 →")</f>
        <v>X00266 →</v>
      </c>
      <c r="Z1933" s="501" t="s">
        <v>3434</v>
      </c>
      <c r="AA1933" s="512">
        <f>AB1912</f>
        <v>22</v>
      </c>
      <c r="AB1933" s="501" t="s">
        <v>3368</v>
      </c>
      <c r="AC1933" s="515">
        <v>8</v>
      </c>
      <c r="AD1933" s="501" t="s">
        <v>3418</v>
      </c>
      <c r="AE1933" s="512">
        <f>1/AB1912*AC1933</f>
        <v>0.36363636363636365</v>
      </c>
      <c r="AF1933" s="500"/>
      <c r="AG1933" s="500"/>
      <c r="AH1933" s="500"/>
      <c r="AI1933" s="500"/>
      <c r="AJ1933" s="500"/>
      <c r="AK1933" s="500"/>
      <c r="AL1933" s="500"/>
      <c r="AM1933" s="500"/>
      <c r="AN1933" s="500"/>
      <c r="AO1933" s="500"/>
      <c r="AP1933" s="500"/>
    </row>
    <row r="1934" spans="1:42" ht="16.5" customHeight="1">
      <c r="A1934" s="439"/>
      <c r="B1934" s="439"/>
      <c r="C1934" s="439"/>
      <c r="D1934" s="439"/>
      <c r="E1934" s="439"/>
      <c r="F1934" s="439"/>
      <c r="G1934" s="451" t="s">
        <v>3406</v>
      </c>
      <c r="Z1934" s="500"/>
      <c r="AA1934" s="500"/>
      <c r="AB1934" s="500"/>
      <c r="AC1934" s="500"/>
      <c r="AD1934" s="500"/>
      <c r="AE1934" s="500"/>
      <c r="AF1934" s="500"/>
      <c r="AG1934" s="500"/>
      <c r="AH1934" s="500"/>
      <c r="AI1934" s="500"/>
      <c r="AJ1934" s="500"/>
      <c r="AK1934" s="500"/>
      <c r="AL1934" s="500"/>
      <c r="AM1934" s="500"/>
      <c r="AN1934" s="500"/>
      <c r="AO1934" s="500"/>
      <c r="AP1934" s="500"/>
    </row>
    <row r="1935" spans="1:42" ht="16.5" customHeight="1">
      <c r="A1935" s="434" t="s">
        <v>3560</v>
      </c>
      <c r="B1935" s="505" t="str">
        <f>"  경    비 :  "&amp;TEXT(I1935,"#,##0"&amp;IF(I1935&lt;&gt;INT(I1935),".###",""))&amp;" / Q * "&amp;AC1935&amp;" = "&amp;TEXT(C1935,"#,##0.0")&amp;""</f>
        <v xml:space="preserve">  경    비 :  17,514 / Q * 8 = 6,368.7</v>
      </c>
      <c r="C1935" s="506">
        <f>E1935+D1935+F1935</f>
        <v>6368.7</v>
      </c>
      <c r="D1935" s="506">
        <f>IF(H1935=0,0,ROUNDDOWN(J1935*H1935,1))</f>
        <v>0</v>
      </c>
      <c r="E1935" s="506">
        <f>IF(H1935=0,0,ROUNDDOWN(K1935*H1935,1))</f>
        <v>0</v>
      </c>
      <c r="F1935" s="506">
        <f>IF(H1935=0,0,ROUNDDOWN(L1935*H1935,1))</f>
        <v>6368.7</v>
      </c>
      <c r="G1935" s="451" t="s">
        <v>3561</v>
      </c>
      <c r="H1935" s="507">
        <f>ROUNDUP(AE1935,14-LEN(ABS(INT(AE1935))))</f>
        <v>0.36363636363639995</v>
      </c>
      <c r="I1935" s="508">
        <f>K1935+J1935+L1935</f>
        <v>17514</v>
      </c>
      <c r="L1935" s="509">
        <f>중기목록표!H7</f>
        <v>17514</v>
      </c>
      <c r="M1935" s="501" t="s">
        <v>3557</v>
      </c>
      <c r="N1935" s="501" t="s">
        <v>3416</v>
      </c>
      <c r="X1935" s="510" t="str">
        <f>중기목록표!B7&amp;" / "&amp;중기목록표!C7</f>
        <v>굴착기(무한궤도) / 0.4㎥</v>
      </c>
      <c r="Y1935" s="433" t="str">
        <f ca="1">HYPERLINK("#"&amp;중기목록표!J2&amp;"!A"&amp;ROW(중기목록표!A7),"X00266 →")</f>
        <v>X00266 →</v>
      </c>
      <c r="Z1935" s="501" t="s">
        <v>3434</v>
      </c>
      <c r="AA1935" s="512">
        <f>AB1912</f>
        <v>22</v>
      </c>
      <c r="AB1935" s="501" t="s">
        <v>3368</v>
      </c>
      <c r="AC1935" s="515">
        <v>8</v>
      </c>
      <c r="AD1935" s="501" t="s">
        <v>3418</v>
      </c>
      <c r="AE1935" s="512">
        <f>1/AB1912*AC1935</f>
        <v>0.36363636363636365</v>
      </c>
      <c r="AF1935" s="500"/>
      <c r="AG1935" s="500"/>
      <c r="AH1935" s="500"/>
      <c r="AI1935" s="500"/>
      <c r="AJ1935" s="500"/>
      <c r="AK1935" s="500"/>
      <c r="AL1935" s="500"/>
      <c r="AM1935" s="500"/>
      <c r="AN1935" s="500"/>
      <c r="AO1935" s="500"/>
      <c r="AP1935" s="500"/>
    </row>
    <row r="1936" spans="1:42" ht="16.5" customHeight="1">
      <c r="A1936" s="439"/>
      <c r="B1936" s="439"/>
      <c r="C1936" s="439"/>
      <c r="D1936" s="439"/>
      <c r="E1936" s="439"/>
      <c r="F1936" s="439"/>
      <c r="G1936" s="451" t="s">
        <v>3406</v>
      </c>
      <c r="Z1936" s="500"/>
      <c r="AA1936" s="500"/>
      <c r="AB1936" s="500"/>
      <c r="AC1936" s="500"/>
      <c r="AD1936" s="500"/>
      <c r="AE1936" s="500"/>
      <c r="AF1936" s="500"/>
      <c r="AG1936" s="500"/>
      <c r="AH1936" s="500"/>
      <c r="AI1936" s="500"/>
      <c r="AJ1936" s="500"/>
      <c r="AK1936" s="500"/>
      <c r="AL1936" s="500"/>
      <c r="AM1936" s="500"/>
      <c r="AN1936" s="500"/>
      <c r="AO1936" s="500"/>
      <c r="AP1936" s="500"/>
    </row>
    <row r="1937" spans="1:42" ht="16.5" customHeight="1">
      <c r="A1937" s="439"/>
      <c r="B1937" s="439"/>
      <c r="C1937" s="439"/>
      <c r="D1937" s="439"/>
      <c r="E1937" s="439"/>
      <c r="F1937" s="439"/>
      <c r="G1937" s="451" t="s">
        <v>3406</v>
      </c>
      <c r="Z1937" s="500"/>
      <c r="AA1937" s="500"/>
      <c r="AB1937" s="500"/>
      <c r="AC1937" s="500"/>
      <c r="AD1937" s="500"/>
      <c r="AE1937" s="500"/>
      <c r="AF1937" s="500"/>
      <c r="AG1937" s="500"/>
      <c r="AH1937" s="500"/>
      <c r="AI1937" s="500"/>
      <c r="AJ1937" s="500"/>
      <c r="AK1937" s="500"/>
      <c r="AL1937" s="500"/>
      <c r="AM1937" s="500"/>
      <c r="AN1937" s="500"/>
      <c r="AO1937" s="500"/>
      <c r="AP1937" s="500"/>
    </row>
    <row r="1938" spans="1:42" ht="16.5" customHeight="1">
      <c r="A1938" s="439"/>
      <c r="B1938" s="439"/>
      <c r="C1938" s="439"/>
      <c r="D1938" s="439"/>
      <c r="E1938" s="439"/>
      <c r="F1938" s="439"/>
      <c r="G1938" s="451" t="s">
        <v>3406</v>
      </c>
      <c r="Z1938" s="500"/>
      <c r="AA1938" s="500"/>
      <c r="AB1938" s="500"/>
      <c r="AC1938" s="500"/>
      <c r="AD1938" s="500"/>
      <c r="AE1938" s="500"/>
      <c r="AF1938" s="500"/>
      <c r="AG1938" s="500"/>
      <c r="AH1938" s="500"/>
      <c r="AI1938" s="500"/>
      <c r="AJ1938" s="500"/>
      <c r="AK1938" s="500"/>
      <c r="AL1938" s="500"/>
      <c r="AM1938" s="500"/>
      <c r="AN1938" s="500"/>
      <c r="AO1938" s="500"/>
      <c r="AP1938" s="500"/>
    </row>
    <row r="1939" spans="1:42" ht="16.5" customHeight="1">
      <c r="A1939" s="434"/>
      <c r="B1939" s="437" t="s">
        <v>3419</v>
      </c>
      <c r="C1939" s="513">
        <f>E1939+D1939+F1939</f>
        <v>33886.799999999996</v>
      </c>
      <c r="D1939" s="513">
        <f>SUMIF(N1927:N1938,M1939,D1927:D1938)</f>
        <v>21461.8</v>
      </c>
      <c r="E1939" s="513">
        <f>SUMIF(N1927:N1938,M1939,E1927:E1938)</f>
        <v>6056.3</v>
      </c>
      <c r="F1939" s="513">
        <f>SUMIF(N1927:N1938,M1939,F1927:F1938)</f>
        <v>6368.7</v>
      </c>
      <c r="G1939" s="451" t="s">
        <v>3439</v>
      </c>
      <c r="M1939" s="501" t="s">
        <v>3416</v>
      </c>
      <c r="N1939" s="501" t="s">
        <v>3421</v>
      </c>
      <c r="Z1939" s="500"/>
      <c r="AA1939" s="500"/>
      <c r="AB1939" s="500"/>
      <c r="AC1939" s="500"/>
      <c r="AD1939" s="500"/>
      <c r="AE1939" s="500"/>
      <c r="AF1939" s="500"/>
      <c r="AG1939" s="500"/>
      <c r="AH1939" s="500"/>
      <c r="AI1939" s="500"/>
      <c r="AJ1939" s="500"/>
      <c r="AK1939" s="500"/>
      <c r="AL1939" s="500"/>
      <c r="AM1939" s="500"/>
      <c r="AN1939" s="500"/>
      <c r="AO1939" s="500"/>
      <c r="AP1939" s="500"/>
    </row>
    <row r="1940" spans="1:42" ht="16.5" customHeight="1">
      <c r="A1940" s="439"/>
      <c r="B1940" s="439"/>
      <c r="C1940" s="504"/>
      <c r="D1940" s="504"/>
      <c r="E1940" s="504"/>
      <c r="F1940" s="504"/>
      <c r="G1940" s="451" t="s">
        <v>3406</v>
      </c>
      <c r="Z1940" s="500"/>
      <c r="AA1940" s="500"/>
      <c r="AB1940" s="500"/>
      <c r="AC1940" s="500"/>
      <c r="AD1940" s="500"/>
      <c r="AE1940" s="500"/>
      <c r="AF1940" s="500"/>
      <c r="AG1940" s="500"/>
      <c r="AH1940" s="500"/>
      <c r="AI1940" s="500"/>
      <c r="AJ1940" s="500"/>
      <c r="AK1940" s="500"/>
      <c r="AL1940" s="500"/>
      <c r="AM1940" s="500"/>
      <c r="AN1940" s="500"/>
      <c r="AO1940" s="500"/>
      <c r="AP1940" s="500"/>
    </row>
    <row r="1941" spans="1:42" ht="16.5" customHeight="1">
      <c r="A1941" s="439"/>
      <c r="B1941" s="439"/>
      <c r="C1941" s="439"/>
      <c r="D1941" s="439"/>
      <c r="E1941" s="439"/>
      <c r="F1941" s="439"/>
      <c r="G1941" s="451" t="s">
        <v>3406</v>
      </c>
      <c r="Z1941" s="500"/>
      <c r="AA1941" s="500"/>
      <c r="AB1941" s="500"/>
      <c r="AC1941" s="500"/>
      <c r="AD1941" s="500"/>
      <c r="AE1941" s="500"/>
      <c r="AF1941" s="500"/>
      <c r="AG1941" s="500"/>
      <c r="AH1941" s="500"/>
      <c r="AI1941" s="500"/>
      <c r="AJ1941" s="500"/>
      <c r="AK1941" s="500"/>
      <c r="AL1941" s="500"/>
      <c r="AM1941" s="500"/>
      <c r="AN1941" s="500"/>
      <c r="AO1941" s="500"/>
      <c r="AP1941" s="500"/>
    </row>
    <row r="1942" spans="1:42" ht="16.5" customHeight="1">
      <c r="A1942" s="434"/>
      <c r="B1942" s="437" t="s">
        <v>3562</v>
      </c>
      <c r="C1942" s="439"/>
      <c r="D1942" s="439"/>
      <c r="E1942" s="439"/>
      <c r="F1942" s="439"/>
      <c r="G1942" s="451" t="s">
        <v>3563</v>
      </c>
      <c r="Z1942" s="500"/>
      <c r="AA1942" s="500"/>
      <c r="AB1942" s="500"/>
      <c r="AC1942" s="500"/>
      <c r="AD1942" s="500"/>
      <c r="AE1942" s="500"/>
      <c r="AF1942" s="500"/>
      <c r="AG1942" s="500"/>
      <c r="AH1942" s="500"/>
      <c r="AI1942" s="500"/>
      <c r="AJ1942" s="500"/>
      <c r="AK1942" s="500"/>
      <c r="AL1942" s="500"/>
      <c r="AM1942" s="500"/>
      <c r="AN1942" s="500"/>
      <c r="AO1942" s="500"/>
      <c r="AP1942" s="500"/>
    </row>
    <row r="1943" spans="1:42" ht="16.5" customHeight="1">
      <c r="A1943" s="439"/>
      <c r="B1943" s="439"/>
      <c r="C1943" s="439"/>
      <c r="D1943" s="439"/>
      <c r="E1943" s="439"/>
      <c r="F1943" s="439"/>
      <c r="G1943" s="451" t="s">
        <v>3406</v>
      </c>
      <c r="Z1943" s="500"/>
      <c r="AA1943" s="500"/>
      <c r="AB1943" s="500"/>
      <c r="AC1943" s="500"/>
      <c r="AD1943" s="500"/>
      <c r="AE1943" s="500"/>
      <c r="AF1943" s="500"/>
      <c r="AG1943" s="500"/>
      <c r="AH1943" s="500"/>
      <c r="AI1943" s="500"/>
      <c r="AJ1943" s="500"/>
      <c r="AK1943" s="500"/>
      <c r="AL1943" s="500"/>
      <c r="AM1943" s="500"/>
      <c r="AN1943" s="500"/>
      <c r="AO1943" s="500"/>
      <c r="AP1943" s="500"/>
    </row>
    <row r="1944" spans="1:42" ht="16.5" customHeight="1">
      <c r="A1944" s="434" t="s">
        <v>3634</v>
      </c>
      <c r="B1944" s="505" t="str">
        <f>"  지주목 삼발이, L1500 : "&amp;TEXT(I1944,"#,##0"&amp;IF(I1944&lt;&gt;INT(I1944),".###",""))&amp;" * "&amp;AA1944&amp;" 조  = "&amp;TEXT(C1944,"#,##0.0")&amp;""</f>
        <v xml:space="preserve">  지주목 삼발이, L1500 : 11,000 * 1 조  = 11,000.0</v>
      </c>
      <c r="C1944" s="506">
        <f>E1944+D1944+F1944</f>
        <v>11000</v>
      </c>
      <c r="D1944" s="506">
        <f>IF(H1944=0,0,ROUNDDOWN(J1944*H1944,1))</f>
        <v>0</v>
      </c>
      <c r="E1944" s="506">
        <f>IF(H1944=0,0,ROUNDDOWN(K1944*H1944,1))</f>
        <v>11000</v>
      </c>
      <c r="F1944" s="506">
        <f>IF(H1944=0,0,ROUNDDOWN(L1944*H1944,1))</f>
        <v>0</v>
      </c>
      <c r="G1944" s="451" t="s">
        <v>3635</v>
      </c>
      <c r="H1944" s="507">
        <f>ROUNDUP(AC1944,14-LEN(ABS(INT(AC1944))))</f>
        <v>1</v>
      </c>
      <c r="I1944" s="508">
        <f>K1944+J1944+L1944</f>
        <v>11000</v>
      </c>
      <c r="K1944" s="509">
        <f>재료비목록표!E91</f>
        <v>11000</v>
      </c>
      <c r="M1944" s="501" t="s">
        <v>3636</v>
      </c>
      <c r="N1944" s="501" t="s">
        <v>3416</v>
      </c>
      <c r="X1944" s="510" t="str">
        <f>재료비목록표!B91&amp;" / "&amp;재료비목록표!C91</f>
        <v>지주목 / 삼발이, L1500</v>
      </c>
      <c r="Y1944" s="433" t="str">
        <f ca="1">HYPERLINK("#"&amp;재료비목록표!G2&amp;"!A"&amp;ROW(재료비목록표!A91),"M08849 →")</f>
        <v>M08849 →</v>
      </c>
      <c r="Z1944" s="501" t="s">
        <v>3500</v>
      </c>
      <c r="AA1944" s="515">
        <v>1</v>
      </c>
      <c r="AB1944" s="501" t="s">
        <v>3418</v>
      </c>
      <c r="AC1944" s="512">
        <f>1*AA1944</f>
        <v>1</v>
      </c>
      <c r="AD1944" s="500"/>
      <c r="AE1944" s="500"/>
      <c r="AF1944" s="500"/>
      <c r="AG1944" s="500"/>
      <c r="AH1944" s="500"/>
      <c r="AI1944" s="500"/>
      <c r="AJ1944" s="500"/>
      <c r="AK1944" s="500"/>
      <c r="AL1944" s="500"/>
      <c r="AM1944" s="500"/>
      <c r="AN1944" s="500"/>
      <c r="AO1944" s="500"/>
      <c r="AP1944" s="500"/>
    </row>
    <row r="1945" spans="1:42" ht="16.5" customHeight="1">
      <c r="A1945" s="439"/>
      <c r="B1945" s="439"/>
      <c r="C1945" s="439"/>
      <c r="D1945" s="439"/>
      <c r="E1945" s="439"/>
      <c r="F1945" s="439"/>
      <c r="G1945" s="451" t="s">
        <v>3406</v>
      </c>
      <c r="Z1945" s="500"/>
      <c r="AA1945" s="500"/>
      <c r="AB1945" s="500"/>
      <c r="AC1945" s="500"/>
      <c r="AD1945" s="500"/>
      <c r="AE1945" s="500"/>
      <c r="AF1945" s="500"/>
      <c r="AG1945" s="500"/>
      <c r="AH1945" s="500"/>
      <c r="AI1945" s="500"/>
      <c r="AJ1945" s="500"/>
      <c r="AK1945" s="500"/>
      <c r="AL1945" s="500"/>
      <c r="AM1945" s="500"/>
      <c r="AN1945" s="500"/>
      <c r="AO1945" s="500"/>
      <c r="AP1945" s="500"/>
    </row>
    <row r="1946" spans="1:42" ht="16.5" customHeight="1">
      <c r="A1946" s="439"/>
      <c r="B1946" s="439"/>
      <c r="C1946" s="439"/>
      <c r="D1946" s="439"/>
      <c r="E1946" s="439"/>
      <c r="F1946" s="439"/>
      <c r="G1946" s="451" t="s">
        <v>3406</v>
      </c>
      <c r="Z1946" s="500"/>
      <c r="AA1946" s="500"/>
      <c r="AB1946" s="500"/>
      <c r="AC1946" s="500"/>
      <c r="AD1946" s="500"/>
      <c r="AE1946" s="500"/>
      <c r="AF1946" s="500"/>
      <c r="AG1946" s="500"/>
      <c r="AH1946" s="500"/>
      <c r="AI1946" s="500"/>
      <c r="AJ1946" s="500"/>
      <c r="AK1946" s="500"/>
      <c r="AL1946" s="500"/>
      <c r="AM1946" s="500"/>
      <c r="AN1946" s="500"/>
      <c r="AO1946" s="500"/>
      <c r="AP1946" s="500"/>
    </row>
    <row r="1947" spans="1:42" ht="16.5" customHeight="1">
      <c r="A1947" s="439"/>
      <c r="B1947" s="439"/>
      <c r="C1947" s="439"/>
      <c r="D1947" s="439"/>
      <c r="E1947" s="439"/>
      <c r="F1947" s="439"/>
      <c r="G1947" s="451" t="s">
        <v>3406</v>
      </c>
      <c r="Z1947" s="500"/>
      <c r="AA1947" s="500"/>
      <c r="AB1947" s="500"/>
      <c r="AC1947" s="500"/>
      <c r="AD1947" s="500"/>
      <c r="AE1947" s="500"/>
      <c r="AF1947" s="500"/>
      <c r="AG1947" s="500"/>
      <c r="AH1947" s="500"/>
      <c r="AI1947" s="500"/>
      <c r="AJ1947" s="500"/>
      <c r="AK1947" s="500"/>
      <c r="AL1947" s="500"/>
      <c r="AM1947" s="500"/>
      <c r="AN1947" s="500"/>
      <c r="AO1947" s="500"/>
      <c r="AP1947" s="500"/>
    </row>
    <row r="1948" spans="1:42" ht="16.5" customHeight="1">
      <c r="A1948" s="434" t="s">
        <v>3504</v>
      </c>
      <c r="B1948" s="505" t="str">
        <f>"  유기질비료 수목이식·식재용 : "&amp;TEXT(I1948,"#,##0"&amp;IF(I1948&lt;&gt;INT(I1948),".###",""))&amp;" * "&amp;AA1948&amp;" KG   = "&amp;TEXT(C1948,"#,##0.0")&amp;""</f>
        <v xml:space="preserve">  유기질비료 수목이식·식재용 : 500 * 10 KG   = 5,000.0</v>
      </c>
      <c r="C1948" s="506">
        <f>E1948+D1948+F1948</f>
        <v>5000</v>
      </c>
      <c r="D1948" s="506">
        <f>IF(H1948=0,0,ROUNDDOWN(J1948*H1948,1))</f>
        <v>0</v>
      </c>
      <c r="E1948" s="506">
        <f>IF(H1948=0,0,ROUNDDOWN(K1948*H1948,1))</f>
        <v>5000</v>
      </c>
      <c r="F1948" s="506">
        <f>IF(H1948=0,0,ROUNDDOWN(L1948*H1948,1))</f>
        <v>0</v>
      </c>
      <c r="G1948" s="451" t="s">
        <v>3631</v>
      </c>
      <c r="H1948" s="507">
        <f>ROUNDUP(AC1948,14-LEN(ABS(INT(AC1948))))</f>
        <v>10</v>
      </c>
      <c r="I1948" s="508">
        <f>K1948+J1948+L1948</f>
        <v>500</v>
      </c>
      <c r="K1948" s="509">
        <f>재료비목록표!E78</f>
        <v>500</v>
      </c>
      <c r="M1948" s="501" t="s">
        <v>3506</v>
      </c>
      <c r="N1948" s="501" t="s">
        <v>3416</v>
      </c>
      <c r="X1948" s="510" t="str">
        <f>재료비목록표!B78&amp;" / "&amp;재료비목록표!C78</f>
        <v>유기질비료 / 수목이식·식재용</v>
      </c>
      <c r="Y1948" s="433" t="str">
        <f ca="1">HYPERLINK("#"&amp;재료비목록표!G2&amp;"!A"&amp;ROW(재료비목록표!A78),"M01159 →")</f>
        <v>M01159 →</v>
      </c>
      <c r="Z1948" s="501" t="s">
        <v>3500</v>
      </c>
      <c r="AA1948" s="515">
        <v>10</v>
      </c>
      <c r="AB1948" s="501" t="s">
        <v>3418</v>
      </c>
      <c r="AC1948" s="512">
        <f>1*AA1948</f>
        <v>10</v>
      </c>
      <c r="AD1948" s="500"/>
      <c r="AE1948" s="500"/>
      <c r="AF1948" s="500"/>
      <c r="AG1948" s="500"/>
      <c r="AH1948" s="500"/>
      <c r="AI1948" s="500"/>
      <c r="AJ1948" s="500"/>
      <c r="AK1948" s="500"/>
      <c r="AL1948" s="500"/>
      <c r="AM1948" s="500"/>
      <c r="AN1948" s="500"/>
      <c r="AO1948" s="500"/>
      <c r="AP1948" s="500"/>
    </row>
    <row r="1949" spans="1:42" ht="16.5" customHeight="1">
      <c r="A1949" s="439"/>
      <c r="B1949" s="439"/>
      <c r="C1949" s="439"/>
      <c r="D1949" s="439"/>
      <c r="E1949" s="439"/>
      <c r="F1949" s="439"/>
      <c r="G1949" s="451" t="s">
        <v>3406</v>
      </c>
      <c r="Z1949" s="500"/>
      <c r="AA1949" s="500"/>
      <c r="AB1949" s="500"/>
      <c r="AC1949" s="500"/>
      <c r="AD1949" s="500"/>
      <c r="AE1949" s="500"/>
      <c r="AF1949" s="500"/>
      <c r="AG1949" s="500"/>
      <c r="AH1949" s="500"/>
      <c r="AI1949" s="500"/>
      <c r="AJ1949" s="500"/>
      <c r="AK1949" s="500"/>
      <c r="AL1949" s="500"/>
      <c r="AM1949" s="500"/>
      <c r="AN1949" s="500"/>
      <c r="AO1949" s="500"/>
      <c r="AP1949" s="500"/>
    </row>
    <row r="1950" spans="1:42" ht="16.5" customHeight="1">
      <c r="A1950" s="434"/>
      <c r="B1950" s="437" t="s">
        <v>3419</v>
      </c>
      <c r="C1950" s="513">
        <f>E1950+D1950+F1950</f>
        <v>16000</v>
      </c>
      <c r="D1950" s="513">
        <f>SUMIF(N1940:N1949,M1950,D1940:D1949)</f>
        <v>0</v>
      </c>
      <c r="E1950" s="513">
        <f>SUMIF(N1940:N1949,M1950,E1940:E1949)</f>
        <v>16000</v>
      </c>
      <c r="F1950" s="513">
        <f>SUMIF(N1940:N1949,M1950,F1940:F1949)</f>
        <v>0</v>
      </c>
      <c r="G1950" s="451" t="s">
        <v>3439</v>
      </c>
      <c r="M1950" s="501" t="s">
        <v>3416</v>
      </c>
      <c r="N1950" s="501" t="s">
        <v>3421</v>
      </c>
      <c r="Z1950" s="500"/>
      <c r="AA1950" s="500"/>
      <c r="AB1950" s="500"/>
      <c r="AC1950" s="500"/>
      <c r="AD1950" s="500"/>
      <c r="AE1950" s="500"/>
      <c r="AF1950" s="500"/>
      <c r="AG1950" s="500"/>
      <c r="AH1950" s="500"/>
      <c r="AI1950" s="500"/>
      <c r="AJ1950" s="500"/>
      <c r="AK1950" s="500"/>
      <c r="AL1950" s="500"/>
      <c r="AM1950" s="500"/>
      <c r="AN1950" s="500"/>
      <c r="AO1950" s="500"/>
      <c r="AP1950" s="500"/>
    </row>
    <row r="1951" spans="1:42" ht="16.5" customHeight="1">
      <c r="A1951" s="439"/>
      <c r="B1951" s="439"/>
      <c r="C1951" s="504"/>
      <c r="D1951" s="504"/>
      <c r="E1951" s="504"/>
      <c r="F1951" s="504"/>
      <c r="G1951" s="451" t="s">
        <v>3406</v>
      </c>
      <c r="Z1951" s="500"/>
      <c r="AA1951" s="500"/>
      <c r="AB1951" s="500"/>
      <c r="AC1951" s="500"/>
      <c r="AD1951" s="500"/>
      <c r="AE1951" s="500"/>
      <c r="AF1951" s="500"/>
      <c r="AG1951" s="500"/>
      <c r="AH1951" s="500"/>
      <c r="AI1951" s="500"/>
      <c r="AJ1951" s="500"/>
      <c r="AK1951" s="500"/>
      <c r="AL1951" s="500"/>
      <c r="AM1951" s="500"/>
      <c r="AN1951" s="500"/>
      <c r="AO1951" s="500"/>
      <c r="AP1951" s="500"/>
    </row>
    <row r="1952" spans="1:42" ht="16.5" customHeight="1">
      <c r="A1952" s="434"/>
      <c r="B1952" s="437" t="s">
        <v>3440</v>
      </c>
      <c r="C1952" s="513">
        <f>E1952+D1952+F1952</f>
        <v>89781.2</v>
      </c>
      <c r="D1952" s="513">
        <f>SUMIF(N1907:N1951,M1952,D1907:D1951)</f>
        <v>61356.2</v>
      </c>
      <c r="E1952" s="513">
        <f>SUMIF(N1907:N1951,M1952,E1907:E1951)</f>
        <v>22056.3</v>
      </c>
      <c r="F1952" s="513">
        <f>SUMIF(N1907:N1951,M1952,F1907:F1951)</f>
        <v>6368.7</v>
      </c>
      <c r="G1952" s="451" t="s">
        <v>3441</v>
      </c>
      <c r="M1952" s="501" t="s">
        <v>3421</v>
      </c>
      <c r="N1952" s="501" t="s">
        <v>2354</v>
      </c>
      <c r="Z1952" s="500"/>
      <c r="AA1952" s="500"/>
      <c r="AB1952" s="500"/>
      <c r="AC1952" s="500"/>
      <c r="AD1952" s="500"/>
      <c r="AE1952" s="500"/>
      <c r="AF1952" s="500"/>
      <c r="AG1952" s="500"/>
      <c r="AH1952" s="500"/>
      <c r="AI1952" s="500"/>
      <c r="AJ1952" s="500"/>
      <c r="AK1952" s="500"/>
      <c r="AL1952" s="500"/>
      <c r="AM1952" s="500"/>
      <c r="AN1952" s="500"/>
      <c r="AO1952" s="500"/>
      <c r="AP1952" s="500"/>
    </row>
    <row r="1953" spans="1:42" ht="16.5" customHeight="1">
      <c r="A1953" s="439"/>
      <c r="B1953" s="439"/>
      <c r="C1953" s="504"/>
      <c r="D1953" s="504"/>
      <c r="E1953" s="504"/>
      <c r="F1953" s="504"/>
      <c r="G1953" s="451" t="s">
        <v>3413</v>
      </c>
      <c r="Z1953" s="500"/>
      <c r="AA1953" s="500"/>
      <c r="AB1953" s="500"/>
      <c r="AC1953" s="500"/>
      <c r="AD1953" s="500"/>
      <c r="AE1953" s="500"/>
      <c r="AF1953" s="500"/>
      <c r="AG1953" s="500"/>
      <c r="AH1953" s="500"/>
      <c r="AI1953" s="500"/>
      <c r="AJ1953" s="500"/>
      <c r="AK1953" s="500"/>
      <c r="AL1953" s="500"/>
      <c r="AM1953" s="500"/>
      <c r="AN1953" s="500"/>
      <c r="AO1953" s="500"/>
      <c r="AP1953" s="500"/>
    </row>
    <row r="1954" spans="1:42" ht="16.5" customHeight="1">
      <c r="A1954" s="439"/>
      <c r="B1954" s="439"/>
      <c r="C1954" s="439"/>
      <c r="D1954" s="439"/>
      <c r="E1954" s="439"/>
      <c r="F1954" s="439"/>
      <c r="Z1954" s="500"/>
      <c r="AA1954" s="500"/>
      <c r="AB1954" s="500"/>
      <c r="AC1954" s="500"/>
      <c r="AD1954" s="500"/>
      <c r="AE1954" s="500"/>
      <c r="AF1954" s="500"/>
      <c r="AG1954" s="500"/>
      <c r="AH1954" s="500"/>
      <c r="AI1954" s="500"/>
      <c r="AJ1954" s="500"/>
      <c r="AK1954" s="500"/>
      <c r="AL1954" s="500"/>
      <c r="AM1954" s="500"/>
      <c r="AN1954" s="500"/>
      <c r="AO1954" s="500"/>
      <c r="AP1954" s="500"/>
    </row>
    <row r="1955" spans="1:42" ht="16.5" customHeight="1">
      <c r="A1955" s="439"/>
      <c r="B1955" s="439"/>
      <c r="C1955" s="439"/>
      <c r="D1955" s="439"/>
      <c r="E1955" s="439"/>
      <c r="F1955" s="439"/>
      <c r="Z1955" s="500"/>
      <c r="AA1955" s="500"/>
      <c r="AB1955" s="500"/>
      <c r="AC1955" s="500"/>
      <c r="AD1955" s="500"/>
      <c r="AE1955" s="500"/>
      <c r="AF1955" s="500"/>
      <c r="AG1955" s="500"/>
      <c r="AH1955" s="500"/>
      <c r="AI1955" s="500"/>
      <c r="AJ1955" s="500"/>
      <c r="AK1955" s="500"/>
      <c r="AL1955" s="500"/>
      <c r="AM1955" s="500"/>
      <c r="AN1955" s="500"/>
      <c r="AO1955" s="500"/>
      <c r="AP1955" s="500"/>
    </row>
    <row r="1956" spans="1:42" ht="16.5" customHeight="1">
      <c r="A1956" s="439"/>
      <c r="B1956" s="439"/>
      <c r="C1956" s="439"/>
      <c r="D1956" s="439"/>
      <c r="E1956" s="439"/>
      <c r="F1956" s="439"/>
      <c r="Z1956" s="500"/>
      <c r="AA1956" s="500"/>
      <c r="AB1956" s="500"/>
      <c r="AC1956" s="500"/>
      <c r="AD1956" s="500"/>
      <c r="AE1956" s="500"/>
      <c r="AF1956" s="500"/>
      <c r="AG1956" s="500"/>
      <c r="AH1956" s="500"/>
      <c r="AI1956" s="500"/>
      <c r="AJ1956" s="500"/>
      <c r="AK1956" s="500"/>
      <c r="AL1956" s="500"/>
      <c r="AM1956" s="500"/>
      <c r="AN1956" s="500"/>
      <c r="AO1956" s="500"/>
      <c r="AP1956" s="500"/>
    </row>
    <row r="1957" spans="1:42" ht="16.5" customHeight="1">
      <c r="A1957" s="439"/>
      <c r="B1957" s="439"/>
      <c r="C1957" s="439"/>
      <c r="D1957" s="439"/>
      <c r="E1957" s="439"/>
      <c r="F1957" s="439"/>
      <c r="Z1957" s="500"/>
      <c r="AA1957" s="500"/>
      <c r="AB1957" s="500"/>
      <c r="AC1957" s="500"/>
      <c r="AD1957" s="500"/>
      <c r="AE1957" s="500"/>
      <c r="AF1957" s="500"/>
      <c r="AG1957" s="500"/>
      <c r="AH1957" s="500"/>
      <c r="AI1957" s="500"/>
      <c r="AJ1957" s="500"/>
      <c r="AK1957" s="500"/>
      <c r="AL1957" s="500"/>
      <c r="AM1957" s="500"/>
      <c r="AN1957" s="500"/>
      <c r="AO1957" s="500"/>
      <c r="AP1957" s="500"/>
    </row>
    <row r="1958" spans="1:42" ht="16.5" customHeight="1">
      <c r="A1958" s="439"/>
      <c r="B1958" s="439"/>
      <c r="C1958" s="439"/>
      <c r="D1958" s="439"/>
      <c r="E1958" s="439"/>
      <c r="F1958" s="439"/>
      <c r="Z1958" s="500"/>
      <c r="AA1958" s="500"/>
      <c r="AB1958" s="500"/>
      <c r="AC1958" s="500"/>
      <c r="AD1958" s="500"/>
      <c r="AE1958" s="500"/>
      <c r="AF1958" s="500"/>
      <c r="AG1958" s="500"/>
      <c r="AH1958" s="500"/>
      <c r="AI1958" s="500"/>
      <c r="AJ1958" s="500"/>
      <c r="AK1958" s="500"/>
      <c r="AL1958" s="500"/>
      <c r="AM1958" s="500"/>
      <c r="AN1958" s="500"/>
      <c r="AO1958" s="500"/>
      <c r="AP1958" s="500"/>
    </row>
    <row r="1959" spans="1:42" ht="16.5" customHeight="1">
      <c r="A1959" s="439"/>
      <c r="B1959" s="439"/>
      <c r="C1959" s="439"/>
      <c r="D1959" s="439"/>
      <c r="E1959" s="439"/>
      <c r="F1959" s="439"/>
      <c r="Z1959" s="500"/>
      <c r="AA1959" s="500"/>
      <c r="AB1959" s="500"/>
      <c r="AC1959" s="500"/>
      <c r="AD1959" s="500"/>
      <c r="AE1959" s="500"/>
      <c r="AF1959" s="500"/>
      <c r="AG1959" s="500"/>
      <c r="AH1959" s="500"/>
      <c r="AI1959" s="500"/>
      <c r="AJ1959" s="500"/>
      <c r="AK1959" s="500"/>
      <c r="AL1959" s="500"/>
      <c r="AM1959" s="500"/>
      <c r="AN1959" s="500"/>
      <c r="AO1959" s="500"/>
      <c r="AP1959" s="500"/>
    </row>
    <row r="1960" spans="1:42" ht="16.5" customHeight="1">
      <c r="A1960" s="439"/>
      <c r="B1960" s="439"/>
      <c r="C1960" s="439"/>
      <c r="D1960" s="439"/>
      <c r="E1960" s="439"/>
      <c r="F1960" s="439"/>
      <c r="Z1960" s="500"/>
      <c r="AA1960" s="500"/>
      <c r="AB1960" s="500"/>
      <c r="AC1960" s="500"/>
      <c r="AD1960" s="500"/>
      <c r="AE1960" s="500"/>
      <c r="AF1960" s="500"/>
      <c r="AG1960" s="500"/>
      <c r="AH1960" s="500"/>
      <c r="AI1960" s="500"/>
      <c r="AJ1960" s="500"/>
      <c r="AK1960" s="500"/>
      <c r="AL1960" s="500"/>
      <c r="AM1960" s="500"/>
      <c r="AN1960" s="500"/>
      <c r="AO1960" s="500"/>
      <c r="AP1960" s="500"/>
    </row>
    <row r="1961" spans="1:42" ht="16.5" customHeight="1">
      <c r="A1961" s="439"/>
      <c r="B1961" s="439"/>
      <c r="C1961" s="439"/>
      <c r="D1961" s="439"/>
      <c r="E1961" s="439"/>
      <c r="F1961" s="439"/>
      <c r="Z1961" s="500"/>
      <c r="AA1961" s="500"/>
      <c r="AB1961" s="500"/>
      <c r="AC1961" s="500"/>
      <c r="AD1961" s="500"/>
      <c r="AE1961" s="500"/>
      <c r="AF1961" s="500"/>
      <c r="AG1961" s="500"/>
      <c r="AH1961" s="500"/>
      <c r="AI1961" s="500"/>
      <c r="AJ1961" s="500"/>
      <c r="AK1961" s="500"/>
      <c r="AL1961" s="500"/>
      <c r="AM1961" s="500"/>
      <c r="AN1961" s="500"/>
      <c r="AO1961" s="500"/>
      <c r="AP1961" s="500"/>
    </row>
    <row r="1962" spans="1:42" ht="16.5" customHeight="1">
      <c r="A1962" s="439"/>
      <c r="B1962" s="439"/>
      <c r="C1962" s="439"/>
      <c r="D1962" s="439"/>
      <c r="E1962" s="439"/>
      <c r="F1962" s="439"/>
      <c r="Z1962" s="500"/>
      <c r="AA1962" s="500"/>
      <c r="AB1962" s="500"/>
      <c r="AC1962" s="500"/>
      <c r="AD1962" s="500"/>
      <c r="AE1962" s="500"/>
      <c r="AF1962" s="500"/>
      <c r="AG1962" s="500"/>
      <c r="AH1962" s="500"/>
      <c r="AI1962" s="500"/>
      <c r="AJ1962" s="500"/>
      <c r="AK1962" s="500"/>
      <c r="AL1962" s="500"/>
      <c r="AM1962" s="500"/>
      <c r="AN1962" s="500"/>
      <c r="AO1962" s="500"/>
      <c r="AP1962" s="500"/>
    </row>
    <row r="1963" spans="1:42" ht="16.5" customHeight="1">
      <c r="A1963" s="439"/>
      <c r="B1963" s="439"/>
      <c r="C1963" s="439"/>
      <c r="D1963" s="439"/>
      <c r="E1963" s="439"/>
      <c r="F1963" s="439"/>
      <c r="Z1963" s="500"/>
      <c r="AA1963" s="500"/>
      <c r="AB1963" s="500"/>
      <c r="AC1963" s="500"/>
      <c r="AD1963" s="500"/>
      <c r="AE1963" s="500"/>
      <c r="AF1963" s="500"/>
      <c r="AG1963" s="500"/>
      <c r="AH1963" s="500"/>
      <c r="AI1963" s="500"/>
      <c r="AJ1963" s="500"/>
      <c r="AK1963" s="500"/>
      <c r="AL1963" s="500"/>
      <c r="AM1963" s="500"/>
      <c r="AN1963" s="500"/>
      <c r="AO1963" s="500"/>
      <c r="AP1963" s="500"/>
    </row>
    <row r="1964" spans="1:42" ht="16.5" customHeight="1">
      <c r="A1964" s="439"/>
      <c r="B1964" s="439"/>
      <c r="C1964" s="439"/>
      <c r="D1964" s="439"/>
      <c r="E1964" s="439"/>
      <c r="F1964" s="439"/>
      <c r="Z1964" s="500"/>
      <c r="AA1964" s="500"/>
      <c r="AB1964" s="500"/>
      <c r="AC1964" s="500"/>
      <c r="AD1964" s="500"/>
      <c r="AE1964" s="500"/>
      <c r="AF1964" s="500"/>
      <c r="AG1964" s="500"/>
      <c r="AH1964" s="500"/>
      <c r="AI1964" s="500"/>
      <c r="AJ1964" s="500"/>
      <c r="AK1964" s="500"/>
      <c r="AL1964" s="500"/>
      <c r="AM1964" s="500"/>
      <c r="AN1964" s="500"/>
      <c r="AO1964" s="500"/>
      <c r="AP1964" s="500"/>
    </row>
    <row r="1965" spans="1:42" ht="16.5" customHeight="1">
      <c r="A1965" s="439"/>
      <c r="B1965" s="439"/>
      <c r="C1965" s="439"/>
      <c r="D1965" s="439"/>
      <c r="E1965" s="439"/>
      <c r="F1965" s="439"/>
      <c r="Z1965" s="500"/>
      <c r="AA1965" s="500"/>
      <c r="AB1965" s="500"/>
      <c r="AC1965" s="500"/>
      <c r="AD1965" s="500"/>
      <c r="AE1965" s="500"/>
      <c r="AF1965" s="500"/>
      <c r="AG1965" s="500"/>
      <c r="AH1965" s="500"/>
      <c r="AI1965" s="500"/>
      <c r="AJ1965" s="500"/>
      <c r="AK1965" s="500"/>
      <c r="AL1965" s="500"/>
      <c r="AM1965" s="500"/>
      <c r="AN1965" s="500"/>
      <c r="AO1965" s="500"/>
      <c r="AP1965" s="500"/>
    </row>
    <row r="1966" spans="1:42" ht="16.5" customHeight="1">
      <c r="A1966" s="439"/>
      <c r="B1966" s="439"/>
      <c r="C1966" s="439"/>
      <c r="D1966" s="439"/>
      <c r="E1966" s="439"/>
      <c r="F1966" s="439"/>
      <c r="Z1966" s="500"/>
      <c r="AA1966" s="500"/>
      <c r="AB1966" s="500"/>
      <c r="AC1966" s="500"/>
      <c r="AD1966" s="500"/>
      <c r="AE1966" s="500"/>
      <c r="AF1966" s="500"/>
      <c r="AG1966" s="500"/>
      <c r="AH1966" s="500"/>
      <c r="AI1966" s="500"/>
      <c r="AJ1966" s="500"/>
      <c r="AK1966" s="500"/>
      <c r="AL1966" s="500"/>
      <c r="AM1966" s="500"/>
      <c r="AN1966" s="500"/>
      <c r="AO1966" s="500"/>
      <c r="AP1966" s="500"/>
    </row>
    <row r="1967" spans="1:42" ht="16.5" customHeight="1">
      <c r="A1967" s="439"/>
      <c r="B1967" s="439"/>
      <c r="C1967" s="439"/>
      <c r="D1967" s="439"/>
      <c r="E1967" s="439"/>
      <c r="F1967" s="439"/>
      <c r="Z1967" s="500"/>
      <c r="AA1967" s="500"/>
      <c r="AB1967" s="500"/>
      <c r="AC1967" s="500"/>
      <c r="AD1967" s="500"/>
      <c r="AE1967" s="500"/>
      <c r="AF1967" s="500"/>
      <c r="AG1967" s="500"/>
      <c r="AH1967" s="500"/>
      <c r="AI1967" s="500"/>
      <c r="AJ1967" s="500"/>
      <c r="AK1967" s="500"/>
      <c r="AL1967" s="500"/>
      <c r="AM1967" s="500"/>
      <c r="AN1967" s="500"/>
      <c r="AO1967" s="500"/>
      <c r="AP1967" s="500"/>
    </row>
    <row r="1968" spans="1:42" ht="16.5" customHeight="1">
      <c r="A1968" s="439"/>
      <c r="B1968" s="439"/>
      <c r="C1968" s="439"/>
      <c r="D1968" s="439"/>
      <c r="E1968" s="439"/>
      <c r="F1968" s="439"/>
      <c r="Z1968" s="500"/>
      <c r="AA1968" s="500"/>
      <c r="AB1968" s="500"/>
      <c r="AC1968" s="500"/>
      <c r="AD1968" s="500"/>
      <c r="AE1968" s="500"/>
      <c r="AF1968" s="500"/>
      <c r="AG1968" s="500"/>
      <c r="AH1968" s="500"/>
      <c r="AI1968" s="500"/>
      <c r="AJ1968" s="500"/>
      <c r="AK1968" s="500"/>
      <c r="AL1968" s="500"/>
      <c r="AM1968" s="500"/>
      <c r="AN1968" s="500"/>
      <c r="AO1968" s="500"/>
      <c r="AP1968" s="500"/>
    </row>
    <row r="1969" spans="1:42" ht="16.5" customHeight="1">
      <c r="A1969" s="439"/>
      <c r="B1969" s="439"/>
      <c r="C1969" s="439"/>
      <c r="D1969" s="439"/>
      <c r="E1969" s="439"/>
      <c r="F1969" s="439"/>
      <c r="Z1969" s="500"/>
      <c r="AA1969" s="500"/>
      <c r="AB1969" s="500"/>
      <c r="AC1969" s="500"/>
      <c r="AD1969" s="500"/>
      <c r="AE1969" s="500"/>
      <c r="AF1969" s="500"/>
      <c r="AG1969" s="500"/>
      <c r="AH1969" s="500"/>
      <c r="AI1969" s="500"/>
      <c r="AJ1969" s="500"/>
      <c r="AK1969" s="500"/>
      <c r="AL1969" s="500"/>
      <c r="AM1969" s="500"/>
      <c r="AN1969" s="500"/>
      <c r="AO1969" s="500"/>
      <c r="AP1969" s="500"/>
    </row>
    <row r="1970" spans="1:42" ht="16.5" customHeight="1">
      <c r="A1970" s="439"/>
      <c r="B1970" s="439"/>
      <c r="C1970" s="439"/>
      <c r="D1970" s="439"/>
      <c r="E1970" s="439"/>
      <c r="F1970" s="439"/>
      <c r="Z1970" s="500"/>
      <c r="AA1970" s="500"/>
      <c r="AB1970" s="500"/>
      <c r="AC1970" s="500"/>
      <c r="AD1970" s="500"/>
      <c r="AE1970" s="500"/>
      <c r="AF1970" s="500"/>
      <c r="AG1970" s="500"/>
      <c r="AH1970" s="500"/>
      <c r="AI1970" s="500"/>
      <c r="AJ1970" s="500"/>
      <c r="AK1970" s="500"/>
      <c r="AL1970" s="500"/>
      <c r="AM1970" s="500"/>
      <c r="AN1970" s="500"/>
      <c r="AO1970" s="500"/>
      <c r="AP1970" s="500"/>
    </row>
    <row r="1971" spans="1:42" ht="16.5" customHeight="1">
      <c r="A1971" s="439"/>
      <c r="B1971" s="439"/>
      <c r="C1971" s="439"/>
      <c r="D1971" s="439"/>
      <c r="E1971" s="439"/>
      <c r="F1971" s="439"/>
      <c r="Z1971" s="500"/>
      <c r="AA1971" s="500"/>
      <c r="AB1971" s="500"/>
      <c r="AC1971" s="500"/>
      <c r="AD1971" s="500"/>
      <c r="AE1971" s="500"/>
      <c r="AF1971" s="500"/>
      <c r="AG1971" s="500"/>
      <c r="AH1971" s="500"/>
      <c r="AI1971" s="500"/>
      <c r="AJ1971" s="500"/>
      <c r="AK1971" s="500"/>
      <c r="AL1971" s="500"/>
      <c r="AM1971" s="500"/>
      <c r="AN1971" s="500"/>
      <c r="AO1971" s="500"/>
      <c r="AP1971" s="500"/>
    </row>
    <row r="1972" spans="1:42" ht="16.5" customHeight="1">
      <c r="A1972" s="439"/>
      <c r="B1972" s="439"/>
      <c r="C1972" s="439"/>
      <c r="D1972" s="439"/>
      <c r="E1972" s="439"/>
      <c r="F1972" s="439"/>
      <c r="Z1972" s="500"/>
      <c r="AA1972" s="500"/>
      <c r="AB1972" s="500"/>
      <c r="AC1972" s="500"/>
      <c r="AD1972" s="500"/>
      <c r="AE1972" s="500"/>
      <c r="AF1972" s="500"/>
      <c r="AG1972" s="500"/>
      <c r="AH1972" s="500"/>
      <c r="AI1972" s="500"/>
      <c r="AJ1972" s="500"/>
      <c r="AK1972" s="500"/>
      <c r="AL1972" s="500"/>
      <c r="AM1972" s="500"/>
      <c r="AN1972" s="500"/>
      <c r="AO1972" s="500"/>
      <c r="AP1972" s="500"/>
    </row>
    <row r="1973" spans="1:42" ht="16.5" customHeight="1">
      <c r="A1973" s="439"/>
      <c r="B1973" s="439"/>
      <c r="C1973" s="439"/>
      <c r="D1973" s="439"/>
      <c r="E1973" s="439"/>
      <c r="F1973" s="439"/>
      <c r="Z1973" s="500"/>
      <c r="AA1973" s="500"/>
      <c r="AB1973" s="500"/>
      <c r="AC1973" s="500"/>
      <c r="AD1973" s="500"/>
      <c r="AE1973" s="500"/>
      <c r="AF1973" s="500"/>
      <c r="AG1973" s="500"/>
      <c r="AH1973" s="500"/>
      <c r="AI1973" s="500"/>
      <c r="AJ1973" s="500"/>
      <c r="AK1973" s="500"/>
      <c r="AL1973" s="500"/>
      <c r="AM1973" s="500"/>
      <c r="AN1973" s="500"/>
      <c r="AO1973" s="500"/>
      <c r="AP1973" s="500"/>
    </row>
    <row r="1974" spans="1:42" ht="16.5" customHeight="1">
      <c r="A1974" s="439"/>
      <c r="B1974" s="439"/>
      <c r="C1974" s="439"/>
      <c r="D1974" s="439"/>
      <c r="E1974" s="439"/>
      <c r="F1974" s="439"/>
      <c r="Z1974" s="500"/>
      <c r="AA1974" s="500"/>
      <c r="AB1974" s="500"/>
      <c r="AC1974" s="500"/>
      <c r="AD1974" s="500"/>
      <c r="AE1974" s="500"/>
      <c r="AF1974" s="500"/>
      <c r="AG1974" s="500"/>
      <c r="AH1974" s="500"/>
      <c r="AI1974" s="500"/>
      <c r="AJ1974" s="500"/>
      <c r="AK1974" s="500"/>
      <c r="AL1974" s="500"/>
      <c r="AM1974" s="500"/>
      <c r="AN1974" s="500"/>
      <c r="AO1974" s="500"/>
      <c r="AP1974" s="500"/>
    </row>
    <row r="1975" spans="1:42" ht="16.5" customHeight="1">
      <c r="A1975" s="439"/>
      <c r="B1975" s="439"/>
      <c r="C1975" s="439"/>
      <c r="D1975" s="439"/>
      <c r="E1975" s="439"/>
      <c r="F1975" s="439"/>
      <c r="Z1975" s="500"/>
      <c r="AA1975" s="500"/>
      <c r="AB1975" s="500"/>
      <c r="AC1975" s="500"/>
      <c r="AD1975" s="500"/>
      <c r="AE1975" s="500"/>
      <c r="AF1975" s="500"/>
      <c r="AG1975" s="500"/>
      <c r="AH1975" s="500"/>
      <c r="AI1975" s="500"/>
      <c r="AJ1975" s="500"/>
      <c r="AK1975" s="500"/>
      <c r="AL1975" s="500"/>
      <c r="AM1975" s="500"/>
      <c r="AN1975" s="500"/>
      <c r="AO1975" s="500"/>
      <c r="AP1975" s="500"/>
    </row>
    <row r="1976" spans="1:42" ht="16.5" customHeight="1">
      <c r="A1976" s="439"/>
      <c r="B1976" s="439"/>
      <c r="C1976" s="439"/>
      <c r="D1976" s="439"/>
      <c r="E1976" s="439"/>
      <c r="F1976" s="439"/>
      <c r="Z1976" s="500"/>
      <c r="AA1976" s="500"/>
      <c r="AB1976" s="500"/>
      <c r="AC1976" s="500"/>
      <c r="AD1976" s="500"/>
      <c r="AE1976" s="500"/>
      <c r="AF1976" s="500"/>
      <c r="AG1976" s="500"/>
      <c r="AH1976" s="500"/>
      <c r="AI1976" s="500"/>
      <c r="AJ1976" s="500"/>
      <c r="AK1976" s="500"/>
      <c r="AL1976" s="500"/>
      <c r="AM1976" s="500"/>
      <c r="AN1976" s="500"/>
      <c r="AO1976" s="500"/>
      <c r="AP1976" s="500"/>
    </row>
    <row r="1977" spans="1:42" ht="16.5" customHeight="1">
      <c r="A1977" s="439"/>
      <c r="B1977" s="439"/>
      <c r="C1977" s="439"/>
      <c r="D1977" s="439"/>
      <c r="E1977" s="439"/>
      <c r="F1977" s="439"/>
      <c r="Z1977" s="500"/>
      <c r="AA1977" s="500"/>
      <c r="AB1977" s="500"/>
      <c r="AC1977" s="500"/>
      <c r="AD1977" s="500"/>
      <c r="AE1977" s="500"/>
      <c r="AF1977" s="500"/>
      <c r="AG1977" s="500"/>
      <c r="AH1977" s="500"/>
      <c r="AI1977" s="500"/>
      <c r="AJ1977" s="500"/>
      <c r="AK1977" s="500"/>
      <c r="AL1977" s="500"/>
      <c r="AM1977" s="500"/>
      <c r="AN1977" s="500"/>
      <c r="AO1977" s="500"/>
      <c r="AP1977" s="500"/>
    </row>
    <row r="1978" spans="1:42" ht="16.5" customHeight="1">
      <c r="A1978" s="439"/>
      <c r="B1978" s="439"/>
      <c r="C1978" s="439"/>
      <c r="D1978" s="439"/>
      <c r="E1978" s="439"/>
      <c r="F1978" s="439"/>
      <c r="Z1978" s="500"/>
      <c r="AA1978" s="500"/>
      <c r="AB1978" s="500"/>
      <c r="AC1978" s="500"/>
      <c r="AD1978" s="500"/>
      <c r="AE1978" s="500"/>
      <c r="AF1978" s="500"/>
      <c r="AG1978" s="500"/>
      <c r="AH1978" s="500"/>
      <c r="AI1978" s="500"/>
      <c r="AJ1978" s="500"/>
      <c r="AK1978" s="500"/>
      <c r="AL1978" s="500"/>
      <c r="AM1978" s="500"/>
      <c r="AN1978" s="500"/>
      <c r="AO1978" s="500"/>
      <c r="AP1978" s="500"/>
    </row>
    <row r="1979" spans="1:42" ht="16.5" customHeight="1">
      <c r="A1979" s="439"/>
      <c r="B1979" s="439"/>
      <c r="C1979" s="439"/>
      <c r="D1979" s="439"/>
      <c r="E1979" s="439"/>
      <c r="F1979" s="439"/>
      <c r="Z1979" s="500"/>
      <c r="AA1979" s="500"/>
      <c r="AB1979" s="500"/>
      <c r="AC1979" s="500"/>
      <c r="AD1979" s="500"/>
      <c r="AE1979" s="500"/>
      <c r="AF1979" s="500"/>
      <c r="AG1979" s="500"/>
      <c r="AH1979" s="500"/>
      <c r="AI1979" s="500"/>
      <c r="AJ1979" s="500"/>
      <c r="AK1979" s="500"/>
      <c r="AL1979" s="500"/>
      <c r="AM1979" s="500"/>
      <c r="AN1979" s="500"/>
      <c r="AO1979" s="500"/>
      <c r="AP1979" s="500"/>
    </row>
    <row r="1980" spans="1:42" ht="16.5" customHeight="1">
      <c r="A1980" s="439"/>
      <c r="B1980" s="439"/>
      <c r="C1980" s="439"/>
      <c r="D1980" s="439"/>
      <c r="E1980" s="439"/>
      <c r="F1980" s="439"/>
      <c r="Z1980" s="500"/>
      <c r="AA1980" s="500"/>
      <c r="AB1980" s="500"/>
      <c r="AC1980" s="500"/>
      <c r="AD1980" s="500"/>
      <c r="AE1980" s="500"/>
      <c r="AF1980" s="500"/>
      <c r="AG1980" s="500"/>
      <c r="AH1980" s="500"/>
      <c r="AI1980" s="500"/>
      <c r="AJ1980" s="500"/>
      <c r="AK1980" s="500"/>
      <c r="AL1980" s="500"/>
      <c r="AM1980" s="500"/>
      <c r="AN1980" s="500"/>
      <c r="AO1980" s="500"/>
      <c r="AP1980" s="500"/>
    </row>
    <row r="1981" spans="1:42" ht="16.5" customHeight="1">
      <c r="A1981" s="439"/>
      <c r="B1981" s="439"/>
      <c r="C1981" s="439"/>
      <c r="D1981" s="439"/>
      <c r="E1981" s="439"/>
      <c r="F1981" s="439"/>
      <c r="Z1981" s="500"/>
      <c r="AA1981" s="500"/>
      <c r="AB1981" s="500"/>
      <c r="AC1981" s="500"/>
      <c r="AD1981" s="500"/>
      <c r="AE1981" s="500"/>
      <c r="AF1981" s="500"/>
      <c r="AG1981" s="500"/>
      <c r="AH1981" s="500"/>
      <c r="AI1981" s="500"/>
      <c r="AJ1981" s="500"/>
      <c r="AK1981" s="500"/>
      <c r="AL1981" s="500"/>
      <c r="AM1981" s="500"/>
      <c r="AN1981" s="500"/>
      <c r="AO1981" s="500"/>
      <c r="AP1981" s="500"/>
    </row>
    <row r="1982" spans="1:42" ht="16.5" customHeight="1">
      <c r="A1982" s="439"/>
      <c r="B1982" s="439"/>
      <c r="C1982" s="439"/>
      <c r="D1982" s="439"/>
      <c r="E1982" s="439"/>
      <c r="F1982" s="439"/>
      <c r="Z1982" s="500"/>
      <c r="AA1982" s="500"/>
      <c r="AB1982" s="500"/>
      <c r="AC1982" s="500"/>
      <c r="AD1982" s="500"/>
      <c r="AE1982" s="500"/>
      <c r="AF1982" s="500"/>
      <c r="AG1982" s="500"/>
      <c r="AH1982" s="500"/>
      <c r="AI1982" s="500"/>
      <c r="AJ1982" s="500"/>
      <c r="AK1982" s="500"/>
      <c r="AL1982" s="500"/>
      <c r="AM1982" s="500"/>
      <c r="AN1982" s="500"/>
      <c r="AO1982" s="500"/>
      <c r="AP1982" s="500"/>
    </row>
    <row r="1983" spans="1:42" ht="16.5" customHeight="1">
      <c r="A1983" s="439"/>
      <c r="B1983" s="439"/>
      <c r="C1983" s="439"/>
      <c r="D1983" s="439"/>
      <c r="E1983" s="439"/>
      <c r="F1983" s="439"/>
      <c r="Z1983" s="500"/>
      <c r="AA1983" s="500"/>
      <c r="AB1983" s="500"/>
      <c r="AC1983" s="500"/>
      <c r="AD1983" s="500"/>
      <c r="AE1983" s="500"/>
      <c r="AF1983" s="500"/>
      <c r="AG1983" s="500"/>
      <c r="AH1983" s="500"/>
      <c r="AI1983" s="500"/>
      <c r="AJ1983" s="500"/>
      <c r="AK1983" s="500"/>
      <c r="AL1983" s="500"/>
      <c r="AM1983" s="500"/>
      <c r="AN1983" s="500"/>
      <c r="AO1983" s="500"/>
      <c r="AP1983" s="500"/>
    </row>
    <row r="1984" spans="1:42" ht="16.5" customHeight="1">
      <c r="A1984" s="439"/>
      <c r="B1984" s="439"/>
      <c r="C1984" s="439"/>
      <c r="D1984" s="439"/>
      <c r="E1984" s="439"/>
      <c r="F1984" s="439"/>
      <c r="Z1984" s="500"/>
      <c r="AA1984" s="500"/>
      <c r="AB1984" s="500"/>
      <c r="AC1984" s="500"/>
      <c r="AD1984" s="500"/>
      <c r="AE1984" s="500"/>
      <c r="AF1984" s="500"/>
      <c r="AG1984" s="500"/>
      <c r="AH1984" s="500"/>
      <c r="AI1984" s="500"/>
      <c r="AJ1984" s="500"/>
      <c r="AK1984" s="500"/>
      <c r="AL1984" s="500"/>
      <c r="AM1984" s="500"/>
      <c r="AN1984" s="500"/>
      <c r="AO1984" s="500"/>
      <c r="AP1984" s="500"/>
    </row>
    <row r="1985" spans="1:42" ht="16.5" customHeight="1">
      <c r="A1985" s="439"/>
      <c r="B1985" s="439"/>
      <c r="C1985" s="439"/>
      <c r="D1985" s="439"/>
      <c r="E1985" s="439"/>
      <c r="F1985" s="439"/>
      <c r="Z1985" s="500"/>
      <c r="AA1985" s="500"/>
      <c r="AB1985" s="500"/>
      <c r="AC1985" s="500"/>
      <c r="AD1985" s="500"/>
      <c r="AE1985" s="500"/>
      <c r="AF1985" s="500"/>
      <c r="AG1985" s="500"/>
      <c r="AH1985" s="500"/>
      <c r="AI1985" s="500"/>
      <c r="AJ1985" s="500"/>
      <c r="AK1985" s="500"/>
      <c r="AL1985" s="500"/>
      <c r="AM1985" s="500"/>
      <c r="AN1985" s="500"/>
      <c r="AO1985" s="500"/>
      <c r="AP1985" s="500"/>
    </row>
    <row r="1986" spans="1:42" ht="16.5" customHeight="1">
      <c r="A1986" s="439"/>
      <c r="B1986" s="439"/>
      <c r="C1986" s="439"/>
      <c r="D1986" s="439"/>
      <c r="E1986" s="439"/>
      <c r="F1986" s="439"/>
      <c r="Z1986" s="500"/>
      <c r="AA1986" s="500"/>
      <c r="AB1986" s="500"/>
      <c r="AC1986" s="500"/>
      <c r="AD1986" s="500"/>
      <c r="AE1986" s="500"/>
      <c r="AF1986" s="500"/>
      <c r="AG1986" s="500"/>
      <c r="AH1986" s="500"/>
      <c r="AI1986" s="500"/>
      <c r="AJ1986" s="500"/>
      <c r="AK1986" s="500"/>
      <c r="AL1986" s="500"/>
      <c r="AM1986" s="500"/>
      <c r="AN1986" s="500"/>
      <c r="AO1986" s="500"/>
      <c r="AP1986" s="500"/>
    </row>
    <row r="1987" spans="1:42" ht="16.5" customHeight="1">
      <c r="A1987" s="439"/>
      <c r="B1987" s="439"/>
      <c r="C1987" s="439"/>
      <c r="D1987" s="439"/>
      <c r="E1987" s="439"/>
      <c r="F1987" s="439"/>
      <c r="Z1987" s="500"/>
      <c r="AA1987" s="500"/>
      <c r="AB1987" s="500"/>
      <c r="AC1987" s="500"/>
      <c r="AD1987" s="500"/>
      <c r="AE1987" s="500"/>
      <c r="AF1987" s="500"/>
      <c r="AG1987" s="500"/>
      <c r="AH1987" s="500"/>
      <c r="AI1987" s="500"/>
      <c r="AJ1987" s="500"/>
      <c r="AK1987" s="500"/>
      <c r="AL1987" s="500"/>
      <c r="AM1987" s="500"/>
      <c r="AN1987" s="500"/>
      <c r="AO1987" s="500"/>
      <c r="AP1987" s="500"/>
    </row>
    <row r="1988" spans="1:42" ht="16.5" customHeight="1">
      <c r="A1988" s="439"/>
      <c r="B1988" s="439"/>
      <c r="C1988" s="439"/>
      <c r="D1988" s="439"/>
      <c r="E1988" s="439"/>
      <c r="F1988" s="439"/>
      <c r="Z1988" s="500"/>
      <c r="AA1988" s="500"/>
      <c r="AB1988" s="500"/>
      <c r="AC1988" s="500"/>
      <c r="AD1988" s="500"/>
      <c r="AE1988" s="500"/>
      <c r="AF1988" s="500"/>
      <c r="AG1988" s="500"/>
      <c r="AH1988" s="500"/>
      <c r="AI1988" s="500"/>
      <c r="AJ1988" s="500"/>
      <c r="AK1988" s="500"/>
      <c r="AL1988" s="500"/>
      <c r="AM1988" s="500"/>
      <c r="AN1988" s="500"/>
      <c r="AO1988" s="500"/>
      <c r="AP1988" s="500"/>
    </row>
    <row r="1989" spans="1:42" ht="16.5" customHeight="1">
      <c r="A1989" s="439"/>
      <c r="B1989" s="439"/>
      <c r="C1989" s="439"/>
      <c r="D1989" s="439"/>
      <c r="E1989" s="439"/>
      <c r="F1989" s="439"/>
      <c r="Z1989" s="500"/>
      <c r="AA1989" s="500"/>
      <c r="AB1989" s="500"/>
      <c r="AC1989" s="500"/>
      <c r="AD1989" s="500"/>
      <c r="AE1989" s="500"/>
      <c r="AF1989" s="500"/>
      <c r="AG1989" s="500"/>
      <c r="AH1989" s="500"/>
      <c r="AI1989" s="500"/>
      <c r="AJ1989" s="500"/>
      <c r="AK1989" s="500"/>
      <c r="AL1989" s="500"/>
      <c r="AM1989" s="500"/>
      <c r="AN1989" s="500"/>
      <c r="AO1989" s="500"/>
      <c r="AP1989" s="500"/>
    </row>
    <row r="1990" spans="1:42" ht="16.5" customHeight="1">
      <c r="A1990" s="439"/>
      <c r="B1990" s="439"/>
      <c r="C1990" s="439"/>
      <c r="D1990" s="439"/>
      <c r="E1990" s="439"/>
      <c r="F1990" s="439"/>
      <c r="Z1990" s="500"/>
      <c r="AA1990" s="500"/>
      <c r="AB1990" s="500"/>
      <c r="AC1990" s="500"/>
      <c r="AD1990" s="500"/>
      <c r="AE1990" s="500"/>
      <c r="AF1990" s="500"/>
      <c r="AG1990" s="500"/>
      <c r="AH1990" s="500"/>
      <c r="AI1990" s="500"/>
      <c r="AJ1990" s="500"/>
      <c r="AK1990" s="500"/>
      <c r="AL1990" s="500"/>
      <c r="AM1990" s="500"/>
      <c r="AN1990" s="500"/>
      <c r="AO1990" s="500"/>
      <c r="AP1990" s="500"/>
    </row>
    <row r="1991" spans="1:42" ht="16.5" customHeight="1">
      <c r="A1991" s="439"/>
      <c r="B1991" s="439"/>
      <c r="C1991" s="439"/>
      <c r="D1991" s="439"/>
      <c r="E1991" s="439"/>
      <c r="F1991" s="439"/>
      <c r="Z1991" s="500"/>
      <c r="AA1991" s="500"/>
      <c r="AB1991" s="500"/>
      <c r="AC1991" s="500"/>
      <c r="AD1991" s="500"/>
      <c r="AE1991" s="500"/>
      <c r="AF1991" s="500"/>
      <c r="AG1991" s="500"/>
      <c r="AH1991" s="500"/>
      <c r="AI1991" s="500"/>
      <c r="AJ1991" s="500"/>
      <c r="AK1991" s="500"/>
      <c r="AL1991" s="500"/>
      <c r="AM1991" s="500"/>
      <c r="AN1991" s="500"/>
      <c r="AO1991" s="500"/>
      <c r="AP1991" s="500"/>
    </row>
    <row r="1992" spans="1:42" ht="16.5" customHeight="1">
      <c r="A1992" s="439"/>
      <c r="B1992" s="439"/>
      <c r="C1992" s="439"/>
      <c r="D1992" s="439"/>
      <c r="E1992" s="439"/>
      <c r="F1992" s="439"/>
      <c r="Z1992" s="500"/>
      <c r="AA1992" s="500"/>
      <c r="AB1992" s="500"/>
      <c r="AC1992" s="500"/>
      <c r="AD1992" s="500"/>
      <c r="AE1992" s="500"/>
      <c r="AF1992" s="500"/>
      <c r="AG1992" s="500"/>
      <c r="AH1992" s="500"/>
      <c r="AI1992" s="500"/>
      <c r="AJ1992" s="500"/>
      <c r="AK1992" s="500"/>
      <c r="AL1992" s="500"/>
      <c r="AM1992" s="500"/>
      <c r="AN1992" s="500"/>
      <c r="AO1992" s="500"/>
      <c r="AP1992" s="500"/>
    </row>
    <row r="1993" spans="1:42" ht="16.5" customHeight="1">
      <c r="A1993" s="439"/>
      <c r="B1993" s="439"/>
      <c r="C1993" s="439"/>
      <c r="D1993" s="439"/>
      <c r="E1993" s="439"/>
      <c r="F1993" s="439"/>
      <c r="Z1993" s="500"/>
      <c r="AA1993" s="500"/>
      <c r="AB1993" s="500"/>
      <c r="AC1993" s="500"/>
      <c r="AD1993" s="500"/>
      <c r="AE1993" s="500"/>
      <c r="AF1993" s="500"/>
      <c r="AG1993" s="500"/>
      <c r="AH1993" s="500"/>
      <c r="AI1993" s="500"/>
      <c r="AJ1993" s="500"/>
      <c r="AK1993" s="500"/>
      <c r="AL1993" s="500"/>
      <c r="AM1993" s="500"/>
      <c r="AN1993" s="500"/>
      <c r="AO1993" s="500"/>
      <c r="AP1993" s="500"/>
    </row>
    <row r="1994" spans="1:42" ht="16.5" customHeight="1">
      <c r="A1994" s="439"/>
      <c r="B1994" s="439"/>
      <c r="C1994" s="439"/>
      <c r="D1994" s="439"/>
      <c r="E1994" s="439"/>
      <c r="F1994" s="439"/>
      <c r="Z1994" s="500"/>
      <c r="AA1994" s="500"/>
      <c r="AB1994" s="500"/>
      <c r="AC1994" s="500"/>
      <c r="AD1994" s="500"/>
      <c r="AE1994" s="500"/>
      <c r="AF1994" s="500"/>
      <c r="AG1994" s="500"/>
      <c r="AH1994" s="500"/>
      <c r="AI1994" s="500"/>
      <c r="AJ1994" s="500"/>
      <c r="AK1994" s="500"/>
      <c r="AL1994" s="500"/>
      <c r="AM1994" s="500"/>
      <c r="AN1994" s="500"/>
      <c r="AO1994" s="500"/>
      <c r="AP1994" s="500"/>
    </row>
    <row r="1995" spans="1:42" ht="16.5" customHeight="1">
      <c r="A1995" s="439"/>
      <c r="B1995" s="439"/>
      <c r="C1995" s="439"/>
      <c r="D1995" s="439"/>
      <c r="E1995" s="439"/>
      <c r="F1995" s="439"/>
      <c r="Z1995" s="500"/>
      <c r="AA1995" s="500"/>
      <c r="AB1995" s="500"/>
      <c r="AC1995" s="500"/>
      <c r="AD1995" s="500"/>
      <c r="AE1995" s="500"/>
      <c r="AF1995" s="500"/>
      <c r="AG1995" s="500"/>
      <c r="AH1995" s="500"/>
      <c r="AI1995" s="500"/>
      <c r="AJ1995" s="500"/>
      <c r="AK1995" s="500"/>
      <c r="AL1995" s="500"/>
      <c r="AM1995" s="500"/>
      <c r="AN1995" s="500"/>
      <c r="AO1995" s="500"/>
      <c r="AP1995" s="500"/>
    </row>
    <row r="1996" spans="1:42" ht="16.5" customHeight="1">
      <c r="A1996" s="439"/>
      <c r="B1996" s="439"/>
      <c r="C1996" s="439"/>
      <c r="D1996" s="439"/>
      <c r="E1996" s="439"/>
      <c r="F1996" s="439"/>
      <c r="Z1996" s="500"/>
      <c r="AA1996" s="500"/>
      <c r="AB1996" s="500"/>
      <c r="AC1996" s="500"/>
      <c r="AD1996" s="500"/>
      <c r="AE1996" s="500"/>
      <c r="AF1996" s="500"/>
      <c r="AG1996" s="500"/>
      <c r="AH1996" s="500"/>
      <c r="AI1996" s="500"/>
      <c r="AJ1996" s="500"/>
      <c r="AK1996" s="500"/>
      <c r="AL1996" s="500"/>
      <c r="AM1996" s="500"/>
      <c r="AN1996" s="500"/>
      <c r="AO1996" s="500"/>
      <c r="AP1996" s="500"/>
    </row>
    <row r="1997" spans="1:42" ht="16.5" customHeight="1">
      <c r="A1997" s="439"/>
      <c r="B1997" s="439"/>
      <c r="C1997" s="439"/>
      <c r="D1997" s="439"/>
      <c r="E1997" s="439"/>
      <c r="F1997" s="439"/>
      <c r="Z1997" s="500"/>
      <c r="AA1997" s="500"/>
      <c r="AB1997" s="500"/>
      <c r="AC1997" s="500"/>
      <c r="AD1997" s="500"/>
      <c r="AE1997" s="500"/>
      <c r="AF1997" s="500"/>
      <c r="AG1997" s="500"/>
      <c r="AH1997" s="500"/>
      <c r="AI1997" s="500"/>
      <c r="AJ1997" s="500"/>
      <c r="AK1997" s="500"/>
      <c r="AL1997" s="500"/>
      <c r="AM1997" s="500"/>
      <c r="AN1997" s="500"/>
      <c r="AO1997" s="500"/>
      <c r="AP1997" s="500"/>
    </row>
    <row r="1998" spans="1:42" ht="16.5" customHeight="1">
      <c r="A1998" s="439"/>
      <c r="B1998" s="439"/>
      <c r="C1998" s="439"/>
      <c r="D1998" s="439"/>
      <c r="E1998" s="439"/>
      <c r="F1998" s="439"/>
      <c r="Z1998" s="500"/>
      <c r="AA1998" s="500"/>
      <c r="AB1998" s="500"/>
      <c r="AC1998" s="500"/>
      <c r="AD1998" s="500"/>
      <c r="AE1998" s="500"/>
      <c r="AF1998" s="500"/>
      <c r="AG1998" s="500"/>
      <c r="AH1998" s="500"/>
      <c r="AI1998" s="500"/>
      <c r="AJ1998" s="500"/>
      <c r="AK1998" s="500"/>
      <c r="AL1998" s="500"/>
      <c r="AM1998" s="500"/>
      <c r="AN1998" s="500"/>
      <c r="AO1998" s="500"/>
      <c r="AP1998" s="500"/>
    </row>
    <row r="1999" spans="1:42" ht="16.5" customHeight="1">
      <c r="A1999" s="439"/>
      <c r="B1999" s="439"/>
      <c r="C1999" s="439"/>
      <c r="D1999" s="439"/>
      <c r="E1999" s="439"/>
      <c r="F1999" s="439"/>
      <c r="Z1999" s="500"/>
      <c r="AA1999" s="500"/>
      <c r="AB1999" s="500"/>
      <c r="AC1999" s="500"/>
      <c r="AD1999" s="500"/>
      <c r="AE1999" s="500"/>
      <c r="AF1999" s="500"/>
      <c r="AG1999" s="500"/>
      <c r="AH1999" s="500"/>
      <c r="AI1999" s="500"/>
      <c r="AJ1999" s="500"/>
      <c r="AK1999" s="500"/>
      <c r="AL1999" s="500"/>
      <c r="AM1999" s="500"/>
      <c r="AN1999" s="500"/>
      <c r="AO1999" s="500"/>
      <c r="AP1999" s="500"/>
    </row>
    <row r="2000" spans="1:42" ht="16.5" customHeight="1">
      <c r="A2000" s="439"/>
      <c r="B2000" s="439"/>
      <c r="C2000" s="439"/>
      <c r="D2000" s="439"/>
      <c r="E2000" s="439"/>
      <c r="F2000" s="439"/>
      <c r="Z2000" s="500"/>
      <c r="AA2000" s="500"/>
      <c r="AB2000" s="500"/>
      <c r="AC2000" s="500"/>
      <c r="AD2000" s="500"/>
      <c r="AE2000" s="500"/>
      <c r="AF2000" s="500"/>
      <c r="AG2000" s="500"/>
      <c r="AH2000" s="500"/>
      <c r="AI2000" s="500"/>
      <c r="AJ2000" s="500"/>
      <c r="AK2000" s="500"/>
      <c r="AL2000" s="500"/>
      <c r="AM2000" s="500"/>
      <c r="AN2000" s="500"/>
      <c r="AO2000" s="500"/>
      <c r="AP2000" s="500"/>
    </row>
    <row r="2001" spans="1:42" ht="16.5" customHeight="1">
      <c r="A2001" s="439"/>
      <c r="B2001" s="439"/>
      <c r="C2001" s="439"/>
      <c r="D2001" s="439"/>
      <c r="E2001" s="439"/>
      <c r="F2001" s="439"/>
      <c r="Z2001" s="500"/>
      <c r="AA2001" s="500"/>
      <c r="AB2001" s="500"/>
      <c r="AC2001" s="500"/>
      <c r="AD2001" s="500"/>
      <c r="AE2001" s="500"/>
      <c r="AF2001" s="500"/>
      <c r="AG2001" s="500"/>
      <c r="AH2001" s="500"/>
      <c r="AI2001" s="500"/>
      <c r="AJ2001" s="500"/>
      <c r="AK2001" s="500"/>
      <c r="AL2001" s="500"/>
      <c r="AM2001" s="500"/>
      <c r="AN2001" s="500"/>
      <c r="AO2001" s="500"/>
      <c r="AP2001" s="500"/>
    </row>
    <row r="2002" spans="1:42" ht="16.5" customHeight="1">
      <c r="A2002" s="439"/>
      <c r="B2002" s="439"/>
      <c r="C2002" s="439"/>
      <c r="D2002" s="439"/>
      <c r="E2002" s="439"/>
      <c r="F2002" s="439"/>
      <c r="Z2002" s="500"/>
      <c r="AA2002" s="500"/>
      <c r="AB2002" s="500"/>
      <c r="AC2002" s="500"/>
      <c r="AD2002" s="500"/>
      <c r="AE2002" s="500"/>
      <c r="AF2002" s="500"/>
      <c r="AG2002" s="500"/>
      <c r="AH2002" s="500"/>
      <c r="AI2002" s="500"/>
      <c r="AJ2002" s="500"/>
      <c r="AK2002" s="500"/>
      <c r="AL2002" s="500"/>
      <c r="AM2002" s="500"/>
      <c r="AN2002" s="500"/>
      <c r="AO2002" s="500"/>
      <c r="AP2002" s="500"/>
    </row>
    <row r="2003" spans="1:42" ht="16.5" customHeight="1">
      <c r="A2003" s="497"/>
      <c r="B2003" s="497"/>
      <c r="C2003" s="497"/>
      <c r="D2003" s="497"/>
      <c r="E2003" s="497"/>
      <c r="F2003" s="497"/>
      <c r="Z2003" s="500"/>
      <c r="AA2003" s="500"/>
      <c r="AB2003" s="500"/>
      <c r="AC2003" s="500"/>
      <c r="AD2003" s="500"/>
      <c r="AE2003" s="500"/>
      <c r="AF2003" s="500"/>
      <c r="AG2003" s="500"/>
      <c r="AH2003" s="500"/>
      <c r="AI2003" s="500"/>
      <c r="AJ2003" s="500"/>
      <c r="AK2003" s="500"/>
      <c r="AL2003" s="500"/>
      <c r="AM2003" s="500"/>
      <c r="AN2003" s="500"/>
      <c r="AO2003" s="500"/>
      <c r="AP2003" s="500"/>
    </row>
    <row r="2004" spans="1:42" ht="16.5" customHeight="1">
      <c r="A2004" s="616" t="s">
        <v>3487</v>
      </c>
      <c r="B2004" s="605"/>
      <c r="C2004" s="446">
        <f>E2004+D2004+F2004</f>
        <v>89780</v>
      </c>
      <c r="D2004" s="453">
        <f>ROUNDDOWN(SUMIF(N1907:N1953,M2004,D1907:D1953),0)</f>
        <v>61356</v>
      </c>
      <c r="E2004" s="454">
        <f>ROUNDDOWN(SUMIF(N1907:N1953,M2004,E1907:E1953),0)</f>
        <v>22056</v>
      </c>
      <c r="F2004" s="446">
        <f>ROUNDDOWN(SUMIF(N1907:N1953,M2004,F1907:F1953),0)</f>
        <v>6368</v>
      </c>
      <c r="M2004" s="501" t="s">
        <v>2354</v>
      </c>
      <c r="Z2004" s="500"/>
      <c r="AA2004" s="500"/>
      <c r="AB2004" s="500"/>
      <c r="AC2004" s="500"/>
      <c r="AD2004" s="500"/>
      <c r="AE2004" s="500"/>
      <c r="AF2004" s="500"/>
      <c r="AG2004" s="500"/>
      <c r="AH2004" s="500"/>
      <c r="AI2004" s="500"/>
      <c r="AJ2004" s="500"/>
      <c r="AK2004" s="500"/>
      <c r="AL2004" s="500"/>
      <c r="AM2004" s="500"/>
      <c r="AN2004" s="500"/>
      <c r="AO2004" s="500"/>
      <c r="AP2004" s="500"/>
    </row>
    <row r="2005" spans="1:42" ht="16.5" customHeight="1">
      <c r="A2005" s="502" t="s">
        <v>3350</v>
      </c>
      <c r="B2005" s="503" t="s">
        <v>1820</v>
      </c>
      <c r="C2005" s="615">
        <f>C2104</f>
        <v>113980</v>
      </c>
      <c r="D2005" s="615">
        <f>D2104</f>
        <v>79402</v>
      </c>
      <c r="E2005" s="615">
        <f>E2104</f>
        <v>26337</v>
      </c>
      <c r="F2005" s="615">
        <f>F2104</f>
        <v>8241</v>
      </c>
      <c r="G2005" s="486" t="str">
        <f>HYPERLINK("#G"&amp;ROW(G2053),"_x0005_`BDCOD|D01308_x0007_`POSS|"&amp;ROW(G2007)&amp;"_x0007_`POSE|"&amp;ROW(G2053)&amp;"_x0007_`")</f>
        <v>_x0005_`BDCOD|D01308_x0007_`POSS|2007_x0007_`POSE|2053_x0007_`</v>
      </c>
      <c r="Z2005" s="500"/>
      <c r="AA2005" s="500"/>
      <c r="AB2005" s="500"/>
      <c r="AC2005" s="500"/>
      <c r="AD2005" s="500"/>
      <c r="AE2005" s="500"/>
      <c r="AF2005" s="500"/>
      <c r="AG2005" s="500"/>
      <c r="AH2005" s="500"/>
      <c r="AI2005" s="500"/>
      <c r="AJ2005" s="500"/>
      <c r="AK2005" s="500"/>
      <c r="AL2005" s="500"/>
      <c r="AM2005" s="500"/>
      <c r="AN2005" s="500"/>
      <c r="AO2005" s="500"/>
      <c r="AP2005" s="500"/>
    </row>
    <row r="2006" spans="1:42" ht="16.5" customHeight="1">
      <c r="A2006" s="485"/>
      <c r="B2006" s="503" t="s">
        <v>3637</v>
      </c>
      <c r="C2006" s="593"/>
      <c r="D2006" s="593"/>
      <c r="E2006" s="593"/>
      <c r="F2006" s="593"/>
      <c r="M2006" s="501" t="s">
        <v>1820</v>
      </c>
      <c r="Z2006" s="500"/>
      <c r="AA2006" s="500"/>
      <c r="AB2006" s="500"/>
      <c r="AC2006" s="500"/>
      <c r="AD2006" s="500"/>
      <c r="AE2006" s="500"/>
      <c r="AF2006" s="500"/>
      <c r="AG2006" s="500"/>
      <c r="AH2006" s="500"/>
      <c r="AI2006" s="500"/>
      <c r="AJ2006" s="500"/>
      <c r="AK2006" s="500"/>
      <c r="AL2006" s="500"/>
      <c r="AM2006" s="500"/>
      <c r="AN2006" s="500"/>
      <c r="AO2006" s="500"/>
      <c r="AP2006" s="500"/>
    </row>
    <row r="2007" spans="1:42" ht="16.5" customHeight="1">
      <c r="A2007" s="439"/>
      <c r="B2007" s="439"/>
      <c r="C2007" s="504"/>
      <c r="D2007" s="504"/>
      <c r="E2007" s="504"/>
      <c r="F2007" s="504"/>
      <c r="G2007" s="451" t="s">
        <v>3406</v>
      </c>
      <c r="Z2007" s="500"/>
      <c r="AA2007" s="500"/>
      <c r="AB2007" s="500"/>
      <c r="AC2007" s="500"/>
      <c r="AD2007" s="500"/>
      <c r="AE2007" s="500"/>
      <c r="AF2007" s="500"/>
      <c r="AG2007" s="500"/>
      <c r="AH2007" s="500"/>
      <c r="AI2007" s="500"/>
      <c r="AJ2007" s="500"/>
      <c r="AK2007" s="500"/>
      <c r="AL2007" s="500"/>
      <c r="AM2007" s="500"/>
      <c r="AN2007" s="500"/>
      <c r="AO2007" s="500"/>
      <c r="AP2007" s="500"/>
    </row>
    <row r="2008" spans="1:42" ht="16.5" customHeight="1">
      <c r="A2008" s="434"/>
      <c r="B2008" s="437" t="s">
        <v>3542</v>
      </c>
      <c r="C2008" s="439"/>
      <c r="D2008" s="439"/>
      <c r="E2008" s="439"/>
      <c r="F2008" s="439"/>
      <c r="G2008" s="451" t="s">
        <v>3543</v>
      </c>
      <c r="Z2008" s="500"/>
      <c r="AA2008" s="500"/>
      <c r="AB2008" s="500"/>
      <c r="AC2008" s="500"/>
      <c r="AD2008" s="500"/>
      <c r="AE2008" s="500"/>
      <c r="AF2008" s="500"/>
      <c r="AG2008" s="500"/>
      <c r="AH2008" s="500"/>
      <c r="AI2008" s="500"/>
      <c r="AJ2008" s="500"/>
      <c r="AK2008" s="500"/>
      <c r="AL2008" s="500"/>
      <c r="AM2008" s="500"/>
      <c r="AN2008" s="500"/>
      <c r="AO2008" s="500"/>
      <c r="AP2008" s="500"/>
    </row>
    <row r="2009" spans="1:42" ht="16.5" customHeight="1">
      <c r="A2009" s="439"/>
      <c r="B2009" s="439"/>
      <c r="C2009" s="439"/>
      <c r="D2009" s="439"/>
      <c r="E2009" s="439"/>
      <c r="F2009" s="439"/>
      <c r="G2009" s="451" t="s">
        <v>3406</v>
      </c>
      <c r="Z2009" s="500"/>
      <c r="AA2009" s="500"/>
      <c r="AB2009" s="500"/>
      <c r="AC2009" s="500"/>
      <c r="AD2009" s="500"/>
      <c r="AE2009" s="500"/>
      <c r="AF2009" s="500"/>
      <c r="AG2009" s="500"/>
      <c r="AH2009" s="500"/>
      <c r="AI2009" s="500"/>
      <c r="AJ2009" s="500"/>
      <c r="AK2009" s="500"/>
      <c r="AL2009" s="500"/>
      <c r="AM2009" s="500"/>
      <c r="AN2009" s="500"/>
      <c r="AO2009" s="500"/>
      <c r="AP2009" s="500"/>
    </row>
    <row r="2010" spans="1:42" ht="16.5" customHeight="1">
      <c r="A2010" s="434"/>
      <c r="B2010" s="437" t="s">
        <v>3544</v>
      </c>
      <c r="C2010" s="439"/>
      <c r="D2010" s="439"/>
      <c r="E2010" s="439"/>
      <c r="F2010" s="439"/>
      <c r="G2010" s="451" t="s">
        <v>3545</v>
      </c>
      <c r="Z2010" s="500"/>
      <c r="AA2010" s="500"/>
      <c r="AB2010" s="500"/>
      <c r="AC2010" s="500"/>
      <c r="AD2010" s="500"/>
      <c r="AE2010" s="500"/>
      <c r="AF2010" s="500"/>
      <c r="AG2010" s="500"/>
      <c r="AH2010" s="500"/>
      <c r="AI2010" s="500"/>
      <c r="AJ2010" s="500"/>
      <c r="AK2010" s="500"/>
      <c r="AL2010" s="500"/>
      <c r="AM2010" s="500"/>
      <c r="AN2010" s="500"/>
      <c r="AO2010" s="500"/>
      <c r="AP2010" s="500"/>
    </row>
    <row r="2011" spans="1:42" ht="16.5" customHeight="1">
      <c r="A2011" s="439"/>
      <c r="B2011" s="439"/>
      <c r="C2011" s="439"/>
      <c r="D2011" s="439"/>
      <c r="E2011" s="439"/>
      <c r="F2011" s="439"/>
      <c r="G2011" s="451" t="s">
        <v>3406</v>
      </c>
      <c r="Z2011" s="500"/>
      <c r="AA2011" s="500"/>
      <c r="AB2011" s="500"/>
      <c r="AC2011" s="500"/>
      <c r="AD2011" s="500"/>
      <c r="AE2011" s="500"/>
      <c r="AF2011" s="500"/>
      <c r="AG2011" s="500"/>
      <c r="AH2011" s="500"/>
      <c r="AI2011" s="500"/>
      <c r="AJ2011" s="500"/>
      <c r="AK2011" s="500"/>
      <c r="AL2011" s="500"/>
      <c r="AM2011" s="500"/>
      <c r="AN2011" s="500"/>
      <c r="AO2011" s="500"/>
      <c r="AP2011" s="500"/>
    </row>
    <row r="2012" spans="1:42" ht="16.5" customHeight="1">
      <c r="A2012" s="434"/>
      <c r="B2012" s="437" t="str">
        <f>" 일당 작업량 :   Q = "&amp;Z2012&amp;"  주 "</f>
        <v xml:space="preserve"> 일당 작업량 :   Q = 17  주 </v>
      </c>
      <c r="C2012" s="439"/>
      <c r="D2012" s="439"/>
      <c r="E2012" s="439"/>
      <c r="F2012" s="439"/>
      <c r="G2012" s="451" t="s">
        <v>3638</v>
      </c>
      <c r="Z2012" s="515">
        <v>17</v>
      </c>
      <c r="AA2012" s="501" t="s">
        <v>3418</v>
      </c>
      <c r="AB2012" s="512">
        <f>Z2012</f>
        <v>17</v>
      </c>
      <c r="AC2012" s="500"/>
      <c r="AD2012" s="500"/>
      <c r="AE2012" s="500"/>
      <c r="AF2012" s="500"/>
      <c r="AG2012" s="500"/>
      <c r="AH2012" s="500"/>
      <c r="AI2012" s="500"/>
      <c r="AJ2012" s="500"/>
      <c r="AK2012" s="500"/>
      <c r="AL2012" s="500"/>
      <c r="AM2012" s="500"/>
      <c r="AN2012" s="500"/>
      <c r="AO2012" s="500"/>
      <c r="AP2012" s="500"/>
    </row>
    <row r="2013" spans="1:42" ht="16.5" customHeight="1">
      <c r="A2013" s="439"/>
      <c r="B2013" s="439"/>
      <c r="C2013" s="439"/>
      <c r="D2013" s="439"/>
      <c r="E2013" s="439"/>
      <c r="F2013" s="439"/>
      <c r="G2013" s="451" t="s">
        <v>3406</v>
      </c>
      <c r="Z2013" s="500"/>
      <c r="AA2013" s="500"/>
      <c r="AB2013" s="500"/>
      <c r="AC2013" s="500"/>
      <c r="AD2013" s="500"/>
      <c r="AE2013" s="500"/>
      <c r="AF2013" s="500"/>
      <c r="AG2013" s="500"/>
      <c r="AH2013" s="500"/>
      <c r="AI2013" s="500"/>
      <c r="AJ2013" s="500"/>
      <c r="AK2013" s="500"/>
      <c r="AL2013" s="500"/>
      <c r="AM2013" s="500"/>
      <c r="AN2013" s="500"/>
      <c r="AO2013" s="500"/>
      <c r="AP2013" s="500"/>
    </row>
    <row r="2014" spans="1:42" ht="16.5" customHeight="1">
      <c r="A2014" s="434"/>
      <c r="B2014" s="437" t="s">
        <v>3547</v>
      </c>
      <c r="C2014" s="439"/>
      <c r="D2014" s="439"/>
      <c r="E2014" s="439"/>
      <c r="F2014" s="439"/>
      <c r="G2014" s="451" t="s">
        <v>3548</v>
      </c>
      <c r="Z2014" s="500"/>
      <c r="AA2014" s="500"/>
      <c r="AB2014" s="500"/>
      <c r="AC2014" s="500"/>
      <c r="AD2014" s="500"/>
      <c r="AE2014" s="500"/>
      <c r="AF2014" s="500"/>
      <c r="AG2014" s="500"/>
      <c r="AH2014" s="500"/>
      <c r="AI2014" s="500"/>
      <c r="AJ2014" s="500"/>
      <c r="AK2014" s="500"/>
      <c r="AL2014" s="500"/>
      <c r="AM2014" s="500"/>
      <c r="AN2014" s="500"/>
      <c r="AO2014" s="500"/>
      <c r="AP2014" s="500"/>
    </row>
    <row r="2015" spans="1:42" ht="16.5" customHeight="1">
      <c r="A2015" s="439"/>
      <c r="B2015" s="439"/>
      <c r="C2015" s="439"/>
      <c r="D2015" s="439"/>
      <c r="E2015" s="439"/>
      <c r="F2015" s="439"/>
      <c r="G2015" s="451" t="s">
        <v>3406</v>
      </c>
      <c r="Z2015" s="500"/>
      <c r="AA2015" s="500"/>
      <c r="AB2015" s="500"/>
      <c r="AC2015" s="500"/>
      <c r="AD2015" s="500"/>
      <c r="AE2015" s="500"/>
      <c r="AF2015" s="500"/>
      <c r="AG2015" s="500"/>
      <c r="AH2015" s="500"/>
      <c r="AI2015" s="500"/>
      <c r="AJ2015" s="500"/>
      <c r="AK2015" s="500"/>
      <c r="AL2015" s="500"/>
      <c r="AM2015" s="500"/>
      <c r="AN2015" s="500"/>
      <c r="AO2015" s="500"/>
      <c r="AP2015" s="500"/>
    </row>
    <row r="2016" spans="1:42" ht="16.5" customHeight="1">
      <c r="A2016" s="439"/>
      <c r="B2016" s="439"/>
      <c r="C2016" s="439"/>
      <c r="D2016" s="439"/>
      <c r="E2016" s="439"/>
      <c r="F2016" s="439"/>
      <c r="G2016" s="451" t="s">
        <v>3406</v>
      </c>
      <c r="Z2016" s="500"/>
      <c r="AA2016" s="500"/>
      <c r="AB2016" s="500"/>
      <c r="AC2016" s="500"/>
      <c r="AD2016" s="500"/>
      <c r="AE2016" s="500"/>
      <c r="AF2016" s="500"/>
      <c r="AG2016" s="500"/>
      <c r="AH2016" s="500"/>
      <c r="AI2016" s="500"/>
      <c r="AJ2016" s="500"/>
      <c r="AK2016" s="500"/>
      <c r="AL2016" s="500"/>
      <c r="AM2016" s="500"/>
      <c r="AN2016" s="500"/>
      <c r="AO2016" s="500"/>
      <c r="AP2016" s="500"/>
    </row>
    <row r="2017" spans="1:42" ht="16.5" customHeight="1">
      <c r="A2017" s="439"/>
      <c r="B2017" s="439"/>
      <c r="C2017" s="439"/>
      <c r="D2017" s="439"/>
      <c r="E2017" s="439"/>
      <c r="F2017" s="439"/>
      <c r="G2017" s="451" t="s">
        <v>3406</v>
      </c>
      <c r="Z2017" s="500"/>
      <c r="AA2017" s="500"/>
      <c r="AB2017" s="500"/>
      <c r="AC2017" s="500"/>
      <c r="AD2017" s="500"/>
      <c r="AE2017" s="500"/>
      <c r="AF2017" s="500"/>
      <c r="AG2017" s="500"/>
      <c r="AH2017" s="500"/>
      <c r="AI2017" s="500"/>
      <c r="AJ2017" s="500"/>
      <c r="AK2017" s="500"/>
      <c r="AL2017" s="500"/>
      <c r="AM2017" s="500"/>
      <c r="AN2017" s="500"/>
      <c r="AO2017" s="500"/>
      <c r="AP2017" s="500"/>
    </row>
    <row r="2018" spans="1:42" ht="16.5" customHeight="1">
      <c r="A2018" s="439"/>
      <c r="B2018" s="439"/>
      <c r="C2018" s="439"/>
      <c r="D2018" s="439"/>
      <c r="E2018" s="439"/>
      <c r="F2018" s="439"/>
      <c r="G2018" s="451" t="s">
        <v>3406</v>
      </c>
      <c r="Z2018" s="500"/>
      <c r="AA2018" s="500"/>
      <c r="AB2018" s="500"/>
      <c r="AC2018" s="500"/>
      <c r="AD2018" s="500"/>
      <c r="AE2018" s="500"/>
      <c r="AF2018" s="500"/>
      <c r="AG2018" s="500"/>
      <c r="AH2018" s="500"/>
      <c r="AI2018" s="500"/>
      <c r="AJ2018" s="500"/>
      <c r="AK2018" s="500"/>
      <c r="AL2018" s="500"/>
      <c r="AM2018" s="500"/>
      <c r="AN2018" s="500"/>
      <c r="AO2018" s="500"/>
      <c r="AP2018" s="500"/>
    </row>
    <row r="2019" spans="1:42" ht="16.5" customHeight="1">
      <c r="A2019" s="434"/>
      <c r="B2019" s="437" t="s">
        <v>3549</v>
      </c>
      <c r="C2019" s="439"/>
      <c r="D2019" s="439"/>
      <c r="E2019" s="439"/>
      <c r="F2019" s="439"/>
      <c r="G2019" s="451" t="s">
        <v>3550</v>
      </c>
      <c r="Z2019" s="500"/>
      <c r="AA2019" s="500"/>
      <c r="AB2019" s="500"/>
      <c r="AC2019" s="500"/>
      <c r="AD2019" s="500"/>
      <c r="AE2019" s="500"/>
      <c r="AF2019" s="500"/>
      <c r="AG2019" s="500"/>
      <c r="AH2019" s="500"/>
      <c r="AI2019" s="500"/>
      <c r="AJ2019" s="500"/>
      <c r="AK2019" s="500"/>
      <c r="AL2019" s="500"/>
      <c r="AM2019" s="500"/>
      <c r="AN2019" s="500"/>
      <c r="AO2019" s="500"/>
      <c r="AP2019" s="500"/>
    </row>
    <row r="2020" spans="1:42" ht="16.5" customHeight="1">
      <c r="A2020" s="439"/>
      <c r="B2020" s="439"/>
      <c r="C2020" s="439"/>
      <c r="D2020" s="439"/>
      <c r="E2020" s="439"/>
      <c r="F2020" s="439"/>
      <c r="G2020" s="451" t="s">
        <v>3406</v>
      </c>
      <c r="Z2020" s="500"/>
      <c r="AA2020" s="500"/>
      <c r="AB2020" s="500"/>
      <c r="AC2020" s="500"/>
      <c r="AD2020" s="500"/>
      <c r="AE2020" s="500"/>
      <c r="AF2020" s="500"/>
      <c r="AG2020" s="500"/>
      <c r="AH2020" s="500"/>
      <c r="AI2020" s="500"/>
      <c r="AJ2020" s="500"/>
      <c r="AK2020" s="500"/>
      <c r="AL2020" s="500"/>
      <c r="AM2020" s="500"/>
      <c r="AN2020" s="500"/>
      <c r="AO2020" s="500"/>
      <c r="AP2020" s="500"/>
    </row>
    <row r="2021" spans="1:42" ht="16.5" customHeight="1">
      <c r="A2021" s="434" t="s">
        <v>3498</v>
      </c>
      <c r="B2021" s="505" t="str">
        <f>" 조경공 :  "&amp;TEXT(I2021,"#,##0"&amp;IF(I2021&lt;&gt;INT(I2021),".###",""))&amp;" * "&amp;AA2021&amp;" 인  / Q = "&amp;TEXT(C2021,"#,##0.0")&amp;""</f>
        <v xml:space="preserve"> 조경공 :  235,204 * 3 인  / Q = 41,506.5</v>
      </c>
      <c r="C2021" s="506">
        <f>E2021+D2021+F2021</f>
        <v>41506.5</v>
      </c>
      <c r="D2021" s="506">
        <f>IF(H2021=0,0,ROUNDDOWN(J2021*H2021,1))</f>
        <v>41506.5</v>
      </c>
      <c r="E2021" s="506">
        <f>IF(H2021=0,0,ROUNDDOWN(K2021*H2021,1))</f>
        <v>0</v>
      </c>
      <c r="F2021" s="506">
        <f>IF(H2021=0,0,ROUNDDOWN(L2021*H2021,1))</f>
        <v>0</v>
      </c>
      <c r="G2021" s="451" t="s">
        <v>3551</v>
      </c>
      <c r="H2021" s="507">
        <f>ROUNDUP(AE2021,14-LEN(ABS(INT(AE2021))))</f>
        <v>0.17647058823530001</v>
      </c>
      <c r="I2021" s="508">
        <f>K2021+J2021+L2021</f>
        <v>235204</v>
      </c>
      <c r="J2021" s="509">
        <f>노무비목록표!E15</f>
        <v>235204</v>
      </c>
      <c r="M2021" s="501" t="s">
        <v>2359</v>
      </c>
      <c r="N2021" s="501" t="s">
        <v>3416</v>
      </c>
      <c r="X2021" s="510" t="str">
        <f>노무비목록표!B15&amp;" / "&amp;노무비목록표!C15</f>
        <v xml:space="preserve">조경공 / </v>
      </c>
      <c r="Y2021" s="433" t="str">
        <f ca="1">HYPERLINK("#"&amp;노무비목록표!G2&amp;"!A"&amp;ROW(노무비목록표!A15),"L00184 →")</f>
        <v>L00184 →</v>
      </c>
      <c r="Z2021" s="501" t="s">
        <v>3500</v>
      </c>
      <c r="AA2021" s="515">
        <v>3</v>
      </c>
      <c r="AB2021" s="501" t="s">
        <v>3428</v>
      </c>
      <c r="AC2021" s="512">
        <f>AB2012</f>
        <v>17</v>
      </c>
      <c r="AD2021" s="501" t="s">
        <v>3418</v>
      </c>
      <c r="AE2021" s="512">
        <f>1*AA2021/AB2012</f>
        <v>0.17647058823529413</v>
      </c>
      <c r="AF2021" s="500"/>
      <c r="AG2021" s="500"/>
      <c r="AH2021" s="500"/>
      <c r="AI2021" s="500"/>
      <c r="AJ2021" s="500"/>
      <c r="AK2021" s="500"/>
      <c r="AL2021" s="500"/>
      <c r="AM2021" s="500"/>
      <c r="AN2021" s="500"/>
      <c r="AO2021" s="500"/>
      <c r="AP2021" s="500"/>
    </row>
    <row r="2022" spans="1:42" ht="16.5" customHeight="1">
      <c r="A2022" s="439"/>
      <c r="B2022" s="439"/>
      <c r="C2022" s="439"/>
      <c r="D2022" s="439"/>
      <c r="E2022" s="439"/>
      <c r="F2022" s="439"/>
      <c r="G2022" s="451" t="s">
        <v>3406</v>
      </c>
      <c r="Z2022" s="500"/>
      <c r="AA2022" s="500"/>
      <c r="AB2022" s="500"/>
      <c r="AC2022" s="500"/>
      <c r="AD2022" s="500"/>
      <c r="AE2022" s="500"/>
      <c r="AF2022" s="500"/>
      <c r="AG2022" s="500"/>
      <c r="AH2022" s="500"/>
      <c r="AI2022" s="500"/>
      <c r="AJ2022" s="500"/>
      <c r="AK2022" s="500"/>
      <c r="AL2022" s="500"/>
      <c r="AM2022" s="500"/>
      <c r="AN2022" s="500"/>
      <c r="AO2022" s="500"/>
      <c r="AP2022" s="500"/>
    </row>
    <row r="2023" spans="1:42" ht="16.5" customHeight="1">
      <c r="A2023" s="439"/>
      <c r="B2023" s="439"/>
      <c r="C2023" s="439"/>
      <c r="D2023" s="439"/>
      <c r="E2023" s="439"/>
      <c r="F2023" s="439"/>
      <c r="G2023" s="451" t="s">
        <v>3406</v>
      </c>
      <c r="Z2023" s="500"/>
      <c r="AA2023" s="500"/>
      <c r="AB2023" s="500"/>
      <c r="AC2023" s="500"/>
      <c r="AD2023" s="500"/>
      <c r="AE2023" s="500"/>
      <c r="AF2023" s="500"/>
      <c r="AG2023" s="500"/>
      <c r="AH2023" s="500"/>
      <c r="AI2023" s="500"/>
      <c r="AJ2023" s="500"/>
      <c r="AK2023" s="500"/>
      <c r="AL2023" s="500"/>
      <c r="AM2023" s="500"/>
      <c r="AN2023" s="500"/>
      <c r="AO2023" s="500"/>
      <c r="AP2023" s="500"/>
    </row>
    <row r="2024" spans="1:42" ht="16.5" customHeight="1">
      <c r="A2024" s="434" t="s">
        <v>3414</v>
      </c>
      <c r="B2024" s="505" t="str">
        <f>" 보통인부 : "&amp;TEXT(I2024,"#,##0"&amp;IF(I2024&lt;&gt;INT(I2024),".###",""))&amp;" * "&amp;AA2024&amp;" 인  / Q = "&amp;TEXT(C2024,"#,##0.0")&amp;""</f>
        <v xml:space="preserve"> 보통인부 : 172,068 * 1 인  / Q = 10,121.6</v>
      </c>
      <c r="C2024" s="506">
        <f>E2024+D2024+F2024</f>
        <v>10121.6</v>
      </c>
      <c r="D2024" s="506">
        <f>IF(H2024=0,0,ROUNDDOWN(J2024*H2024,1))</f>
        <v>10121.6</v>
      </c>
      <c r="E2024" s="506">
        <f>IF(H2024=0,0,ROUNDDOWN(K2024*H2024,1))</f>
        <v>0</v>
      </c>
      <c r="F2024" s="506">
        <f>IF(H2024=0,0,ROUNDDOWN(L2024*H2024,1))</f>
        <v>0</v>
      </c>
      <c r="G2024" s="451" t="s">
        <v>3552</v>
      </c>
      <c r="H2024" s="507">
        <f>ROUNDUP(AE2024,14-LEN(ABS(INT(AE2024))))</f>
        <v>5.8823529411800003E-2</v>
      </c>
      <c r="I2024" s="508">
        <f>K2024+J2024+L2024</f>
        <v>172068</v>
      </c>
      <c r="J2024" s="509">
        <f>노무비목록표!E10</f>
        <v>172068</v>
      </c>
      <c r="M2024" s="501" t="s">
        <v>2363</v>
      </c>
      <c r="N2024" s="501" t="s">
        <v>3416</v>
      </c>
      <c r="X2024" s="510" t="str">
        <f>노무비목록표!B10&amp;" / "&amp;노무비목록표!C10</f>
        <v xml:space="preserve">보통인부 / </v>
      </c>
      <c r="Y2024" s="433" t="str">
        <f ca="1">HYPERLINK("#"&amp;노무비목록표!G2&amp;"!A"&amp;ROW(노무비목록표!A10),"L00017 →")</f>
        <v>L00017 →</v>
      </c>
      <c r="Z2024" s="501" t="s">
        <v>3500</v>
      </c>
      <c r="AA2024" s="515">
        <v>1</v>
      </c>
      <c r="AB2024" s="501" t="s">
        <v>3428</v>
      </c>
      <c r="AC2024" s="512">
        <f>AB2012</f>
        <v>17</v>
      </c>
      <c r="AD2024" s="501" t="s">
        <v>3418</v>
      </c>
      <c r="AE2024" s="512">
        <f>1*AA2024/AB2012</f>
        <v>5.8823529411764705E-2</v>
      </c>
      <c r="AF2024" s="500"/>
      <c r="AG2024" s="500"/>
      <c r="AH2024" s="500"/>
      <c r="AI2024" s="500"/>
      <c r="AJ2024" s="500"/>
      <c r="AK2024" s="500"/>
      <c r="AL2024" s="500"/>
      <c r="AM2024" s="500"/>
      <c r="AN2024" s="500"/>
      <c r="AO2024" s="500"/>
      <c r="AP2024" s="500"/>
    </row>
    <row r="2025" spans="1:42" ht="16.5" customHeight="1">
      <c r="A2025" s="439"/>
      <c r="B2025" s="439"/>
      <c r="C2025" s="439"/>
      <c r="D2025" s="439"/>
      <c r="E2025" s="439"/>
      <c r="F2025" s="439"/>
      <c r="G2025" s="451" t="s">
        <v>3406</v>
      </c>
      <c r="Z2025" s="500"/>
      <c r="AA2025" s="500"/>
      <c r="AB2025" s="500"/>
      <c r="AC2025" s="500"/>
      <c r="AD2025" s="500"/>
      <c r="AE2025" s="500"/>
      <c r="AF2025" s="500"/>
      <c r="AG2025" s="500"/>
      <c r="AH2025" s="500"/>
      <c r="AI2025" s="500"/>
      <c r="AJ2025" s="500"/>
      <c r="AK2025" s="500"/>
      <c r="AL2025" s="500"/>
      <c r="AM2025" s="500"/>
      <c r="AN2025" s="500"/>
      <c r="AO2025" s="500"/>
      <c r="AP2025" s="500"/>
    </row>
    <row r="2026" spans="1:42" ht="16.5" customHeight="1">
      <c r="A2026" s="434"/>
      <c r="B2026" s="437" t="s">
        <v>3419</v>
      </c>
      <c r="C2026" s="513">
        <f>E2026+D2026+F2026</f>
        <v>51628.1</v>
      </c>
      <c r="D2026" s="513">
        <f>SUMIF(N2007:N2025,M2026,D2007:D2025)</f>
        <v>51628.1</v>
      </c>
      <c r="E2026" s="513">
        <f>SUMIF(N2007:N2025,M2026,E2007:E2025)</f>
        <v>0</v>
      </c>
      <c r="F2026" s="513">
        <f>SUMIF(N2007:N2025,M2026,F2007:F2025)</f>
        <v>0</v>
      </c>
      <c r="G2026" s="451" t="s">
        <v>3439</v>
      </c>
      <c r="M2026" s="501" t="s">
        <v>3416</v>
      </c>
      <c r="N2026" s="501" t="s">
        <v>3421</v>
      </c>
      <c r="Z2026" s="500"/>
      <c r="AA2026" s="500"/>
      <c r="AB2026" s="500"/>
      <c r="AC2026" s="500"/>
      <c r="AD2026" s="500"/>
      <c r="AE2026" s="500"/>
      <c r="AF2026" s="500"/>
      <c r="AG2026" s="500"/>
      <c r="AH2026" s="500"/>
      <c r="AI2026" s="500"/>
      <c r="AJ2026" s="500"/>
      <c r="AK2026" s="500"/>
      <c r="AL2026" s="500"/>
      <c r="AM2026" s="500"/>
      <c r="AN2026" s="500"/>
      <c r="AO2026" s="500"/>
      <c r="AP2026" s="500"/>
    </row>
    <row r="2027" spans="1:42" ht="16.5" customHeight="1">
      <c r="A2027" s="439"/>
      <c r="B2027" s="439"/>
      <c r="C2027" s="504"/>
      <c r="D2027" s="504"/>
      <c r="E2027" s="504"/>
      <c r="F2027" s="504"/>
      <c r="G2027" s="451" t="s">
        <v>3406</v>
      </c>
      <c r="Z2027" s="500"/>
      <c r="AA2027" s="500"/>
      <c r="AB2027" s="500"/>
      <c r="AC2027" s="500"/>
      <c r="AD2027" s="500"/>
      <c r="AE2027" s="500"/>
      <c r="AF2027" s="500"/>
      <c r="AG2027" s="500"/>
      <c r="AH2027" s="500"/>
      <c r="AI2027" s="500"/>
      <c r="AJ2027" s="500"/>
      <c r="AK2027" s="500"/>
      <c r="AL2027" s="500"/>
      <c r="AM2027" s="500"/>
      <c r="AN2027" s="500"/>
      <c r="AO2027" s="500"/>
      <c r="AP2027" s="500"/>
    </row>
    <row r="2028" spans="1:42" ht="16.5" customHeight="1">
      <c r="A2028" s="439"/>
      <c r="B2028" s="439"/>
      <c r="C2028" s="439"/>
      <c r="D2028" s="439"/>
      <c r="E2028" s="439"/>
      <c r="F2028" s="439"/>
      <c r="G2028" s="451" t="s">
        <v>3406</v>
      </c>
      <c r="Z2028" s="500"/>
      <c r="AA2028" s="500"/>
      <c r="AB2028" s="500"/>
      <c r="AC2028" s="500"/>
      <c r="AD2028" s="500"/>
      <c r="AE2028" s="500"/>
      <c r="AF2028" s="500"/>
      <c r="AG2028" s="500"/>
      <c r="AH2028" s="500"/>
      <c r="AI2028" s="500"/>
      <c r="AJ2028" s="500"/>
      <c r="AK2028" s="500"/>
      <c r="AL2028" s="500"/>
      <c r="AM2028" s="500"/>
      <c r="AN2028" s="500"/>
      <c r="AO2028" s="500"/>
      <c r="AP2028" s="500"/>
    </row>
    <row r="2029" spans="1:42" ht="16.5" customHeight="1">
      <c r="A2029" s="434"/>
      <c r="B2029" s="437" t="s">
        <v>3553</v>
      </c>
      <c r="C2029" s="439"/>
      <c r="D2029" s="439"/>
      <c r="E2029" s="439"/>
      <c r="F2029" s="439"/>
      <c r="G2029" s="451" t="s">
        <v>3554</v>
      </c>
      <c r="Z2029" s="500"/>
      <c r="AA2029" s="500"/>
      <c r="AB2029" s="500"/>
      <c r="AC2029" s="500"/>
      <c r="AD2029" s="500"/>
      <c r="AE2029" s="500"/>
      <c r="AF2029" s="500"/>
      <c r="AG2029" s="500"/>
      <c r="AH2029" s="500"/>
      <c r="AI2029" s="500"/>
      <c r="AJ2029" s="500"/>
      <c r="AK2029" s="500"/>
      <c r="AL2029" s="500"/>
      <c r="AM2029" s="500"/>
      <c r="AN2029" s="500"/>
      <c r="AO2029" s="500"/>
      <c r="AP2029" s="500"/>
    </row>
    <row r="2030" spans="1:42" ht="16.5" customHeight="1">
      <c r="A2030" s="439"/>
      <c r="B2030" s="439"/>
      <c r="C2030" s="439"/>
      <c r="D2030" s="439"/>
      <c r="E2030" s="439"/>
      <c r="F2030" s="439"/>
      <c r="G2030" s="451" t="s">
        <v>3406</v>
      </c>
      <c r="Z2030" s="500"/>
      <c r="AA2030" s="500"/>
      <c r="AB2030" s="500"/>
      <c r="AC2030" s="500"/>
      <c r="AD2030" s="500"/>
      <c r="AE2030" s="500"/>
      <c r="AF2030" s="500"/>
      <c r="AG2030" s="500"/>
      <c r="AH2030" s="500"/>
      <c r="AI2030" s="500"/>
      <c r="AJ2030" s="500"/>
      <c r="AK2030" s="500"/>
      <c r="AL2030" s="500"/>
      <c r="AM2030" s="500"/>
      <c r="AN2030" s="500"/>
      <c r="AO2030" s="500"/>
      <c r="AP2030" s="500"/>
    </row>
    <row r="2031" spans="1:42" ht="16.5" customHeight="1">
      <c r="A2031" s="434" t="s">
        <v>3555</v>
      </c>
      <c r="B2031" s="505" t="str">
        <f>"  노 무 비 :  "&amp;TEXT(I2031,"#,##0"&amp;IF(I2031&lt;&gt;INT(I2031),".###",""))&amp;" / Q * "&amp;AC2031&amp;" = "&amp;TEXT(C2031,"#,##0.0")&amp;""</f>
        <v xml:space="preserve">  노 무 비 :  59,020 / Q * 8 = 27,774.1</v>
      </c>
      <c r="C2031" s="506">
        <f>E2031+D2031+F2031</f>
        <v>27774.1</v>
      </c>
      <c r="D2031" s="506">
        <f>IF(H2031=0,0,ROUNDDOWN(J2031*H2031,1))</f>
        <v>27774.1</v>
      </c>
      <c r="E2031" s="506">
        <f>IF(H2031=0,0,ROUNDDOWN(K2031*H2031,1))</f>
        <v>0</v>
      </c>
      <c r="F2031" s="506">
        <f>IF(H2031=0,0,ROUNDDOWN(L2031*H2031,1))</f>
        <v>0</v>
      </c>
      <c r="G2031" s="451" t="s">
        <v>3556</v>
      </c>
      <c r="H2031" s="507">
        <f>ROUNDUP(AE2031,14-LEN(ABS(INT(AE2031))))</f>
        <v>0.47058823529419996</v>
      </c>
      <c r="I2031" s="508">
        <f>K2031+J2031+L2031</f>
        <v>59020</v>
      </c>
      <c r="J2031" s="509">
        <f>중기목록표!F7</f>
        <v>59020</v>
      </c>
      <c r="M2031" s="501" t="s">
        <v>3557</v>
      </c>
      <c r="N2031" s="501" t="s">
        <v>3416</v>
      </c>
      <c r="X2031" s="510" t="str">
        <f>중기목록표!B7&amp;" / "&amp;중기목록표!C7</f>
        <v>굴착기(무한궤도) / 0.4㎥</v>
      </c>
      <c r="Y2031" s="433" t="str">
        <f ca="1">HYPERLINK("#"&amp;중기목록표!J2&amp;"!A"&amp;ROW(중기목록표!A7),"X00266 →")</f>
        <v>X00266 →</v>
      </c>
      <c r="Z2031" s="501" t="s">
        <v>3434</v>
      </c>
      <c r="AA2031" s="512">
        <f>AB2012</f>
        <v>17</v>
      </c>
      <c r="AB2031" s="501" t="s">
        <v>3368</v>
      </c>
      <c r="AC2031" s="515">
        <v>8</v>
      </c>
      <c r="AD2031" s="501" t="s">
        <v>3418</v>
      </c>
      <c r="AE2031" s="512">
        <f>1/AB2012*AC2031</f>
        <v>0.47058823529411764</v>
      </c>
      <c r="AF2031" s="500"/>
      <c r="AG2031" s="500"/>
      <c r="AH2031" s="500"/>
      <c r="AI2031" s="500"/>
      <c r="AJ2031" s="500"/>
      <c r="AK2031" s="500"/>
      <c r="AL2031" s="500"/>
      <c r="AM2031" s="500"/>
      <c r="AN2031" s="500"/>
      <c r="AO2031" s="500"/>
      <c r="AP2031" s="500"/>
    </row>
    <row r="2032" spans="1:42" ht="16.5" customHeight="1">
      <c r="A2032" s="439"/>
      <c r="B2032" s="439"/>
      <c r="C2032" s="439"/>
      <c r="D2032" s="439"/>
      <c r="E2032" s="439"/>
      <c r="F2032" s="439"/>
      <c r="G2032" s="451" t="s">
        <v>3406</v>
      </c>
      <c r="Z2032" s="500"/>
      <c r="AA2032" s="500"/>
      <c r="AB2032" s="500"/>
      <c r="AC2032" s="500"/>
      <c r="AD2032" s="500"/>
      <c r="AE2032" s="500"/>
      <c r="AF2032" s="500"/>
      <c r="AG2032" s="500"/>
      <c r="AH2032" s="500"/>
      <c r="AI2032" s="500"/>
      <c r="AJ2032" s="500"/>
      <c r="AK2032" s="500"/>
      <c r="AL2032" s="500"/>
      <c r="AM2032" s="500"/>
      <c r="AN2032" s="500"/>
      <c r="AO2032" s="500"/>
      <c r="AP2032" s="500"/>
    </row>
    <row r="2033" spans="1:42" ht="16.5" customHeight="1">
      <c r="A2033" s="434" t="s">
        <v>3558</v>
      </c>
      <c r="B2033" s="505" t="str">
        <f>"  재 료 비 :  "&amp;TEXT(I2033,"#,##0"&amp;IF(I2033&lt;&gt;INT(I2033),".###",""))&amp;" / Q * "&amp;AC2033&amp;" = "&amp;TEXT(C2033,"#,##0.0")&amp;""</f>
        <v xml:space="preserve">  재 료 비 :  16,655 / Q * 8 = 7,837.6</v>
      </c>
      <c r="C2033" s="506">
        <f>E2033+D2033+F2033</f>
        <v>7837.6</v>
      </c>
      <c r="D2033" s="506">
        <f>IF(H2033=0,0,ROUNDDOWN(J2033*H2033,1))</f>
        <v>0</v>
      </c>
      <c r="E2033" s="506">
        <f>IF(H2033=0,0,ROUNDDOWN(K2033*H2033,1))</f>
        <v>7837.6</v>
      </c>
      <c r="F2033" s="506">
        <f>IF(H2033=0,0,ROUNDDOWN(L2033*H2033,1))</f>
        <v>0</v>
      </c>
      <c r="G2033" s="451" t="s">
        <v>3559</v>
      </c>
      <c r="H2033" s="507">
        <f>ROUNDUP(AE2033,14-LEN(ABS(INT(AE2033))))</f>
        <v>0.47058823529419996</v>
      </c>
      <c r="I2033" s="508">
        <f>K2033+J2033+L2033</f>
        <v>16655</v>
      </c>
      <c r="K2033" s="509">
        <f>중기목록표!G7</f>
        <v>16655</v>
      </c>
      <c r="M2033" s="501" t="s">
        <v>3557</v>
      </c>
      <c r="N2033" s="501" t="s">
        <v>3416</v>
      </c>
      <c r="X2033" s="510" t="str">
        <f>중기목록표!B7&amp;" / "&amp;중기목록표!C7</f>
        <v>굴착기(무한궤도) / 0.4㎥</v>
      </c>
      <c r="Y2033" s="433" t="str">
        <f ca="1">HYPERLINK("#"&amp;중기목록표!J2&amp;"!A"&amp;ROW(중기목록표!A7),"X00266 →")</f>
        <v>X00266 →</v>
      </c>
      <c r="Z2033" s="501" t="s">
        <v>3434</v>
      </c>
      <c r="AA2033" s="512">
        <f>AB2012</f>
        <v>17</v>
      </c>
      <c r="AB2033" s="501" t="s">
        <v>3368</v>
      </c>
      <c r="AC2033" s="515">
        <v>8</v>
      </c>
      <c r="AD2033" s="501" t="s">
        <v>3418</v>
      </c>
      <c r="AE2033" s="512">
        <f>1/AB2012*AC2033</f>
        <v>0.47058823529411764</v>
      </c>
      <c r="AF2033" s="500"/>
      <c r="AG2033" s="500"/>
      <c r="AH2033" s="500"/>
      <c r="AI2033" s="500"/>
      <c r="AJ2033" s="500"/>
      <c r="AK2033" s="500"/>
      <c r="AL2033" s="500"/>
      <c r="AM2033" s="500"/>
      <c r="AN2033" s="500"/>
      <c r="AO2033" s="500"/>
      <c r="AP2033" s="500"/>
    </row>
    <row r="2034" spans="1:42" ht="16.5" customHeight="1">
      <c r="A2034" s="439"/>
      <c r="B2034" s="439"/>
      <c r="C2034" s="439"/>
      <c r="D2034" s="439"/>
      <c r="E2034" s="439"/>
      <c r="F2034" s="439"/>
      <c r="G2034" s="451" t="s">
        <v>3406</v>
      </c>
      <c r="Z2034" s="500"/>
      <c r="AA2034" s="500"/>
      <c r="AB2034" s="500"/>
      <c r="AC2034" s="500"/>
      <c r="AD2034" s="500"/>
      <c r="AE2034" s="500"/>
      <c r="AF2034" s="500"/>
      <c r="AG2034" s="500"/>
      <c r="AH2034" s="500"/>
      <c r="AI2034" s="500"/>
      <c r="AJ2034" s="500"/>
      <c r="AK2034" s="500"/>
      <c r="AL2034" s="500"/>
      <c r="AM2034" s="500"/>
      <c r="AN2034" s="500"/>
      <c r="AO2034" s="500"/>
      <c r="AP2034" s="500"/>
    </row>
    <row r="2035" spans="1:42" ht="16.5" customHeight="1">
      <c r="A2035" s="434" t="s">
        <v>3560</v>
      </c>
      <c r="B2035" s="505" t="str">
        <f>"  경    비 :  "&amp;TEXT(I2035,"#,##0"&amp;IF(I2035&lt;&gt;INT(I2035),".###",""))&amp;" / Q * "&amp;AC2035&amp;" = "&amp;TEXT(C2035,"#,##0.0")&amp;""</f>
        <v xml:space="preserve">  경    비 :  17,514 / Q * 8 = 8,241.8</v>
      </c>
      <c r="C2035" s="506">
        <f>E2035+D2035+F2035</f>
        <v>8241.7999999999993</v>
      </c>
      <c r="D2035" s="506">
        <f>IF(H2035=0,0,ROUNDDOWN(J2035*H2035,1))</f>
        <v>0</v>
      </c>
      <c r="E2035" s="506">
        <f>IF(H2035=0,0,ROUNDDOWN(K2035*H2035,1))</f>
        <v>0</v>
      </c>
      <c r="F2035" s="506">
        <f>IF(H2035=0,0,ROUNDDOWN(L2035*H2035,1))</f>
        <v>8241.7999999999993</v>
      </c>
      <c r="G2035" s="451" t="s">
        <v>3561</v>
      </c>
      <c r="H2035" s="507">
        <f>ROUNDUP(AE2035,14-LEN(ABS(INT(AE2035))))</f>
        <v>0.47058823529419996</v>
      </c>
      <c r="I2035" s="508">
        <f>K2035+J2035+L2035</f>
        <v>17514</v>
      </c>
      <c r="L2035" s="509">
        <f>중기목록표!H7</f>
        <v>17514</v>
      </c>
      <c r="M2035" s="501" t="s">
        <v>3557</v>
      </c>
      <c r="N2035" s="501" t="s">
        <v>3416</v>
      </c>
      <c r="X2035" s="510" t="str">
        <f>중기목록표!B7&amp;" / "&amp;중기목록표!C7</f>
        <v>굴착기(무한궤도) / 0.4㎥</v>
      </c>
      <c r="Y2035" s="433" t="str">
        <f ca="1">HYPERLINK("#"&amp;중기목록표!J2&amp;"!A"&amp;ROW(중기목록표!A7),"X00266 →")</f>
        <v>X00266 →</v>
      </c>
      <c r="Z2035" s="501" t="s">
        <v>3434</v>
      </c>
      <c r="AA2035" s="512">
        <f>AB2012</f>
        <v>17</v>
      </c>
      <c r="AB2035" s="501" t="s">
        <v>3368</v>
      </c>
      <c r="AC2035" s="515">
        <v>8</v>
      </c>
      <c r="AD2035" s="501" t="s">
        <v>3418</v>
      </c>
      <c r="AE2035" s="512">
        <f>1/AB2012*AC2035</f>
        <v>0.47058823529411764</v>
      </c>
      <c r="AF2035" s="500"/>
      <c r="AG2035" s="500"/>
      <c r="AH2035" s="500"/>
      <c r="AI2035" s="500"/>
      <c r="AJ2035" s="500"/>
      <c r="AK2035" s="500"/>
      <c r="AL2035" s="500"/>
      <c r="AM2035" s="500"/>
      <c r="AN2035" s="500"/>
      <c r="AO2035" s="500"/>
      <c r="AP2035" s="500"/>
    </row>
    <row r="2036" spans="1:42" ht="16.5" customHeight="1">
      <c r="A2036" s="439"/>
      <c r="B2036" s="439"/>
      <c r="C2036" s="439"/>
      <c r="D2036" s="439"/>
      <c r="E2036" s="439"/>
      <c r="F2036" s="439"/>
      <c r="G2036" s="451" t="s">
        <v>3406</v>
      </c>
      <c r="Z2036" s="500"/>
      <c r="AA2036" s="500"/>
      <c r="AB2036" s="500"/>
      <c r="AC2036" s="500"/>
      <c r="AD2036" s="500"/>
      <c r="AE2036" s="500"/>
      <c r="AF2036" s="500"/>
      <c r="AG2036" s="500"/>
      <c r="AH2036" s="500"/>
      <c r="AI2036" s="500"/>
      <c r="AJ2036" s="500"/>
      <c r="AK2036" s="500"/>
      <c r="AL2036" s="500"/>
      <c r="AM2036" s="500"/>
      <c r="AN2036" s="500"/>
      <c r="AO2036" s="500"/>
      <c r="AP2036" s="500"/>
    </row>
    <row r="2037" spans="1:42" ht="16.5" customHeight="1">
      <c r="A2037" s="439"/>
      <c r="B2037" s="439"/>
      <c r="C2037" s="439"/>
      <c r="D2037" s="439"/>
      <c r="E2037" s="439"/>
      <c r="F2037" s="439"/>
      <c r="G2037" s="451" t="s">
        <v>3406</v>
      </c>
      <c r="Z2037" s="500"/>
      <c r="AA2037" s="500"/>
      <c r="AB2037" s="500"/>
      <c r="AC2037" s="500"/>
      <c r="AD2037" s="500"/>
      <c r="AE2037" s="500"/>
      <c r="AF2037" s="500"/>
      <c r="AG2037" s="500"/>
      <c r="AH2037" s="500"/>
      <c r="AI2037" s="500"/>
      <c r="AJ2037" s="500"/>
      <c r="AK2037" s="500"/>
      <c r="AL2037" s="500"/>
      <c r="AM2037" s="500"/>
      <c r="AN2037" s="500"/>
      <c r="AO2037" s="500"/>
      <c r="AP2037" s="500"/>
    </row>
    <row r="2038" spans="1:42" ht="16.5" customHeight="1">
      <c r="A2038" s="439"/>
      <c r="B2038" s="439"/>
      <c r="C2038" s="439"/>
      <c r="D2038" s="439"/>
      <c r="E2038" s="439"/>
      <c r="F2038" s="439"/>
      <c r="G2038" s="451" t="s">
        <v>3406</v>
      </c>
      <c r="Z2038" s="500"/>
      <c r="AA2038" s="500"/>
      <c r="AB2038" s="500"/>
      <c r="AC2038" s="500"/>
      <c r="AD2038" s="500"/>
      <c r="AE2038" s="500"/>
      <c r="AF2038" s="500"/>
      <c r="AG2038" s="500"/>
      <c r="AH2038" s="500"/>
      <c r="AI2038" s="500"/>
      <c r="AJ2038" s="500"/>
      <c r="AK2038" s="500"/>
      <c r="AL2038" s="500"/>
      <c r="AM2038" s="500"/>
      <c r="AN2038" s="500"/>
      <c r="AO2038" s="500"/>
      <c r="AP2038" s="500"/>
    </row>
    <row r="2039" spans="1:42" ht="16.5" customHeight="1">
      <c r="A2039" s="434"/>
      <c r="B2039" s="437" t="s">
        <v>3419</v>
      </c>
      <c r="C2039" s="513">
        <f>E2039+D2039+F2039</f>
        <v>43853.5</v>
      </c>
      <c r="D2039" s="513">
        <f>SUMIF(N2027:N2038,M2039,D2027:D2038)</f>
        <v>27774.1</v>
      </c>
      <c r="E2039" s="513">
        <f>SUMIF(N2027:N2038,M2039,E2027:E2038)</f>
        <v>7837.6</v>
      </c>
      <c r="F2039" s="513">
        <f>SUMIF(N2027:N2038,M2039,F2027:F2038)</f>
        <v>8241.7999999999993</v>
      </c>
      <c r="G2039" s="451" t="s">
        <v>3439</v>
      </c>
      <c r="M2039" s="501" t="s">
        <v>3416</v>
      </c>
      <c r="N2039" s="501" t="s">
        <v>3421</v>
      </c>
      <c r="Z2039" s="500"/>
      <c r="AA2039" s="500"/>
      <c r="AB2039" s="500"/>
      <c r="AC2039" s="500"/>
      <c r="AD2039" s="500"/>
      <c r="AE2039" s="500"/>
      <c r="AF2039" s="500"/>
      <c r="AG2039" s="500"/>
      <c r="AH2039" s="500"/>
      <c r="AI2039" s="500"/>
      <c r="AJ2039" s="500"/>
      <c r="AK2039" s="500"/>
      <c r="AL2039" s="500"/>
      <c r="AM2039" s="500"/>
      <c r="AN2039" s="500"/>
      <c r="AO2039" s="500"/>
      <c r="AP2039" s="500"/>
    </row>
    <row r="2040" spans="1:42" ht="16.5" customHeight="1">
      <c r="A2040" s="439"/>
      <c r="B2040" s="439"/>
      <c r="C2040" s="504"/>
      <c r="D2040" s="504"/>
      <c r="E2040" s="504"/>
      <c r="F2040" s="504"/>
      <c r="G2040" s="451" t="s">
        <v>3406</v>
      </c>
      <c r="Z2040" s="500"/>
      <c r="AA2040" s="500"/>
      <c r="AB2040" s="500"/>
      <c r="AC2040" s="500"/>
      <c r="AD2040" s="500"/>
      <c r="AE2040" s="500"/>
      <c r="AF2040" s="500"/>
      <c r="AG2040" s="500"/>
      <c r="AH2040" s="500"/>
      <c r="AI2040" s="500"/>
      <c r="AJ2040" s="500"/>
      <c r="AK2040" s="500"/>
      <c r="AL2040" s="500"/>
      <c r="AM2040" s="500"/>
      <c r="AN2040" s="500"/>
      <c r="AO2040" s="500"/>
      <c r="AP2040" s="500"/>
    </row>
    <row r="2041" spans="1:42" ht="16.5" customHeight="1">
      <c r="A2041" s="439"/>
      <c r="B2041" s="439"/>
      <c r="C2041" s="439"/>
      <c r="D2041" s="439"/>
      <c r="E2041" s="439"/>
      <c r="F2041" s="439"/>
      <c r="G2041" s="451" t="s">
        <v>3406</v>
      </c>
      <c r="Z2041" s="500"/>
      <c r="AA2041" s="500"/>
      <c r="AB2041" s="500"/>
      <c r="AC2041" s="500"/>
      <c r="AD2041" s="500"/>
      <c r="AE2041" s="500"/>
      <c r="AF2041" s="500"/>
      <c r="AG2041" s="500"/>
      <c r="AH2041" s="500"/>
      <c r="AI2041" s="500"/>
      <c r="AJ2041" s="500"/>
      <c r="AK2041" s="500"/>
      <c r="AL2041" s="500"/>
      <c r="AM2041" s="500"/>
      <c r="AN2041" s="500"/>
      <c r="AO2041" s="500"/>
      <c r="AP2041" s="500"/>
    </row>
    <row r="2042" spans="1:42" ht="16.5" customHeight="1">
      <c r="A2042" s="434"/>
      <c r="B2042" s="437" t="s">
        <v>3562</v>
      </c>
      <c r="C2042" s="439"/>
      <c r="D2042" s="439"/>
      <c r="E2042" s="439"/>
      <c r="F2042" s="439"/>
      <c r="G2042" s="451" t="s">
        <v>3563</v>
      </c>
      <c r="Z2042" s="500"/>
      <c r="AA2042" s="500"/>
      <c r="AB2042" s="500"/>
      <c r="AC2042" s="500"/>
      <c r="AD2042" s="500"/>
      <c r="AE2042" s="500"/>
      <c r="AF2042" s="500"/>
      <c r="AG2042" s="500"/>
      <c r="AH2042" s="500"/>
      <c r="AI2042" s="500"/>
      <c r="AJ2042" s="500"/>
      <c r="AK2042" s="500"/>
      <c r="AL2042" s="500"/>
      <c r="AM2042" s="500"/>
      <c r="AN2042" s="500"/>
      <c r="AO2042" s="500"/>
      <c r="AP2042" s="500"/>
    </row>
    <row r="2043" spans="1:42" ht="16.5" customHeight="1">
      <c r="A2043" s="439"/>
      <c r="B2043" s="439"/>
      <c r="C2043" s="439"/>
      <c r="D2043" s="439"/>
      <c r="E2043" s="439"/>
      <c r="F2043" s="439"/>
      <c r="G2043" s="451" t="s">
        <v>3406</v>
      </c>
      <c r="Z2043" s="500"/>
      <c r="AA2043" s="500"/>
      <c r="AB2043" s="500"/>
      <c r="AC2043" s="500"/>
      <c r="AD2043" s="500"/>
      <c r="AE2043" s="500"/>
      <c r="AF2043" s="500"/>
      <c r="AG2043" s="500"/>
      <c r="AH2043" s="500"/>
      <c r="AI2043" s="500"/>
      <c r="AJ2043" s="500"/>
      <c r="AK2043" s="500"/>
      <c r="AL2043" s="500"/>
      <c r="AM2043" s="500"/>
      <c r="AN2043" s="500"/>
      <c r="AO2043" s="500"/>
      <c r="AP2043" s="500"/>
    </row>
    <row r="2044" spans="1:42" ht="16.5" customHeight="1">
      <c r="A2044" s="434" t="s">
        <v>3634</v>
      </c>
      <c r="B2044" s="505" t="str">
        <f>"  지주목 삼발이, L1500 : "&amp;TEXT(I2044,"#,##0"&amp;IF(I2044&lt;&gt;INT(I2044),".###",""))&amp;" * "&amp;AA2044&amp;" 조  = "&amp;TEXT(C2044,"#,##0.0")&amp;""</f>
        <v xml:space="preserve">  지주목 삼발이, L1500 : 11,000 * 1 조  = 11,000.0</v>
      </c>
      <c r="C2044" s="506">
        <f>E2044+D2044+F2044</f>
        <v>11000</v>
      </c>
      <c r="D2044" s="506">
        <f>IF(H2044=0,0,ROUNDDOWN(J2044*H2044,1))</f>
        <v>0</v>
      </c>
      <c r="E2044" s="506">
        <f>IF(H2044=0,0,ROUNDDOWN(K2044*H2044,1))</f>
        <v>11000</v>
      </c>
      <c r="F2044" s="506">
        <f>IF(H2044=0,0,ROUNDDOWN(L2044*H2044,1))</f>
        <v>0</v>
      </c>
      <c r="G2044" s="451" t="s">
        <v>3635</v>
      </c>
      <c r="H2044" s="507">
        <f>ROUNDUP(AC2044,14-LEN(ABS(INT(AC2044))))</f>
        <v>1</v>
      </c>
      <c r="I2044" s="508">
        <f>K2044+J2044+L2044</f>
        <v>11000</v>
      </c>
      <c r="K2044" s="509">
        <f>재료비목록표!E91</f>
        <v>11000</v>
      </c>
      <c r="M2044" s="501" t="s">
        <v>3636</v>
      </c>
      <c r="N2044" s="501" t="s">
        <v>3416</v>
      </c>
      <c r="X2044" s="510" t="str">
        <f>재료비목록표!B91&amp;" / "&amp;재료비목록표!C91</f>
        <v>지주목 / 삼발이, L1500</v>
      </c>
      <c r="Y2044" s="433" t="str">
        <f ca="1">HYPERLINK("#"&amp;재료비목록표!G2&amp;"!A"&amp;ROW(재료비목록표!A91),"M08849 →")</f>
        <v>M08849 →</v>
      </c>
      <c r="Z2044" s="501" t="s">
        <v>3500</v>
      </c>
      <c r="AA2044" s="515">
        <v>1</v>
      </c>
      <c r="AB2044" s="501" t="s">
        <v>3418</v>
      </c>
      <c r="AC2044" s="512">
        <f>1*AA2044</f>
        <v>1</v>
      </c>
      <c r="AD2044" s="500"/>
      <c r="AE2044" s="500"/>
      <c r="AF2044" s="500"/>
      <c r="AG2044" s="500"/>
      <c r="AH2044" s="500"/>
      <c r="AI2044" s="500"/>
      <c r="AJ2044" s="500"/>
      <c r="AK2044" s="500"/>
      <c r="AL2044" s="500"/>
      <c r="AM2044" s="500"/>
      <c r="AN2044" s="500"/>
      <c r="AO2044" s="500"/>
      <c r="AP2044" s="500"/>
    </row>
    <row r="2045" spans="1:42" ht="16.5" customHeight="1">
      <c r="A2045" s="439"/>
      <c r="B2045" s="439"/>
      <c r="C2045" s="439"/>
      <c r="D2045" s="439"/>
      <c r="E2045" s="439"/>
      <c r="F2045" s="439"/>
      <c r="G2045" s="451" t="s">
        <v>3406</v>
      </c>
      <c r="Z2045" s="500"/>
      <c r="AA2045" s="500"/>
      <c r="AB2045" s="500"/>
      <c r="AC2045" s="500"/>
      <c r="AD2045" s="500"/>
      <c r="AE2045" s="500"/>
      <c r="AF2045" s="500"/>
      <c r="AG2045" s="500"/>
      <c r="AH2045" s="500"/>
      <c r="AI2045" s="500"/>
      <c r="AJ2045" s="500"/>
      <c r="AK2045" s="500"/>
      <c r="AL2045" s="500"/>
      <c r="AM2045" s="500"/>
      <c r="AN2045" s="500"/>
      <c r="AO2045" s="500"/>
      <c r="AP2045" s="500"/>
    </row>
    <row r="2046" spans="1:42" ht="16.5" customHeight="1">
      <c r="A2046" s="439"/>
      <c r="B2046" s="439"/>
      <c r="C2046" s="439"/>
      <c r="D2046" s="439"/>
      <c r="E2046" s="439"/>
      <c r="F2046" s="439"/>
      <c r="G2046" s="451" t="s">
        <v>3406</v>
      </c>
      <c r="Z2046" s="500"/>
      <c r="AA2046" s="500"/>
      <c r="AB2046" s="500"/>
      <c r="AC2046" s="500"/>
      <c r="AD2046" s="500"/>
      <c r="AE2046" s="500"/>
      <c r="AF2046" s="500"/>
      <c r="AG2046" s="500"/>
      <c r="AH2046" s="500"/>
      <c r="AI2046" s="500"/>
      <c r="AJ2046" s="500"/>
      <c r="AK2046" s="500"/>
      <c r="AL2046" s="500"/>
      <c r="AM2046" s="500"/>
      <c r="AN2046" s="500"/>
      <c r="AO2046" s="500"/>
      <c r="AP2046" s="500"/>
    </row>
    <row r="2047" spans="1:42" ht="16.5" customHeight="1">
      <c r="A2047" s="439"/>
      <c r="B2047" s="439"/>
      <c r="C2047" s="439"/>
      <c r="D2047" s="439"/>
      <c r="E2047" s="439"/>
      <c r="F2047" s="439"/>
      <c r="G2047" s="451" t="s">
        <v>3406</v>
      </c>
      <c r="Z2047" s="500"/>
      <c r="AA2047" s="500"/>
      <c r="AB2047" s="500"/>
      <c r="AC2047" s="500"/>
      <c r="AD2047" s="500"/>
      <c r="AE2047" s="500"/>
      <c r="AF2047" s="500"/>
      <c r="AG2047" s="500"/>
      <c r="AH2047" s="500"/>
      <c r="AI2047" s="500"/>
      <c r="AJ2047" s="500"/>
      <c r="AK2047" s="500"/>
      <c r="AL2047" s="500"/>
      <c r="AM2047" s="500"/>
      <c r="AN2047" s="500"/>
      <c r="AO2047" s="500"/>
      <c r="AP2047" s="500"/>
    </row>
    <row r="2048" spans="1:42" ht="16.5" customHeight="1">
      <c r="A2048" s="434" t="s">
        <v>3504</v>
      </c>
      <c r="B2048" s="505" t="str">
        <f>"  유기질비료 수목이식·식재용 : "&amp;TEXT(I2048,"#,##0"&amp;IF(I2048&lt;&gt;INT(I2048),".###",""))&amp;" * "&amp;AA2048&amp;" KG   = "&amp;TEXT(C2048,"#,##0.0")&amp;""</f>
        <v xml:space="preserve">  유기질비료 수목이식·식재용 : 500 * 15 KG   = 7,500.0</v>
      </c>
      <c r="C2048" s="506">
        <f>E2048+D2048+F2048</f>
        <v>7500</v>
      </c>
      <c r="D2048" s="506">
        <f>IF(H2048=0,0,ROUNDDOWN(J2048*H2048,1))</f>
        <v>0</v>
      </c>
      <c r="E2048" s="506">
        <f>IF(H2048=0,0,ROUNDDOWN(K2048*H2048,1))</f>
        <v>7500</v>
      </c>
      <c r="F2048" s="506">
        <f>IF(H2048=0,0,ROUNDDOWN(L2048*H2048,1))</f>
        <v>0</v>
      </c>
      <c r="G2048" s="451" t="s">
        <v>3567</v>
      </c>
      <c r="H2048" s="507">
        <f>ROUNDUP(AC2048,14-LEN(ABS(INT(AC2048))))</f>
        <v>15</v>
      </c>
      <c r="I2048" s="508">
        <f>K2048+J2048+L2048</f>
        <v>500</v>
      </c>
      <c r="K2048" s="509">
        <f>재료비목록표!E78</f>
        <v>500</v>
      </c>
      <c r="M2048" s="501" t="s">
        <v>3506</v>
      </c>
      <c r="N2048" s="501" t="s">
        <v>3416</v>
      </c>
      <c r="X2048" s="510" t="str">
        <f>재료비목록표!B78&amp;" / "&amp;재료비목록표!C78</f>
        <v>유기질비료 / 수목이식·식재용</v>
      </c>
      <c r="Y2048" s="433" t="str">
        <f ca="1">HYPERLINK("#"&amp;재료비목록표!G2&amp;"!A"&amp;ROW(재료비목록표!A78),"M01159 →")</f>
        <v>M01159 →</v>
      </c>
      <c r="Z2048" s="501" t="s">
        <v>3500</v>
      </c>
      <c r="AA2048" s="515">
        <v>15</v>
      </c>
      <c r="AB2048" s="501" t="s">
        <v>3418</v>
      </c>
      <c r="AC2048" s="512">
        <f>1*AA2048</f>
        <v>15</v>
      </c>
      <c r="AD2048" s="500"/>
      <c r="AE2048" s="500"/>
      <c r="AF2048" s="500"/>
      <c r="AG2048" s="500"/>
      <c r="AH2048" s="500"/>
      <c r="AI2048" s="500"/>
      <c r="AJ2048" s="500"/>
      <c r="AK2048" s="500"/>
      <c r="AL2048" s="500"/>
      <c r="AM2048" s="500"/>
      <c r="AN2048" s="500"/>
      <c r="AO2048" s="500"/>
      <c r="AP2048" s="500"/>
    </row>
    <row r="2049" spans="1:42" ht="16.5" customHeight="1">
      <c r="A2049" s="439"/>
      <c r="B2049" s="439"/>
      <c r="C2049" s="439"/>
      <c r="D2049" s="439"/>
      <c r="E2049" s="439"/>
      <c r="F2049" s="439"/>
      <c r="G2049" s="451" t="s">
        <v>3406</v>
      </c>
      <c r="Z2049" s="500"/>
      <c r="AA2049" s="500"/>
      <c r="AB2049" s="500"/>
      <c r="AC2049" s="500"/>
      <c r="AD2049" s="500"/>
      <c r="AE2049" s="500"/>
      <c r="AF2049" s="500"/>
      <c r="AG2049" s="500"/>
      <c r="AH2049" s="500"/>
      <c r="AI2049" s="500"/>
      <c r="AJ2049" s="500"/>
      <c r="AK2049" s="500"/>
      <c r="AL2049" s="500"/>
      <c r="AM2049" s="500"/>
      <c r="AN2049" s="500"/>
      <c r="AO2049" s="500"/>
      <c r="AP2049" s="500"/>
    </row>
    <row r="2050" spans="1:42" ht="16.5" customHeight="1">
      <c r="A2050" s="434"/>
      <c r="B2050" s="437" t="s">
        <v>3419</v>
      </c>
      <c r="C2050" s="513">
        <f>E2050+D2050+F2050</f>
        <v>18500</v>
      </c>
      <c r="D2050" s="513">
        <f>SUMIF(N2040:N2049,M2050,D2040:D2049)</f>
        <v>0</v>
      </c>
      <c r="E2050" s="513">
        <f>SUMIF(N2040:N2049,M2050,E2040:E2049)</f>
        <v>18500</v>
      </c>
      <c r="F2050" s="513">
        <f>SUMIF(N2040:N2049,M2050,F2040:F2049)</f>
        <v>0</v>
      </c>
      <c r="G2050" s="451" t="s">
        <v>3439</v>
      </c>
      <c r="M2050" s="501" t="s">
        <v>3416</v>
      </c>
      <c r="N2050" s="501" t="s">
        <v>3421</v>
      </c>
      <c r="Z2050" s="500"/>
      <c r="AA2050" s="500"/>
      <c r="AB2050" s="500"/>
      <c r="AC2050" s="500"/>
      <c r="AD2050" s="500"/>
      <c r="AE2050" s="500"/>
      <c r="AF2050" s="500"/>
      <c r="AG2050" s="500"/>
      <c r="AH2050" s="500"/>
      <c r="AI2050" s="500"/>
      <c r="AJ2050" s="500"/>
      <c r="AK2050" s="500"/>
      <c r="AL2050" s="500"/>
      <c r="AM2050" s="500"/>
      <c r="AN2050" s="500"/>
      <c r="AO2050" s="500"/>
      <c r="AP2050" s="500"/>
    </row>
    <row r="2051" spans="1:42" ht="16.5" customHeight="1">
      <c r="A2051" s="439"/>
      <c r="B2051" s="439"/>
      <c r="C2051" s="504"/>
      <c r="D2051" s="504"/>
      <c r="E2051" s="504"/>
      <c r="F2051" s="504"/>
      <c r="G2051" s="451" t="s">
        <v>3406</v>
      </c>
      <c r="Z2051" s="500"/>
      <c r="AA2051" s="500"/>
      <c r="AB2051" s="500"/>
      <c r="AC2051" s="500"/>
      <c r="AD2051" s="500"/>
      <c r="AE2051" s="500"/>
      <c r="AF2051" s="500"/>
      <c r="AG2051" s="500"/>
      <c r="AH2051" s="500"/>
      <c r="AI2051" s="500"/>
      <c r="AJ2051" s="500"/>
      <c r="AK2051" s="500"/>
      <c r="AL2051" s="500"/>
      <c r="AM2051" s="500"/>
      <c r="AN2051" s="500"/>
      <c r="AO2051" s="500"/>
      <c r="AP2051" s="500"/>
    </row>
    <row r="2052" spans="1:42" ht="16.5" customHeight="1">
      <c r="A2052" s="434"/>
      <c r="B2052" s="437" t="s">
        <v>3440</v>
      </c>
      <c r="C2052" s="513">
        <f>E2052+D2052+F2052</f>
        <v>113981.59999999999</v>
      </c>
      <c r="D2052" s="513">
        <f>SUMIF(N2007:N2051,M2052,D2007:D2051)</f>
        <v>79402.2</v>
      </c>
      <c r="E2052" s="513">
        <f>SUMIF(N2007:N2051,M2052,E2007:E2051)</f>
        <v>26337.599999999999</v>
      </c>
      <c r="F2052" s="513">
        <f>SUMIF(N2007:N2051,M2052,F2007:F2051)</f>
        <v>8241.7999999999993</v>
      </c>
      <c r="G2052" s="451" t="s">
        <v>3441</v>
      </c>
      <c r="M2052" s="501" t="s">
        <v>3421</v>
      </c>
      <c r="N2052" s="501" t="s">
        <v>2354</v>
      </c>
      <c r="Z2052" s="500"/>
      <c r="AA2052" s="500"/>
      <c r="AB2052" s="500"/>
      <c r="AC2052" s="500"/>
      <c r="AD2052" s="500"/>
      <c r="AE2052" s="500"/>
      <c r="AF2052" s="500"/>
      <c r="AG2052" s="500"/>
      <c r="AH2052" s="500"/>
      <c r="AI2052" s="500"/>
      <c r="AJ2052" s="500"/>
      <c r="AK2052" s="500"/>
      <c r="AL2052" s="500"/>
      <c r="AM2052" s="500"/>
      <c r="AN2052" s="500"/>
      <c r="AO2052" s="500"/>
      <c r="AP2052" s="500"/>
    </row>
    <row r="2053" spans="1:42" ht="16.5" customHeight="1">
      <c r="A2053" s="439"/>
      <c r="B2053" s="439"/>
      <c r="C2053" s="504"/>
      <c r="D2053" s="504"/>
      <c r="E2053" s="504"/>
      <c r="F2053" s="504"/>
      <c r="G2053" s="451" t="s">
        <v>3413</v>
      </c>
      <c r="Z2053" s="500"/>
      <c r="AA2053" s="500"/>
      <c r="AB2053" s="500"/>
      <c r="AC2053" s="500"/>
      <c r="AD2053" s="500"/>
      <c r="AE2053" s="500"/>
      <c r="AF2053" s="500"/>
      <c r="AG2053" s="500"/>
      <c r="AH2053" s="500"/>
      <c r="AI2053" s="500"/>
      <c r="AJ2053" s="500"/>
      <c r="AK2053" s="500"/>
      <c r="AL2053" s="500"/>
      <c r="AM2053" s="500"/>
      <c r="AN2053" s="500"/>
      <c r="AO2053" s="500"/>
      <c r="AP2053" s="500"/>
    </row>
    <row r="2054" spans="1:42" ht="16.5" customHeight="1">
      <c r="A2054" s="439"/>
      <c r="B2054" s="439"/>
      <c r="C2054" s="439"/>
      <c r="D2054" s="439"/>
      <c r="E2054" s="439"/>
      <c r="F2054" s="439"/>
      <c r="Z2054" s="500"/>
      <c r="AA2054" s="500"/>
      <c r="AB2054" s="500"/>
      <c r="AC2054" s="500"/>
      <c r="AD2054" s="500"/>
      <c r="AE2054" s="500"/>
      <c r="AF2054" s="500"/>
      <c r="AG2054" s="500"/>
      <c r="AH2054" s="500"/>
      <c r="AI2054" s="500"/>
      <c r="AJ2054" s="500"/>
      <c r="AK2054" s="500"/>
      <c r="AL2054" s="500"/>
      <c r="AM2054" s="500"/>
      <c r="AN2054" s="500"/>
      <c r="AO2054" s="500"/>
      <c r="AP2054" s="500"/>
    </row>
    <row r="2055" spans="1:42" ht="16.5" customHeight="1">
      <c r="A2055" s="439"/>
      <c r="B2055" s="439"/>
      <c r="C2055" s="439"/>
      <c r="D2055" s="439"/>
      <c r="E2055" s="439"/>
      <c r="F2055" s="439"/>
      <c r="Z2055" s="500"/>
      <c r="AA2055" s="500"/>
      <c r="AB2055" s="500"/>
      <c r="AC2055" s="500"/>
      <c r="AD2055" s="500"/>
      <c r="AE2055" s="500"/>
      <c r="AF2055" s="500"/>
      <c r="AG2055" s="500"/>
      <c r="AH2055" s="500"/>
      <c r="AI2055" s="500"/>
      <c r="AJ2055" s="500"/>
      <c r="AK2055" s="500"/>
      <c r="AL2055" s="500"/>
      <c r="AM2055" s="500"/>
      <c r="AN2055" s="500"/>
      <c r="AO2055" s="500"/>
      <c r="AP2055" s="500"/>
    </row>
    <row r="2056" spans="1:42" ht="16.5" customHeight="1">
      <c r="A2056" s="439"/>
      <c r="B2056" s="439"/>
      <c r="C2056" s="439"/>
      <c r="D2056" s="439"/>
      <c r="E2056" s="439"/>
      <c r="F2056" s="439"/>
      <c r="Z2056" s="500"/>
      <c r="AA2056" s="500"/>
      <c r="AB2056" s="500"/>
      <c r="AC2056" s="500"/>
      <c r="AD2056" s="500"/>
      <c r="AE2056" s="500"/>
      <c r="AF2056" s="500"/>
      <c r="AG2056" s="500"/>
      <c r="AH2056" s="500"/>
      <c r="AI2056" s="500"/>
      <c r="AJ2056" s="500"/>
      <c r="AK2056" s="500"/>
      <c r="AL2056" s="500"/>
      <c r="AM2056" s="500"/>
      <c r="AN2056" s="500"/>
      <c r="AO2056" s="500"/>
      <c r="AP2056" s="500"/>
    </row>
    <row r="2057" spans="1:42" ht="16.5" customHeight="1">
      <c r="A2057" s="439"/>
      <c r="B2057" s="439"/>
      <c r="C2057" s="439"/>
      <c r="D2057" s="439"/>
      <c r="E2057" s="439"/>
      <c r="F2057" s="439"/>
      <c r="Z2057" s="500"/>
      <c r="AA2057" s="500"/>
      <c r="AB2057" s="500"/>
      <c r="AC2057" s="500"/>
      <c r="AD2057" s="500"/>
      <c r="AE2057" s="500"/>
      <c r="AF2057" s="500"/>
      <c r="AG2057" s="500"/>
      <c r="AH2057" s="500"/>
      <c r="AI2057" s="500"/>
      <c r="AJ2057" s="500"/>
      <c r="AK2057" s="500"/>
      <c r="AL2057" s="500"/>
      <c r="AM2057" s="500"/>
      <c r="AN2057" s="500"/>
      <c r="AO2057" s="500"/>
      <c r="AP2057" s="500"/>
    </row>
    <row r="2058" spans="1:42" ht="16.5" customHeight="1">
      <c r="A2058" s="439"/>
      <c r="B2058" s="439"/>
      <c r="C2058" s="439"/>
      <c r="D2058" s="439"/>
      <c r="E2058" s="439"/>
      <c r="F2058" s="439"/>
      <c r="Z2058" s="500"/>
      <c r="AA2058" s="500"/>
      <c r="AB2058" s="500"/>
      <c r="AC2058" s="500"/>
      <c r="AD2058" s="500"/>
      <c r="AE2058" s="500"/>
      <c r="AF2058" s="500"/>
      <c r="AG2058" s="500"/>
      <c r="AH2058" s="500"/>
      <c r="AI2058" s="500"/>
      <c r="AJ2058" s="500"/>
      <c r="AK2058" s="500"/>
      <c r="AL2058" s="500"/>
      <c r="AM2058" s="500"/>
      <c r="AN2058" s="500"/>
      <c r="AO2058" s="500"/>
      <c r="AP2058" s="500"/>
    </row>
    <row r="2059" spans="1:42" ht="16.5" customHeight="1">
      <c r="A2059" s="439"/>
      <c r="B2059" s="439"/>
      <c r="C2059" s="439"/>
      <c r="D2059" s="439"/>
      <c r="E2059" s="439"/>
      <c r="F2059" s="439"/>
      <c r="Z2059" s="500"/>
      <c r="AA2059" s="500"/>
      <c r="AB2059" s="500"/>
      <c r="AC2059" s="500"/>
      <c r="AD2059" s="500"/>
      <c r="AE2059" s="500"/>
      <c r="AF2059" s="500"/>
      <c r="AG2059" s="500"/>
      <c r="AH2059" s="500"/>
      <c r="AI2059" s="500"/>
      <c r="AJ2059" s="500"/>
      <c r="AK2059" s="500"/>
      <c r="AL2059" s="500"/>
      <c r="AM2059" s="500"/>
      <c r="AN2059" s="500"/>
      <c r="AO2059" s="500"/>
      <c r="AP2059" s="500"/>
    </row>
    <row r="2060" spans="1:42" ht="16.5" customHeight="1">
      <c r="A2060" s="439"/>
      <c r="B2060" s="439"/>
      <c r="C2060" s="439"/>
      <c r="D2060" s="439"/>
      <c r="E2060" s="439"/>
      <c r="F2060" s="439"/>
      <c r="Z2060" s="500"/>
      <c r="AA2060" s="500"/>
      <c r="AB2060" s="500"/>
      <c r="AC2060" s="500"/>
      <c r="AD2060" s="500"/>
      <c r="AE2060" s="500"/>
      <c r="AF2060" s="500"/>
      <c r="AG2060" s="500"/>
      <c r="AH2060" s="500"/>
      <c r="AI2060" s="500"/>
      <c r="AJ2060" s="500"/>
      <c r="AK2060" s="500"/>
      <c r="AL2060" s="500"/>
      <c r="AM2060" s="500"/>
      <c r="AN2060" s="500"/>
      <c r="AO2060" s="500"/>
      <c r="AP2060" s="500"/>
    </row>
    <row r="2061" spans="1:42" ht="16.5" customHeight="1">
      <c r="A2061" s="439"/>
      <c r="B2061" s="439"/>
      <c r="C2061" s="439"/>
      <c r="D2061" s="439"/>
      <c r="E2061" s="439"/>
      <c r="F2061" s="439"/>
      <c r="Z2061" s="500"/>
      <c r="AA2061" s="500"/>
      <c r="AB2061" s="500"/>
      <c r="AC2061" s="500"/>
      <c r="AD2061" s="500"/>
      <c r="AE2061" s="500"/>
      <c r="AF2061" s="500"/>
      <c r="AG2061" s="500"/>
      <c r="AH2061" s="500"/>
      <c r="AI2061" s="500"/>
      <c r="AJ2061" s="500"/>
      <c r="AK2061" s="500"/>
      <c r="AL2061" s="500"/>
      <c r="AM2061" s="500"/>
      <c r="AN2061" s="500"/>
      <c r="AO2061" s="500"/>
      <c r="AP2061" s="500"/>
    </row>
    <row r="2062" spans="1:42" ht="16.5" customHeight="1">
      <c r="A2062" s="439"/>
      <c r="B2062" s="439"/>
      <c r="C2062" s="439"/>
      <c r="D2062" s="439"/>
      <c r="E2062" s="439"/>
      <c r="F2062" s="439"/>
      <c r="Z2062" s="500"/>
      <c r="AA2062" s="500"/>
      <c r="AB2062" s="500"/>
      <c r="AC2062" s="500"/>
      <c r="AD2062" s="500"/>
      <c r="AE2062" s="500"/>
      <c r="AF2062" s="500"/>
      <c r="AG2062" s="500"/>
      <c r="AH2062" s="500"/>
      <c r="AI2062" s="500"/>
      <c r="AJ2062" s="500"/>
      <c r="AK2062" s="500"/>
      <c r="AL2062" s="500"/>
      <c r="AM2062" s="500"/>
      <c r="AN2062" s="500"/>
      <c r="AO2062" s="500"/>
      <c r="AP2062" s="500"/>
    </row>
    <row r="2063" spans="1:42" ht="16.5" customHeight="1">
      <c r="A2063" s="439"/>
      <c r="B2063" s="439"/>
      <c r="C2063" s="439"/>
      <c r="D2063" s="439"/>
      <c r="E2063" s="439"/>
      <c r="F2063" s="439"/>
      <c r="Z2063" s="500"/>
      <c r="AA2063" s="500"/>
      <c r="AB2063" s="500"/>
      <c r="AC2063" s="500"/>
      <c r="AD2063" s="500"/>
      <c r="AE2063" s="500"/>
      <c r="AF2063" s="500"/>
      <c r="AG2063" s="500"/>
      <c r="AH2063" s="500"/>
      <c r="AI2063" s="500"/>
      <c r="AJ2063" s="500"/>
      <c r="AK2063" s="500"/>
      <c r="AL2063" s="500"/>
      <c r="AM2063" s="500"/>
      <c r="AN2063" s="500"/>
      <c r="AO2063" s="500"/>
      <c r="AP2063" s="500"/>
    </row>
    <row r="2064" spans="1:42" ht="16.5" customHeight="1">
      <c r="A2064" s="439"/>
      <c r="B2064" s="439"/>
      <c r="C2064" s="439"/>
      <c r="D2064" s="439"/>
      <c r="E2064" s="439"/>
      <c r="F2064" s="439"/>
      <c r="Z2064" s="500"/>
      <c r="AA2064" s="500"/>
      <c r="AB2064" s="500"/>
      <c r="AC2064" s="500"/>
      <c r="AD2064" s="500"/>
      <c r="AE2064" s="500"/>
      <c r="AF2064" s="500"/>
      <c r="AG2064" s="500"/>
      <c r="AH2064" s="500"/>
      <c r="AI2064" s="500"/>
      <c r="AJ2064" s="500"/>
      <c r="AK2064" s="500"/>
      <c r="AL2064" s="500"/>
      <c r="AM2064" s="500"/>
      <c r="AN2064" s="500"/>
      <c r="AO2064" s="500"/>
      <c r="AP2064" s="500"/>
    </row>
    <row r="2065" spans="1:42" ht="16.5" customHeight="1">
      <c r="A2065" s="439"/>
      <c r="B2065" s="439"/>
      <c r="C2065" s="439"/>
      <c r="D2065" s="439"/>
      <c r="E2065" s="439"/>
      <c r="F2065" s="439"/>
      <c r="Z2065" s="500"/>
      <c r="AA2065" s="500"/>
      <c r="AB2065" s="500"/>
      <c r="AC2065" s="500"/>
      <c r="AD2065" s="500"/>
      <c r="AE2065" s="500"/>
      <c r="AF2065" s="500"/>
      <c r="AG2065" s="500"/>
      <c r="AH2065" s="500"/>
      <c r="AI2065" s="500"/>
      <c r="AJ2065" s="500"/>
      <c r="AK2065" s="500"/>
      <c r="AL2065" s="500"/>
      <c r="AM2065" s="500"/>
      <c r="AN2065" s="500"/>
      <c r="AO2065" s="500"/>
      <c r="AP2065" s="500"/>
    </row>
    <row r="2066" spans="1:42" ht="16.5" customHeight="1">
      <c r="A2066" s="439"/>
      <c r="B2066" s="439"/>
      <c r="C2066" s="439"/>
      <c r="D2066" s="439"/>
      <c r="E2066" s="439"/>
      <c r="F2066" s="439"/>
      <c r="Z2066" s="500"/>
      <c r="AA2066" s="500"/>
      <c r="AB2066" s="500"/>
      <c r="AC2066" s="500"/>
      <c r="AD2066" s="500"/>
      <c r="AE2066" s="500"/>
      <c r="AF2066" s="500"/>
      <c r="AG2066" s="500"/>
      <c r="AH2066" s="500"/>
      <c r="AI2066" s="500"/>
      <c r="AJ2066" s="500"/>
      <c r="AK2066" s="500"/>
      <c r="AL2066" s="500"/>
      <c r="AM2066" s="500"/>
      <c r="AN2066" s="500"/>
      <c r="AO2066" s="500"/>
      <c r="AP2066" s="500"/>
    </row>
    <row r="2067" spans="1:42" ht="16.5" customHeight="1">
      <c r="A2067" s="439"/>
      <c r="B2067" s="439"/>
      <c r="C2067" s="439"/>
      <c r="D2067" s="439"/>
      <c r="E2067" s="439"/>
      <c r="F2067" s="439"/>
      <c r="Z2067" s="500"/>
      <c r="AA2067" s="500"/>
      <c r="AB2067" s="500"/>
      <c r="AC2067" s="500"/>
      <c r="AD2067" s="500"/>
      <c r="AE2067" s="500"/>
      <c r="AF2067" s="500"/>
      <c r="AG2067" s="500"/>
      <c r="AH2067" s="500"/>
      <c r="AI2067" s="500"/>
      <c r="AJ2067" s="500"/>
      <c r="AK2067" s="500"/>
      <c r="AL2067" s="500"/>
      <c r="AM2067" s="500"/>
      <c r="AN2067" s="500"/>
      <c r="AO2067" s="500"/>
      <c r="AP2067" s="500"/>
    </row>
    <row r="2068" spans="1:42" ht="16.5" customHeight="1">
      <c r="A2068" s="439"/>
      <c r="B2068" s="439"/>
      <c r="C2068" s="439"/>
      <c r="D2068" s="439"/>
      <c r="E2068" s="439"/>
      <c r="F2068" s="439"/>
      <c r="Z2068" s="500"/>
      <c r="AA2068" s="500"/>
      <c r="AB2068" s="500"/>
      <c r="AC2068" s="500"/>
      <c r="AD2068" s="500"/>
      <c r="AE2068" s="500"/>
      <c r="AF2068" s="500"/>
      <c r="AG2068" s="500"/>
      <c r="AH2068" s="500"/>
      <c r="AI2068" s="500"/>
      <c r="AJ2068" s="500"/>
      <c r="AK2068" s="500"/>
      <c r="AL2068" s="500"/>
      <c r="AM2068" s="500"/>
      <c r="AN2068" s="500"/>
      <c r="AO2068" s="500"/>
      <c r="AP2068" s="500"/>
    </row>
    <row r="2069" spans="1:42" ht="16.5" customHeight="1">
      <c r="A2069" s="439"/>
      <c r="B2069" s="439"/>
      <c r="C2069" s="439"/>
      <c r="D2069" s="439"/>
      <c r="E2069" s="439"/>
      <c r="F2069" s="439"/>
      <c r="Z2069" s="500"/>
      <c r="AA2069" s="500"/>
      <c r="AB2069" s="500"/>
      <c r="AC2069" s="500"/>
      <c r="AD2069" s="500"/>
      <c r="AE2069" s="500"/>
      <c r="AF2069" s="500"/>
      <c r="AG2069" s="500"/>
      <c r="AH2069" s="500"/>
      <c r="AI2069" s="500"/>
      <c r="AJ2069" s="500"/>
      <c r="AK2069" s="500"/>
      <c r="AL2069" s="500"/>
      <c r="AM2069" s="500"/>
      <c r="AN2069" s="500"/>
      <c r="AO2069" s="500"/>
      <c r="AP2069" s="500"/>
    </row>
    <row r="2070" spans="1:42" ht="16.5" customHeight="1">
      <c r="A2070" s="439"/>
      <c r="B2070" s="439"/>
      <c r="C2070" s="439"/>
      <c r="D2070" s="439"/>
      <c r="E2070" s="439"/>
      <c r="F2070" s="439"/>
      <c r="Z2070" s="500"/>
      <c r="AA2070" s="500"/>
      <c r="AB2070" s="500"/>
      <c r="AC2070" s="500"/>
      <c r="AD2070" s="500"/>
      <c r="AE2070" s="500"/>
      <c r="AF2070" s="500"/>
      <c r="AG2070" s="500"/>
      <c r="AH2070" s="500"/>
      <c r="AI2070" s="500"/>
      <c r="AJ2070" s="500"/>
      <c r="AK2070" s="500"/>
      <c r="AL2070" s="500"/>
      <c r="AM2070" s="500"/>
      <c r="AN2070" s="500"/>
      <c r="AO2070" s="500"/>
      <c r="AP2070" s="500"/>
    </row>
    <row r="2071" spans="1:42" ht="16.5" customHeight="1">
      <c r="A2071" s="439"/>
      <c r="B2071" s="439"/>
      <c r="C2071" s="439"/>
      <c r="D2071" s="439"/>
      <c r="E2071" s="439"/>
      <c r="F2071" s="439"/>
      <c r="Z2071" s="500"/>
      <c r="AA2071" s="500"/>
      <c r="AB2071" s="500"/>
      <c r="AC2071" s="500"/>
      <c r="AD2071" s="500"/>
      <c r="AE2071" s="500"/>
      <c r="AF2071" s="500"/>
      <c r="AG2071" s="500"/>
      <c r="AH2071" s="500"/>
      <c r="AI2071" s="500"/>
      <c r="AJ2071" s="500"/>
      <c r="AK2071" s="500"/>
      <c r="AL2071" s="500"/>
      <c r="AM2071" s="500"/>
      <c r="AN2071" s="500"/>
      <c r="AO2071" s="500"/>
      <c r="AP2071" s="500"/>
    </row>
    <row r="2072" spans="1:42" ht="16.5" customHeight="1">
      <c r="A2072" s="439"/>
      <c r="B2072" s="439"/>
      <c r="C2072" s="439"/>
      <c r="D2072" s="439"/>
      <c r="E2072" s="439"/>
      <c r="F2072" s="439"/>
      <c r="Z2072" s="500"/>
      <c r="AA2072" s="500"/>
      <c r="AB2072" s="500"/>
      <c r="AC2072" s="500"/>
      <c r="AD2072" s="500"/>
      <c r="AE2072" s="500"/>
      <c r="AF2072" s="500"/>
      <c r="AG2072" s="500"/>
      <c r="AH2072" s="500"/>
      <c r="AI2072" s="500"/>
      <c r="AJ2072" s="500"/>
      <c r="AK2072" s="500"/>
      <c r="AL2072" s="500"/>
      <c r="AM2072" s="500"/>
      <c r="AN2072" s="500"/>
      <c r="AO2072" s="500"/>
      <c r="AP2072" s="500"/>
    </row>
    <row r="2073" spans="1:42" ht="16.5" customHeight="1">
      <c r="A2073" s="439"/>
      <c r="B2073" s="439"/>
      <c r="C2073" s="439"/>
      <c r="D2073" s="439"/>
      <c r="E2073" s="439"/>
      <c r="F2073" s="439"/>
      <c r="Z2073" s="500"/>
      <c r="AA2073" s="500"/>
      <c r="AB2073" s="500"/>
      <c r="AC2073" s="500"/>
      <c r="AD2073" s="500"/>
      <c r="AE2073" s="500"/>
      <c r="AF2073" s="500"/>
      <c r="AG2073" s="500"/>
      <c r="AH2073" s="500"/>
      <c r="AI2073" s="500"/>
      <c r="AJ2073" s="500"/>
      <c r="AK2073" s="500"/>
      <c r="AL2073" s="500"/>
      <c r="AM2073" s="500"/>
      <c r="AN2073" s="500"/>
      <c r="AO2073" s="500"/>
      <c r="AP2073" s="500"/>
    </row>
    <row r="2074" spans="1:42" ht="16.5" customHeight="1">
      <c r="A2074" s="439"/>
      <c r="B2074" s="439"/>
      <c r="C2074" s="439"/>
      <c r="D2074" s="439"/>
      <c r="E2074" s="439"/>
      <c r="F2074" s="439"/>
      <c r="Z2074" s="500"/>
      <c r="AA2074" s="500"/>
      <c r="AB2074" s="500"/>
      <c r="AC2074" s="500"/>
      <c r="AD2074" s="500"/>
      <c r="AE2074" s="500"/>
      <c r="AF2074" s="500"/>
      <c r="AG2074" s="500"/>
      <c r="AH2074" s="500"/>
      <c r="AI2074" s="500"/>
      <c r="AJ2074" s="500"/>
      <c r="AK2074" s="500"/>
      <c r="AL2074" s="500"/>
      <c r="AM2074" s="500"/>
      <c r="AN2074" s="500"/>
      <c r="AO2074" s="500"/>
      <c r="AP2074" s="500"/>
    </row>
    <row r="2075" spans="1:42" ht="16.5" customHeight="1">
      <c r="A2075" s="439"/>
      <c r="B2075" s="439"/>
      <c r="C2075" s="439"/>
      <c r="D2075" s="439"/>
      <c r="E2075" s="439"/>
      <c r="F2075" s="439"/>
      <c r="Z2075" s="500"/>
      <c r="AA2075" s="500"/>
      <c r="AB2075" s="500"/>
      <c r="AC2075" s="500"/>
      <c r="AD2075" s="500"/>
      <c r="AE2075" s="500"/>
      <c r="AF2075" s="500"/>
      <c r="AG2075" s="500"/>
      <c r="AH2075" s="500"/>
      <c r="AI2075" s="500"/>
      <c r="AJ2075" s="500"/>
      <c r="AK2075" s="500"/>
      <c r="AL2075" s="500"/>
      <c r="AM2075" s="500"/>
      <c r="AN2075" s="500"/>
      <c r="AO2075" s="500"/>
      <c r="AP2075" s="500"/>
    </row>
    <row r="2076" spans="1:42" ht="16.5" customHeight="1">
      <c r="A2076" s="439"/>
      <c r="B2076" s="439"/>
      <c r="C2076" s="439"/>
      <c r="D2076" s="439"/>
      <c r="E2076" s="439"/>
      <c r="F2076" s="439"/>
      <c r="Z2076" s="500"/>
      <c r="AA2076" s="500"/>
      <c r="AB2076" s="500"/>
      <c r="AC2076" s="500"/>
      <c r="AD2076" s="500"/>
      <c r="AE2076" s="500"/>
      <c r="AF2076" s="500"/>
      <c r="AG2076" s="500"/>
      <c r="AH2076" s="500"/>
      <c r="AI2076" s="500"/>
      <c r="AJ2076" s="500"/>
      <c r="AK2076" s="500"/>
      <c r="AL2076" s="500"/>
      <c r="AM2076" s="500"/>
      <c r="AN2076" s="500"/>
      <c r="AO2076" s="500"/>
      <c r="AP2076" s="500"/>
    </row>
    <row r="2077" spans="1:42" ht="16.5" customHeight="1">
      <c r="A2077" s="439"/>
      <c r="B2077" s="439"/>
      <c r="C2077" s="439"/>
      <c r="D2077" s="439"/>
      <c r="E2077" s="439"/>
      <c r="F2077" s="439"/>
      <c r="Z2077" s="500"/>
      <c r="AA2077" s="500"/>
      <c r="AB2077" s="500"/>
      <c r="AC2077" s="500"/>
      <c r="AD2077" s="500"/>
      <c r="AE2077" s="500"/>
      <c r="AF2077" s="500"/>
      <c r="AG2077" s="500"/>
      <c r="AH2077" s="500"/>
      <c r="AI2077" s="500"/>
      <c r="AJ2077" s="500"/>
      <c r="AK2077" s="500"/>
      <c r="AL2077" s="500"/>
      <c r="AM2077" s="500"/>
      <c r="AN2077" s="500"/>
      <c r="AO2077" s="500"/>
      <c r="AP2077" s="500"/>
    </row>
    <row r="2078" spans="1:42" ht="16.5" customHeight="1">
      <c r="A2078" s="439"/>
      <c r="B2078" s="439"/>
      <c r="C2078" s="439"/>
      <c r="D2078" s="439"/>
      <c r="E2078" s="439"/>
      <c r="F2078" s="439"/>
      <c r="Z2078" s="500"/>
      <c r="AA2078" s="500"/>
      <c r="AB2078" s="500"/>
      <c r="AC2078" s="500"/>
      <c r="AD2078" s="500"/>
      <c r="AE2078" s="500"/>
      <c r="AF2078" s="500"/>
      <c r="AG2078" s="500"/>
      <c r="AH2078" s="500"/>
      <c r="AI2078" s="500"/>
      <c r="AJ2078" s="500"/>
      <c r="AK2078" s="500"/>
      <c r="AL2078" s="500"/>
      <c r="AM2078" s="500"/>
      <c r="AN2078" s="500"/>
      <c r="AO2078" s="500"/>
      <c r="AP2078" s="500"/>
    </row>
    <row r="2079" spans="1:42" ht="16.5" customHeight="1">
      <c r="A2079" s="439"/>
      <c r="B2079" s="439"/>
      <c r="C2079" s="439"/>
      <c r="D2079" s="439"/>
      <c r="E2079" s="439"/>
      <c r="F2079" s="439"/>
      <c r="Z2079" s="500"/>
      <c r="AA2079" s="500"/>
      <c r="AB2079" s="500"/>
      <c r="AC2079" s="500"/>
      <c r="AD2079" s="500"/>
      <c r="AE2079" s="500"/>
      <c r="AF2079" s="500"/>
      <c r="AG2079" s="500"/>
      <c r="AH2079" s="500"/>
      <c r="AI2079" s="500"/>
      <c r="AJ2079" s="500"/>
      <c r="AK2079" s="500"/>
      <c r="AL2079" s="500"/>
      <c r="AM2079" s="500"/>
      <c r="AN2079" s="500"/>
      <c r="AO2079" s="500"/>
      <c r="AP2079" s="500"/>
    </row>
    <row r="2080" spans="1:42" ht="16.5" customHeight="1">
      <c r="A2080" s="439"/>
      <c r="B2080" s="439"/>
      <c r="C2080" s="439"/>
      <c r="D2080" s="439"/>
      <c r="E2080" s="439"/>
      <c r="F2080" s="439"/>
      <c r="Z2080" s="500"/>
      <c r="AA2080" s="500"/>
      <c r="AB2080" s="500"/>
      <c r="AC2080" s="500"/>
      <c r="AD2080" s="500"/>
      <c r="AE2080" s="500"/>
      <c r="AF2080" s="500"/>
      <c r="AG2080" s="500"/>
      <c r="AH2080" s="500"/>
      <c r="AI2080" s="500"/>
      <c r="AJ2080" s="500"/>
      <c r="AK2080" s="500"/>
      <c r="AL2080" s="500"/>
      <c r="AM2080" s="500"/>
      <c r="AN2080" s="500"/>
      <c r="AO2080" s="500"/>
      <c r="AP2080" s="500"/>
    </row>
    <row r="2081" spans="1:42" ht="16.5" customHeight="1">
      <c r="A2081" s="439"/>
      <c r="B2081" s="439"/>
      <c r="C2081" s="439"/>
      <c r="D2081" s="439"/>
      <c r="E2081" s="439"/>
      <c r="F2081" s="439"/>
      <c r="Z2081" s="500"/>
      <c r="AA2081" s="500"/>
      <c r="AB2081" s="500"/>
      <c r="AC2081" s="500"/>
      <c r="AD2081" s="500"/>
      <c r="AE2081" s="500"/>
      <c r="AF2081" s="500"/>
      <c r="AG2081" s="500"/>
      <c r="AH2081" s="500"/>
      <c r="AI2081" s="500"/>
      <c r="AJ2081" s="500"/>
      <c r="AK2081" s="500"/>
      <c r="AL2081" s="500"/>
      <c r="AM2081" s="500"/>
      <c r="AN2081" s="500"/>
      <c r="AO2081" s="500"/>
      <c r="AP2081" s="500"/>
    </row>
    <row r="2082" spans="1:42" ht="16.5" customHeight="1">
      <c r="A2082" s="439"/>
      <c r="B2082" s="439"/>
      <c r="C2082" s="439"/>
      <c r="D2082" s="439"/>
      <c r="E2082" s="439"/>
      <c r="F2082" s="439"/>
      <c r="Z2082" s="500"/>
      <c r="AA2082" s="500"/>
      <c r="AB2082" s="500"/>
      <c r="AC2082" s="500"/>
      <c r="AD2082" s="500"/>
      <c r="AE2082" s="500"/>
      <c r="AF2082" s="500"/>
      <c r="AG2082" s="500"/>
      <c r="AH2082" s="500"/>
      <c r="AI2082" s="500"/>
      <c r="AJ2082" s="500"/>
      <c r="AK2082" s="500"/>
      <c r="AL2082" s="500"/>
      <c r="AM2082" s="500"/>
      <c r="AN2082" s="500"/>
      <c r="AO2082" s="500"/>
      <c r="AP2082" s="500"/>
    </row>
    <row r="2083" spans="1:42" ht="16.5" customHeight="1">
      <c r="A2083" s="439"/>
      <c r="B2083" s="439"/>
      <c r="C2083" s="439"/>
      <c r="D2083" s="439"/>
      <c r="E2083" s="439"/>
      <c r="F2083" s="439"/>
      <c r="Z2083" s="500"/>
      <c r="AA2083" s="500"/>
      <c r="AB2083" s="500"/>
      <c r="AC2083" s="500"/>
      <c r="AD2083" s="500"/>
      <c r="AE2083" s="500"/>
      <c r="AF2083" s="500"/>
      <c r="AG2083" s="500"/>
      <c r="AH2083" s="500"/>
      <c r="AI2083" s="500"/>
      <c r="AJ2083" s="500"/>
      <c r="AK2083" s="500"/>
      <c r="AL2083" s="500"/>
      <c r="AM2083" s="500"/>
      <c r="AN2083" s="500"/>
      <c r="AO2083" s="500"/>
      <c r="AP2083" s="500"/>
    </row>
    <row r="2084" spans="1:42" ht="16.5" customHeight="1">
      <c r="A2084" s="439"/>
      <c r="B2084" s="439"/>
      <c r="C2084" s="439"/>
      <c r="D2084" s="439"/>
      <c r="E2084" s="439"/>
      <c r="F2084" s="439"/>
      <c r="Z2084" s="500"/>
      <c r="AA2084" s="500"/>
      <c r="AB2084" s="500"/>
      <c r="AC2084" s="500"/>
      <c r="AD2084" s="500"/>
      <c r="AE2084" s="500"/>
      <c r="AF2084" s="500"/>
      <c r="AG2084" s="500"/>
      <c r="AH2084" s="500"/>
      <c r="AI2084" s="500"/>
      <c r="AJ2084" s="500"/>
      <c r="AK2084" s="500"/>
      <c r="AL2084" s="500"/>
      <c r="AM2084" s="500"/>
      <c r="AN2084" s="500"/>
      <c r="AO2084" s="500"/>
      <c r="AP2084" s="500"/>
    </row>
    <row r="2085" spans="1:42" ht="16.5" customHeight="1">
      <c r="A2085" s="439"/>
      <c r="B2085" s="439"/>
      <c r="C2085" s="439"/>
      <c r="D2085" s="439"/>
      <c r="E2085" s="439"/>
      <c r="F2085" s="439"/>
      <c r="Z2085" s="500"/>
      <c r="AA2085" s="500"/>
      <c r="AB2085" s="500"/>
      <c r="AC2085" s="500"/>
      <c r="AD2085" s="500"/>
      <c r="AE2085" s="500"/>
      <c r="AF2085" s="500"/>
      <c r="AG2085" s="500"/>
      <c r="AH2085" s="500"/>
      <c r="AI2085" s="500"/>
      <c r="AJ2085" s="500"/>
      <c r="AK2085" s="500"/>
      <c r="AL2085" s="500"/>
      <c r="AM2085" s="500"/>
      <c r="AN2085" s="500"/>
      <c r="AO2085" s="500"/>
      <c r="AP2085" s="500"/>
    </row>
    <row r="2086" spans="1:42" ht="16.5" customHeight="1">
      <c r="A2086" s="439"/>
      <c r="B2086" s="439"/>
      <c r="C2086" s="439"/>
      <c r="D2086" s="439"/>
      <c r="E2086" s="439"/>
      <c r="F2086" s="439"/>
      <c r="Z2086" s="500"/>
      <c r="AA2086" s="500"/>
      <c r="AB2086" s="500"/>
      <c r="AC2086" s="500"/>
      <c r="AD2086" s="500"/>
      <c r="AE2086" s="500"/>
      <c r="AF2086" s="500"/>
      <c r="AG2086" s="500"/>
      <c r="AH2086" s="500"/>
      <c r="AI2086" s="500"/>
      <c r="AJ2086" s="500"/>
      <c r="AK2086" s="500"/>
      <c r="AL2086" s="500"/>
      <c r="AM2086" s="500"/>
      <c r="AN2086" s="500"/>
      <c r="AO2086" s="500"/>
      <c r="AP2086" s="500"/>
    </row>
    <row r="2087" spans="1:42" ht="16.5" customHeight="1">
      <c r="A2087" s="439"/>
      <c r="B2087" s="439"/>
      <c r="C2087" s="439"/>
      <c r="D2087" s="439"/>
      <c r="E2087" s="439"/>
      <c r="F2087" s="439"/>
      <c r="Z2087" s="500"/>
      <c r="AA2087" s="500"/>
      <c r="AB2087" s="500"/>
      <c r="AC2087" s="500"/>
      <c r="AD2087" s="500"/>
      <c r="AE2087" s="500"/>
      <c r="AF2087" s="500"/>
      <c r="AG2087" s="500"/>
      <c r="AH2087" s="500"/>
      <c r="AI2087" s="500"/>
      <c r="AJ2087" s="500"/>
      <c r="AK2087" s="500"/>
      <c r="AL2087" s="500"/>
      <c r="AM2087" s="500"/>
      <c r="AN2087" s="500"/>
      <c r="AO2087" s="500"/>
      <c r="AP2087" s="500"/>
    </row>
    <row r="2088" spans="1:42" ht="16.5" customHeight="1">
      <c r="A2088" s="439"/>
      <c r="B2088" s="439"/>
      <c r="C2088" s="439"/>
      <c r="D2088" s="439"/>
      <c r="E2088" s="439"/>
      <c r="F2088" s="439"/>
      <c r="Z2088" s="500"/>
      <c r="AA2088" s="500"/>
      <c r="AB2088" s="500"/>
      <c r="AC2088" s="500"/>
      <c r="AD2088" s="500"/>
      <c r="AE2088" s="500"/>
      <c r="AF2088" s="500"/>
      <c r="AG2088" s="500"/>
      <c r="AH2088" s="500"/>
      <c r="AI2088" s="500"/>
      <c r="AJ2088" s="500"/>
      <c r="AK2088" s="500"/>
      <c r="AL2088" s="500"/>
      <c r="AM2088" s="500"/>
      <c r="AN2088" s="500"/>
      <c r="AO2088" s="500"/>
      <c r="AP2088" s="500"/>
    </row>
    <row r="2089" spans="1:42" ht="16.5" customHeight="1">
      <c r="A2089" s="439"/>
      <c r="B2089" s="439"/>
      <c r="C2089" s="439"/>
      <c r="D2089" s="439"/>
      <c r="E2089" s="439"/>
      <c r="F2089" s="439"/>
      <c r="Z2089" s="500"/>
      <c r="AA2089" s="500"/>
      <c r="AB2089" s="500"/>
      <c r="AC2089" s="500"/>
      <c r="AD2089" s="500"/>
      <c r="AE2089" s="500"/>
      <c r="AF2089" s="500"/>
      <c r="AG2089" s="500"/>
      <c r="AH2089" s="500"/>
      <c r="AI2089" s="500"/>
      <c r="AJ2089" s="500"/>
      <c r="AK2089" s="500"/>
      <c r="AL2089" s="500"/>
      <c r="AM2089" s="500"/>
      <c r="AN2089" s="500"/>
      <c r="AO2089" s="500"/>
      <c r="AP2089" s="500"/>
    </row>
    <row r="2090" spans="1:42" ht="16.5" customHeight="1">
      <c r="A2090" s="439"/>
      <c r="B2090" s="439"/>
      <c r="C2090" s="439"/>
      <c r="D2090" s="439"/>
      <c r="E2090" s="439"/>
      <c r="F2090" s="439"/>
      <c r="Z2090" s="500"/>
      <c r="AA2090" s="500"/>
      <c r="AB2090" s="500"/>
      <c r="AC2090" s="500"/>
      <c r="AD2090" s="500"/>
      <c r="AE2090" s="500"/>
      <c r="AF2090" s="500"/>
      <c r="AG2090" s="500"/>
      <c r="AH2090" s="500"/>
      <c r="AI2090" s="500"/>
      <c r="AJ2090" s="500"/>
      <c r="AK2090" s="500"/>
      <c r="AL2090" s="500"/>
      <c r="AM2090" s="500"/>
      <c r="AN2090" s="500"/>
      <c r="AO2090" s="500"/>
      <c r="AP2090" s="500"/>
    </row>
    <row r="2091" spans="1:42" ht="16.5" customHeight="1">
      <c r="A2091" s="439"/>
      <c r="B2091" s="439"/>
      <c r="C2091" s="439"/>
      <c r="D2091" s="439"/>
      <c r="E2091" s="439"/>
      <c r="F2091" s="439"/>
      <c r="Z2091" s="500"/>
      <c r="AA2091" s="500"/>
      <c r="AB2091" s="500"/>
      <c r="AC2091" s="500"/>
      <c r="AD2091" s="500"/>
      <c r="AE2091" s="500"/>
      <c r="AF2091" s="500"/>
      <c r="AG2091" s="500"/>
      <c r="AH2091" s="500"/>
      <c r="AI2091" s="500"/>
      <c r="AJ2091" s="500"/>
      <c r="AK2091" s="500"/>
      <c r="AL2091" s="500"/>
      <c r="AM2091" s="500"/>
      <c r="AN2091" s="500"/>
      <c r="AO2091" s="500"/>
      <c r="AP2091" s="500"/>
    </row>
    <row r="2092" spans="1:42" ht="16.5" customHeight="1">
      <c r="A2092" s="439"/>
      <c r="B2092" s="439"/>
      <c r="C2092" s="439"/>
      <c r="D2092" s="439"/>
      <c r="E2092" s="439"/>
      <c r="F2092" s="439"/>
      <c r="Z2092" s="500"/>
      <c r="AA2092" s="500"/>
      <c r="AB2092" s="500"/>
      <c r="AC2092" s="500"/>
      <c r="AD2092" s="500"/>
      <c r="AE2092" s="500"/>
      <c r="AF2092" s="500"/>
      <c r="AG2092" s="500"/>
      <c r="AH2092" s="500"/>
      <c r="AI2092" s="500"/>
      <c r="AJ2092" s="500"/>
      <c r="AK2092" s="500"/>
      <c r="AL2092" s="500"/>
      <c r="AM2092" s="500"/>
      <c r="AN2092" s="500"/>
      <c r="AO2092" s="500"/>
      <c r="AP2092" s="500"/>
    </row>
    <row r="2093" spans="1:42" ht="16.5" customHeight="1">
      <c r="A2093" s="439"/>
      <c r="B2093" s="439"/>
      <c r="C2093" s="439"/>
      <c r="D2093" s="439"/>
      <c r="E2093" s="439"/>
      <c r="F2093" s="439"/>
      <c r="Z2093" s="500"/>
      <c r="AA2093" s="500"/>
      <c r="AB2093" s="500"/>
      <c r="AC2093" s="500"/>
      <c r="AD2093" s="500"/>
      <c r="AE2093" s="500"/>
      <c r="AF2093" s="500"/>
      <c r="AG2093" s="500"/>
      <c r="AH2093" s="500"/>
      <c r="AI2093" s="500"/>
      <c r="AJ2093" s="500"/>
      <c r="AK2093" s="500"/>
      <c r="AL2093" s="500"/>
      <c r="AM2093" s="500"/>
      <c r="AN2093" s="500"/>
      <c r="AO2093" s="500"/>
      <c r="AP2093" s="500"/>
    </row>
    <row r="2094" spans="1:42" ht="16.5" customHeight="1">
      <c r="A2094" s="439"/>
      <c r="B2094" s="439"/>
      <c r="C2094" s="439"/>
      <c r="D2094" s="439"/>
      <c r="E2094" s="439"/>
      <c r="F2094" s="439"/>
      <c r="Z2094" s="500"/>
      <c r="AA2094" s="500"/>
      <c r="AB2094" s="500"/>
      <c r="AC2094" s="500"/>
      <c r="AD2094" s="500"/>
      <c r="AE2094" s="500"/>
      <c r="AF2094" s="500"/>
      <c r="AG2094" s="500"/>
      <c r="AH2094" s="500"/>
      <c r="AI2094" s="500"/>
      <c r="AJ2094" s="500"/>
      <c r="AK2094" s="500"/>
      <c r="AL2094" s="500"/>
      <c r="AM2094" s="500"/>
      <c r="AN2094" s="500"/>
      <c r="AO2094" s="500"/>
      <c r="AP2094" s="500"/>
    </row>
    <row r="2095" spans="1:42" ht="16.5" customHeight="1">
      <c r="A2095" s="439"/>
      <c r="B2095" s="439"/>
      <c r="C2095" s="439"/>
      <c r="D2095" s="439"/>
      <c r="E2095" s="439"/>
      <c r="F2095" s="439"/>
      <c r="Z2095" s="500"/>
      <c r="AA2095" s="500"/>
      <c r="AB2095" s="500"/>
      <c r="AC2095" s="500"/>
      <c r="AD2095" s="500"/>
      <c r="AE2095" s="500"/>
      <c r="AF2095" s="500"/>
      <c r="AG2095" s="500"/>
      <c r="AH2095" s="500"/>
      <c r="AI2095" s="500"/>
      <c r="AJ2095" s="500"/>
      <c r="AK2095" s="500"/>
      <c r="AL2095" s="500"/>
      <c r="AM2095" s="500"/>
      <c r="AN2095" s="500"/>
      <c r="AO2095" s="500"/>
      <c r="AP2095" s="500"/>
    </row>
    <row r="2096" spans="1:42" ht="16.5" customHeight="1">
      <c r="A2096" s="439"/>
      <c r="B2096" s="439"/>
      <c r="C2096" s="439"/>
      <c r="D2096" s="439"/>
      <c r="E2096" s="439"/>
      <c r="F2096" s="439"/>
      <c r="Z2096" s="500"/>
      <c r="AA2096" s="500"/>
      <c r="AB2096" s="500"/>
      <c r="AC2096" s="500"/>
      <c r="AD2096" s="500"/>
      <c r="AE2096" s="500"/>
      <c r="AF2096" s="500"/>
      <c r="AG2096" s="500"/>
      <c r="AH2096" s="500"/>
      <c r="AI2096" s="500"/>
      <c r="AJ2096" s="500"/>
      <c r="AK2096" s="500"/>
      <c r="AL2096" s="500"/>
      <c r="AM2096" s="500"/>
      <c r="AN2096" s="500"/>
      <c r="AO2096" s="500"/>
      <c r="AP2096" s="500"/>
    </row>
    <row r="2097" spans="1:42" ht="16.5" customHeight="1">
      <c r="A2097" s="439"/>
      <c r="B2097" s="439"/>
      <c r="C2097" s="439"/>
      <c r="D2097" s="439"/>
      <c r="E2097" s="439"/>
      <c r="F2097" s="439"/>
      <c r="Z2097" s="500"/>
      <c r="AA2097" s="500"/>
      <c r="AB2097" s="500"/>
      <c r="AC2097" s="500"/>
      <c r="AD2097" s="500"/>
      <c r="AE2097" s="500"/>
      <c r="AF2097" s="500"/>
      <c r="AG2097" s="500"/>
      <c r="AH2097" s="500"/>
      <c r="AI2097" s="500"/>
      <c r="AJ2097" s="500"/>
      <c r="AK2097" s="500"/>
      <c r="AL2097" s="500"/>
      <c r="AM2097" s="500"/>
      <c r="AN2097" s="500"/>
      <c r="AO2097" s="500"/>
      <c r="AP2097" s="500"/>
    </row>
    <row r="2098" spans="1:42" ht="16.5" customHeight="1">
      <c r="A2098" s="439"/>
      <c r="B2098" s="439"/>
      <c r="C2098" s="439"/>
      <c r="D2098" s="439"/>
      <c r="E2098" s="439"/>
      <c r="F2098" s="439"/>
      <c r="Z2098" s="500"/>
      <c r="AA2098" s="500"/>
      <c r="AB2098" s="500"/>
      <c r="AC2098" s="500"/>
      <c r="AD2098" s="500"/>
      <c r="AE2098" s="500"/>
      <c r="AF2098" s="500"/>
      <c r="AG2098" s="500"/>
      <c r="AH2098" s="500"/>
      <c r="AI2098" s="500"/>
      <c r="AJ2098" s="500"/>
      <c r="AK2098" s="500"/>
      <c r="AL2098" s="500"/>
      <c r="AM2098" s="500"/>
      <c r="AN2098" s="500"/>
      <c r="AO2098" s="500"/>
      <c r="AP2098" s="500"/>
    </row>
    <row r="2099" spans="1:42" ht="16.5" customHeight="1">
      <c r="A2099" s="439"/>
      <c r="B2099" s="439"/>
      <c r="C2099" s="439"/>
      <c r="D2099" s="439"/>
      <c r="E2099" s="439"/>
      <c r="F2099" s="439"/>
      <c r="Z2099" s="500"/>
      <c r="AA2099" s="500"/>
      <c r="AB2099" s="500"/>
      <c r="AC2099" s="500"/>
      <c r="AD2099" s="500"/>
      <c r="AE2099" s="500"/>
      <c r="AF2099" s="500"/>
      <c r="AG2099" s="500"/>
      <c r="AH2099" s="500"/>
      <c r="AI2099" s="500"/>
      <c r="AJ2099" s="500"/>
      <c r="AK2099" s="500"/>
      <c r="AL2099" s="500"/>
      <c r="AM2099" s="500"/>
      <c r="AN2099" s="500"/>
      <c r="AO2099" s="500"/>
      <c r="AP2099" s="500"/>
    </row>
    <row r="2100" spans="1:42" ht="16.5" customHeight="1">
      <c r="A2100" s="439"/>
      <c r="B2100" s="439"/>
      <c r="C2100" s="439"/>
      <c r="D2100" s="439"/>
      <c r="E2100" s="439"/>
      <c r="F2100" s="439"/>
      <c r="Z2100" s="500"/>
      <c r="AA2100" s="500"/>
      <c r="AB2100" s="500"/>
      <c r="AC2100" s="500"/>
      <c r="AD2100" s="500"/>
      <c r="AE2100" s="500"/>
      <c r="AF2100" s="500"/>
      <c r="AG2100" s="500"/>
      <c r="AH2100" s="500"/>
      <c r="AI2100" s="500"/>
      <c r="AJ2100" s="500"/>
      <c r="AK2100" s="500"/>
      <c r="AL2100" s="500"/>
      <c r="AM2100" s="500"/>
      <c r="AN2100" s="500"/>
      <c r="AO2100" s="500"/>
      <c r="AP2100" s="500"/>
    </row>
    <row r="2101" spans="1:42" ht="16.5" customHeight="1">
      <c r="A2101" s="439"/>
      <c r="B2101" s="439"/>
      <c r="C2101" s="439"/>
      <c r="D2101" s="439"/>
      <c r="E2101" s="439"/>
      <c r="F2101" s="439"/>
      <c r="Z2101" s="500"/>
      <c r="AA2101" s="500"/>
      <c r="AB2101" s="500"/>
      <c r="AC2101" s="500"/>
      <c r="AD2101" s="500"/>
      <c r="AE2101" s="500"/>
      <c r="AF2101" s="500"/>
      <c r="AG2101" s="500"/>
      <c r="AH2101" s="500"/>
      <c r="AI2101" s="500"/>
      <c r="AJ2101" s="500"/>
      <c r="AK2101" s="500"/>
      <c r="AL2101" s="500"/>
      <c r="AM2101" s="500"/>
      <c r="AN2101" s="500"/>
      <c r="AO2101" s="500"/>
      <c r="AP2101" s="500"/>
    </row>
    <row r="2102" spans="1:42" ht="16.5" customHeight="1">
      <c r="A2102" s="439"/>
      <c r="B2102" s="439"/>
      <c r="C2102" s="439"/>
      <c r="D2102" s="439"/>
      <c r="E2102" s="439"/>
      <c r="F2102" s="439"/>
      <c r="Z2102" s="500"/>
      <c r="AA2102" s="500"/>
      <c r="AB2102" s="500"/>
      <c r="AC2102" s="500"/>
      <c r="AD2102" s="500"/>
      <c r="AE2102" s="500"/>
      <c r="AF2102" s="500"/>
      <c r="AG2102" s="500"/>
      <c r="AH2102" s="500"/>
      <c r="AI2102" s="500"/>
      <c r="AJ2102" s="500"/>
      <c r="AK2102" s="500"/>
      <c r="AL2102" s="500"/>
      <c r="AM2102" s="500"/>
      <c r="AN2102" s="500"/>
      <c r="AO2102" s="500"/>
      <c r="AP2102" s="500"/>
    </row>
    <row r="2103" spans="1:42" ht="16.5" customHeight="1">
      <c r="A2103" s="497"/>
      <c r="B2103" s="497"/>
      <c r="C2103" s="497"/>
      <c r="D2103" s="497"/>
      <c r="E2103" s="497"/>
      <c r="F2103" s="497"/>
      <c r="Z2103" s="500"/>
      <c r="AA2103" s="500"/>
      <c r="AB2103" s="500"/>
      <c r="AC2103" s="500"/>
      <c r="AD2103" s="500"/>
      <c r="AE2103" s="500"/>
      <c r="AF2103" s="500"/>
      <c r="AG2103" s="500"/>
      <c r="AH2103" s="500"/>
      <c r="AI2103" s="500"/>
      <c r="AJ2103" s="500"/>
      <c r="AK2103" s="500"/>
      <c r="AL2103" s="500"/>
      <c r="AM2103" s="500"/>
      <c r="AN2103" s="500"/>
      <c r="AO2103" s="500"/>
      <c r="AP2103" s="500"/>
    </row>
    <row r="2104" spans="1:42" ht="16.5" customHeight="1">
      <c r="A2104" s="616" t="s">
        <v>3487</v>
      </c>
      <c r="B2104" s="605"/>
      <c r="C2104" s="446">
        <f>E2104+D2104+F2104</f>
        <v>113980</v>
      </c>
      <c r="D2104" s="453">
        <f>ROUNDDOWN(SUMIF(N2007:N2053,M2104,D2007:D2053),0)</f>
        <v>79402</v>
      </c>
      <c r="E2104" s="454">
        <f>ROUNDDOWN(SUMIF(N2007:N2053,M2104,E2007:E2053),0)</f>
        <v>26337</v>
      </c>
      <c r="F2104" s="446">
        <f>ROUNDDOWN(SUMIF(N2007:N2053,M2104,F2007:F2053),0)</f>
        <v>8241</v>
      </c>
      <c r="M2104" s="501" t="s">
        <v>2354</v>
      </c>
      <c r="Z2104" s="500"/>
      <c r="AA2104" s="500"/>
      <c r="AB2104" s="500"/>
      <c r="AC2104" s="500"/>
      <c r="AD2104" s="500"/>
      <c r="AE2104" s="500"/>
      <c r="AF2104" s="500"/>
      <c r="AG2104" s="500"/>
      <c r="AH2104" s="500"/>
      <c r="AI2104" s="500"/>
      <c r="AJ2104" s="500"/>
      <c r="AK2104" s="500"/>
      <c r="AL2104" s="500"/>
      <c r="AM2104" s="500"/>
      <c r="AN2104" s="500"/>
      <c r="AO2104" s="500"/>
      <c r="AP2104" s="500"/>
    </row>
    <row r="2105" spans="1:42" ht="16.5" customHeight="1">
      <c r="A2105" s="502" t="s">
        <v>3351</v>
      </c>
      <c r="B2105" s="503" t="s">
        <v>1855</v>
      </c>
      <c r="C2105" s="615">
        <f>C2154</f>
        <v>41811</v>
      </c>
      <c r="D2105" s="615">
        <f>D2154</f>
        <v>24542</v>
      </c>
      <c r="E2105" s="615">
        <f>E2154</f>
        <v>14722</v>
      </c>
      <c r="F2105" s="615">
        <f>F2154</f>
        <v>2547</v>
      </c>
      <c r="G2105" s="486" t="str">
        <f>HYPERLINK("#G"&amp;ROW(G2152),"_x0005_`BDCOD|D01315_x0007_`POSS|"&amp;ROW(G2107)&amp;"_x0007_`POSE|"&amp;ROW(G2152)&amp;"_x0007_`")</f>
        <v>_x0005_`BDCOD|D01315_x0007_`POSS|2107_x0007_`POSE|2152_x0007_`</v>
      </c>
      <c r="Z2105" s="500"/>
      <c r="AA2105" s="500"/>
      <c r="AB2105" s="500"/>
      <c r="AC2105" s="500"/>
      <c r="AD2105" s="500"/>
      <c r="AE2105" s="500"/>
      <c r="AF2105" s="500"/>
      <c r="AG2105" s="500"/>
      <c r="AH2105" s="500"/>
      <c r="AI2105" s="500"/>
      <c r="AJ2105" s="500"/>
      <c r="AK2105" s="500"/>
      <c r="AL2105" s="500"/>
      <c r="AM2105" s="500"/>
      <c r="AN2105" s="500"/>
      <c r="AO2105" s="500"/>
      <c r="AP2105" s="500"/>
    </row>
    <row r="2106" spans="1:42" ht="16.5" customHeight="1">
      <c r="A2106" s="485"/>
      <c r="B2106" s="503" t="s">
        <v>3639</v>
      </c>
      <c r="C2106" s="593"/>
      <c r="D2106" s="593"/>
      <c r="E2106" s="593"/>
      <c r="F2106" s="593"/>
      <c r="M2106" s="501" t="s">
        <v>1855</v>
      </c>
      <c r="Z2106" s="500"/>
      <c r="AA2106" s="500"/>
      <c r="AB2106" s="500"/>
      <c r="AC2106" s="500"/>
      <c r="AD2106" s="500"/>
      <c r="AE2106" s="500"/>
      <c r="AF2106" s="500"/>
      <c r="AG2106" s="500"/>
      <c r="AH2106" s="500"/>
      <c r="AI2106" s="500"/>
      <c r="AJ2106" s="500"/>
      <c r="AK2106" s="500"/>
      <c r="AL2106" s="500"/>
      <c r="AM2106" s="500"/>
      <c r="AN2106" s="500"/>
      <c r="AO2106" s="500"/>
      <c r="AP2106" s="500"/>
    </row>
    <row r="2107" spans="1:42" ht="16.5" customHeight="1">
      <c r="A2107" s="439"/>
      <c r="B2107" s="439"/>
      <c r="C2107" s="504"/>
      <c r="D2107" s="504"/>
      <c r="E2107" s="504"/>
      <c r="F2107" s="504"/>
      <c r="G2107" s="451" t="s">
        <v>3406</v>
      </c>
      <c r="Z2107" s="500"/>
      <c r="AA2107" s="500"/>
      <c r="AB2107" s="500"/>
      <c r="AC2107" s="500"/>
      <c r="AD2107" s="500"/>
      <c r="AE2107" s="500"/>
      <c r="AF2107" s="500"/>
      <c r="AG2107" s="500"/>
      <c r="AH2107" s="500"/>
      <c r="AI2107" s="500"/>
      <c r="AJ2107" s="500"/>
      <c r="AK2107" s="500"/>
      <c r="AL2107" s="500"/>
      <c r="AM2107" s="500"/>
      <c r="AN2107" s="500"/>
      <c r="AO2107" s="500"/>
      <c r="AP2107" s="500"/>
    </row>
    <row r="2108" spans="1:42" ht="16.5" customHeight="1">
      <c r="A2108" s="434"/>
      <c r="B2108" s="437" t="s">
        <v>3640</v>
      </c>
      <c r="C2108" s="439"/>
      <c r="D2108" s="439"/>
      <c r="E2108" s="439"/>
      <c r="F2108" s="439"/>
      <c r="G2108" s="451" t="s">
        <v>3641</v>
      </c>
      <c r="Z2108" s="500"/>
      <c r="AA2108" s="500"/>
      <c r="AB2108" s="500"/>
      <c r="AC2108" s="500"/>
      <c r="AD2108" s="500"/>
      <c r="AE2108" s="500"/>
      <c r="AF2108" s="500"/>
      <c r="AG2108" s="500"/>
      <c r="AH2108" s="500"/>
      <c r="AI2108" s="500"/>
      <c r="AJ2108" s="500"/>
      <c r="AK2108" s="500"/>
      <c r="AL2108" s="500"/>
      <c r="AM2108" s="500"/>
      <c r="AN2108" s="500"/>
      <c r="AO2108" s="500"/>
      <c r="AP2108" s="500"/>
    </row>
    <row r="2109" spans="1:42" ht="16.5" customHeight="1">
      <c r="A2109" s="439"/>
      <c r="B2109" s="439"/>
      <c r="C2109" s="439"/>
      <c r="D2109" s="439"/>
      <c r="E2109" s="439"/>
      <c r="F2109" s="439"/>
      <c r="G2109" s="451" t="s">
        <v>3406</v>
      </c>
      <c r="Z2109" s="500"/>
      <c r="AA2109" s="500"/>
      <c r="AB2109" s="500"/>
      <c r="AC2109" s="500"/>
      <c r="AD2109" s="500"/>
      <c r="AE2109" s="500"/>
      <c r="AF2109" s="500"/>
      <c r="AG2109" s="500"/>
      <c r="AH2109" s="500"/>
      <c r="AI2109" s="500"/>
      <c r="AJ2109" s="500"/>
      <c r="AK2109" s="500"/>
      <c r="AL2109" s="500"/>
      <c r="AM2109" s="500"/>
      <c r="AN2109" s="500"/>
      <c r="AO2109" s="500"/>
      <c r="AP2109" s="500"/>
    </row>
    <row r="2110" spans="1:42" ht="16.5" customHeight="1">
      <c r="A2110" s="434"/>
      <c r="B2110" s="437" t="s">
        <v>3642</v>
      </c>
      <c r="C2110" s="439"/>
      <c r="D2110" s="439"/>
      <c r="E2110" s="439"/>
      <c r="F2110" s="439"/>
      <c r="G2110" s="451" t="s">
        <v>3643</v>
      </c>
      <c r="Z2110" s="500"/>
      <c r="AA2110" s="500"/>
      <c r="AB2110" s="500"/>
      <c r="AC2110" s="500"/>
      <c r="AD2110" s="500"/>
      <c r="AE2110" s="500"/>
      <c r="AF2110" s="500"/>
      <c r="AG2110" s="500"/>
      <c r="AH2110" s="500"/>
      <c r="AI2110" s="500"/>
      <c r="AJ2110" s="500"/>
      <c r="AK2110" s="500"/>
      <c r="AL2110" s="500"/>
      <c r="AM2110" s="500"/>
      <c r="AN2110" s="500"/>
      <c r="AO2110" s="500"/>
      <c r="AP2110" s="500"/>
    </row>
    <row r="2111" spans="1:42" ht="16.5" customHeight="1">
      <c r="A2111" s="439"/>
      <c r="B2111" s="439"/>
      <c r="C2111" s="439"/>
      <c r="D2111" s="439"/>
      <c r="E2111" s="439"/>
      <c r="F2111" s="439"/>
      <c r="G2111" s="451" t="s">
        <v>3406</v>
      </c>
      <c r="Z2111" s="500"/>
      <c r="AA2111" s="500"/>
      <c r="AB2111" s="500"/>
      <c r="AC2111" s="500"/>
      <c r="AD2111" s="500"/>
      <c r="AE2111" s="500"/>
      <c r="AF2111" s="500"/>
      <c r="AG2111" s="500"/>
      <c r="AH2111" s="500"/>
      <c r="AI2111" s="500"/>
      <c r="AJ2111" s="500"/>
      <c r="AK2111" s="500"/>
      <c r="AL2111" s="500"/>
      <c r="AM2111" s="500"/>
      <c r="AN2111" s="500"/>
      <c r="AO2111" s="500"/>
      <c r="AP2111" s="500"/>
    </row>
    <row r="2112" spans="1:42" ht="16.5" customHeight="1">
      <c r="A2112" s="434"/>
      <c r="B2112" s="437" t="str">
        <f>" 일당 작업량 :   Q = "&amp;Z2112&amp;"  주 "</f>
        <v xml:space="preserve"> 일당 작업량 :   Q = 55  주 </v>
      </c>
      <c r="C2112" s="439"/>
      <c r="D2112" s="439"/>
      <c r="E2112" s="439"/>
      <c r="F2112" s="439"/>
      <c r="G2112" s="451" t="s">
        <v>3644</v>
      </c>
      <c r="Z2112" s="515">
        <v>55</v>
      </c>
      <c r="AA2112" s="501" t="s">
        <v>3418</v>
      </c>
      <c r="AB2112" s="512">
        <f>Z2112</f>
        <v>55</v>
      </c>
      <c r="AC2112" s="500"/>
      <c r="AD2112" s="500"/>
      <c r="AE2112" s="500"/>
      <c r="AF2112" s="500"/>
      <c r="AG2112" s="500"/>
      <c r="AH2112" s="500"/>
      <c r="AI2112" s="500"/>
      <c r="AJ2112" s="500"/>
      <c r="AK2112" s="500"/>
      <c r="AL2112" s="500"/>
      <c r="AM2112" s="500"/>
      <c r="AN2112" s="500"/>
      <c r="AO2112" s="500"/>
      <c r="AP2112" s="500"/>
    </row>
    <row r="2113" spans="1:42" ht="16.5" customHeight="1">
      <c r="A2113" s="439"/>
      <c r="B2113" s="439"/>
      <c r="C2113" s="439"/>
      <c r="D2113" s="439"/>
      <c r="E2113" s="439"/>
      <c r="F2113" s="439"/>
      <c r="G2113" s="451" t="s">
        <v>3406</v>
      </c>
      <c r="Z2113" s="500"/>
      <c r="AA2113" s="500"/>
      <c r="AB2113" s="500"/>
      <c r="AC2113" s="500"/>
      <c r="AD2113" s="500"/>
      <c r="AE2113" s="500"/>
      <c r="AF2113" s="500"/>
      <c r="AG2113" s="500"/>
      <c r="AH2113" s="500"/>
      <c r="AI2113" s="500"/>
      <c r="AJ2113" s="500"/>
      <c r="AK2113" s="500"/>
      <c r="AL2113" s="500"/>
      <c r="AM2113" s="500"/>
      <c r="AN2113" s="500"/>
      <c r="AO2113" s="500"/>
      <c r="AP2113" s="500"/>
    </row>
    <row r="2114" spans="1:42" ht="16.5" customHeight="1">
      <c r="A2114" s="434"/>
      <c r="B2114" s="437" t="s">
        <v>3547</v>
      </c>
      <c r="C2114" s="439"/>
      <c r="D2114" s="439"/>
      <c r="E2114" s="439"/>
      <c r="F2114" s="439"/>
      <c r="G2114" s="451" t="s">
        <v>3548</v>
      </c>
      <c r="Z2114" s="500"/>
      <c r="AA2114" s="500"/>
      <c r="AB2114" s="500"/>
      <c r="AC2114" s="500"/>
      <c r="AD2114" s="500"/>
      <c r="AE2114" s="500"/>
      <c r="AF2114" s="500"/>
      <c r="AG2114" s="500"/>
      <c r="AH2114" s="500"/>
      <c r="AI2114" s="500"/>
      <c r="AJ2114" s="500"/>
      <c r="AK2114" s="500"/>
      <c r="AL2114" s="500"/>
      <c r="AM2114" s="500"/>
      <c r="AN2114" s="500"/>
      <c r="AO2114" s="500"/>
      <c r="AP2114" s="500"/>
    </row>
    <row r="2115" spans="1:42" ht="16.5" customHeight="1">
      <c r="A2115" s="439"/>
      <c r="B2115" s="439"/>
      <c r="C2115" s="439"/>
      <c r="D2115" s="439"/>
      <c r="E2115" s="439"/>
      <c r="F2115" s="439"/>
      <c r="G2115" s="451" t="s">
        <v>3406</v>
      </c>
      <c r="Z2115" s="500"/>
      <c r="AA2115" s="500"/>
      <c r="AB2115" s="500"/>
      <c r="AC2115" s="500"/>
      <c r="AD2115" s="500"/>
      <c r="AE2115" s="500"/>
      <c r="AF2115" s="500"/>
      <c r="AG2115" s="500"/>
      <c r="AH2115" s="500"/>
      <c r="AI2115" s="500"/>
      <c r="AJ2115" s="500"/>
      <c r="AK2115" s="500"/>
      <c r="AL2115" s="500"/>
      <c r="AM2115" s="500"/>
      <c r="AN2115" s="500"/>
      <c r="AO2115" s="500"/>
      <c r="AP2115" s="500"/>
    </row>
    <row r="2116" spans="1:42" ht="16.5" customHeight="1">
      <c r="A2116" s="439"/>
      <c r="B2116" s="439"/>
      <c r="C2116" s="439"/>
      <c r="D2116" s="439"/>
      <c r="E2116" s="439"/>
      <c r="F2116" s="439"/>
      <c r="G2116" s="451" t="s">
        <v>3406</v>
      </c>
      <c r="Z2116" s="500"/>
      <c r="AA2116" s="500"/>
      <c r="AB2116" s="500"/>
      <c r="AC2116" s="500"/>
      <c r="AD2116" s="500"/>
      <c r="AE2116" s="500"/>
      <c r="AF2116" s="500"/>
      <c r="AG2116" s="500"/>
      <c r="AH2116" s="500"/>
      <c r="AI2116" s="500"/>
      <c r="AJ2116" s="500"/>
      <c r="AK2116" s="500"/>
      <c r="AL2116" s="500"/>
      <c r="AM2116" s="500"/>
      <c r="AN2116" s="500"/>
      <c r="AO2116" s="500"/>
      <c r="AP2116" s="500"/>
    </row>
    <row r="2117" spans="1:42" ht="16.5" customHeight="1">
      <c r="A2117" s="439"/>
      <c r="B2117" s="439"/>
      <c r="C2117" s="439"/>
      <c r="D2117" s="439"/>
      <c r="E2117" s="439"/>
      <c r="F2117" s="439"/>
      <c r="G2117" s="451" t="s">
        <v>3406</v>
      </c>
      <c r="Z2117" s="500"/>
      <c r="AA2117" s="500"/>
      <c r="AB2117" s="500"/>
      <c r="AC2117" s="500"/>
      <c r="AD2117" s="500"/>
      <c r="AE2117" s="500"/>
      <c r="AF2117" s="500"/>
      <c r="AG2117" s="500"/>
      <c r="AH2117" s="500"/>
      <c r="AI2117" s="500"/>
      <c r="AJ2117" s="500"/>
      <c r="AK2117" s="500"/>
      <c r="AL2117" s="500"/>
      <c r="AM2117" s="500"/>
      <c r="AN2117" s="500"/>
      <c r="AO2117" s="500"/>
      <c r="AP2117" s="500"/>
    </row>
    <row r="2118" spans="1:42" ht="16.5" customHeight="1">
      <c r="A2118" s="439"/>
      <c r="B2118" s="439"/>
      <c r="C2118" s="439"/>
      <c r="D2118" s="439"/>
      <c r="E2118" s="439"/>
      <c r="F2118" s="439"/>
      <c r="G2118" s="451" t="s">
        <v>3406</v>
      </c>
      <c r="Z2118" s="500"/>
      <c r="AA2118" s="500"/>
      <c r="AB2118" s="500"/>
      <c r="AC2118" s="500"/>
      <c r="AD2118" s="500"/>
      <c r="AE2118" s="500"/>
      <c r="AF2118" s="500"/>
      <c r="AG2118" s="500"/>
      <c r="AH2118" s="500"/>
      <c r="AI2118" s="500"/>
      <c r="AJ2118" s="500"/>
      <c r="AK2118" s="500"/>
      <c r="AL2118" s="500"/>
      <c r="AM2118" s="500"/>
      <c r="AN2118" s="500"/>
      <c r="AO2118" s="500"/>
      <c r="AP2118" s="500"/>
    </row>
    <row r="2119" spans="1:42" ht="16.5" customHeight="1">
      <c r="A2119" s="434"/>
      <c r="B2119" s="437" t="s">
        <v>3549</v>
      </c>
      <c r="C2119" s="439"/>
      <c r="D2119" s="439"/>
      <c r="E2119" s="439"/>
      <c r="F2119" s="439"/>
      <c r="G2119" s="451" t="s">
        <v>3550</v>
      </c>
      <c r="Z2119" s="500"/>
      <c r="AA2119" s="500"/>
      <c r="AB2119" s="500"/>
      <c r="AC2119" s="500"/>
      <c r="AD2119" s="500"/>
      <c r="AE2119" s="500"/>
      <c r="AF2119" s="500"/>
      <c r="AG2119" s="500"/>
      <c r="AH2119" s="500"/>
      <c r="AI2119" s="500"/>
      <c r="AJ2119" s="500"/>
      <c r="AK2119" s="500"/>
      <c r="AL2119" s="500"/>
      <c r="AM2119" s="500"/>
      <c r="AN2119" s="500"/>
      <c r="AO2119" s="500"/>
      <c r="AP2119" s="500"/>
    </row>
    <row r="2120" spans="1:42" ht="16.5" customHeight="1">
      <c r="A2120" s="439"/>
      <c r="B2120" s="439"/>
      <c r="C2120" s="439"/>
      <c r="D2120" s="439"/>
      <c r="E2120" s="439"/>
      <c r="F2120" s="439"/>
      <c r="G2120" s="451" t="s">
        <v>3406</v>
      </c>
      <c r="Z2120" s="500"/>
      <c r="AA2120" s="500"/>
      <c r="AB2120" s="500"/>
      <c r="AC2120" s="500"/>
      <c r="AD2120" s="500"/>
      <c r="AE2120" s="500"/>
      <c r="AF2120" s="500"/>
      <c r="AG2120" s="500"/>
      <c r="AH2120" s="500"/>
      <c r="AI2120" s="500"/>
      <c r="AJ2120" s="500"/>
      <c r="AK2120" s="500"/>
      <c r="AL2120" s="500"/>
      <c r="AM2120" s="500"/>
      <c r="AN2120" s="500"/>
      <c r="AO2120" s="500"/>
      <c r="AP2120" s="500"/>
    </row>
    <row r="2121" spans="1:42" ht="16.5" customHeight="1">
      <c r="A2121" s="434" t="s">
        <v>3498</v>
      </c>
      <c r="B2121" s="505" t="str">
        <f>" 조경공 :  "&amp;TEXT(I2121,"#,##0"&amp;IF(I2121&lt;&gt;INT(I2121),".###",""))&amp;" * "&amp;AA2121&amp;" 인  / Q = "&amp;TEXT(C2121,"#,##0.0")&amp;""</f>
        <v xml:space="preserve"> 조경공 :  235,204 * 3 인  / Q = 12,829.3</v>
      </c>
      <c r="C2121" s="506">
        <f>E2121+D2121+F2121</f>
        <v>12829.3</v>
      </c>
      <c r="D2121" s="506">
        <f>IF(H2121=0,0,ROUNDDOWN(J2121*H2121,1))</f>
        <v>12829.3</v>
      </c>
      <c r="E2121" s="506">
        <f>IF(H2121=0,0,ROUNDDOWN(K2121*H2121,1))</f>
        <v>0</v>
      </c>
      <c r="F2121" s="506">
        <f>IF(H2121=0,0,ROUNDDOWN(L2121*H2121,1))</f>
        <v>0</v>
      </c>
      <c r="G2121" s="451" t="s">
        <v>3551</v>
      </c>
      <c r="H2121" s="507">
        <f>ROUNDUP(AE2121,14-LEN(ABS(INT(AE2121))))</f>
        <v>5.4545454545500006E-2</v>
      </c>
      <c r="I2121" s="508">
        <f>K2121+J2121+L2121</f>
        <v>235204</v>
      </c>
      <c r="J2121" s="509">
        <f>노무비목록표!E15</f>
        <v>235204</v>
      </c>
      <c r="M2121" s="501" t="s">
        <v>2359</v>
      </c>
      <c r="N2121" s="501" t="s">
        <v>3416</v>
      </c>
      <c r="X2121" s="510" t="str">
        <f>노무비목록표!B15&amp;" / "&amp;노무비목록표!C15</f>
        <v xml:space="preserve">조경공 / </v>
      </c>
      <c r="Y2121" s="433" t="str">
        <f ca="1">HYPERLINK("#"&amp;노무비목록표!G2&amp;"!A"&amp;ROW(노무비목록표!A15),"L00184 →")</f>
        <v>L00184 →</v>
      </c>
      <c r="Z2121" s="501" t="s">
        <v>3500</v>
      </c>
      <c r="AA2121" s="515">
        <v>3</v>
      </c>
      <c r="AB2121" s="501" t="s">
        <v>3428</v>
      </c>
      <c r="AC2121" s="512">
        <f>AB2112</f>
        <v>55</v>
      </c>
      <c r="AD2121" s="501" t="s">
        <v>3418</v>
      </c>
      <c r="AE2121" s="512">
        <f>1*AA2121/AB2112</f>
        <v>5.4545454545454543E-2</v>
      </c>
      <c r="AF2121" s="500"/>
      <c r="AG2121" s="500"/>
      <c r="AH2121" s="500"/>
      <c r="AI2121" s="500"/>
      <c r="AJ2121" s="500"/>
      <c r="AK2121" s="500"/>
      <c r="AL2121" s="500"/>
      <c r="AM2121" s="500"/>
      <c r="AN2121" s="500"/>
      <c r="AO2121" s="500"/>
      <c r="AP2121" s="500"/>
    </row>
    <row r="2122" spans="1:42" ht="16.5" customHeight="1">
      <c r="A2122" s="439"/>
      <c r="B2122" s="439"/>
      <c r="C2122" s="439"/>
      <c r="D2122" s="439"/>
      <c r="E2122" s="439"/>
      <c r="F2122" s="439"/>
      <c r="G2122" s="451" t="s">
        <v>3406</v>
      </c>
      <c r="Z2122" s="500"/>
      <c r="AA2122" s="500"/>
      <c r="AB2122" s="500"/>
      <c r="AC2122" s="500"/>
      <c r="AD2122" s="500"/>
      <c r="AE2122" s="500"/>
      <c r="AF2122" s="500"/>
      <c r="AG2122" s="500"/>
      <c r="AH2122" s="500"/>
      <c r="AI2122" s="500"/>
      <c r="AJ2122" s="500"/>
      <c r="AK2122" s="500"/>
      <c r="AL2122" s="500"/>
      <c r="AM2122" s="500"/>
      <c r="AN2122" s="500"/>
      <c r="AO2122" s="500"/>
      <c r="AP2122" s="500"/>
    </row>
    <row r="2123" spans="1:42" ht="16.5" customHeight="1">
      <c r="A2123" s="439"/>
      <c r="B2123" s="439"/>
      <c r="C2123" s="439"/>
      <c r="D2123" s="439"/>
      <c r="E2123" s="439"/>
      <c r="F2123" s="439"/>
      <c r="G2123" s="451" t="s">
        <v>3406</v>
      </c>
      <c r="Z2123" s="500"/>
      <c r="AA2123" s="500"/>
      <c r="AB2123" s="500"/>
      <c r="AC2123" s="500"/>
      <c r="AD2123" s="500"/>
      <c r="AE2123" s="500"/>
      <c r="AF2123" s="500"/>
      <c r="AG2123" s="500"/>
      <c r="AH2123" s="500"/>
      <c r="AI2123" s="500"/>
      <c r="AJ2123" s="500"/>
      <c r="AK2123" s="500"/>
      <c r="AL2123" s="500"/>
      <c r="AM2123" s="500"/>
      <c r="AN2123" s="500"/>
      <c r="AO2123" s="500"/>
      <c r="AP2123" s="500"/>
    </row>
    <row r="2124" spans="1:42" ht="16.5" customHeight="1">
      <c r="A2124" s="434" t="s">
        <v>3414</v>
      </c>
      <c r="B2124" s="505" t="str">
        <f>" 보통인부 : "&amp;TEXT(I2124,"#,##0"&amp;IF(I2124&lt;&gt;INT(I2124),".###",""))&amp;" * "&amp;AA2124&amp;" 인  / Q = "&amp;TEXT(C2124,"#,##0.0")&amp;""</f>
        <v xml:space="preserve"> 보통인부 : 172,068 * 1 인  / Q = 3,128.5</v>
      </c>
      <c r="C2124" s="506">
        <f>E2124+D2124+F2124</f>
        <v>3128.5</v>
      </c>
      <c r="D2124" s="506">
        <f>IF(H2124=0,0,ROUNDDOWN(J2124*H2124,1))</f>
        <v>3128.5</v>
      </c>
      <c r="E2124" s="506">
        <f>IF(H2124=0,0,ROUNDDOWN(K2124*H2124,1))</f>
        <v>0</v>
      </c>
      <c r="F2124" s="506">
        <f>IF(H2124=0,0,ROUNDDOWN(L2124*H2124,1))</f>
        <v>0</v>
      </c>
      <c r="G2124" s="451" t="s">
        <v>3552</v>
      </c>
      <c r="H2124" s="507">
        <f>ROUNDUP(AE2124,14-LEN(ABS(INT(AE2124))))</f>
        <v>1.8181818181900001E-2</v>
      </c>
      <c r="I2124" s="508">
        <f>K2124+J2124+L2124</f>
        <v>172068</v>
      </c>
      <c r="J2124" s="509">
        <f>노무비목록표!E10</f>
        <v>172068</v>
      </c>
      <c r="M2124" s="501" t="s">
        <v>2363</v>
      </c>
      <c r="N2124" s="501" t="s">
        <v>3416</v>
      </c>
      <c r="X2124" s="510" t="str">
        <f>노무비목록표!B10&amp;" / "&amp;노무비목록표!C10</f>
        <v xml:space="preserve">보통인부 / </v>
      </c>
      <c r="Y2124" s="433" t="str">
        <f ca="1">HYPERLINK("#"&amp;노무비목록표!G2&amp;"!A"&amp;ROW(노무비목록표!A10),"L00017 →")</f>
        <v>L00017 →</v>
      </c>
      <c r="Z2124" s="501" t="s">
        <v>3500</v>
      </c>
      <c r="AA2124" s="515">
        <v>1</v>
      </c>
      <c r="AB2124" s="501" t="s">
        <v>3428</v>
      </c>
      <c r="AC2124" s="512">
        <f>AB2112</f>
        <v>55</v>
      </c>
      <c r="AD2124" s="501" t="s">
        <v>3418</v>
      </c>
      <c r="AE2124" s="512">
        <f>1*AA2124/AB2112</f>
        <v>1.8181818181818181E-2</v>
      </c>
      <c r="AF2124" s="500"/>
      <c r="AG2124" s="500"/>
      <c r="AH2124" s="500"/>
      <c r="AI2124" s="500"/>
      <c r="AJ2124" s="500"/>
      <c r="AK2124" s="500"/>
      <c r="AL2124" s="500"/>
      <c r="AM2124" s="500"/>
      <c r="AN2124" s="500"/>
      <c r="AO2124" s="500"/>
      <c r="AP2124" s="500"/>
    </row>
    <row r="2125" spans="1:42" ht="16.5" customHeight="1">
      <c r="A2125" s="439"/>
      <c r="B2125" s="439"/>
      <c r="C2125" s="439"/>
      <c r="D2125" s="439"/>
      <c r="E2125" s="439"/>
      <c r="F2125" s="439"/>
      <c r="G2125" s="451" t="s">
        <v>3406</v>
      </c>
      <c r="Z2125" s="500"/>
      <c r="AA2125" s="500"/>
      <c r="AB2125" s="500"/>
      <c r="AC2125" s="500"/>
      <c r="AD2125" s="500"/>
      <c r="AE2125" s="500"/>
      <c r="AF2125" s="500"/>
      <c r="AG2125" s="500"/>
      <c r="AH2125" s="500"/>
      <c r="AI2125" s="500"/>
      <c r="AJ2125" s="500"/>
      <c r="AK2125" s="500"/>
      <c r="AL2125" s="500"/>
      <c r="AM2125" s="500"/>
      <c r="AN2125" s="500"/>
      <c r="AO2125" s="500"/>
      <c r="AP2125" s="500"/>
    </row>
    <row r="2126" spans="1:42" ht="16.5" customHeight="1">
      <c r="A2126" s="434"/>
      <c r="B2126" s="437" t="s">
        <v>3419</v>
      </c>
      <c r="C2126" s="513">
        <f>E2126+D2126+F2126</f>
        <v>15957.8</v>
      </c>
      <c r="D2126" s="513">
        <f>SUMIF(N2107:N2125,M2126,D2107:D2125)</f>
        <v>15957.8</v>
      </c>
      <c r="E2126" s="513">
        <f>SUMIF(N2107:N2125,M2126,E2107:E2125)</f>
        <v>0</v>
      </c>
      <c r="F2126" s="513">
        <f>SUMIF(N2107:N2125,M2126,F2107:F2125)</f>
        <v>0</v>
      </c>
      <c r="G2126" s="451" t="s">
        <v>3439</v>
      </c>
      <c r="M2126" s="501" t="s">
        <v>3416</v>
      </c>
      <c r="N2126" s="501" t="s">
        <v>3421</v>
      </c>
      <c r="Z2126" s="500"/>
      <c r="AA2126" s="500"/>
      <c r="AB2126" s="500"/>
      <c r="AC2126" s="500"/>
      <c r="AD2126" s="500"/>
      <c r="AE2126" s="500"/>
      <c r="AF2126" s="500"/>
      <c r="AG2126" s="500"/>
      <c r="AH2126" s="500"/>
      <c r="AI2126" s="500"/>
      <c r="AJ2126" s="500"/>
      <c r="AK2126" s="500"/>
      <c r="AL2126" s="500"/>
      <c r="AM2126" s="500"/>
      <c r="AN2126" s="500"/>
      <c r="AO2126" s="500"/>
      <c r="AP2126" s="500"/>
    </row>
    <row r="2127" spans="1:42" ht="16.5" customHeight="1">
      <c r="A2127" s="439"/>
      <c r="B2127" s="439"/>
      <c r="C2127" s="504"/>
      <c r="D2127" s="504"/>
      <c r="E2127" s="504"/>
      <c r="F2127" s="504"/>
      <c r="G2127" s="451" t="s">
        <v>3406</v>
      </c>
      <c r="Z2127" s="500"/>
      <c r="AA2127" s="500"/>
      <c r="AB2127" s="500"/>
      <c r="AC2127" s="500"/>
      <c r="AD2127" s="500"/>
      <c r="AE2127" s="500"/>
      <c r="AF2127" s="500"/>
      <c r="AG2127" s="500"/>
      <c r="AH2127" s="500"/>
      <c r="AI2127" s="500"/>
      <c r="AJ2127" s="500"/>
      <c r="AK2127" s="500"/>
      <c r="AL2127" s="500"/>
      <c r="AM2127" s="500"/>
      <c r="AN2127" s="500"/>
      <c r="AO2127" s="500"/>
      <c r="AP2127" s="500"/>
    </row>
    <row r="2128" spans="1:42" ht="16.5" customHeight="1">
      <c r="A2128" s="439"/>
      <c r="B2128" s="439"/>
      <c r="C2128" s="439"/>
      <c r="D2128" s="439"/>
      <c r="E2128" s="439"/>
      <c r="F2128" s="439"/>
      <c r="G2128" s="451" t="s">
        <v>3406</v>
      </c>
      <c r="Z2128" s="500"/>
      <c r="AA2128" s="500"/>
      <c r="AB2128" s="500"/>
      <c r="AC2128" s="500"/>
      <c r="AD2128" s="500"/>
      <c r="AE2128" s="500"/>
      <c r="AF2128" s="500"/>
      <c r="AG2128" s="500"/>
      <c r="AH2128" s="500"/>
      <c r="AI2128" s="500"/>
      <c r="AJ2128" s="500"/>
      <c r="AK2128" s="500"/>
      <c r="AL2128" s="500"/>
      <c r="AM2128" s="500"/>
      <c r="AN2128" s="500"/>
      <c r="AO2128" s="500"/>
      <c r="AP2128" s="500"/>
    </row>
    <row r="2129" spans="1:42" ht="16.5" customHeight="1">
      <c r="A2129" s="434"/>
      <c r="B2129" s="437" t="s">
        <v>3553</v>
      </c>
      <c r="C2129" s="439"/>
      <c r="D2129" s="439"/>
      <c r="E2129" s="439"/>
      <c r="F2129" s="439"/>
      <c r="G2129" s="451" t="s">
        <v>3554</v>
      </c>
      <c r="Z2129" s="500"/>
      <c r="AA2129" s="500"/>
      <c r="AB2129" s="500"/>
      <c r="AC2129" s="500"/>
      <c r="AD2129" s="500"/>
      <c r="AE2129" s="500"/>
      <c r="AF2129" s="500"/>
      <c r="AG2129" s="500"/>
      <c r="AH2129" s="500"/>
      <c r="AI2129" s="500"/>
      <c r="AJ2129" s="500"/>
      <c r="AK2129" s="500"/>
      <c r="AL2129" s="500"/>
      <c r="AM2129" s="500"/>
      <c r="AN2129" s="500"/>
      <c r="AO2129" s="500"/>
      <c r="AP2129" s="500"/>
    </row>
    <row r="2130" spans="1:42" ht="16.5" customHeight="1">
      <c r="A2130" s="439"/>
      <c r="B2130" s="439"/>
      <c r="C2130" s="439"/>
      <c r="D2130" s="439"/>
      <c r="E2130" s="439"/>
      <c r="F2130" s="439"/>
      <c r="G2130" s="451" t="s">
        <v>3406</v>
      </c>
      <c r="Z2130" s="500"/>
      <c r="AA2130" s="500"/>
      <c r="AB2130" s="500"/>
      <c r="AC2130" s="500"/>
      <c r="AD2130" s="500"/>
      <c r="AE2130" s="500"/>
      <c r="AF2130" s="500"/>
      <c r="AG2130" s="500"/>
      <c r="AH2130" s="500"/>
      <c r="AI2130" s="500"/>
      <c r="AJ2130" s="500"/>
      <c r="AK2130" s="500"/>
      <c r="AL2130" s="500"/>
      <c r="AM2130" s="500"/>
      <c r="AN2130" s="500"/>
      <c r="AO2130" s="500"/>
      <c r="AP2130" s="500"/>
    </row>
    <row r="2131" spans="1:42" ht="16.5" customHeight="1">
      <c r="A2131" s="434" t="s">
        <v>3555</v>
      </c>
      <c r="B2131" s="505" t="str">
        <f>"  노 무 비 :  "&amp;TEXT(I2131,"#,##0"&amp;IF(I2131&lt;&gt;INT(I2131),".###",""))&amp;" / Q * "&amp;AC2131&amp;" = "&amp;TEXT(C2131,"#,##0.0")&amp;""</f>
        <v xml:space="preserve">  노 무 비 :  59,020 / Q * 8 = 8,584.7</v>
      </c>
      <c r="C2131" s="506">
        <f>E2131+D2131+F2131</f>
        <v>8584.7000000000007</v>
      </c>
      <c r="D2131" s="506">
        <f>IF(H2131=0,0,ROUNDDOWN(J2131*H2131,1))</f>
        <v>8584.7000000000007</v>
      </c>
      <c r="E2131" s="506">
        <f>IF(H2131=0,0,ROUNDDOWN(K2131*H2131,1))</f>
        <v>0</v>
      </c>
      <c r="F2131" s="506">
        <f>IF(H2131=0,0,ROUNDDOWN(L2131*H2131,1))</f>
        <v>0</v>
      </c>
      <c r="G2131" s="451" t="s">
        <v>3556</v>
      </c>
      <c r="H2131" s="507">
        <f>ROUNDUP(AE2131,14-LEN(ABS(INT(AE2131))))</f>
        <v>0.14545454545460001</v>
      </c>
      <c r="I2131" s="508">
        <f>K2131+J2131+L2131</f>
        <v>59020</v>
      </c>
      <c r="J2131" s="509">
        <f>중기목록표!F7</f>
        <v>59020</v>
      </c>
      <c r="M2131" s="501" t="s">
        <v>3557</v>
      </c>
      <c r="N2131" s="501" t="s">
        <v>3416</v>
      </c>
      <c r="X2131" s="510" t="str">
        <f>중기목록표!B7&amp;" / "&amp;중기목록표!C7</f>
        <v>굴착기(무한궤도) / 0.4㎥</v>
      </c>
      <c r="Y2131" s="433" t="str">
        <f ca="1">HYPERLINK("#"&amp;중기목록표!J2&amp;"!A"&amp;ROW(중기목록표!A7),"X00266 →")</f>
        <v>X00266 →</v>
      </c>
      <c r="Z2131" s="501" t="s">
        <v>3434</v>
      </c>
      <c r="AA2131" s="512">
        <f>AB2112</f>
        <v>55</v>
      </c>
      <c r="AB2131" s="501" t="s">
        <v>3368</v>
      </c>
      <c r="AC2131" s="515">
        <v>8</v>
      </c>
      <c r="AD2131" s="501" t="s">
        <v>3418</v>
      </c>
      <c r="AE2131" s="512">
        <f>1/AB2112*AC2131</f>
        <v>0.14545454545454545</v>
      </c>
      <c r="AF2131" s="500"/>
      <c r="AG2131" s="500"/>
      <c r="AH2131" s="500"/>
      <c r="AI2131" s="500"/>
      <c r="AJ2131" s="500"/>
      <c r="AK2131" s="500"/>
      <c r="AL2131" s="500"/>
      <c r="AM2131" s="500"/>
      <c r="AN2131" s="500"/>
      <c r="AO2131" s="500"/>
      <c r="AP2131" s="500"/>
    </row>
    <row r="2132" spans="1:42" ht="16.5" customHeight="1">
      <c r="A2132" s="439"/>
      <c r="B2132" s="439"/>
      <c r="C2132" s="439"/>
      <c r="D2132" s="439"/>
      <c r="E2132" s="439"/>
      <c r="F2132" s="439"/>
      <c r="G2132" s="451" t="s">
        <v>3406</v>
      </c>
      <c r="Z2132" s="500"/>
      <c r="AA2132" s="500"/>
      <c r="AB2132" s="500"/>
      <c r="AC2132" s="500"/>
      <c r="AD2132" s="500"/>
      <c r="AE2132" s="500"/>
      <c r="AF2132" s="500"/>
      <c r="AG2132" s="500"/>
      <c r="AH2132" s="500"/>
      <c r="AI2132" s="500"/>
      <c r="AJ2132" s="500"/>
      <c r="AK2132" s="500"/>
      <c r="AL2132" s="500"/>
      <c r="AM2132" s="500"/>
      <c r="AN2132" s="500"/>
      <c r="AO2132" s="500"/>
      <c r="AP2132" s="500"/>
    </row>
    <row r="2133" spans="1:42" ht="16.5" customHeight="1">
      <c r="A2133" s="434" t="s">
        <v>3558</v>
      </c>
      <c r="B2133" s="505" t="str">
        <f>"  재 료 비 :  "&amp;TEXT(I2133,"#,##0"&amp;IF(I2133&lt;&gt;INT(I2133),".###",""))&amp;" / Q * "&amp;AC2133&amp;" = "&amp;TEXT(C2133,"#,##0.0")&amp;""</f>
        <v xml:space="preserve">  재 료 비 :  16,655 / Q * 8 = 2,422.5</v>
      </c>
      <c r="C2133" s="506">
        <f>E2133+D2133+F2133</f>
        <v>2422.5</v>
      </c>
      <c r="D2133" s="506">
        <f>IF(H2133=0,0,ROUNDDOWN(J2133*H2133,1))</f>
        <v>0</v>
      </c>
      <c r="E2133" s="506">
        <f>IF(H2133=0,0,ROUNDDOWN(K2133*H2133,1))</f>
        <v>2422.5</v>
      </c>
      <c r="F2133" s="506">
        <f>IF(H2133=0,0,ROUNDDOWN(L2133*H2133,1))</f>
        <v>0</v>
      </c>
      <c r="G2133" s="451" t="s">
        <v>3559</v>
      </c>
      <c r="H2133" s="507">
        <f>ROUNDUP(AE2133,14-LEN(ABS(INT(AE2133))))</f>
        <v>0.14545454545460001</v>
      </c>
      <c r="I2133" s="508">
        <f>K2133+J2133+L2133</f>
        <v>16655</v>
      </c>
      <c r="K2133" s="509">
        <f>중기목록표!G7</f>
        <v>16655</v>
      </c>
      <c r="M2133" s="501" t="s">
        <v>3557</v>
      </c>
      <c r="N2133" s="501" t="s">
        <v>3416</v>
      </c>
      <c r="X2133" s="510" t="str">
        <f>중기목록표!B7&amp;" / "&amp;중기목록표!C7</f>
        <v>굴착기(무한궤도) / 0.4㎥</v>
      </c>
      <c r="Y2133" s="433" t="str">
        <f ca="1">HYPERLINK("#"&amp;중기목록표!J2&amp;"!A"&amp;ROW(중기목록표!A7),"X00266 →")</f>
        <v>X00266 →</v>
      </c>
      <c r="Z2133" s="501" t="s">
        <v>3434</v>
      </c>
      <c r="AA2133" s="512">
        <f>AB2112</f>
        <v>55</v>
      </c>
      <c r="AB2133" s="501" t="s">
        <v>3368</v>
      </c>
      <c r="AC2133" s="515">
        <v>8</v>
      </c>
      <c r="AD2133" s="501" t="s">
        <v>3418</v>
      </c>
      <c r="AE2133" s="512">
        <f>1/AB2112*AC2133</f>
        <v>0.14545454545454545</v>
      </c>
      <c r="AF2133" s="500"/>
      <c r="AG2133" s="500"/>
      <c r="AH2133" s="500"/>
      <c r="AI2133" s="500"/>
      <c r="AJ2133" s="500"/>
      <c r="AK2133" s="500"/>
      <c r="AL2133" s="500"/>
      <c r="AM2133" s="500"/>
      <c r="AN2133" s="500"/>
      <c r="AO2133" s="500"/>
      <c r="AP2133" s="500"/>
    </row>
    <row r="2134" spans="1:42" ht="16.5" customHeight="1">
      <c r="A2134" s="439"/>
      <c r="B2134" s="439"/>
      <c r="C2134" s="439"/>
      <c r="D2134" s="439"/>
      <c r="E2134" s="439"/>
      <c r="F2134" s="439"/>
      <c r="G2134" s="451" t="s">
        <v>3406</v>
      </c>
      <c r="Z2134" s="500"/>
      <c r="AA2134" s="500"/>
      <c r="AB2134" s="500"/>
      <c r="AC2134" s="500"/>
      <c r="AD2134" s="500"/>
      <c r="AE2134" s="500"/>
      <c r="AF2134" s="500"/>
      <c r="AG2134" s="500"/>
      <c r="AH2134" s="500"/>
      <c r="AI2134" s="500"/>
      <c r="AJ2134" s="500"/>
      <c r="AK2134" s="500"/>
      <c r="AL2134" s="500"/>
      <c r="AM2134" s="500"/>
      <c r="AN2134" s="500"/>
      <c r="AO2134" s="500"/>
      <c r="AP2134" s="500"/>
    </row>
    <row r="2135" spans="1:42" ht="16.5" customHeight="1">
      <c r="A2135" s="434" t="s">
        <v>3560</v>
      </c>
      <c r="B2135" s="505" t="str">
        <f>"  경    비 :  "&amp;TEXT(I2135,"#,##0"&amp;IF(I2135&lt;&gt;INT(I2135),".###",""))&amp;" / Q * "&amp;AC2135&amp;" = "&amp;TEXT(C2135,"#,##0.0")&amp;""</f>
        <v xml:space="preserve">  경    비 :  17,514 / Q * 8 = 2,547.4</v>
      </c>
      <c r="C2135" s="506">
        <f>E2135+D2135+F2135</f>
        <v>2547.4</v>
      </c>
      <c r="D2135" s="506">
        <f>IF(H2135=0,0,ROUNDDOWN(J2135*H2135,1))</f>
        <v>0</v>
      </c>
      <c r="E2135" s="506">
        <f>IF(H2135=0,0,ROUNDDOWN(K2135*H2135,1))</f>
        <v>0</v>
      </c>
      <c r="F2135" s="506">
        <f>IF(H2135=0,0,ROUNDDOWN(L2135*H2135,1))</f>
        <v>2547.4</v>
      </c>
      <c r="G2135" s="451" t="s">
        <v>3561</v>
      </c>
      <c r="H2135" s="507">
        <f>ROUNDUP(AE2135,14-LEN(ABS(INT(AE2135))))</f>
        <v>0.14545454545460001</v>
      </c>
      <c r="I2135" s="508">
        <f>K2135+J2135+L2135</f>
        <v>17514</v>
      </c>
      <c r="L2135" s="509">
        <f>중기목록표!H7</f>
        <v>17514</v>
      </c>
      <c r="M2135" s="501" t="s">
        <v>3557</v>
      </c>
      <c r="N2135" s="501" t="s">
        <v>3416</v>
      </c>
      <c r="X2135" s="510" t="str">
        <f>중기목록표!B7&amp;" / "&amp;중기목록표!C7</f>
        <v>굴착기(무한궤도) / 0.4㎥</v>
      </c>
      <c r="Y2135" s="433" t="str">
        <f ca="1">HYPERLINK("#"&amp;중기목록표!J2&amp;"!A"&amp;ROW(중기목록표!A7),"X00266 →")</f>
        <v>X00266 →</v>
      </c>
      <c r="Z2135" s="501" t="s">
        <v>3434</v>
      </c>
      <c r="AA2135" s="512">
        <f>AB2112</f>
        <v>55</v>
      </c>
      <c r="AB2135" s="501" t="s">
        <v>3368</v>
      </c>
      <c r="AC2135" s="515">
        <v>8</v>
      </c>
      <c r="AD2135" s="501" t="s">
        <v>3418</v>
      </c>
      <c r="AE2135" s="512">
        <f>1/AB2112*AC2135</f>
        <v>0.14545454545454545</v>
      </c>
      <c r="AF2135" s="500"/>
      <c r="AG2135" s="500"/>
      <c r="AH2135" s="500"/>
      <c r="AI2135" s="500"/>
      <c r="AJ2135" s="500"/>
      <c r="AK2135" s="500"/>
      <c r="AL2135" s="500"/>
      <c r="AM2135" s="500"/>
      <c r="AN2135" s="500"/>
      <c r="AO2135" s="500"/>
      <c r="AP2135" s="500"/>
    </row>
    <row r="2136" spans="1:42" ht="16.5" customHeight="1">
      <c r="A2136" s="439"/>
      <c r="B2136" s="439"/>
      <c r="C2136" s="439"/>
      <c r="D2136" s="439"/>
      <c r="E2136" s="439"/>
      <c r="F2136" s="439"/>
      <c r="G2136" s="451" t="s">
        <v>3406</v>
      </c>
      <c r="Z2136" s="500"/>
      <c r="AA2136" s="500"/>
      <c r="AB2136" s="500"/>
      <c r="AC2136" s="500"/>
      <c r="AD2136" s="500"/>
      <c r="AE2136" s="500"/>
      <c r="AF2136" s="500"/>
      <c r="AG2136" s="500"/>
      <c r="AH2136" s="500"/>
      <c r="AI2136" s="500"/>
      <c r="AJ2136" s="500"/>
      <c r="AK2136" s="500"/>
      <c r="AL2136" s="500"/>
      <c r="AM2136" s="500"/>
      <c r="AN2136" s="500"/>
      <c r="AO2136" s="500"/>
      <c r="AP2136" s="500"/>
    </row>
    <row r="2137" spans="1:42" ht="16.5" customHeight="1">
      <c r="A2137" s="439"/>
      <c r="B2137" s="439"/>
      <c r="C2137" s="439"/>
      <c r="D2137" s="439"/>
      <c r="E2137" s="439"/>
      <c r="F2137" s="439"/>
      <c r="G2137" s="451" t="s">
        <v>3406</v>
      </c>
      <c r="Z2137" s="500"/>
      <c r="AA2137" s="500"/>
      <c r="AB2137" s="500"/>
      <c r="AC2137" s="500"/>
      <c r="AD2137" s="500"/>
      <c r="AE2137" s="500"/>
      <c r="AF2137" s="500"/>
      <c r="AG2137" s="500"/>
      <c r="AH2137" s="500"/>
      <c r="AI2137" s="500"/>
      <c r="AJ2137" s="500"/>
      <c r="AK2137" s="500"/>
      <c r="AL2137" s="500"/>
      <c r="AM2137" s="500"/>
      <c r="AN2137" s="500"/>
      <c r="AO2137" s="500"/>
      <c r="AP2137" s="500"/>
    </row>
    <row r="2138" spans="1:42" ht="16.5" customHeight="1">
      <c r="A2138" s="439"/>
      <c r="B2138" s="439"/>
      <c r="C2138" s="439"/>
      <c r="D2138" s="439"/>
      <c r="E2138" s="439"/>
      <c r="F2138" s="439"/>
      <c r="G2138" s="451" t="s">
        <v>3406</v>
      </c>
      <c r="Z2138" s="500"/>
      <c r="AA2138" s="500"/>
      <c r="AB2138" s="500"/>
      <c r="AC2138" s="500"/>
      <c r="AD2138" s="500"/>
      <c r="AE2138" s="500"/>
      <c r="AF2138" s="500"/>
      <c r="AG2138" s="500"/>
      <c r="AH2138" s="500"/>
      <c r="AI2138" s="500"/>
      <c r="AJ2138" s="500"/>
      <c r="AK2138" s="500"/>
      <c r="AL2138" s="500"/>
      <c r="AM2138" s="500"/>
      <c r="AN2138" s="500"/>
      <c r="AO2138" s="500"/>
      <c r="AP2138" s="500"/>
    </row>
    <row r="2139" spans="1:42" ht="16.5" customHeight="1">
      <c r="A2139" s="434"/>
      <c r="B2139" s="437" t="s">
        <v>3419</v>
      </c>
      <c r="C2139" s="513">
        <f>E2139+D2139+F2139</f>
        <v>13554.6</v>
      </c>
      <c r="D2139" s="513">
        <f>SUMIF(N2127:N2138,M2139,D2127:D2138)</f>
        <v>8584.7000000000007</v>
      </c>
      <c r="E2139" s="513">
        <f>SUMIF(N2127:N2138,M2139,E2127:E2138)</f>
        <v>2422.5</v>
      </c>
      <c r="F2139" s="513">
        <f>SUMIF(N2127:N2138,M2139,F2127:F2138)</f>
        <v>2547.4</v>
      </c>
      <c r="G2139" s="451" t="s">
        <v>3439</v>
      </c>
      <c r="M2139" s="501" t="s">
        <v>3416</v>
      </c>
      <c r="N2139" s="501" t="s">
        <v>3421</v>
      </c>
      <c r="Z2139" s="500"/>
      <c r="AA2139" s="500"/>
      <c r="AB2139" s="500"/>
      <c r="AC2139" s="500"/>
      <c r="AD2139" s="500"/>
      <c r="AE2139" s="500"/>
      <c r="AF2139" s="500"/>
      <c r="AG2139" s="500"/>
      <c r="AH2139" s="500"/>
      <c r="AI2139" s="500"/>
      <c r="AJ2139" s="500"/>
      <c r="AK2139" s="500"/>
      <c r="AL2139" s="500"/>
      <c r="AM2139" s="500"/>
      <c r="AN2139" s="500"/>
      <c r="AO2139" s="500"/>
      <c r="AP2139" s="500"/>
    </row>
    <row r="2140" spans="1:42" ht="16.5" customHeight="1">
      <c r="A2140" s="439"/>
      <c r="B2140" s="439"/>
      <c r="C2140" s="504"/>
      <c r="D2140" s="504"/>
      <c r="E2140" s="504"/>
      <c r="F2140" s="504"/>
      <c r="G2140" s="451" t="s">
        <v>3406</v>
      </c>
      <c r="Z2140" s="500"/>
      <c r="AA2140" s="500"/>
      <c r="AB2140" s="500"/>
      <c r="AC2140" s="500"/>
      <c r="AD2140" s="500"/>
      <c r="AE2140" s="500"/>
      <c r="AF2140" s="500"/>
      <c r="AG2140" s="500"/>
      <c r="AH2140" s="500"/>
      <c r="AI2140" s="500"/>
      <c r="AJ2140" s="500"/>
      <c r="AK2140" s="500"/>
      <c r="AL2140" s="500"/>
      <c r="AM2140" s="500"/>
      <c r="AN2140" s="500"/>
      <c r="AO2140" s="500"/>
      <c r="AP2140" s="500"/>
    </row>
    <row r="2141" spans="1:42" ht="16.5" customHeight="1">
      <c r="A2141" s="439"/>
      <c r="B2141" s="439"/>
      <c r="C2141" s="439"/>
      <c r="D2141" s="439"/>
      <c r="E2141" s="439"/>
      <c r="F2141" s="439"/>
      <c r="G2141" s="451" t="s">
        <v>3406</v>
      </c>
      <c r="Z2141" s="500"/>
      <c r="AA2141" s="500"/>
      <c r="AB2141" s="500"/>
      <c r="AC2141" s="500"/>
      <c r="AD2141" s="500"/>
      <c r="AE2141" s="500"/>
      <c r="AF2141" s="500"/>
      <c r="AG2141" s="500"/>
      <c r="AH2141" s="500"/>
      <c r="AI2141" s="500"/>
      <c r="AJ2141" s="500"/>
      <c r="AK2141" s="500"/>
      <c r="AL2141" s="500"/>
      <c r="AM2141" s="500"/>
      <c r="AN2141" s="500"/>
      <c r="AO2141" s="500"/>
      <c r="AP2141" s="500"/>
    </row>
    <row r="2142" spans="1:42" ht="16.5" customHeight="1">
      <c r="A2142" s="434"/>
      <c r="B2142" s="437" t="s">
        <v>3562</v>
      </c>
      <c r="C2142" s="439"/>
      <c r="D2142" s="439"/>
      <c r="E2142" s="439"/>
      <c r="F2142" s="439"/>
      <c r="G2142" s="451" t="s">
        <v>3563</v>
      </c>
      <c r="Z2142" s="500"/>
      <c r="AA2142" s="500"/>
      <c r="AB2142" s="500"/>
      <c r="AC2142" s="500"/>
      <c r="AD2142" s="500"/>
      <c r="AE2142" s="500"/>
      <c r="AF2142" s="500"/>
      <c r="AG2142" s="500"/>
      <c r="AH2142" s="500"/>
      <c r="AI2142" s="500"/>
      <c r="AJ2142" s="500"/>
      <c r="AK2142" s="500"/>
      <c r="AL2142" s="500"/>
      <c r="AM2142" s="500"/>
      <c r="AN2142" s="500"/>
      <c r="AO2142" s="500"/>
      <c r="AP2142" s="500"/>
    </row>
    <row r="2143" spans="1:42" ht="16.5" customHeight="1">
      <c r="A2143" s="439"/>
      <c r="B2143" s="439"/>
      <c r="C2143" s="439"/>
      <c r="D2143" s="439"/>
      <c r="E2143" s="439"/>
      <c r="F2143" s="439"/>
      <c r="G2143" s="451" t="s">
        <v>3406</v>
      </c>
      <c r="Z2143" s="500"/>
      <c r="AA2143" s="500"/>
      <c r="AB2143" s="500"/>
      <c r="AC2143" s="500"/>
      <c r="AD2143" s="500"/>
      <c r="AE2143" s="500"/>
      <c r="AF2143" s="500"/>
      <c r="AG2143" s="500"/>
      <c r="AH2143" s="500"/>
      <c r="AI2143" s="500"/>
      <c r="AJ2143" s="500"/>
      <c r="AK2143" s="500"/>
      <c r="AL2143" s="500"/>
      <c r="AM2143" s="500"/>
      <c r="AN2143" s="500"/>
      <c r="AO2143" s="500"/>
      <c r="AP2143" s="500"/>
    </row>
    <row r="2144" spans="1:42" ht="16.5" customHeight="1">
      <c r="A2144" s="434" t="s">
        <v>3628</v>
      </c>
      <c r="B2144" s="505" t="str">
        <f>"  지주목 이각, L1200 : "&amp;TEXT(I2144,"#,##0"&amp;IF(I2144&lt;&gt;INT(I2144),".###",""))&amp;" * "&amp;AA2144&amp;" 조  = "&amp;TEXT(C2144,"#,##0.0")&amp;""</f>
        <v xml:space="preserve">  지주목 이각, L1200 : 7,300 * 1 조  = 7,300.0</v>
      </c>
      <c r="C2144" s="506">
        <f>E2144+D2144+F2144</f>
        <v>7300</v>
      </c>
      <c r="D2144" s="506">
        <f>IF(H2144=0,0,ROUNDDOWN(J2144*H2144,1))</f>
        <v>0</v>
      </c>
      <c r="E2144" s="506">
        <f>IF(H2144=0,0,ROUNDDOWN(K2144*H2144,1))</f>
        <v>7300</v>
      </c>
      <c r="F2144" s="506">
        <f>IF(H2144=0,0,ROUNDDOWN(L2144*H2144,1))</f>
        <v>0</v>
      </c>
      <c r="G2144" s="451" t="s">
        <v>3629</v>
      </c>
      <c r="H2144" s="507">
        <f>ROUNDUP(AC2144,14-LEN(ABS(INT(AC2144))))</f>
        <v>1</v>
      </c>
      <c r="I2144" s="508">
        <f>K2144+J2144+L2144</f>
        <v>7300</v>
      </c>
      <c r="K2144" s="509">
        <f>재료비목록표!E94</f>
        <v>7300</v>
      </c>
      <c r="M2144" s="501" t="s">
        <v>3630</v>
      </c>
      <c r="N2144" s="501" t="s">
        <v>3416</v>
      </c>
      <c r="X2144" s="510" t="str">
        <f>재료비목록표!B94&amp;" / "&amp;재료비목록표!C94</f>
        <v>지주목 / 이각, L1200</v>
      </c>
      <c r="Y2144" s="433" t="str">
        <f ca="1">HYPERLINK("#"&amp;재료비목록표!G2&amp;"!A"&amp;ROW(재료비목록표!A94),"M08848 →")</f>
        <v>M08848 →</v>
      </c>
      <c r="Z2144" s="501" t="s">
        <v>3500</v>
      </c>
      <c r="AA2144" s="515">
        <v>1</v>
      </c>
      <c r="AB2144" s="501" t="s">
        <v>3418</v>
      </c>
      <c r="AC2144" s="512">
        <f>1*AA2144</f>
        <v>1</v>
      </c>
      <c r="AD2144" s="500"/>
      <c r="AE2144" s="500"/>
      <c r="AF2144" s="500"/>
      <c r="AG2144" s="500"/>
      <c r="AH2144" s="500"/>
      <c r="AI2144" s="500"/>
      <c r="AJ2144" s="500"/>
      <c r="AK2144" s="500"/>
      <c r="AL2144" s="500"/>
      <c r="AM2144" s="500"/>
      <c r="AN2144" s="500"/>
      <c r="AO2144" s="500"/>
      <c r="AP2144" s="500"/>
    </row>
    <row r="2145" spans="1:42" ht="16.5" customHeight="1">
      <c r="A2145" s="439"/>
      <c r="B2145" s="439"/>
      <c r="C2145" s="439"/>
      <c r="D2145" s="439"/>
      <c r="E2145" s="439"/>
      <c r="F2145" s="439"/>
      <c r="G2145" s="451" t="s">
        <v>3406</v>
      </c>
      <c r="Z2145" s="500"/>
      <c r="AA2145" s="500"/>
      <c r="AB2145" s="500"/>
      <c r="AC2145" s="500"/>
      <c r="AD2145" s="500"/>
      <c r="AE2145" s="500"/>
      <c r="AF2145" s="500"/>
      <c r="AG2145" s="500"/>
      <c r="AH2145" s="500"/>
      <c r="AI2145" s="500"/>
      <c r="AJ2145" s="500"/>
      <c r="AK2145" s="500"/>
      <c r="AL2145" s="500"/>
      <c r="AM2145" s="500"/>
      <c r="AN2145" s="500"/>
      <c r="AO2145" s="500"/>
      <c r="AP2145" s="500"/>
    </row>
    <row r="2146" spans="1:42" ht="16.5" customHeight="1">
      <c r="A2146" s="439"/>
      <c r="B2146" s="439"/>
      <c r="C2146" s="439"/>
      <c r="D2146" s="439"/>
      <c r="E2146" s="439"/>
      <c r="F2146" s="439"/>
      <c r="G2146" s="451" t="s">
        <v>3406</v>
      </c>
      <c r="Z2146" s="500"/>
      <c r="AA2146" s="500"/>
      <c r="AB2146" s="500"/>
      <c r="AC2146" s="500"/>
      <c r="AD2146" s="500"/>
      <c r="AE2146" s="500"/>
      <c r="AF2146" s="500"/>
      <c r="AG2146" s="500"/>
      <c r="AH2146" s="500"/>
      <c r="AI2146" s="500"/>
      <c r="AJ2146" s="500"/>
      <c r="AK2146" s="500"/>
      <c r="AL2146" s="500"/>
      <c r="AM2146" s="500"/>
      <c r="AN2146" s="500"/>
      <c r="AO2146" s="500"/>
      <c r="AP2146" s="500"/>
    </row>
    <row r="2147" spans="1:42" ht="16.5" customHeight="1">
      <c r="A2147" s="434" t="s">
        <v>3504</v>
      </c>
      <c r="B2147" s="505" t="str">
        <f>"  유기질비료 수목이식·식재용 : "&amp;TEXT(I2147,"#,##0"&amp;IF(I2147&lt;&gt;INT(I2147),".###",""))&amp;" * "&amp;AA2147&amp;" KG   = "&amp;TEXT(C2147,"#,##0.0")&amp;""</f>
        <v xml:space="preserve">  유기질비료 수목이식·식재용 : 500 * 10 KG   = 5,000.0</v>
      </c>
      <c r="C2147" s="506">
        <f>E2147+D2147+F2147</f>
        <v>5000</v>
      </c>
      <c r="D2147" s="506">
        <f>IF(H2147=0,0,ROUNDDOWN(J2147*H2147,1))</f>
        <v>0</v>
      </c>
      <c r="E2147" s="506">
        <f>IF(H2147=0,0,ROUNDDOWN(K2147*H2147,1))</f>
        <v>5000</v>
      </c>
      <c r="F2147" s="506">
        <f>IF(H2147=0,0,ROUNDDOWN(L2147*H2147,1))</f>
        <v>0</v>
      </c>
      <c r="G2147" s="451" t="s">
        <v>3631</v>
      </c>
      <c r="H2147" s="507">
        <f>ROUNDUP(AC2147,14-LEN(ABS(INT(AC2147))))</f>
        <v>10</v>
      </c>
      <c r="I2147" s="508">
        <f>K2147+J2147+L2147</f>
        <v>500</v>
      </c>
      <c r="K2147" s="509">
        <f>재료비목록표!E78</f>
        <v>500</v>
      </c>
      <c r="M2147" s="501" t="s">
        <v>3506</v>
      </c>
      <c r="N2147" s="501" t="s">
        <v>3416</v>
      </c>
      <c r="X2147" s="510" t="str">
        <f>재료비목록표!B78&amp;" / "&amp;재료비목록표!C78</f>
        <v>유기질비료 / 수목이식·식재용</v>
      </c>
      <c r="Y2147" s="433" t="str">
        <f ca="1">HYPERLINK("#"&amp;재료비목록표!G2&amp;"!A"&amp;ROW(재료비목록표!A78),"M01159 →")</f>
        <v>M01159 →</v>
      </c>
      <c r="Z2147" s="501" t="s">
        <v>3500</v>
      </c>
      <c r="AA2147" s="515">
        <v>10</v>
      </c>
      <c r="AB2147" s="501" t="s">
        <v>3418</v>
      </c>
      <c r="AC2147" s="512">
        <f>1*AA2147</f>
        <v>10</v>
      </c>
      <c r="AD2147" s="500"/>
      <c r="AE2147" s="500"/>
      <c r="AF2147" s="500"/>
      <c r="AG2147" s="500"/>
      <c r="AH2147" s="500"/>
      <c r="AI2147" s="500"/>
      <c r="AJ2147" s="500"/>
      <c r="AK2147" s="500"/>
      <c r="AL2147" s="500"/>
      <c r="AM2147" s="500"/>
      <c r="AN2147" s="500"/>
      <c r="AO2147" s="500"/>
      <c r="AP2147" s="500"/>
    </row>
    <row r="2148" spans="1:42" ht="16.5" customHeight="1">
      <c r="A2148" s="439"/>
      <c r="B2148" s="439"/>
      <c r="C2148" s="439"/>
      <c r="D2148" s="439"/>
      <c r="E2148" s="439"/>
      <c r="F2148" s="439"/>
      <c r="G2148" s="451" t="s">
        <v>3406</v>
      </c>
      <c r="Z2148" s="500"/>
      <c r="AA2148" s="500"/>
      <c r="AB2148" s="500"/>
      <c r="AC2148" s="500"/>
      <c r="AD2148" s="500"/>
      <c r="AE2148" s="500"/>
      <c r="AF2148" s="500"/>
      <c r="AG2148" s="500"/>
      <c r="AH2148" s="500"/>
      <c r="AI2148" s="500"/>
      <c r="AJ2148" s="500"/>
      <c r="AK2148" s="500"/>
      <c r="AL2148" s="500"/>
      <c r="AM2148" s="500"/>
      <c r="AN2148" s="500"/>
      <c r="AO2148" s="500"/>
      <c r="AP2148" s="500"/>
    </row>
    <row r="2149" spans="1:42" ht="16.5" customHeight="1">
      <c r="A2149" s="434"/>
      <c r="B2149" s="437" t="s">
        <v>3419</v>
      </c>
      <c r="C2149" s="513">
        <f>E2149+D2149+F2149</f>
        <v>12300</v>
      </c>
      <c r="D2149" s="513">
        <f>SUMIF(N2140:N2148,M2149,D2140:D2148)</f>
        <v>0</v>
      </c>
      <c r="E2149" s="513">
        <f>SUMIF(N2140:N2148,M2149,E2140:E2148)</f>
        <v>12300</v>
      </c>
      <c r="F2149" s="513">
        <f>SUMIF(N2140:N2148,M2149,F2140:F2148)</f>
        <v>0</v>
      </c>
      <c r="G2149" s="451" t="s">
        <v>3439</v>
      </c>
      <c r="M2149" s="501" t="s">
        <v>3416</v>
      </c>
      <c r="N2149" s="501" t="s">
        <v>3421</v>
      </c>
      <c r="Z2149" s="500"/>
      <c r="AA2149" s="500"/>
      <c r="AB2149" s="500"/>
      <c r="AC2149" s="500"/>
      <c r="AD2149" s="500"/>
      <c r="AE2149" s="500"/>
      <c r="AF2149" s="500"/>
      <c r="AG2149" s="500"/>
      <c r="AH2149" s="500"/>
      <c r="AI2149" s="500"/>
      <c r="AJ2149" s="500"/>
      <c r="AK2149" s="500"/>
      <c r="AL2149" s="500"/>
      <c r="AM2149" s="500"/>
      <c r="AN2149" s="500"/>
      <c r="AO2149" s="500"/>
      <c r="AP2149" s="500"/>
    </row>
    <row r="2150" spans="1:42" ht="16.5" customHeight="1">
      <c r="A2150" s="439"/>
      <c r="B2150" s="439"/>
      <c r="C2150" s="504"/>
      <c r="D2150" s="504"/>
      <c r="E2150" s="504"/>
      <c r="F2150" s="504"/>
      <c r="G2150" s="451" t="s">
        <v>3406</v>
      </c>
      <c r="Z2150" s="500"/>
      <c r="AA2150" s="500"/>
      <c r="AB2150" s="500"/>
      <c r="AC2150" s="500"/>
      <c r="AD2150" s="500"/>
      <c r="AE2150" s="500"/>
      <c r="AF2150" s="500"/>
      <c r="AG2150" s="500"/>
      <c r="AH2150" s="500"/>
      <c r="AI2150" s="500"/>
      <c r="AJ2150" s="500"/>
      <c r="AK2150" s="500"/>
      <c r="AL2150" s="500"/>
      <c r="AM2150" s="500"/>
      <c r="AN2150" s="500"/>
      <c r="AO2150" s="500"/>
      <c r="AP2150" s="500"/>
    </row>
    <row r="2151" spans="1:42" ht="16.5" customHeight="1">
      <c r="A2151" s="434"/>
      <c r="B2151" s="437" t="s">
        <v>3440</v>
      </c>
      <c r="C2151" s="513">
        <f>E2151+D2151+F2151</f>
        <v>41812.400000000001</v>
      </c>
      <c r="D2151" s="513">
        <f>SUMIF(N2107:N2150,M2151,D2107:D2150)</f>
        <v>24542.5</v>
      </c>
      <c r="E2151" s="513">
        <f>SUMIF(N2107:N2150,M2151,E2107:E2150)</f>
        <v>14722.5</v>
      </c>
      <c r="F2151" s="513">
        <f>SUMIF(N2107:N2150,M2151,F2107:F2150)</f>
        <v>2547.4</v>
      </c>
      <c r="G2151" s="451" t="s">
        <v>3441</v>
      </c>
      <c r="M2151" s="501" t="s">
        <v>3421</v>
      </c>
      <c r="N2151" s="501" t="s">
        <v>2354</v>
      </c>
      <c r="Z2151" s="500"/>
      <c r="AA2151" s="500"/>
      <c r="AB2151" s="500"/>
      <c r="AC2151" s="500"/>
      <c r="AD2151" s="500"/>
      <c r="AE2151" s="500"/>
      <c r="AF2151" s="500"/>
      <c r="AG2151" s="500"/>
      <c r="AH2151" s="500"/>
      <c r="AI2151" s="500"/>
      <c r="AJ2151" s="500"/>
      <c r="AK2151" s="500"/>
      <c r="AL2151" s="500"/>
      <c r="AM2151" s="500"/>
      <c r="AN2151" s="500"/>
      <c r="AO2151" s="500"/>
      <c r="AP2151" s="500"/>
    </row>
    <row r="2152" spans="1:42" ht="16.5" customHeight="1">
      <c r="A2152" s="439"/>
      <c r="B2152" s="439"/>
      <c r="C2152" s="504"/>
      <c r="D2152" s="504"/>
      <c r="E2152" s="504"/>
      <c r="F2152" s="504"/>
      <c r="G2152" s="451" t="s">
        <v>3413</v>
      </c>
      <c r="Z2152" s="500"/>
      <c r="AA2152" s="500"/>
      <c r="AB2152" s="500"/>
      <c r="AC2152" s="500"/>
      <c r="AD2152" s="500"/>
      <c r="AE2152" s="500"/>
      <c r="AF2152" s="500"/>
      <c r="AG2152" s="500"/>
      <c r="AH2152" s="500"/>
      <c r="AI2152" s="500"/>
      <c r="AJ2152" s="500"/>
      <c r="AK2152" s="500"/>
      <c r="AL2152" s="500"/>
      <c r="AM2152" s="500"/>
      <c r="AN2152" s="500"/>
      <c r="AO2152" s="500"/>
      <c r="AP2152" s="500"/>
    </row>
    <row r="2153" spans="1:42" ht="16.5" customHeight="1">
      <c r="A2153" s="497"/>
      <c r="B2153" s="497"/>
      <c r="C2153" s="497"/>
      <c r="D2153" s="497"/>
      <c r="E2153" s="497"/>
      <c r="F2153" s="497"/>
      <c r="Z2153" s="500"/>
      <c r="AA2153" s="500"/>
      <c r="AB2153" s="500"/>
      <c r="AC2153" s="500"/>
      <c r="AD2153" s="500"/>
      <c r="AE2153" s="500"/>
      <c r="AF2153" s="500"/>
      <c r="AG2153" s="500"/>
      <c r="AH2153" s="500"/>
      <c r="AI2153" s="500"/>
      <c r="AJ2153" s="500"/>
      <c r="AK2153" s="500"/>
      <c r="AL2153" s="500"/>
      <c r="AM2153" s="500"/>
      <c r="AN2153" s="500"/>
      <c r="AO2153" s="500"/>
      <c r="AP2153" s="500"/>
    </row>
    <row r="2154" spans="1:42" ht="16.5" customHeight="1">
      <c r="A2154" s="616" t="s">
        <v>3487</v>
      </c>
      <c r="B2154" s="605"/>
      <c r="C2154" s="446">
        <f>E2154+D2154+F2154</f>
        <v>41811</v>
      </c>
      <c r="D2154" s="453">
        <f>ROUNDDOWN(SUMIF(N2107:N2152,M2154,D2107:D2152),0)</f>
        <v>24542</v>
      </c>
      <c r="E2154" s="454">
        <f>ROUNDDOWN(SUMIF(N2107:N2152,M2154,E2107:E2152),0)</f>
        <v>14722</v>
      </c>
      <c r="F2154" s="446">
        <f>ROUNDDOWN(SUMIF(N2107:N2152,M2154,F2107:F2152),0)</f>
        <v>2547</v>
      </c>
      <c r="M2154" s="501" t="s">
        <v>2354</v>
      </c>
      <c r="Z2154" s="500"/>
      <c r="AA2154" s="500"/>
      <c r="AB2154" s="500"/>
      <c r="AC2154" s="500"/>
      <c r="AD2154" s="500"/>
      <c r="AE2154" s="500"/>
      <c r="AF2154" s="500"/>
      <c r="AG2154" s="500"/>
      <c r="AH2154" s="500"/>
      <c r="AI2154" s="500"/>
      <c r="AJ2154" s="500"/>
      <c r="AK2154" s="500"/>
      <c r="AL2154" s="500"/>
      <c r="AM2154" s="500"/>
      <c r="AN2154" s="500"/>
      <c r="AO2154" s="500"/>
      <c r="AP2154" s="500"/>
    </row>
    <row r="2155" spans="1:42" ht="16.5" customHeight="1">
      <c r="A2155" s="502" t="s">
        <v>3351</v>
      </c>
      <c r="B2155" s="503" t="s">
        <v>1858</v>
      </c>
      <c r="C2155" s="615">
        <f>C2204</f>
        <v>66405</v>
      </c>
      <c r="D2155" s="615">
        <f>D2204</f>
        <v>44994</v>
      </c>
      <c r="E2155" s="615">
        <f>E2204</f>
        <v>16741</v>
      </c>
      <c r="F2155" s="615">
        <f>F2204</f>
        <v>4670</v>
      </c>
      <c r="G2155" s="486" t="str">
        <f>HYPERLINK("#G"&amp;ROW(G2202),"_x0005_`BDCOD|D01317_x0007_`POSS|"&amp;ROW(G2157)&amp;"_x0007_`POSE|"&amp;ROW(G2202)&amp;"_x0007_`")</f>
        <v>_x0005_`BDCOD|D01317_x0007_`POSS|2157_x0007_`POSE|2202_x0007_`</v>
      </c>
      <c r="Z2155" s="500"/>
      <c r="AA2155" s="500"/>
      <c r="AB2155" s="500"/>
      <c r="AC2155" s="500"/>
      <c r="AD2155" s="500"/>
      <c r="AE2155" s="500"/>
      <c r="AF2155" s="500"/>
      <c r="AG2155" s="500"/>
      <c r="AH2155" s="500"/>
      <c r="AI2155" s="500"/>
      <c r="AJ2155" s="500"/>
      <c r="AK2155" s="500"/>
      <c r="AL2155" s="500"/>
      <c r="AM2155" s="500"/>
      <c r="AN2155" s="500"/>
      <c r="AO2155" s="500"/>
      <c r="AP2155" s="500"/>
    </row>
    <row r="2156" spans="1:42" ht="16.5" customHeight="1">
      <c r="A2156" s="485"/>
      <c r="B2156" s="503" t="s">
        <v>3645</v>
      </c>
      <c r="C2156" s="593"/>
      <c r="D2156" s="593"/>
      <c r="E2156" s="593"/>
      <c r="F2156" s="593"/>
      <c r="M2156" s="501" t="s">
        <v>1858</v>
      </c>
      <c r="Z2156" s="500"/>
      <c r="AA2156" s="500"/>
      <c r="AB2156" s="500"/>
      <c r="AC2156" s="500"/>
      <c r="AD2156" s="500"/>
      <c r="AE2156" s="500"/>
      <c r="AF2156" s="500"/>
      <c r="AG2156" s="500"/>
      <c r="AH2156" s="500"/>
      <c r="AI2156" s="500"/>
      <c r="AJ2156" s="500"/>
      <c r="AK2156" s="500"/>
      <c r="AL2156" s="500"/>
      <c r="AM2156" s="500"/>
      <c r="AN2156" s="500"/>
      <c r="AO2156" s="500"/>
      <c r="AP2156" s="500"/>
    </row>
    <row r="2157" spans="1:42" ht="16.5" customHeight="1">
      <c r="A2157" s="439"/>
      <c r="B2157" s="439"/>
      <c r="C2157" s="504"/>
      <c r="D2157" s="504"/>
      <c r="E2157" s="504"/>
      <c r="F2157" s="504"/>
      <c r="G2157" s="451" t="s">
        <v>3406</v>
      </c>
      <c r="Z2157" s="500"/>
      <c r="AA2157" s="500"/>
      <c r="AB2157" s="500"/>
      <c r="AC2157" s="500"/>
      <c r="AD2157" s="500"/>
      <c r="AE2157" s="500"/>
      <c r="AF2157" s="500"/>
      <c r="AG2157" s="500"/>
      <c r="AH2157" s="500"/>
      <c r="AI2157" s="500"/>
      <c r="AJ2157" s="500"/>
      <c r="AK2157" s="500"/>
      <c r="AL2157" s="500"/>
      <c r="AM2157" s="500"/>
      <c r="AN2157" s="500"/>
      <c r="AO2157" s="500"/>
      <c r="AP2157" s="500"/>
    </row>
    <row r="2158" spans="1:42" ht="16.5" customHeight="1">
      <c r="A2158" s="434"/>
      <c r="B2158" s="437" t="s">
        <v>3640</v>
      </c>
      <c r="C2158" s="439"/>
      <c r="D2158" s="439"/>
      <c r="E2158" s="439"/>
      <c r="F2158" s="439"/>
      <c r="G2158" s="451" t="s">
        <v>3641</v>
      </c>
      <c r="Z2158" s="500"/>
      <c r="AA2158" s="500"/>
      <c r="AB2158" s="500"/>
      <c r="AC2158" s="500"/>
      <c r="AD2158" s="500"/>
      <c r="AE2158" s="500"/>
      <c r="AF2158" s="500"/>
      <c r="AG2158" s="500"/>
      <c r="AH2158" s="500"/>
      <c r="AI2158" s="500"/>
      <c r="AJ2158" s="500"/>
      <c r="AK2158" s="500"/>
      <c r="AL2158" s="500"/>
      <c r="AM2158" s="500"/>
      <c r="AN2158" s="500"/>
      <c r="AO2158" s="500"/>
      <c r="AP2158" s="500"/>
    </row>
    <row r="2159" spans="1:42" ht="16.5" customHeight="1">
      <c r="A2159" s="439"/>
      <c r="B2159" s="439"/>
      <c r="C2159" s="439"/>
      <c r="D2159" s="439"/>
      <c r="E2159" s="439"/>
      <c r="F2159" s="439"/>
      <c r="G2159" s="451" t="s">
        <v>3406</v>
      </c>
      <c r="Z2159" s="500"/>
      <c r="AA2159" s="500"/>
      <c r="AB2159" s="500"/>
      <c r="AC2159" s="500"/>
      <c r="AD2159" s="500"/>
      <c r="AE2159" s="500"/>
      <c r="AF2159" s="500"/>
      <c r="AG2159" s="500"/>
      <c r="AH2159" s="500"/>
      <c r="AI2159" s="500"/>
      <c r="AJ2159" s="500"/>
      <c r="AK2159" s="500"/>
      <c r="AL2159" s="500"/>
      <c r="AM2159" s="500"/>
      <c r="AN2159" s="500"/>
      <c r="AO2159" s="500"/>
      <c r="AP2159" s="500"/>
    </row>
    <row r="2160" spans="1:42" ht="16.5" customHeight="1">
      <c r="A2160" s="434"/>
      <c r="B2160" s="437" t="s">
        <v>3642</v>
      </c>
      <c r="C2160" s="439"/>
      <c r="D2160" s="439"/>
      <c r="E2160" s="439"/>
      <c r="F2160" s="439"/>
      <c r="G2160" s="451" t="s">
        <v>3643</v>
      </c>
      <c r="Z2160" s="500"/>
      <c r="AA2160" s="500"/>
      <c r="AB2160" s="500"/>
      <c r="AC2160" s="500"/>
      <c r="AD2160" s="500"/>
      <c r="AE2160" s="500"/>
      <c r="AF2160" s="500"/>
      <c r="AG2160" s="500"/>
      <c r="AH2160" s="500"/>
      <c r="AI2160" s="500"/>
      <c r="AJ2160" s="500"/>
      <c r="AK2160" s="500"/>
      <c r="AL2160" s="500"/>
      <c r="AM2160" s="500"/>
      <c r="AN2160" s="500"/>
      <c r="AO2160" s="500"/>
      <c r="AP2160" s="500"/>
    </row>
    <row r="2161" spans="1:42" ht="16.5" customHeight="1">
      <c r="A2161" s="439"/>
      <c r="B2161" s="439"/>
      <c r="C2161" s="439"/>
      <c r="D2161" s="439"/>
      <c r="E2161" s="439"/>
      <c r="F2161" s="439"/>
      <c r="G2161" s="451" t="s">
        <v>3406</v>
      </c>
      <c r="Z2161" s="500"/>
      <c r="AA2161" s="500"/>
      <c r="AB2161" s="500"/>
      <c r="AC2161" s="500"/>
      <c r="AD2161" s="500"/>
      <c r="AE2161" s="500"/>
      <c r="AF2161" s="500"/>
      <c r="AG2161" s="500"/>
      <c r="AH2161" s="500"/>
      <c r="AI2161" s="500"/>
      <c r="AJ2161" s="500"/>
      <c r="AK2161" s="500"/>
      <c r="AL2161" s="500"/>
      <c r="AM2161" s="500"/>
      <c r="AN2161" s="500"/>
      <c r="AO2161" s="500"/>
      <c r="AP2161" s="500"/>
    </row>
    <row r="2162" spans="1:42" ht="16.5" customHeight="1">
      <c r="A2162" s="434"/>
      <c r="B2162" s="437" t="str">
        <f>" 일당 작업량 :   Q = "&amp;Z2162&amp;"  주 "</f>
        <v xml:space="preserve"> 일당 작업량 :   Q = 30  주 </v>
      </c>
      <c r="C2162" s="439"/>
      <c r="D2162" s="439"/>
      <c r="E2162" s="439"/>
      <c r="F2162" s="439"/>
      <c r="G2162" s="451" t="s">
        <v>3646</v>
      </c>
      <c r="Z2162" s="515">
        <v>30</v>
      </c>
      <c r="AA2162" s="501" t="s">
        <v>3418</v>
      </c>
      <c r="AB2162" s="512">
        <f>Z2162</f>
        <v>30</v>
      </c>
      <c r="AC2162" s="500"/>
      <c r="AD2162" s="500"/>
      <c r="AE2162" s="500"/>
      <c r="AF2162" s="500"/>
      <c r="AG2162" s="500"/>
      <c r="AH2162" s="500"/>
      <c r="AI2162" s="500"/>
      <c r="AJ2162" s="500"/>
      <c r="AK2162" s="500"/>
      <c r="AL2162" s="500"/>
      <c r="AM2162" s="500"/>
      <c r="AN2162" s="500"/>
      <c r="AO2162" s="500"/>
      <c r="AP2162" s="500"/>
    </row>
    <row r="2163" spans="1:42" ht="16.5" customHeight="1">
      <c r="A2163" s="439"/>
      <c r="B2163" s="439"/>
      <c r="C2163" s="439"/>
      <c r="D2163" s="439"/>
      <c r="E2163" s="439"/>
      <c r="F2163" s="439"/>
      <c r="G2163" s="451" t="s">
        <v>3406</v>
      </c>
      <c r="Z2163" s="500"/>
      <c r="AA2163" s="500"/>
      <c r="AB2163" s="500"/>
      <c r="AC2163" s="500"/>
      <c r="AD2163" s="500"/>
      <c r="AE2163" s="500"/>
      <c r="AF2163" s="500"/>
      <c r="AG2163" s="500"/>
      <c r="AH2163" s="500"/>
      <c r="AI2163" s="500"/>
      <c r="AJ2163" s="500"/>
      <c r="AK2163" s="500"/>
      <c r="AL2163" s="500"/>
      <c r="AM2163" s="500"/>
      <c r="AN2163" s="500"/>
      <c r="AO2163" s="500"/>
      <c r="AP2163" s="500"/>
    </row>
    <row r="2164" spans="1:42" ht="16.5" customHeight="1">
      <c r="A2164" s="434"/>
      <c r="B2164" s="437" t="s">
        <v>3547</v>
      </c>
      <c r="C2164" s="439"/>
      <c r="D2164" s="439"/>
      <c r="E2164" s="439"/>
      <c r="F2164" s="439"/>
      <c r="G2164" s="451" t="s">
        <v>3548</v>
      </c>
      <c r="Z2164" s="500"/>
      <c r="AA2164" s="500"/>
      <c r="AB2164" s="500"/>
      <c r="AC2164" s="500"/>
      <c r="AD2164" s="500"/>
      <c r="AE2164" s="500"/>
      <c r="AF2164" s="500"/>
      <c r="AG2164" s="500"/>
      <c r="AH2164" s="500"/>
      <c r="AI2164" s="500"/>
      <c r="AJ2164" s="500"/>
      <c r="AK2164" s="500"/>
      <c r="AL2164" s="500"/>
      <c r="AM2164" s="500"/>
      <c r="AN2164" s="500"/>
      <c r="AO2164" s="500"/>
      <c r="AP2164" s="500"/>
    </row>
    <row r="2165" spans="1:42" ht="16.5" customHeight="1">
      <c r="A2165" s="439"/>
      <c r="B2165" s="439"/>
      <c r="C2165" s="439"/>
      <c r="D2165" s="439"/>
      <c r="E2165" s="439"/>
      <c r="F2165" s="439"/>
      <c r="G2165" s="451" t="s">
        <v>3406</v>
      </c>
      <c r="Z2165" s="500"/>
      <c r="AA2165" s="500"/>
      <c r="AB2165" s="500"/>
      <c r="AC2165" s="500"/>
      <c r="AD2165" s="500"/>
      <c r="AE2165" s="500"/>
      <c r="AF2165" s="500"/>
      <c r="AG2165" s="500"/>
      <c r="AH2165" s="500"/>
      <c r="AI2165" s="500"/>
      <c r="AJ2165" s="500"/>
      <c r="AK2165" s="500"/>
      <c r="AL2165" s="500"/>
      <c r="AM2165" s="500"/>
      <c r="AN2165" s="500"/>
      <c r="AO2165" s="500"/>
      <c r="AP2165" s="500"/>
    </row>
    <row r="2166" spans="1:42" ht="16.5" customHeight="1">
      <c r="A2166" s="439"/>
      <c r="B2166" s="439"/>
      <c r="C2166" s="439"/>
      <c r="D2166" s="439"/>
      <c r="E2166" s="439"/>
      <c r="F2166" s="439"/>
      <c r="G2166" s="451" t="s">
        <v>3406</v>
      </c>
      <c r="Z2166" s="500"/>
      <c r="AA2166" s="500"/>
      <c r="AB2166" s="500"/>
      <c r="AC2166" s="500"/>
      <c r="AD2166" s="500"/>
      <c r="AE2166" s="500"/>
      <c r="AF2166" s="500"/>
      <c r="AG2166" s="500"/>
      <c r="AH2166" s="500"/>
      <c r="AI2166" s="500"/>
      <c r="AJ2166" s="500"/>
      <c r="AK2166" s="500"/>
      <c r="AL2166" s="500"/>
      <c r="AM2166" s="500"/>
      <c r="AN2166" s="500"/>
      <c r="AO2166" s="500"/>
      <c r="AP2166" s="500"/>
    </row>
    <row r="2167" spans="1:42" ht="16.5" customHeight="1">
      <c r="A2167" s="439"/>
      <c r="B2167" s="439"/>
      <c r="C2167" s="439"/>
      <c r="D2167" s="439"/>
      <c r="E2167" s="439"/>
      <c r="F2167" s="439"/>
      <c r="G2167" s="451" t="s">
        <v>3406</v>
      </c>
      <c r="Z2167" s="500"/>
      <c r="AA2167" s="500"/>
      <c r="AB2167" s="500"/>
      <c r="AC2167" s="500"/>
      <c r="AD2167" s="500"/>
      <c r="AE2167" s="500"/>
      <c r="AF2167" s="500"/>
      <c r="AG2167" s="500"/>
      <c r="AH2167" s="500"/>
      <c r="AI2167" s="500"/>
      <c r="AJ2167" s="500"/>
      <c r="AK2167" s="500"/>
      <c r="AL2167" s="500"/>
      <c r="AM2167" s="500"/>
      <c r="AN2167" s="500"/>
      <c r="AO2167" s="500"/>
      <c r="AP2167" s="500"/>
    </row>
    <row r="2168" spans="1:42" ht="16.5" customHeight="1">
      <c r="A2168" s="439"/>
      <c r="B2168" s="439"/>
      <c r="C2168" s="439"/>
      <c r="D2168" s="439"/>
      <c r="E2168" s="439"/>
      <c r="F2168" s="439"/>
      <c r="G2168" s="451" t="s">
        <v>3406</v>
      </c>
      <c r="Z2168" s="500"/>
      <c r="AA2168" s="500"/>
      <c r="AB2168" s="500"/>
      <c r="AC2168" s="500"/>
      <c r="AD2168" s="500"/>
      <c r="AE2168" s="500"/>
      <c r="AF2168" s="500"/>
      <c r="AG2168" s="500"/>
      <c r="AH2168" s="500"/>
      <c r="AI2168" s="500"/>
      <c r="AJ2168" s="500"/>
      <c r="AK2168" s="500"/>
      <c r="AL2168" s="500"/>
      <c r="AM2168" s="500"/>
      <c r="AN2168" s="500"/>
      <c r="AO2168" s="500"/>
      <c r="AP2168" s="500"/>
    </row>
    <row r="2169" spans="1:42" ht="16.5" customHeight="1">
      <c r="A2169" s="434"/>
      <c r="B2169" s="437" t="s">
        <v>3549</v>
      </c>
      <c r="C2169" s="439"/>
      <c r="D2169" s="439"/>
      <c r="E2169" s="439"/>
      <c r="F2169" s="439"/>
      <c r="G2169" s="451" t="s">
        <v>3550</v>
      </c>
      <c r="Z2169" s="500"/>
      <c r="AA2169" s="500"/>
      <c r="AB2169" s="500"/>
      <c r="AC2169" s="500"/>
      <c r="AD2169" s="500"/>
      <c r="AE2169" s="500"/>
      <c r="AF2169" s="500"/>
      <c r="AG2169" s="500"/>
      <c r="AH2169" s="500"/>
      <c r="AI2169" s="500"/>
      <c r="AJ2169" s="500"/>
      <c r="AK2169" s="500"/>
      <c r="AL2169" s="500"/>
      <c r="AM2169" s="500"/>
      <c r="AN2169" s="500"/>
      <c r="AO2169" s="500"/>
      <c r="AP2169" s="500"/>
    </row>
    <row r="2170" spans="1:42" ht="16.5" customHeight="1">
      <c r="A2170" s="439"/>
      <c r="B2170" s="439"/>
      <c r="C2170" s="439"/>
      <c r="D2170" s="439"/>
      <c r="E2170" s="439"/>
      <c r="F2170" s="439"/>
      <c r="G2170" s="451" t="s">
        <v>3406</v>
      </c>
      <c r="Z2170" s="500"/>
      <c r="AA2170" s="500"/>
      <c r="AB2170" s="500"/>
      <c r="AC2170" s="500"/>
      <c r="AD2170" s="500"/>
      <c r="AE2170" s="500"/>
      <c r="AF2170" s="500"/>
      <c r="AG2170" s="500"/>
      <c r="AH2170" s="500"/>
      <c r="AI2170" s="500"/>
      <c r="AJ2170" s="500"/>
      <c r="AK2170" s="500"/>
      <c r="AL2170" s="500"/>
      <c r="AM2170" s="500"/>
      <c r="AN2170" s="500"/>
      <c r="AO2170" s="500"/>
      <c r="AP2170" s="500"/>
    </row>
    <row r="2171" spans="1:42" ht="16.5" customHeight="1">
      <c r="A2171" s="434" t="s">
        <v>3498</v>
      </c>
      <c r="B2171" s="505" t="str">
        <f>" 조경공 :  "&amp;TEXT(I2171,"#,##0"&amp;IF(I2171&lt;&gt;INT(I2171),".###",""))&amp;" * "&amp;AA2171&amp;" 인  / Q = "&amp;TEXT(C2171,"#,##0.0")&amp;""</f>
        <v xml:space="preserve"> 조경공 :  235,204 * 3 인  / Q = 23,520.4</v>
      </c>
      <c r="C2171" s="506">
        <f>E2171+D2171+F2171</f>
        <v>23520.400000000001</v>
      </c>
      <c r="D2171" s="506">
        <f>IF(H2171=0,0,ROUNDDOWN(J2171*H2171,1))</f>
        <v>23520.400000000001</v>
      </c>
      <c r="E2171" s="506">
        <f>IF(H2171=0,0,ROUNDDOWN(K2171*H2171,1))</f>
        <v>0</v>
      </c>
      <c r="F2171" s="506">
        <f>IF(H2171=0,0,ROUNDDOWN(L2171*H2171,1))</f>
        <v>0</v>
      </c>
      <c r="G2171" s="451" t="s">
        <v>3551</v>
      </c>
      <c r="H2171" s="507">
        <f>ROUNDUP(AE2171,14-LEN(ABS(INT(AE2171))))</f>
        <v>0.1</v>
      </c>
      <c r="I2171" s="508">
        <f>K2171+J2171+L2171</f>
        <v>235204</v>
      </c>
      <c r="J2171" s="509">
        <f>노무비목록표!E15</f>
        <v>235204</v>
      </c>
      <c r="M2171" s="501" t="s">
        <v>2359</v>
      </c>
      <c r="N2171" s="501" t="s">
        <v>3416</v>
      </c>
      <c r="X2171" s="510" t="str">
        <f>노무비목록표!B15&amp;" / "&amp;노무비목록표!C15</f>
        <v xml:space="preserve">조경공 / </v>
      </c>
      <c r="Y2171" s="433" t="str">
        <f ca="1">HYPERLINK("#"&amp;노무비목록표!G2&amp;"!A"&amp;ROW(노무비목록표!A15),"L00184 →")</f>
        <v>L00184 →</v>
      </c>
      <c r="Z2171" s="501" t="s">
        <v>3500</v>
      </c>
      <c r="AA2171" s="515">
        <v>3</v>
      </c>
      <c r="AB2171" s="501" t="s">
        <v>3428</v>
      </c>
      <c r="AC2171" s="512">
        <f>AB2162</f>
        <v>30</v>
      </c>
      <c r="AD2171" s="501" t="s">
        <v>3418</v>
      </c>
      <c r="AE2171" s="512">
        <f>1*AA2171/AB2162</f>
        <v>0.1</v>
      </c>
      <c r="AF2171" s="500"/>
      <c r="AG2171" s="500"/>
      <c r="AH2171" s="500"/>
      <c r="AI2171" s="500"/>
      <c r="AJ2171" s="500"/>
      <c r="AK2171" s="500"/>
      <c r="AL2171" s="500"/>
      <c r="AM2171" s="500"/>
      <c r="AN2171" s="500"/>
      <c r="AO2171" s="500"/>
      <c r="AP2171" s="500"/>
    </row>
    <row r="2172" spans="1:42" ht="16.5" customHeight="1">
      <c r="A2172" s="439"/>
      <c r="B2172" s="439"/>
      <c r="C2172" s="439"/>
      <c r="D2172" s="439"/>
      <c r="E2172" s="439"/>
      <c r="F2172" s="439"/>
      <c r="G2172" s="451" t="s">
        <v>3406</v>
      </c>
      <c r="Z2172" s="500"/>
      <c r="AA2172" s="500"/>
      <c r="AB2172" s="500"/>
      <c r="AC2172" s="500"/>
      <c r="AD2172" s="500"/>
      <c r="AE2172" s="500"/>
      <c r="AF2172" s="500"/>
      <c r="AG2172" s="500"/>
      <c r="AH2172" s="500"/>
      <c r="AI2172" s="500"/>
      <c r="AJ2172" s="500"/>
      <c r="AK2172" s="500"/>
      <c r="AL2172" s="500"/>
      <c r="AM2172" s="500"/>
      <c r="AN2172" s="500"/>
      <c r="AO2172" s="500"/>
      <c r="AP2172" s="500"/>
    </row>
    <row r="2173" spans="1:42" ht="16.5" customHeight="1">
      <c r="A2173" s="439"/>
      <c r="B2173" s="439"/>
      <c r="C2173" s="439"/>
      <c r="D2173" s="439"/>
      <c r="E2173" s="439"/>
      <c r="F2173" s="439"/>
      <c r="G2173" s="451" t="s">
        <v>3406</v>
      </c>
      <c r="Z2173" s="500"/>
      <c r="AA2173" s="500"/>
      <c r="AB2173" s="500"/>
      <c r="AC2173" s="500"/>
      <c r="AD2173" s="500"/>
      <c r="AE2173" s="500"/>
      <c r="AF2173" s="500"/>
      <c r="AG2173" s="500"/>
      <c r="AH2173" s="500"/>
      <c r="AI2173" s="500"/>
      <c r="AJ2173" s="500"/>
      <c r="AK2173" s="500"/>
      <c r="AL2173" s="500"/>
      <c r="AM2173" s="500"/>
      <c r="AN2173" s="500"/>
      <c r="AO2173" s="500"/>
      <c r="AP2173" s="500"/>
    </row>
    <row r="2174" spans="1:42" ht="16.5" customHeight="1">
      <c r="A2174" s="434" t="s">
        <v>3414</v>
      </c>
      <c r="B2174" s="505" t="str">
        <f>" 보통인부 : "&amp;TEXT(I2174,"#,##0"&amp;IF(I2174&lt;&gt;INT(I2174),".###",""))&amp;" * "&amp;AA2174&amp;" 인  / Q = "&amp;TEXT(C2174,"#,##0.0")&amp;""</f>
        <v xml:space="preserve"> 보통인부 : 172,068 * 1 인  / Q = 5,735.6</v>
      </c>
      <c r="C2174" s="506">
        <f>E2174+D2174+F2174</f>
        <v>5735.6</v>
      </c>
      <c r="D2174" s="506">
        <f>IF(H2174=0,0,ROUNDDOWN(J2174*H2174,1))</f>
        <v>5735.6</v>
      </c>
      <c r="E2174" s="506">
        <f>IF(H2174=0,0,ROUNDDOWN(K2174*H2174,1))</f>
        <v>0</v>
      </c>
      <c r="F2174" s="506">
        <f>IF(H2174=0,0,ROUNDDOWN(L2174*H2174,1))</f>
        <v>0</v>
      </c>
      <c r="G2174" s="451" t="s">
        <v>3552</v>
      </c>
      <c r="H2174" s="507">
        <f>ROUNDUP(AE2174,14-LEN(ABS(INT(AE2174))))</f>
        <v>3.3333333333400002E-2</v>
      </c>
      <c r="I2174" s="508">
        <f>K2174+J2174+L2174</f>
        <v>172068</v>
      </c>
      <c r="J2174" s="509">
        <f>노무비목록표!E10</f>
        <v>172068</v>
      </c>
      <c r="M2174" s="501" t="s">
        <v>2363</v>
      </c>
      <c r="N2174" s="501" t="s">
        <v>3416</v>
      </c>
      <c r="X2174" s="510" t="str">
        <f>노무비목록표!B10&amp;" / "&amp;노무비목록표!C10</f>
        <v xml:space="preserve">보통인부 / </v>
      </c>
      <c r="Y2174" s="433" t="str">
        <f ca="1">HYPERLINK("#"&amp;노무비목록표!G2&amp;"!A"&amp;ROW(노무비목록표!A10),"L00017 →")</f>
        <v>L00017 →</v>
      </c>
      <c r="Z2174" s="501" t="s">
        <v>3500</v>
      </c>
      <c r="AA2174" s="515">
        <v>1</v>
      </c>
      <c r="AB2174" s="501" t="s">
        <v>3428</v>
      </c>
      <c r="AC2174" s="512">
        <f>AB2162</f>
        <v>30</v>
      </c>
      <c r="AD2174" s="501" t="s">
        <v>3418</v>
      </c>
      <c r="AE2174" s="512">
        <f>1*AA2174/AB2162</f>
        <v>3.3333333333333333E-2</v>
      </c>
      <c r="AF2174" s="500"/>
      <c r="AG2174" s="500"/>
      <c r="AH2174" s="500"/>
      <c r="AI2174" s="500"/>
      <c r="AJ2174" s="500"/>
      <c r="AK2174" s="500"/>
      <c r="AL2174" s="500"/>
      <c r="AM2174" s="500"/>
      <c r="AN2174" s="500"/>
      <c r="AO2174" s="500"/>
      <c r="AP2174" s="500"/>
    </row>
    <row r="2175" spans="1:42" ht="16.5" customHeight="1">
      <c r="A2175" s="439"/>
      <c r="B2175" s="439"/>
      <c r="C2175" s="439"/>
      <c r="D2175" s="439"/>
      <c r="E2175" s="439"/>
      <c r="F2175" s="439"/>
      <c r="G2175" s="451" t="s">
        <v>3406</v>
      </c>
      <c r="Z2175" s="500"/>
      <c r="AA2175" s="500"/>
      <c r="AB2175" s="500"/>
      <c r="AC2175" s="500"/>
      <c r="AD2175" s="500"/>
      <c r="AE2175" s="500"/>
      <c r="AF2175" s="500"/>
      <c r="AG2175" s="500"/>
      <c r="AH2175" s="500"/>
      <c r="AI2175" s="500"/>
      <c r="AJ2175" s="500"/>
      <c r="AK2175" s="500"/>
      <c r="AL2175" s="500"/>
      <c r="AM2175" s="500"/>
      <c r="AN2175" s="500"/>
      <c r="AO2175" s="500"/>
      <c r="AP2175" s="500"/>
    </row>
    <row r="2176" spans="1:42" ht="16.5" customHeight="1">
      <c r="A2176" s="434"/>
      <c r="B2176" s="437" t="s">
        <v>3419</v>
      </c>
      <c r="C2176" s="513">
        <f>E2176+D2176+F2176</f>
        <v>29256</v>
      </c>
      <c r="D2176" s="513">
        <f>SUMIF(N2157:N2175,M2176,D2157:D2175)</f>
        <v>29256</v>
      </c>
      <c r="E2176" s="513">
        <f>SUMIF(N2157:N2175,M2176,E2157:E2175)</f>
        <v>0</v>
      </c>
      <c r="F2176" s="513">
        <f>SUMIF(N2157:N2175,M2176,F2157:F2175)</f>
        <v>0</v>
      </c>
      <c r="G2176" s="451" t="s">
        <v>3439</v>
      </c>
      <c r="M2176" s="501" t="s">
        <v>3416</v>
      </c>
      <c r="N2176" s="501" t="s">
        <v>3421</v>
      </c>
      <c r="Z2176" s="500"/>
      <c r="AA2176" s="500"/>
      <c r="AB2176" s="500"/>
      <c r="AC2176" s="500"/>
      <c r="AD2176" s="500"/>
      <c r="AE2176" s="500"/>
      <c r="AF2176" s="500"/>
      <c r="AG2176" s="500"/>
      <c r="AH2176" s="500"/>
      <c r="AI2176" s="500"/>
      <c r="AJ2176" s="500"/>
      <c r="AK2176" s="500"/>
      <c r="AL2176" s="500"/>
      <c r="AM2176" s="500"/>
      <c r="AN2176" s="500"/>
      <c r="AO2176" s="500"/>
      <c r="AP2176" s="500"/>
    </row>
    <row r="2177" spans="1:42" ht="16.5" customHeight="1">
      <c r="A2177" s="439"/>
      <c r="B2177" s="439"/>
      <c r="C2177" s="504"/>
      <c r="D2177" s="504"/>
      <c r="E2177" s="504"/>
      <c r="F2177" s="504"/>
      <c r="G2177" s="451" t="s">
        <v>3406</v>
      </c>
      <c r="Z2177" s="500"/>
      <c r="AA2177" s="500"/>
      <c r="AB2177" s="500"/>
      <c r="AC2177" s="500"/>
      <c r="AD2177" s="500"/>
      <c r="AE2177" s="500"/>
      <c r="AF2177" s="500"/>
      <c r="AG2177" s="500"/>
      <c r="AH2177" s="500"/>
      <c r="AI2177" s="500"/>
      <c r="AJ2177" s="500"/>
      <c r="AK2177" s="500"/>
      <c r="AL2177" s="500"/>
      <c r="AM2177" s="500"/>
      <c r="AN2177" s="500"/>
      <c r="AO2177" s="500"/>
      <c r="AP2177" s="500"/>
    </row>
    <row r="2178" spans="1:42" ht="16.5" customHeight="1">
      <c r="A2178" s="439"/>
      <c r="B2178" s="439"/>
      <c r="C2178" s="439"/>
      <c r="D2178" s="439"/>
      <c r="E2178" s="439"/>
      <c r="F2178" s="439"/>
      <c r="G2178" s="451" t="s">
        <v>3406</v>
      </c>
      <c r="Z2178" s="500"/>
      <c r="AA2178" s="500"/>
      <c r="AB2178" s="500"/>
      <c r="AC2178" s="500"/>
      <c r="AD2178" s="500"/>
      <c r="AE2178" s="500"/>
      <c r="AF2178" s="500"/>
      <c r="AG2178" s="500"/>
      <c r="AH2178" s="500"/>
      <c r="AI2178" s="500"/>
      <c r="AJ2178" s="500"/>
      <c r="AK2178" s="500"/>
      <c r="AL2178" s="500"/>
      <c r="AM2178" s="500"/>
      <c r="AN2178" s="500"/>
      <c r="AO2178" s="500"/>
      <c r="AP2178" s="500"/>
    </row>
    <row r="2179" spans="1:42" ht="16.5" customHeight="1">
      <c r="A2179" s="434"/>
      <c r="B2179" s="437" t="s">
        <v>3553</v>
      </c>
      <c r="C2179" s="439"/>
      <c r="D2179" s="439"/>
      <c r="E2179" s="439"/>
      <c r="F2179" s="439"/>
      <c r="G2179" s="451" t="s">
        <v>3554</v>
      </c>
      <c r="Z2179" s="500"/>
      <c r="AA2179" s="500"/>
      <c r="AB2179" s="500"/>
      <c r="AC2179" s="500"/>
      <c r="AD2179" s="500"/>
      <c r="AE2179" s="500"/>
      <c r="AF2179" s="500"/>
      <c r="AG2179" s="500"/>
      <c r="AH2179" s="500"/>
      <c r="AI2179" s="500"/>
      <c r="AJ2179" s="500"/>
      <c r="AK2179" s="500"/>
      <c r="AL2179" s="500"/>
      <c r="AM2179" s="500"/>
      <c r="AN2179" s="500"/>
      <c r="AO2179" s="500"/>
      <c r="AP2179" s="500"/>
    </row>
    <row r="2180" spans="1:42" ht="16.5" customHeight="1">
      <c r="A2180" s="439"/>
      <c r="B2180" s="439"/>
      <c r="C2180" s="439"/>
      <c r="D2180" s="439"/>
      <c r="E2180" s="439"/>
      <c r="F2180" s="439"/>
      <c r="G2180" s="451" t="s">
        <v>3406</v>
      </c>
      <c r="Z2180" s="500"/>
      <c r="AA2180" s="500"/>
      <c r="AB2180" s="500"/>
      <c r="AC2180" s="500"/>
      <c r="AD2180" s="500"/>
      <c r="AE2180" s="500"/>
      <c r="AF2180" s="500"/>
      <c r="AG2180" s="500"/>
      <c r="AH2180" s="500"/>
      <c r="AI2180" s="500"/>
      <c r="AJ2180" s="500"/>
      <c r="AK2180" s="500"/>
      <c r="AL2180" s="500"/>
      <c r="AM2180" s="500"/>
      <c r="AN2180" s="500"/>
      <c r="AO2180" s="500"/>
      <c r="AP2180" s="500"/>
    </row>
    <row r="2181" spans="1:42" ht="16.5" customHeight="1">
      <c r="A2181" s="434" t="s">
        <v>3555</v>
      </c>
      <c r="B2181" s="505" t="str">
        <f>"  노 무 비 :  "&amp;TEXT(I2181,"#,##0"&amp;IF(I2181&lt;&gt;INT(I2181),".###",""))&amp;" / Q * "&amp;AC2181&amp;" = "&amp;TEXT(C2181,"#,##0.0")&amp;""</f>
        <v xml:space="preserve">  노 무 비 :  59,020 / Q * 8 = 15,738.6</v>
      </c>
      <c r="C2181" s="506">
        <f>E2181+D2181+F2181</f>
        <v>15738.6</v>
      </c>
      <c r="D2181" s="506">
        <f>IF(H2181=0,0,ROUNDDOWN(J2181*H2181,1))</f>
        <v>15738.6</v>
      </c>
      <c r="E2181" s="506">
        <f>IF(H2181=0,0,ROUNDDOWN(K2181*H2181,1))</f>
        <v>0</v>
      </c>
      <c r="F2181" s="506">
        <f>IF(H2181=0,0,ROUNDDOWN(L2181*H2181,1))</f>
        <v>0</v>
      </c>
      <c r="G2181" s="451" t="s">
        <v>3556</v>
      </c>
      <c r="H2181" s="507">
        <f>ROUNDUP(AE2181,14-LEN(ABS(INT(AE2181))))</f>
        <v>0.26666666666669997</v>
      </c>
      <c r="I2181" s="508">
        <f>K2181+J2181+L2181</f>
        <v>59020</v>
      </c>
      <c r="J2181" s="509">
        <f>중기목록표!F7</f>
        <v>59020</v>
      </c>
      <c r="M2181" s="501" t="s">
        <v>3557</v>
      </c>
      <c r="N2181" s="501" t="s">
        <v>3416</v>
      </c>
      <c r="X2181" s="510" t="str">
        <f>중기목록표!B7&amp;" / "&amp;중기목록표!C7</f>
        <v>굴착기(무한궤도) / 0.4㎥</v>
      </c>
      <c r="Y2181" s="433" t="str">
        <f ca="1">HYPERLINK("#"&amp;중기목록표!J2&amp;"!A"&amp;ROW(중기목록표!A7),"X00266 →")</f>
        <v>X00266 →</v>
      </c>
      <c r="Z2181" s="501" t="s">
        <v>3434</v>
      </c>
      <c r="AA2181" s="512">
        <f>AB2162</f>
        <v>30</v>
      </c>
      <c r="AB2181" s="501" t="s">
        <v>3368</v>
      </c>
      <c r="AC2181" s="515">
        <v>8</v>
      </c>
      <c r="AD2181" s="501" t="s">
        <v>3418</v>
      </c>
      <c r="AE2181" s="512">
        <f>1/AB2162*AC2181</f>
        <v>0.26666666666666666</v>
      </c>
      <c r="AF2181" s="500"/>
      <c r="AG2181" s="500"/>
      <c r="AH2181" s="500"/>
      <c r="AI2181" s="500"/>
      <c r="AJ2181" s="500"/>
      <c r="AK2181" s="500"/>
      <c r="AL2181" s="500"/>
      <c r="AM2181" s="500"/>
      <c r="AN2181" s="500"/>
      <c r="AO2181" s="500"/>
      <c r="AP2181" s="500"/>
    </row>
    <row r="2182" spans="1:42" ht="16.5" customHeight="1">
      <c r="A2182" s="439"/>
      <c r="B2182" s="439"/>
      <c r="C2182" s="439"/>
      <c r="D2182" s="439"/>
      <c r="E2182" s="439"/>
      <c r="F2182" s="439"/>
      <c r="G2182" s="451" t="s">
        <v>3406</v>
      </c>
      <c r="Z2182" s="500"/>
      <c r="AA2182" s="500"/>
      <c r="AB2182" s="500"/>
      <c r="AC2182" s="500"/>
      <c r="AD2182" s="500"/>
      <c r="AE2182" s="500"/>
      <c r="AF2182" s="500"/>
      <c r="AG2182" s="500"/>
      <c r="AH2182" s="500"/>
      <c r="AI2182" s="500"/>
      <c r="AJ2182" s="500"/>
      <c r="AK2182" s="500"/>
      <c r="AL2182" s="500"/>
      <c r="AM2182" s="500"/>
      <c r="AN2182" s="500"/>
      <c r="AO2182" s="500"/>
      <c r="AP2182" s="500"/>
    </row>
    <row r="2183" spans="1:42" ht="16.5" customHeight="1">
      <c r="A2183" s="434" t="s">
        <v>3558</v>
      </c>
      <c r="B2183" s="505" t="str">
        <f>"  재 료 비 :  "&amp;TEXT(I2183,"#,##0"&amp;IF(I2183&lt;&gt;INT(I2183),".###",""))&amp;" / Q * "&amp;AC2183&amp;" = "&amp;TEXT(C2183,"#,##0.0")&amp;""</f>
        <v xml:space="preserve">  재 료 비 :  16,655 / Q * 8 = 4,441.3</v>
      </c>
      <c r="C2183" s="506">
        <f>E2183+D2183+F2183</f>
        <v>4441.3</v>
      </c>
      <c r="D2183" s="506">
        <f>IF(H2183=0,0,ROUNDDOWN(J2183*H2183,1))</f>
        <v>0</v>
      </c>
      <c r="E2183" s="506">
        <f>IF(H2183=0,0,ROUNDDOWN(K2183*H2183,1))</f>
        <v>4441.3</v>
      </c>
      <c r="F2183" s="506">
        <f>IF(H2183=0,0,ROUNDDOWN(L2183*H2183,1))</f>
        <v>0</v>
      </c>
      <c r="G2183" s="451" t="s">
        <v>3559</v>
      </c>
      <c r="H2183" s="507">
        <f>ROUNDUP(AE2183,14-LEN(ABS(INT(AE2183))))</f>
        <v>0.26666666666669997</v>
      </c>
      <c r="I2183" s="508">
        <f>K2183+J2183+L2183</f>
        <v>16655</v>
      </c>
      <c r="K2183" s="509">
        <f>중기목록표!G7</f>
        <v>16655</v>
      </c>
      <c r="M2183" s="501" t="s">
        <v>3557</v>
      </c>
      <c r="N2183" s="501" t="s">
        <v>3416</v>
      </c>
      <c r="X2183" s="510" t="str">
        <f>중기목록표!B7&amp;" / "&amp;중기목록표!C7</f>
        <v>굴착기(무한궤도) / 0.4㎥</v>
      </c>
      <c r="Y2183" s="433" t="str">
        <f ca="1">HYPERLINK("#"&amp;중기목록표!J2&amp;"!A"&amp;ROW(중기목록표!A7),"X00266 →")</f>
        <v>X00266 →</v>
      </c>
      <c r="Z2183" s="501" t="s">
        <v>3434</v>
      </c>
      <c r="AA2183" s="512">
        <f>AB2162</f>
        <v>30</v>
      </c>
      <c r="AB2183" s="501" t="s">
        <v>3368</v>
      </c>
      <c r="AC2183" s="515">
        <v>8</v>
      </c>
      <c r="AD2183" s="501" t="s">
        <v>3418</v>
      </c>
      <c r="AE2183" s="512">
        <f>1/AB2162*AC2183</f>
        <v>0.26666666666666666</v>
      </c>
      <c r="AF2183" s="500"/>
      <c r="AG2183" s="500"/>
      <c r="AH2183" s="500"/>
      <c r="AI2183" s="500"/>
      <c r="AJ2183" s="500"/>
      <c r="AK2183" s="500"/>
      <c r="AL2183" s="500"/>
      <c r="AM2183" s="500"/>
      <c r="AN2183" s="500"/>
      <c r="AO2183" s="500"/>
      <c r="AP2183" s="500"/>
    </row>
    <row r="2184" spans="1:42" ht="16.5" customHeight="1">
      <c r="A2184" s="439"/>
      <c r="B2184" s="439"/>
      <c r="C2184" s="439"/>
      <c r="D2184" s="439"/>
      <c r="E2184" s="439"/>
      <c r="F2184" s="439"/>
      <c r="G2184" s="451" t="s">
        <v>3406</v>
      </c>
      <c r="Z2184" s="500"/>
      <c r="AA2184" s="500"/>
      <c r="AB2184" s="500"/>
      <c r="AC2184" s="500"/>
      <c r="AD2184" s="500"/>
      <c r="AE2184" s="500"/>
      <c r="AF2184" s="500"/>
      <c r="AG2184" s="500"/>
      <c r="AH2184" s="500"/>
      <c r="AI2184" s="500"/>
      <c r="AJ2184" s="500"/>
      <c r="AK2184" s="500"/>
      <c r="AL2184" s="500"/>
      <c r="AM2184" s="500"/>
      <c r="AN2184" s="500"/>
      <c r="AO2184" s="500"/>
      <c r="AP2184" s="500"/>
    </row>
    <row r="2185" spans="1:42" ht="16.5" customHeight="1">
      <c r="A2185" s="434" t="s">
        <v>3560</v>
      </c>
      <c r="B2185" s="505" t="str">
        <f>"  경    비 :  "&amp;TEXT(I2185,"#,##0"&amp;IF(I2185&lt;&gt;INT(I2185),".###",""))&amp;" / Q * "&amp;AC2185&amp;" = "&amp;TEXT(C2185,"#,##0.0")&amp;""</f>
        <v xml:space="preserve">  경    비 :  17,514 / Q * 8 = 4,670.4</v>
      </c>
      <c r="C2185" s="506">
        <f>E2185+D2185+F2185</f>
        <v>4670.3999999999996</v>
      </c>
      <c r="D2185" s="506">
        <f>IF(H2185=0,0,ROUNDDOWN(J2185*H2185,1))</f>
        <v>0</v>
      </c>
      <c r="E2185" s="506">
        <f>IF(H2185=0,0,ROUNDDOWN(K2185*H2185,1))</f>
        <v>0</v>
      </c>
      <c r="F2185" s="506">
        <f>IF(H2185=0,0,ROUNDDOWN(L2185*H2185,1))</f>
        <v>4670.3999999999996</v>
      </c>
      <c r="G2185" s="451" t="s">
        <v>3561</v>
      </c>
      <c r="H2185" s="507">
        <f>ROUNDUP(AE2185,14-LEN(ABS(INT(AE2185))))</f>
        <v>0.26666666666669997</v>
      </c>
      <c r="I2185" s="508">
        <f>K2185+J2185+L2185</f>
        <v>17514</v>
      </c>
      <c r="L2185" s="509">
        <f>중기목록표!H7</f>
        <v>17514</v>
      </c>
      <c r="M2185" s="501" t="s">
        <v>3557</v>
      </c>
      <c r="N2185" s="501" t="s">
        <v>3416</v>
      </c>
      <c r="X2185" s="510" t="str">
        <f>중기목록표!B7&amp;" / "&amp;중기목록표!C7</f>
        <v>굴착기(무한궤도) / 0.4㎥</v>
      </c>
      <c r="Y2185" s="433" t="str">
        <f ca="1">HYPERLINK("#"&amp;중기목록표!J2&amp;"!A"&amp;ROW(중기목록표!A7),"X00266 →")</f>
        <v>X00266 →</v>
      </c>
      <c r="Z2185" s="501" t="s">
        <v>3434</v>
      </c>
      <c r="AA2185" s="512">
        <f>AB2162</f>
        <v>30</v>
      </c>
      <c r="AB2185" s="501" t="s">
        <v>3368</v>
      </c>
      <c r="AC2185" s="515">
        <v>8</v>
      </c>
      <c r="AD2185" s="501" t="s">
        <v>3418</v>
      </c>
      <c r="AE2185" s="512">
        <f>1/AB2162*AC2185</f>
        <v>0.26666666666666666</v>
      </c>
      <c r="AF2185" s="500"/>
      <c r="AG2185" s="500"/>
      <c r="AH2185" s="500"/>
      <c r="AI2185" s="500"/>
      <c r="AJ2185" s="500"/>
      <c r="AK2185" s="500"/>
      <c r="AL2185" s="500"/>
      <c r="AM2185" s="500"/>
      <c r="AN2185" s="500"/>
      <c r="AO2185" s="500"/>
      <c r="AP2185" s="500"/>
    </row>
    <row r="2186" spans="1:42" ht="16.5" customHeight="1">
      <c r="A2186" s="439"/>
      <c r="B2186" s="439"/>
      <c r="C2186" s="439"/>
      <c r="D2186" s="439"/>
      <c r="E2186" s="439"/>
      <c r="F2186" s="439"/>
      <c r="G2186" s="451" t="s">
        <v>3406</v>
      </c>
      <c r="Z2186" s="500"/>
      <c r="AA2186" s="500"/>
      <c r="AB2186" s="500"/>
      <c r="AC2186" s="500"/>
      <c r="AD2186" s="500"/>
      <c r="AE2186" s="500"/>
      <c r="AF2186" s="500"/>
      <c r="AG2186" s="500"/>
      <c r="AH2186" s="500"/>
      <c r="AI2186" s="500"/>
      <c r="AJ2186" s="500"/>
      <c r="AK2186" s="500"/>
      <c r="AL2186" s="500"/>
      <c r="AM2186" s="500"/>
      <c r="AN2186" s="500"/>
      <c r="AO2186" s="500"/>
      <c r="AP2186" s="500"/>
    </row>
    <row r="2187" spans="1:42" ht="16.5" customHeight="1">
      <c r="A2187" s="439"/>
      <c r="B2187" s="439"/>
      <c r="C2187" s="439"/>
      <c r="D2187" s="439"/>
      <c r="E2187" s="439"/>
      <c r="F2187" s="439"/>
      <c r="G2187" s="451" t="s">
        <v>3406</v>
      </c>
      <c r="Z2187" s="500"/>
      <c r="AA2187" s="500"/>
      <c r="AB2187" s="500"/>
      <c r="AC2187" s="500"/>
      <c r="AD2187" s="500"/>
      <c r="AE2187" s="500"/>
      <c r="AF2187" s="500"/>
      <c r="AG2187" s="500"/>
      <c r="AH2187" s="500"/>
      <c r="AI2187" s="500"/>
      <c r="AJ2187" s="500"/>
      <c r="AK2187" s="500"/>
      <c r="AL2187" s="500"/>
      <c r="AM2187" s="500"/>
      <c r="AN2187" s="500"/>
      <c r="AO2187" s="500"/>
      <c r="AP2187" s="500"/>
    </row>
    <row r="2188" spans="1:42" ht="16.5" customHeight="1">
      <c r="A2188" s="439"/>
      <c r="B2188" s="439"/>
      <c r="C2188" s="439"/>
      <c r="D2188" s="439"/>
      <c r="E2188" s="439"/>
      <c r="F2188" s="439"/>
      <c r="G2188" s="451" t="s">
        <v>3406</v>
      </c>
      <c r="Z2188" s="500"/>
      <c r="AA2188" s="500"/>
      <c r="AB2188" s="500"/>
      <c r="AC2188" s="500"/>
      <c r="AD2188" s="500"/>
      <c r="AE2188" s="500"/>
      <c r="AF2188" s="500"/>
      <c r="AG2188" s="500"/>
      <c r="AH2188" s="500"/>
      <c r="AI2188" s="500"/>
      <c r="AJ2188" s="500"/>
      <c r="AK2188" s="500"/>
      <c r="AL2188" s="500"/>
      <c r="AM2188" s="500"/>
      <c r="AN2188" s="500"/>
      <c r="AO2188" s="500"/>
      <c r="AP2188" s="500"/>
    </row>
    <row r="2189" spans="1:42" ht="16.5" customHeight="1">
      <c r="A2189" s="434"/>
      <c r="B2189" s="437" t="s">
        <v>3419</v>
      </c>
      <c r="C2189" s="513">
        <f>E2189+D2189+F2189</f>
        <v>24850.300000000003</v>
      </c>
      <c r="D2189" s="513">
        <f>SUMIF(N2177:N2188,M2189,D2177:D2188)</f>
        <v>15738.6</v>
      </c>
      <c r="E2189" s="513">
        <f>SUMIF(N2177:N2188,M2189,E2177:E2188)</f>
        <v>4441.3</v>
      </c>
      <c r="F2189" s="513">
        <f>SUMIF(N2177:N2188,M2189,F2177:F2188)</f>
        <v>4670.3999999999996</v>
      </c>
      <c r="G2189" s="451" t="s">
        <v>3439</v>
      </c>
      <c r="M2189" s="501" t="s">
        <v>3416</v>
      </c>
      <c r="N2189" s="501" t="s">
        <v>3421</v>
      </c>
      <c r="Z2189" s="500"/>
      <c r="AA2189" s="500"/>
      <c r="AB2189" s="500"/>
      <c r="AC2189" s="500"/>
      <c r="AD2189" s="500"/>
      <c r="AE2189" s="500"/>
      <c r="AF2189" s="500"/>
      <c r="AG2189" s="500"/>
      <c r="AH2189" s="500"/>
      <c r="AI2189" s="500"/>
      <c r="AJ2189" s="500"/>
      <c r="AK2189" s="500"/>
      <c r="AL2189" s="500"/>
      <c r="AM2189" s="500"/>
      <c r="AN2189" s="500"/>
      <c r="AO2189" s="500"/>
      <c r="AP2189" s="500"/>
    </row>
    <row r="2190" spans="1:42" ht="16.5" customHeight="1">
      <c r="A2190" s="439"/>
      <c r="B2190" s="439"/>
      <c r="C2190" s="504"/>
      <c r="D2190" s="504"/>
      <c r="E2190" s="504"/>
      <c r="F2190" s="504"/>
      <c r="G2190" s="451" t="s">
        <v>3406</v>
      </c>
      <c r="Z2190" s="500"/>
      <c r="AA2190" s="500"/>
      <c r="AB2190" s="500"/>
      <c r="AC2190" s="500"/>
      <c r="AD2190" s="500"/>
      <c r="AE2190" s="500"/>
      <c r="AF2190" s="500"/>
      <c r="AG2190" s="500"/>
      <c r="AH2190" s="500"/>
      <c r="AI2190" s="500"/>
      <c r="AJ2190" s="500"/>
      <c r="AK2190" s="500"/>
      <c r="AL2190" s="500"/>
      <c r="AM2190" s="500"/>
      <c r="AN2190" s="500"/>
      <c r="AO2190" s="500"/>
      <c r="AP2190" s="500"/>
    </row>
    <row r="2191" spans="1:42" ht="16.5" customHeight="1">
      <c r="A2191" s="439"/>
      <c r="B2191" s="439"/>
      <c r="C2191" s="439"/>
      <c r="D2191" s="439"/>
      <c r="E2191" s="439"/>
      <c r="F2191" s="439"/>
      <c r="G2191" s="451" t="s">
        <v>3406</v>
      </c>
      <c r="Z2191" s="500"/>
      <c r="AA2191" s="500"/>
      <c r="AB2191" s="500"/>
      <c r="AC2191" s="500"/>
      <c r="AD2191" s="500"/>
      <c r="AE2191" s="500"/>
      <c r="AF2191" s="500"/>
      <c r="AG2191" s="500"/>
      <c r="AH2191" s="500"/>
      <c r="AI2191" s="500"/>
      <c r="AJ2191" s="500"/>
      <c r="AK2191" s="500"/>
      <c r="AL2191" s="500"/>
      <c r="AM2191" s="500"/>
      <c r="AN2191" s="500"/>
      <c r="AO2191" s="500"/>
      <c r="AP2191" s="500"/>
    </row>
    <row r="2192" spans="1:42" ht="16.5" customHeight="1">
      <c r="A2192" s="434"/>
      <c r="B2192" s="437" t="s">
        <v>3562</v>
      </c>
      <c r="C2192" s="439"/>
      <c r="D2192" s="439"/>
      <c r="E2192" s="439"/>
      <c r="F2192" s="439"/>
      <c r="G2192" s="451" t="s">
        <v>3563</v>
      </c>
      <c r="Z2192" s="500"/>
      <c r="AA2192" s="500"/>
      <c r="AB2192" s="500"/>
      <c r="AC2192" s="500"/>
      <c r="AD2192" s="500"/>
      <c r="AE2192" s="500"/>
      <c r="AF2192" s="500"/>
      <c r="AG2192" s="500"/>
      <c r="AH2192" s="500"/>
      <c r="AI2192" s="500"/>
      <c r="AJ2192" s="500"/>
      <c r="AK2192" s="500"/>
      <c r="AL2192" s="500"/>
      <c r="AM2192" s="500"/>
      <c r="AN2192" s="500"/>
      <c r="AO2192" s="500"/>
      <c r="AP2192" s="500"/>
    </row>
    <row r="2193" spans="1:42" ht="16.5" customHeight="1">
      <c r="A2193" s="439"/>
      <c r="B2193" s="439"/>
      <c r="C2193" s="439"/>
      <c r="D2193" s="439"/>
      <c r="E2193" s="439"/>
      <c r="F2193" s="439"/>
      <c r="G2193" s="451" t="s">
        <v>3406</v>
      </c>
      <c r="Z2193" s="500"/>
      <c r="AA2193" s="500"/>
      <c r="AB2193" s="500"/>
      <c r="AC2193" s="500"/>
      <c r="AD2193" s="500"/>
      <c r="AE2193" s="500"/>
      <c r="AF2193" s="500"/>
      <c r="AG2193" s="500"/>
      <c r="AH2193" s="500"/>
      <c r="AI2193" s="500"/>
      <c r="AJ2193" s="500"/>
      <c r="AK2193" s="500"/>
      <c r="AL2193" s="500"/>
      <c r="AM2193" s="500"/>
      <c r="AN2193" s="500"/>
      <c r="AO2193" s="500"/>
      <c r="AP2193" s="500"/>
    </row>
    <row r="2194" spans="1:42" ht="16.5" customHeight="1">
      <c r="A2194" s="434" t="s">
        <v>3628</v>
      </c>
      <c r="B2194" s="505" t="str">
        <f>"  지주목 이각, L1200 : "&amp;TEXT(I2194,"#,##0"&amp;IF(I2194&lt;&gt;INT(I2194),".###",""))&amp;" * "&amp;AA2194&amp;" 조  = "&amp;TEXT(C2194,"#,##0.0")&amp;""</f>
        <v xml:space="preserve">  지주목 이각, L1200 : 7,300 * 1 조  = 7,300.0</v>
      </c>
      <c r="C2194" s="506">
        <f>E2194+D2194+F2194</f>
        <v>7300</v>
      </c>
      <c r="D2194" s="506">
        <f>IF(H2194=0,0,ROUNDDOWN(J2194*H2194,1))</f>
        <v>0</v>
      </c>
      <c r="E2194" s="506">
        <f>IF(H2194=0,0,ROUNDDOWN(K2194*H2194,1))</f>
        <v>7300</v>
      </c>
      <c r="F2194" s="506">
        <f>IF(H2194=0,0,ROUNDDOWN(L2194*H2194,1))</f>
        <v>0</v>
      </c>
      <c r="G2194" s="451" t="s">
        <v>3629</v>
      </c>
      <c r="H2194" s="507">
        <f>ROUNDUP(AC2194,14-LEN(ABS(INT(AC2194))))</f>
        <v>1</v>
      </c>
      <c r="I2194" s="508">
        <f>K2194+J2194+L2194</f>
        <v>7300</v>
      </c>
      <c r="K2194" s="509">
        <f>재료비목록표!E94</f>
        <v>7300</v>
      </c>
      <c r="M2194" s="501" t="s">
        <v>3630</v>
      </c>
      <c r="N2194" s="501" t="s">
        <v>3416</v>
      </c>
      <c r="X2194" s="510" t="str">
        <f>재료비목록표!B94&amp;" / "&amp;재료비목록표!C94</f>
        <v>지주목 / 이각, L1200</v>
      </c>
      <c r="Y2194" s="433" t="str">
        <f ca="1">HYPERLINK("#"&amp;재료비목록표!G2&amp;"!A"&amp;ROW(재료비목록표!A94),"M08848 →")</f>
        <v>M08848 →</v>
      </c>
      <c r="Z2194" s="501" t="s">
        <v>3500</v>
      </c>
      <c r="AA2194" s="515">
        <v>1</v>
      </c>
      <c r="AB2194" s="501" t="s">
        <v>3418</v>
      </c>
      <c r="AC2194" s="512">
        <f>1*AA2194</f>
        <v>1</v>
      </c>
      <c r="AD2194" s="500"/>
      <c r="AE2194" s="500"/>
      <c r="AF2194" s="500"/>
      <c r="AG2194" s="500"/>
      <c r="AH2194" s="500"/>
      <c r="AI2194" s="500"/>
      <c r="AJ2194" s="500"/>
      <c r="AK2194" s="500"/>
      <c r="AL2194" s="500"/>
      <c r="AM2194" s="500"/>
      <c r="AN2194" s="500"/>
      <c r="AO2194" s="500"/>
      <c r="AP2194" s="500"/>
    </row>
    <row r="2195" spans="1:42" ht="16.5" customHeight="1">
      <c r="A2195" s="439"/>
      <c r="B2195" s="439"/>
      <c r="C2195" s="439"/>
      <c r="D2195" s="439"/>
      <c r="E2195" s="439"/>
      <c r="F2195" s="439"/>
      <c r="G2195" s="451" t="s">
        <v>3406</v>
      </c>
      <c r="Z2195" s="500"/>
      <c r="AA2195" s="500"/>
      <c r="AB2195" s="500"/>
      <c r="AC2195" s="500"/>
      <c r="AD2195" s="500"/>
      <c r="AE2195" s="500"/>
      <c r="AF2195" s="500"/>
      <c r="AG2195" s="500"/>
      <c r="AH2195" s="500"/>
      <c r="AI2195" s="500"/>
      <c r="AJ2195" s="500"/>
      <c r="AK2195" s="500"/>
      <c r="AL2195" s="500"/>
      <c r="AM2195" s="500"/>
      <c r="AN2195" s="500"/>
      <c r="AO2195" s="500"/>
      <c r="AP2195" s="500"/>
    </row>
    <row r="2196" spans="1:42" ht="16.5" customHeight="1">
      <c r="A2196" s="439"/>
      <c r="B2196" s="439"/>
      <c r="C2196" s="439"/>
      <c r="D2196" s="439"/>
      <c r="E2196" s="439"/>
      <c r="F2196" s="439"/>
      <c r="G2196" s="451" t="s">
        <v>3406</v>
      </c>
      <c r="Z2196" s="500"/>
      <c r="AA2196" s="500"/>
      <c r="AB2196" s="500"/>
      <c r="AC2196" s="500"/>
      <c r="AD2196" s="500"/>
      <c r="AE2196" s="500"/>
      <c r="AF2196" s="500"/>
      <c r="AG2196" s="500"/>
      <c r="AH2196" s="500"/>
      <c r="AI2196" s="500"/>
      <c r="AJ2196" s="500"/>
      <c r="AK2196" s="500"/>
      <c r="AL2196" s="500"/>
      <c r="AM2196" s="500"/>
      <c r="AN2196" s="500"/>
      <c r="AO2196" s="500"/>
      <c r="AP2196" s="500"/>
    </row>
    <row r="2197" spans="1:42" ht="16.5" customHeight="1">
      <c r="A2197" s="434" t="s">
        <v>3504</v>
      </c>
      <c r="B2197" s="505" t="str">
        <f>"  유기질비료 수목이식·식재용 : "&amp;TEXT(I2197,"#,##0"&amp;IF(I2197&lt;&gt;INT(I2197),".###",""))&amp;" * "&amp;AA2197&amp;" KG   = "&amp;TEXT(C2197,"#,##0.0")&amp;""</f>
        <v xml:space="preserve">  유기질비료 수목이식·식재용 : 500 * 10 KG   = 5,000.0</v>
      </c>
      <c r="C2197" s="506">
        <f>E2197+D2197+F2197</f>
        <v>5000</v>
      </c>
      <c r="D2197" s="506">
        <f>IF(H2197=0,0,ROUNDDOWN(J2197*H2197,1))</f>
        <v>0</v>
      </c>
      <c r="E2197" s="506">
        <f>IF(H2197=0,0,ROUNDDOWN(K2197*H2197,1))</f>
        <v>5000</v>
      </c>
      <c r="F2197" s="506">
        <f>IF(H2197=0,0,ROUNDDOWN(L2197*H2197,1))</f>
        <v>0</v>
      </c>
      <c r="G2197" s="451" t="s">
        <v>3631</v>
      </c>
      <c r="H2197" s="507">
        <f>ROUNDUP(AC2197,14-LEN(ABS(INT(AC2197))))</f>
        <v>10</v>
      </c>
      <c r="I2197" s="508">
        <f>K2197+J2197+L2197</f>
        <v>500</v>
      </c>
      <c r="K2197" s="509">
        <f>재료비목록표!E78</f>
        <v>500</v>
      </c>
      <c r="M2197" s="501" t="s">
        <v>3506</v>
      </c>
      <c r="N2197" s="501" t="s">
        <v>3416</v>
      </c>
      <c r="X2197" s="510" t="str">
        <f>재료비목록표!B78&amp;" / "&amp;재료비목록표!C78</f>
        <v>유기질비료 / 수목이식·식재용</v>
      </c>
      <c r="Y2197" s="433" t="str">
        <f ca="1">HYPERLINK("#"&amp;재료비목록표!G2&amp;"!A"&amp;ROW(재료비목록표!A78),"M01159 →")</f>
        <v>M01159 →</v>
      </c>
      <c r="Z2197" s="501" t="s">
        <v>3500</v>
      </c>
      <c r="AA2197" s="515">
        <v>10</v>
      </c>
      <c r="AB2197" s="501" t="s">
        <v>3418</v>
      </c>
      <c r="AC2197" s="512">
        <f>1*AA2197</f>
        <v>10</v>
      </c>
      <c r="AD2197" s="500"/>
      <c r="AE2197" s="500"/>
      <c r="AF2197" s="500"/>
      <c r="AG2197" s="500"/>
      <c r="AH2197" s="500"/>
      <c r="AI2197" s="500"/>
      <c r="AJ2197" s="500"/>
      <c r="AK2197" s="500"/>
      <c r="AL2197" s="500"/>
      <c r="AM2197" s="500"/>
      <c r="AN2197" s="500"/>
      <c r="AO2197" s="500"/>
      <c r="AP2197" s="500"/>
    </row>
    <row r="2198" spans="1:42" ht="16.5" customHeight="1">
      <c r="A2198" s="439"/>
      <c r="B2198" s="439"/>
      <c r="C2198" s="439"/>
      <c r="D2198" s="439"/>
      <c r="E2198" s="439"/>
      <c r="F2198" s="439"/>
      <c r="G2198" s="451" t="s">
        <v>3406</v>
      </c>
      <c r="Z2198" s="500"/>
      <c r="AA2198" s="500"/>
      <c r="AB2198" s="500"/>
      <c r="AC2198" s="500"/>
      <c r="AD2198" s="500"/>
      <c r="AE2198" s="500"/>
      <c r="AF2198" s="500"/>
      <c r="AG2198" s="500"/>
      <c r="AH2198" s="500"/>
      <c r="AI2198" s="500"/>
      <c r="AJ2198" s="500"/>
      <c r="AK2198" s="500"/>
      <c r="AL2198" s="500"/>
      <c r="AM2198" s="500"/>
      <c r="AN2198" s="500"/>
      <c r="AO2198" s="500"/>
      <c r="AP2198" s="500"/>
    </row>
    <row r="2199" spans="1:42" ht="16.5" customHeight="1">
      <c r="A2199" s="434"/>
      <c r="B2199" s="437" t="s">
        <v>3419</v>
      </c>
      <c r="C2199" s="513">
        <f>E2199+D2199+F2199</f>
        <v>12300</v>
      </c>
      <c r="D2199" s="513">
        <f>SUMIF(N2190:N2198,M2199,D2190:D2198)</f>
        <v>0</v>
      </c>
      <c r="E2199" s="513">
        <f>SUMIF(N2190:N2198,M2199,E2190:E2198)</f>
        <v>12300</v>
      </c>
      <c r="F2199" s="513">
        <f>SUMIF(N2190:N2198,M2199,F2190:F2198)</f>
        <v>0</v>
      </c>
      <c r="G2199" s="451" t="s">
        <v>3439</v>
      </c>
      <c r="M2199" s="501" t="s">
        <v>3416</v>
      </c>
      <c r="N2199" s="501" t="s">
        <v>3421</v>
      </c>
      <c r="Z2199" s="500"/>
      <c r="AA2199" s="500"/>
      <c r="AB2199" s="500"/>
      <c r="AC2199" s="500"/>
      <c r="AD2199" s="500"/>
      <c r="AE2199" s="500"/>
      <c r="AF2199" s="500"/>
      <c r="AG2199" s="500"/>
      <c r="AH2199" s="500"/>
      <c r="AI2199" s="500"/>
      <c r="AJ2199" s="500"/>
      <c r="AK2199" s="500"/>
      <c r="AL2199" s="500"/>
      <c r="AM2199" s="500"/>
      <c r="AN2199" s="500"/>
      <c r="AO2199" s="500"/>
      <c r="AP2199" s="500"/>
    </row>
    <row r="2200" spans="1:42" ht="16.5" customHeight="1">
      <c r="A2200" s="439"/>
      <c r="B2200" s="439"/>
      <c r="C2200" s="504"/>
      <c r="D2200" s="504"/>
      <c r="E2200" s="504"/>
      <c r="F2200" s="504"/>
      <c r="G2200" s="451" t="s">
        <v>3406</v>
      </c>
      <c r="Z2200" s="500"/>
      <c r="AA2200" s="500"/>
      <c r="AB2200" s="500"/>
      <c r="AC2200" s="500"/>
      <c r="AD2200" s="500"/>
      <c r="AE2200" s="500"/>
      <c r="AF2200" s="500"/>
      <c r="AG2200" s="500"/>
      <c r="AH2200" s="500"/>
      <c r="AI2200" s="500"/>
      <c r="AJ2200" s="500"/>
      <c r="AK2200" s="500"/>
      <c r="AL2200" s="500"/>
      <c r="AM2200" s="500"/>
      <c r="AN2200" s="500"/>
      <c r="AO2200" s="500"/>
      <c r="AP2200" s="500"/>
    </row>
    <row r="2201" spans="1:42" ht="16.5" customHeight="1">
      <c r="A2201" s="434"/>
      <c r="B2201" s="437" t="s">
        <v>3440</v>
      </c>
      <c r="C2201" s="513">
        <f>E2201+D2201+F2201</f>
        <v>66406.299999999988</v>
      </c>
      <c r="D2201" s="513">
        <f>SUMIF(N2157:N2200,M2201,D2157:D2200)</f>
        <v>44994.6</v>
      </c>
      <c r="E2201" s="513">
        <f>SUMIF(N2157:N2200,M2201,E2157:E2200)</f>
        <v>16741.3</v>
      </c>
      <c r="F2201" s="513">
        <f>SUMIF(N2157:N2200,M2201,F2157:F2200)</f>
        <v>4670.3999999999996</v>
      </c>
      <c r="G2201" s="451" t="s">
        <v>3441</v>
      </c>
      <c r="M2201" s="501" t="s">
        <v>3421</v>
      </c>
      <c r="N2201" s="501" t="s">
        <v>2354</v>
      </c>
      <c r="Z2201" s="500"/>
      <c r="AA2201" s="500"/>
      <c r="AB2201" s="500"/>
      <c r="AC2201" s="500"/>
      <c r="AD2201" s="500"/>
      <c r="AE2201" s="500"/>
      <c r="AF2201" s="500"/>
      <c r="AG2201" s="500"/>
      <c r="AH2201" s="500"/>
      <c r="AI2201" s="500"/>
      <c r="AJ2201" s="500"/>
      <c r="AK2201" s="500"/>
      <c r="AL2201" s="500"/>
      <c r="AM2201" s="500"/>
      <c r="AN2201" s="500"/>
      <c r="AO2201" s="500"/>
      <c r="AP2201" s="500"/>
    </row>
    <row r="2202" spans="1:42" ht="16.5" customHeight="1">
      <c r="A2202" s="439"/>
      <c r="B2202" s="439"/>
      <c r="C2202" s="504"/>
      <c r="D2202" s="504"/>
      <c r="E2202" s="504"/>
      <c r="F2202" s="504"/>
      <c r="G2202" s="451" t="s">
        <v>3413</v>
      </c>
      <c r="Z2202" s="500"/>
      <c r="AA2202" s="500"/>
      <c r="AB2202" s="500"/>
      <c r="AC2202" s="500"/>
      <c r="AD2202" s="500"/>
      <c r="AE2202" s="500"/>
      <c r="AF2202" s="500"/>
      <c r="AG2202" s="500"/>
      <c r="AH2202" s="500"/>
      <c r="AI2202" s="500"/>
      <c r="AJ2202" s="500"/>
      <c r="AK2202" s="500"/>
      <c r="AL2202" s="500"/>
      <c r="AM2202" s="500"/>
      <c r="AN2202" s="500"/>
      <c r="AO2202" s="500"/>
      <c r="AP2202" s="500"/>
    </row>
    <row r="2203" spans="1:42" ht="16.5" customHeight="1">
      <c r="A2203" s="497"/>
      <c r="B2203" s="497"/>
      <c r="C2203" s="497"/>
      <c r="D2203" s="497"/>
      <c r="E2203" s="497"/>
      <c r="F2203" s="497"/>
      <c r="Z2203" s="500"/>
      <c r="AA2203" s="500"/>
      <c r="AB2203" s="500"/>
      <c r="AC2203" s="500"/>
      <c r="AD2203" s="500"/>
      <c r="AE2203" s="500"/>
      <c r="AF2203" s="500"/>
      <c r="AG2203" s="500"/>
      <c r="AH2203" s="500"/>
      <c r="AI2203" s="500"/>
      <c r="AJ2203" s="500"/>
      <c r="AK2203" s="500"/>
      <c r="AL2203" s="500"/>
      <c r="AM2203" s="500"/>
      <c r="AN2203" s="500"/>
      <c r="AO2203" s="500"/>
      <c r="AP2203" s="500"/>
    </row>
    <row r="2204" spans="1:42" ht="16.5" customHeight="1">
      <c r="A2204" s="616" t="s">
        <v>3487</v>
      </c>
      <c r="B2204" s="605"/>
      <c r="C2204" s="446">
        <f>E2204+D2204+F2204</f>
        <v>66405</v>
      </c>
      <c r="D2204" s="453">
        <f>ROUNDDOWN(SUMIF(N2157:N2202,M2204,D2157:D2202),0)</f>
        <v>44994</v>
      </c>
      <c r="E2204" s="454">
        <f>ROUNDDOWN(SUMIF(N2157:N2202,M2204,E2157:E2202),0)</f>
        <v>16741</v>
      </c>
      <c r="F2204" s="446">
        <f>ROUNDDOWN(SUMIF(N2157:N2202,M2204,F2157:F2202),0)</f>
        <v>4670</v>
      </c>
      <c r="M2204" s="501" t="s">
        <v>2354</v>
      </c>
      <c r="Z2204" s="500"/>
      <c r="AA2204" s="500"/>
      <c r="AB2204" s="500"/>
      <c r="AC2204" s="500"/>
      <c r="AD2204" s="500"/>
      <c r="AE2204" s="500"/>
      <c r="AF2204" s="500"/>
      <c r="AG2204" s="500"/>
      <c r="AH2204" s="500"/>
      <c r="AI2204" s="500"/>
      <c r="AJ2204" s="500"/>
      <c r="AK2204" s="500"/>
      <c r="AL2204" s="500"/>
      <c r="AM2204" s="500"/>
      <c r="AN2204" s="500"/>
      <c r="AO2204" s="500"/>
      <c r="AP2204" s="500"/>
    </row>
    <row r="2205" spans="1:42" ht="16.5" customHeight="1">
      <c r="A2205" s="502" t="s">
        <v>3351</v>
      </c>
      <c r="B2205" s="503" t="s">
        <v>1861</v>
      </c>
      <c r="C2205" s="615">
        <f>C2304</f>
        <v>109559</v>
      </c>
      <c r="D2205" s="615">
        <f>D2304</f>
        <v>67492</v>
      </c>
      <c r="E2205" s="615">
        <f>E2304</f>
        <v>35062</v>
      </c>
      <c r="F2205" s="615">
        <f>F2304</f>
        <v>7005</v>
      </c>
      <c r="G2205" s="486" t="str">
        <f>HYPERLINK("#G"&amp;ROW(G2253),"_x0005_`BDCOD|D01319_x0007_`POSS|"&amp;ROW(G2207)&amp;"_x0007_`POSE|"&amp;ROW(G2253)&amp;"_x0007_`")</f>
        <v>_x0005_`BDCOD|D01319_x0007_`POSS|2207_x0007_`POSE|2253_x0007_`</v>
      </c>
      <c r="Z2205" s="500"/>
      <c r="AA2205" s="500"/>
      <c r="AB2205" s="500"/>
      <c r="AC2205" s="500"/>
      <c r="AD2205" s="500"/>
      <c r="AE2205" s="500"/>
      <c r="AF2205" s="500"/>
      <c r="AG2205" s="500"/>
      <c r="AH2205" s="500"/>
      <c r="AI2205" s="500"/>
      <c r="AJ2205" s="500"/>
      <c r="AK2205" s="500"/>
      <c r="AL2205" s="500"/>
      <c r="AM2205" s="500"/>
      <c r="AN2205" s="500"/>
      <c r="AO2205" s="500"/>
      <c r="AP2205" s="500"/>
    </row>
    <row r="2206" spans="1:42" ht="16.5" customHeight="1">
      <c r="A2206" s="485"/>
      <c r="B2206" s="503" t="s">
        <v>3647</v>
      </c>
      <c r="C2206" s="593"/>
      <c r="D2206" s="593"/>
      <c r="E2206" s="593"/>
      <c r="F2206" s="593"/>
      <c r="M2206" s="501" t="s">
        <v>1861</v>
      </c>
      <c r="Z2206" s="500"/>
      <c r="AA2206" s="500"/>
      <c r="AB2206" s="500"/>
      <c r="AC2206" s="500"/>
      <c r="AD2206" s="500"/>
      <c r="AE2206" s="500"/>
      <c r="AF2206" s="500"/>
      <c r="AG2206" s="500"/>
      <c r="AH2206" s="500"/>
      <c r="AI2206" s="500"/>
      <c r="AJ2206" s="500"/>
      <c r="AK2206" s="500"/>
      <c r="AL2206" s="500"/>
      <c r="AM2206" s="500"/>
      <c r="AN2206" s="500"/>
      <c r="AO2206" s="500"/>
      <c r="AP2206" s="500"/>
    </row>
    <row r="2207" spans="1:42" ht="16.5" customHeight="1">
      <c r="A2207" s="439"/>
      <c r="B2207" s="439"/>
      <c r="C2207" s="504"/>
      <c r="D2207" s="504"/>
      <c r="E2207" s="504"/>
      <c r="F2207" s="504"/>
      <c r="G2207" s="451" t="s">
        <v>3406</v>
      </c>
      <c r="Z2207" s="500"/>
      <c r="AA2207" s="500"/>
      <c r="AB2207" s="500"/>
      <c r="AC2207" s="500"/>
      <c r="AD2207" s="500"/>
      <c r="AE2207" s="500"/>
      <c r="AF2207" s="500"/>
      <c r="AG2207" s="500"/>
      <c r="AH2207" s="500"/>
      <c r="AI2207" s="500"/>
      <c r="AJ2207" s="500"/>
      <c r="AK2207" s="500"/>
      <c r="AL2207" s="500"/>
      <c r="AM2207" s="500"/>
      <c r="AN2207" s="500"/>
      <c r="AO2207" s="500"/>
      <c r="AP2207" s="500"/>
    </row>
    <row r="2208" spans="1:42" ht="16.5" customHeight="1">
      <c r="A2208" s="434"/>
      <c r="B2208" s="437" t="s">
        <v>3640</v>
      </c>
      <c r="C2208" s="439"/>
      <c r="D2208" s="439"/>
      <c r="E2208" s="439"/>
      <c r="F2208" s="439"/>
      <c r="G2208" s="451" t="s">
        <v>3641</v>
      </c>
      <c r="Z2208" s="500"/>
      <c r="AA2208" s="500"/>
      <c r="AB2208" s="500"/>
      <c r="AC2208" s="500"/>
      <c r="AD2208" s="500"/>
      <c r="AE2208" s="500"/>
      <c r="AF2208" s="500"/>
      <c r="AG2208" s="500"/>
      <c r="AH2208" s="500"/>
      <c r="AI2208" s="500"/>
      <c r="AJ2208" s="500"/>
      <c r="AK2208" s="500"/>
      <c r="AL2208" s="500"/>
      <c r="AM2208" s="500"/>
      <c r="AN2208" s="500"/>
      <c r="AO2208" s="500"/>
      <c r="AP2208" s="500"/>
    </row>
    <row r="2209" spans="1:42" ht="16.5" customHeight="1">
      <c r="A2209" s="439"/>
      <c r="B2209" s="439"/>
      <c r="C2209" s="439"/>
      <c r="D2209" s="439"/>
      <c r="E2209" s="439"/>
      <c r="F2209" s="439"/>
      <c r="G2209" s="451" t="s">
        <v>3406</v>
      </c>
      <c r="Z2209" s="500"/>
      <c r="AA2209" s="500"/>
      <c r="AB2209" s="500"/>
      <c r="AC2209" s="500"/>
      <c r="AD2209" s="500"/>
      <c r="AE2209" s="500"/>
      <c r="AF2209" s="500"/>
      <c r="AG2209" s="500"/>
      <c r="AH2209" s="500"/>
      <c r="AI2209" s="500"/>
      <c r="AJ2209" s="500"/>
      <c r="AK2209" s="500"/>
      <c r="AL2209" s="500"/>
      <c r="AM2209" s="500"/>
      <c r="AN2209" s="500"/>
      <c r="AO2209" s="500"/>
      <c r="AP2209" s="500"/>
    </row>
    <row r="2210" spans="1:42" ht="16.5" customHeight="1">
      <c r="A2210" s="434"/>
      <c r="B2210" s="437" t="s">
        <v>3642</v>
      </c>
      <c r="C2210" s="439"/>
      <c r="D2210" s="439"/>
      <c r="E2210" s="439"/>
      <c r="F2210" s="439"/>
      <c r="G2210" s="451" t="s">
        <v>3643</v>
      </c>
      <c r="Z2210" s="500"/>
      <c r="AA2210" s="500"/>
      <c r="AB2210" s="500"/>
      <c r="AC2210" s="500"/>
      <c r="AD2210" s="500"/>
      <c r="AE2210" s="500"/>
      <c r="AF2210" s="500"/>
      <c r="AG2210" s="500"/>
      <c r="AH2210" s="500"/>
      <c r="AI2210" s="500"/>
      <c r="AJ2210" s="500"/>
      <c r="AK2210" s="500"/>
      <c r="AL2210" s="500"/>
      <c r="AM2210" s="500"/>
      <c r="AN2210" s="500"/>
      <c r="AO2210" s="500"/>
      <c r="AP2210" s="500"/>
    </row>
    <row r="2211" spans="1:42" ht="16.5" customHeight="1">
      <c r="A2211" s="439"/>
      <c r="B2211" s="439"/>
      <c r="C2211" s="439"/>
      <c r="D2211" s="439"/>
      <c r="E2211" s="439"/>
      <c r="F2211" s="439"/>
      <c r="G2211" s="451" t="s">
        <v>3406</v>
      </c>
      <c r="Z2211" s="500"/>
      <c r="AA2211" s="500"/>
      <c r="AB2211" s="500"/>
      <c r="AC2211" s="500"/>
      <c r="AD2211" s="500"/>
      <c r="AE2211" s="500"/>
      <c r="AF2211" s="500"/>
      <c r="AG2211" s="500"/>
      <c r="AH2211" s="500"/>
      <c r="AI2211" s="500"/>
      <c r="AJ2211" s="500"/>
      <c r="AK2211" s="500"/>
      <c r="AL2211" s="500"/>
      <c r="AM2211" s="500"/>
      <c r="AN2211" s="500"/>
      <c r="AO2211" s="500"/>
      <c r="AP2211" s="500"/>
    </row>
    <row r="2212" spans="1:42" ht="16.5" customHeight="1">
      <c r="A2212" s="434"/>
      <c r="B2212" s="437" t="str">
        <f>" 일당 작업량 :   Q = "&amp;Z2212&amp;"  주 "</f>
        <v xml:space="preserve"> 일당 작업량 :   Q = 20  주 </v>
      </c>
      <c r="C2212" s="439"/>
      <c r="D2212" s="439"/>
      <c r="E2212" s="439"/>
      <c r="F2212" s="439"/>
      <c r="G2212" s="451" t="s">
        <v>3648</v>
      </c>
      <c r="Z2212" s="515">
        <v>20</v>
      </c>
      <c r="AA2212" s="501" t="s">
        <v>3418</v>
      </c>
      <c r="AB2212" s="512">
        <f>Z2212</f>
        <v>20</v>
      </c>
      <c r="AC2212" s="500"/>
      <c r="AD2212" s="500"/>
      <c r="AE2212" s="500"/>
      <c r="AF2212" s="500"/>
      <c r="AG2212" s="500"/>
      <c r="AH2212" s="500"/>
      <c r="AI2212" s="500"/>
      <c r="AJ2212" s="500"/>
      <c r="AK2212" s="500"/>
      <c r="AL2212" s="500"/>
      <c r="AM2212" s="500"/>
      <c r="AN2212" s="500"/>
      <c r="AO2212" s="500"/>
      <c r="AP2212" s="500"/>
    </row>
    <row r="2213" spans="1:42" ht="16.5" customHeight="1">
      <c r="A2213" s="439"/>
      <c r="B2213" s="439"/>
      <c r="C2213" s="439"/>
      <c r="D2213" s="439"/>
      <c r="E2213" s="439"/>
      <c r="F2213" s="439"/>
      <c r="G2213" s="451" t="s">
        <v>3406</v>
      </c>
      <c r="Z2213" s="500"/>
      <c r="AA2213" s="500"/>
      <c r="AB2213" s="500"/>
      <c r="AC2213" s="500"/>
      <c r="AD2213" s="500"/>
      <c r="AE2213" s="500"/>
      <c r="AF2213" s="500"/>
      <c r="AG2213" s="500"/>
      <c r="AH2213" s="500"/>
      <c r="AI2213" s="500"/>
      <c r="AJ2213" s="500"/>
      <c r="AK2213" s="500"/>
      <c r="AL2213" s="500"/>
      <c r="AM2213" s="500"/>
      <c r="AN2213" s="500"/>
      <c r="AO2213" s="500"/>
      <c r="AP2213" s="500"/>
    </row>
    <row r="2214" spans="1:42" ht="16.5" customHeight="1">
      <c r="A2214" s="434"/>
      <c r="B2214" s="437" t="s">
        <v>3547</v>
      </c>
      <c r="C2214" s="439"/>
      <c r="D2214" s="439"/>
      <c r="E2214" s="439"/>
      <c r="F2214" s="439"/>
      <c r="G2214" s="451" t="s">
        <v>3548</v>
      </c>
      <c r="Z2214" s="500"/>
      <c r="AA2214" s="500"/>
      <c r="AB2214" s="500"/>
      <c r="AC2214" s="500"/>
      <c r="AD2214" s="500"/>
      <c r="AE2214" s="500"/>
      <c r="AF2214" s="500"/>
      <c r="AG2214" s="500"/>
      <c r="AH2214" s="500"/>
      <c r="AI2214" s="500"/>
      <c r="AJ2214" s="500"/>
      <c r="AK2214" s="500"/>
      <c r="AL2214" s="500"/>
      <c r="AM2214" s="500"/>
      <c r="AN2214" s="500"/>
      <c r="AO2214" s="500"/>
      <c r="AP2214" s="500"/>
    </row>
    <row r="2215" spans="1:42" ht="16.5" customHeight="1">
      <c r="A2215" s="439"/>
      <c r="B2215" s="439"/>
      <c r="C2215" s="439"/>
      <c r="D2215" s="439"/>
      <c r="E2215" s="439"/>
      <c r="F2215" s="439"/>
      <c r="G2215" s="451" t="s">
        <v>3406</v>
      </c>
      <c r="Z2215" s="500"/>
      <c r="AA2215" s="500"/>
      <c r="AB2215" s="500"/>
      <c r="AC2215" s="500"/>
      <c r="AD2215" s="500"/>
      <c r="AE2215" s="500"/>
      <c r="AF2215" s="500"/>
      <c r="AG2215" s="500"/>
      <c r="AH2215" s="500"/>
      <c r="AI2215" s="500"/>
      <c r="AJ2215" s="500"/>
      <c r="AK2215" s="500"/>
      <c r="AL2215" s="500"/>
      <c r="AM2215" s="500"/>
      <c r="AN2215" s="500"/>
      <c r="AO2215" s="500"/>
      <c r="AP2215" s="500"/>
    </row>
    <row r="2216" spans="1:42" ht="16.5" customHeight="1">
      <c r="A2216" s="439"/>
      <c r="B2216" s="439"/>
      <c r="C2216" s="439"/>
      <c r="D2216" s="439"/>
      <c r="E2216" s="439"/>
      <c r="F2216" s="439"/>
      <c r="G2216" s="451" t="s">
        <v>3406</v>
      </c>
      <c r="Z2216" s="500"/>
      <c r="AA2216" s="500"/>
      <c r="AB2216" s="500"/>
      <c r="AC2216" s="500"/>
      <c r="AD2216" s="500"/>
      <c r="AE2216" s="500"/>
      <c r="AF2216" s="500"/>
      <c r="AG2216" s="500"/>
      <c r="AH2216" s="500"/>
      <c r="AI2216" s="500"/>
      <c r="AJ2216" s="500"/>
      <c r="AK2216" s="500"/>
      <c r="AL2216" s="500"/>
      <c r="AM2216" s="500"/>
      <c r="AN2216" s="500"/>
      <c r="AO2216" s="500"/>
      <c r="AP2216" s="500"/>
    </row>
    <row r="2217" spans="1:42" ht="16.5" customHeight="1">
      <c r="A2217" s="439"/>
      <c r="B2217" s="439"/>
      <c r="C2217" s="439"/>
      <c r="D2217" s="439"/>
      <c r="E2217" s="439"/>
      <c r="F2217" s="439"/>
      <c r="G2217" s="451" t="s">
        <v>3406</v>
      </c>
      <c r="Z2217" s="500"/>
      <c r="AA2217" s="500"/>
      <c r="AB2217" s="500"/>
      <c r="AC2217" s="500"/>
      <c r="AD2217" s="500"/>
      <c r="AE2217" s="500"/>
      <c r="AF2217" s="500"/>
      <c r="AG2217" s="500"/>
      <c r="AH2217" s="500"/>
      <c r="AI2217" s="500"/>
      <c r="AJ2217" s="500"/>
      <c r="AK2217" s="500"/>
      <c r="AL2217" s="500"/>
      <c r="AM2217" s="500"/>
      <c r="AN2217" s="500"/>
      <c r="AO2217" s="500"/>
      <c r="AP2217" s="500"/>
    </row>
    <row r="2218" spans="1:42" ht="16.5" customHeight="1">
      <c r="A2218" s="439"/>
      <c r="B2218" s="439"/>
      <c r="C2218" s="439"/>
      <c r="D2218" s="439"/>
      <c r="E2218" s="439"/>
      <c r="F2218" s="439"/>
      <c r="G2218" s="451" t="s">
        <v>3406</v>
      </c>
      <c r="Z2218" s="500"/>
      <c r="AA2218" s="500"/>
      <c r="AB2218" s="500"/>
      <c r="AC2218" s="500"/>
      <c r="AD2218" s="500"/>
      <c r="AE2218" s="500"/>
      <c r="AF2218" s="500"/>
      <c r="AG2218" s="500"/>
      <c r="AH2218" s="500"/>
      <c r="AI2218" s="500"/>
      <c r="AJ2218" s="500"/>
      <c r="AK2218" s="500"/>
      <c r="AL2218" s="500"/>
      <c r="AM2218" s="500"/>
      <c r="AN2218" s="500"/>
      <c r="AO2218" s="500"/>
      <c r="AP2218" s="500"/>
    </row>
    <row r="2219" spans="1:42" ht="16.5" customHeight="1">
      <c r="A2219" s="434"/>
      <c r="B2219" s="437" t="s">
        <v>3549</v>
      </c>
      <c r="C2219" s="439"/>
      <c r="D2219" s="439"/>
      <c r="E2219" s="439"/>
      <c r="F2219" s="439"/>
      <c r="G2219" s="451" t="s">
        <v>3550</v>
      </c>
      <c r="Z2219" s="500"/>
      <c r="AA2219" s="500"/>
      <c r="AB2219" s="500"/>
      <c r="AC2219" s="500"/>
      <c r="AD2219" s="500"/>
      <c r="AE2219" s="500"/>
      <c r="AF2219" s="500"/>
      <c r="AG2219" s="500"/>
      <c r="AH2219" s="500"/>
      <c r="AI2219" s="500"/>
      <c r="AJ2219" s="500"/>
      <c r="AK2219" s="500"/>
      <c r="AL2219" s="500"/>
      <c r="AM2219" s="500"/>
      <c r="AN2219" s="500"/>
      <c r="AO2219" s="500"/>
      <c r="AP2219" s="500"/>
    </row>
    <row r="2220" spans="1:42" ht="16.5" customHeight="1">
      <c r="A2220" s="439"/>
      <c r="B2220" s="439"/>
      <c r="C2220" s="439"/>
      <c r="D2220" s="439"/>
      <c r="E2220" s="439"/>
      <c r="F2220" s="439"/>
      <c r="G2220" s="451" t="s">
        <v>3406</v>
      </c>
      <c r="Z2220" s="500"/>
      <c r="AA2220" s="500"/>
      <c r="AB2220" s="500"/>
      <c r="AC2220" s="500"/>
      <c r="AD2220" s="500"/>
      <c r="AE2220" s="500"/>
      <c r="AF2220" s="500"/>
      <c r="AG2220" s="500"/>
      <c r="AH2220" s="500"/>
      <c r="AI2220" s="500"/>
      <c r="AJ2220" s="500"/>
      <c r="AK2220" s="500"/>
      <c r="AL2220" s="500"/>
      <c r="AM2220" s="500"/>
      <c r="AN2220" s="500"/>
      <c r="AO2220" s="500"/>
      <c r="AP2220" s="500"/>
    </row>
    <row r="2221" spans="1:42" ht="16.5" customHeight="1">
      <c r="A2221" s="434" t="s">
        <v>3498</v>
      </c>
      <c r="B2221" s="505" t="str">
        <f>" 조경공 :  "&amp;TEXT(I2221,"#,##0"&amp;IF(I2221&lt;&gt;INT(I2221),".###",""))&amp;" * "&amp;AA2221&amp;" 인  / Q = "&amp;TEXT(C2221,"#,##0.0")&amp;""</f>
        <v xml:space="preserve"> 조경공 :  235,204 * 3 인  / Q = 35,280.6</v>
      </c>
      <c r="C2221" s="506">
        <f>E2221+D2221+F2221</f>
        <v>35280.6</v>
      </c>
      <c r="D2221" s="506">
        <f>IF(H2221=0,0,ROUNDDOWN(J2221*H2221,1))</f>
        <v>35280.6</v>
      </c>
      <c r="E2221" s="506">
        <f>IF(H2221=0,0,ROUNDDOWN(K2221*H2221,1))</f>
        <v>0</v>
      </c>
      <c r="F2221" s="506">
        <f>IF(H2221=0,0,ROUNDDOWN(L2221*H2221,1))</f>
        <v>0</v>
      </c>
      <c r="G2221" s="451" t="s">
        <v>3551</v>
      </c>
      <c r="H2221" s="507">
        <f>ROUNDUP(AE2221,14-LEN(ABS(INT(AE2221))))</f>
        <v>0.15</v>
      </c>
      <c r="I2221" s="508">
        <f>K2221+J2221+L2221</f>
        <v>235204</v>
      </c>
      <c r="J2221" s="509">
        <f>노무비목록표!E15</f>
        <v>235204</v>
      </c>
      <c r="M2221" s="501" t="s">
        <v>2359</v>
      </c>
      <c r="N2221" s="501" t="s">
        <v>3416</v>
      </c>
      <c r="X2221" s="510" t="str">
        <f>노무비목록표!B15&amp;" / "&amp;노무비목록표!C15</f>
        <v xml:space="preserve">조경공 / </v>
      </c>
      <c r="Y2221" s="433" t="str">
        <f ca="1">HYPERLINK("#"&amp;노무비목록표!G2&amp;"!A"&amp;ROW(노무비목록표!A15),"L00184 →")</f>
        <v>L00184 →</v>
      </c>
      <c r="Z2221" s="501" t="s">
        <v>3500</v>
      </c>
      <c r="AA2221" s="515">
        <v>3</v>
      </c>
      <c r="AB2221" s="501" t="s">
        <v>3428</v>
      </c>
      <c r="AC2221" s="512">
        <f>AB2212</f>
        <v>20</v>
      </c>
      <c r="AD2221" s="501" t="s">
        <v>3418</v>
      </c>
      <c r="AE2221" s="512">
        <f>1*AA2221/AB2212</f>
        <v>0.15</v>
      </c>
      <c r="AF2221" s="500"/>
      <c r="AG2221" s="500"/>
      <c r="AH2221" s="500"/>
      <c r="AI2221" s="500"/>
      <c r="AJ2221" s="500"/>
      <c r="AK2221" s="500"/>
      <c r="AL2221" s="500"/>
      <c r="AM2221" s="500"/>
      <c r="AN2221" s="500"/>
      <c r="AO2221" s="500"/>
      <c r="AP2221" s="500"/>
    </row>
    <row r="2222" spans="1:42" ht="16.5" customHeight="1">
      <c r="A2222" s="439"/>
      <c r="B2222" s="439"/>
      <c r="C2222" s="439"/>
      <c r="D2222" s="439"/>
      <c r="E2222" s="439"/>
      <c r="F2222" s="439"/>
      <c r="G2222" s="451" t="s">
        <v>3406</v>
      </c>
      <c r="Z2222" s="500"/>
      <c r="AA2222" s="500"/>
      <c r="AB2222" s="500"/>
      <c r="AC2222" s="500"/>
      <c r="AD2222" s="500"/>
      <c r="AE2222" s="500"/>
      <c r="AF2222" s="500"/>
      <c r="AG2222" s="500"/>
      <c r="AH2222" s="500"/>
      <c r="AI2222" s="500"/>
      <c r="AJ2222" s="500"/>
      <c r="AK2222" s="500"/>
      <c r="AL2222" s="500"/>
      <c r="AM2222" s="500"/>
      <c r="AN2222" s="500"/>
      <c r="AO2222" s="500"/>
      <c r="AP2222" s="500"/>
    </row>
    <row r="2223" spans="1:42" ht="16.5" customHeight="1">
      <c r="A2223" s="439"/>
      <c r="B2223" s="439"/>
      <c r="C2223" s="439"/>
      <c r="D2223" s="439"/>
      <c r="E2223" s="439"/>
      <c r="F2223" s="439"/>
      <c r="G2223" s="451" t="s">
        <v>3406</v>
      </c>
      <c r="Z2223" s="500"/>
      <c r="AA2223" s="500"/>
      <c r="AB2223" s="500"/>
      <c r="AC2223" s="500"/>
      <c r="AD2223" s="500"/>
      <c r="AE2223" s="500"/>
      <c r="AF2223" s="500"/>
      <c r="AG2223" s="500"/>
      <c r="AH2223" s="500"/>
      <c r="AI2223" s="500"/>
      <c r="AJ2223" s="500"/>
      <c r="AK2223" s="500"/>
      <c r="AL2223" s="500"/>
      <c r="AM2223" s="500"/>
      <c r="AN2223" s="500"/>
      <c r="AO2223" s="500"/>
      <c r="AP2223" s="500"/>
    </row>
    <row r="2224" spans="1:42" ht="16.5" customHeight="1">
      <c r="A2224" s="434" t="s">
        <v>3414</v>
      </c>
      <c r="B2224" s="505" t="str">
        <f>" 보통인부 : "&amp;TEXT(I2224,"#,##0"&amp;IF(I2224&lt;&gt;INT(I2224),".###",""))&amp;" * "&amp;AA2224&amp;" 인  / Q = "&amp;TEXT(C2224,"#,##0.0")&amp;""</f>
        <v xml:space="preserve"> 보통인부 : 172,068 * 1 인  / Q = 8,603.4</v>
      </c>
      <c r="C2224" s="506">
        <f>E2224+D2224+F2224</f>
        <v>8603.4</v>
      </c>
      <c r="D2224" s="506">
        <f>IF(H2224=0,0,ROUNDDOWN(J2224*H2224,1))</f>
        <v>8603.4</v>
      </c>
      <c r="E2224" s="506">
        <f>IF(H2224=0,0,ROUNDDOWN(K2224*H2224,1))</f>
        <v>0</v>
      </c>
      <c r="F2224" s="506">
        <f>IF(H2224=0,0,ROUNDDOWN(L2224*H2224,1))</f>
        <v>0</v>
      </c>
      <c r="G2224" s="451" t="s">
        <v>3552</v>
      </c>
      <c r="H2224" s="507">
        <f>ROUNDUP(AE2224,14-LEN(ABS(INT(AE2224))))</f>
        <v>0.05</v>
      </c>
      <c r="I2224" s="508">
        <f>K2224+J2224+L2224</f>
        <v>172068</v>
      </c>
      <c r="J2224" s="509">
        <f>노무비목록표!E10</f>
        <v>172068</v>
      </c>
      <c r="M2224" s="501" t="s">
        <v>2363</v>
      </c>
      <c r="N2224" s="501" t="s">
        <v>3416</v>
      </c>
      <c r="X2224" s="510" t="str">
        <f>노무비목록표!B10&amp;" / "&amp;노무비목록표!C10</f>
        <v xml:space="preserve">보통인부 / </v>
      </c>
      <c r="Y2224" s="433" t="str">
        <f ca="1">HYPERLINK("#"&amp;노무비목록표!G2&amp;"!A"&amp;ROW(노무비목록표!A10),"L00017 →")</f>
        <v>L00017 →</v>
      </c>
      <c r="Z2224" s="501" t="s">
        <v>3500</v>
      </c>
      <c r="AA2224" s="515">
        <v>1</v>
      </c>
      <c r="AB2224" s="501" t="s">
        <v>3428</v>
      </c>
      <c r="AC2224" s="512">
        <f>AB2212</f>
        <v>20</v>
      </c>
      <c r="AD2224" s="501" t="s">
        <v>3418</v>
      </c>
      <c r="AE2224" s="512">
        <f>1*AA2224/AB2212</f>
        <v>0.05</v>
      </c>
      <c r="AF2224" s="500"/>
      <c r="AG2224" s="500"/>
      <c r="AH2224" s="500"/>
      <c r="AI2224" s="500"/>
      <c r="AJ2224" s="500"/>
      <c r="AK2224" s="500"/>
      <c r="AL2224" s="500"/>
      <c r="AM2224" s="500"/>
      <c r="AN2224" s="500"/>
      <c r="AO2224" s="500"/>
      <c r="AP2224" s="500"/>
    </row>
    <row r="2225" spans="1:42" ht="16.5" customHeight="1">
      <c r="A2225" s="439"/>
      <c r="B2225" s="439"/>
      <c r="C2225" s="439"/>
      <c r="D2225" s="439"/>
      <c r="E2225" s="439"/>
      <c r="F2225" s="439"/>
      <c r="G2225" s="451" t="s">
        <v>3406</v>
      </c>
      <c r="Z2225" s="500"/>
      <c r="AA2225" s="500"/>
      <c r="AB2225" s="500"/>
      <c r="AC2225" s="500"/>
      <c r="AD2225" s="500"/>
      <c r="AE2225" s="500"/>
      <c r="AF2225" s="500"/>
      <c r="AG2225" s="500"/>
      <c r="AH2225" s="500"/>
      <c r="AI2225" s="500"/>
      <c r="AJ2225" s="500"/>
      <c r="AK2225" s="500"/>
      <c r="AL2225" s="500"/>
      <c r="AM2225" s="500"/>
      <c r="AN2225" s="500"/>
      <c r="AO2225" s="500"/>
      <c r="AP2225" s="500"/>
    </row>
    <row r="2226" spans="1:42" ht="16.5" customHeight="1">
      <c r="A2226" s="434"/>
      <c r="B2226" s="437" t="s">
        <v>3419</v>
      </c>
      <c r="C2226" s="513">
        <f>E2226+D2226+F2226</f>
        <v>43884</v>
      </c>
      <c r="D2226" s="513">
        <f>SUMIF(N2207:N2225,M2226,D2207:D2225)</f>
        <v>43884</v>
      </c>
      <c r="E2226" s="513">
        <f>SUMIF(N2207:N2225,M2226,E2207:E2225)</f>
        <v>0</v>
      </c>
      <c r="F2226" s="513">
        <f>SUMIF(N2207:N2225,M2226,F2207:F2225)</f>
        <v>0</v>
      </c>
      <c r="G2226" s="451" t="s">
        <v>3439</v>
      </c>
      <c r="M2226" s="501" t="s">
        <v>3416</v>
      </c>
      <c r="N2226" s="501" t="s">
        <v>3421</v>
      </c>
      <c r="Z2226" s="500"/>
      <c r="AA2226" s="500"/>
      <c r="AB2226" s="500"/>
      <c r="AC2226" s="500"/>
      <c r="AD2226" s="500"/>
      <c r="AE2226" s="500"/>
      <c r="AF2226" s="500"/>
      <c r="AG2226" s="500"/>
      <c r="AH2226" s="500"/>
      <c r="AI2226" s="500"/>
      <c r="AJ2226" s="500"/>
      <c r="AK2226" s="500"/>
      <c r="AL2226" s="500"/>
      <c r="AM2226" s="500"/>
      <c r="AN2226" s="500"/>
      <c r="AO2226" s="500"/>
      <c r="AP2226" s="500"/>
    </row>
    <row r="2227" spans="1:42" ht="16.5" customHeight="1">
      <c r="A2227" s="439"/>
      <c r="B2227" s="439"/>
      <c r="C2227" s="504"/>
      <c r="D2227" s="504"/>
      <c r="E2227" s="504"/>
      <c r="F2227" s="504"/>
      <c r="G2227" s="451" t="s">
        <v>3406</v>
      </c>
      <c r="Z2227" s="500"/>
      <c r="AA2227" s="500"/>
      <c r="AB2227" s="500"/>
      <c r="AC2227" s="500"/>
      <c r="AD2227" s="500"/>
      <c r="AE2227" s="500"/>
      <c r="AF2227" s="500"/>
      <c r="AG2227" s="500"/>
      <c r="AH2227" s="500"/>
      <c r="AI2227" s="500"/>
      <c r="AJ2227" s="500"/>
      <c r="AK2227" s="500"/>
      <c r="AL2227" s="500"/>
      <c r="AM2227" s="500"/>
      <c r="AN2227" s="500"/>
      <c r="AO2227" s="500"/>
      <c r="AP2227" s="500"/>
    </row>
    <row r="2228" spans="1:42" ht="16.5" customHeight="1">
      <c r="A2228" s="439"/>
      <c r="B2228" s="439"/>
      <c r="C2228" s="439"/>
      <c r="D2228" s="439"/>
      <c r="E2228" s="439"/>
      <c r="F2228" s="439"/>
      <c r="G2228" s="451" t="s">
        <v>3406</v>
      </c>
      <c r="Z2228" s="500"/>
      <c r="AA2228" s="500"/>
      <c r="AB2228" s="500"/>
      <c r="AC2228" s="500"/>
      <c r="AD2228" s="500"/>
      <c r="AE2228" s="500"/>
      <c r="AF2228" s="500"/>
      <c r="AG2228" s="500"/>
      <c r="AH2228" s="500"/>
      <c r="AI2228" s="500"/>
      <c r="AJ2228" s="500"/>
      <c r="AK2228" s="500"/>
      <c r="AL2228" s="500"/>
      <c r="AM2228" s="500"/>
      <c r="AN2228" s="500"/>
      <c r="AO2228" s="500"/>
      <c r="AP2228" s="500"/>
    </row>
    <row r="2229" spans="1:42" ht="16.5" customHeight="1">
      <c r="A2229" s="434"/>
      <c r="B2229" s="437" t="s">
        <v>3553</v>
      </c>
      <c r="C2229" s="439"/>
      <c r="D2229" s="439"/>
      <c r="E2229" s="439"/>
      <c r="F2229" s="439"/>
      <c r="G2229" s="451" t="s">
        <v>3554</v>
      </c>
      <c r="Z2229" s="500"/>
      <c r="AA2229" s="500"/>
      <c r="AB2229" s="500"/>
      <c r="AC2229" s="500"/>
      <c r="AD2229" s="500"/>
      <c r="AE2229" s="500"/>
      <c r="AF2229" s="500"/>
      <c r="AG2229" s="500"/>
      <c r="AH2229" s="500"/>
      <c r="AI2229" s="500"/>
      <c r="AJ2229" s="500"/>
      <c r="AK2229" s="500"/>
      <c r="AL2229" s="500"/>
      <c r="AM2229" s="500"/>
      <c r="AN2229" s="500"/>
      <c r="AO2229" s="500"/>
      <c r="AP2229" s="500"/>
    </row>
    <row r="2230" spans="1:42" ht="16.5" customHeight="1">
      <c r="A2230" s="439"/>
      <c r="B2230" s="439"/>
      <c r="C2230" s="439"/>
      <c r="D2230" s="439"/>
      <c r="E2230" s="439"/>
      <c r="F2230" s="439"/>
      <c r="G2230" s="451" t="s">
        <v>3406</v>
      </c>
      <c r="Z2230" s="500"/>
      <c r="AA2230" s="500"/>
      <c r="AB2230" s="500"/>
      <c r="AC2230" s="500"/>
      <c r="AD2230" s="500"/>
      <c r="AE2230" s="500"/>
      <c r="AF2230" s="500"/>
      <c r="AG2230" s="500"/>
      <c r="AH2230" s="500"/>
      <c r="AI2230" s="500"/>
      <c r="AJ2230" s="500"/>
      <c r="AK2230" s="500"/>
      <c r="AL2230" s="500"/>
      <c r="AM2230" s="500"/>
      <c r="AN2230" s="500"/>
      <c r="AO2230" s="500"/>
      <c r="AP2230" s="500"/>
    </row>
    <row r="2231" spans="1:42" ht="16.5" customHeight="1">
      <c r="A2231" s="434" t="s">
        <v>3555</v>
      </c>
      <c r="B2231" s="505" t="str">
        <f>"  노 무 비 :  "&amp;TEXT(I2231,"#,##0"&amp;IF(I2231&lt;&gt;INT(I2231),".###",""))&amp;" / Q * "&amp;AC2231&amp;" = "&amp;TEXT(C2231,"#,##0.0")&amp;""</f>
        <v xml:space="preserve">  노 무 비 :  59,020 / Q * 8 = 23,608.0</v>
      </c>
      <c r="C2231" s="506">
        <f>E2231+D2231+F2231</f>
        <v>23608</v>
      </c>
      <c r="D2231" s="506">
        <f>IF(H2231=0,0,ROUNDDOWN(J2231*H2231,1))</f>
        <v>23608</v>
      </c>
      <c r="E2231" s="506">
        <f>IF(H2231=0,0,ROUNDDOWN(K2231*H2231,1))</f>
        <v>0</v>
      </c>
      <c r="F2231" s="506">
        <f>IF(H2231=0,0,ROUNDDOWN(L2231*H2231,1))</f>
        <v>0</v>
      </c>
      <c r="G2231" s="451" t="s">
        <v>3556</v>
      </c>
      <c r="H2231" s="507">
        <f>ROUNDUP(AE2231,14-LEN(ABS(INT(AE2231))))</f>
        <v>0.4</v>
      </c>
      <c r="I2231" s="508">
        <f>K2231+J2231+L2231</f>
        <v>59020</v>
      </c>
      <c r="J2231" s="509">
        <f>중기목록표!F7</f>
        <v>59020</v>
      </c>
      <c r="M2231" s="501" t="s">
        <v>3557</v>
      </c>
      <c r="N2231" s="501" t="s">
        <v>3416</v>
      </c>
      <c r="X2231" s="510" t="str">
        <f>중기목록표!B7&amp;" / "&amp;중기목록표!C7</f>
        <v>굴착기(무한궤도) / 0.4㎥</v>
      </c>
      <c r="Y2231" s="433" t="str">
        <f ca="1">HYPERLINK("#"&amp;중기목록표!J2&amp;"!A"&amp;ROW(중기목록표!A7),"X00266 →")</f>
        <v>X00266 →</v>
      </c>
      <c r="Z2231" s="501" t="s">
        <v>3434</v>
      </c>
      <c r="AA2231" s="512">
        <f>AB2212</f>
        <v>20</v>
      </c>
      <c r="AB2231" s="501" t="s">
        <v>3368</v>
      </c>
      <c r="AC2231" s="515">
        <v>8</v>
      </c>
      <c r="AD2231" s="501" t="s">
        <v>3418</v>
      </c>
      <c r="AE2231" s="512">
        <f>1/AB2212*AC2231</f>
        <v>0.4</v>
      </c>
      <c r="AF2231" s="500"/>
      <c r="AG2231" s="500"/>
      <c r="AH2231" s="500"/>
      <c r="AI2231" s="500"/>
      <c r="AJ2231" s="500"/>
      <c r="AK2231" s="500"/>
      <c r="AL2231" s="500"/>
      <c r="AM2231" s="500"/>
      <c r="AN2231" s="500"/>
      <c r="AO2231" s="500"/>
      <c r="AP2231" s="500"/>
    </row>
    <row r="2232" spans="1:42" ht="16.5" customHeight="1">
      <c r="A2232" s="439"/>
      <c r="B2232" s="439"/>
      <c r="C2232" s="439"/>
      <c r="D2232" s="439"/>
      <c r="E2232" s="439"/>
      <c r="F2232" s="439"/>
      <c r="G2232" s="451" t="s">
        <v>3406</v>
      </c>
      <c r="Z2232" s="500"/>
      <c r="AA2232" s="500"/>
      <c r="AB2232" s="500"/>
      <c r="AC2232" s="500"/>
      <c r="AD2232" s="500"/>
      <c r="AE2232" s="500"/>
      <c r="AF2232" s="500"/>
      <c r="AG2232" s="500"/>
      <c r="AH2232" s="500"/>
      <c r="AI2232" s="500"/>
      <c r="AJ2232" s="500"/>
      <c r="AK2232" s="500"/>
      <c r="AL2232" s="500"/>
      <c r="AM2232" s="500"/>
      <c r="AN2232" s="500"/>
      <c r="AO2232" s="500"/>
      <c r="AP2232" s="500"/>
    </row>
    <row r="2233" spans="1:42" ht="16.5" customHeight="1">
      <c r="A2233" s="434" t="s">
        <v>3558</v>
      </c>
      <c r="B2233" s="505" t="str">
        <f>"  재 료 비 :  "&amp;TEXT(I2233,"#,##0"&amp;IF(I2233&lt;&gt;INT(I2233),".###",""))&amp;" / Q * "&amp;AC2233&amp;" = "&amp;TEXT(C2233,"#,##0.0")&amp;""</f>
        <v xml:space="preserve">  재 료 비 :  16,655 / Q * 8 = 6,662.0</v>
      </c>
      <c r="C2233" s="506">
        <f>E2233+D2233+F2233</f>
        <v>6662</v>
      </c>
      <c r="D2233" s="506">
        <f>IF(H2233=0,0,ROUNDDOWN(J2233*H2233,1))</f>
        <v>0</v>
      </c>
      <c r="E2233" s="506">
        <f>IF(H2233=0,0,ROUNDDOWN(K2233*H2233,1))</f>
        <v>6662</v>
      </c>
      <c r="F2233" s="506">
        <f>IF(H2233=0,0,ROUNDDOWN(L2233*H2233,1))</f>
        <v>0</v>
      </c>
      <c r="G2233" s="451" t="s">
        <v>3559</v>
      </c>
      <c r="H2233" s="507">
        <f>ROUNDUP(AE2233,14-LEN(ABS(INT(AE2233))))</f>
        <v>0.4</v>
      </c>
      <c r="I2233" s="508">
        <f>K2233+J2233+L2233</f>
        <v>16655</v>
      </c>
      <c r="K2233" s="509">
        <f>중기목록표!G7</f>
        <v>16655</v>
      </c>
      <c r="M2233" s="501" t="s">
        <v>3557</v>
      </c>
      <c r="N2233" s="501" t="s">
        <v>3416</v>
      </c>
      <c r="X2233" s="510" t="str">
        <f>중기목록표!B7&amp;" / "&amp;중기목록표!C7</f>
        <v>굴착기(무한궤도) / 0.4㎥</v>
      </c>
      <c r="Y2233" s="433" t="str">
        <f ca="1">HYPERLINK("#"&amp;중기목록표!J2&amp;"!A"&amp;ROW(중기목록표!A7),"X00266 →")</f>
        <v>X00266 →</v>
      </c>
      <c r="Z2233" s="501" t="s">
        <v>3434</v>
      </c>
      <c r="AA2233" s="512">
        <f>AB2212</f>
        <v>20</v>
      </c>
      <c r="AB2233" s="501" t="s">
        <v>3368</v>
      </c>
      <c r="AC2233" s="515">
        <v>8</v>
      </c>
      <c r="AD2233" s="501" t="s">
        <v>3418</v>
      </c>
      <c r="AE2233" s="512">
        <f>1/AB2212*AC2233</f>
        <v>0.4</v>
      </c>
      <c r="AF2233" s="500"/>
      <c r="AG2233" s="500"/>
      <c r="AH2233" s="500"/>
      <c r="AI2233" s="500"/>
      <c r="AJ2233" s="500"/>
      <c r="AK2233" s="500"/>
      <c r="AL2233" s="500"/>
      <c r="AM2233" s="500"/>
      <c r="AN2233" s="500"/>
      <c r="AO2233" s="500"/>
      <c r="AP2233" s="500"/>
    </row>
    <row r="2234" spans="1:42" ht="16.5" customHeight="1">
      <c r="A2234" s="439"/>
      <c r="B2234" s="439"/>
      <c r="C2234" s="439"/>
      <c r="D2234" s="439"/>
      <c r="E2234" s="439"/>
      <c r="F2234" s="439"/>
      <c r="G2234" s="451" t="s">
        <v>3406</v>
      </c>
      <c r="Z2234" s="500"/>
      <c r="AA2234" s="500"/>
      <c r="AB2234" s="500"/>
      <c r="AC2234" s="500"/>
      <c r="AD2234" s="500"/>
      <c r="AE2234" s="500"/>
      <c r="AF2234" s="500"/>
      <c r="AG2234" s="500"/>
      <c r="AH2234" s="500"/>
      <c r="AI2234" s="500"/>
      <c r="AJ2234" s="500"/>
      <c r="AK2234" s="500"/>
      <c r="AL2234" s="500"/>
      <c r="AM2234" s="500"/>
      <c r="AN2234" s="500"/>
      <c r="AO2234" s="500"/>
      <c r="AP2234" s="500"/>
    </row>
    <row r="2235" spans="1:42" ht="16.5" customHeight="1">
      <c r="A2235" s="434" t="s">
        <v>3560</v>
      </c>
      <c r="B2235" s="505" t="str">
        <f>"  경    비 :  "&amp;TEXT(I2235,"#,##0"&amp;IF(I2235&lt;&gt;INT(I2235),".###",""))&amp;" / Q * "&amp;AC2235&amp;" = "&amp;TEXT(C2235,"#,##0.0")&amp;""</f>
        <v xml:space="preserve">  경    비 :  17,514 / Q * 8 = 7,005.6</v>
      </c>
      <c r="C2235" s="506">
        <f>E2235+D2235+F2235</f>
        <v>7005.6</v>
      </c>
      <c r="D2235" s="506">
        <f>IF(H2235=0,0,ROUNDDOWN(J2235*H2235,1))</f>
        <v>0</v>
      </c>
      <c r="E2235" s="506">
        <f>IF(H2235=0,0,ROUNDDOWN(K2235*H2235,1))</f>
        <v>0</v>
      </c>
      <c r="F2235" s="506">
        <f>IF(H2235=0,0,ROUNDDOWN(L2235*H2235,1))</f>
        <v>7005.6</v>
      </c>
      <c r="G2235" s="451" t="s">
        <v>3561</v>
      </c>
      <c r="H2235" s="507">
        <f>ROUNDUP(AE2235,14-LEN(ABS(INT(AE2235))))</f>
        <v>0.4</v>
      </c>
      <c r="I2235" s="508">
        <f>K2235+J2235+L2235</f>
        <v>17514</v>
      </c>
      <c r="L2235" s="509">
        <f>중기목록표!H7</f>
        <v>17514</v>
      </c>
      <c r="M2235" s="501" t="s">
        <v>3557</v>
      </c>
      <c r="N2235" s="501" t="s">
        <v>3416</v>
      </c>
      <c r="X2235" s="510" t="str">
        <f>중기목록표!B7&amp;" / "&amp;중기목록표!C7</f>
        <v>굴착기(무한궤도) / 0.4㎥</v>
      </c>
      <c r="Y2235" s="433" t="str">
        <f ca="1">HYPERLINK("#"&amp;중기목록표!J2&amp;"!A"&amp;ROW(중기목록표!A7),"X00266 →")</f>
        <v>X00266 →</v>
      </c>
      <c r="Z2235" s="501" t="s">
        <v>3434</v>
      </c>
      <c r="AA2235" s="512">
        <f>AB2212</f>
        <v>20</v>
      </c>
      <c r="AB2235" s="501" t="s">
        <v>3368</v>
      </c>
      <c r="AC2235" s="515">
        <v>8</v>
      </c>
      <c r="AD2235" s="501" t="s">
        <v>3418</v>
      </c>
      <c r="AE2235" s="512">
        <f>1/AB2212*AC2235</f>
        <v>0.4</v>
      </c>
      <c r="AF2235" s="500"/>
      <c r="AG2235" s="500"/>
      <c r="AH2235" s="500"/>
      <c r="AI2235" s="500"/>
      <c r="AJ2235" s="500"/>
      <c r="AK2235" s="500"/>
      <c r="AL2235" s="500"/>
      <c r="AM2235" s="500"/>
      <c r="AN2235" s="500"/>
      <c r="AO2235" s="500"/>
      <c r="AP2235" s="500"/>
    </row>
    <row r="2236" spans="1:42" ht="16.5" customHeight="1">
      <c r="A2236" s="439"/>
      <c r="B2236" s="439"/>
      <c r="C2236" s="439"/>
      <c r="D2236" s="439"/>
      <c r="E2236" s="439"/>
      <c r="F2236" s="439"/>
      <c r="G2236" s="451" t="s">
        <v>3406</v>
      </c>
      <c r="Z2236" s="500"/>
      <c r="AA2236" s="500"/>
      <c r="AB2236" s="500"/>
      <c r="AC2236" s="500"/>
      <c r="AD2236" s="500"/>
      <c r="AE2236" s="500"/>
      <c r="AF2236" s="500"/>
      <c r="AG2236" s="500"/>
      <c r="AH2236" s="500"/>
      <c r="AI2236" s="500"/>
      <c r="AJ2236" s="500"/>
      <c r="AK2236" s="500"/>
      <c r="AL2236" s="500"/>
      <c r="AM2236" s="500"/>
      <c r="AN2236" s="500"/>
      <c r="AO2236" s="500"/>
      <c r="AP2236" s="500"/>
    </row>
    <row r="2237" spans="1:42" ht="16.5" customHeight="1">
      <c r="A2237" s="439"/>
      <c r="B2237" s="439"/>
      <c r="C2237" s="439"/>
      <c r="D2237" s="439"/>
      <c r="E2237" s="439"/>
      <c r="F2237" s="439"/>
      <c r="G2237" s="451" t="s">
        <v>3406</v>
      </c>
      <c r="Z2237" s="500"/>
      <c r="AA2237" s="500"/>
      <c r="AB2237" s="500"/>
      <c r="AC2237" s="500"/>
      <c r="AD2237" s="500"/>
      <c r="AE2237" s="500"/>
      <c r="AF2237" s="500"/>
      <c r="AG2237" s="500"/>
      <c r="AH2237" s="500"/>
      <c r="AI2237" s="500"/>
      <c r="AJ2237" s="500"/>
      <c r="AK2237" s="500"/>
      <c r="AL2237" s="500"/>
      <c r="AM2237" s="500"/>
      <c r="AN2237" s="500"/>
      <c r="AO2237" s="500"/>
      <c r="AP2237" s="500"/>
    </row>
    <row r="2238" spans="1:42" ht="16.5" customHeight="1">
      <c r="A2238" s="439"/>
      <c r="B2238" s="439"/>
      <c r="C2238" s="439"/>
      <c r="D2238" s="439"/>
      <c r="E2238" s="439"/>
      <c r="F2238" s="439"/>
      <c r="G2238" s="451" t="s">
        <v>3406</v>
      </c>
      <c r="Z2238" s="500"/>
      <c r="AA2238" s="500"/>
      <c r="AB2238" s="500"/>
      <c r="AC2238" s="500"/>
      <c r="AD2238" s="500"/>
      <c r="AE2238" s="500"/>
      <c r="AF2238" s="500"/>
      <c r="AG2238" s="500"/>
      <c r="AH2238" s="500"/>
      <c r="AI2238" s="500"/>
      <c r="AJ2238" s="500"/>
      <c r="AK2238" s="500"/>
      <c r="AL2238" s="500"/>
      <c r="AM2238" s="500"/>
      <c r="AN2238" s="500"/>
      <c r="AO2238" s="500"/>
      <c r="AP2238" s="500"/>
    </row>
    <row r="2239" spans="1:42" ht="16.5" customHeight="1">
      <c r="A2239" s="434"/>
      <c r="B2239" s="437" t="s">
        <v>3419</v>
      </c>
      <c r="C2239" s="513">
        <f>E2239+D2239+F2239</f>
        <v>37275.599999999999</v>
      </c>
      <c r="D2239" s="513">
        <f>SUMIF(N2227:N2238,M2239,D2227:D2238)</f>
        <v>23608</v>
      </c>
      <c r="E2239" s="513">
        <f>SUMIF(N2227:N2238,M2239,E2227:E2238)</f>
        <v>6662</v>
      </c>
      <c r="F2239" s="513">
        <f>SUMIF(N2227:N2238,M2239,F2227:F2238)</f>
        <v>7005.6</v>
      </c>
      <c r="G2239" s="451" t="s">
        <v>3439</v>
      </c>
      <c r="M2239" s="501" t="s">
        <v>3416</v>
      </c>
      <c r="N2239" s="501" t="s">
        <v>3421</v>
      </c>
      <c r="Z2239" s="500"/>
      <c r="AA2239" s="500"/>
      <c r="AB2239" s="500"/>
      <c r="AC2239" s="500"/>
      <c r="AD2239" s="500"/>
      <c r="AE2239" s="500"/>
      <c r="AF2239" s="500"/>
      <c r="AG2239" s="500"/>
      <c r="AH2239" s="500"/>
      <c r="AI2239" s="500"/>
      <c r="AJ2239" s="500"/>
      <c r="AK2239" s="500"/>
      <c r="AL2239" s="500"/>
      <c r="AM2239" s="500"/>
      <c r="AN2239" s="500"/>
      <c r="AO2239" s="500"/>
      <c r="AP2239" s="500"/>
    </row>
    <row r="2240" spans="1:42" ht="16.5" customHeight="1">
      <c r="A2240" s="439"/>
      <c r="B2240" s="439"/>
      <c r="C2240" s="504"/>
      <c r="D2240" s="504"/>
      <c r="E2240" s="504"/>
      <c r="F2240" s="504"/>
      <c r="G2240" s="451" t="s">
        <v>3406</v>
      </c>
      <c r="Z2240" s="500"/>
      <c r="AA2240" s="500"/>
      <c r="AB2240" s="500"/>
      <c r="AC2240" s="500"/>
      <c r="AD2240" s="500"/>
      <c r="AE2240" s="500"/>
      <c r="AF2240" s="500"/>
      <c r="AG2240" s="500"/>
      <c r="AH2240" s="500"/>
      <c r="AI2240" s="500"/>
      <c r="AJ2240" s="500"/>
      <c r="AK2240" s="500"/>
      <c r="AL2240" s="500"/>
      <c r="AM2240" s="500"/>
      <c r="AN2240" s="500"/>
      <c r="AO2240" s="500"/>
      <c r="AP2240" s="500"/>
    </row>
    <row r="2241" spans="1:42" ht="16.5" customHeight="1">
      <c r="A2241" s="439"/>
      <c r="B2241" s="439"/>
      <c r="C2241" s="439"/>
      <c r="D2241" s="439"/>
      <c r="E2241" s="439"/>
      <c r="F2241" s="439"/>
      <c r="G2241" s="451" t="s">
        <v>3406</v>
      </c>
      <c r="Z2241" s="500"/>
      <c r="AA2241" s="500"/>
      <c r="AB2241" s="500"/>
      <c r="AC2241" s="500"/>
      <c r="AD2241" s="500"/>
      <c r="AE2241" s="500"/>
      <c r="AF2241" s="500"/>
      <c r="AG2241" s="500"/>
      <c r="AH2241" s="500"/>
      <c r="AI2241" s="500"/>
      <c r="AJ2241" s="500"/>
      <c r="AK2241" s="500"/>
      <c r="AL2241" s="500"/>
      <c r="AM2241" s="500"/>
      <c r="AN2241" s="500"/>
      <c r="AO2241" s="500"/>
      <c r="AP2241" s="500"/>
    </row>
    <row r="2242" spans="1:42" ht="16.5" customHeight="1">
      <c r="A2242" s="434"/>
      <c r="B2242" s="437" t="s">
        <v>3562</v>
      </c>
      <c r="C2242" s="439"/>
      <c r="D2242" s="439"/>
      <c r="E2242" s="439"/>
      <c r="F2242" s="439"/>
      <c r="G2242" s="451" t="s">
        <v>3563</v>
      </c>
      <c r="Z2242" s="500"/>
      <c r="AA2242" s="500"/>
      <c r="AB2242" s="500"/>
      <c r="AC2242" s="500"/>
      <c r="AD2242" s="500"/>
      <c r="AE2242" s="500"/>
      <c r="AF2242" s="500"/>
      <c r="AG2242" s="500"/>
      <c r="AH2242" s="500"/>
      <c r="AI2242" s="500"/>
      <c r="AJ2242" s="500"/>
      <c r="AK2242" s="500"/>
      <c r="AL2242" s="500"/>
      <c r="AM2242" s="500"/>
      <c r="AN2242" s="500"/>
      <c r="AO2242" s="500"/>
      <c r="AP2242" s="500"/>
    </row>
    <row r="2243" spans="1:42" ht="16.5" customHeight="1">
      <c r="A2243" s="439"/>
      <c r="B2243" s="439"/>
      <c r="C2243" s="439"/>
      <c r="D2243" s="439"/>
      <c r="E2243" s="439"/>
      <c r="F2243" s="439"/>
      <c r="G2243" s="451" t="s">
        <v>3406</v>
      </c>
      <c r="Z2243" s="500"/>
      <c r="AA2243" s="500"/>
      <c r="AB2243" s="500"/>
      <c r="AC2243" s="500"/>
      <c r="AD2243" s="500"/>
      <c r="AE2243" s="500"/>
      <c r="AF2243" s="500"/>
      <c r="AG2243" s="500"/>
      <c r="AH2243" s="500"/>
      <c r="AI2243" s="500"/>
      <c r="AJ2243" s="500"/>
      <c r="AK2243" s="500"/>
      <c r="AL2243" s="500"/>
      <c r="AM2243" s="500"/>
      <c r="AN2243" s="500"/>
      <c r="AO2243" s="500"/>
      <c r="AP2243" s="500"/>
    </row>
    <row r="2244" spans="1:42" ht="16.5" customHeight="1">
      <c r="A2244" s="434" t="s">
        <v>3564</v>
      </c>
      <c r="B2244" s="505" t="str">
        <f>"  지주목 삼발이, L1800 : "&amp;TEXT(I2244,"#,##0"&amp;IF(I2244&lt;&gt;INT(I2244),".###",""))&amp;" * "&amp;AA2244&amp;" 조  = "&amp;TEXT(C2244,"#,##0.0")&amp;""</f>
        <v xml:space="preserve">  지주목 삼발이, L1800 : 13,400 * 1 조  = 13,400.0</v>
      </c>
      <c r="C2244" s="506">
        <f>E2244+D2244+F2244</f>
        <v>13400</v>
      </c>
      <c r="D2244" s="506">
        <f>IF(H2244=0,0,ROUNDDOWN(J2244*H2244,1))</f>
        <v>0</v>
      </c>
      <c r="E2244" s="506">
        <f>IF(H2244=0,0,ROUNDDOWN(K2244*H2244,1))</f>
        <v>13400</v>
      </c>
      <c r="F2244" s="506">
        <f>IF(H2244=0,0,ROUNDDOWN(L2244*H2244,1))</f>
        <v>0</v>
      </c>
      <c r="G2244" s="451" t="s">
        <v>3649</v>
      </c>
      <c r="H2244" s="507">
        <f>ROUNDUP(AC2244,14-LEN(ABS(INT(AC2244))))</f>
        <v>1</v>
      </c>
      <c r="I2244" s="508">
        <f>K2244+J2244+L2244</f>
        <v>13400</v>
      </c>
      <c r="K2244" s="509">
        <f>재료비목록표!E92</f>
        <v>13400</v>
      </c>
      <c r="M2244" s="501" t="s">
        <v>3566</v>
      </c>
      <c r="N2244" s="501" t="s">
        <v>3416</v>
      </c>
      <c r="X2244" s="510" t="str">
        <f>재료비목록표!B92&amp;" / "&amp;재료비목록표!C92</f>
        <v>지주목 / 삼발이, L1800</v>
      </c>
      <c r="Y2244" s="433" t="str">
        <f ca="1">HYPERLINK("#"&amp;재료비목록표!G2&amp;"!A"&amp;ROW(재료비목록표!A92),"M08850 →")</f>
        <v>M08850 →</v>
      </c>
      <c r="Z2244" s="501" t="s">
        <v>3500</v>
      </c>
      <c r="AA2244" s="515">
        <v>1</v>
      </c>
      <c r="AB2244" s="501" t="s">
        <v>3418</v>
      </c>
      <c r="AC2244" s="512">
        <f>1*AA2244</f>
        <v>1</v>
      </c>
      <c r="AD2244" s="500"/>
      <c r="AE2244" s="500"/>
      <c r="AF2244" s="500"/>
      <c r="AG2244" s="500"/>
      <c r="AH2244" s="500"/>
      <c r="AI2244" s="500"/>
      <c r="AJ2244" s="500"/>
      <c r="AK2244" s="500"/>
      <c r="AL2244" s="500"/>
      <c r="AM2244" s="500"/>
      <c r="AN2244" s="500"/>
      <c r="AO2244" s="500"/>
      <c r="AP2244" s="500"/>
    </row>
    <row r="2245" spans="1:42" ht="16.5" customHeight="1">
      <c r="A2245" s="439"/>
      <c r="B2245" s="439"/>
      <c r="C2245" s="439"/>
      <c r="D2245" s="439"/>
      <c r="E2245" s="439"/>
      <c r="F2245" s="439"/>
      <c r="G2245" s="451" t="s">
        <v>3406</v>
      </c>
      <c r="Z2245" s="500"/>
      <c r="AA2245" s="500"/>
      <c r="AB2245" s="500"/>
      <c r="AC2245" s="500"/>
      <c r="AD2245" s="500"/>
      <c r="AE2245" s="500"/>
      <c r="AF2245" s="500"/>
      <c r="AG2245" s="500"/>
      <c r="AH2245" s="500"/>
      <c r="AI2245" s="500"/>
      <c r="AJ2245" s="500"/>
      <c r="AK2245" s="500"/>
      <c r="AL2245" s="500"/>
      <c r="AM2245" s="500"/>
      <c r="AN2245" s="500"/>
      <c r="AO2245" s="500"/>
      <c r="AP2245" s="500"/>
    </row>
    <row r="2246" spans="1:42" ht="16.5" customHeight="1">
      <c r="A2246" s="439"/>
      <c r="B2246" s="439"/>
      <c r="C2246" s="439"/>
      <c r="D2246" s="439"/>
      <c r="E2246" s="439"/>
      <c r="F2246" s="439"/>
      <c r="G2246" s="451" t="s">
        <v>3406</v>
      </c>
      <c r="Z2246" s="500"/>
      <c r="AA2246" s="500"/>
      <c r="AB2246" s="500"/>
      <c r="AC2246" s="500"/>
      <c r="AD2246" s="500"/>
      <c r="AE2246" s="500"/>
      <c r="AF2246" s="500"/>
      <c r="AG2246" s="500"/>
      <c r="AH2246" s="500"/>
      <c r="AI2246" s="500"/>
      <c r="AJ2246" s="500"/>
      <c r="AK2246" s="500"/>
      <c r="AL2246" s="500"/>
      <c r="AM2246" s="500"/>
      <c r="AN2246" s="500"/>
      <c r="AO2246" s="500"/>
      <c r="AP2246" s="500"/>
    </row>
    <row r="2247" spans="1:42" ht="16.5" customHeight="1">
      <c r="A2247" s="439"/>
      <c r="B2247" s="439"/>
      <c r="C2247" s="439"/>
      <c r="D2247" s="439"/>
      <c r="E2247" s="439"/>
      <c r="F2247" s="439"/>
      <c r="G2247" s="451" t="s">
        <v>3406</v>
      </c>
      <c r="Z2247" s="500"/>
      <c r="AA2247" s="500"/>
      <c r="AB2247" s="500"/>
      <c r="AC2247" s="500"/>
      <c r="AD2247" s="500"/>
      <c r="AE2247" s="500"/>
      <c r="AF2247" s="500"/>
      <c r="AG2247" s="500"/>
      <c r="AH2247" s="500"/>
      <c r="AI2247" s="500"/>
      <c r="AJ2247" s="500"/>
      <c r="AK2247" s="500"/>
      <c r="AL2247" s="500"/>
      <c r="AM2247" s="500"/>
      <c r="AN2247" s="500"/>
      <c r="AO2247" s="500"/>
      <c r="AP2247" s="500"/>
    </row>
    <row r="2248" spans="1:42" ht="16.5" customHeight="1">
      <c r="A2248" s="434" t="s">
        <v>3504</v>
      </c>
      <c r="B2248" s="505" t="str">
        <f>"  유기질비료 수목이식·식재용 : "&amp;TEXT(I2248,"#,##0"&amp;IF(I2248&lt;&gt;INT(I2248),".###",""))&amp;" * "&amp;AA2248&amp;" KG   = "&amp;TEXT(C2248,"#,##0.0")&amp;""</f>
        <v xml:space="preserve">  유기질비료 수목이식·식재용 : 500 * 30 KG   = 15,000.0</v>
      </c>
      <c r="C2248" s="506">
        <f>E2248+D2248+F2248</f>
        <v>15000</v>
      </c>
      <c r="D2248" s="506">
        <f>IF(H2248=0,0,ROUNDDOWN(J2248*H2248,1))</f>
        <v>0</v>
      </c>
      <c r="E2248" s="506">
        <f>IF(H2248=0,0,ROUNDDOWN(K2248*H2248,1))</f>
        <v>15000</v>
      </c>
      <c r="F2248" s="506">
        <f>IF(H2248=0,0,ROUNDDOWN(L2248*H2248,1))</f>
        <v>0</v>
      </c>
      <c r="G2248" s="451" t="s">
        <v>3591</v>
      </c>
      <c r="H2248" s="507">
        <f>ROUNDUP(AC2248,14-LEN(ABS(INT(AC2248))))</f>
        <v>30</v>
      </c>
      <c r="I2248" s="508">
        <f>K2248+J2248+L2248</f>
        <v>500</v>
      </c>
      <c r="K2248" s="509">
        <f>재료비목록표!E78</f>
        <v>500</v>
      </c>
      <c r="M2248" s="501" t="s">
        <v>3506</v>
      </c>
      <c r="N2248" s="501" t="s">
        <v>3416</v>
      </c>
      <c r="X2248" s="510" t="str">
        <f>재료비목록표!B78&amp;" / "&amp;재료비목록표!C78</f>
        <v>유기질비료 / 수목이식·식재용</v>
      </c>
      <c r="Y2248" s="433" t="str">
        <f ca="1">HYPERLINK("#"&amp;재료비목록표!G2&amp;"!A"&amp;ROW(재료비목록표!A78),"M01159 →")</f>
        <v>M01159 →</v>
      </c>
      <c r="Z2248" s="501" t="s">
        <v>3500</v>
      </c>
      <c r="AA2248" s="515">
        <v>30</v>
      </c>
      <c r="AB2248" s="501" t="s">
        <v>3418</v>
      </c>
      <c r="AC2248" s="512">
        <f>1*AA2248</f>
        <v>30</v>
      </c>
      <c r="AD2248" s="500"/>
      <c r="AE2248" s="500"/>
      <c r="AF2248" s="500"/>
      <c r="AG2248" s="500"/>
      <c r="AH2248" s="500"/>
      <c r="AI2248" s="500"/>
      <c r="AJ2248" s="500"/>
      <c r="AK2248" s="500"/>
      <c r="AL2248" s="500"/>
      <c r="AM2248" s="500"/>
      <c r="AN2248" s="500"/>
      <c r="AO2248" s="500"/>
      <c r="AP2248" s="500"/>
    </row>
    <row r="2249" spans="1:42" ht="16.5" customHeight="1">
      <c r="A2249" s="439"/>
      <c r="B2249" s="439"/>
      <c r="C2249" s="439"/>
      <c r="D2249" s="439"/>
      <c r="E2249" s="439"/>
      <c r="F2249" s="439"/>
      <c r="G2249" s="451" t="s">
        <v>3406</v>
      </c>
      <c r="Z2249" s="500"/>
      <c r="AA2249" s="500"/>
      <c r="AB2249" s="500"/>
      <c r="AC2249" s="500"/>
      <c r="AD2249" s="500"/>
      <c r="AE2249" s="500"/>
      <c r="AF2249" s="500"/>
      <c r="AG2249" s="500"/>
      <c r="AH2249" s="500"/>
      <c r="AI2249" s="500"/>
      <c r="AJ2249" s="500"/>
      <c r="AK2249" s="500"/>
      <c r="AL2249" s="500"/>
      <c r="AM2249" s="500"/>
      <c r="AN2249" s="500"/>
      <c r="AO2249" s="500"/>
      <c r="AP2249" s="500"/>
    </row>
    <row r="2250" spans="1:42" ht="16.5" customHeight="1">
      <c r="A2250" s="434"/>
      <c r="B2250" s="437" t="s">
        <v>3419</v>
      </c>
      <c r="C2250" s="513">
        <f>E2250+D2250+F2250</f>
        <v>28400</v>
      </c>
      <c r="D2250" s="513">
        <f>SUMIF(N2240:N2249,M2250,D2240:D2249)</f>
        <v>0</v>
      </c>
      <c r="E2250" s="513">
        <f>SUMIF(N2240:N2249,M2250,E2240:E2249)</f>
        <v>28400</v>
      </c>
      <c r="F2250" s="513">
        <f>SUMIF(N2240:N2249,M2250,F2240:F2249)</f>
        <v>0</v>
      </c>
      <c r="G2250" s="451" t="s">
        <v>3439</v>
      </c>
      <c r="M2250" s="501" t="s">
        <v>3416</v>
      </c>
      <c r="N2250" s="501" t="s">
        <v>3421</v>
      </c>
      <c r="Z2250" s="500"/>
      <c r="AA2250" s="500"/>
      <c r="AB2250" s="500"/>
      <c r="AC2250" s="500"/>
      <c r="AD2250" s="500"/>
      <c r="AE2250" s="500"/>
      <c r="AF2250" s="500"/>
      <c r="AG2250" s="500"/>
      <c r="AH2250" s="500"/>
      <c r="AI2250" s="500"/>
      <c r="AJ2250" s="500"/>
      <c r="AK2250" s="500"/>
      <c r="AL2250" s="500"/>
      <c r="AM2250" s="500"/>
      <c r="AN2250" s="500"/>
      <c r="AO2250" s="500"/>
      <c r="AP2250" s="500"/>
    </row>
    <row r="2251" spans="1:42" ht="16.5" customHeight="1">
      <c r="A2251" s="439"/>
      <c r="B2251" s="439"/>
      <c r="C2251" s="504"/>
      <c r="D2251" s="504"/>
      <c r="E2251" s="504"/>
      <c r="F2251" s="504"/>
      <c r="G2251" s="451" t="s">
        <v>3406</v>
      </c>
      <c r="Z2251" s="500"/>
      <c r="AA2251" s="500"/>
      <c r="AB2251" s="500"/>
      <c r="AC2251" s="500"/>
      <c r="AD2251" s="500"/>
      <c r="AE2251" s="500"/>
      <c r="AF2251" s="500"/>
      <c r="AG2251" s="500"/>
      <c r="AH2251" s="500"/>
      <c r="AI2251" s="500"/>
      <c r="AJ2251" s="500"/>
      <c r="AK2251" s="500"/>
      <c r="AL2251" s="500"/>
      <c r="AM2251" s="500"/>
      <c r="AN2251" s="500"/>
      <c r="AO2251" s="500"/>
      <c r="AP2251" s="500"/>
    </row>
    <row r="2252" spans="1:42" ht="16.5" customHeight="1">
      <c r="A2252" s="434"/>
      <c r="B2252" s="437" t="s">
        <v>3440</v>
      </c>
      <c r="C2252" s="513">
        <f>E2252+D2252+F2252</f>
        <v>109559.6</v>
      </c>
      <c r="D2252" s="513">
        <f>SUMIF(N2207:N2251,M2252,D2207:D2251)</f>
        <v>67492</v>
      </c>
      <c r="E2252" s="513">
        <f>SUMIF(N2207:N2251,M2252,E2207:E2251)</f>
        <v>35062</v>
      </c>
      <c r="F2252" s="513">
        <f>SUMIF(N2207:N2251,M2252,F2207:F2251)</f>
        <v>7005.6</v>
      </c>
      <c r="G2252" s="451" t="s">
        <v>3441</v>
      </c>
      <c r="M2252" s="501" t="s">
        <v>3421</v>
      </c>
      <c r="N2252" s="501" t="s">
        <v>2354</v>
      </c>
      <c r="Z2252" s="500"/>
      <c r="AA2252" s="500"/>
      <c r="AB2252" s="500"/>
      <c r="AC2252" s="500"/>
      <c r="AD2252" s="500"/>
      <c r="AE2252" s="500"/>
      <c r="AF2252" s="500"/>
      <c r="AG2252" s="500"/>
      <c r="AH2252" s="500"/>
      <c r="AI2252" s="500"/>
      <c r="AJ2252" s="500"/>
      <c r="AK2252" s="500"/>
      <c r="AL2252" s="500"/>
      <c r="AM2252" s="500"/>
      <c r="AN2252" s="500"/>
      <c r="AO2252" s="500"/>
      <c r="AP2252" s="500"/>
    </row>
    <row r="2253" spans="1:42" ht="16.5" customHeight="1">
      <c r="A2253" s="439"/>
      <c r="B2253" s="439"/>
      <c r="C2253" s="504"/>
      <c r="D2253" s="504"/>
      <c r="E2253" s="504"/>
      <c r="F2253" s="504"/>
      <c r="G2253" s="451" t="s">
        <v>3413</v>
      </c>
      <c r="Z2253" s="500"/>
      <c r="AA2253" s="500"/>
      <c r="AB2253" s="500"/>
      <c r="AC2253" s="500"/>
      <c r="AD2253" s="500"/>
      <c r="AE2253" s="500"/>
      <c r="AF2253" s="500"/>
      <c r="AG2253" s="500"/>
      <c r="AH2253" s="500"/>
      <c r="AI2253" s="500"/>
      <c r="AJ2253" s="500"/>
      <c r="AK2253" s="500"/>
      <c r="AL2253" s="500"/>
      <c r="AM2253" s="500"/>
      <c r="AN2253" s="500"/>
      <c r="AO2253" s="500"/>
      <c r="AP2253" s="500"/>
    </row>
    <row r="2254" spans="1:42" ht="16.5" customHeight="1">
      <c r="A2254" s="439"/>
      <c r="B2254" s="439"/>
      <c r="C2254" s="439"/>
      <c r="D2254" s="439"/>
      <c r="E2254" s="439"/>
      <c r="F2254" s="439"/>
      <c r="Z2254" s="500"/>
      <c r="AA2254" s="500"/>
      <c r="AB2254" s="500"/>
      <c r="AC2254" s="500"/>
      <c r="AD2254" s="500"/>
      <c r="AE2254" s="500"/>
      <c r="AF2254" s="500"/>
      <c r="AG2254" s="500"/>
      <c r="AH2254" s="500"/>
      <c r="AI2254" s="500"/>
      <c r="AJ2254" s="500"/>
      <c r="AK2254" s="500"/>
      <c r="AL2254" s="500"/>
      <c r="AM2254" s="500"/>
      <c r="AN2254" s="500"/>
      <c r="AO2254" s="500"/>
      <c r="AP2254" s="500"/>
    </row>
    <row r="2255" spans="1:42" ht="16.5" customHeight="1">
      <c r="A2255" s="439"/>
      <c r="B2255" s="439"/>
      <c r="C2255" s="439"/>
      <c r="D2255" s="439"/>
      <c r="E2255" s="439"/>
      <c r="F2255" s="439"/>
      <c r="Z2255" s="500"/>
      <c r="AA2255" s="500"/>
      <c r="AB2255" s="500"/>
      <c r="AC2255" s="500"/>
      <c r="AD2255" s="500"/>
      <c r="AE2255" s="500"/>
      <c r="AF2255" s="500"/>
      <c r="AG2255" s="500"/>
      <c r="AH2255" s="500"/>
      <c r="AI2255" s="500"/>
      <c r="AJ2255" s="500"/>
      <c r="AK2255" s="500"/>
      <c r="AL2255" s="500"/>
      <c r="AM2255" s="500"/>
      <c r="AN2255" s="500"/>
      <c r="AO2255" s="500"/>
      <c r="AP2255" s="500"/>
    </row>
    <row r="2256" spans="1:42" ht="16.5" customHeight="1">
      <c r="A2256" s="439"/>
      <c r="B2256" s="439"/>
      <c r="C2256" s="439"/>
      <c r="D2256" s="439"/>
      <c r="E2256" s="439"/>
      <c r="F2256" s="439"/>
      <c r="Z2256" s="500"/>
      <c r="AA2256" s="500"/>
      <c r="AB2256" s="500"/>
      <c r="AC2256" s="500"/>
      <c r="AD2256" s="500"/>
      <c r="AE2256" s="500"/>
      <c r="AF2256" s="500"/>
      <c r="AG2256" s="500"/>
      <c r="AH2256" s="500"/>
      <c r="AI2256" s="500"/>
      <c r="AJ2256" s="500"/>
      <c r="AK2256" s="500"/>
      <c r="AL2256" s="500"/>
      <c r="AM2256" s="500"/>
      <c r="AN2256" s="500"/>
      <c r="AO2256" s="500"/>
      <c r="AP2256" s="500"/>
    </row>
    <row r="2257" spans="1:42" ht="16.5" customHeight="1">
      <c r="A2257" s="439"/>
      <c r="B2257" s="439"/>
      <c r="C2257" s="439"/>
      <c r="D2257" s="439"/>
      <c r="E2257" s="439"/>
      <c r="F2257" s="439"/>
      <c r="Z2257" s="500"/>
      <c r="AA2257" s="500"/>
      <c r="AB2257" s="500"/>
      <c r="AC2257" s="500"/>
      <c r="AD2257" s="500"/>
      <c r="AE2257" s="500"/>
      <c r="AF2257" s="500"/>
      <c r="AG2257" s="500"/>
      <c r="AH2257" s="500"/>
      <c r="AI2257" s="500"/>
      <c r="AJ2257" s="500"/>
      <c r="AK2257" s="500"/>
      <c r="AL2257" s="500"/>
      <c r="AM2257" s="500"/>
      <c r="AN2257" s="500"/>
      <c r="AO2257" s="500"/>
      <c r="AP2257" s="500"/>
    </row>
    <row r="2258" spans="1:42" ht="16.5" customHeight="1">
      <c r="A2258" s="439"/>
      <c r="B2258" s="439"/>
      <c r="C2258" s="439"/>
      <c r="D2258" s="439"/>
      <c r="E2258" s="439"/>
      <c r="F2258" s="439"/>
      <c r="Z2258" s="500"/>
      <c r="AA2258" s="500"/>
      <c r="AB2258" s="500"/>
      <c r="AC2258" s="500"/>
      <c r="AD2258" s="500"/>
      <c r="AE2258" s="500"/>
      <c r="AF2258" s="500"/>
      <c r="AG2258" s="500"/>
      <c r="AH2258" s="500"/>
      <c r="AI2258" s="500"/>
      <c r="AJ2258" s="500"/>
      <c r="AK2258" s="500"/>
      <c r="AL2258" s="500"/>
      <c r="AM2258" s="500"/>
      <c r="AN2258" s="500"/>
      <c r="AO2258" s="500"/>
      <c r="AP2258" s="500"/>
    </row>
    <row r="2259" spans="1:42" ht="16.5" customHeight="1">
      <c r="A2259" s="439"/>
      <c r="B2259" s="439"/>
      <c r="C2259" s="439"/>
      <c r="D2259" s="439"/>
      <c r="E2259" s="439"/>
      <c r="F2259" s="439"/>
      <c r="Z2259" s="500"/>
      <c r="AA2259" s="500"/>
      <c r="AB2259" s="500"/>
      <c r="AC2259" s="500"/>
      <c r="AD2259" s="500"/>
      <c r="AE2259" s="500"/>
      <c r="AF2259" s="500"/>
      <c r="AG2259" s="500"/>
      <c r="AH2259" s="500"/>
      <c r="AI2259" s="500"/>
      <c r="AJ2259" s="500"/>
      <c r="AK2259" s="500"/>
      <c r="AL2259" s="500"/>
      <c r="AM2259" s="500"/>
      <c r="AN2259" s="500"/>
      <c r="AO2259" s="500"/>
      <c r="AP2259" s="500"/>
    </row>
    <row r="2260" spans="1:42" ht="16.5" customHeight="1">
      <c r="A2260" s="439"/>
      <c r="B2260" s="439"/>
      <c r="C2260" s="439"/>
      <c r="D2260" s="439"/>
      <c r="E2260" s="439"/>
      <c r="F2260" s="439"/>
      <c r="Z2260" s="500"/>
      <c r="AA2260" s="500"/>
      <c r="AB2260" s="500"/>
      <c r="AC2260" s="500"/>
      <c r="AD2260" s="500"/>
      <c r="AE2260" s="500"/>
      <c r="AF2260" s="500"/>
      <c r="AG2260" s="500"/>
      <c r="AH2260" s="500"/>
      <c r="AI2260" s="500"/>
      <c r="AJ2260" s="500"/>
      <c r="AK2260" s="500"/>
      <c r="AL2260" s="500"/>
      <c r="AM2260" s="500"/>
      <c r="AN2260" s="500"/>
      <c r="AO2260" s="500"/>
      <c r="AP2260" s="500"/>
    </row>
    <row r="2261" spans="1:42" ht="16.5" customHeight="1">
      <c r="A2261" s="439"/>
      <c r="B2261" s="439"/>
      <c r="C2261" s="439"/>
      <c r="D2261" s="439"/>
      <c r="E2261" s="439"/>
      <c r="F2261" s="439"/>
      <c r="Z2261" s="500"/>
      <c r="AA2261" s="500"/>
      <c r="AB2261" s="500"/>
      <c r="AC2261" s="500"/>
      <c r="AD2261" s="500"/>
      <c r="AE2261" s="500"/>
      <c r="AF2261" s="500"/>
      <c r="AG2261" s="500"/>
      <c r="AH2261" s="500"/>
      <c r="AI2261" s="500"/>
      <c r="AJ2261" s="500"/>
      <c r="AK2261" s="500"/>
      <c r="AL2261" s="500"/>
      <c r="AM2261" s="500"/>
      <c r="AN2261" s="500"/>
      <c r="AO2261" s="500"/>
      <c r="AP2261" s="500"/>
    </row>
    <row r="2262" spans="1:42" ht="16.5" customHeight="1">
      <c r="A2262" s="439"/>
      <c r="B2262" s="439"/>
      <c r="C2262" s="439"/>
      <c r="D2262" s="439"/>
      <c r="E2262" s="439"/>
      <c r="F2262" s="439"/>
      <c r="Z2262" s="500"/>
      <c r="AA2262" s="500"/>
      <c r="AB2262" s="500"/>
      <c r="AC2262" s="500"/>
      <c r="AD2262" s="500"/>
      <c r="AE2262" s="500"/>
      <c r="AF2262" s="500"/>
      <c r="AG2262" s="500"/>
      <c r="AH2262" s="500"/>
      <c r="AI2262" s="500"/>
      <c r="AJ2262" s="500"/>
      <c r="AK2262" s="500"/>
      <c r="AL2262" s="500"/>
      <c r="AM2262" s="500"/>
      <c r="AN2262" s="500"/>
      <c r="AO2262" s="500"/>
      <c r="AP2262" s="500"/>
    </row>
    <row r="2263" spans="1:42" ht="16.5" customHeight="1">
      <c r="A2263" s="439"/>
      <c r="B2263" s="439"/>
      <c r="C2263" s="439"/>
      <c r="D2263" s="439"/>
      <c r="E2263" s="439"/>
      <c r="F2263" s="439"/>
      <c r="Z2263" s="500"/>
      <c r="AA2263" s="500"/>
      <c r="AB2263" s="500"/>
      <c r="AC2263" s="500"/>
      <c r="AD2263" s="500"/>
      <c r="AE2263" s="500"/>
      <c r="AF2263" s="500"/>
      <c r="AG2263" s="500"/>
      <c r="AH2263" s="500"/>
      <c r="AI2263" s="500"/>
      <c r="AJ2263" s="500"/>
      <c r="AK2263" s="500"/>
      <c r="AL2263" s="500"/>
      <c r="AM2263" s="500"/>
      <c r="AN2263" s="500"/>
      <c r="AO2263" s="500"/>
      <c r="AP2263" s="500"/>
    </row>
    <row r="2264" spans="1:42" ht="16.5" customHeight="1">
      <c r="A2264" s="439"/>
      <c r="B2264" s="439"/>
      <c r="C2264" s="439"/>
      <c r="D2264" s="439"/>
      <c r="E2264" s="439"/>
      <c r="F2264" s="439"/>
      <c r="Z2264" s="500"/>
      <c r="AA2264" s="500"/>
      <c r="AB2264" s="500"/>
      <c r="AC2264" s="500"/>
      <c r="AD2264" s="500"/>
      <c r="AE2264" s="500"/>
      <c r="AF2264" s="500"/>
      <c r="AG2264" s="500"/>
      <c r="AH2264" s="500"/>
      <c r="AI2264" s="500"/>
      <c r="AJ2264" s="500"/>
      <c r="AK2264" s="500"/>
      <c r="AL2264" s="500"/>
      <c r="AM2264" s="500"/>
      <c r="AN2264" s="500"/>
      <c r="AO2264" s="500"/>
      <c r="AP2264" s="500"/>
    </row>
    <row r="2265" spans="1:42" ht="16.5" customHeight="1">
      <c r="A2265" s="439"/>
      <c r="B2265" s="439"/>
      <c r="C2265" s="439"/>
      <c r="D2265" s="439"/>
      <c r="E2265" s="439"/>
      <c r="F2265" s="439"/>
      <c r="Z2265" s="500"/>
      <c r="AA2265" s="500"/>
      <c r="AB2265" s="500"/>
      <c r="AC2265" s="500"/>
      <c r="AD2265" s="500"/>
      <c r="AE2265" s="500"/>
      <c r="AF2265" s="500"/>
      <c r="AG2265" s="500"/>
      <c r="AH2265" s="500"/>
      <c r="AI2265" s="500"/>
      <c r="AJ2265" s="500"/>
      <c r="AK2265" s="500"/>
      <c r="AL2265" s="500"/>
      <c r="AM2265" s="500"/>
      <c r="AN2265" s="500"/>
      <c r="AO2265" s="500"/>
      <c r="AP2265" s="500"/>
    </row>
    <row r="2266" spans="1:42" ht="16.5" customHeight="1">
      <c r="A2266" s="439"/>
      <c r="B2266" s="439"/>
      <c r="C2266" s="439"/>
      <c r="D2266" s="439"/>
      <c r="E2266" s="439"/>
      <c r="F2266" s="439"/>
      <c r="Z2266" s="500"/>
      <c r="AA2266" s="500"/>
      <c r="AB2266" s="500"/>
      <c r="AC2266" s="500"/>
      <c r="AD2266" s="500"/>
      <c r="AE2266" s="500"/>
      <c r="AF2266" s="500"/>
      <c r="AG2266" s="500"/>
      <c r="AH2266" s="500"/>
      <c r="AI2266" s="500"/>
      <c r="AJ2266" s="500"/>
      <c r="AK2266" s="500"/>
      <c r="AL2266" s="500"/>
      <c r="AM2266" s="500"/>
      <c r="AN2266" s="500"/>
      <c r="AO2266" s="500"/>
      <c r="AP2266" s="500"/>
    </row>
    <row r="2267" spans="1:42" ht="16.5" customHeight="1">
      <c r="A2267" s="439"/>
      <c r="B2267" s="439"/>
      <c r="C2267" s="439"/>
      <c r="D2267" s="439"/>
      <c r="E2267" s="439"/>
      <c r="F2267" s="439"/>
      <c r="Z2267" s="500"/>
      <c r="AA2267" s="500"/>
      <c r="AB2267" s="500"/>
      <c r="AC2267" s="500"/>
      <c r="AD2267" s="500"/>
      <c r="AE2267" s="500"/>
      <c r="AF2267" s="500"/>
      <c r="AG2267" s="500"/>
      <c r="AH2267" s="500"/>
      <c r="AI2267" s="500"/>
      <c r="AJ2267" s="500"/>
      <c r="AK2267" s="500"/>
      <c r="AL2267" s="500"/>
      <c r="AM2267" s="500"/>
      <c r="AN2267" s="500"/>
      <c r="AO2267" s="500"/>
      <c r="AP2267" s="500"/>
    </row>
    <row r="2268" spans="1:42" ht="16.5" customHeight="1">
      <c r="A2268" s="439"/>
      <c r="B2268" s="439"/>
      <c r="C2268" s="439"/>
      <c r="D2268" s="439"/>
      <c r="E2268" s="439"/>
      <c r="F2268" s="439"/>
      <c r="Z2268" s="500"/>
      <c r="AA2268" s="500"/>
      <c r="AB2268" s="500"/>
      <c r="AC2268" s="500"/>
      <c r="AD2268" s="500"/>
      <c r="AE2268" s="500"/>
      <c r="AF2268" s="500"/>
      <c r="AG2268" s="500"/>
      <c r="AH2268" s="500"/>
      <c r="AI2268" s="500"/>
      <c r="AJ2268" s="500"/>
      <c r="AK2268" s="500"/>
      <c r="AL2268" s="500"/>
      <c r="AM2268" s="500"/>
      <c r="AN2268" s="500"/>
      <c r="AO2268" s="500"/>
      <c r="AP2268" s="500"/>
    </row>
    <row r="2269" spans="1:42" ht="16.5" customHeight="1">
      <c r="A2269" s="439"/>
      <c r="B2269" s="439"/>
      <c r="C2269" s="439"/>
      <c r="D2269" s="439"/>
      <c r="E2269" s="439"/>
      <c r="F2269" s="439"/>
      <c r="Z2269" s="500"/>
      <c r="AA2269" s="500"/>
      <c r="AB2269" s="500"/>
      <c r="AC2269" s="500"/>
      <c r="AD2269" s="500"/>
      <c r="AE2269" s="500"/>
      <c r="AF2269" s="500"/>
      <c r="AG2269" s="500"/>
      <c r="AH2269" s="500"/>
      <c r="AI2269" s="500"/>
      <c r="AJ2269" s="500"/>
      <c r="AK2269" s="500"/>
      <c r="AL2269" s="500"/>
      <c r="AM2269" s="500"/>
      <c r="AN2269" s="500"/>
      <c r="AO2269" s="500"/>
      <c r="AP2269" s="500"/>
    </row>
    <row r="2270" spans="1:42" ht="16.5" customHeight="1">
      <c r="A2270" s="439"/>
      <c r="B2270" s="439"/>
      <c r="C2270" s="439"/>
      <c r="D2270" s="439"/>
      <c r="E2270" s="439"/>
      <c r="F2270" s="439"/>
      <c r="Z2270" s="500"/>
      <c r="AA2270" s="500"/>
      <c r="AB2270" s="500"/>
      <c r="AC2270" s="500"/>
      <c r="AD2270" s="500"/>
      <c r="AE2270" s="500"/>
      <c r="AF2270" s="500"/>
      <c r="AG2270" s="500"/>
      <c r="AH2270" s="500"/>
      <c r="AI2270" s="500"/>
      <c r="AJ2270" s="500"/>
      <c r="AK2270" s="500"/>
      <c r="AL2270" s="500"/>
      <c r="AM2270" s="500"/>
      <c r="AN2270" s="500"/>
      <c r="AO2270" s="500"/>
      <c r="AP2270" s="500"/>
    </row>
    <row r="2271" spans="1:42" ht="16.5" customHeight="1">
      <c r="A2271" s="439"/>
      <c r="B2271" s="439"/>
      <c r="C2271" s="439"/>
      <c r="D2271" s="439"/>
      <c r="E2271" s="439"/>
      <c r="F2271" s="439"/>
      <c r="Z2271" s="500"/>
      <c r="AA2271" s="500"/>
      <c r="AB2271" s="500"/>
      <c r="AC2271" s="500"/>
      <c r="AD2271" s="500"/>
      <c r="AE2271" s="500"/>
      <c r="AF2271" s="500"/>
      <c r="AG2271" s="500"/>
      <c r="AH2271" s="500"/>
      <c r="AI2271" s="500"/>
      <c r="AJ2271" s="500"/>
      <c r="AK2271" s="500"/>
      <c r="AL2271" s="500"/>
      <c r="AM2271" s="500"/>
      <c r="AN2271" s="500"/>
      <c r="AO2271" s="500"/>
      <c r="AP2271" s="500"/>
    </row>
    <row r="2272" spans="1:42" ht="16.5" customHeight="1">
      <c r="A2272" s="439"/>
      <c r="B2272" s="439"/>
      <c r="C2272" s="439"/>
      <c r="D2272" s="439"/>
      <c r="E2272" s="439"/>
      <c r="F2272" s="439"/>
      <c r="Z2272" s="500"/>
      <c r="AA2272" s="500"/>
      <c r="AB2272" s="500"/>
      <c r="AC2272" s="500"/>
      <c r="AD2272" s="500"/>
      <c r="AE2272" s="500"/>
      <c r="AF2272" s="500"/>
      <c r="AG2272" s="500"/>
      <c r="AH2272" s="500"/>
      <c r="AI2272" s="500"/>
      <c r="AJ2272" s="500"/>
      <c r="AK2272" s="500"/>
      <c r="AL2272" s="500"/>
      <c r="AM2272" s="500"/>
      <c r="AN2272" s="500"/>
      <c r="AO2272" s="500"/>
      <c r="AP2272" s="500"/>
    </row>
    <row r="2273" spans="1:42" ht="16.5" customHeight="1">
      <c r="A2273" s="439"/>
      <c r="B2273" s="439"/>
      <c r="C2273" s="439"/>
      <c r="D2273" s="439"/>
      <c r="E2273" s="439"/>
      <c r="F2273" s="439"/>
      <c r="Z2273" s="500"/>
      <c r="AA2273" s="500"/>
      <c r="AB2273" s="500"/>
      <c r="AC2273" s="500"/>
      <c r="AD2273" s="500"/>
      <c r="AE2273" s="500"/>
      <c r="AF2273" s="500"/>
      <c r="AG2273" s="500"/>
      <c r="AH2273" s="500"/>
      <c r="AI2273" s="500"/>
      <c r="AJ2273" s="500"/>
      <c r="AK2273" s="500"/>
      <c r="AL2273" s="500"/>
      <c r="AM2273" s="500"/>
      <c r="AN2273" s="500"/>
      <c r="AO2273" s="500"/>
      <c r="AP2273" s="500"/>
    </row>
    <row r="2274" spans="1:42" ht="16.5" customHeight="1">
      <c r="A2274" s="439"/>
      <c r="B2274" s="439"/>
      <c r="C2274" s="439"/>
      <c r="D2274" s="439"/>
      <c r="E2274" s="439"/>
      <c r="F2274" s="439"/>
      <c r="Z2274" s="500"/>
      <c r="AA2274" s="500"/>
      <c r="AB2274" s="500"/>
      <c r="AC2274" s="500"/>
      <c r="AD2274" s="500"/>
      <c r="AE2274" s="500"/>
      <c r="AF2274" s="500"/>
      <c r="AG2274" s="500"/>
      <c r="AH2274" s="500"/>
      <c r="AI2274" s="500"/>
      <c r="AJ2274" s="500"/>
      <c r="AK2274" s="500"/>
      <c r="AL2274" s="500"/>
      <c r="AM2274" s="500"/>
      <c r="AN2274" s="500"/>
      <c r="AO2274" s="500"/>
      <c r="AP2274" s="500"/>
    </row>
    <row r="2275" spans="1:42" ht="16.5" customHeight="1">
      <c r="A2275" s="439"/>
      <c r="B2275" s="439"/>
      <c r="C2275" s="439"/>
      <c r="D2275" s="439"/>
      <c r="E2275" s="439"/>
      <c r="F2275" s="439"/>
      <c r="Z2275" s="500"/>
      <c r="AA2275" s="500"/>
      <c r="AB2275" s="500"/>
      <c r="AC2275" s="500"/>
      <c r="AD2275" s="500"/>
      <c r="AE2275" s="500"/>
      <c r="AF2275" s="500"/>
      <c r="AG2275" s="500"/>
      <c r="AH2275" s="500"/>
      <c r="AI2275" s="500"/>
      <c r="AJ2275" s="500"/>
      <c r="AK2275" s="500"/>
      <c r="AL2275" s="500"/>
      <c r="AM2275" s="500"/>
      <c r="AN2275" s="500"/>
      <c r="AO2275" s="500"/>
      <c r="AP2275" s="500"/>
    </row>
    <row r="2276" spans="1:42" ht="16.5" customHeight="1">
      <c r="A2276" s="439"/>
      <c r="B2276" s="439"/>
      <c r="C2276" s="439"/>
      <c r="D2276" s="439"/>
      <c r="E2276" s="439"/>
      <c r="F2276" s="439"/>
      <c r="Z2276" s="500"/>
      <c r="AA2276" s="500"/>
      <c r="AB2276" s="500"/>
      <c r="AC2276" s="500"/>
      <c r="AD2276" s="500"/>
      <c r="AE2276" s="500"/>
      <c r="AF2276" s="500"/>
      <c r="AG2276" s="500"/>
      <c r="AH2276" s="500"/>
      <c r="AI2276" s="500"/>
      <c r="AJ2276" s="500"/>
      <c r="AK2276" s="500"/>
      <c r="AL2276" s="500"/>
      <c r="AM2276" s="500"/>
      <c r="AN2276" s="500"/>
      <c r="AO2276" s="500"/>
      <c r="AP2276" s="500"/>
    </row>
    <row r="2277" spans="1:42" ht="16.5" customHeight="1">
      <c r="A2277" s="439"/>
      <c r="B2277" s="439"/>
      <c r="C2277" s="439"/>
      <c r="D2277" s="439"/>
      <c r="E2277" s="439"/>
      <c r="F2277" s="439"/>
      <c r="Z2277" s="500"/>
      <c r="AA2277" s="500"/>
      <c r="AB2277" s="500"/>
      <c r="AC2277" s="500"/>
      <c r="AD2277" s="500"/>
      <c r="AE2277" s="500"/>
      <c r="AF2277" s="500"/>
      <c r="AG2277" s="500"/>
      <c r="AH2277" s="500"/>
      <c r="AI2277" s="500"/>
      <c r="AJ2277" s="500"/>
      <c r="AK2277" s="500"/>
      <c r="AL2277" s="500"/>
      <c r="AM2277" s="500"/>
      <c r="AN2277" s="500"/>
      <c r="AO2277" s="500"/>
      <c r="AP2277" s="500"/>
    </row>
    <row r="2278" spans="1:42" ht="16.5" customHeight="1">
      <c r="A2278" s="439"/>
      <c r="B2278" s="439"/>
      <c r="C2278" s="439"/>
      <c r="D2278" s="439"/>
      <c r="E2278" s="439"/>
      <c r="F2278" s="439"/>
      <c r="Z2278" s="500"/>
      <c r="AA2278" s="500"/>
      <c r="AB2278" s="500"/>
      <c r="AC2278" s="500"/>
      <c r="AD2278" s="500"/>
      <c r="AE2278" s="500"/>
      <c r="AF2278" s="500"/>
      <c r="AG2278" s="500"/>
      <c r="AH2278" s="500"/>
      <c r="AI2278" s="500"/>
      <c r="AJ2278" s="500"/>
      <c r="AK2278" s="500"/>
      <c r="AL2278" s="500"/>
      <c r="AM2278" s="500"/>
      <c r="AN2278" s="500"/>
      <c r="AO2278" s="500"/>
      <c r="AP2278" s="500"/>
    </row>
    <row r="2279" spans="1:42" ht="16.5" customHeight="1">
      <c r="A2279" s="439"/>
      <c r="B2279" s="439"/>
      <c r="C2279" s="439"/>
      <c r="D2279" s="439"/>
      <c r="E2279" s="439"/>
      <c r="F2279" s="439"/>
      <c r="Z2279" s="500"/>
      <c r="AA2279" s="500"/>
      <c r="AB2279" s="500"/>
      <c r="AC2279" s="500"/>
      <c r="AD2279" s="500"/>
      <c r="AE2279" s="500"/>
      <c r="AF2279" s="500"/>
      <c r="AG2279" s="500"/>
      <c r="AH2279" s="500"/>
      <c r="AI2279" s="500"/>
      <c r="AJ2279" s="500"/>
      <c r="AK2279" s="500"/>
      <c r="AL2279" s="500"/>
      <c r="AM2279" s="500"/>
      <c r="AN2279" s="500"/>
      <c r="AO2279" s="500"/>
      <c r="AP2279" s="500"/>
    </row>
    <row r="2280" spans="1:42" ht="16.5" customHeight="1">
      <c r="A2280" s="439"/>
      <c r="B2280" s="439"/>
      <c r="C2280" s="439"/>
      <c r="D2280" s="439"/>
      <c r="E2280" s="439"/>
      <c r="F2280" s="439"/>
      <c r="Z2280" s="500"/>
      <c r="AA2280" s="500"/>
      <c r="AB2280" s="500"/>
      <c r="AC2280" s="500"/>
      <c r="AD2280" s="500"/>
      <c r="AE2280" s="500"/>
      <c r="AF2280" s="500"/>
      <c r="AG2280" s="500"/>
      <c r="AH2280" s="500"/>
      <c r="AI2280" s="500"/>
      <c r="AJ2280" s="500"/>
      <c r="AK2280" s="500"/>
      <c r="AL2280" s="500"/>
      <c r="AM2280" s="500"/>
      <c r="AN2280" s="500"/>
      <c r="AO2280" s="500"/>
      <c r="AP2280" s="500"/>
    </row>
    <row r="2281" spans="1:42" ht="16.5" customHeight="1">
      <c r="A2281" s="439"/>
      <c r="B2281" s="439"/>
      <c r="C2281" s="439"/>
      <c r="D2281" s="439"/>
      <c r="E2281" s="439"/>
      <c r="F2281" s="439"/>
      <c r="Z2281" s="500"/>
      <c r="AA2281" s="500"/>
      <c r="AB2281" s="500"/>
      <c r="AC2281" s="500"/>
      <c r="AD2281" s="500"/>
      <c r="AE2281" s="500"/>
      <c r="AF2281" s="500"/>
      <c r="AG2281" s="500"/>
      <c r="AH2281" s="500"/>
      <c r="AI2281" s="500"/>
      <c r="AJ2281" s="500"/>
      <c r="AK2281" s="500"/>
      <c r="AL2281" s="500"/>
      <c r="AM2281" s="500"/>
      <c r="AN2281" s="500"/>
      <c r="AO2281" s="500"/>
      <c r="AP2281" s="500"/>
    </row>
    <row r="2282" spans="1:42" ht="16.5" customHeight="1">
      <c r="A2282" s="439"/>
      <c r="B2282" s="439"/>
      <c r="C2282" s="439"/>
      <c r="D2282" s="439"/>
      <c r="E2282" s="439"/>
      <c r="F2282" s="439"/>
      <c r="Z2282" s="500"/>
      <c r="AA2282" s="500"/>
      <c r="AB2282" s="500"/>
      <c r="AC2282" s="500"/>
      <c r="AD2282" s="500"/>
      <c r="AE2282" s="500"/>
      <c r="AF2282" s="500"/>
      <c r="AG2282" s="500"/>
      <c r="AH2282" s="500"/>
      <c r="AI2282" s="500"/>
      <c r="AJ2282" s="500"/>
      <c r="AK2282" s="500"/>
      <c r="AL2282" s="500"/>
      <c r="AM2282" s="500"/>
      <c r="AN2282" s="500"/>
      <c r="AO2282" s="500"/>
      <c r="AP2282" s="500"/>
    </row>
    <row r="2283" spans="1:42" ht="16.5" customHeight="1">
      <c r="A2283" s="439"/>
      <c r="B2283" s="439"/>
      <c r="C2283" s="439"/>
      <c r="D2283" s="439"/>
      <c r="E2283" s="439"/>
      <c r="F2283" s="439"/>
      <c r="Z2283" s="500"/>
      <c r="AA2283" s="500"/>
      <c r="AB2283" s="500"/>
      <c r="AC2283" s="500"/>
      <c r="AD2283" s="500"/>
      <c r="AE2283" s="500"/>
      <c r="AF2283" s="500"/>
      <c r="AG2283" s="500"/>
      <c r="AH2283" s="500"/>
      <c r="AI2283" s="500"/>
      <c r="AJ2283" s="500"/>
      <c r="AK2283" s="500"/>
      <c r="AL2283" s="500"/>
      <c r="AM2283" s="500"/>
      <c r="AN2283" s="500"/>
      <c r="AO2283" s="500"/>
      <c r="AP2283" s="500"/>
    </row>
    <row r="2284" spans="1:42" ht="16.5" customHeight="1">
      <c r="A2284" s="439"/>
      <c r="B2284" s="439"/>
      <c r="C2284" s="439"/>
      <c r="D2284" s="439"/>
      <c r="E2284" s="439"/>
      <c r="F2284" s="439"/>
      <c r="Z2284" s="500"/>
      <c r="AA2284" s="500"/>
      <c r="AB2284" s="500"/>
      <c r="AC2284" s="500"/>
      <c r="AD2284" s="500"/>
      <c r="AE2284" s="500"/>
      <c r="AF2284" s="500"/>
      <c r="AG2284" s="500"/>
      <c r="AH2284" s="500"/>
      <c r="AI2284" s="500"/>
      <c r="AJ2284" s="500"/>
      <c r="AK2284" s="500"/>
      <c r="AL2284" s="500"/>
      <c r="AM2284" s="500"/>
      <c r="AN2284" s="500"/>
      <c r="AO2284" s="500"/>
      <c r="AP2284" s="500"/>
    </row>
    <row r="2285" spans="1:42" ht="16.5" customHeight="1">
      <c r="A2285" s="439"/>
      <c r="B2285" s="439"/>
      <c r="C2285" s="439"/>
      <c r="D2285" s="439"/>
      <c r="E2285" s="439"/>
      <c r="F2285" s="439"/>
      <c r="Z2285" s="500"/>
      <c r="AA2285" s="500"/>
      <c r="AB2285" s="500"/>
      <c r="AC2285" s="500"/>
      <c r="AD2285" s="500"/>
      <c r="AE2285" s="500"/>
      <c r="AF2285" s="500"/>
      <c r="AG2285" s="500"/>
      <c r="AH2285" s="500"/>
      <c r="AI2285" s="500"/>
      <c r="AJ2285" s="500"/>
      <c r="AK2285" s="500"/>
      <c r="AL2285" s="500"/>
      <c r="AM2285" s="500"/>
      <c r="AN2285" s="500"/>
      <c r="AO2285" s="500"/>
      <c r="AP2285" s="500"/>
    </row>
    <row r="2286" spans="1:42" ht="16.5" customHeight="1">
      <c r="A2286" s="439"/>
      <c r="B2286" s="439"/>
      <c r="C2286" s="439"/>
      <c r="D2286" s="439"/>
      <c r="E2286" s="439"/>
      <c r="F2286" s="439"/>
      <c r="Z2286" s="500"/>
      <c r="AA2286" s="500"/>
      <c r="AB2286" s="500"/>
      <c r="AC2286" s="500"/>
      <c r="AD2286" s="500"/>
      <c r="AE2286" s="500"/>
      <c r="AF2286" s="500"/>
      <c r="AG2286" s="500"/>
      <c r="AH2286" s="500"/>
      <c r="AI2286" s="500"/>
      <c r="AJ2286" s="500"/>
      <c r="AK2286" s="500"/>
      <c r="AL2286" s="500"/>
      <c r="AM2286" s="500"/>
      <c r="AN2286" s="500"/>
      <c r="AO2286" s="500"/>
      <c r="AP2286" s="500"/>
    </row>
    <row r="2287" spans="1:42" ht="16.5" customHeight="1">
      <c r="A2287" s="439"/>
      <c r="B2287" s="439"/>
      <c r="C2287" s="439"/>
      <c r="D2287" s="439"/>
      <c r="E2287" s="439"/>
      <c r="F2287" s="439"/>
      <c r="Z2287" s="500"/>
      <c r="AA2287" s="500"/>
      <c r="AB2287" s="500"/>
      <c r="AC2287" s="500"/>
      <c r="AD2287" s="500"/>
      <c r="AE2287" s="500"/>
      <c r="AF2287" s="500"/>
      <c r="AG2287" s="500"/>
      <c r="AH2287" s="500"/>
      <c r="AI2287" s="500"/>
      <c r="AJ2287" s="500"/>
      <c r="AK2287" s="500"/>
      <c r="AL2287" s="500"/>
      <c r="AM2287" s="500"/>
      <c r="AN2287" s="500"/>
      <c r="AO2287" s="500"/>
      <c r="AP2287" s="500"/>
    </row>
    <row r="2288" spans="1:42" ht="16.5" customHeight="1">
      <c r="A2288" s="439"/>
      <c r="B2288" s="439"/>
      <c r="C2288" s="439"/>
      <c r="D2288" s="439"/>
      <c r="E2288" s="439"/>
      <c r="F2288" s="439"/>
      <c r="Z2288" s="500"/>
      <c r="AA2288" s="500"/>
      <c r="AB2288" s="500"/>
      <c r="AC2288" s="500"/>
      <c r="AD2288" s="500"/>
      <c r="AE2288" s="500"/>
      <c r="AF2288" s="500"/>
      <c r="AG2288" s="500"/>
      <c r="AH2288" s="500"/>
      <c r="AI2288" s="500"/>
      <c r="AJ2288" s="500"/>
      <c r="AK2288" s="500"/>
      <c r="AL2288" s="500"/>
      <c r="AM2288" s="500"/>
      <c r="AN2288" s="500"/>
      <c r="AO2288" s="500"/>
      <c r="AP2288" s="500"/>
    </row>
    <row r="2289" spans="1:42" ht="16.5" customHeight="1">
      <c r="A2289" s="439"/>
      <c r="B2289" s="439"/>
      <c r="C2289" s="439"/>
      <c r="D2289" s="439"/>
      <c r="E2289" s="439"/>
      <c r="F2289" s="439"/>
      <c r="Z2289" s="500"/>
      <c r="AA2289" s="500"/>
      <c r="AB2289" s="500"/>
      <c r="AC2289" s="500"/>
      <c r="AD2289" s="500"/>
      <c r="AE2289" s="500"/>
      <c r="AF2289" s="500"/>
      <c r="AG2289" s="500"/>
      <c r="AH2289" s="500"/>
      <c r="AI2289" s="500"/>
      <c r="AJ2289" s="500"/>
      <c r="AK2289" s="500"/>
      <c r="AL2289" s="500"/>
      <c r="AM2289" s="500"/>
      <c r="AN2289" s="500"/>
      <c r="AO2289" s="500"/>
      <c r="AP2289" s="500"/>
    </row>
    <row r="2290" spans="1:42" ht="16.5" customHeight="1">
      <c r="A2290" s="439"/>
      <c r="B2290" s="439"/>
      <c r="C2290" s="439"/>
      <c r="D2290" s="439"/>
      <c r="E2290" s="439"/>
      <c r="F2290" s="439"/>
      <c r="Z2290" s="500"/>
      <c r="AA2290" s="500"/>
      <c r="AB2290" s="500"/>
      <c r="AC2290" s="500"/>
      <c r="AD2290" s="500"/>
      <c r="AE2290" s="500"/>
      <c r="AF2290" s="500"/>
      <c r="AG2290" s="500"/>
      <c r="AH2290" s="500"/>
      <c r="AI2290" s="500"/>
      <c r="AJ2290" s="500"/>
      <c r="AK2290" s="500"/>
      <c r="AL2290" s="500"/>
      <c r="AM2290" s="500"/>
      <c r="AN2290" s="500"/>
      <c r="AO2290" s="500"/>
      <c r="AP2290" s="500"/>
    </row>
    <row r="2291" spans="1:42" ht="16.5" customHeight="1">
      <c r="A2291" s="439"/>
      <c r="B2291" s="439"/>
      <c r="C2291" s="439"/>
      <c r="D2291" s="439"/>
      <c r="E2291" s="439"/>
      <c r="F2291" s="439"/>
      <c r="Z2291" s="500"/>
      <c r="AA2291" s="500"/>
      <c r="AB2291" s="500"/>
      <c r="AC2291" s="500"/>
      <c r="AD2291" s="500"/>
      <c r="AE2291" s="500"/>
      <c r="AF2291" s="500"/>
      <c r="AG2291" s="500"/>
      <c r="AH2291" s="500"/>
      <c r="AI2291" s="500"/>
      <c r="AJ2291" s="500"/>
      <c r="AK2291" s="500"/>
      <c r="AL2291" s="500"/>
      <c r="AM2291" s="500"/>
      <c r="AN2291" s="500"/>
      <c r="AO2291" s="500"/>
      <c r="AP2291" s="500"/>
    </row>
    <row r="2292" spans="1:42" ht="16.5" customHeight="1">
      <c r="A2292" s="439"/>
      <c r="B2292" s="439"/>
      <c r="C2292" s="439"/>
      <c r="D2292" s="439"/>
      <c r="E2292" s="439"/>
      <c r="F2292" s="439"/>
      <c r="Z2292" s="500"/>
      <c r="AA2292" s="500"/>
      <c r="AB2292" s="500"/>
      <c r="AC2292" s="500"/>
      <c r="AD2292" s="500"/>
      <c r="AE2292" s="500"/>
      <c r="AF2292" s="500"/>
      <c r="AG2292" s="500"/>
      <c r="AH2292" s="500"/>
      <c r="AI2292" s="500"/>
      <c r="AJ2292" s="500"/>
      <c r="AK2292" s="500"/>
      <c r="AL2292" s="500"/>
      <c r="AM2292" s="500"/>
      <c r="AN2292" s="500"/>
      <c r="AO2292" s="500"/>
      <c r="AP2292" s="500"/>
    </row>
    <row r="2293" spans="1:42" ht="16.5" customHeight="1">
      <c r="A2293" s="439"/>
      <c r="B2293" s="439"/>
      <c r="C2293" s="439"/>
      <c r="D2293" s="439"/>
      <c r="E2293" s="439"/>
      <c r="F2293" s="439"/>
      <c r="Z2293" s="500"/>
      <c r="AA2293" s="500"/>
      <c r="AB2293" s="500"/>
      <c r="AC2293" s="500"/>
      <c r="AD2293" s="500"/>
      <c r="AE2293" s="500"/>
      <c r="AF2293" s="500"/>
      <c r="AG2293" s="500"/>
      <c r="AH2293" s="500"/>
      <c r="AI2293" s="500"/>
      <c r="AJ2293" s="500"/>
      <c r="AK2293" s="500"/>
      <c r="AL2293" s="500"/>
      <c r="AM2293" s="500"/>
      <c r="AN2293" s="500"/>
      <c r="AO2293" s="500"/>
      <c r="AP2293" s="500"/>
    </row>
    <row r="2294" spans="1:42" ht="16.5" customHeight="1">
      <c r="A2294" s="439"/>
      <c r="B2294" s="439"/>
      <c r="C2294" s="439"/>
      <c r="D2294" s="439"/>
      <c r="E2294" s="439"/>
      <c r="F2294" s="439"/>
      <c r="Z2294" s="500"/>
      <c r="AA2294" s="500"/>
      <c r="AB2294" s="500"/>
      <c r="AC2294" s="500"/>
      <c r="AD2294" s="500"/>
      <c r="AE2294" s="500"/>
      <c r="AF2294" s="500"/>
      <c r="AG2294" s="500"/>
      <c r="AH2294" s="500"/>
      <c r="AI2294" s="500"/>
      <c r="AJ2294" s="500"/>
      <c r="AK2294" s="500"/>
      <c r="AL2294" s="500"/>
      <c r="AM2294" s="500"/>
      <c r="AN2294" s="500"/>
      <c r="AO2294" s="500"/>
      <c r="AP2294" s="500"/>
    </row>
    <row r="2295" spans="1:42" ht="16.5" customHeight="1">
      <c r="A2295" s="439"/>
      <c r="B2295" s="439"/>
      <c r="C2295" s="439"/>
      <c r="D2295" s="439"/>
      <c r="E2295" s="439"/>
      <c r="F2295" s="439"/>
      <c r="Z2295" s="500"/>
      <c r="AA2295" s="500"/>
      <c r="AB2295" s="500"/>
      <c r="AC2295" s="500"/>
      <c r="AD2295" s="500"/>
      <c r="AE2295" s="500"/>
      <c r="AF2295" s="500"/>
      <c r="AG2295" s="500"/>
      <c r="AH2295" s="500"/>
      <c r="AI2295" s="500"/>
      <c r="AJ2295" s="500"/>
      <c r="AK2295" s="500"/>
      <c r="AL2295" s="500"/>
      <c r="AM2295" s="500"/>
      <c r="AN2295" s="500"/>
      <c r="AO2295" s="500"/>
      <c r="AP2295" s="500"/>
    </row>
    <row r="2296" spans="1:42" ht="16.5" customHeight="1">
      <c r="A2296" s="439"/>
      <c r="B2296" s="439"/>
      <c r="C2296" s="439"/>
      <c r="D2296" s="439"/>
      <c r="E2296" s="439"/>
      <c r="F2296" s="439"/>
      <c r="Z2296" s="500"/>
      <c r="AA2296" s="500"/>
      <c r="AB2296" s="500"/>
      <c r="AC2296" s="500"/>
      <c r="AD2296" s="500"/>
      <c r="AE2296" s="500"/>
      <c r="AF2296" s="500"/>
      <c r="AG2296" s="500"/>
      <c r="AH2296" s="500"/>
      <c r="AI2296" s="500"/>
      <c r="AJ2296" s="500"/>
      <c r="AK2296" s="500"/>
      <c r="AL2296" s="500"/>
      <c r="AM2296" s="500"/>
      <c r="AN2296" s="500"/>
      <c r="AO2296" s="500"/>
      <c r="AP2296" s="500"/>
    </row>
    <row r="2297" spans="1:42" ht="16.5" customHeight="1">
      <c r="A2297" s="439"/>
      <c r="B2297" s="439"/>
      <c r="C2297" s="439"/>
      <c r="D2297" s="439"/>
      <c r="E2297" s="439"/>
      <c r="F2297" s="439"/>
      <c r="Z2297" s="500"/>
      <c r="AA2297" s="500"/>
      <c r="AB2297" s="500"/>
      <c r="AC2297" s="500"/>
      <c r="AD2297" s="500"/>
      <c r="AE2297" s="500"/>
      <c r="AF2297" s="500"/>
      <c r="AG2297" s="500"/>
      <c r="AH2297" s="500"/>
      <c r="AI2297" s="500"/>
      <c r="AJ2297" s="500"/>
      <c r="AK2297" s="500"/>
      <c r="AL2297" s="500"/>
      <c r="AM2297" s="500"/>
      <c r="AN2297" s="500"/>
      <c r="AO2297" s="500"/>
      <c r="AP2297" s="500"/>
    </row>
    <row r="2298" spans="1:42" ht="16.5" customHeight="1">
      <c r="A2298" s="439"/>
      <c r="B2298" s="439"/>
      <c r="C2298" s="439"/>
      <c r="D2298" s="439"/>
      <c r="E2298" s="439"/>
      <c r="F2298" s="439"/>
      <c r="Z2298" s="500"/>
      <c r="AA2298" s="500"/>
      <c r="AB2298" s="500"/>
      <c r="AC2298" s="500"/>
      <c r="AD2298" s="500"/>
      <c r="AE2298" s="500"/>
      <c r="AF2298" s="500"/>
      <c r="AG2298" s="500"/>
      <c r="AH2298" s="500"/>
      <c r="AI2298" s="500"/>
      <c r="AJ2298" s="500"/>
      <c r="AK2298" s="500"/>
      <c r="AL2298" s="500"/>
      <c r="AM2298" s="500"/>
      <c r="AN2298" s="500"/>
      <c r="AO2298" s="500"/>
      <c r="AP2298" s="500"/>
    </row>
    <row r="2299" spans="1:42" ht="16.5" customHeight="1">
      <c r="A2299" s="439"/>
      <c r="B2299" s="439"/>
      <c r="C2299" s="439"/>
      <c r="D2299" s="439"/>
      <c r="E2299" s="439"/>
      <c r="F2299" s="439"/>
      <c r="Z2299" s="500"/>
      <c r="AA2299" s="500"/>
      <c r="AB2299" s="500"/>
      <c r="AC2299" s="500"/>
      <c r="AD2299" s="500"/>
      <c r="AE2299" s="500"/>
      <c r="AF2299" s="500"/>
      <c r="AG2299" s="500"/>
      <c r="AH2299" s="500"/>
      <c r="AI2299" s="500"/>
      <c r="AJ2299" s="500"/>
      <c r="AK2299" s="500"/>
      <c r="AL2299" s="500"/>
      <c r="AM2299" s="500"/>
      <c r="AN2299" s="500"/>
      <c r="AO2299" s="500"/>
      <c r="AP2299" s="500"/>
    </row>
    <row r="2300" spans="1:42" ht="16.5" customHeight="1">
      <c r="A2300" s="439"/>
      <c r="B2300" s="439"/>
      <c r="C2300" s="439"/>
      <c r="D2300" s="439"/>
      <c r="E2300" s="439"/>
      <c r="F2300" s="439"/>
      <c r="Z2300" s="500"/>
      <c r="AA2300" s="500"/>
      <c r="AB2300" s="500"/>
      <c r="AC2300" s="500"/>
      <c r="AD2300" s="500"/>
      <c r="AE2300" s="500"/>
      <c r="AF2300" s="500"/>
      <c r="AG2300" s="500"/>
      <c r="AH2300" s="500"/>
      <c r="AI2300" s="500"/>
      <c r="AJ2300" s="500"/>
      <c r="AK2300" s="500"/>
      <c r="AL2300" s="500"/>
      <c r="AM2300" s="500"/>
      <c r="AN2300" s="500"/>
      <c r="AO2300" s="500"/>
      <c r="AP2300" s="500"/>
    </row>
    <row r="2301" spans="1:42" ht="16.5" customHeight="1">
      <c r="A2301" s="439"/>
      <c r="B2301" s="439"/>
      <c r="C2301" s="439"/>
      <c r="D2301" s="439"/>
      <c r="E2301" s="439"/>
      <c r="F2301" s="439"/>
      <c r="Z2301" s="500"/>
      <c r="AA2301" s="500"/>
      <c r="AB2301" s="500"/>
      <c r="AC2301" s="500"/>
      <c r="AD2301" s="500"/>
      <c r="AE2301" s="500"/>
      <c r="AF2301" s="500"/>
      <c r="AG2301" s="500"/>
      <c r="AH2301" s="500"/>
      <c r="AI2301" s="500"/>
      <c r="AJ2301" s="500"/>
      <c r="AK2301" s="500"/>
      <c r="AL2301" s="500"/>
      <c r="AM2301" s="500"/>
      <c r="AN2301" s="500"/>
      <c r="AO2301" s="500"/>
      <c r="AP2301" s="500"/>
    </row>
    <row r="2302" spans="1:42" ht="16.5" customHeight="1">
      <c r="A2302" s="439"/>
      <c r="B2302" s="439"/>
      <c r="C2302" s="439"/>
      <c r="D2302" s="439"/>
      <c r="E2302" s="439"/>
      <c r="F2302" s="439"/>
      <c r="Z2302" s="500"/>
      <c r="AA2302" s="500"/>
      <c r="AB2302" s="500"/>
      <c r="AC2302" s="500"/>
      <c r="AD2302" s="500"/>
      <c r="AE2302" s="500"/>
      <c r="AF2302" s="500"/>
      <c r="AG2302" s="500"/>
      <c r="AH2302" s="500"/>
      <c r="AI2302" s="500"/>
      <c r="AJ2302" s="500"/>
      <c r="AK2302" s="500"/>
      <c r="AL2302" s="500"/>
      <c r="AM2302" s="500"/>
      <c r="AN2302" s="500"/>
      <c r="AO2302" s="500"/>
      <c r="AP2302" s="500"/>
    </row>
    <row r="2303" spans="1:42" ht="16.5" customHeight="1">
      <c r="A2303" s="497"/>
      <c r="B2303" s="497"/>
      <c r="C2303" s="497"/>
      <c r="D2303" s="497"/>
      <c r="E2303" s="497"/>
      <c r="F2303" s="497"/>
      <c r="Z2303" s="500"/>
      <c r="AA2303" s="500"/>
      <c r="AB2303" s="500"/>
      <c r="AC2303" s="500"/>
      <c r="AD2303" s="500"/>
      <c r="AE2303" s="500"/>
      <c r="AF2303" s="500"/>
      <c r="AG2303" s="500"/>
      <c r="AH2303" s="500"/>
      <c r="AI2303" s="500"/>
      <c r="AJ2303" s="500"/>
      <c r="AK2303" s="500"/>
      <c r="AL2303" s="500"/>
      <c r="AM2303" s="500"/>
      <c r="AN2303" s="500"/>
      <c r="AO2303" s="500"/>
      <c r="AP2303" s="500"/>
    </row>
    <row r="2304" spans="1:42" ht="16.5" customHeight="1">
      <c r="A2304" s="616" t="s">
        <v>3487</v>
      </c>
      <c r="B2304" s="605"/>
      <c r="C2304" s="446">
        <f>E2304+D2304+F2304</f>
        <v>109559</v>
      </c>
      <c r="D2304" s="453">
        <f>ROUNDDOWN(SUMIF(N2207:N2253,M2304,D2207:D2253),0)</f>
        <v>67492</v>
      </c>
      <c r="E2304" s="454">
        <f>ROUNDDOWN(SUMIF(N2207:N2253,M2304,E2207:E2253),0)</f>
        <v>35062</v>
      </c>
      <c r="F2304" s="446">
        <f>ROUNDDOWN(SUMIF(N2207:N2253,M2304,F2207:F2253),0)</f>
        <v>7005</v>
      </c>
      <c r="M2304" s="501" t="s">
        <v>2354</v>
      </c>
      <c r="Z2304" s="500"/>
      <c r="AA2304" s="500"/>
      <c r="AB2304" s="500"/>
      <c r="AC2304" s="500"/>
      <c r="AD2304" s="500"/>
      <c r="AE2304" s="500"/>
      <c r="AF2304" s="500"/>
      <c r="AG2304" s="500"/>
      <c r="AH2304" s="500"/>
      <c r="AI2304" s="500"/>
      <c r="AJ2304" s="500"/>
      <c r="AK2304" s="500"/>
      <c r="AL2304" s="500"/>
      <c r="AM2304" s="500"/>
      <c r="AN2304" s="500"/>
      <c r="AO2304" s="500"/>
      <c r="AP2304" s="500"/>
    </row>
    <row r="2305" spans="1:42" ht="16.5" customHeight="1">
      <c r="A2305" s="502" t="s">
        <v>3350</v>
      </c>
      <c r="B2305" s="503" t="s">
        <v>1805</v>
      </c>
      <c r="C2305" s="615">
        <f>C2354</f>
        <v>55131</v>
      </c>
      <c r="D2305" s="615">
        <f>D2354</f>
        <v>42831</v>
      </c>
      <c r="E2305" s="615">
        <f>E2354</f>
        <v>12300</v>
      </c>
      <c r="F2305" s="615">
        <f>F2354</f>
        <v>0</v>
      </c>
      <c r="G2305" s="486" t="str">
        <f>HYPERLINK("#G"&amp;ROW(G2339),"_x0005_`BDCOD|D01304_x0007_`POSS|"&amp;ROW(G2307)&amp;"_x0007_`POSE|"&amp;ROW(G2339)&amp;"_x0007_`")</f>
        <v>_x0005_`BDCOD|D01304_x0007_`POSS|2307_x0007_`POSE|2339_x0007_`</v>
      </c>
      <c r="Z2305" s="500"/>
      <c r="AA2305" s="500"/>
      <c r="AB2305" s="500"/>
      <c r="AC2305" s="500"/>
      <c r="AD2305" s="500"/>
      <c r="AE2305" s="500"/>
      <c r="AF2305" s="500"/>
      <c r="AG2305" s="500"/>
      <c r="AH2305" s="500"/>
      <c r="AI2305" s="500"/>
      <c r="AJ2305" s="500"/>
      <c r="AK2305" s="500"/>
      <c r="AL2305" s="500"/>
      <c r="AM2305" s="500"/>
      <c r="AN2305" s="500"/>
      <c r="AO2305" s="500"/>
      <c r="AP2305" s="500"/>
    </row>
    <row r="2306" spans="1:42" ht="16.5" customHeight="1">
      <c r="A2306" s="485"/>
      <c r="B2306" s="503" t="s">
        <v>3650</v>
      </c>
      <c r="C2306" s="593"/>
      <c r="D2306" s="593"/>
      <c r="E2306" s="593"/>
      <c r="F2306" s="593"/>
      <c r="M2306" s="501" t="s">
        <v>1805</v>
      </c>
      <c r="Z2306" s="500"/>
      <c r="AA2306" s="500"/>
      <c r="AB2306" s="500"/>
      <c r="AC2306" s="500"/>
      <c r="AD2306" s="500"/>
      <c r="AE2306" s="500"/>
      <c r="AF2306" s="500"/>
      <c r="AG2306" s="500"/>
      <c r="AH2306" s="500"/>
      <c r="AI2306" s="500"/>
      <c r="AJ2306" s="500"/>
      <c r="AK2306" s="500"/>
      <c r="AL2306" s="500"/>
      <c r="AM2306" s="500"/>
      <c r="AN2306" s="500"/>
      <c r="AO2306" s="500"/>
      <c r="AP2306" s="500"/>
    </row>
    <row r="2307" spans="1:42" ht="16.5" customHeight="1">
      <c r="A2307" s="439"/>
      <c r="B2307" s="439"/>
      <c r="C2307" s="504"/>
      <c r="D2307" s="504"/>
      <c r="E2307" s="504"/>
      <c r="F2307" s="504"/>
      <c r="G2307" s="451" t="s">
        <v>3406</v>
      </c>
      <c r="Z2307" s="500"/>
      <c r="AA2307" s="500"/>
      <c r="AB2307" s="500"/>
      <c r="AC2307" s="500"/>
      <c r="AD2307" s="500"/>
      <c r="AE2307" s="500"/>
      <c r="AF2307" s="500"/>
      <c r="AG2307" s="500"/>
      <c r="AH2307" s="500"/>
      <c r="AI2307" s="500"/>
      <c r="AJ2307" s="500"/>
      <c r="AK2307" s="500"/>
      <c r="AL2307" s="500"/>
      <c r="AM2307" s="500"/>
      <c r="AN2307" s="500"/>
      <c r="AO2307" s="500"/>
      <c r="AP2307" s="500"/>
    </row>
    <row r="2308" spans="1:42" ht="16.5" customHeight="1">
      <c r="A2308" s="434"/>
      <c r="B2308" s="437" t="s">
        <v>3542</v>
      </c>
      <c r="C2308" s="439"/>
      <c r="D2308" s="439"/>
      <c r="E2308" s="439"/>
      <c r="F2308" s="439"/>
      <c r="G2308" s="451" t="s">
        <v>3543</v>
      </c>
      <c r="Z2308" s="500"/>
      <c r="AA2308" s="500"/>
      <c r="AB2308" s="500"/>
      <c r="AC2308" s="500"/>
      <c r="AD2308" s="500"/>
      <c r="AE2308" s="500"/>
      <c r="AF2308" s="500"/>
      <c r="AG2308" s="500"/>
      <c r="AH2308" s="500"/>
      <c r="AI2308" s="500"/>
      <c r="AJ2308" s="500"/>
      <c r="AK2308" s="500"/>
      <c r="AL2308" s="500"/>
      <c r="AM2308" s="500"/>
      <c r="AN2308" s="500"/>
      <c r="AO2308" s="500"/>
      <c r="AP2308" s="500"/>
    </row>
    <row r="2309" spans="1:42" ht="16.5" customHeight="1">
      <c r="A2309" s="439"/>
      <c r="B2309" s="439"/>
      <c r="C2309" s="439"/>
      <c r="D2309" s="439"/>
      <c r="E2309" s="439"/>
      <c r="F2309" s="439"/>
      <c r="G2309" s="451" t="s">
        <v>3406</v>
      </c>
      <c r="Z2309" s="500"/>
      <c r="AA2309" s="500"/>
      <c r="AB2309" s="500"/>
      <c r="AC2309" s="500"/>
      <c r="AD2309" s="500"/>
      <c r="AE2309" s="500"/>
      <c r="AF2309" s="500"/>
      <c r="AG2309" s="500"/>
      <c r="AH2309" s="500"/>
      <c r="AI2309" s="500"/>
      <c r="AJ2309" s="500"/>
      <c r="AK2309" s="500"/>
      <c r="AL2309" s="500"/>
      <c r="AM2309" s="500"/>
      <c r="AN2309" s="500"/>
      <c r="AO2309" s="500"/>
      <c r="AP2309" s="500"/>
    </row>
    <row r="2310" spans="1:42" ht="16.5" customHeight="1">
      <c r="A2310" s="434"/>
      <c r="B2310" s="437" t="s">
        <v>3544</v>
      </c>
      <c r="C2310" s="439"/>
      <c r="D2310" s="439"/>
      <c r="E2310" s="439"/>
      <c r="F2310" s="439"/>
      <c r="G2310" s="451" t="s">
        <v>3545</v>
      </c>
      <c r="Z2310" s="500"/>
      <c r="AA2310" s="500"/>
      <c r="AB2310" s="500"/>
      <c r="AC2310" s="500"/>
      <c r="AD2310" s="500"/>
      <c r="AE2310" s="500"/>
      <c r="AF2310" s="500"/>
      <c r="AG2310" s="500"/>
      <c r="AH2310" s="500"/>
      <c r="AI2310" s="500"/>
      <c r="AJ2310" s="500"/>
      <c r="AK2310" s="500"/>
      <c r="AL2310" s="500"/>
      <c r="AM2310" s="500"/>
      <c r="AN2310" s="500"/>
      <c r="AO2310" s="500"/>
      <c r="AP2310" s="500"/>
    </row>
    <row r="2311" spans="1:42" ht="16.5" customHeight="1">
      <c r="A2311" s="439"/>
      <c r="B2311" s="439"/>
      <c r="C2311" s="439"/>
      <c r="D2311" s="439"/>
      <c r="E2311" s="439"/>
      <c r="F2311" s="439"/>
      <c r="G2311" s="451" t="s">
        <v>3406</v>
      </c>
      <c r="Z2311" s="500"/>
      <c r="AA2311" s="500"/>
      <c r="AB2311" s="500"/>
      <c r="AC2311" s="500"/>
      <c r="AD2311" s="500"/>
      <c r="AE2311" s="500"/>
      <c r="AF2311" s="500"/>
      <c r="AG2311" s="500"/>
      <c r="AH2311" s="500"/>
      <c r="AI2311" s="500"/>
      <c r="AJ2311" s="500"/>
      <c r="AK2311" s="500"/>
      <c r="AL2311" s="500"/>
      <c r="AM2311" s="500"/>
      <c r="AN2311" s="500"/>
      <c r="AO2311" s="500"/>
      <c r="AP2311" s="500"/>
    </row>
    <row r="2312" spans="1:42" ht="16.5" customHeight="1">
      <c r="A2312" s="434"/>
      <c r="B2312" s="437" t="str">
        <f>" 일당 작업량 :   Q = "&amp;Z2312&amp;"  주 "</f>
        <v xml:space="preserve"> 일당 작업량 :   Q = 30  주 </v>
      </c>
      <c r="C2312" s="439"/>
      <c r="D2312" s="439"/>
      <c r="E2312" s="439"/>
      <c r="F2312" s="439"/>
      <c r="G2312" s="451" t="s">
        <v>3646</v>
      </c>
      <c r="Z2312" s="515">
        <v>30</v>
      </c>
      <c r="AA2312" s="501" t="s">
        <v>3418</v>
      </c>
      <c r="AB2312" s="512">
        <f>Z2312</f>
        <v>30</v>
      </c>
      <c r="AC2312" s="500"/>
      <c r="AD2312" s="500"/>
      <c r="AE2312" s="500"/>
      <c r="AF2312" s="500"/>
      <c r="AG2312" s="500"/>
      <c r="AH2312" s="500"/>
      <c r="AI2312" s="500"/>
      <c r="AJ2312" s="500"/>
      <c r="AK2312" s="500"/>
      <c r="AL2312" s="500"/>
      <c r="AM2312" s="500"/>
      <c r="AN2312" s="500"/>
      <c r="AO2312" s="500"/>
      <c r="AP2312" s="500"/>
    </row>
    <row r="2313" spans="1:42" ht="16.5" customHeight="1">
      <c r="A2313" s="439"/>
      <c r="B2313" s="439"/>
      <c r="C2313" s="439"/>
      <c r="D2313" s="439"/>
      <c r="E2313" s="439"/>
      <c r="F2313" s="439"/>
      <c r="G2313" s="451" t="s">
        <v>3406</v>
      </c>
      <c r="Z2313" s="500"/>
      <c r="AA2313" s="500"/>
      <c r="AB2313" s="500"/>
      <c r="AC2313" s="500"/>
      <c r="AD2313" s="500"/>
      <c r="AE2313" s="500"/>
      <c r="AF2313" s="500"/>
      <c r="AG2313" s="500"/>
      <c r="AH2313" s="500"/>
      <c r="AI2313" s="500"/>
      <c r="AJ2313" s="500"/>
      <c r="AK2313" s="500"/>
      <c r="AL2313" s="500"/>
      <c r="AM2313" s="500"/>
      <c r="AN2313" s="500"/>
      <c r="AO2313" s="500"/>
      <c r="AP2313" s="500"/>
    </row>
    <row r="2314" spans="1:42" ht="16.5" customHeight="1">
      <c r="A2314" s="434"/>
      <c r="B2314" s="437" t="s">
        <v>3651</v>
      </c>
      <c r="C2314" s="439"/>
      <c r="D2314" s="439"/>
      <c r="E2314" s="439"/>
      <c r="F2314" s="439"/>
      <c r="G2314" s="451" t="s">
        <v>3652</v>
      </c>
      <c r="Z2314" s="500"/>
      <c r="AA2314" s="500"/>
      <c r="AB2314" s="500"/>
      <c r="AC2314" s="500"/>
      <c r="AD2314" s="500"/>
      <c r="AE2314" s="500"/>
      <c r="AF2314" s="500"/>
      <c r="AG2314" s="500"/>
      <c r="AH2314" s="500"/>
      <c r="AI2314" s="500"/>
      <c r="AJ2314" s="500"/>
      <c r="AK2314" s="500"/>
      <c r="AL2314" s="500"/>
      <c r="AM2314" s="500"/>
      <c r="AN2314" s="500"/>
      <c r="AO2314" s="500"/>
      <c r="AP2314" s="500"/>
    </row>
    <row r="2315" spans="1:42" ht="16.5" customHeight="1">
      <c r="A2315" s="439"/>
      <c r="B2315" s="439"/>
      <c r="C2315" s="439"/>
      <c r="D2315" s="439"/>
      <c r="E2315" s="439"/>
      <c r="F2315" s="439"/>
      <c r="G2315" s="451" t="s">
        <v>3406</v>
      </c>
      <c r="Z2315" s="500"/>
      <c r="AA2315" s="500"/>
      <c r="AB2315" s="500"/>
      <c r="AC2315" s="500"/>
      <c r="AD2315" s="500"/>
      <c r="AE2315" s="500"/>
      <c r="AF2315" s="500"/>
      <c r="AG2315" s="500"/>
      <c r="AH2315" s="500"/>
      <c r="AI2315" s="500"/>
      <c r="AJ2315" s="500"/>
      <c r="AK2315" s="500"/>
      <c r="AL2315" s="500"/>
      <c r="AM2315" s="500"/>
      <c r="AN2315" s="500"/>
      <c r="AO2315" s="500"/>
      <c r="AP2315" s="500"/>
    </row>
    <row r="2316" spans="1:42" ht="16.5" customHeight="1">
      <c r="A2316" s="439"/>
      <c r="B2316" s="439"/>
      <c r="C2316" s="439"/>
      <c r="D2316" s="439"/>
      <c r="E2316" s="439"/>
      <c r="F2316" s="439"/>
      <c r="G2316" s="451" t="s">
        <v>3406</v>
      </c>
      <c r="Z2316" s="500"/>
      <c r="AA2316" s="500"/>
      <c r="AB2316" s="500"/>
      <c r="AC2316" s="500"/>
      <c r="AD2316" s="500"/>
      <c r="AE2316" s="500"/>
      <c r="AF2316" s="500"/>
      <c r="AG2316" s="500"/>
      <c r="AH2316" s="500"/>
      <c r="AI2316" s="500"/>
      <c r="AJ2316" s="500"/>
      <c r="AK2316" s="500"/>
      <c r="AL2316" s="500"/>
      <c r="AM2316" s="500"/>
      <c r="AN2316" s="500"/>
      <c r="AO2316" s="500"/>
      <c r="AP2316" s="500"/>
    </row>
    <row r="2317" spans="1:42" ht="16.5" customHeight="1">
      <c r="A2317" s="439"/>
      <c r="B2317" s="439"/>
      <c r="C2317" s="439"/>
      <c r="D2317" s="439"/>
      <c r="E2317" s="439"/>
      <c r="F2317" s="439"/>
      <c r="G2317" s="451" t="s">
        <v>3406</v>
      </c>
      <c r="Z2317" s="500"/>
      <c r="AA2317" s="500"/>
      <c r="AB2317" s="500"/>
      <c r="AC2317" s="500"/>
      <c r="AD2317" s="500"/>
      <c r="AE2317" s="500"/>
      <c r="AF2317" s="500"/>
      <c r="AG2317" s="500"/>
      <c r="AH2317" s="500"/>
      <c r="AI2317" s="500"/>
      <c r="AJ2317" s="500"/>
      <c r="AK2317" s="500"/>
      <c r="AL2317" s="500"/>
      <c r="AM2317" s="500"/>
      <c r="AN2317" s="500"/>
      <c r="AO2317" s="500"/>
      <c r="AP2317" s="500"/>
    </row>
    <row r="2318" spans="1:42" ht="16.5" customHeight="1">
      <c r="A2318" s="439"/>
      <c r="B2318" s="439"/>
      <c r="C2318" s="439"/>
      <c r="D2318" s="439"/>
      <c r="E2318" s="439"/>
      <c r="F2318" s="439"/>
      <c r="G2318" s="451" t="s">
        <v>3406</v>
      </c>
      <c r="Z2318" s="500"/>
      <c r="AA2318" s="500"/>
      <c r="AB2318" s="500"/>
      <c r="AC2318" s="500"/>
      <c r="AD2318" s="500"/>
      <c r="AE2318" s="500"/>
      <c r="AF2318" s="500"/>
      <c r="AG2318" s="500"/>
      <c r="AH2318" s="500"/>
      <c r="AI2318" s="500"/>
      <c r="AJ2318" s="500"/>
      <c r="AK2318" s="500"/>
      <c r="AL2318" s="500"/>
      <c r="AM2318" s="500"/>
      <c r="AN2318" s="500"/>
      <c r="AO2318" s="500"/>
      <c r="AP2318" s="500"/>
    </row>
    <row r="2319" spans="1:42" ht="16.5" customHeight="1">
      <c r="A2319" s="434"/>
      <c r="B2319" s="437" t="s">
        <v>3496</v>
      </c>
      <c r="C2319" s="439"/>
      <c r="D2319" s="439"/>
      <c r="E2319" s="439"/>
      <c r="F2319" s="439"/>
      <c r="G2319" s="451" t="s">
        <v>3497</v>
      </c>
      <c r="Z2319" s="500"/>
      <c r="AA2319" s="500"/>
      <c r="AB2319" s="500"/>
      <c r="AC2319" s="500"/>
      <c r="AD2319" s="500"/>
      <c r="AE2319" s="500"/>
      <c r="AF2319" s="500"/>
      <c r="AG2319" s="500"/>
      <c r="AH2319" s="500"/>
      <c r="AI2319" s="500"/>
      <c r="AJ2319" s="500"/>
      <c r="AK2319" s="500"/>
      <c r="AL2319" s="500"/>
      <c r="AM2319" s="500"/>
      <c r="AN2319" s="500"/>
      <c r="AO2319" s="500"/>
      <c r="AP2319" s="500"/>
    </row>
    <row r="2320" spans="1:42" ht="16.5" customHeight="1">
      <c r="A2320" s="439"/>
      <c r="B2320" s="439"/>
      <c r="C2320" s="439"/>
      <c r="D2320" s="439"/>
      <c r="E2320" s="439"/>
      <c r="F2320" s="439"/>
      <c r="G2320" s="451" t="s">
        <v>3406</v>
      </c>
      <c r="Z2320" s="500"/>
      <c r="AA2320" s="500"/>
      <c r="AB2320" s="500"/>
      <c r="AC2320" s="500"/>
      <c r="AD2320" s="500"/>
      <c r="AE2320" s="500"/>
      <c r="AF2320" s="500"/>
      <c r="AG2320" s="500"/>
      <c r="AH2320" s="500"/>
      <c r="AI2320" s="500"/>
      <c r="AJ2320" s="500"/>
      <c r="AK2320" s="500"/>
      <c r="AL2320" s="500"/>
      <c r="AM2320" s="500"/>
      <c r="AN2320" s="500"/>
      <c r="AO2320" s="500"/>
      <c r="AP2320" s="500"/>
    </row>
    <row r="2321" spans="1:42" ht="16.5" customHeight="1">
      <c r="A2321" s="434" t="s">
        <v>3498</v>
      </c>
      <c r="B2321" s="505" t="str">
        <f>" 조경공 :  "&amp;TEXT(I2321,"#,##0"&amp;IF(I2321&lt;&gt;INT(I2321),".###",""))&amp;" * "&amp;AA2321&amp;" 인  / Q = "&amp;TEXT(C2321,"#,##0.0")&amp;""</f>
        <v xml:space="preserve"> 조경공 :  235,204 * 4 인  / Q = 31,360.5</v>
      </c>
      <c r="C2321" s="506">
        <f>E2321+D2321+F2321</f>
        <v>31360.5</v>
      </c>
      <c r="D2321" s="506">
        <f>IF(H2321=0,0,ROUNDDOWN(J2321*H2321,1))</f>
        <v>31360.5</v>
      </c>
      <c r="E2321" s="506">
        <f>IF(H2321=0,0,ROUNDDOWN(K2321*H2321,1))</f>
        <v>0</v>
      </c>
      <c r="F2321" s="506">
        <f>IF(H2321=0,0,ROUNDDOWN(L2321*H2321,1))</f>
        <v>0</v>
      </c>
      <c r="G2321" s="451" t="s">
        <v>3653</v>
      </c>
      <c r="H2321" s="507">
        <f>ROUNDUP(AE2321,14-LEN(ABS(INT(AE2321))))</f>
        <v>0.1333333333334</v>
      </c>
      <c r="I2321" s="508">
        <f>K2321+J2321+L2321</f>
        <v>235204</v>
      </c>
      <c r="J2321" s="509">
        <f>노무비목록표!E15</f>
        <v>235204</v>
      </c>
      <c r="M2321" s="501" t="s">
        <v>2359</v>
      </c>
      <c r="N2321" s="501" t="s">
        <v>3416</v>
      </c>
      <c r="X2321" s="510" t="str">
        <f>노무비목록표!B15&amp;" / "&amp;노무비목록표!C15</f>
        <v xml:space="preserve">조경공 / </v>
      </c>
      <c r="Y2321" s="433" t="str">
        <f ca="1">HYPERLINK("#"&amp;노무비목록표!G2&amp;"!A"&amp;ROW(노무비목록표!A15),"L00184 →")</f>
        <v>L00184 →</v>
      </c>
      <c r="Z2321" s="501" t="s">
        <v>3500</v>
      </c>
      <c r="AA2321" s="515">
        <v>4</v>
      </c>
      <c r="AB2321" s="501" t="s">
        <v>3428</v>
      </c>
      <c r="AC2321" s="512">
        <f>AB2312</f>
        <v>30</v>
      </c>
      <c r="AD2321" s="501" t="s">
        <v>3418</v>
      </c>
      <c r="AE2321" s="512">
        <f>1*AA2321/AB2312</f>
        <v>0.13333333333333333</v>
      </c>
      <c r="AF2321" s="500"/>
      <c r="AG2321" s="500"/>
      <c r="AH2321" s="500"/>
      <c r="AI2321" s="500"/>
      <c r="AJ2321" s="500"/>
      <c r="AK2321" s="500"/>
      <c r="AL2321" s="500"/>
      <c r="AM2321" s="500"/>
      <c r="AN2321" s="500"/>
      <c r="AO2321" s="500"/>
      <c r="AP2321" s="500"/>
    </row>
    <row r="2322" spans="1:42" ht="16.5" customHeight="1">
      <c r="A2322" s="439"/>
      <c r="B2322" s="439"/>
      <c r="C2322" s="439"/>
      <c r="D2322" s="439"/>
      <c r="E2322" s="439"/>
      <c r="F2322" s="439"/>
      <c r="G2322" s="451" t="s">
        <v>3406</v>
      </c>
      <c r="Z2322" s="500"/>
      <c r="AA2322" s="500"/>
      <c r="AB2322" s="500"/>
      <c r="AC2322" s="500"/>
      <c r="AD2322" s="500"/>
      <c r="AE2322" s="500"/>
      <c r="AF2322" s="500"/>
      <c r="AG2322" s="500"/>
      <c r="AH2322" s="500"/>
      <c r="AI2322" s="500"/>
      <c r="AJ2322" s="500"/>
      <c r="AK2322" s="500"/>
      <c r="AL2322" s="500"/>
      <c r="AM2322" s="500"/>
      <c r="AN2322" s="500"/>
      <c r="AO2322" s="500"/>
      <c r="AP2322" s="500"/>
    </row>
    <row r="2323" spans="1:42" ht="16.5" customHeight="1">
      <c r="A2323" s="439"/>
      <c r="B2323" s="439"/>
      <c r="C2323" s="439"/>
      <c r="D2323" s="439"/>
      <c r="E2323" s="439"/>
      <c r="F2323" s="439"/>
      <c r="G2323" s="451" t="s">
        <v>3406</v>
      </c>
      <c r="Z2323" s="500"/>
      <c r="AA2323" s="500"/>
      <c r="AB2323" s="500"/>
      <c r="AC2323" s="500"/>
      <c r="AD2323" s="500"/>
      <c r="AE2323" s="500"/>
      <c r="AF2323" s="500"/>
      <c r="AG2323" s="500"/>
      <c r="AH2323" s="500"/>
      <c r="AI2323" s="500"/>
      <c r="AJ2323" s="500"/>
      <c r="AK2323" s="500"/>
      <c r="AL2323" s="500"/>
      <c r="AM2323" s="500"/>
      <c r="AN2323" s="500"/>
      <c r="AO2323" s="500"/>
      <c r="AP2323" s="500"/>
    </row>
    <row r="2324" spans="1:42" ht="16.5" customHeight="1">
      <c r="A2324" s="434" t="s">
        <v>3414</v>
      </c>
      <c r="B2324" s="505" t="str">
        <f>" 보통인부 : "&amp;TEXT(I2324,"#,##0"&amp;IF(I2324&lt;&gt;INT(I2324),".###",""))&amp;" * "&amp;AA2324&amp;" 인  / Q = "&amp;TEXT(C2324,"#,##0.0")&amp;""</f>
        <v xml:space="preserve"> 보통인부 : 172,068 * 2 인  / Q = 11,471.2</v>
      </c>
      <c r="C2324" s="506">
        <f>E2324+D2324+F2324</f>
        <v>11471.2</v>
      </c>
      <c r="D2324" s="506">
        <f>IF(H2324=0,0,ROUNDDOWN(J2324*H2324,1))</f>
        <v>11471.2</v>
      </c>
      <c r="E2324" s="506">
        <f>IF(H2324=0,0,ROUNDDOWN(K2324*H2324,1))</f>
        <v>0</v>
      </c>
      <c r="F2324" s="506">
        <f>IF(H2324=0,0,ROUNDDOWN(L2324*H2324,1))</f>
        <v>0</v>
      </c>
      <c r="G2324" s="451" t="s">
        <v>3654</v>
      </c>
      <c r="H2324" s="507">
        <f>ROUNDUP(AE2324,14-LEN(ABS(INT(AE2324))))</f>
        <v>6.66666666667E-2</v>
      </c>
      <c r="I2324" s="508">
        <f>K2324+J2324+L2324</f>
        <v>172068</v>
      </c>
      <c r="J2324" s="509">
        <f>노무비목록표!E10</f>
        <v>172068</v>
      </c>
      <c r="M2324" s="501" t="s">
        <v>2363</v>
      </c>
      <c r="N2324" s="501" t="s">
        <v>3416</v>
      </c>
      <c r="X2324" s="510" t="str">
        <f>노무비목록표!B10&amp;" / "&amp;노무비목록표!C10</f>
        <v xml:space="preserve">보통인부 / </v>
      </c>
      <c r="Y2324" s="433" t="str">
        <f ca="1">HYPERLINK("#"&amp;노무비목록표!G2&amp;"!A"&amp;ROW(노무비목록표!A10),"L00017 →")</f>
        <v>L00017 →</v>
      </c>
      <c r="Z2324" s="501" t="s">
        <v>3500</v>
      </c>
      <c r="AA2324" s="515">
        <v>2</v>
      </c>
      <c r="AB2324" s="501" t="s">
        <v>3428</v>
      </c>
      <c r="AC2324" s="512">
        <f>AB2312</f>
        <v>30</v>
      </c>
      <c r="AD2324" s="501" t="s">
        <v>3418</v>
      </c>
      <c r="AE2324" s="512">
        <f>1*AA2324/AB2312</f>
        <v>6.6666666666666666E-2</v>
      </c>
      <c r="AF2324" s="500"/>
      <c r="AG2324" s="500"/>
      <c r="AH2324" s="500"/>
      <c r="AI2324" s="500"/>
      <c r="AJ2324" s="500"/>
      <c r="AK2324" s="500"/>
      <c r="AL2324" s="500"/>
      <c r="AM2324" s="500"/>
      <c r="AN2324" s="500"/>
      <c r="AO2324" s="500"/>
      <c r="AP2324" s="500"/>
    </row>
    <row r="2325" spans="1:42" ht="16.5" customHeight="1">
      <c r="A2325" s="439"/>
      <c r="B2325" s="439"/>
      <c r="C2325" s="439"/>
      <c r="D2325" s="439"/>
      <c r="E2325" s="439"/>
      <c r="F2325" s="439"/>
      <c r="G2325" s="451" t="s">
        <v>3406</v>
      </c>
      <c r="Z2325" s="500"/>
      <c r="AA2325" s="500"/>
      <c r="AB2325" s="500"/>
      <c r="AC2325" s="500"/>
      <c r="AD2325" s="500"/>
      <c r="AE2325" s="500"/>
      <c r="AF2325" s="500"/>
      <c r="AG2325" s="500"/>
      <c r="AH2325" s="500"/>
      <c r="AI2325" s="500"/>
      <c r="AJ2325" s="500"/>
      <c r="AK2325" s="500"/>
      <c r="AL2325" s="500"/>
      <c r="AM2325" s="500"/>
      <c r="AN2325" s="500"/>
      <c r="AO2325" s="500"/>
      <c r="AP2325" s="500"/>
    </row>
    <row r="2326" spans="1:42" ht="16.5" customHeight="1">
      <c r="A2326" s="434"/>
      <c r="B2326" s="437" t="s">
        <v>3419</v>
      </c>
      <c r="C2326" s="513">
        <f>E2326+D2326+F2326</f>
        <v>42831.7</v>
      </c>
      <c r="D2326" s="513">
        <f>SUMIF(N2307:N2325,M2326,D2307:D2325)</f>
        <v>42831.7</v>
      </c>
      <c r="E2326" s="513">
        <f>SUMIF(N2307:N2325,M2326,E2307:E2325)</f>
        <v>0</v>
      </c>
      <c r="F2326" s="513">
        <f>SUMIF(N2307:N2325,M2326,F2307:F2325)</f>
        <v>0</v>
      </c>
      <c r="G2326" s="451" t="s">
        <v>3439</v>
      </c>
      <c r="M2326" s="501" t="s">
        <v>3416</v>
      </c>
      <c r="N2326" s="501" t="s">
        <v>3421</v>
      </c>
      <c r="Z2326" s="500"/>
      <c r="AA2326" s="500"/>
      <c r="AB2326" s="500"/>
      <c r="AC2326" s="500"/>
      <c r="AD2326" s="500"/>
      <c r="AE2326" s="500"/>
      <c r="AF2326" s="500"/>
      <c r="AG2326" s="500"/>
      <c r="AH2326" s="500"/>
      <c r="AI2326" s="500"/>
      <c r="AJ2326" s="500"/>
      <c r="AK2326" s="500"/>
      <c r="AL2326" s="500"/>
      <c r="AM2326" s="500"/>
      <c r="AN2326" s="500"/>
      <c r="AO2326" s="500"/>
      <c r="AP2326" s="500"/>
    </row>
    <row r="2327" spans="1:42" ht="16.5" customHeight="1">
      <c r="A2327" s="439"/>
      <c r="B2327" s="439"/>
      <c r="C2327" s="504"/>
      <c r="D2327" s="504"/>
      <c r="E2327" s="504"/>
      <c r="F2327" s="504"/>
      <c r="G2327" s="451" t="s">
        <v>3406</v>
      </c>
      <c r="Z2327" s="500"/>
      <c r="AA2327" s="500"/>
      <c r="AB2327" s="500"/>
      <c r="AC2327" s="500"/>
      <c r="AD2327" s="500"/>
      <c r="AE2327" s="500"/>
      <c r="AF2327" s="500"/>
      <c r="AG2327" s="500"/>
      <c r="AH2327" s="500"/>
      <c r="AI2327" s="500"/>
      <c r="AJ2327" s="500"/>
      <c r="AK2327" s="500"/>
      <c r="AL2327" s="500"/>
      <c r="AM2327" s="500"/>
      <c r="AN2327" s="500"/>
      <c r="AO2327" s="500"/>
      <c r="AP2327" s="500"/>
    </row>
    <row r="2328" spans="1:42" ht="16.5" customHeight="1">
      <c r="A2328" s="439"/>
      <c r="B2328" s="439"/>
      <c r="C2328" s="439"/>
      <c r="D2328" s="439"/>
      <c r="E2328" s="439"/>
      <c r="F2328" s="439"/>
      <c r="G2328" s="451" t="s">
        <v>3406</v>
      </c>
      <c r="Z2328" s="500"/>
      <c r="AA2328" s="500"/>
      <c r="AB2328" s="500"/>
      <c r="AC2328" s="500"/>
      <c r="AD2328" s="500"/>
      <c r="AE2328" s="500"/>
      <c r="AF2328" s="500"/>
      <c r="AG2328" s="500"/>
      <c r="AH2328" s="500"/>
      <c r="AI2328" s="500"/>
      <c r="AJ2328" s="500"/>
      <c r="AK2328" s="500"/>
      <c r="AL2328" s="500"/>
      <c r="AM2328" s="500"/>
      <c r="AN2328" s="500"/>
      <c r="AO2328" s="500"/>
      <c r="AP2328" s="500"/>
    </row>
    <row r="2329" spans="1:42" ht="16.5" customHeight="1">
      <c r="A2329" s="434"/>
      <c r="B2329" s="437" t="s">
        <v>3502</v>
      </c>
      <c r="C2329" s="439"/>
      <c r="D2329" s="439"/>
      <c r="E2329" s="439"/>
      <c r="F2329" s="439"/>
      <c r="G2329" s="451" t="s">
        <v>3503</v>
      </c>
      <c r="Z2329" s="500"/>
      <c r="AA2329" s="500"/>
      <c r="AB2329" s="500"/>
      <c r="AC2329" s="500"/>
      <c r="AD2329" s="500"/>
      <c r="AE2329" s="500"/>
      <c r="AF2329" s="500"/>
      <c r="AG2329" s="500"/>
      <c r="AH2329" s="500"/>
      <c r="AI2329" s="500"/>
      <c r="AJ2329" s="500"/>
      <c r="AK2329" s="500"/>
      <c r="AL2329" s="500"/>
      <c r="AM2329" s="500"/>
      <c r="AN2329" s="500"/>
      <c r="AO2329" s="500"/>
      <c r="AP2329" s="500"/>
    </row>
    <row r="2330" spans="1:42" ht="16.5" customHeight="1">
      <c r="A2330" s="439"/>
      <c r="B2330" s="439"/>
      <c r="C2330" s="439"/>
      <c r="D2330" s="439"/>
      <c r="E2330" s="439"/>
      <c r="F2330" s="439"/>
      <c r="G2330" s="451" t="s">
        <v>3406</v>
      </c>
      <c r="Z2330" s="500"/>
      <c r="AA2330" s="500"/>
      <c r="AB2330" s="500"/>
      <c r="AC2330" s="500"/>
      <c r="AD2330" s="500"/>
      <c r="AE2330" s="500"/>
      <c r="AF2330" s="500"/>
      <c r="AG2330" s="500"/>
      <c r="AH2330" s="500"/>
      <c r="AI2330" s="500"/>
      <c r="AJ2330" s="500"/>
      <c r="AK2330" s="500"/>
      <c r="AL2330" s="500"/>
      <c r="AM2330" s="500"/>
      <c r="AN2330" s="500"/>
      <c r="AO2330" s="500"/>
      <c r="AP2330" s="500"/>
    </row>
    <row r="2331" spans="1:42" ht="16.5" customHeight="1">
      <c r="A2331" s="434" t="s">
        <v>3628</v>
      </c>
      <c r="B2331" s="505" t="str">
        <f>"  지주목 이각, L1200 : "&amp;TEXT(I2331,"#,##0"&amp;IF(I2331&lt;&gt;INT(I2331),".###",""))&amp;" * "&amp;AA2331&amp;" 조  = "&amp;TEXT(C2331,"#,##0.0")&amp;""</f>
        <v xml:space="preserve">  지주목 이각, L1200 : 7,300 * 1 조  = 7,300.0</v>
      </c>
      <c r="C2331" s="506">
        <f>E2331+D2331+F2331</f>
        <v>7300</v>
      </c>
      <c r="D2331" s="506">
        <f>IF(H2331=0,0,ROUNDDOWN(J2331*H2331,1))</f>
        <v>0</v>
      </c>
      <c r="E2331" s="506">
        <f>IF(H2331=0,0,ROUNDDOWN(K2331*H2331,1))</f>
        <v>7300</v>
      </c>
      <c r="F2331" s="506">
        <f>IF(H2331=0,0,ROUNDDOWN(L2331*H2331,1))</f>
        <v>0</v>
      </c>
      <c r="G2331" s="451" t="s">
        <v>3629</v>
      </c>
      <c r="H2331" s="507">
        <f>ROUNDUP(AC2331,14-LEN(ABS(INT(AC2331))))</f>
        <v>1</v>
      </c>
      <c r="I2331" s="508">
        <f>K2331+J2331+L2331</f>
        <v>7300</v>
      </c>
      <c r="K2331" s="509">
        <f>재료비목록표!E94</f>
        <v>7300</v>
      </c>
      <c r="M2331" s="501" t="s">
        <v>3630</v>
      </c>
      <c r="N2331" s="501" t="s">
        <v>3416</v>
      </c>
      <c r="X2331" s="510" t="str">
        <f>재료비목록표!B94&amp;" / "&amp;재료비목록표!C94</f>
        <v>지주목 / 이각, L1200</v>
      </c>
      <c r="Y2331" s="433" t="str">
        <f ca="1">HYPERLINK("#"&amp;재료비목록표!G2&amp;"!A"&amp;ROW(재료비목록표!A94),"M08848 →")</f>
        <v>M08848 →</v>
      </c>
      <c r="Z2331" s="501" t="s">
        <v>3500</v>
      </c>
      <c r="AA2331" s="515">
        <v>1</v>
      </c>
      <c r="AB2331" s="501" t="s">
        <v>3418</v>
      </c>
      <c r="AC2331" s="512">
        <f>1*AA2331</f>
        <v>1</v>
      </c>
      <c r="AD2331" s="500"/>
      <c r="AE2331" s="500"/>
      <c r="AF2331" s="500"/>
      <c r="AG2331" s="500"/>
      <c r="AH2331" s="500"/>
      <c r="AI2331" s="500"/>
      <c r="AJ2331" s="500"/>
      <c r="AK2331" s="500"/>
      <c r="AL2331" s="500"/>
      <c r="AM2331" s="500"/>
      <c r="AN2331" s="500"/>
      <c r="AO2331" s="500"/>
      <c r="AP2331" s="500"/>
    </row>
    <row r="2332" spans="1:42" ht="16.5" customHeight="1">
      <c r="A2332" s="439"/>
      <c r="B2332" s="439"/>
      <c r="C2332" s="439"/>
      <c r="D2332" s="439"/>
      <c r="E2332" s="439"/>
      <c r="F2332" s="439"/>
      <c r="G2332" s="451" t="s">
        <v>3406</v>
      </c>
      <c r="Z2332" s="500"/>
      <c r="AA2332" s="500"/>
      <c r="AB2332" s="500"/>
      <c r="AC2332" s="500"/>
      <c r="AD2332" s="500"/>
      <c r="AE2332" s="500"/>
      <c r="AF2332" s="500"/>
      <c r="AG2332" s="500"/>
      <c r="AH2332" s="500"/>
      <c r="AI2332" s="500"/>
      <c r="AJ2332" s="500"/>
      <c r="AK2332" s="500"/>
      <c r="AL2332" s="500"/>
      <c r="AM2332" s="500"/>
      <c r="AN2332" s="500"/>
      <c r="AO2332" s="500"/>
      <c r="AP2332" s="500"/>
    </row>
    <row r="2333" spans="1:42" ht="16.5" customHeight="1">
      <c r="A2333" s="439"/>
      <c r="B2333" s="439"/>
      <c r="C2333" s="439"/>
      <c r="D2333" s="439"/>
      <c r="E2333" s="439"/>
      <c r="F2333" s="439"/>
      <c r="G2333" s="451" t="s">
        <v>3406</v>
      </c>
      <c r="Z2333" s="500"/>
      <c r="AA2333" s="500"/>
      <c r="AB2333" s="500"/>
      <c r="AC2333" s="500"/>
      <c r="AD2333" s="500"/>
      <c r="AE2333" s="500"/>
      <c r="AF2333" s="500"/>
      <c r="AG2333" s="500"/>
      <c r="AH2333" s="500"/>
      <c r="AI2333" s="500"/>
      <c r="AJ2333" s="500"/>
      <c r="AK2333" s="500"/>
      <c r="AL2333" s="500"/>
      <c r="AM2333" s="500"/>
      <c r="AN2333" s="500"/>
      <c r="AO2333" s="500"/>
      <c r="AP2333" s="500"/>
    </row>
    <row r="2334" spans="1:42" ht="16.5" customHeight="1">
      <c r="A2334" s="434" t="s">
        <v>3504</v>
      </c>
      <c r="B2334" s="505" t="str">
        <f>"  유기질비료 수목이식·식재용 : "&amp;TEXT(I2334,"#,##0"&amp;IF(I2334&lt;&gt;INT(I2334),".###",""))&amp;" * "&amp;AA2334&amp;" KG   = "&amp;TEXT(C2334,"#,##0.0")&amp;""</f>
        <v xml:space="preserve">  유기질비료 수목이식·식재용 : 500 * 10 KG   = 5,000.0</v>
      </c>
      <c r="C2334" s="506">
        <f>E2334+D2334+F2334</f>
        <v>5000</v>
      </c>
      <c r="D2334" s="506">
        <f>IF(H2334=0,0,ROUNDDOWN(J2334*H2334,1))</f>
        <v>0</v>
      </c>
      <c r="E2334" s="506">
        <f>IF(H2334=0,0,ROUNDDOWN(K2334*H2334,1))</f>
        <v>5000</v>
      </c>
      <c r="F2334" s="506">
        <f>IF(H2334=0,0,ROUNDDOWN(L2334*H2334,1))</f>
        <v>0</v>
      </c>
      <c r="G2334" s="451" t="s">
        <v>3631</v>
      </c>
      <c r="H2334" s="507">
        <f>ROUNDUP(AC2334,14-LEN(ABS(INT(AC2334))))</f>
        <v>10</v>
      </c>
      <c r="I2334" s="508">
        <f>K2334+J2334+L2334</f>
        <v>500</v>
      </c>
      <c r="K2334" s="509">
        <f>재료비목록표!E78</f>
        <v>500</v>
      </c>
      <c r="M2334" s="501" t="s">
        <v>3506</v>
      </c>
      <c r="N2334" s="501" t="s">
        <v>3416</v>
      </c>
      <c r="X2334" s="510" t="str">
        <f>재료비목록표!B78&amp;" / "&amp;재료비목록표!C78</f>
        <v>유기질비료 / 수목이식·식재용</v>
      </c>
      <c r="Y2334" s="433" t="str">
        <f ca="1">HYPERLINK("#"&amp;재료비목록표!G2&amp;"!A"&amp;ROW(재료비목록표!A78),"M01159 →")</f>
        <v>M01159 →</v>
      </c>
      <c r="Z2334" s="501" t="s">
        <v>3500</v>
      </c>
      <c r="AA2334" s="515">
        <v>10</v>
      </c>
      <c r="AB2334" s="501" t="s">
        <v>3418</v>
      </c>
      <c r="AC2334" s="512">
        <f>1*AA2334</f>
        <v>10</v>
      </c>
      <c r="AD2334" s="500"/>
      <c r="AE2334" s="500"/>
      <c r="AF2334" s="500"/>
      <c r="AG2334" s="500"/>
      <c r="AH2334" s="500"/>
      <c r="AI2334" s="500"/>
      <c r="AJ2334" s="500"/>
      <c r="AK2334" s="500"/>
      <c r="AL2334" s="500"/>
      <c r="AM2334" s="500"/>
      <c r="AN2334" s="500"/>
      <c r="AO2334" s="500"/>
      <c r="AP2334" s="500"/>
    </row>
    <row r="2335" spans="1:42" ht="16.5" customHeight="1">
      <c r="A2335" s="439"/>
      <c r="B2335" s="439"/>
      <c r="C2335" s="439"/>
      <c r="D2335" s="439"/>
      <c r="E2335" s="439"/>
      <c r="F2335" s="439"/>
      <c r="G2335" s="451" t="s">
        <v>3406</v>
      </c>
      <c r="Z2335" s="500"/>
      <c r="AA2335" s="500"/>
      <c r="AB2335" s="500"/>
      <c r="AC2335" s="500"/>
      <c r="AD2335" s="500"/>
      <c r="AE2335" s="500"/>
      <c r="AF2335" s="500"/>
      <c r="AG2335" s="500"/>
      <c r="AH2335" s="500"/>
      <c r="AI2335" s="500"/>
      <c r="AJ2335" s="500"/>
      <c r="AK2335" s="500"/>
      <c r="AL2335" s="500"/>
      <c r="AM2335" s="500"/>
      <c r="AN2335" s="500"/>
      <c r="AO2335" s="500"/>
      <c r="AP2335" s="500"/>
    </row>
    <row r="2336" spans="1:42" ht="16.5" customHeight="1">
      <c r="A2336" s="434"/>
      <c r="B2336" s="437" t="s">
        <v>3419</v>
      </c>
      <c r="C2336" s="513">
        <f>E2336+D2336+F2336</f>
        <v>12300</v>
      </c>
      <c r="D2336" s="513">
        <f>SUMIF(N2327:N2335,M2336,D2327:D2335)</f>
        <v>0</v>
      </c>
      <c r="E2336" s="513">
        <f>SUMIF(N2327:N2335,M2336,E2327:E2335)</f>
        <v>12300</v>
      </c>
      <c r="F2336" s="513">
        <f>SUMIF(N2327:N2335,M2336,F2327:F2335)</f>
        <v>0</v>
      </c>
      <c r="G2336" s="451" t="s">
        <v>3439</v>
      </c>
      <c r="M2336" s="501" t="s">
        <v>3416</v>
      </c>
      <c r="N2336" s="501" t="s">
        <v>3421</v>
      </c>
      <c r="Z2336" s="500"/>
      <c r="AA2336" s="500"/>
      <c r="AB2336" s="500"/>
      <c r="AC2336" s="500"/>
      <c r="AD2336" s="500"/>
      <c r="AE2336" s="500"/>
      <c r="AF2336" s="500"/>
      <c r="AG2336" s="500"/>
      <c r="AH2336" s="500"/>
      <c r="AI2336" s="500"/>
      <c r="AJ2336" s="500"/>
      <c r="AK2336" s="500"/>
      <c r="AL2336" s="500"/>
      <c r="AM2336" s="500"/>
      <c r="AN2336" s="500"/>
      <c r="AO2336" s="500"/>
      <c r="AP2336" s="500"/>
    </row>
    <row r="2337" spans="1:42" ht="16.5" customHeight="1">
      <c r="A2337" s="439"/>
      <c r="B2337" s="439"/>
      <c r="C2337" s="504"/>
      <c r="D2337" s="504"/>
      <c r="E2337" s="504"/>
      <c r="F2337" s="504"/>
      <c r="G2337" s="451" t="s">
        <v>3406</v>
      </c>
      <c r="Z2337" s="500"/>
      <c r="AA2337" s="500"/>
      <c r="AB2337" s="500"/>
      <c r="AC2337" s="500"/>
      <c r="AD2337" s="500"/>
      <c r="AE2337" s="500"/>
      <c r="AF2337" s="500"/>
      <c r="AG2337" s="500"/>
      <c r="AH2337" s="500"/>
      <c r="AI2337" s="500"/>
      <c r="AJ2337" s="500"/>
      <c r="AK2337" s="500"/>
      <c r="AL2337" s="500"/>
      <c r="AM2337" s="500"/>
      <c r="AN2337" s="500"/>
      <c r="AO2337" s="500"/>
      <c r="AP2337" s="500"/>
    </row>
    <row r="2338" spans="1:42" ht="16.5" customHeight="1">
      <c r="A2338" s="434"/>
      <c r="B2338" s="437" t="s">
        <v>3440</v>
      </c>
      <c r="C2338" s="513">
        <f>E2338+D2338+F2338</f>
        <v>55131.7</v>
      </c>
      <c r="D2338" s="513">
        <f>SUMIF(N2307:N2337,M2338,D2307:D2337)</f>
        <v>42831.7</v>
      </c>
      <c r="E2338" s="513">
        <f>SUMIF(N2307:N2337,M2338,E2307:E2337)</f>
        <v>12300</v>
      </c>
      <c r="F2338" s="513">
        <f>SUMIF(N2307:N2337,M2338,F2307:F2337)</f>
        <v>0</v>
      </c>
      <c r="G2338" s="451" t="s">
        <v>3441</v>
      </c>
      <c r="M2338" s="501" t="s">
        <v>3421</v>
      </c>
      <c r="N2338" s="501" t="s">
        <v>2354</v>
      </c>
      <c r="Z2338" s="500"/>
      <c r="AA2338" s="500"/>
      <c r="AB2338" s="500"/>
      <c r="AC2338" s="500"/>
      <c r="AD2338" s="500"/>
      <c r="AE2338" s="500"/>
      <c r="AF2338" s="500"/>
      <c r="AG2338" s="500"/>
      <c r="AH2338" s="500"/>
      <c r="AI2338" s="500"/>
      <c r="AJ2338" s="500"/>
      <c r="AK2338" s="500"/>
      <c r="AL2338" s="500"/>
      <c r="AM2338" s="500"/>
      <c r="AN2338" s="500"/>
      <c r="AO2338" s="500"/>
      <c r="AP2338" s="500"/>
    </row>
    <row r="2339" spans="1:42" ht="16.5" customHeight="1">
      <c r="A2339" s="439"/>
      <c r="B2339" s="439"/>
      <c r="C2339" s="504"/>
      <c r="D2339" s="504"/>
      <c r="E2339" s="504"/>
      <c r="F2339" s="504"/>
      <c r="G2339" s="451" t="s">
        <v>3413</v>
      </c>
      <c r="Z2339" s="500"/>
      <c r="AA2339" s="500"/>
      <c r="AB2339" s="500"/>
      <c r="AC2339" s="500"/>
      <c r="AD2339" s="500"/>
      <c r="AE2339" s="500"/>
      <c r="AF2339" s="500"/>
      <c r="AG2339" s="500"/>
      <c r="AH2339" s="500"/>
      <c r="AI2339" s="500"/>
      <c r="AJ2339" s="500"/>
      <c r="AK2339" s="500"/>
      <c r="AL2339" s="500"/>
      <c r="AM2339" s="500"/>
      <c r="AN2339" s="500"/>
      <c r="AO2339" s="500"/>
      <c r="AP2339" s="500"/>
    </row>
    <row r="2340" spans="1:42" ht="16.5" customHeight="1">
      <c r="A2340" s="439"/>
      <c r="B2340" s="439"/>
      <c r="C2340" s="439"/>
      <c r="D2340" s="439"/>
      <c r="E2340" s="439"/>
      <c r="F2340" s="439"/>
      <c r="Z2340" s="500"/>
      <c r="AA2340" s="500"/>
      <c r="AB2340" s="500"/>
      <c r="AC2340" s="500"/>
      <c r="AD2340" s="500"/>
      <c r="AE2340" s="500"/>
      <c r="AF2340" s="500"/>
      <c r="AG2340" s="500"/>
      <c r="AH2340" s="500"/>
      <c r="AI2340" s="500"/>
      <c r="AJ2340" s="500"/>
      <c r="AK2340" s="500"/>
      <c r="AL2340" s="500"/>
      <c r="AM2340" s="500"/>
      <c r="AN2340" s="500"/>
      <c r="AO2340" s="500"/>
      <c r="AP2340" s="500"/>
    </row>
    <row r="2341" spans="1:42" ht="16.5" customHeight="1">
      <c r="A2341" s="439"/>
      <c r="B2341" s="439"/>
      <c r="C2341" s="439"/>
      <c r="D2341" s="439"/>
      <c r="E2341" s="439"/>
      <c r="F2341" s="439"/>
      <c r="Z2341" s="500"/>
      <c r="AA2341" s="500"/>
      <c r="AB2341" s="500"/>
      <c r="AC2341" s="500"/>
      <c r="AD2341" s="500"/>
      <c r="AE2341" s="500"/>
      <c r="AF2341" s="500"/>
      <c r="AG2341" s="500"/>
      <c r="AH2341" s="500"/>
      <c r="AI2341" s="500"/>
      <c r="AJ2341" s="500"/>
      <c r="AK2341" s="500"/>
      <c r="AL2341" s="500"/>
      <c r="AM2341" s="500"/>
      <c r="AN2341" s="500"/>
      <c r="AO2341" s="500"/>
      <c r="AP2341" s="500"/>
    </row>
    <row r="2342" spans="1:42" ht="16.5" customHeight="1">
      <c r="A2342" s="439"/>
      <c r="B2342" s="439"/>
      <c r="C2342" s="439"/>
      <c r="D2342" s="439"/>
      <c r="E2342" s="439"/>
      <c r="F2342" s="439"/>
      <c r="Z2342" s="500"/>
      <c r="AA2342" s="500"/>
      <c r="AB2342" s="500"/>
      <c r="AC2342" s="500"/>
      <c r="AD2342" s="500"/>
      <c r="AE2342" s="500"/>
      <c r="AF2342" s="500"/>
      <c r="AG2342" s="500"/>
      <c r="AH2342" s="500"/>
      <c r="AI2342" s="500"/>
      <c r="AJ2342" s="500"/>
      <c r="AK2342" s="500"/>
      <c r="AL2342" s="500"/>
      <c r="AM2342" s="500"/>
      <c r="AN2342" s="500"/>
      <c r="AO2342" s="500"/>
      <c r="AP2342" s="500"/>
    </row>
    <row r="2343" spans="1:42" ht="16.5" customHeight="1">
      <c r="A2343" s="439"/>
      <c r="B2343" s="439"/>
      <c r="C2343" s="439"/>
      <c r="D2343" s="439"/>
      <c r="E2343" s="439"/>
      <c r="F2343" s="439"/>
      <c r="Z2343" s="500"/>
      <c r="AA2343" s="500"/>
      <c r="AB2343" s="500"/>
      <c r="AC2343" s="500"/>
      <c r="AD2343" s="500"/>
      <c r="AE2343" s="500"/>
      <c r="AF2343" s="500"/>
      <c r="AG2343" s="500"/>
      <c r="AH2343" s="500"/>
      <c r="AI2343" s="500"/>
      <c r="AJ2343" s="500"/>
      <c r="AK2343" s="500"/>
      <c r="AL2343" s="500"/>
      <c r="AM2343" s="500"/>
      <c r="AN2343" s="500"/>
      <c r="AO2343" s="500"/>
      <c r="AP2343" s="500"/>
    </row>
    <row r="2344" spans="1:42" ht="16.5" customHeight="1">
      <c r="A2344" s="439"/>
      <c r="B2344" s="439"/>
      <c r="C2344" s="439"/>
      <c r="D2344" s="439"/>
      <c r="E2344" s="439"/>
      <c r="F2344" s="439"/>
      <c r="Z2344" s="500"/>
      <c r="AA2344" s="500"/>
      <c r="AB2344" s="500"/>
      <c r="AC2344" s="500"/>
      <c r="AD2344" s="500"/>
      <c r="AE2344" s="500"/>
      <c r="AF2344" s="500"/>
      <c r="AG2344" s="500"/>
      <c r="AH2344" s="500"/>
      <c r="AI2344" s="500"/>
      <c r="AJ2344" s="500"/>
      <c r="AK2344" s="500"/>
      <c r="AL2344" s="500"/>
      <c r="AM2344" s="500"/>
      <c r="AN2344" s="500"/>
      <c r="AO2344" s="500"/>
      <c r="AP2344" s="500"/>
    </row>
    <row r="2345" spans="1:42" ht="16.5" customHeight="1">
      <c r="A2345" s="439"/>
      <c r="B2345" s="439"/>
      <c r="C2345" s="439"/>
      <c r="D2345" s="439"/>
      <c r="E2345" s="439"/>
      <c r="F2345" s="439"/>
      <c r="Z2345" s="500"/>
      <c r="AA2345" s="500"/>
      <c r="AB2345" s="500"/>
      <c r="AC2345" s="500"/>
      <c r="AD2345" s="500"/>
      <c r="AE2345" s="500"/>
      <c r="AF2345" s="500"/>
      <c r="AG2345" s="500"/>
      <c r="AH2345" s="500"/>
      <c r="AI2345" s="500"/>
      <c r="AJ2345" s="500"/>
      <c r="AK2345" s="500"/>
      <c r="AL2345" s="500"/>
      <c r="AM2345" s="500"/>
      <c r="AN2345" s="500"/>
      <c r="AO2345" s="500"/>
      <c r="AP2345" s="500"/>
    </row>
    <row r="2346" spans="1:42" ht="16.5" customHeight="1">
      <c r="A2346" s="439"/>
      <c r="B2346" s="439"/>
      <c r="C2346" s="439"/>
      <c r="D2346" s="439"/>
      <c r="E2346" s="439"/>
      <c r="F2346" s="439"/>
      <c r="Z2346" s="500"/>
      <c r="AA2346" s="500"/>
      <c r="AB2346" s="500"/>
      <c r="AC2346" s="500"/>
      <c r="AD2346" s="500"/>
      <c r="AE2346" s="500"/>
      <c r="AF2346" s="500"/>
      <c r="AG2346" s="500"/>
      <c r="AH2346" s="500"/>
      <c r="AI2346" s="500"/>
      <c r="AJ2346" s="500"/>
      <c r="AK2346" s="500"/>
      <c r="AL2346" s="500"/>
      <c r="AM2346" s="500"/>
      <c r="AN2346" s="500"/>
      <c r="AO2346" s="500"/>
      <c r="AP2346" s="500"/>
    </row>
    <row r="2347" spans="1:42" ht="16.5" customHeight="1">
      <c r="A2347" s="439"/>
      <c r="B2347" s="439"/>
      <c r="C2347" s="439"/>
      <c r="D2347" s="439"/>
      <c r="E2347" s="439"/>
      <c r="F2347" s="439"/>
      <c r="Z2347" s="500"/>
      <c r="AA2347" s="500"/>
      <c r="AB2347" s="500"/>
      <c r="AC2347" s="500"/>
      <c r="AD2347" s="500"/>
      <c r="AE2347" s="500"/>
      <c r="AF2347" s="500"/>
      <c r="AG2347" s="500"/>
      <c r="AH2347" s="500"/>
      <c r="AI2347" s="500"/>
      <c r="AJ2347" s="500"/>
      <c r="AK2347" s="500"/>
      <c r="AL2347" s="500"/>
      <c r="AM2347" s="500"/>
      <c r="AN2347" s="500"/>
      <c r="AO2347" s="500"/>
      <c r="AP2347" s="500"/>
    </row>
    <row r="2348" spans="1:42" ht="16.5" customHeight="1">
      <c r="A2348" s="439"/>
      <c r="B2348" s="439"/>
      <c r="C2348" s="439"/>
      <c r="D2348" s="439"/>
      <c r="E2348" s="439"/>
      <c r="F2348" s="439"/>
      <c r="Z2348" s="500"/>
      <c r="AA2348" s="500"/>
      <c r="AB2348" s="500"/>
      <c r="AC2348" s="500"/>
      <c r="AD2348" s="500"/>
      <c r="AE2348" s="500"/>
      <c r="AF2348" s="500"/>
      <c r="AG2348" s="500"/>
      <c r="AH2348" s="500"/>
      <c r="AI2348" s="500"/>
      <c r="AJ2348" s="500"/>
      <c r="AK2348" s="500"/>
      <c r="AL2348" s="500"/>
      <c r="AM2348" s="500"/>
      <c r="AN2348" s="500"/>
      <c r="AO2348" s="500"/>
      <c r="AP2348" s="500"/>
    </row>
    <row r="2349" spans="1:42" ht="16.5" customHeight="1">
      <c r="A2349" s="439"/>
      <c r="B2349" s="439"/>
      <c r="C2349" s="439"/>
      <c r="D2349" s="439"/>
      <c r="E2349" s="439"/>
      <c r="F2349" s="439"/>
      <c r="Z2349" s="500"/>
      <c r="AA2349" s="500"/>
      <c r="AB2349" s="500"/>
      <c r="AC2349" s="500"/>
      <c r="AD2349" s="500"/>
      <c r="AE2349" s="500"/>
      <c r="AF2349" s="500"/>
      <c r="AG2349" s="500"/>
      <c r="AH2349" s="500"/>
      <c r="AI2349" s="500"/>
      <c r="AJ2349" s="500"/>
      <c r="AK2349" s="500"/>
      <c r="AL2349" s="500"/>
      <c r="AM2349" s="500"/>
      <c r="AN2349" s="500"/>
      <c r="AO2349" s="500"/>
      <c r="AP2349" s="500"/>
    </row>
    <row r="2350" spans="1:42" ht="16.5" customHeight="1">
      <c r="A2350" s="439"/>
      <c r="B2350" s="439"/>
      <c r="C2350" s="439"/>
      <c r="D2350" s="439"/>
      <c r="E2350" s="439"/>
      <c r="F2350" s="439"/>
      <c r="Z2350" s="500"/>
      <c r="AA2350" s="500"/>
      <c r="AB2350" s="500"/>
      <c r="AC2350" s="500"/>
      <c r="AD2350" s="500"/>
      <c r="AE2350" s="500"/>
      <c r="AF2350" s="500"/>
      <c r="AG2350" s="500"/>
      <c r="AH2350" s="500"/>
      <c r="AI2350" s="500"/>
      <c r="AJ2350" s="500"/>
      <c r="AK2350" s="500"/>
      <c r="AL2350" s="500"/>
      <c r="AM2350" s="500"/>
      <c r="AN2350" s="500"/>
      <c r="AO2350" s="500"/>
      <c r="AP2350" s="500"/>
    </row>
    <row r="2351" spans="1:42" ht="16.5" customHeight="1">
      <c r="A2351" s="439"/>
      <c r="B2351" s="439"/>
      <c r="C2351" s="439"/>
      <c r="D2351" s="439"/>
      <c r="E2351" s="439"/>
      <c r="F2351" s="439"/>
      <c r="Z2351" s="500"/>
      <c r="AA2351" s="500"/>
      <c r="AB2351" s="500"/>
      <c r="AC2351" s="500"/>
      <c r="AD2351" s="500"/>
      <c r="AE2351" s="500"/>
      <c r="AF2351" s="500"/>
      <c r="AG2351" s="500"/>
      <c r="AH2351" s="500"/>
      <c r="AI2351" s="500"/>
      <c r="AJ2351" s="500"/>
      <c r="AK2351" s="500"/>
      <c r="AL2351" s="500"/>
      <c r="AM2351" s="500"/>
      <c r="AN2351" s="500"/>
      <c r="AO2351" s="500"/>
      <c r="AP2351" s="500"/>
    </row>
    <row r="2352" spans="1:42" ht="16.5" customHeight="1">
      <c r="A2352" s="439"/>
      <c r="B2352" s="439"/>
      <c r="C2352" s="439"/>
      <c r="D2352" s="439"/>
      <c r="E2352" s="439"/>
      <c r="F2352" s="439"/>
      <c r="Z2352" s="500"/>
      <c r="AA2352" s="500"/>
      <c r="AB2352" s="500"/>
      <c r="AC2352" s="500"/>
      <c r="AD2352" s="500"/>
      <c r="AE2352" s="500"/>
      <c r="AF2352" s="500"/>
      <c r="AG2352" s="500"/>
      <c r="AH2352" s="500"/>
      <c r="AI2352" s="500"/>
      <c r="AJ2352" s="500"/>
      <c r="AK2352" s="500"/>
      <c r="AL2352" s="500"/>
      <c r="AM2352" s="500"/>
      <c r="AN2352" s="500"/>
      <c r="AO2352" s="500"/>
      <c r="AP2352" s="500"/>
    </row>
    <row r="2353" spans="1:42" ht="16.5" customHeight="1">
      <c r="A2353" s="497"/>
      <c r="B2353" s="497"/>
      <c r="C2353" s="497"/>
      <c r="D2353" s="497"/>
      <c r="E2353" s="497"/>
      <c r="F2353" s="497"/>
      <c r="Z2353" s="500"/>
      <c r="AA2353" s="500"/>
      <c r="AB2353" s="500"/>
      <c r="AC2353" s="500"/>
      <c r="AD2353" s="500"/>
      <c r="AE2353" s="500"/>
      <c r="AF2353" s="500"/>
      <c r="AG2353" s="500"/>
      <c r="AH2353" s="500"/>
      <c r="AI2353" s="500"/>
      <c r="AJ2353" s="500"/>
      <c r="AK2353" s="500"/>
      <c r="AL2353" s="500"/>
      <c r="AM2353" s="500"/>
      <c r="AN2353" s="500"/>
      <c r="AO2353" s="500"/>
      <c r="AP2353" s="500"/>
    </row>
    <row r="2354" spans="1:42" ht="16.5" customHeight="1">
      <c r="A2354" s="616" t="s">
        <v>3487</v>
      </c>
      <c r="B2354" s="605"/>
      <c r="C2354" s="446">
        <f>E2354+D2354+F2354</f>
        <v>55131</v>
      </c>
      <c r="D2354" s="453">
        <f>ROUNDDOWN(SUMIF(N2307:N2339,M2354,D2307:D2339),0)</f>
        <v>42831</v>
      </c>
      <c r="E2354" s="454">
        <f>ROUNDDOWN(SUMIF(N2307:N2339,M2354,E2307:E2339),0)</f>
        <v>12300</v>
      </c>
      <c r="F2354" s="446">
        <f>ROUNDDOWN(SUMIF(N2307:N2339,M2354,F2307:F2339),0)</f>
        <v>0</v>
      </c>
      <c r="M2354" s="501" t="s">
        <v>2354</v>
      </c>
      <c r="Z2354" s="500"/>
      <c r="AA2354" s="500"/>
      <c r="AB2354" s="500"/>
      <c r="AC2354" s="500"/>
      <c r="AD2354" s="500"/>
      <c r="AE2354" s="500"/>
      <c r="AF2354" s="500"/>
      <c r="AG2354" s="500"/>
      <c r="AH2354" s="500"/>
      <c r="AI2354" s="500"/>
      <c r="AJ2354" s="500"/>
      <c r="AK2354" s="500"/>
      <c r="AL2354" s="500"/>
      <c r="AM2354" s="500"/>
      <c r="AN2354" s="500"/>
      <c r="AO2354" s="500"/>
      <c r="AP2354" s="500"/>
    </row>
    <row r="2355" spans="1:42" ht="16.5" customHeight="1">
      <c r="A2355" s="502" t="s">
        <v>3350</v>
      </c>
      <c r="B2355" s="503" t="s">
        <v>1809</v>
      </c>
      <c r="C2355" s="615">
        <f>C2404</f>
        <v>101663</v>
      </c>
      <c r="D2355" s="615">
        <f>D2404</f>
        <v>85663</v>
      </c>
      <c r="E2355" s="615">
        <f>E2404</f>
        <v>16000</v>
      </c>
      <c r="F2355" s="615">
        <f>F2404</f>
        <v>0</v>
      </c>
      <c r="G2355" s="486" t="str">
        <f>HYPERLINK("#G"&amp;ROW(G2390),"_x0005_`BDCOD|D01306_x0007_`POSS|"&amp;ROW(G2357)&amp;"_x0007_`POSE|"&amp;ROW(G2390)&amp;"_x0007_`")</f>
        <v>_x0005_`BDCOD|D01306_x0007_`POSS|2357_x0007_`POSE|2390_x0007_`</v>
      </c>
      <c r="Z2355" s="500"/>
      <c r="AA2355" s="500"/>
      <c r="AB2355" s="500"/>
      <c r="AC2355" s="500"/>
      <c r="AD2355" s="500"/>
      <c r="AE2355" s="500"/>
      <c r="AF2355" s="500"/>
      <c r="AG2355" s="500"/>
      <c r="AH2355" s="500"/>
      <c r="AI2355" s="500"/>
      <c r="AJ2355" s="500"/>
      <c r="AK2355" s="500"/>
      <c r="AL2355" s="500"/>
      <c r="AM2355" s="500"/>
      <c r="AN2355" s="500"/>
      <c r="AO2355" s="500"/>
      <c r="AP2355" s="500"/>
    </row>
    <row r="2356" spans="1:42" ht="16.5" customHeight="1">
      <c r="A2356" s="485"/>
      <c r="B2356" s="503" t="s">
        <v>3655</v>
      </c>
      <c r="C2356" s="593"/>
      <c r="D2356" s="593"/>
      <c r="E2356" s="593"/>
      <c r="F2356" s="593"/>
      <c r="M2356" s="501" t="s">
        <v>1809</v>
      </c>
      <c r="Z2356" s="500"/>
      <c r="AA2356" s="500"/>
      <c r="AB2356" s="500"/>
      <c r="AC2356" s="500"/>
      <c r="AD2356" s="500"/>
      <c r="AE2356" s="500"/>
      <c r="AF2356" s="500"/>
      <c r="AG2356" s="500"/>
      <c r="AH2356" s="500"/>
      <c r="AI2356" s="500"/>
      <c r="AJ2356" s="500"/>
      <c r="AK2356" s="500"/>
      <c r="AL2356" s="500"/>
      <c r="AM2356" s="500"/>
      <c r="AN2356" s="500"/>
      <c r="AO2356" s="500"/>
      <c r="AP2356" s="500"/>
    </row>
    <row r="2357" spans="1:42" ht="16.5" customHeight="1">
      <c r="A2357" s="439"/>
      <c r="B2357" s="439"/>
      <c r="C2357" s="504"/>
      <c r="D2357" s="504"/>
      <c r="E2357" s="504"/>
      <c r="F2357" s="504"/>
      <c r="G2357" s="451" t="s">
        <v>3406</v>
      </c>
      <c r="Z2357" s="500"/>
      <c r="AA2357" s="500"/>
      <c r="AB2357" s="500"/>
      <c r="AC2357" s="500"/>
      <c r="AD2357" s="500"/>
      <c r="AE2357" s="500"/>
      <c r="AF2357" s="500"/>
      <c r="AG2357" s="500"/>
      <c r="AH2357" s="500"/>
      <c r="AI2357" s="500"/>
      <c r="AJ2357" s="500"/>
      <c r="AK2357" s="500"/>
      <c r="AL2357" s="500"/>
      <c r="AM2357" s="500"/>
      <c r="AN2357" s="500"/>
      <c r="AO2357" s="500"/>
      <c r="AP2357" s="500"/>
    </row>
    <row r="2358" spans="1:42" ht="16.5" customHeight="1">
      <c r="A2358" s="434"/>
      <c r="B2358" s="437" t="s">
        <v>3542</v>
      </c>
      <c r="C2358" s="439"/>
      <c r="D2358" s="439"/>
      <c r="E2358" s="439"/>
      <c r="F2358" s="439"/>
      <c r="G2358" s="451" t="s">
        <v>3543</v>
      </c>
      <c r="Z2358" s="500"/>
      <c r="AA2358" s="500"/>
      <c r="AB2358" s="500"/>
      <c r="AC2358" s="500"/>
      <c r="AD2358" s="500"/>
      <c r="AE2358" s="500"/>
      <c r="AF2358" s="500"/>
      <c r="AG2358" s="500"/>
      <c r="AH2358" s="500"/>
      <c r="AI2358" s="500"/>
      <c r="AJ2358" s="500"/>
      <c r="AK2358" s="500"/>
      <c r="AL2358" s="500"/>
      <c r="AM2358" s="500"/>
      <c r="AN2358" s="500"/>
      <c r="AO2358" s="500"/>
      <c r="AP2358" s="500"/>
    </row>
    <row r="2359" spans="1:42" ht="16.5" customHeight="1">
      <c r="A2359" s="439"/>
      <c r="B2359" s="439"/>
      <c r="C2359" s="439"/>
      <c r="D2359" s="439"/>
      <c r="E2359" s="439"/>
      <c r="F2359" s="439"/>
      <c r="G2359" s="451" t="s">
        <v>3406</v>
      </c>
      <c r="Z2359" s="500"/>
      <c r="AA2359" s="500"/>
      <c r="AB2359" s="500"/>
      <c r="AC2359" s="500"/>
      <c r="AD2359" s="500"/>
      <c r="AE2359" s="500"/>
      <c r="AF2359" s="500"/>
      <c r="AG2359" s="500"/>
      <c r="AH2359" s="500"/>
      <c r="AI2359" s="500"/>
      <c r="AJ2359" s="500"/>
      <c r="AK2359" s="500"/>
      <c r="AL2359" s="500"/>
      <c r="AM2359" s="500"/>
      <c r="AN2359" s="500"/>
      <c r="AO2359" s="500"/>
      <c r="AP2359" s="500"/>
    </row>
    <row r="2360" spans="1:42" ht="16.5" customHeight="1">
      <c r="A2360" s="434"/>
      <c r="B2360" s="437" t="s">
        <v>3544</v>
      </c>
      <c r="C2360" s="439"/>
      <c r="D2360" s="439"/>
      <c r="E2360" s="439"/>
      <c r="F2360" s="439"/>
      <c r="G2360" s="451" t="s">
        <v>3545</v>
      </c>
      <c r="Z2360" s="500"/>
      <c r="AA2360" s="500"/>
      <c r="AB2360" s="500"/>
      <c r="AC2360" s="500"/>
      <c r="AD2360" s="500"/>
      <c r="AE2360" s="500"/>
      <c r="AF2360" s="500"/>
      <c r="AG2360" s="500"/>
      <c r="AH2360" s="500"/>
      <c r="AI2360" s="500"/>
      <c r="AJ2360" s="500"/>
      <c r="AK2360" s="500"/>
      <c r="AL2360" s="500"/>
      <c r="AM2360" s="500"/>
      <c r="AN2360" s="500"/>
      <c r="AO2360" s="500"/>
      <c r="AP2360" s="500"/>
    </row>
    <row r="2361" spans="1:42" ht="16.5" customHeight="1">
      <c r="A2361" s="439"/>
      <c r="B2361" s="439"/>
      <c r="C2361" s="439"/>
      <c r="D2361" s="439"/>
      <c r="E2361" s="439"/>
      <c r="F2361" s="439"/>
      <c r="G2361" s="451" t="s">
        <v>3406</v>
      </c>
      <c r="Z2361" s="500"/>
      <c r="AA2361" s="500"/>
      <c r="AB2361" s="500"/>
      <c r="AC2361" s="500"/>
      <c r="AD2361" s="500"/>
      <c r="AE2361" s="500"/>
      <c r="AF2361" s="500"/>
      <c r="AG2361" s="500"/>
      <c r="AH2361" s="500"/>
      <c r="AI2361" s="500"/>
      <c r="AJ2361" s="500"/>
      <c r="AK2361" s="500"/>
      <c r="AL2361" s="500"/>
      <c r="AM2361" s="500"/>
      <c r="AN2361" s="500"/>
      <c r="AO2361" s="500"/>
      <c r="AP2361" s="500"/>
    </row>
    <row r="2362" spans="1:42" ht="16.5" customHeight="1">
      <c r="A2362" s="434"/>
      <c r="B2362" s="437" t="str">
        <f>" 일당 작업량 :   Q = "&amp;Z2362&amp;"  주 "</f>
        <v xml:space="preserve"> 일당 작업량 :   Q = 15  주 </v>
      </c>
      <c r="C2362" s="439"/>
      <c r="D2362" s="439"/>
      <c r="E2362" s="439"/>
      <c r="F2362" s="439"/>
      <c r="G2362" s="451" t="s">
        <v>3656</v>
      </c>
      <c r="Z2362" s="515">
        <v>15</v>
      </c>
      <c r="AA2362" s="501" t="s">
        <v>3418</v>
      </c>
      <c r="AB2362" s="512">
        <f>Z2362</f>
        <v>15</v>
      </c>
      <c r="AC2362" s="500"/>
      <c r="AD2362" s="500"/>
      <c r="AE2362" s="500"/>
      <c r="AF2362" s="500"/>
      <c r="AG2362" s="500"/>
      <c r="AH2362" s="500"/>
      <c r="AI2362" s="500"/>
      <c r="AJ2362" s="500"/>
      <c r="AK2362" s="500"/>
      <c r="AL2362" s="500"/>
      <c r="AM2362" s="500"/>
      <c r="AN2362" s="500"/>
      <c r="AO2362" s="500"/>
      <c r="AP2362" s="500"/>
    </row>
    <row r="2363" spans="1:42" ht="16.5" customHeight="1">
      <c r="A2363" s="439"/>
      <c r="B2363" s="439"/>
      <c r="C2363" s="439"/>
      <c r="D2363" s="439"/>
      <c r="E2363" s="439"/>
      <c r="F2363" s="439"/>
      <c r="G2363" s="451" t="s">
        <v>3406</v>
      </c>
      <c r="Z2363" s="500"/>
      <c r="AA2363" s="500"/>
      <c r="AB2363" s="500"/>
      <c r="AC2363" s="500"/>
      <c r="AD2363" s="500"/>
      <c r="AE2363" s="500"/>
      <c r="AF2363" s="500"/>
      <c r="AG2363" s="500"/>
      <c r="AH2363" s="500"/>
      <c r="AI2363" s="500"/>
      <c r="AJ2363" s="500"/>
      <c r="AK2363" s="500"/>
      <c r="AL2363" s="500"/>
      <c r="AM2363" s="500"/>
      <c r="AN2363" s="500"/>
      <c r="AO2363" s="500"/>
      <c r="AP2363" s="500"/>
    </row>
    <row r="2364" spans="1:42" ht="16.5" customHeight="1">
      <c r="A2364" s="434"/>
      <c r="B2364" s="437" t="s">
        <v>3651</v>
      </c>
      <c r="C2364" s="439"/>
      <c r="D2364" s="439"/>
      <c r="E2364" s="439"/>
      <c r="F2364" s="439"/>
      <c r="G2364" s="451" t="s">
        <v>3652</v>
      </c>
      <c r="Z2364" s="500"/>
      <c r="AA2364" s="500"/>
      <c r="AB2364" s="500"/>
      <c r="AC2364" s="500"/>
      <c r="AD2364" s="500"/>
      <c r="AE2364" s="500"/>
      <c r="AF2364" s="500"/>
      <c r="AG2364" s="500"/>
      <c r="AH2364" s="500"/>
      <c r="AI2364" s="500"/>
      <c r="AJ2364" s="500"/>
      <c r="AK2364" s="500"/>
      <c r="AL2364" s="500"/>
      <c r="AM2364" s="500"/>
      <c r="AN2364" s="500"/>
      <c r="AO2364" s="500"/>
      <c r="AP2364" s="500"/>
    </row>
    <row r="2365" spans="1:42" ht="16.5" customHeight="1">
      <c r="A2365" s="439"/>
      <c r="B2365" s="439"/>
      <c r="C2365" s="439"/>
      <c r="D2365" s="439"/>
      <c r="E2365" s="439"/>
      <c r="F2365" s="439"/>
      <c r="G2365" s="451" t="s">
        <v>3406</v>
      </c>
      <c r="Z2365" s="500"/>
      <c r="AA2365" s="500"/>
      <c r="AB2365" s="500"/>
      <c r="AC2365" s="500"/>
      <c r="AD2365" s="500"/>
      <c r="AE2365" s="500"/>
      <c r="AF2365" s="500"/>
      <c r="AG2365" s="500"/>
      <c r="AH2365" s="500"/>
      <c r="AI2365" s="500"/>
      <c r="AJ2365" s="500"/>
      <c r="AK2365" s="500"/>
      <c r="AL2365" s="500"/>
      <c r="AM2365" s="500"/>
      <c r="AN2365" s="500"/>
      <c r="AO2365" s="500"/>
      <c r="AP2365" s="500"/>
    </row>
    <row r="2366" spans="1:42" ht="16.5" customHeight="1">
      <c r="A2366" s="439"/>
      <c r="B2366" s="439"/>
      <c r="C2366" s="439"/>
      <c r="D2366" s="439"/>
      <c r="E2366" s="439"/>
      <c r="F2366" s="439"/>
      <c r="G2366" s="451" t="s">
        <v>3406</v>
      </c>
      <c r="Z2366" s="500"/>
      <c r="AA2366" s="500"/>
      <c r="AB2366" s="500"/>
      <c r="AC2366" s="500"/>
      <c r="AD2366" s="500"/>
      <c r="AE2366" s="500"/>
      <c r="AF2366" s="500"/>
      <c r="AG2366" s="500"/>
      <c r="AH2366" s="500"/>
      <c r="AI2366" s="500"/>
      <c r="AJ2366" s="500"/>
      <c r="AK2366" s="500"/>
      <c r="AL2366" s="500"/>
      <c r="AM2366" s="500"/>
      <c r="AN2366" s="500"/>
      <c r="AO2366" s="500"/>
      <c r="AP2366" s="500"/>
    </row>
    <row r="2367" spans="1:42" ht="16.5" customHeight="1">
      <c r="A2367" s="439"/>
      <c r="B2367" s="439"/>
      <c r="C2367" s="439"/>
      <c r="D2367" s="439"/>
      <c r="E2367" s="439"/>
      <c r="F2367" s="439"/>
      <c r="G2367" s="451" t="s">
        <v>3406</v>
      </c>
      <c r="Z2367" s="500"/>
      <c r="AA2367" s="500"/>
      <c r="AB2367" s="500"/>
      <c r="AC2367" s="500"/>
      <c r="AD2367" s="500"/>
      <c r="AE2367" s="500"/>
      <c r="AF2367" s="500"/>
      <c r="AG2367" s="500"/>
      <c r="AH2367" s="500"/>
      <c r="AI2367" s="500"/>
      <c r="AJ2367" s="500"/>
      <c r="AK2367" s="500"/>
      <c r="AL2367" s="500"/>
      <c r="AM2367" s="500"/>
      <c r="AN2367" s="500"/>
      <c r="AO2367" s="500"/>
      <c r="AP2367" s="500"/>
    </row>
    <row r="2368" spans="1:42" ht="16.5" customHeight="1">
      <c r="A2368" s="439"/>
      <c r="B2368" s="439"/>
      <c r="C2368" s="439"/>
      <c r="D2368" s="439"/>
      <c r="E2368" s="439"/>
      <c r="F2368" s="439"/>
      <c r="G2368" s="451" t="s">
        <v>3406</v>
      </c>
      <c r="Z2368" s="500"/>
      <c r="AA2368" s="500"/>
      <c r="AB2368" s="500"/>
      <c r="AC2368" s="500"/>
      <c r="AD2368" s="500"/>
      <c r="AE2368" s="500"/>
      <c r="AF2368" s="500"/>
      <c r="AG2368" s="500"/>
      <c r="AH2368" s="500"/>
      <c r="AI2368" s="500"/>
      <c r="AJ2368" s="500"/>
      <c r="AK2368" s="500"/>
      <c r="AL2368" s="500"/>
      <c r="AM2368" s="500"/>
      <c r="AN2368" s="500"/>
      <c r="AO2368" s="500"/>
      <c r="AP2368" s="500"/>
    </row>
    <row r="2369" spans="1:42" ht="16.5" customHeight="1">
      <c r="A2369" s="434"/>
      <c r="B2369" s="437" t="s">
        <v>3496</v>
      </c>
      <c r="C2369" s="439"/>
      <c r="D2369" s="439"/>
      <c r="E2369" s="439"/>
      <c r="F2369" s="439"/>
      <c r="G2369" s="451" t="s">
        <v>3497</v>
      </c>
      <c r="Z2369" s="500"/>
      <c r="AA2369" s="500"/>
      <c r="AB2369" s="500"/>
      <c r="AC2369" s="500"/>
      <c r="AD2369" s="500"/>
      <c r="AE2369" s="500"/>
      <c r="AF2369" s="500"/>
      <c r="AG2369" s="500"/>
      <c r="AH2369" s="500"/>
      <c r="AI2369" s="500"/>
      <c r="AJ2369" s="500"/>
      <c r="AK2369" s="500"/>
      <c r="AL2369" s="500"/>
      <c r="AM2369" s="500"/>
      <c r="AN2369" s="500"/>
      <c r="AO2369" s="500"/>
      <c r="AP2369" s="500"/>
    </row>
    <row r="2370" spans="1:42" ht="16.5" customHeight="1">
      <c r="A2370" s="439"/>
      <c r="B2370" s="439"/>
      <c r="C2370" s="439"/>
      <c r="D2370" s="439"/>
      <c r="E2370" s="439"/>
      <c r="F2370" s="439"/>
      <c r="G2370" s="451" t="s">
        <v>3406</v>
      </c>
      <c r="Z2370" s="500"/>
      <c r="AA2370" s="500"/>
      <c r="AB2370" s="500"/>
      <c r="AC2370" s="500"/>
      <c r="AD2370" s="500"/>
      <c r="AE2370" s="500"/>
      <c r="AF2370" s="500"/>
      <c r="AG2370" s="500"/>
      <c r="AH2370" s="500"/>
      <c r="AI2370" s="500"/>
      <c r="AJ2370" s="500"/>
      <c r="AK2370" s="500"/>
      <c r="AL2370" s="500"/>
      <c r="AM2370" s="500"/>
      <c r="AN2370" s="500"/>
      <c r="AO2370" s="500"/>
      <c r="AP2370" s="500"/>
    </row>
    <row r="2371" spans="1:42" ht="16.5" customHeight="1">
      <c r="A2371" s="434" t="s">
        <v>3498</v>
      </c>
      <c r="B2371" s="505" t="str">
        <f>" 조경공 :  "&amp;TEXT(I2371,"#,##0"&amp;IF(I2371&lt;&gt;INT(I2371),".###",""))&amp;" * "&amp;AA2371&amp;" 인  / Q = "&amp;TEXT(C2371,"#,##0.0")&amp;""</f>
        <v xml:space="preserve"> 조경공 :  235,204 * 4 인  / Q = 62,721.0</v>
      </c>
      <c r="C2371" s="506">
        <f>E2371+D2371+F2371</f>
        <v>62721</v>
      </c>
      <c r="D2371" s="506">
        <f>IF(H2371=0,0,ROUNDDOWN(J2371*H2371,1))</f>
        <v>62721</v>
      </c>
      <c r="E2371" s="506">
        <f>IF(H2371=0,0,ROUNDDOWN(K2371*H2371,1))</f>
        <v>0</v>
      </c>
      <c r="F2371" s="506">
        <f>IF(H2371=0,0,ROUNDDOWN(L2371*H2371,1))</f>
        <v>0</v>
      </c>
      <c r="G2371" s="451" t="s">
        <v>3653</v>
      </c>
      <c r="H2371" s="507">
        <f>ROUNDUP(AE2371,14-LEN(ABS(INT(AE2371))))</f>
        <v>0.26666666666669997</v>
      </c>
      <c r="I2371" s="508">
        <f>K2371+J2371+L2371</f>
        <v>235204</v>
      </c>
      <c r="J2371" s="509">
        <f>노무비목록표!E15</f>
        <v>235204</v>
      </c>
      <c r="M2371" s="501" t="s">
        <v>2359</v>
      </c>
      <c r="N2371" s="501" t="s">
        <v>3416</v>
      </c>
      <c r="X2371" s="510" t="str">
        <f>노무비목록표!B15&amp;" / "&amp;노무비목록표!C15</f>
        <v xml:space="preserve">조경공 / </v>
      </c>
      <c r="Y2371" s="433" t="str">
        <f ca="1">HYPERLINK("#"&amp;노무비목록표!G2&amp;"!A"&amp;ROW(노무비목록표!A15),"L00184 →")</f>
        <v>L00184 →</v>
      </c>
      <c r="Z2371" s="501" t="s">
        <v>3500</v>
      </c>
      <c r="AA2371" s="515">
        <v>4</v>
      </c>
      <c r="AB2371" s="501" t="s">
        <v>3428</v>
      </c>
      <c r="AC2371" s="512">
        <f>AB2362</f>
        <v>15</v>
      </c>
      <c r="AD2371" s="501" t="s">
        <v>3418</v>
      </c>
      <c r="AE2371" s="512">
        <f>1*AA2371/AB2362</f>
        <v>0.26666666666666666</v>
      </c>
      <c r="AF2371" s="500"/>
      <c r="AG2371" s="500"/>
      <c r="AH2371" s="500"/>
      <c r="AI2371" s="500"/>
      <c r="AJ2371" s="500"/>
      <c r="AK2371" s="500"/>
      <c r="AL2371" s="500"/>
      <c r="AM2371" s="500"/>
      <c r="AN2371" s="500"/>
      <c r="AO2371" s="500"/>
      <c r="AP2371" s="500"/>
    </row>
    <row r="2372" spans="1:42" ht="16.5" customHeight="1">
      <c r="A2372" s="439"/>
      <c r="B2372" s="439"/>
      <c r="C2372" s="439"/>
      <c r="D2372" s="439"/>
      <c r="E2372" s="439"/>
      <c r="F2372" s="439"/>
      <c r="G2372" s="451" t="s">
        <v>3406</v>
      </c>
      <c r="Z2372" s="500"/>
      <c r="AA2372" s="500"/>
      <c r="AB2372" s="500"/>
      <c r="AC2372" s="500"/>
      <c r="AD2372" s="500"/>
      <c r="AE2372" s="500"/>
      <c r="AF2372" s="500"/>
      <c r="AG2372" s="500"/>
      <c r="AH2372" s="500"/>
      <c r="AI2372" s="500"/>
      <c r="AJ2372" s="500"/>
      <c r="AK2372" s="500"/>
      <c r="AL2372" s="500"/>
      <c r="AM2372" s="500"/>
      <c r="AN2372" s="500"/>
      <c r="AO2372" s="500"/>
      <c r="AP2372" s="500"/>
    </row>
    <row r="2373" spans="1:42" ht="16.5" customHeight="1">
      <c r="A2373" s="439"/>
      <c r="B2373" s="439"/>
      <c r="C2373" s="439"/>
      <c r="D2373" s="439"/>
      <c r="E2373" s="439"/>
      <c r="F2373" s="439"/>
      <c r="G2373" s="451" t="s">
        <v>3406</v>
      </c>
      <c r="Z2373" s="500"/>
      <c r="AA2373" s="500"/>
      <c r="AB2373" s="500"/>
      <c r="AC2373" s="500"/>
      <c r="AD2373" s="500"/>
      <c r="AE2373" s="500"/>
      <c r="AF2373" s="500"/>
      <c r="AG2373" s="500"/>
      <c r="AH2373" s="500"/>
      <c r="AI2373" s="500"/>
      <c r="AJ2373" s="500"/>
      <c r="AK2373" s="500"/>
      <c r="AL2373" s="500"/>
      <c r="AM2373" s="500"/>
      <c r="AN2373" s="500"/>
      <c r="AO2373" s="500"/>
      <c r="AP2373" s="500"/>
    </row>
    <row r="2374" spans="1:42" ht="16.5" customHeight="1">
      <c r="A2374" s="434" t="s">
        <v>3414</v>
      </c>
      <c r="B2374" s="505" t="str">
        <f>" 보통인부 : "&amp;TEXT(I2374,"#,##0"&amp;IF(I2374&lt;&gt;INT(I2374),".###",""))&amp;" * "&amp;AA2374&amp;" 인  / Q = "&amp;TEXT(C2374,"#,##0.0")&amp;""</f>
        <v xml:space="preserve"> 보통인부 : 172,068 * 2 인  / Q = 22,942.4</v>
      </c>
      <c r="C2374" s="506">
        <f>E2374+D2374+F2374</f>
        <v>22942.400000000001</v>
      </c>
      <c r="D2374" s="506">
        <f>IF(H2374=0,0,ROUNDDOWN(J2374*H2374,1))</f>
        <v>22942.400000000001</v>
      </c>
      <c r="E2374" s="506">
        <f>IF(H2374=0,0,ROUNDDOWN(K2374*H2374,1))</f>
        <v>0</v>
      </c>
      <c r="F2374" s="506">
        <f>IF(H2374=0,0,ROUNDDOWN(L2374*H2374,1))</f>
        <v>0</v>
      </c>
      <c r="G2374" s="451" t="s">
        <v>3654</v>
      </c>
      <c r="H2374" s="507">
        <f>ROUNDUP(AE2374,14-LEN(ABS(INT(AE2374))))</f>
        <v>0.1333333333334</v>
      </c>
      <c r="I2374" s="508">
        <f>K2374+J2374+L2374</f>
        <v>172068</v>
      </c>
      <c r="J2374" s="509">
        <f>노무비목록표!E10</f>
        <v>172068</v>
      </c>
      <c r="M2374" s="501" t="s">
        <v>2363</v>
      </c>
      <c r="N2374" s="501" t="s">
        <v>3416</v>
      </c>
      <c r="X2374" s="510" t="str">
        <f>노무비목록표!B10&amp;" / "&amp;노무비목록표!C10</f>
        <v xml:space="preserve">보통인부 / </v>
      </c>
      <c r="Y2374" s="433" t="str">
        <f ca="1">HYPERLINK("#"&amp;노무비목록표!G2&amp;"!A"&amp;ROW(노무비목록표!A10),"L00017 →")</f>
        <v>L00017 →</v>
      </c>
      <c r="Z2374" s="501" t="s">
        <v>3500</v>
      </c>
      <c r="AA2374" s="515">
        <v>2</v>
      </c>
      <c r="AB2374" s="501" t="s">
        <v>3428</v>
      </c>
      <c r="AC2374" s="512">
        <f>AB2362</f>
        <v>15</v>
      </c>
      <c r="AD2374" s="501" t="s">
        <v>3418</v>
      </c>
      <c r="AE2374" s="512">
        <f>1*AA2374/AB2362</f>
        <v>0.13333333333333333</v>
      </c>
      <c r="AF2374" s="500"/>
      <c r="AG2374" s="500"/>
      <c r="AH2374" s="500"/>
      <c r="AI2374" s="500"/>
      <c r="AJ2374" s="500"/>
      <c r="AK2374" s="500"/>
      <c r="AL2374" s="500"/>
      <c r="AM2374" s="500"/>
      <c r="AN2374" s="500"/>
      <c r="AO2374" s="500"/>
      <c r="AP2374" s="500"/>
    </row>
    <row r="2375" spans="1:42" ht="16.5" customHeight="1">
      <c r="A2375" s="439"/>
      <c r="B2375" s="439"/>
      <c r="C2375" s="439"/>
      <c r="D2375" s="439"/>
      <c r="E2375" s="439"/>
      <c r="F2375" s="439"/>
      <c r="G2375" s="451" t="s">
        <v>3406</v>
      </c>
      <c r="Z2375" s="500"/>
      <c r="AA2375" s="500"/>
      <c r="AB2375" s="500"/>
      <c r="AC2375" s="500"/>
      <c r="AD2375" s="500"/>
      <c r="AE2375" s="500"/>
      <c r="AF2375" s="500"/>
      <c r="AG2375" s="500"/>
      <c r="AH2375" s="500"/>
      <c r="AI2375" s="500"/>
      <c r="AJ2375" s="500"/>
      <c r="AK2375" s="500"/>
      <c r="AL2375" s="500"/>
      <c r="AM2375" s="500"/>
      <c r="AN2375" s="500"/>
      <c r="AO2375" s="500"/>
      <c r="AP2375" s="500"/>
    </row>
    <row r="2376" spans="1:42" ht="16.5" customHeight="1">
      <c r="A2376" s="434"/>
      <c r="B2376" s="437" t="s">
        <v>3419</v>
      </c>
      <c r="C2376" s="513">
        <f>E2376+D2376+F2376</f>
        <v>85663.4</v>
      </c>
      <c r="D2376" s="513">
        <f>SUMIF(N2357:N2375,M2376,D2357:D2375)</f>
        <v>85663.4</v>
      </c>
      <c r="E2376" s="513">
        <f>SUMIF(N2357:N2375,M2376,E2357:E2375)</f>
        <v>0</v>
      </c>
      <c r="F2376" s="513">
        <f>SUMIF(N2357:N2375,M2376,F2357:F2375)</f>
        <v>0</v>
      </c>
      <c r="G2376" s="451" t="s">
        <v>3439</v>
      </c>
      <c r="M2376" s="501" t="s">
        <v>3416</v>
      </c>
      <c r="N2376" s="501" t="s">
        <v>3421</v>
      </c>
      <c r="Z2376" s="500"/>
      <c r="AA2376" s="500"/>
      <c r="AB2376" s="500"/>
      <c r="AC2376" s="500"/>
      <c r="AD2376" s="500"/>
      <c r="AE2376" s="500"/>
      <c r="AF2376" s="500"/>
      <c r="AG2376" s="500"/>
      <c r="AH2376" s="500"/>
      <c r="AI2376" s="500"/>
      <c r="AJ2376" s="500"/>
      <c r="AK2376" s="500"/>
      <c r="AL2376" s="500"/>
      <c r="AM2376" s="500"/>
      <c r="AN2376" s="500"/>
      <c r="AO2376" s="500"/>
      <c r="AP2376" s="500"/>
    </row>
    <row r="2377" spans="1:42" ht="16.5" customHeight="1">
      <c r="A2377" s="439"/>
      <c r="B2377" s="439"/>
      <c r="C2377" s="504"/>
      <c r="D2377" s="504"/>
      <c r="E2377" s="504"/>
      <c r="F2377" s="504"/>
      <c r="G2377" s="451" t="s">
        <v>3406</v>
      </c>
      <c r="Z2377" s="500"/>
      <c r="AA2377" s="500"/>
      <c r="AB2377" s="500"/>
      <c r="AC2377" s="500"/>
      <c r="AD2377" s="500"/>
      <c r="AE2377" s="500"/>
      <c r="AF2377" s="500"/>
      <c r="AG2377" s="500"/>
      <c r="AH2377" s="500"/>
      <c r="AI2377" s="500"/>
      <c r="AJ2377" s="500"/>
      <c r="AK2377" s="500"/>
      <c r="AL2377" s="500"/>
      <c r="AM2377" s="500"/>
      <c r="AN2377" s="500"/>
      <c r="AO2377" s="500"/>
      <c r="AP2377" s="500"/>
    </row>
    <row r="2378" spans="1:42" ht="16.5" customHeight="1">
      <c r="A2378" s="439"/>
      <c r="B2378" s="439"/>
      <c r="C2378" s="439"/>
      <c r="D2378" s="439"/>
      <c r="E2378" s="439"/>
      <c r="F2378" s="439"/>
      <c r="G2378" s="451" t="s">
        <v>3406</v>
      </c>
      <c r="Z2378" s="500"/>
      <c r="AA2378" s="500"/>
      <c r="AB2378" s="500"/>
      <c r="AC2378" s="500"/>
      <c r="AD2378" s="500"/>
      <c r="AE2378" s="500"/>
      <c r="AF2378" s="500"/>
      <c r="AG2378" s="500"/>
      <c r="AH2378" s="500"/>
      <c r="AI2378" s="500"/>
      <c r="AJ2378" s="500"/>
      <c r="AK2378" s="500"/>
      <c r="AL2378" s="500"/>
      <c r="AM2378" s="500"/>
      <c r="AN2378" s="500"/>
      <c r="AO2378" s="500"/>
      <c r="AP2378" s="500"/>
    </row>
    <row r="2379" spans="1:42" ht="16.5" customHeight="1">
      <c r="A2379" s="434"/>
      <c r="B2379" s="437" t="s">
        <v>3502</v>
      </c>
      <c r="C2379" s="439"/>
      <c r="D2379" s="439"/>
      <c r="E2379" s="439"/>
      <c r="F2379" s="439"/>
      <c r="G2379" s="451" t="s">
        <v>3503</v>
      </c>
      <c r="Z2379" s="500"/>
      <c r="AA2379" s="500"/>
      <c r="AB2379" s="500"/>
      <c r="AC2379" s="500"/>
      <c r="AD2379" s="500"/>
      <c r="AE2379" s="500"/>
      <c r="AF2379" s="500"/>
      <c r="AG2379" s="500"/>
      <c r="AH2379" s="500"/>
      <c r="AI2379" s="500"/>
      <c r="AJ2379" s="500"/>
      <c r="AK2379" s="500"/>
      <c r="AL2379" s="500"/>
      <c r="AM2379" s="500"/>
      <c r="AN2379" s="500"/>
      <c r="AO2379" s="500"/>
      <c r="AP2379" s="500"/>
    </row>
    <row r="2380" spans="1:42" ht="16.5" customHeight="1">
      <c r="A2380" s="439"/>
      <c r="B2380" s="439"/>
      <c r="C2380" s="439"/>
      <c r="D2380" s="439"/>
      <c r="E2380" s="439"/>
      <c r="F2380" s="439"/>
      <c r="G2380" s="451" t="s">
        <v>3406</v>
      </c>
      <c r="Z2380" s="500"/>
      <c r="AA2380" s="500"/>
      <c r="AB2380" s="500"/>
      <c r="AC2380" s="500"/>
      <c r="AD2380" s="500"/>
      <c r="AE2380" s="500"/>
      <c r="AF2380" s="500"/>
      <c r="AG2380" s="500"/>
      <c r="AH2380" s="500"/>
      <c r="AI2380" s="500"/>
      <c r="AJ2380" s="500"/>
      <c r="AK2380" s="500"/>
      <c r="AL2380" s="500"/>
      <c r="AM2380" s="500"/>
      <c r="AN2380" s="500"/>
      <c r="AO2380" s="500"/>
      <c r="AP2380" s="500"/>
    </row>
    <row r="2381" spans="1:42" ht="16.5" customHeight="1">
      <c r="A2381" s="434" t="s">
        <v>3634</v>
      </c>
      <c r="B2381" s="505" t="str">
        <f>"  지주목 삼발이, L1500 : "&amp;TEXT(I2381,"#,##0"&amp;IF(I2381&lt;&gt;INT(I2381),".###",""))&amp;" * "&amp;AA2381&amp;" 조  = "&amp;TEXT(C2381,"#,##0.0")&amp;""</f>
        <v xml:space="preserve">  지주목 삼발이, L1500 : 11,000 * 1 조  = 11,000.0</v>
      </c>
      <c r="C2381" s="506">
        <f>E2381+D2381+F2381</f>
        <v>11000</v>
      </c>
      <c r="D2381" s="506">
        <f>IF(H2381=0,0,ROUNDDOWN(J2381*H2381,1))</f>
        <v>0</v>
      </c>
      <c r="E2381" s="506">
        <f>IF(H2381=0,0,ROUNDDOWN(K2381*H2381,1))</f>
        <v>11000</v>
      </c>
      <c r="F2381" s="506">
        <f>IF(H2381=0,0,ROUNDDOWN(L2381*H2381,1))</f>
        <v>0</v>
      </c>
      <c r="G2381" s="451" t="s">
        <v>3635</v>
      </c>
      <c r="H2381" s="507">
        <f>ROUNDUP(AC2381,14-LEN(ABS(INT(AC2381))))</f>
        <v>1</v>
      </c>
      <c r="I2381" s="508">
        <f>K2381+J2381+L2381</f>
        <v>11000</v>
      </c>
      <c r="K2381" s="509">
        <f>재료비목록표!E91</f>
        <v>11000</v>
      </c>
      <c r="M2381" s="501" t="s">
        <v>3636</v>
      </c>
      <c r="N2381" s="501" t="s">
        <v>3416</v>
      </c>
      <c r="X2381" s="510" t="str">
        <f>재료비목록표!B91&amp;" / "&amp;재료비목록표!C91</f>
        <v>지주목 / 삼발이, L1500</v>
      </c>
      <c r="Y2381" s="433" t="str">
        <f ca="1">HYPERLINK("#"&amp;재료비목록표!G2&amp;"!A"&amp;ROW(재료비목록표!A91),"M08849 →")</f>
        <v>M08849 →</v>
      </c>
      <c r="Z2381" s="501" t="s">
        <v>3500</v>
      </c>
      <c r="AA2381" s="515">
        <v>1</v>
      </c>
      <c r="AB2381" s="501" t="s">
        <v>3418</v>
      </c>
      <c r="AC2381" s="512">
        <f>1*AA2381</f>
        <v>1</v>
      </c>
      <c r="AD2381" s="500"/>
      <c r="AE2381" s="500"/>
      <c r="AF2381" s="500"/>
      <c r="AG2381" s="500"/>
      <c r="AH2381" s="500"/>
      <c r="AI2381" s="500"/>
      <c r="AJ2381" s="500"/>
      <c r="AK2381" s="500"/>
      <c r="AL2381" s="500"/>
      <c r="AM2381" s="500"/>
      <c r="AN2381" s="500"/>
      <c r="AO2381" s="500"/>
      <c r="AP2381" s="500"/>
    </row>
    <row r="2382" spans="1:42" ht="16.5" customHeight="1">
      <c r="A2382" s="439"/>
      <c r="B2382" s="439"/>
      <c r="C2382" s="439"/>
      <c r="D2382" s="439"/>
      <c r="E2382" s="439"/>
      <c r="F2382" s="439"/>
      <c r="G2382" s="451" t="s">
        <v>3406</v>
      </c>
      <c r="Z2382" s="500"/>
      <c r="AA2382" s="500"/>
      <c r="AB2382" s="500"/>
      <c r="AC2382" s="500"/>
      <c r="AD2382" s="500"/>
      <c r="AE2382" s="500"/>
      <c r="AF2382" s="500"/>
      <c r="AG2382" s="500"/>
      <c r="AH2382" s="500"/>
      <c r="AI2382" s="500"/>
      <c r="AJ2382" s="500"/>
      <c r="AK2382" s="500"/>
      <c r="AL2382" s="500"/>
      <c r="AM2382" s="500"/>
      <c r="AN2382" s="500"/>
      <c r="AO2382" s="500"/>
      <c r="AP2382" s="500"/>
    </row>
    <row r="2383" spans="1:42" ht="16.5" customHeight="1">
      <c r="A2383" s="439"/>
      <c r="B2383" s="439"/>
      <c r="C2383" s="439"/>
      <c r="D2383" s="439"/>
      <c r="E2383" s="439"/>
      <c r="F2383" s="439"/>
      <c r="G2383" s="451" t="s">
        <v>3406</v>
      </c>
      <c r="Z2383" s="500"/>
      <c r="AA2383" s="500"/>
      <c r="AB2383" s="500"/>
      <c r="AC2383" s="500"/>
      <c r="AD2383" s="500"/>
      <c r="AE2383" s="500"/>
      <c r="AF2383" s="500"/>
      <c r="AG2383" s="500"/>
      <c r="AH2383" s="500"/>
      <c r="AI2383" s="500"/>
      <c r="AJ2383" s="500"/>
      <c r="AK2383" s="500"/>
      <c r="AL2383" s="500"/>
      <c r="AM2383" s="500"/>
      <c r="AN2383" s="500"/>
      <c r="AO2383" s="500"/>
      <c r="AP2383" s="500"/>
    </row>
    <row r="2384" spans="1:42" ht="16.5" customHeight="1">
      <c r="A2384" s="439"/>
      <c r="B2384" s="439"/>
      <c r="C2384" s="439"/>
      <c r="D2384" s="439"/>
      <c r="E2384" s="439"/>
      <c r="F2384" s="439"/>
      <c r="G2384" s="451" t="s">
        <v>3406</v>
      </c>
      <c r="Z2384" s="500"/>
      <c r="AA2384" s="500"/>
      <c r="AB2384" s="500"/>
      <c r="AC2384" s="500"/>
      <c r="AD2384" s="500"/>
      <c r="AE2384" s="500"/>
      <c r="AF2384" s="500"/>
      <c r="AG2384" s="500"/>
      <c r="AH2384" s="500"/>
      <c r="AI2384" s="500"/>
      <c r="AJ2384" s="500"/>
      <c r="AK2384" s="500"/>
      <c r="AL2384" s="500"/>
      <c r="AM2384" s="500"/>
      <c r="AN2384" s="500"/>
      <c r="AO2384" s="500"/>
      <c r="AP2384" s="500"/>
    </row>
    <row r="2385" spans="1:42" ht="16.5" customHeight="1">
      <c r="A2385" s="434" t="s">
        <v>3504</v>
      </c>
      <c r="B2385" s="505" t="str">
        <f>"  유기질비료 수목이식·식재용 : "&amp;TEXT(I2385,"#,##0"&amp;IF(I2385&lt;&gt;INT(I2385),".###",""))&amp;" * "&amp;AA2385&amp;" KG   = "&amp;TEXT(C2385,"#,##0.0")&amp;""</f>
        <v xml:space="preserve">  유기질비료 수목이식·식재용 : 500 * 10 KG   = 5,000.0</v>
      </c>
      <c r="C2385" s="506">
        <f>E2385+D2385+F2385</f>
        <v>5000</v>
      </c>
      <c r="D2385" s="506">
        <f>IF(H2385=0,0,ROUNDDOWN(J2385*H2385,1))</f>
        <v>0</v>
      </c>
      <c r="E2385" s="506">
        <f>IF(H2385=0,0,ROUNDDOWN(K2385*H2385,1))</f>
        <v>5000</v>
      </c>
      <c r="F2385" s="506">
        <f>IF(H2385=0,0,ROUNDDOWN(L2385*H2385,1))</f>
        <v>0</v>
      </c>
      <c r="G2385" s="451" t="s">
        <v>3631</v>
      </c>
      <c r="H2385" s="507">
        <f>ROUNDUP(AC2385,14-LEN(ABS(INT(AC2385))))</f>
        <v>10</v>
      </c>
      <c r="I2385" s="508">
        <f>K2385+J2385+L2385</f>
        <v>500</v>
      </c>
      <c r="K2385" s="509">
        <f>재료비목록표!E78</f>
        <v>500</v>
      </c>
      <c r="M2385" s="501" t="s">
        <v>3506</v>
      </c>
      <c r="N2385" s="501" t="s">
        <v>3416</v>
      </c>
      <c r="X2385" s="510" t="str">
        <f>재료비목록표!B78&amp;" / "&amp;재료비목록표!C78</f>
        <v>유기질비료 / 수목이식·식재용</v>
      </c>
      <c r="Y2385" s="433" t="str">
        <f ca="1">HYPERLINK("#"&amp;재료비목록표!G2&amp;"!A"&amp;ROW(재료비목록표!A78),"M01159 →")</f>
        <v>M01159 →</v>
      </c>
      <c r="Z2385" s="501" t="s">
        <v>3500</v>
      </c>
      <c r="AA2385" s="515">
        <v>10</v>
      </c>
      <c r="AB2385" s="501" t="s">
        <v>3418</v>
      </c>
      <c r="AC2385" s="512">
        <f>1*AA2385</f>
        <v>10</v>
      </c>
      <c r="AD2385" s="500"/>
      <c r="AE2385" s="500"/>
      <c r="AF2385" s="500"/>
      <c r="AG2385" s="500"/>
      <c r="AH2385" s="500"/>
      <c r="AI2385" s="500"/>
      <c r="AJ2385" s="500"/>
      <c r="AK2385" s="500"/>
      <c r="AL2385" s="500"/>
      <c r="AM2385" s="500"/>
      <c r="AN2385" s="500"/>
      <c r="AO2385" s="500"/>
      <c r="AP2385" s="500"/>
    </row>
    <row r="2386" spans="1:42" ht="16.5" customHeight="1">
      <c r="A2386" s="439"/>
      <c r="B2386" s="439"/>
      <c r="C2386" s="439"/>
      <c r="D2386" s="439"/>
      <c r="E2386" s="439"/>
      <c r="F2386" s="439"/>
      <c r="G2386" s="451" t="s">
        <v>3406</v>
      </c>
      <c r="Z2386" s="500"/>
      <c r="AA2386" s="500"/>
      <c r="AB2386" s="500"/>
      <c r="AC2386" s="500"/>
      <c r="AD2386" s="500"/>
      <c r="AE2386" s="500"/>
      <c r="AF2386" s="500"/>
      <c r="AG2386" s="500"/>
      <c r="AH2386" s="500"/>
      <c r="AI2386" s="500"/>
      <c r="AJ2386" s="500"/>
      <c r="AK2386" s="500"/>
      <c r="AL2386" s="500"/>
      <c r="AM2386" s="500"/>
      <c r="AN2386" s="500"/>
      <c r="AO2386" s="500"/>
      <c r="AP2386" s="500"/>
    </row>
    <row r="2387" spans="1:42" ht="16.5" customHeight="1">
      <c r="A2387" s="434"/>
      <c r="B2387" s="437" t="s">
        <v>3419</v>
      </c>
      <c r="C2387" s="513">
        <f>E2387+D2387+F2387</f>
        <v>16000</v>
      </c>
      <c r="D2387" s="513">
        <f>SUMIF(N2377:N2386,M2387,D2377:D2386)</f>
        <v>0</v>
      </c>
      <c r="E2387" s="513">
        <f>SUMIF(N2377:N2386,M2387,E2377:E2386)</f>
        <v>16000</v>
      </c>
      <c r="F2387" s="513">
        <f>SUMIF(N2377:N2386,M2387,F2377:F2386)</f>
        <v>0</v>
      </c>
      <c r="G2387" s="451" t="s">
        <v>3439</v>
      </c>
      <c r="M2387" s="501" t="s">
        <v>3416</v>
      </c>
      <c r="N2387" s="501" t="s">
        <v>3421</v>
      </c>
      <c r="Z2387" s="500"/>
      <c r="AA2387" s="500"/>
      <c r="AB2387" s="500"/>
      <c r="AC2387" s="500"/>
      <c r="AD2387" s="500"/>
      <c r="AE2387" s="500"/>
      <c r="AF2387" s="500"/>
      <c r="AG2387" s="500"/>
      <c r="AH2387" s="500"/>
      <c r="AI2387" s="500"/>
      <c r="AJ2387" s="500"/>
      <c r="AK2387" s="500"/>
      <c r="AL2387" s="500"/>
      <c r="AM2387" s="500"/>
      <c r="AN2387" s="500"/>
      <c r="AO2387" s="500"/>
      <c r="AP2387" s="500"/>
    </row>
    <row r="2388" spans="1:42" ht="16.5" customHeight="1">
      <c r="A2388" s="439"/>
      <c r="B2388" s="439"/>
      <c r="C2388" s="504"/>
      <c r="D2388" s="504"/>
      <c r="E2388" s="504"/>
      <c r="F2388" s="504"/>
      <c r="G2388" s="451" t="s">
        <v>3406</v>
      </c>
      <c r="Z2388" s="500"/>
      <c r="AA2388" s="500"/>
      <c r="AB2388" s="500"/>
      <c r="AC2388" s="500"/>
      <c r="AD2388" s="500"/>
      <c r="AE2388" s="500"/>
      <c r="AF2388" s="500"/>
      <c r="AG2388" s="500"/>
      <c r="AH2388" s="500"/>
      <c r="AI2388" s="500"/>
      <c r="AJ2388" s="500"/>
      <c r="AK2388" s="500"/>
      <c r="AL2388" s="500"/>
      <c r="AM2388" s="500"/>
      <c r="AN2388" s="500"/>
      <c r="AO2388" s="500"/>
      <c r="AP2388" s="500"/>
    </row>
    <row r="2389" spans="1:42" ht="16.5" customHeight="1">
      <c r="A2389" s="434"/>
      <c r="B2389" s="437" t="s">
        <v>3440</v>
      </c>
      <c r="C2389" s="513">
        <f>E2389+D2389+F2389</f>
        <v>101663.4</v>
      </c>
      <c r="D2389" s="513">
        <f>SUMIF(N2357:N2388,M2389,D2357:D2388)</f>
        <v>85663.4</v>
      </c>
      <c r="E2389" s="513">
        <f>SUMIF(N2357:N2388,M2389,E2357:E2388)</f>
        <v>16000</v>
      </c>
      <c r="F2389" s="513">
        <f>SUMIF(N2357:N2388,M2389,F2357:F2388)</f>
        <v>0</v>
      </c>
      <c r="G2389" s="451" t="s">
        <v>3441</v>
      </c>
      <c r="M2389" s="501" t="s">
        <v>3421</v>
      </c>
      <c r="N2389" s="501" t="s">
        <v>2354</v>
      </c>
      <c r="Z2389" s="500"/>
      <c r="AA2389" s="500"/>
      <c r="AB2389" s="500"/>
      <c r="AC2389" s="500"/>
      <c r="AD2389" s="500"/>
      <c r="AE2389" s="500"/>
      <c r="AF2389" s="500"/>
      <c r="AG2389" s="500"/>
      <c r="AH2389" s="500"/>
      <c r="AI2389" s="500"/>
      <c r="AJ2389" s="500"/>
      <c r="AK2389" s="500"/>
      <c r="AL2389" s="500"/>
      <c r="AM2389" s="500"/>
      <c r="AN2389" s="500"/>
      <c r="AO2389" s="500"/>
      <c r="AP2389" s="500"/>
    </row>
    <row r="2390" spans="1:42" ht="16.5" customHeight="1">
      <c r="A2390" s="439"/>
      <c r="B2390" s="439"/>
      <c r="C2390" s="504"/>
      <c r="D2390" s="504"/>
      <c r="E2390" s="504"/>
      <c r="F2390" s="504"/>
      <c r="G2390" s="451" t="s">
        <v>3413</v>
      </c>
      <c r="Z2390" s="500"/>
      <c r="AA2390" s="500"/>
      <c r="AB2390" s="500"/>
      <c r="AC2390" s="500"/>
      <c r="AD2390" s="500"/>
      <c r="AE2390" s="500"/>
      <c r="AF2390" s="500"/>
      <c r="AG2390" s="500"/>
      <c r="AH2390" s="500"/>
      <c r="AI2390" s="500"/>
      <c r="AJ2390" s="500"/>
      <c r="AK2390" s="500"/>
      <c r="AL2390" s="500"/>
      <c r="AM2390" s="500"/>
      <c r="AN2390" s="500"/>
      <c r="AO2390" s="500"/>
      <c r="AP2390" s="500"/>
    </row>
    <row r="2391" spans="1:42" ht="16.5" customHeight="1">
      <c r="A2391" s="439"/>
      <c r="B2391" s="439"/>
      <c r="C2391" s="439"/>
      <c r="D2391" s="439"/>
      <c r="E2391" s="439"/>
      <c r="F2391" s="439"/>
      <c r="Z2391" s="500"/>
      <c r="AA2391" s="500"/>
      <c r="AB2391" s="500"/>
      <c r="AC2391" s="500"/>
      <c r="AD2391" s="500"/>
      <c r="AE2391" s="500"/>
      <c r="AF2391" s="500"/>
      <c r="AG2391" s="500"/>
      <c r="AH2391" s="500"/>
      <c r="AI2391" s="500"/>
      <c r="AJ2391" s="500"/>
      <c r="AK2391" s="500"/>
      <c r="AL2391" s="500"/>
      <c r="AM2391" s="500"/>
      <c r="AN2391" s="500"/>
      <c r="AO2391" s="500"/>
      <c r="AP2391" s="500"/>
    </row>
    <row r="2392" spans="1:42" ht="16.5" customHeight="1">
      <c r="A2392" s="439"/>
      <c r="B2392" s="439"/>
      <c r="C2392" s="439"/>
      <c r="D2392" s="439"/>
      <c r="E2392" s="439"/>
      <c r="F2392" s="439"/>
      <c r="Z2392" s="500"/>
      <c r="AA2392" s="500"/>
      <c r="AB2392" s="500"/>
      <c r="AC2392" s="500"/>
      <c r="AD2392" s="500"/>
      <c r="AE2392" s="500"/>
      <c r="AF2392" s="500"/>
      <c r="AG2392" s="500"/>
      <c r="AH2392" s="500"/>
      <c r="AI2392" s="500"/>
      <c r="AJ2392" s="500"/>
      <c r="AK2392" s="500"/>
      <c r="AL2392" s="500"/>
      <c r="AM2392" s="500"/>
      <c r="AN2392" s="500"/>
      <c r="AO2392" s="500"/>
      <c r="AP2392" s="500"/>
    </row>
    <row r="2393" spans="1:42" ht="16.5" customHeight="1">
      <c r="A2393" s="439"/>
      <c r="B2393" s="439"/>
      <c r="C2393" s="439"/>
      <c r="D2393" s="439"/>
      <c r="E2393" s="439"/>
      <c r="F2393" s="439"/>
      <c r="Z2393" s="500"/>
      <c r="AA2393" s="500"/>
      <c r="AB2393" s="500"/>
      <c r="AC2393" s="500"/>
      <c r="AD2393" s="500"/>
      <c r="AE2393" s="500"/>
      <c r="AF2393" s="500"/>
      <c r="AG2393" s="500"/>
      <c r="AH2393" s="500"/>
      <c r="AI2393" s="500"/>
      <c r="AJ2393" s="500"/>
      <c r="AK2393" s="500"/>
      <c r="AL2393" s="500"/>
      <c r="AM2393" s="500"/>
      <c r="AN2393" s="500"/>
      <c r="AO2393" s="500"/>
      <c r="AP2393" s="500"/>
    </row>
    <row r="2394" spans="1:42" ht="16.5" customHeight="1">
      <c r="A2394" s="439"/>
      <c r="B2394" s="439"/>
      <c r="C2394" s="439"/>
      <c r="D2394" s="439"/>
      <c r="E2394" s="439"/>
      <c r="F2394" s="439"/>
      <c r="Z2394" s="500"/>
      <c r="AA2394" s="500"/>
      <c r="AB2394" s="500"/>
      <c r="AC2394" s="500"/>
      <c r="AD2394" s="500"/>
      <c r="AE2394" s="500"/>
      <c r="AF2394" s="500"/>
      <c r="AG2394" s="500"/>
      <c r="AH2394" s="500"/>
      <c r="AI2394" s="500"/>
      <c r="AJ2394" s="500"/>
      <c r="AK2394" s="500"/>
      <c r="AL2394" s="500"/>
      <c r="AM2394" s="500"/>
      <c r="AN2394" s="500"/>
      <c r="AO2394" s="500"/>
      <c r="AP2394" s="500"/>
    </row>
    <row r="2395" spans="1:42" ht="16.5" customHeight="1">
      <c r="A2395" s="439"/>
      <c r="B2395" s="439"/>
      <c r="C2395" s="439"/>
      <c r="D2395" s="439"/>
      <c r="E2395" s="439"/>
      <c r="F2395" s="439"/>
      <c r="Z2395" s="500"/>
      <c r="AA2395" s="500"/>
      <c r="AB2395" s="500"/>
      <c r="AC2395" s="500"/>
      <c r="AD2395" s="500"/>
      <c r="AE2395" s="500"/>
      <c r="AF2395" s="500"/>
      <c r="AG2395" s="500"/>
      <c r="AH2395" s="500"/>
      <c r="AI2395" s="500"/>
      <c r="AJ2395" s="500"/>
      <c r="AK2395" s="500"/>
      <c r="AL2395" s="500"/>
      <c r="AM2395" s="500"/>
      <c r="AN2395" s="500"/>
      <c r="AO2395" s="500"/>
      <c r="AP2395" s="500"/>
    </row>
    <row r="2396" spans="1:42" ht="16.5" customHeight="1">
      <c r="A2396" s="439"/>
      <c r="B2396" s="439"/>
      <c r="C2396" s="439"/>
      <c r="D2396" s="439"/>
      <c r="E2396" s="439"/>
      <c r="F2396" s="439"/>
      <c r="Z2396" s="500"/>
      <c r="AA2396" s="500"/>
      <c r="AB2396" s="500"/>
      <c r="AC2396" s="500"/>
      <c r="AD2396" s="500"/>
      <c r="AE2396" s="500"/>
      <c r="AF2396" s="500"/>
      <c r="AG2396" s="500"/>
      <c r="AH2396" s="500"/>
      <c r="AI2396" s="500"/>
      <c r="AJ2396" s="500"/>
      <c r="AK2396" s="500"/>
      <c r="AL2396" s="500"/>
      <c r="AM2396" s="500"/>
      <c r="AN2396" s="500"/>
      <c r="AO2396" s="500"/>
      <c r="AP2396" s="500"/>
    </row>
    <row r="2397" spans="1:42" ht="16.5" customHeight="1">
      <c r="A2397" s="439"/>
      <c r="B2397" s="439"/>
      <c r="C2397" s="439"/>
      <c r="D2397" s="439"/>
      <c r="E2397" s="439"/>
      <c r="F2397" s="439"/>
      <c r="Z2397" s="500"/>
      <c r="AA2397" s="500"/>
      <c r="AB2397" s="500"/>
      <c r="AC2397" s="500"/>
      <c r="AD2397" s="500"/>
      <c r="AE2397" s="500"/>
      <c r="AF2397" s="500"/>
      <c r="AG2397" s="500"/>
      <c r="AH2397" s="500"/>
      <c r="AI2397" s="500"/>
      <c r="AJ2397" s="500"/>
      <c r="AK2397" s="500"/>
      <c r="AL2397" s="500"/>
      <c r="AM2397" s="500"/>
      <c r="AN2397" s="500"/>
      <c r="AO2397" s="500"/>
      <c r="AP2397" s="500"/>
    </row>
    <row r="2398" spans="1:42" ht="16.5" customHeight="1">
      <c r="A2398" s="439"/>
      <c r="B2398" s="439"/>
      <c r="C2398" s="439"/>
      <c r="D2398" s="439"/>
      <c r="E2398" s="439"/>
      <c r="F2398" s="439"/>
      <c r="Z2398" s="500"/>
      <c r="AA2398" s="500"/>
      <c r="AB2398" s="500"/>
      <c r="AC2398" s="500"/>
      <c r="AD2398" s="500"/>
      <c r="AE2398" s="500"/>
      <c r="AF2398" s="500"/>
      <c r="AG2398" s="500"/>
      <c r="AH2398" s="500"/>
      <c r="AI2398" s="500"/>
      <c r="AJ2398" s="500"/>
      <c r="AK2398" s="500"/>
      <c r="AL2398" s="500"/>
      <c r="AM2398" s="500"/>
      <c r="AN2398" s="500"/>
      <c r="AO2398" s="500"/>
      <c r="AP2398" s="500"/>
    </row>
    <row r="2399" spans="1:42" ht="16.5" customHeight="1">
      <c r="A2399" s="439"/>
      <c r="B2399" s="439"/>
      <c r="C2399" s="439"/>
      <c r="D2399" s="439"/>
      <c r="E2399" s="439"/>
      <c r="F2399" s="439"/>
      <c r="Z2399" s="500"/>
      <c r="AA2399" s="500"/>
      <c r="AB2399" s="500"/>
      <c r="AC2399" s="500"/>
      <c r="AD2399" s="500"/>
      <c r="AE2399" s="500"/>
      <c r="AF2399" s="500"/>
      <c r="AG2399" s="500"/>
      <c r="AH2399" s="500"/>
      <c r="AI2399" s="500"/>
      <c r="AJ2399" s="500"/>
      <c r="AK2399" s="500"/>
      <c r="AL2399" s="500"/>
      <c r="AM2399" s="500"/>
      <c r="AN2399" s="500"/>
      <c r="AO2399" s="500"/>
      <c r="AP2399" s="500"/>
    </row>
    <row r="2400" spans="1:42" ht="16.5" customHeight="1">
      <c r="A2400" s="439"/>
      <c r="B2400" s="439"/>
      <c r="C2400" s="439"/>
      <c r="D2400" s="439"/>
      <c r="E2400" s="439"/>
      <c r="F2400" s="439"/>
      <c r="Z2400" s="500"/>
      <c r="AA2400" s="500"/>
      <c r="AB2400" s="500"/>
      <c r="AC2400" s="500"/>
      <c r="AD2400" s="500"/>
      <c r="AE2400" s="500"/>
      <c r="AF2400" s="500"/>
      <c r="AG2400" s="500"/>
      <c r="AH2400" s="500"/>
      <c r="AI2400" s="500"/>
      <c r="AJ2400" s="500"/>
      <c r="AK2400" s="500"/>
      <c r="AL2400" s="500"/>
      <c r="AM2400" s="500"/>
      <c r="AN2400" s="500"/>
      <c r="AO2400" s="500"/>
      <c r="AP2400" s="500"/>
    </row>
    <row r="2401" spans="1:42" ht="16.5" customHeight="1">
      <c r="A2401" s="439"/>
      <c r="B2401" s="439"/>
      <c r="C2401" s="439"/>
      <c r="D2401" s="439"/>
      <c r="E2401" s="439"/>
      <c r="F2401" s="439"/>
      <c r="Z2401" s="500"/>
      <c r="AA2401" s="500"/>
      <c r="AB2401" s="500"/>
      <c r="AC2401" s="500"/>
      <c r="AD2401" s="500"/>
      <c r="AE2401" s="500"/>
      <c r="AF2401" s="500"/>
      <c r="AG2401" s="500"/>
      <c r="AH2401" s="500"/>
      <c r="AI2401" s="500"/>
      <c r="AJ2401" s="500"/>
      <c r="AK2401" s="500"/>
      <c r="AL2401" s="500"/>
      <c r="AM2401" s="500"/>
      <c r="AN2401" s="500"/>
      <c r="AO2401" s="500"/>
      <c r="AP2401" s="500"/>
    </row>
    <row r="2402" spans="1:42" ht="16.5" customHeight="1">
      <c r="A2402" s="439"/>
      <c r="B2402" s="439"/>
      <c r="C2402" s="439"/>
      <c r="D2402" s="439"/>
      <c r="E2402" s="439"/>
      <c r="F2402" s="439"/>
      <c r="Z2402" s="500"/>
      <c r="AA2402" s="500"/>
      <c r="AB2402" s="500"/>
      <c r="AC2402" s="500"/>
      <c r="AD2402" s="500"/>
      <c r="AE2402" s="500"/>
      <c r="AF2402" s="500"/>
      <c r="AG2402" s="500"/>
      <c r="AH2402" s="500"/>
      <c r="AI2402" s="500"/>
      <c r="AJ2402" s="500"/>
      <c r="AK2402" s="500"/>
      <c r="AL2402" s="500"/>
      <c r="AM2402" s="500"/>
      <c r="AN2402" s="500"/>
      <c r="AO2402" s="500"/>
      <c r="AP2402" s="500"/>
    </row>
    <row r="2403" spans="1:42" ht="16.5" customHeight="1">
      <c r="A2403" s="497"/>
      <c r="B2403" s="497"/>
      <c r="C2403" s="497"/>
      <c r="D2403" s="497"/>
      <c r="E2403" s="497"/>
      <c r="F2403" s="497"/>
      <c r="Z2403" s="500"/>
      <c r="AA2403" s="500"/>
      <c r="AB2403" s="500"/>
      <c r="AC2403" s="500"/>
      <c r="AD2403" s="500"/>
      <c r="AE2403" s="500"/>
      <c r="AF2403" s="500"/>
      <c r="AG2403" s="500"/>
      <c r="AH2403" s="500"/>
      <c r="AI2403" s="500"/>
      <c r="AJ2403" s="500"/>
      <c r="AK2403" s="500"/>
      <c r="AL2403" s="500"/>
      <c r="AM2403" s="500"/>
      <c r="AN2403" s="500"/>
      <c r="AO2403" s="500"/>
      <c r="AP2403" s="500"/>
    </row>
    <row r="2404" spans="1:42" ht="16.5" customHeight="1">
      <c r="A2404" s="616" t="s">
        <v>3487</v>
      </c>
      <c r="B2404" s="605"/>
      <c r="C2404" s="446">
        <f>E2404+D2404+F2404</f>
        <v>101663</v>
      </c>
      <c r="D2404" s="453">
        <f>ROUNDDOWN(SUMIF(N2357:N2390,M2404,D2357:D2390),0)</f>
        <v>85663</v>
      </c>
      <c r="E2404" s="454">
        <f>ROUNDDOWN(SUMIF(N2357:N2390,M2404,E2357:E2390),0)</f>
        <v>16000</v>
      </c>
      <c r="F2404" s="446">
        <f>ROUNDDOWN(SUMIF(N2357:N2390,M2404,F2357:F2390),0)</f>
        <v>0</v>
      </c>
      <c r="M2404" s="501" t="s">
        <v>2354</v>
      </c>
      <c r="Z2404" s="500"/>
      <c r="AA2404" s="500"/>
      <c r="AB2404" s="500"/>
      <c r="AC2404" s="500"/>
      <c r="AD2404" s="500"/>
      <c r="AE2404" s="500"/>
      <c r="AF2404" s="500"/>
      <c r="AG2404" s="500"/>
      <c r="AH2404" s="500"/>
      <c r="AI2404" s="500"/>
      <c r="AJ2404" s="500"/>
      <c r="AK2404" s="500"/>
      <c r="AL2404" s="500"/>
      <c r="AM2404" s="500"/>
      <c r="AN2404" s="500"/>
      <c r="AO2404" s="500"/>
      <c r="AP2404" s="500"/>
    </row>
    <row r="2405" spans="1:42" ht="16.5" customHeight="1">
      <c r="A2405" s="502" t="s">
        <v>3351</v>
      </c>
      <c r="B2405" s="503" t="s">
        <v>1844</v>
      </c>
      <c r="C2405" s="615">
        <f>C2454</f>
        <v>41923</v>
      </c>
      <c r="D2405" s="615">
        <f>D2454</f>
        <v>32123</v>
      </c>
      <c r="E2405" s="615">
        <f>E2454</f>
        <v>9800</v>
      </c>
      <c r="F2405" s="615">
        <f>F2454</f>
        <v>0</v>
      </c>
      <c r="G2405" s="486" t="str">
        <f>HYPERLINK("#G"&amp;ROW(G2439),"_x0005_`BDCOD|D01314_x0007_`POSS|"&amp;ROW(G2407)&amp;"_x0007_`POSE|"&amp;ROW(G2439)&amp;"_x0007_`")</f>
        <v>_x0005_`BDCOD|D01314_x0007_`POSS|2407_x0007_`POSE|2439_x0007_`</v>
      </c>
      <c r="Z2405" s="500"/>
      <c r="AA2405" s="500"/>
      <c r="AB2405" s="500"/>
      <c r="AC2405" s="500"/>
      <c r="AD2405" s="500"/>
      <c r="AE2405" s="500"/>
      <c r="AF2405" s="500"/>
      <c r="AG2405" s="500"/>
      <c r="AH2405" s="500"/>
      <c r="AI2405" s="500"/>
      <c r="AJ2405" s="500"/>
      <c r="AK2405" s="500"/>
      <c r="AL2405" s="500"/>
      <c r="AM2405" s="500"/>
      <c r="AN2405" s="500"/>
      <c r="AO2405" s="500"/>
      <c r="AP2405" s="500"/>
    </row>
    <row r="2406" spans="1:42" ht="16.5" customHeight="1">
      <c r="A2406" s="485"/>
      <c r="B2406" s="503" t="s">
        <v>3657</v>
      </c>
      <c r="C2406" s="593"/>
      <c r="D2406" s="593"/>
      <c r="E2406" s="593"/>
      <c r="F2406" s="593"/>
      <c r="M2406" s="501" t="s">
        <v>1844</v>
      </c>
      <c r="Z2406" s="500"/>
      <c r="AA2406" s="500"/>
      <c r="AB2406" s="500"/>
      <c r="AC2406" s="500"/>
      <c r="AD2406" s="500"/>
      <c r="AE2406" s="500"/>
      <c r="AF2406" s="500"/>
      <c r="AG2406" s="500"/>
      <c r="AH2406" s="500"/>
      <c r="AI2406" s="500"/>
      <c r="AJ2406" s="500"/>
      <c r="AK2406" s="500"/>
      <c r="AL2406" s="500"/>
      <c r="AM2406" s="500"/>
      <c r="AN2406" s="500"/>
      <c r="AO2406" s="500"/>
      <c r="AP2406" s="500"/>
    </row>
    <row r="2407" spans="1:42" ht="16.5" customHeight="1">
      <c r="A2407" s="439"/>
      <c r="B2407" s="439"/>
      <c r="C2407" s="504"/>
      <c r="D2407" s="504"/>
      <c r="E2407" s="504"/>
      <c r="F2407" s="504"/>
      <c r="G2407" s="451" t="s">
        <v>3406</v>
      </c>
      <c r="Z2407" s="500"/>
      <c r="AA2407" s="500"/>
      <c r="AB2407" s="500"/>
      <c r="AC2407" s="500"/>
      <c r="AD2407" s="500"/>
      <c r="AE2407" s="500"/>
      <c r="AF2407" s="500"/>
      <c r="AG2407" s="500"/>
      <c r="AH2407" s="500"/>
      <c r="AI2407" s="500"/>
      <c r="AJ2407" s="500"/>
      <c r="AK2407" s="500"/>
      <c r="AL2407" s="500"/>
      <c r="AM2407" s="500"/>
      <c r="AN2407" s="500"/>
      <c r="AO2407" s="500"/>
      <c r="AP2407" s="500"/>
    </row>
    <row r="2408" spans="1:42" ht="16.5" customHeight="1">
      <c r="A2408" s="434"/>
      <c r="B2408" s="437" t="s">
        <v>3640</v>
      </c>
      <c r="C2408" s="439"/>
      <c r="D2408" s="439"/>
      <c r="E2408" s="439"/>
      <c r="F2408" s="439"/>
      <c r="G2408" s="451" t="s">
        <v>3641</v>
      </c>
      <c r="Z2408" s="500"/>
      <c r="AA2408" s="500"/>
      <c r="AB2408" s="500"/>
      <c r="AC2408" s="500"/>
      <c r="AD2408" s="500"/>
      <c r="AE2408" s="500"/>
      <c r="AF2408" s="500"/>
      <c r="AG2408" s="500"/>
      <c r="AH2408" s="500"/>
      <c r="AI2408" s="500"/>
      <c r="AJ2408" s="500"/>
      <c r="AK2408" s="500"/>
      <c r="AL2408" s="500"/>
      <c r="AM2408" s="500"/>
      <c r="AN2408" s="500"/>
      <c r="AO2408" s="500"/>
      <c r="AP2408" s="500"/>
    </row>
    <row r="2409" spans="1:42" ht="16.5" customHeight="1">
      <c r="A2409" s="439"/>
      <c r="B2409" s="439"/>
      <c r="C2409" s="439"/>
      <c r="D2409" s="439"/>
      <c r="E2409" s="439"/>
      <c r="F2409" s="439"/>
      <c r="G2409" s="451" t="s">
        <v>3406</v>
      </c>
      <c r="Z2409" s="500"/>
      <c r="AA2409" s="500"/>
      <c r="AB2409" s="500"/>
      <c r="AC2409" s="500"/>
      <c r="AD2409" s="500"/>
      <c r="AE2409" s="500"/>
      <c r="AF2409" s="500"/>
      <c r="AG2409" s="500"/>
      <c r="AH2409" s="500"/>
      <c r="AI2409" s="500"/>
      <c r="AJ2409" s="500"/>
      <c r="AK2409" s="500"/>
      <c r="AL2409" s="500"/>
      <c r="AM2409" s="500"/>
      <c r="AN2409" s="500"/>
      <c r="AO2409" s="500"/>
      <c r="AP2409" s="500"/>
    </row>
    <row r="2410" spans="1:42" ht="16.5" customHeight="1">
      <c r="A2410" s="434"/>
      <c r="B2410" s="437" t="s">
        <v>3642</v>
      </c>
      <c r="C2410" s="439"/>
      <c r="D2410" s="439"/>
      <c r="E2410" s="439"/>
      <c r="F2410" s="439"/>
      <c r="G2410" s="451" t="s">
        <v>3643</v>
      </c>
      <c r="Z2410" s="500"/>
      <c r="AA2410" s="500"/>
      <c r="AB2410" s="500"/>
      <c r="AC2410" s="500"/>
      <c r="AD2410" s="500"/>
      <c r="AE2410" s="500"/>
      <c r="AF2410" s="500"/>
      <c r="AG2410" s="500"/>
      <c r="AH2410" s="500"/>
      <c r="AI2410" s="500"/>
      <c r="AJ2410" s="500"/>
      <c r="AK2410" s="500"/>
      <c r="AL2410" s="500"/>
      <c r="AM2410" s="500"/>
      <c r="AN2410" s="500"/>
      <c r="AO2410" s="500"/>
      <c r="AP2410" s="500"/>
    </row>
    <row r="2411" spans="1:42" ht="16.5" customHeight="1">
      <c r="A2411" s="439"/>
      <c r="B2411" s="439"/>
      <c r="C2411" s="439"/>
      <c r="D2411" s="439"/>
      <c r="E2411" s="439"/>
      <c r="F2411" s="439"/>
      <c r="G2411" s="451" t="s">
        <v>3406</v>
      </c>
      <c r="Z2411" s="500"/>
      <c r="AA2411" s="500"/>
      <c r="AB2411" s="500"/>
      <c r="AC2411" s="500"/>
      <c r="AD2411" s="500"/>
      <c r="AE2411" s="500"/>
      <c r="AF2411" s="500"/>
      <c r="AG2411" s="500"/>
      <c r="AH2411" s="500"/>
      <c r="AI2411" s="500"/>
      <c r="AJ2411" s="500"/>
      <c r="AK2411" s="500"/>
      <c r="AL2411" s="500"/>
      <c r="AM2411" s="500"/>
      <c r="AN2411" s="500"/>
      <c r="AO2411" s="500"/>
      <c r="AP2411" s="500"/>
    </row>
    <row r="2412" spans="1:42" ht="16.5" customHeight="1">
      <c r="A2412" s="434"/>
      <c r="B2412" s="437" t="str">
        <f>" 일당 작업량 :   Q = "&amp;Z2412&amp;"  주 "</f>
        <v xml:space="preserve"> 일당 작업량 :   Q = 40  주 </v>
      </c>
      <c r="C2412" s="439"/>
      <c r="D2412" s="439"/>
      <c r="E2412" s="439"/>
      <c r="F2412" s="439"/>
      <c r="G2412" s="451" t="s">
        <v>3658</v>
      </c>
      <c r="Z2412" s="515">
        <v>40</v>
      </c>
      <c r="AA2412" s="501" t="s">
        <v>3418</v>
      </c>
      <c r="AB2412" s="512">
        <f>Z2412</f>
        <v>40</v>
      </c>
      <c r="AC2412" s="500"/>
      <c r="AD2412" s="500"/>
      <c r="AE2412" s="500"/>
      <c r="AF2412" s="500"/>
      <c r="AG2412" s="500"/>
      <c r="AH2412" s="500"/>
      <c r="AI2412" s="500"/>
      <c r="AJ2412" s="500"/>
      <c r="AK2412" s="500"/>
      <c r="AL2412" s="500"/>
      <c r="AM2412" s="500"/>
      <c r="AN2412" s="500"/>
      <c r="AO2412" s="500"/>
      <c r="AP2412" s="500"/>
    </row>
    <row r="2413" spans="1:42" ht="16.5" customHeight="1">
      <c r="A2413" s="439"/>
      <c r="B2413" s="439"/>
      <c r="C2413" s="439"/>
      <c r="D2413" s="439"/>
      <c r="E2413" s="439"/>
      <c r="F2413" s="439"/>
      <c r="G2413" s="451" t="s">
        <v>3406</v>
      </c>
      <c r="Z2413" s="500"/>
      <c r="AA2413" s="500"/>
      <c r="AB2413" s="500"/>
      <c r="AC2413" s="500"/>
      <c r="AD2413" s="500"/>
      <c r="AE2413" s="500"/>
      <c r="AF2413" s="500"/>
      <c r="AG2413" s="500"/>
      <c r="AH2413" s="500"/>
      <c r="AI2413" s="500"/>
      <c r="AJ2413" s="500"/>
      <c r="AK2413" s="500"/>
      <c r="AL2413" s="500"/>
      <c r="AM2413" s="500"/>
      <c r="AN2413" s="500"/>
      <c r="AO2413" s="500"/>
      <c r="AP2413" s="500"/>
    </row>
    <row r="2414" spans="1:42" ht="16.5" customHeight="1">
      <c r="A2414" s="434"/>
      <c r="B2414" s="437" t="s">
        <v>3651</v>
      </c>
      <c r="C2414" s="439"/>
      <c r="D2414" s="439"/>
      <c r="E2414" s="439"/>
      <c r="F2414" s="439"/>
      <c r="G2414" s="451" t="s">
        <v>3652</v>
      </c>
      <c r="Z2414" s="500"/>
      <c r="AA2414" s="500"/>
      <c r="AB2414" s="500"/>
      <c r="AC2414" s="500"/>
      <c r="AD2414" s="500"/>
      <c r="AE2414" s="500"/>
      <c r="AF2414" s="500"/>
      <c r="AG2414" s="500"/>
      <c r="AH2414" s="500"/>
      <c r="AI2414" s="500"/>
      <c r="AJ2414" s="500"/>
      <c r="AK2414" s="500"/>
      <c r="AL2414" s="500"/>
      <c r="AM2414" s="500"/>
      <c r="AN2414" s="500"/>
      <c r="AO2414" s="500"/>
      <c r="AP2414" s="500"/>
    </row>
    <row r="2415" spans="1:42" ht="16.5" customHeight="1">
      <c r="A2415" s="439"/>
      <c r="B2415" s="439"/>
      <c r="C2415" s="439"/>
      <c r="D2415" s="439"/>
      <c r="E2415" s="439"/>
      <c r="F2415" s="439"/>
      <c r="G2415" s="451" t="s">
        <v>3406</v>
      </c>
      <c r="Z2415" s="500"/>
      <c r="AA2415" s="500"/>
      <c r="AB2415" s="500"/>
      <c r="AC2415" s="500"/>
      <c r="AD2415" s="500"/>
      <c r="AE2415" s="500"/>
      <c r="AF2415" s="500"/>
      <c r="AG2415" s="500"/>
      <c r="AH2415" s="500"/>
      <c r="AI2415" s="500"/>
      <c r="AJ2415" s="500"/>
      <c r="AK2415" s="500"/>
      <c r="AL2415" s="500"/>
      <c r="AM2415" s="500"/>
      <c r="AN2415" s="500"/>
      <c r="AO2415" s="500"/>
      <c r="AP2415" s="500"/>
    </row>
    <row r="2416" spans="1:42" ht="16.5" customHeight="1">
      <c r="A2416" s="439"/>
      <c r="B2416" s="439"/>
      <c r="C2416" s="439"/>
      <c r="D2416" s="439"/>
      <c r="E2416" s="439"/>
      <c r="F2416" s="439"/>
      <c r="G2416" s="451" t="s">
        <v>3406</v>
      </c>
      <c r="Z2416" s="500"/>
      <c r="AA2416" s="500"/>
      <c r="AB2416" s="500"/>
      <c r="AC2416" s="500"/>
      <c r="AD2416" s="500"/>
      <c r="AE2416" s="500"/>
      <c r="AF2416" s="500"/>
      <c r="AG2416" s="500"/>
      <c r="AH2416" s="500"/>
      <c r="AI2416" s="500"/>
      <c r="AJ2416" s="500"/>
      <c r="AK2416" s="500"/>
      <c r="AL2416" s="500"/>
      <c r="AM2416" s="500"/>
      <c r="AN2416" s="500"/>
      <c r="AO2416" s="500"/>
      <c r="AP2416" s="500"/>
    </row>
    <row r="2417" spans="1:42" ht="16.5" customHeight="1">
      <c r="A2417" s="439"/>
      <c r="B2417" s="439"/>
      <c r="C2417" s="439"/>
      <c r="D2417" s="439"/>
      <c r="E2417" s="439"/>
      <c r="F2417" s="439"/>
      <c r="G2417" s="451" t="s">
        <v>3406</v>
      </c>
      <c r="Z2417" s="500"/>
      <c r="AA2417" s="500"/>
      <c r="AB2417" s="500"/>
      <c r="AC2417" s="500"/>
      <c r="AD2417" s="500"/>
      <c r="AE2417" s="500"/>
      <c r="AF2417" s="500"/>
      <c r="AG2417" s="500"/>
      <c r="AH2417" s="500"/>
      <c r="AI2417" s="500"/>
      <c r="AJ2417" s="500"/>
      <c r="AK2417" s="500"/>
      <c r="AL2417" s="500"/>
      <c r="AM2417" s="500"/>
      <c r="AN2417" s="500"/>
      <c r="AO2417" s="500"/>
      <c r="AP2417" s="500"/>
    </row>
    <row r="2418" spans="1:42" ht="16.5" customHeight="1">
      <c r="A2418" s="439"/>
      <c r="B2418" s="439"/>
      <c r="C2418" s="439"/>
      <c r="D2418" s="439"/>
      <c r="E2418" s="439"/>
      <c r="F2418" s="439"/>
      <c r="G2418" s="451" t="s">
        <v>3406</v>
      </c>
      <c r="Z2418" s="500"/>
      <c r="AA2418" s="500"/>
      <c r="AB2418" s="500"/>
      <c r="AC2418" s="500"/>
      <c r="AD2418" s="500"/>
      <c r="AE2418" s="500"/>
      <c r="AF2418" s="500"/>
      <c r="AG2418" s="500"/>
      <c r="AH2418" s="500"/>
      <c r="AI2418" s="500"/>
      <c r="AJ2418" s="500"/>
      <c r="AK2418" s="500"/>
      <c r="AL2418" s="500"/>
      <c r="AM2418" s="500"/>
      <c r="AN2418" s="500"/>
      <c r="AO2418" s="500"/>
      <c r="AP2418" s="500"/>
    </row>
    <row r="2419" spans="1:42" ht="16.5" customHeight="1">
      <c r="A2419" s="434"/>
      <c r="B2419" s="437" t="s">
        <v>3496</v>
      </c>
      <c r="C2419" s="439"/>
      <c r="D2419" s="439"/>
      <c r="E2419" s="439"/>
      <c r="F2419" s="439"/>
      <c r="G2419" s="451" t="s">
        <v>3497</v>
      </c>
      <c r="Z2419" s="500"/>
      <c r="AA2419" s="500"/>
      <c r="AB2419" s="500"/>
      <c r="AC2419" s="500"/>
      <c r="AD2419" s="500"/>
      <c r="AE2419" s="500"/>
      <c r="AF2419" s="500"/>
      <c r="AG2419" s="500"/>
      <c r="AH2419" s="500"/>
      <c r="AI2419" s="500"/>
      <c r="AJ2419" s="500"/>
      <c r="AK2419" s="500"/>
      <c r="AL2419" s="500"/>
      <c r="AM2419" s="500"/>
      <c r="AN2419" s="500"/>
      <c r="AO2419" s="500"/>
      <c r="AP2419" s="500"/>
    </row>
    <row r="2420" spans="1:42" ht="16.5" customHeight="1">
      <c r="A2420" s="439"/>
      <c r="B2420" s="439"/>
      <c r="C2420" s="439"/>
      <c r="D2420" s="439"/>
      <c r="E2420" s="439"/>
      <c r="F2420" s="439"/>
      <c r="G2420" s="451" t="s">
        <v>3406</v>
      </c>
      <c r="Z2420" s="500"/>
      <c r="AA2420" s="500"/>
      <c r="AB2420" s="500"/>
      <c r="AC2420" s="500"/>
      <c r="AD2420" s="500"/>
      <c r="AE2420" s="500"/>
      <c r="AF2420" s="500"/>
      <c r="AG2420" s="500"/>
      <c r="AH2420" s="500"/>
      <c r="AI2420" s="500"/>
      <c r="AJ2420" s="500"/>
      <c r="AK2420" s="500"/>
      <c r="AL2420" s="500"/>
      <c r="AM2420" s="500"/>
      <c r="AN2420" s="500"/>
      <c r="AO2420" s="500"/>
      <c r="AP2420" s="500"/>
    </row>
    <row r="2421" spans="1:42" ht="16.5" customHeight="1">
      <c r="A2421" s="434" t="s">
        <v>3498</v>
      </c>
      <c r="B2421" s="505" t="str">
        <f>" 조경공 :  "&amp;TEXT(I2421,"#,##0"&amp;IF(I2421&lt;&gt;INT(I2421),".###",""))&amp;" * "&amp;AA2421&amp;" 인  / Q = "&amp;TEXT(C2421,"#,##0.0")&amp;""</f>
        <v xml:space="preserve"> 조경공 :  235,204 * 4 인  / Q = 23,520.4</v>
      </c>
      <c r="C2421" s="506">
        <f>E2421+D2421+F2421</f>
        <v>23520.400000000001</v>
      </c>
      <c r="D2421" s="506">
        <f>IF(H2421=0,0,ROUNDDOWN(J2421*H2421,1))</f>
        <v>23520.400000000001</v>
      </c>
      <c r="E2421" s="506">
        <f>IF(H2421=0,0,ROUNDDOWN(K2421*H2421,1))</f>
        <v>0</v>
      </c>
      <c r="F2421" s="506">
        <f>IF(H2421=0,0,ROUNDDOWN(L2421*H2421,1))</f>
        <v>0</v>
      </c>
      <c r="G2421" s="451" t="s">
        <v>3653</v>
      </c>
      <c r="H2421" s="507">
        <f>ROUNDUP(AE2421,14-LEN(ABS(INT(AE2421))))</f>
        <v>0.1</v>
      </c>
      <c r="I2421" s="508">
        <f>K2421+J2421+L2421</f>
        <v>235204</v>
      </c>
      <c r="J2421" s="509">
        <f>노무비목록표!E15</f>
        <v>235204</v>
      </c>
      <c r="M2421" s="501" t="s">
        <v>2359</v>
      </c>
      <c r="N2421" s="501" t="s">
        <v>3416</v>
      </c>
      <c r="X2421" s="510" t="str">
        <f>노무비목록표!B15&amp;" / "&amp;노무비목록표!C15</f>
        <v xml:space="preserve">조경공 / </v>
      </c>
      <c r="Y2421" s="433" t="str">
        <f ca="1">HYPERLINK("#"&amp;노무비목록표!G2&amp;"!A"&amp;ROW(노무비목록표!A15),"L00184 →")</f>
        <v>L00184 →</v>
      </c>
      <c r="Z2421" s="501" t="s">
        <v>3500</v>
      </c>
      <c r="AA2421" s="515">
        <v>4</v>
      </c>
      <c r="AB2421" s="501" t="s">
        <v>3428</v>
      </c>
      <c r="AC2421" s="512">
        <f>AB2412</f>
        <v>40</v>
      </c>
      <c r="AD2421" s="501" t="s">
        <v>3418</v>
      </c>
      <c r="AE2421" s="512">
        <f>1*AA2421/AB2412</f>
        <v>0.1</v>
      </c>
      <c r="AF2421" s="500"/>
      <c r="AG2421" s="500"/>
      <c r="AH2421" s="500"/>
      <c r="AI2421" s="500"/>
      <c r="AJ2421" s="500"/>
      <c r="AK2421" s="500"/>
      <c r="AL2421" s="500"/>
      <c r="AM2421" s="500"/>
      <c r="AN2421" s="500"/>
      <c r="AO2421" s="500"/>
      <c r="AP2421" s="500"/>
    </row>
    <row r="2422" spans="1:42" ht="16.5" customHeight="1">
      <c r="A2422" s="439"/>
      <c r="B2422" s="439"/>
      <c r="C2422" s="439"/>
      <c r="D2422" s="439"/>
      <c r="E2422" s="439"/>
      <c r="F2422" s="439"/>
      <c r="G2422" s="451" t="s">
        <v>3406</v>
      </c>
      <c r="Z2422" s="500"/>
      <c r="AA2422" s="500"/>
      <c r="AB2422" s="500"/>
      <c r="AC2422" s="500"/>
      <c r="AD2422" s="500"/>
      <c r="AE2422" s="500"/>
      <c r="AF2422" s="500"/>
      <c r="AG2422" s="500"/>
      <c r="AH2422" s="500"/>
      <c r="AI2422" s="500"/>
      <c r="AJ2422" s="500"/>
      <c r="AK2422" s="500"/>
      <c r="AL2422" s="500"/>
      <c r="AM2422" s="500"/>
      <c r="AN2422" s="500"/>
      <c r="AO2422" s="500"/>
      <c r="AP2422" s="500"/>
    </row>
    <row r="2423" spans="1:42" ht="16.5" customHeight="1">
      <c r="A2423" s="439"/>
      <c r="B2423" s="439"/>
      <c r="C2423" s="439"/>
      <c r="D2423" s="439"/>
      <c r="E2423" s="439"/>
      <c r="F2423" s="439"/>
      <c r="G2423" s="451" t="s">
        <v>3406</v>
      </c>
      <c r="Z2423" s="500"/>
      <c r="AA2423" s="500"/>
      <c r="AB2423" s="500"/>
      <c r="AC2423" s="500"/>
      <c r="AD2423" s="500"/>
      <c r="AE2423" s="500"/>
      <c r="AF2423" s="500"/>
      <c r="AG2423" s="500"/>
      <c r="AH2423" s="500"/>
      <c r="AI2423" s="500"/>
      <c r="AJ2423" s="500"/>
      <c r="AK2423" s="500"/>
      <c r="AL2423" s="500"/>
      <c r="AM2423" s="500"/>
      <c r="AN2423" s="500"/>
      <c r="AO2423" s="500"/>
      <c r="AP2423" s="500"/>
    </row>
    <row r="2424" spans="1:42" ht="16.5" customHeight="1">
      <c r="A2424" s="434" t="s">
        <v>3414</v>
      </c>
      <c r="B2424" s="505" t="str">
        <f>" 보통인부 : "&amp;TEXT(I2424,"#,##0"&amp;IF(I2424&lt;&gt;INT(I2424),".###",""))&amp;" * "&amp;AA2424&amp;" 인  / Q = "&amp;TEXT(C2424,"#,##0.0")&amp;""</f>
        <v xml:space="preserve"> 보통인부 : 172,068 * 2 인  / Q = 8,603.4</v>
      </c>
      <c r="C2424" s="506">
        <f>E2424+D2424+F2424</f>
        <v>8603.4</v>
      </c>
      <c r="D2424" s="506">
        <f>IF(H2424=0,0,ROUNDDOWN(J2424*H2424,1))</f>
        <v>8603.4</v>
      </c>
      <c r="E2424" s="506">
        <f>IF(H2424=0,0,ROUNDDOWN(K2424*H2424,1))</f>
        <v>0</v>
      </c>
      <c r="F2424" s="506">
        <f>IF(H2424=0,0,ROUNDDOWN(L2424*H2424,1))</f>
        <v>0</v>
      </c>
      <c r="G2424" s="451" t="s">
        <v>3654</v>
      </c>
      <c r="H2424" s="507">
        <f>ROUNDUP(AE2424,14-LEN(ABS(INT(AE2424))))</f>
        <v>0.05</v>
      </c>
      <c r="I2424" s="508">
        <f>K2424+J2424+L2424</f>
        <v>172068</v>
      </c>
      <c r="J2424" s="509">
        <f>노무비목록표!E10</f>
        <v>172068</v>
      </c>
      <c r="M2424" s="501" t="s">
        <v>2363</v>
      </c>
      <c r="N2424" s="501" t="s">
        <v>3416</v>
      </c>
      <c r="X2424" s="510" t="str">
        <f>노무비목록표!B10&amp;" / "&amp;노무비목록표!C10</f>
        <v xml:space="preserve">보통인부 / </v>
      </c>
      <c r="Y2424" s="433" t="str">
        <f ca="1">HYPERLINK("#"&amp;노무비목록표!G2&amp;"!A"&amp;ROW(노무비목록표!A10),"L00017 →")</f>
        <v>L00017 →</v>
      </c>
      <c r="Z2424" s="501" t="s">
        <v>3500</v>
      </c>
      <c r="AA2424" s="515">
        <v>2</v>
      </c>
      <c r="AB2424" s="501" t="s">
        <v>3428</v>
      </c>
      <c r="AC2424" s="512">
        <f>AB2412</f>
        <v>40</v>
      </c>
      <c r="AD2424" s="501" t="s">
        <v>3418</v>
      </c>
      <c r="AE2424" s="512">
        <f>1*AA2424/AB2412</f>
        <v>0.05</v>
      </c>
      <c r="AF2424" s="500"/>
      <c r="AG2424" s="500"/>
      <c r="AH2424" s="500"/>
      <c r="AI2424" s="500"/>
      <c r="AJ2424" s="500"/>
      <c r="AK2424" s="500"/>
      <c r="AL2424" s="500"/>
      <c r="AM2424" s="500"/>
      <c r="AN2424" s="500"/>
      <c r="AO2424" s="500"/>
      <c r="AP2424" s="500"/>
    </row>
    <row r="2425" spans="1:42" ht="16.5" customHeight="1">
      <c r="A2425" s="439"/>
      <c r="B2425" s="439"/>
      <c r="C2425" s="439"/>
      <c r="D2425" s="439"/>
      <c r="E2425" s="439"/>
      <c r="F2425" s="439"/>
      <c r="G2425" s="451" t="s">
        <v>3406</v>
      </c>
      <c r="Z2425" s="500"/>
      <c r="AA2425" s="500"/>
      <c r="AB2425" s="500"/>
      <c r="AC2425" s="500"/>
      <c r="AD2425" s="500"/>
      <c r="AE2425" s="500"/>
      <c r="AF2425" s="500"/>
      <c r="AG2425" s="500"/>
      <c r="AH2425" s="500"/>
      <c r="AI2425" s="500"/>
      <c r="AJ2425" s="500"/>
      <c r="AK2425" s="500"/>
      <c r="AL2425" s="500"/>
      <c r="AM2425" s="500"/>
      <c r="AN2425" s="500"/>
      <c r="AO2425" s="500"/>
      <c r="AP2425" s="500"/>
    </row>
    <row r="2426" spans="1:42" ht="16.5" customHeight="1">
      <c r="A2426" s="434"/>
      <c r="B2426" s="437" t="s">
        <v>3419</v>
      </c>
      <c r="C2426" s="513">
        <f>E2426+D2426+F2426</f>
        <v>32123.800000000003</v>
      </c>
      <c r="D2426" s="513">
        <f>SUMIF(N2407:N2425,M2426,D2407:D2425)</f>
        <v>32123.800000000003</v>
      </c>
      <c r="E2426" s="513">
        <f>SUMIF(N2407:N2425,M2426,E2407:E2425)</f>
        <v>0</v>
      </c>
      <c r="F2426" s="513">
        <f>SUMIF(N2407:N2425,M2426,F2407:F2425)</f>
        <v>0</v>
      </c>
      <c r="G2426" s="451" t="s">
        <v>3439</v>
      </c>
      <c r="M2426" s="501" t="s">
        <v>3416</v>
      </c>
      <c r="N2426" s="501" t="s">
        <v>3421</v>
      </c>
      <c r="Z2426" s="500"/>
      <c r="AA2426" s="500"/>
      <c r="AB2426" s="500"/>
      <c r="AC2426" s="500"/>
      <c r="AD2426" s="500"/>
      <c r="AE2426" s="500"/>
      <c r="AF2426" s="500"/>
      <c r="AG2426" s="500"/>
      <c r="AH2426" s="500"/>
      <c r="AI2426" s="500"/>
      <c r="AJ2426" s="500"/>
      <c r="AK2426" s="500"/>
      <c r="AL2426" s="500"/>
      <c r="AM2426" s="500"/>
      <c r="AN2426" s="500"/>
      <c r="AO2426" s="500"/>
      <c r="AP2426" s="500"/>
    </row>
    <row r="2427" spans="1:42" ht="16.5" customHeight="1">
      <c r="A2427" s="439"/>
      <c r="B2427" s="439"/>
      <c r="C2427" s="504"/>
      <c r="D2427" s="504"/>
      <c r="E2427" s="504"/>
      <c r="F2427" s="504"/>
      <c r="G2427" s="451" t="s">
        <v>3406</v>
      </c>
      <c r="Z2427" s="500"/>
      <c r="AA2427" s="500"/>
      <c r="AB2427" s="500"/>
      <c r="AC2427" s="500"/>
      <c r="AD2427" s="500"/>
      <c r="AE2427" s="500"/>
      <c r="AF2427" s="500"/>
      <c r="AG2427" s="500"/>
      <c r="AH2427" s="500"/>
      <c r="AI2427" s="500"/>
      <c r="AJ2427" s="500"/>
      <c r="AK2427" s="500"/>
      <c r="AL2427" s="500"/>
      <c r="AM2427" s="500"/>
      <c r="AN2427" s="500"/>
      <c r="AO2427" s="500"/>
      <c r="AP2427" s="500"/>
    </row>
    <row r="2428" spans="1:42" ht="16.5" customHeight="1">
      <c r="A2428" s="439"/>
      <c r="B2428" s="439"/>
      <c r="C2428" s="439"/>
      <c r="D2428" s="439"/>
      <c r="E2428" s="439"/>
      <c r="F2428" s="439"/>
      <c r="G2428" s="451" t="s">
        <v>3406</v>
      </c>
      <c r="Z2428" s="500"/>
      <c r="AA2428" s="500"/>
      <c r="AB2428" s="500"/>
      <c r="AC2428" s="500"/>
      <c r="AD2428" s="500"/>
      <c r="AE2428" s="500"/>
      <c r="AF2428" s="500"/>
      <c r="AG2428" s="500"/>
      <c r="AH2428" s="500"/>
      <c r="AI2428" s="500"/>
      <c r="AJ2428" s="500"/>
      <c r="AK2428" s="500"/>
      <c r="AL2428" s="500"/>
      <c r="AM2428" s="500"/>
      <c r="AN2428" s="500"/>
      <c r="AO2428" s="500"/>
      <c r="AP2428" s="500"/>
    </row>
    <row r="2429" spans="1:42" ht="16.5" customHeight="1">
      <c r="A2429" s="434"/>
      <c r="B2429" s="437" t="s">
        <v>3502</v>
      </c>
      <c r="C2429" s="439"/>
      <c r="D2429" s="439"/>
      <c r="E2429" s="439"/>
      <c r="F2429" s="439"/>
      <c r="G2429" s="451" t="s">
        <v>3503</v>
      </c>
      <c r="Z2429" s="500"/>
      <c r="AA2429" s="500"/>
      <c r="AB2429" s="500"/>
      <c r="AC2429" s="500"/>
      <c r="AD2429" s="500"/>
      <c r="AE2429" s="500"/>
      <c r="AF2429" s="500"/>
      <c r="AG2429" s="500"/>
      <c r="AH2429" s="500"/>
      <c r="AI2429" s="500"/>
      <c r="AJ2429" s="500"/>
      <c r="AK2429" s="500"/>
      <c r="AL2429" s="500"/>
      <c r="AM2429" s="500"/>
      <c r="AN2429" s="500"/>
      <c r="AO2429" s="500"/>
      <c r="AP2429" s="500"/>
    </row>
    <row r="2430" spans="1:42" ht="16.5" customHeight="1">
      <c r="A2430" s="439"/>
      <c r="B2430" s="439"/>
      <c r="C2430" s="439"/>
      <c r="D2430" s="439"/>
      <c r="E2430" s="439"/>
      <c r="F2430" s="439"/>
      <c r="G2430" s="451" t="s">
        <v>3406</v>
      </c>
      <c r="Z2430" s="500"/>
      <c r="AA2430" s="500"/>
      <c r="AB2430" s="500"/>
      <c r="AC2430" s="500"/>
      <c r="AD2430" s="500"/>
      <c r="AE2430" s="500"/>
      <c r="AF2430" s="500"/>
      <c r="AG2430" s="500"/>
      <c r="AH2430" s="500"/>
      <c r="AI2430" s="500"/>
      <c r="AJ2430" s="500"/>
      <c r="AK2430" s="500"/>
      <c r="AL2430" s="500"/>
      <c r="AM2430" s="500"/>
      <c r="AN2430" s="500"/>
      <c r="AO2430" s="500"/>
      <c r="AP2430" s="500"/>
    </row>
    <row r="2431" spans="1:42" ht="16.5" customHeight="1">
      <c r="A2431" s="434" t="s">
        <v>3628</v>
      </c>
      <c r="B2431" s="505" t="str">
        <f>"  지주목 이각, L1200 : "&amp;TEXT(I2431,"#,##0"&amp;IF(I2431&lt;&gt;INT(I2431),".###",""))&amp;" * "&amp;AA2431&amp;" 조  = "&amp;TEXT(C2431,"#,##0.0")&amp;""</f>
        <v xml:space="preserve">  지주목 이각, L1200 : 7,300 * 1 조  = 7,300.0</v>
      </c>
      <c r="C2431" s="506">
        <f>E2431+D2431+F2431</f>
        <v>7300</v>
      </c>
      <c r="D2431" s="506">
        <f>IF(H2431=0,0,ROUNDDOWN(J2431*H2431,1))</f>
        <v>0</v>
      </c>
      <c r="E2431" s="506">
        <f>IF(H2431=0,0,ROUNDDOWN(K2431*H2431,1))</f>
        <v>7300</v>
      </c>
      <c r="F2431" s="506">
        <f>IF(H2431=0,0,ROUNDDOWN(L2431*H2431,1))</f>
        <v>0</v>
      </c>
      <c r="G2431" s="451" t="s">
        <v>3629</v>
      </c>
      <c r="H2431" s="507">
        <f>ROUNDUP(AC2431,14-LEN(ABS(INT(AC2431))))</f>
        <v>1</v>
      </c>
      <c r="I2431" s="508">
        <f>K2431+J2431+L2431</f>
        <v>7300</v>
      </c>
      <c r="K2431" s="509">
        <f>재료비목록표!E94</f>
        <v>7300</v>
      </c>
      <c r="M2431" s="501" t="s">
        <v>3630</v>
      </c>
      <c r="N2431" s="501" t="s">
        <v>3416</v>
      </c>
      <c r="X2431" s="510" t="str">
        <f>재료비목록표!B94&amp;" / "&amp;재료비목록표!C94</f>
        <v>지주목 / 이각, L1200</v>
      </c>
      <c r="Y2431" s="433" t="str">
        <f ca="1">HYPERLINK("#"&amp;재료비목록표!G2&amp;"!A"&amp;ROW(재료비목록표!A94),"M08848 →")</f>
        <v>M08848 →</v>
      </c>
      <c r="Z2431" s="501" t="s">
        <v>3500</v>
      </c>
      <c r="AA2431" s="515">
        <v>1</v>
      </c>
      <c r="AB2431" s="501" t="s">
        <v>3418</v>
      </c>
      <c r="AC2431" s="512">
        <f>1*AA2431</f>
        <v>1</v>
      </c>
      <c r="AD2431" s="500"/>
      <c r="AE2431" s="500"/>
      <c r="AF2431" s="500"/>
      <c r="AG2431" s="500"/>
      <c r="AH2431" s="500"/>
      <c r="AI2431" s="500"/>
      <c r="AJ2431" s="500"/>
      <c r="AK2431" s="500"/>
      <c r="AL2431" s="500"/>
      <c r="AM2431" s="500"/>
      <c r="AN2431" s="500"/>
      <c r="AO2431" s="500"/>
      <c r="AP2431" s="500"/>
    </row>
    <row r="2432" spans="1:42" ht="16.5" customHeight="1">
      <c r="A2432" s="439"/>
      <c r="B2432" s="439"/>
      <c r="C2432" s="439"/>
      <c r="D2432" s="439"/>
      <c r="E2432" s="439"/>
      <c r="F2432" s="439"/>
      <c r="G2432" s="451" t="s">
        <v>3406</v>
      </c>
      <c r="Z2432" s="500"/>
      <c r="AA2432" s="500"/>
      <c r="AB2432" s="500"/>
      <c r="AC2432" s="500"/>
      <c r="AD2432" s="500"/>
      <c r="AE2432" s="500"/>
      <c r="AF2432" s="500"/>
      <c r="AG2432" s="500"/>
      <c r="AH2432" s="500"/>
      <c r="AI2432" s="500"/>
      <c r="AJ2432" s="500"/>
      <c r="AK2432" s="500"/>
      <c r="AL2432" s="500"/>
      <c r="AM2432" s="500"/>
      <c r="AN2432" s="500"/>
      <c r="AO2432" s="500"/>
      <c r="AP2432" s="500"/>
    </row>
    <row r="2433" spans="1:42" ht="16.5" customHeight="1">
      <c r="A2433" s="439"/>
      <c r="B2433" s="439"/>
      <c r="C2433" s="439"/>
      <c r="D2433" s="439"/>
      <c r="E2433" s="439"/>
      <c r="F2433" s="439"/>
      <c r="G2433" s="451" t="s">
        <v>3406</v>
      </c>
      <c r="Z2433" s="500"/>
      <c r="AA2433" s="500"/>
      <c r="AB2433" s="500"/>
      <c r="AC2433" s="500"/>
      <c r="AD2433" s="500"/>
      <c r="AE2433" s="500"/>
      <c r="AF2433" s="500"/>
      <c r="AG2433" s="500"/>
      <c r="AH2433" s="500"/>
      <c r="AI2433" s="500"/>
      <c r="AJ2433" s="500"/>
      <c r="AK2433" s="500"/>
      <c r="AL2433" s="500"/>
      <c r="AM2433" s="500"/>
      <c r="AN2433" s="500"/>
      <c r="AO2433" s="500"/>
      <c r="AP2433" s="500"/>
    </row>
    <row r="2434" spans="1:42" ht="16.5" customHeight="1">
      <c r="A2434" s="434" t="s">
        <v>3504</v>
      </c>
      <c r="B2434" s="505" t="str">
        <f>"  유기질비료 수목이식·식재용 : "&amp;TEXT(I2434,"#,##0"&amp;IF(I2434&lt;&gt;INT(I2434),".###",""))&amp;" * "&amp;AA2434&amp;" KG   = "&amp;TEXT(C2434,"#,##0.0")&amp;""</f>
        <v xml:space="preserve">  유기질비료 수목이식·식재용 : 500 * 5 KG   = 2,500.0</v>
      </c>
      <c r="C2434" s="506">
        <f>E2434+D2434+F2434</f>
        <v>2500</v>
      </c>
      <c r="D2434" s="506">
        <f>IF(H2434=0,0,ROUNDDOWN(J2434*H2434,1))</f>
        <v>0</v>
      </c>
      <c r="E2434" s="506">
        <f>IF(H2434=0,0,ROUNDDOWN(K2434*H2434,1))</f>
        <v>2500</v>
      </c>
      <c r="F2434" s="506">
        <f>IF(H2434=0,0,ROUNDDOWN(L2434*H2434,1))</f>
        <v>0</v>
      </c>
      <c r="G2434" s="451" t="s">
        <v>3659</v>
      </c>
      <c r="H2434" s="507">
        <f>ROUNDUP(AC2434,14-LEN(ABS(INT(AC2434))))</f>
        <v>5</v>
      </c>
      <c r="I2434" s="508">
        <f>K2434+J2434+L2434</f>
        <v>500</v>
      </c>
      <c r="K2434" s="509">
        <f>재료비목록표!E78</f>
        <v>500</v>
      </c>
      <c r="M2434" s="501" t="s">
        <v>3506</v>
      </c>
      <c r="N2434" s="501" t="s">
        <v>3416</v>
      </c>
      <c r="X2434" s="510" t="str">
        <f>재료비목록표!B78&amp;" / "&amp;재료비목록표!C78</f>
        <v>유기질비료 / 수목이식·식재용</v>
      </c>
      <c r="Y2434" s="433" t="str">
        <f ca="1">HYPERLINK("#"&amp;재료비목록표!G2&amp;"!A"&amp;ROW(재료비목록표!A78),"M01159 →")</f>
        <v>M01159 →</v>
      </c>
      <c r="Z2434" s="501" t="s">
        <v>3500</v>
      </c>
      <c r="AA2434" s="515">
        <v>5</v>
      </c>
      <c r="AB2434" s="501" t="s">
        <v>3418</v>
      </c>
      <c r="AC2434" s="512">
        <f>1*AA2434</f>
        <v>5</v>
      </c>
      <c r="AD2434" s="500"/>
      <c r="AE2434" s="500"/>
      <c r="AF2434" s="500"/>
      <c r="AG2434" s="500"/>
      <c r="AH2434" s="500"/>
      <c r="AI2434" s="500"/>
      <c r="AJ2434" s="500"/>
      <c r="AK2434" s="500"/>
      <c r="AL2434" s="500"/>
      <c r="AM2434" s="500"/>
      <c r="AN2434" s="500"/>
      <c r="AO2434" s="500"/>
      <c r="AP2434" s="500"/>
    </row>
    <row r="2435" spans="1:42" ht="16.5" customHeight="1">
      <c r="A2435" s="439"/>
      <c r="B2435" s="439"/>
      <c r="C2435" s="439"/>
      <c r="D2435" s="439"/>
      <c r="E2435" s="439"/>
      <c r="F2435" s="439"/>
      <c r="G2435" s="451" t="s">
        <v>3406</v>
      </c>
      <c r="Z2435" s="500"/>
      <c r="AA2435" s="500"/>
      <c r="AB2435" s="500"/>
      <c r="AC2435" s="500"/>
      <c r="AD2435" s="500"/>
      <c r="AE2435" s="500"/>
      <c r="AF2435" s="500"/>
      <c r="AG2435" s="500"/>
      <c r="AH2435" s="500"/>
      <c r="AI2435" s="500"/>
      <c r="AJ2435" s="500"/>
      <c r="AK2435" s="500"/>
      <c r="AL2435" s="500"/>
      <c r="AM2435" s="500"/>
      <c r="AN2435" s="500"/>
      <c r="AO2435" s="500"/>
      <c r="AP2435" s="500"/>
    </row>
    <row r="2436" spans="1:42" ht="16.5" customHeight="1">
      <c r="A2436" s="434"/>
      <c r="B2436" s="437" t="s">
        <v>3419</v>
      </c>
      <c r="C2436" s="513">
        <f>E2436+D2436+F2436</f>
        <v>9800</v>
      </c>
      <c r="D2436" s="513">
        <f>SUMIF(N2427:N2435,M2436,D2427:D2435)</f>
        <v>0</v>
      </c>
      <c r="E2436" s="513">
        <f>SUMIF(N2427:N2435,M2436,E2427:E2435)</f>
        <v>9800</v>
      </c>
      <c r="F2436" s="513">
        <f>SUMIF(N2427:N2435,M2436,F2427:F2435)</f>
        <v>0</v>
      </c>
      <c r="G2436" s="451" t="s">
        <v>3439</v>
      </c>
      <c r="M2436" s="501" t="s">
        <v>3416</v>
      </c>
      <c r="N2436" s="501" t="s">
        <v>3421</v>
      </c>
      <c r="Z2436" s="500"/>
      <c r="AA2436" s="500"/>
      <c r="AB2436" s="500"/>
      <c r="AC2436" s="500"/>
      <c r="AD2436" s="500"/>
      <c r="AE2436" s="500"/>
      <c r="AF2436" s="500"/>
      <c r="AG2436" s="500"/>
      <c r="AH2436" s="500"/>
      <c r="AI2436" s="500"/>
      <c r="AJ2436" s="500"/>
      <c r="AK2436" s="500"/>
      <c r="AL2436" s="500"/>
      <c r="AM2436" s="500"/>
      <c r="AN2436" s="500"/>
      <c r="AO2436" s="500"/>
      <c r="AP2436" s="500"/>
    </row>
    <row r="2437" spans="1:42" ht="16.5" customHeight="1">
      <c r="A2437" s="439"/>
      <c r="B2437" s="439"/>
      <c r="C2437" s="504"/>
      <c r="D2437" s="504"/>
      <c r="E2437" s="504"/>
      <c r="F2437" s="504"/>
      <c r="G2437" s="451" t="s">
        <v>3406</v>
      </c>
      <c r="Z2437" s="500"/>
      <c r="AA2437" s="500"/>
      <c r="AB2437" s="500"/>
      <c r="AC2437" s="500"/>
      <c r="AD2437" s="500"/>
      <c r="AE2437" s="500"/>
      <c r="AF2437" s="500"/>
      <c r="AG2437" s="500"/>
      <c r="AH2437" s="500"/>
      <c r="AI2437" s="500"/>
      <c r="AJ2437" s="500"/>
      <c r="AK2437" s="500"/>
      <c r="AL2437" s="500"/>
      <c r="AM2437" s="500"/>
      <c r="AN2437" s="500"/>
      <c r="AO2437" s="500"/>
      <c r="AP2437" s="500"/>
    </row>
    <row r="2438" spans="1:42" ht="16.5" customHeight="1">
      <c r="A2438" s="434"/>
      <c r="B2438" s="437" t="s">
        <v>3440</v>
      </c>
      <c r="C2438" s="513">
        <f>E2438+D2438+F2438</f>
        <v>41923.800000000003</v>
      </c>
      <c r="D2438" s="513">
        <f>SUMIF(N2407:N2437,M2438,D2407:D2437)</f>
        <v>32123.800000000003</v>
      </c>
      <c r="E2438" s="513">
        <f>SUMIF(N2407:N2437,M2438,E2407:E2437)</f>
        <v>9800</v>
      </c>
      <c r="F2438" s="513">
        <f>SUMIF(N2407:N2437,M2438,F2407:F2437)</f>
        <v>0</v>
      </c>
      <c r="G2438" s="451" t="s">
        <v>3441</v>
      </c>
      <c r="M2438" s="501" t="s">
        <v>3421</v>
      </c>
      <c r="N2438" s="501" t="s">
        <v>2354</v>
      </c>
      <c r="Z2438" s="500"/>
      <c r="AA2438" s="500"/>
      <c r="AB2438" s="500"/>
      <c r="AC2438" s="500"/>
      <c r="AD2438" s="500"/>
      <c r="AE2438" s="500"/>
      <c r="AF2438" s="500"/>
      <c r="AG2438" s="500"/>
      <c r="AH2438" s="500"/>
      <c r="AI2438" s="500"/>
      <c r="AJ2438" s="500"/>
      <c r="AK2438" s="500"/>
      <c r="AL2438" s="500"/>
      <c r="AM2438" s="500"/>
      <c r="AN2438" s="500"/>
      <c r="AO2438" s="500"/>
      <c r="AP2438" s="500"/>
    </row>
    <row r="2439" spans="1:42" ht="16.5" customHeight="1">
      <c r="A2439" s="439"/>
      <c r="B2439" s="439"/>
      <c r="C2439" s="504"/>
      <c r="D2439" s="504"/>
      <c r="E2439" s="504"/>
      <c r="F2439" s="504"/>
      <c r="G2439" s="451" t="s">
        <v>3413</v>
      </c>
      <c r="Z2439" s="500"/>
      <c r="AA2439" s="500"/>
      <c r="AB2439" s="500"/>
      <c r="AC2439" s="500"/>
      <c r="AD2439" s="500"/>
      <c r="AE2439" s="500"/>
      <c r="AF2439" s="500"/>
      <c r="AG2439" s="500"/>
      <c r="AH2439" s="500"/>
      <c r="AI2439" s="500"/>
      <c r="AJ2439" s="500"/>
      <c r="AK2439" s="500"/>
      <c r="AL2439" s="500"/>
      <c r="AM2439" s="500"/>
      <c r="AN2439" s="500"/>
      <c r="AO2439" s="500"/>
      <c r="AP2439" s="500"/>
    </row>
    <row r="2440" spans="1:42" ht="16.5" customHeight="1">
      <c r="A2440" s="439"/>
      <c r="B2440" s="439"/>
      <c r="C2440" s="439"/>
      <c r="D2440" s="439"/>
      <c r="E2440" s="439"/>
      <c r="F2440" s="439"/>
      <c r="Z2440" s="500"/>
      <c r="AA2440" s="500"/>
      <c r="AB2440" s="500"/>
      <c r="AC2440" s="500"/>
      <c r="AD2440" s="500"/>
      <c r="AE2440" s="500"/>
      <c r="AF2440" s="500"/>
      <c r="AG2440" s="500"/>
      <c r="AH2440" s="500"/>
      <c r="AI2440" s="500"/>
      <c r="AJ2440" s="500"/>
      <c r="AK2440" s="500"/>
      <c r="AL2440" s="500"/>
      <c r="AM2440" s="500"/>
      <c r="AN2440" s="500"/>
      <c r="AO2440" s="500"/>
      <c r="AP2440" s="500"/>
    </row>
    <row r="2441" spans="1:42" ht="16.5" customHeight="1">
      <c r="A2441" s="439"/>
      <c r="B2441" s="439"/>
      <c r="C2441" s="439"/>
      <c r="D2441" s="439"/>
      <c r="E2441" s="439"/>
      <c r="F2441" s="439"/>
      <c r="Z2441" s="500"/>
      <c r="AA2441" s="500"/>
      <c r="AB2441" s="500"/>
      <c r="AC2441" s="500"/>
      <c r="AD2441" s="500"/>
      <c r="AE2441" s="500"/>
      <c r="AF2441" s="500"/>
      <c r="AG2441" s="500"/>
      <c r="AH2441" s="500"/>
      <c r="AI2441" s="500"/>
      <c r="AJ2441" s="500"/>
      <c r="AK2441" s="500"/>
      <c r="AL2441" s="500"/>
      <c r="AM2441" s="500"/>
      <c r="AN2441" s="500"/>
      <c r="AO2441" s="500"/>
      <c r="AP2441" s="500"/>
    </row>
    <row r="2442" spans="1:42" ht="16.5" customHeight="1">
      <c r="A2442" s="439"/>
      <c r="B2442" s="439"/>
      <c r="C2442" s="439"/>
      <c r="D2442" s="439"/>
      <c r="E2442" s="439"/>
      <c r="F2442" s="439"/>
      <c r="Z2442" s="500"/>
      <c r="AA2442" s="500"/>
      <c r="AB2442" s="500"/>
      <c r="AC2442" s="500"/>
      <c r="AD2442" s="500"/>
      <c r="AE2442" s="500"/>
      <c r="AF2442" s="500"/>
      <c r="AG2442" s="500"/>
      <c r="AH2442" s="500"/>
      <c r="AI2442" s="500"/>
      <c r="AJ2442" s="500"/>
      <c r="AK2442" s="500"/>
      <c r="AL2442" s="500"/>
      <c r="AM2442" s="500"/>
      <c r="AN2442" s="500"/>
      <c r="AO2442" s="500"/>
      <c r="AP2442" s="500"/>
    </row>
    <row r="2443" spans="1:42" ht="16.5" customHeight="1">
      <c r="A2443" s="439"/>
      <c r="B2443" s="439"/>
      <c r="C2443" s="439"/>
      <c r="D2443" s="439"/>
      <c r="E2443" s="439"/>
      <c r="F2443" s="439"/>
      <c r="Z2443" s="500"/>
      <c r="AA2443" s="500"/>
      <c r="AB2443" s="500"/>
      <c r="AC2443" s="500"/>
      <c r="AD2443" s="500"/>
      <c r="AE2443" s="500"/>
      <c r="AF2443" s="500"/>
      <c r="AG2443" s="500"/>
      <c r="AH2443" s="500"/>
      <c r="AI2443" s="500"/>
      <c r="AJ2443" s="500"/>
      <c r="AK2443" s="500"/>
      <c r="AL2443" s="500"/>
      <c r="AM2443" s="500"/>
      <c r="AN2443" s="500"/>
      <c r="AO2443" s="500"/>
      <c r="AP2443" s="500"/>
    </row>
    <row r="2444" spans="1:42" ht="16.5" customHeight="1">
      <c r="A2444" s="439"/>
      <c r="B2444" s="439"/>
      <c r="C2444" s="439"/>
      <c r="D2444" s="439"/>
      <c r="E2444" s="439"/>
      <c r="F2444" s="439"/>
      <c r="Z2444" s="500"/>
      <c r="AA2444" s="500"/>
      <c r="AB2444" s="500"/>
      <c r="AC2444" s="500"/>
      <c r="AD2444" s="500"/>
      <c r="AE2444" s="500"/>
      <c r="AF2444" s="500"/>
      <c r="AG2444" s="500"/>
      <c r="AH2444" s="500"/>
      <c r="AI2444" s="500"/>
      <c r="AJ2444" s="500"/>
      <c r="AK2444" s="500"/>
      <c r="AL2444" s="500"/>
      <c r="AM2444" s="500"/>
      <c r="AN2444" s="500"/>
      <c r="AO2444" s="500"/>
      <c r="AP2444" s="500"/>
    </row>
    <row r="2445" spans="1:42" ht="16.5" customHeight="1">
      <c r="A2445" s="439"/>
      <c r="B2445" s="439"/>
      <c r="C2445" s="439"/>
      <c r="D2445" s="439"/>
      <c r="E2445" s="439"/>
      <c r="F2445" s="439"/>
      <c r="Z2445" s="500"/>
      <c r="AA2445" s="500"/>
      <c r="AB2445" s="500"/>
      <c r="AC2445" s="500"/>
      <c r="AD2445" s="500"/>
      <c r="AE2445" s="500"/>
      <c r="AF2445" s="500"/>
      <c r="AG2445" s="500"/>
      <c r="AH2445" s="500"/>
      <c r="AI2445" s="500"/>
      <c r="AJ2445" s="500"/>
      <c r="AK2445" s="500"/>
      <c r="AL2445" s="500"/>
      <c r="AM2445" s="500"/>
      <c r="AN2445" s="500"/>
      <c r="AO2445" s="500"/>
      <c r="AP2445" s="500"/>
    </row>
    <row r="2446" spans="1:42" ht="16.5" customHeight="1">
      <c r="A2446" s="439"/>
      <c r="B2446" s="439"/>
      <c r="C2446" s="439"/>
      <c r="D2446" s="439"/>
      <c r="E2446" s="439"/>
      <c r="F2446" s="439"/>
      <c r="Z2446" s="500"/>
      <c r="AA2446" s="500"/>
      <c r="AB2446" s="500"/>
      <c r="AC2446" s="500"/>
      <c r="AD2446" s="500"/>
      <c r="AE2446" s="500"/>
      <c r="AF2446" s="500"/>
      <c r="AG2446" s="500"/>
      <c r="AH2446" s="500"/>
      <c r="AI2446" s="500"/>
      <c r="AJ2446" s="500"/>
      <c r="AK2446" s="500"/>
      <c r="AL2446" s="500"/>
      <c r="AM2446" s="500"/>
      <c r="AN2446" s="500"/>
      <c r="AO2446" s="500"/>
      <c r="AP2446" s="500"/>
    </row>
    <row r="2447" spans="1:42" ht="16.5" customHeight="1">
      <c r="A2447" s="439"/>
      <c r="B2447" s="439"/>
      <c r="C2447" s="439"/>
      <c r="D2447" s="439"/>
      <c r="E2447" s="439"/>
      <c r="F2447" s="439"/>
      <c r="Z2447" s="500"/>
      <c r="AA2447" s="500"/>
      <c r="AB2447" s="500"/>
      <c r="AC2447" s="500"/>
      <c r="AD2447" s="500"/>
      <c r="AE2447" s="500"/>
      <c r="AF2447" s="500"/>
      <c r="AG2447" s="500"/>
      <c r="AH2447" s="500"/>
      <c r="AI2447" s="500"/>
      <c r="AJ2447" s="500"/>
      <c r="AK2447" s="500"/>
      <c r="AL2447" s="500"/>
      <c r="AM2447" s="500"/>
      <c r="AN2447" s="500"/>
      <c r="AO2447" s="500"/>
      <c r="AP2447" s="500"/>
    </row>
    <row r="2448" spans="1:42" ht="16.5" customHeight="1">
      <c r="A2448" s="439"/>
      <c r="B2448" s="439"/>
      <c r="C2448" s="439"/>
      <c r="D2448" s="439"/>
      <c r="E2448" s="439"/>
      <c r="F2448" s="439"/>
      <c r="Z2448" s="500"/>
      <c r="AA2448" s="500"/>
      <c r="AB2448" s="500"/>
      <c r="AC2448" s="500"/>
      <c r="AD2448" s="500"/>
      <c r="AE2448" s="500"/>
      <c r="AF2448" s="500"/>
      <c r="AG2448" s="500"/>
      <c r="AH2448" s="500"/>
      <c r="AI2448" s="500"/>
      <c r="AJ2448" s="500"/>
      <c r="AK2448" s="500"/>
      <c r="AL2448" s="500"/>
      <c r="AM2448" s="500"/>
      <c r="AN2448" s="500"/>
      <c r="AO2448" s="500"/>
      <c r="AP2448" s="500"/>
    </row>
    <row r="2449" spans="1:42" ht="16.5" customHeight="1">
      <c r="A2449" s="439"/>
      <c r="B2449" s="439"/>
      <c r="C2449" s="439"/>
      <c r="D2449" s="439"/>
      <c r="E2449" s="439"/>
      <c r="F2449" s="439"/>
      <c r="Z2449" s="500"/>
      <c r="AA2449" s="500"/>
      <c r="AB2449" s="500"/>
      <c r="AC2449" s="500"/>
      <c r="AD2449" s="500"/>
      <c r="AE2449" s="500"/>
      <c r="AF2449" s="500"/>
      <c r="AG2449" s="500"/>
      <c r="AH2449" s="500"/>
      <c r="AI2449" s="500"/>
      <c r="AJ2449" s="500"/>
      <c r="AK2449" s="500"/>
      <c r="AL2449" s="500"/>
      <c r="AM2449" s="500"/>
      <c r="AN2449" s="500"/>
      <c r="AO2449" s="500"/>
      <c r="AP2449" s="500"/>
    </row>
    <row r="2450" spans="1:42" ht="16.5" customHeight="1">
      <c r="A2450" s="439"/>
      <c r="B2450" s="439"/>
      <c r="C2450" s="439"/>
      <c r="D2450" s="439"/>
      <c r="E2450" s="439"/>
      <c r="F2450" s="439"/>
      <c r="Z2450" s="500"/>
      <c r="AA2450" s="500"/>
      <c r="AB2450" s="500"/>
      <c r="AC2450" s="500"/>
      <c r="AD2450" s="500"/>
      <c r="AE2450" s="500"/>
      <c r="AF2450" s="500"/>
      <c r="AG2450" s="500"/>
      <c r="AH2450" s="500"/>
      <c r="AI2450" s="500"/>
      <c r="AJ2450" s="500"/>
      <c r="AK2450" s="500"/>
      <c r="AL2450" s="500"/>
      <c r="AM2450" s="500"/>
      <c r="AN2450" s="500"/>
      <c r="AO2450" s="500"/>
      <c r="AP2450" s="500"/>
    </row>
    <row r="2451" spans="1:42" ht="16.5" customHeight="1">
      <c r="A2451" s="439"/>
      <c r="B2451" s="439"/>
      <c r="C2451" s="439"/>
      <c r="D2451" s="439"/>
      <c r="E2451" s="439"/>
      <c r="F2451" s="439"/>
      <c r="Z2451" s="500"/>
      <c r="AA2451" s="500"/>
      <c r="AB2451" s="500"/>
      <c r="AC2451" s="500"/>
      <c r="AD2451" s="500"/>
      <c r="AE2451" s="500"/>
      <c r="AF2451" s="500"/>
      <c r="AG2451" s="500"/>
      <c r="AH2451" s="500"/>
      <c r="AI2451" s="500"/>
      <c r="AJ2451" s="500"/>
      <c r="AK2451" s="500"/>
      <c r="AL2451" s="500"/>
      <c r="AM2451" s="500"/>
      <c r="AN2451" s="500"/>
      <c r="AO2451" s="500"/>
      <c r="AP2451" s="500"/>
    </row>
    <row r="2452" spans="1:42" ht="16.5" customHeight="1">
      <c r="A2452" s="439"/>
      <c r="B2452" s="439"/>
      <c r="C2452" s="439"/>
      <c r="D2452" s="439"/>
      <c r="E2452" s="439"/>
      <c r="F2452" s="439"/>
      <c r="Z2452" s="500"/>
      <c r="AA2452" s="500"/>
      <c r="AB2452" s="500"/>
      <c r="AC2452" s="500"/>
      <c r="AD2452" s="500"/>
      <c r="AE2452" s="500"/>
      <c r="AF2452" s="500"/>
      <c r="AG2452" s="500"/>
      <c r="AH2452" s="500"/>
      <c r="AI2452" s="500"/>
      <c r="AJ2452" s="500"/>
      <c r="AK2452" s="500"/>
      <c r="AL2452" s="500"/>
      <c r="AM2452" s="500"/>
      <c r="AN2452" s="500"/>
      <c r="AO2452" s="500"/>
      <c r="AP2452" s="500"/>
    </row>
    <row r="2453" spans="1:42" ht="16.5" customHeight="1">
      <c r="A2453" s="497"/>
      <c r="B2453" s="497"/>
      <c r="C2453" s="497"/>
      <c r="D2453" s="497"/>
      <c r="E2453" s="497"/>
      <c r="F2453" s="497"/>
      <c r="Z2453" s="500"/>
      <c r="AA2453" s="500"/>
      <c r="AB2453" s="500"/>
      <c r="AC2453" s="500"/>
      <c r="AD2453" s="500"/>
      <c r="AE2453" s="500"/>
      <c r="AF2453" s="500"/>
      <c r="AG2453" s="500"/>
      <c r="AH2453" s="500"/>
      <c r="AI2453" s="500"/>
      <c r="AJ2453" s="500"/>
      <c r="AK2453" s="500"/>
      <c r="AL2453" s="500"/>
      <c r="AM2453" s="500"/>
      <c r="AN2453" s="500"/>
      <c r="AO2453" s="500"/>
      <c r="AP2453" s="500"/>
    </row>
    <row r="2454" spans="1:42" ht="16.5" customHeight="1">
      <c r="A2454" s="616" t="s">
        <v>3487</v>
      </c>
      <c r="B2454" s="605"/>
      <c r="C2454" s="446">
        <f>E2454+D2454+F2454</f>
        <v>41923</v>
      </c>
      <c r="D2454" s="453">
        <f>ROUNDDOWN(SUMIF(N2407:N2439,M2454,D2407:D2439),0)</f>
        <v>32123</v>
      </c>
      <c r="E2454" s="454">
        <f>ROUNDDOWN(SUMIF(N2407:N2439,M2454,E2407:E2439),0)</f>
        <v>9800</v>
      </c>
      <c r="F2454" s="446">
        <f>ROUNDDOWN(SUMIF(N2407:N2439,M2454,F2407:F2439),0)</f>
        <v>0</v>
      </c>
      <c r="M2454" s="501" t="s">
        <v>2354</v>
      </c>
      <c r="Z2454" s="500"/>
      <c r="AA2454" s="500"/>
      <c r="AB2454" s="500"/>
      <c r="AC2454" s="500"/>
      <c r="AD2454" s="500"/>
      <c r="AE2454" s="500"/>
      <c r="AF2454" s="500"/>
      <c r="AG2454" s="500"/>
      <c r="AH2454" s="500"/>
      <c r="AI2454" s="500"/>
      <c r="AJ2454" s="500"/>
      <c r="AK2454" s="500"/>
      <c r="AL2454" s="500"/>
      <c r="AM2454" s="500"/>
      <c r="AN2454" s="500"/>
      <c r="AO2454" s="500"/>
      <c r="AP2454" s="500"/>
    </row>
    <row r="2455" spans="1:42" ht="16.5" customHeight="1">
      <c r="A2455" s="502" t="s">
        <v>3351</v>
      </c>
      <c r="B2455" s="503" t="s">
        <v>1848</v>
      </c>
      <c r="C2455" s="615">
        <f>C2504</f>
        <v>76547</v>
      </c>
      <c r="D2455" s="615">
        <f>D2504</f>
        <v>64247</v>
      </c>
      <c r="E2455" s="615">
        <f>E2504</f>
        <v>12300</v>
      </c>
      <c r="F2455" s="615">
        <f>F2504</f>
        <v>0</v>
      </c>
      <c r="G2455" s="486" t="str">
        <f>HYPERLINK("#G"&amp;ROW(G2489),"_x0005_`BDCOD|D01316_x0007_`POSS|"&amp;ROW(G2457)&amp;"_x0007_`POSE|"&amp;ROW(G2489)&amp;"_x0007_`")</f>
        <v>_x0005_`BDCOD|D01316_x0007_`POSS|2457_x0007_`POSE|2489_x0007_`</v>
      </c>
      <c r="Z2455" s="500"/>
      <c r="AA2455" s="500"/>
      <c r="AB2455" s="500"/>
      <c r="AC2455" s="500"/>
      <c r="AD2455" s="500"/>
      <c r="AE2455" s="500"/>
      <c r="AF2455" s="500"/>
      <c r="AG2455" s="500"/>
      <c r="AH2455" s="500"/>
      <c r="AI2455" s="500"/>
      <c r="AJ2455" s="500"/>
      <c r="AK2455" s="500"/>
      <c r="AL2455" s="500"/>
      <c r="AM2455" s="500"/>
      <c r="AN2455" s="500"/>
      <c r="AO2455" s="500"/>
      <c r="AP2455" s="500"/>
    </row>
    <row r="2456" spans="1:42" ht="16.5" customHeight="1">
      <c r="A2456" s="485"/>
      <c r="B2456" s="503" t="s">
        <v>3660</v>
      </c>
      <c r="C2456" s="593"/>
      <c r="D2456" s="593"/>
      <c r="E2456" s="593"/>
      <c r="F2456" s="593"/>
      <c r="M2456" s="501" t="s">
        <v>1848</v>
      </c>
      <c r="Z2456" s="500"/>
      <c r="AA2456" s="500"/>
      <c r="AB2456" s="500"/>
      <c r="AC2456" s="500"/>
      <c r="AD2456" s="500"/>
      <c r="AE2456" s="500"/>
      <c r="AF2456" s="500"/>
      <c r="AG2456" s="500"/>
      <c r="AH2456" s="500"/>
      <c r="AI2456" s="500"/>
      <c r="AJ2456" s="500"/>
      <c r="AK2456" s="500"/>
      <c r="AL2456" s="500"/>
      <c r="AM2456" s="500"/>
      <c r="AN2456" s="500"/>
      <c r="AO2456" s="500"/>
      <c r="AP2456" s="500"/>
    </row>
    <row r="2457" spans="1:42" ht="16.5" customHeight="1">
      <c r="A2457" s="439"/>
      <c r="B2457" s="439"/>
      <c r="C2457" s="504"/>
      <c r="D2457" s="504"/>
      <c r="E2457" s="504"/>
      <c r="F2457" s="504"/>
      <c r="G2457" s="451" t="s">
        <v>3406</v>
      </c>
      <c r="Z2457" s="500"/>
      <c r="AA2457" s="500"/>
      <c r="AB2457" s="500"/>
      <c r="AC2457" s="500"/>
      <c r="AD2457" s="500"/>
      <c r="AE2457" s="500"/>
      <c r="AF2457" s="500"/>
      <c r="AG2457" s="500"/>
      <c r="AH2457" s="500"/>
      <c r="AI2457" s="500"/>
      <c r="AJ2457" s="500"/>
      <c r="AK2457" s="500"/>
      <c r="AL2457" s="500"/>
      <c r="AM2457" s="500"/>
      <c r="AN2457" s="500"/>
      <c r="AO2457" s="500"/>
      <c r="AP2457" s="500"/>
    </row>
    <row r="2458" spans="1:42" ht="16.5" customHeight="1">
      <c r="A2458" s="434"/>
      <c r="B2458" s="437" t="s">
        <v>3640</v>
      </c>
      <c r="C2458" s="439"/>
      <c r="D2458" s="439"/>
      <c r="E2458" s="439"/>
      <c r="F2458" s="439"/>
      <c r="G2458" s="451" t="s">
        <v>3641</v>
      </c>
      <c r="Z2458" s="500"/>
      <c r="AA2458" s="500"/>
      <c r="AB2458" s="500"/>
      <c r="AC2458" s="500"/>
      <c r="AD2458" s="500"/>
      <c r="AE2458" s="500"/>
      <c r="AF2458" s="500"/>
      <c r="AG2458" s="500"/>
      <c r="AH2458" s="500"/>
      <c r="AI2458" s="500"/>
      <c r="AJ2458" s="500"/>
      <c r="AK2458" s="500"/>
      <c r="AL2458" s="500"/>
      <c r="AM2458" s="500"/>
      <c r="AN2458" s="500"/>
      <c r="AO2458" s="500"/>
      <c r="AP2458" s="500"/>
    </row>
    <row r="2459" spans="1:42" ht="16.5" customHeight="1">
      <c r="A2459" s="439"/>
      <c r="B2459" s="439"/>
      <c r="C2459" s="439"/>
      <c r="D2459" s="439"/>
      <c r="E2459" s="439"/>
      <c r="F2459" s="439"/>
      <c r="G2459" s="451" t="s">
        <v>3406</v>
      </c>
      <c r="Z2459" s="500"/>
      <c r="AA2459" s="500"/>
      <c r="AB2459" s="500"/>
      <c r="AC2459" s="500"/>
      <c r="AD2459" s="500"/>
      <c r="AE2459" s="500"/>
      <c r="AF2459" s="500"/>
      <c r="AG2459" s="500"/>
      <c r="AH2459" s="500"/>
      <c r="AI2459" s="500"/>
      <c r="AJ2459" s="500"/>
      <c r="AK2459" s="500"/>
      <c r="AL2459" s="500"/>
      <c r="AM2459" s="500"/>
      <c r="AN2459" s="500"/>
      <c r="AO2459" s="500"/>
      <c r="AP2459" s="500"/>
    </row>
    <row r="2460" spans="1:42" ht="16.5" customHeight="1">
      <c r="A2460" s="434"/>
      <c r="B2460" s="437" t="s">
        <v>3642</v>
      </c>
      <c r="C2460" s="439"/>
      <c r="D2460" s="439"/>
      <c r="E2460" s="439"/>
      <c r="F2460" s="439"/>
      <c r="G2460" s="451" t="s">
        <v>3643</v>
      </c>
      <c r="Z2460" s="500"/>
      <c r="AA2460" s="500"/>
      <c r="AB2460" s="500"/>
      <c r="AC2460" s="500"/>
      <c r="AD2460" s="500"/>
      <c r="AE2460" s="500"/>
      <c r="AF2460" s="500"/>
      <c r="AG2460" s="500"/>
      <c r="AH2460" s="500"/>
      <c r="AI2460" s="500"/>
      <c r="AJ2460" s="500"/>
      <c r="AK2460" s="500"/>
      <c r="AL2460" s="500"/>
      <c r="AM2460" s="500"/>
      <c r="AN2460" s="500"/>
      <c r="AO2460" s="500"/>
      <c r="AP2460" s="500"/>
    </row>
    <row r="2461" spans="1:42" ht="16.5" customHeight="1">
      <c r="A2461" s="439"/>
      <c r="B2461" s="439"/>
      <c r="C2461" s="439"/>
      <c r="D2461" s="439"/>
      <c r="E2461" s="439"/>
      <c r="F2461" s="439"/>
      <c r="G2461" s="451" t="s">
        <v>3406</v>
      </c>
      <c r="Z2461" s="500"/>
      <c r="AA2461" s="500"/>
      <c r="AB2461" s="500"/>
      <c r="AC2461" s="500"/>
      <c r="AD2461" s="500"/>
      <c r="AE2461" s="500"/>
      <c r="AF2461" s="500"/>
      <c r="AG2461" s="500"/>
      <c r="AH2461" s="500"/>
      <c r="AI2461" s="500"/>
      <c r="AJ2461" s="500"/>
      <c r="AK2461" s="500"/>
      <c r="AL2461" s="500"/>
      <c r="AM2461" s="500"/>
      <c r="AN2461" s="500"/>
      <c r="AO2461" s="500"/>
      <c r="AP2461" s="500"/>
    </row>
    <row r="2462" spans="1:42" ht="16.5" customHeight="1">
      <c r="A2462" s="434"/>
      <c r="B2462" s="437" t="str">
        <f>" 일당 작업량 :   Q = "&amp;Z2462&amp;"  주 "</f>
        <v xml:space="preserve"> 일당 작업량 :   Q = 20  주 </v>
      </c>
      <c r="C2462" s="439"/>
      <c r="D2462" s="439"/>
      <c r="E2462" s="439"/>
      <c r="F2462" s="439"/>
      <c r="G2462" s="451" t="s">
        <v>3648</v>
      </c>
      <c r="Z2462" s="515">
        <v>20</v>
      </c>
      <c r="AA2462" s="501" t="s">
        <v>3418</v>
      </c>
      <c r="AB2462" s="512">
        <f>Z2462</f>
        <v>20</v>
      </c>
      <c r="AC2462" s="500"/>
      <c r="AD2462" s="500"/>
      <c r="AE2462" s="500"/>
      <c r="AF2462" s="500"/>
      <c r="AG2462" s="500"/>
      <c r="AH2462" s="500"/>
      <c r="AI2462" s="500"/>
      <c r="AJ2462" s="500"/>
      <c r="AK2462" s="500"/>
      <c r="AL2462" s="500"/>
      <c r="AM2462" s="500"/>
      <c r="AN2462" s="500"/>
      <c r="AO2462" s="500"/>
      <c r="AP2462" s="500"/>
    </row>
    <row r="2463" spans="1:42" ht="16.5" customHeight="1">
      <c r="A2463" s="439"/>
      <c r="B2463" s="439"/>
      <c r="C2463" s="439"/>
      <c r="D2463" s="439"/>
      <c r="E2463" s="439"/>
      <c r="F2463" s="439"/>
      <c r="G2463" s="451" t="s">
        <v>3406</v>
      </c>
      <c r="Z2463" s="500"/>
      <c r="AA2463" s="500"/>
      <c r="AB2463" s="500"/>
      <c r="AC2463" s="500"/>
      <c r="AD2463" s="500"/>
      <c r="AE2463" s="500"/>
      <c r="AF2463" s="500"/>
      <c r="AG2463" s="500"/>
      <c r="AH2463" s="500"/>
      <c r="AI2463" s="500"/>
      <c r="AJ2463" s="500"/>
      <c r="AK2463" s="500"/>
      <c r="AL2463" s="500"/>
      <c r="AM2463" s="500"/>
      <c r="AN2463" s="500"/>
      <c r="AO2463" s="500"/>
      <c r="AP2463" s="500"/>
    </row>
    <row r="2464" spans="1:42" ht="16.5" customHeight="1">
      <c r="A2464" s="434"/>
      <c r="B2464" s="437" t="s">
        <v>3651</v>
      </c>
      <c r="C2464" s="439"/>
      <c r="D2464" s="439"/>
      <c r="E2464" s="439"/>
      <c r="F2464" s="439"/>
      <c r="G2464" s="451" t="s">
        <v>3652</v>
      </c>
      <c r="Z2464" s="500"/>
      <c r="AA2464" s="500"/>
      <c r="AB2464" s="500"/>
      <c r="AC2464" s="500"/>
      <c r="AD2464" s="500"/>
      <c r="AE2464" s="500"/>
      <c r="AF2464" s="500"/>
      <c r="AG2464" s="500"/>
      <c r="AH2464" s="500"/>
      <c r="AI2464" s="500"/>
      <c r="AJ2464" s="500"/>
      <c r="AK2464" s="500"/>
      <c r="AL2464" s="500"/>
      <c r="AM2464" s="500"/>
      <c r="AN2464" s="500"/>
      <c r="AO2464" s="500"/>
      <c r="AP2464" s="500"/>
    </row>
    <row r="2465" spans="1:42" ht="16.5" customHeight="1">
      <c r="A2465" s="439"/>
      <c r="B2465" s="439"/>
      <c r="C2465" s="439"/>
      <c r="D2465" s="439"/>
      <c r="E2465" s="439"/>
      <c r="F2465" s="439"/>
      <c r="G2465" s="451" t="s">
        <v>3406</v>
      </c>
      <c r="Z2465" s="500"/>
      <c r="AA2465" s="500"/>
      <c r="AB2465" s="500"/>
      <c r="AC2465" s="500"/>
      <c r="AD2465" s="500"/>
      <c r="AE2465" s="500"/>
      <c r="AF2465" s="500"/>
      <c r="AG2465" s="500"/>
      <c r="AH2465" s="500"/>
      <c r="AI2465" s="500"/>
      <c r="AJ2465" s="500"/>
      <c r="AK2465" s="500"/>
      <c r="AL2465" s="500"/>
      <c r="AM2465" s="500"/>
      <c r="AN2465" s="500"/>
      <c r="AO2465" s="500"/>
      <c r="AP2465" s="500"/>
    </row>
    <row r="2466" spans="1:42" ht="16.5" customHeight="1">
      <c r="A2466" s="439"/>
      <c r="B2466" s="439"/>
      <c r="C2466" s="439"/>
      <c r="D2466" s="439"/>
      <c r="E2466" s="439"/>
      <c r="F2466" s="439"/>
      <c r="G2466" s="451" t="s">
        <v>3406</v>
      </c>
      <c r="Z2466" s="500"/>
      <c r="AA2466" s="500"/>
      <c r="AB2466" s="500"/>
      <c r="AC2466" s="500"/>
      <c r="AD2466" s="500"/>
      <c r="AE2466" s="500"/>
      <c r="AF2466" s="500"/>
      <c r="AG2466" s="500"/>
      <c r="AH2466" s="500"/>
      <c r="AI2466" s="500"/>
      <c r="AJ2466" s="500"/>
      <c r="AK2466" s="500"/>
      <c r="AL2466" s="500"/>
      <c r="AM2466" s="500"/>
      <c r="AN2466" s="500"/>
      <c r="AO2466" s="500"/>
      <c r="AP2466" s="500"/>
    </row>
    <row r="2467" spans="1:42" ht="16.5" customHeight="1">
      <c r="A2467" s="439"/>
      <c r="B2467" s="439"/>
      <c r="C2467" s="439"/>
      <c r="D2467" s="439"/>
      <c r="E2467" s="439"/>
      <c r="F2467" s="439"/>
      <c r="G2467" s="451" t="s">
        <v>3406</v>
      </c>
      <c r="Z2467" s="500"/>
      <c r="AA2467" s="500"/>
      <c r="AB2467" s="500"/>
      <c r="AC2467" s="500"/>
      <c r="AD2467" s="500"/>
      <c r="AE2467" s="500"/>
      <c r="AF2467" s="500"/>
      <c r="AG2467" s="500"/>
      <c r="AH2467" s="500"/>
      <c r="AI2467" s="500"/>
      <c r="AJ2467" s="500"/>
      <c r="AK2467" s="500"/>
      <c r="AL2467" s="500"/>
      <c r="AM2467" s="500"/>
      <c r="AN2467" s="500"/>
      <c r="AO2467" s="500"/>
      <c r="AP2467" s="500"/>
    </row>
    <row r="2468" spans="1:42" ht="16.5" customHeight="1">
      <c r="A2468" s="439"/>
      <c r="B2468" s="439"/>
      <c r="C2468" s="439"/>
      <c r="D2468" s="439"/>
      <c r="E2468" s="439"/>
      <c r="F2468" s="439"/>
      <c r="G2468" s="451" t="s">
        <v>3406</v>
      </c>
      <c r="Z2468" s="500"/>
      <c r="AA2468" s="500"/>
      <c r="AB2468" s="500"/>
      <c r="AC2468" s="500"/>
      <c r="AD2468" s="500"/>
      <c r="AE2468" s="500"/>
      <c r="AF2468" s="500"/>
      <c r="AG2468" s="500"/>
      <c r="AH2468" s="500"/>
      <c r="AI2468" s="500"/>
      <c r="AJ2468" s="500"/>
      <c r="AK2468" s="500"/>
      <c r="AL2468" s="500"/>
      <c r="AM2468" s="500"/>
      <c r="AN2468" s="500"/>
      <c r="AO2468" s="500"/>
      <c r="AP2468" s="500"/>
    </row>
    <row r="2469" spans="1:42" ht="16.5" customHeight="1">
      <c r="A2469" s="434"/>
      <c r="B2469" s="437" t="s">
        <v>3496</v>
      </c>
      <c r="C2469" s="439"/>
      <c r="D2469" s="439"/>
      <c r="E2469" s="439"/>
      <c r="F2469" s="439"/>
      <c r="G2469" s="451" t="s">
        <v>3497</v>
      </c>
      <c r="Z2469" s="500"/>
      <c r="AA2469" s="500"/>
      <c r="AB2469" s="500"/>
      <c r="AC2469" s="500"/>
      <c r="AD2469" s="500"/>
      <c r="AE2469" s="500"/>
      <c r="AF2469" s="500"/>
      <c r="AG2469" s="500"/>
      <c r="AH2469" s="500"/>
      <c r="AI2469" s="500"/>
      <c r="AJ2469" s="500"/>
      <c r="AK2469" s="500"/>
      <c r="AL2469" s="500"/>
      <c r="AM2469" s="500"/>
      <c r="AN2469" s="500"/>
      <c r="AO2469" s="500"/>
      <c r="AP2469" s="500"/>
    </row>
    <row r="2470" spans="1:42" ht="16.5" customHeight="1">
      <c r="A2470" s="439"/>
      <c r="B2470" s="439"/>
      <c r="C2470" s="439"/>
      <c r="D2470" s="439"/>
      <c r="E2470" s="439"/>
      <c r="F2470" s="439"/>
      <c r="G2470" s="451" t="s">
        <v>3406</v>
      </c>
      <c r="Z2470" s="500"/>
      <c r="AA2470" s="500"/>
      <c r="AB2470" s="500"/>
      <c r="AC2470" s="500"/>
      <c r="AD2470" s="500"/>
      <c r="AE2470" s="500"/>
      <c r="AF2470" s="500"/>
      <c r="AG2470" s="500"/>
      <c r="AH2470" s="500"/>
      <c r="AI2470" s="500"/>
      <c r="AJ2470" s="500"/>
      <c r="AK2470" s="500"/>
      <c r="AL2470" s="500"/>
      <c r="AM2470" s="500"/>
      <c r="AN2470" s="500"/>
      <c r="AO2470" s="500"/>
      <c r="AP2470" s="500"/>
    </row>
    <row r="2471" spans="1:42" ht="16.5" customHeight="1">
      <c r="A2471" s="434" t="s">
        <v>3498</v>
      </c>
      <c r="B2471" s="505" t="str">
        <f>" 조경공 :  "&amp;TEXT(I2471,"#,##0"&amp;IF(I2471&lt;&gt;INT(I2471),".###",""))&amp;" * "&amp;AA2471&amp;" 인  / Q = "&amp;TEXT(C2471,"#,##0.0")&amp;""</f>
        <v xml:space="preserve"> 조경공 :  235,204 * 4 인  / Q = 47,040.8</v>
      </c>
      <c r="C2471" s="506">
        <f>E2471+D2471+F2471</f>
        <v>47040.800000000003</v>
      </c>
      <c r="D2471" s="506">
        <f>IF(H2471=0,0,ROUNDDOWN(J2471*H2471,1))</f>
        <v>47040.800000000003</v>
      </c>
      <c r="E2471" s="506">
        <f>IF(H2471=0,0,ROUNDDOWN(K2471*H2471,1))</f>
        <v>0</v>
      </c>
      <c r="F2471" s="506">
        <f>IF(H2471=0,0,ROUNDDOWN(L2471*H2471,1))</f>
        <v>0</v>
      </c>
      <c r="G2471" s="451" t="s">
        <v>3653</v>
      </c>
      <c r="H2471" s="507">
        <f>ROUNDUP(AE2471,14-LEN(ABS(INT(AE2471))))</f>
        <v>0.2</v>
      </c>
      <c r="I2471" s="508">
        <f>K2471+J2471+L2471</f>
        <v>235204</v>
      </c>
      <c r="J2471" s="509">
        <f>노무비목록표!E15</f>
        <v>235204</v>
      </c>
      <c r="M2471" s="501" t="s">
        <v>2359</v>
      </c>
      <c r="N2471" s="501" t="s">
        <v>3416</v>
      </c>
      <c r="X2471" s="510" t="str">
        <f>노무비목록표!B15&amp;" / "&amp;노무비목록표!C15</f>
        <v xml:space="preserve">조경공 / </v>
      </c>
      <c r="Y2471" s="433" t="str">
        <f ca="1">HYPERLINK("#"&amp;노무비목록표!G2&amp;"!A"&amp;ROW(노무비목록표!A15),"L00184 →")</f>
        <v>L00184 →</v>
      </c>
      <c r="Z2471" s="501" t="s">
        <v>3500</v>
      </c>
      <c r="AA2471" s="515">
        <v>4</v>
      </c>
      <c r="AB2471" s="501" t="s">
        <v>3428</v>
      </c>
      <c r="AC2471" s="512">
        <f>AB2462</f>
        <v>20</v>
      </c>
      <c r="AD2471" s="501" t="s">
        <v>3418</v>
      </c>
      <c r="AE2471" s="512">
        <f>1*AA2471/AB2462</f>
        <v>0.2</v>
      </c>
      <c r="AF2471" s="500"/>
      <c r="AG2471" s="500"/>
      <c r="AH2471" s="500"/>
      <c r="AI2471" s="500"/>
      <c r="AJ2471" s="500"/>
      <c r="AK2471" s="500"/>
      <c r="AL2471" s="500"/>
      <c r="AM2471" s="500"/>
      <c r="AN2471" s="500"/>
      <c r="AO2471" s="500"/>
      <c r="AP2471" s="500"/>
    </row>
    <row r="2472" spans="1:42" ht="16.5" customHeight="1">
      <c r="A2472" s="439"/>
      <c r="B2472" s="439"/>
      <c r="C2472" s="439"/>
      <c r="D2472" s="439"/>
      <c r="E2472" s="439"/>
      <c r="F2472" s="439"/>
      <c r="G2472" s="451" t="s">
        <v>3406</v>
      </c>
      <c r="Z2472" s="500"/>
      <c r="AA2472" s="500"/>
      <c r="AB2472" s="500"/>
      <c r="AC2472" s="500"/>
      <c r="AD2472" s="500"/>
      <c r="AE2472" s="500"/>
      <c r="AF2472" s="500"/>
      <c r="AG2472" s="500"/>
      <c r="AH2472" s="500"/>
      <c r="AI2472" s="500"/>
      <c r="AJ2472" s="500"/>
      <c r="AK2472" s="500"/>
      <c r="AL2472" s="500"/>
      <c r="AM2472" s="500"/>
      <c r="AN2472" s="500"/>
      <c r="AO2472" s="500"/>
      <c r="AP2472" s="500"/>
    </row>
    <row r="2473" spans="1:42" ht="16.5" customHeight="1">
      <c r="A2473" s="439"/>
      <c r="B2473" s="439"/>
      <c r="C2473" s="439"/>
      <c r="D2473" s="439"/>
      <c r="E2473" s="439"/>
      <c r="F2473" s="439"/>
      <c r="G2473" s="451" t="s">
        <v>3406</v>
      </c>
      <c r="Z2473" s="500"/>
      <c r="AA2473" s="500"/>
      <c r="AB2473" s="500"/>
      <c r="AC2473" s="500"/>
      <c r="AD2473" s="500"/>
      <c r="AE2473" s="500"/>
      <c r="AF2473" s="500"/>
      <c r="AG2473" s="500"/>
      <c r="AH2473" s="500"/>
      <c r="AI2473" s="500"/>
      <c r="AJ2473" s="500"/>
      <c r="AK2473" s="500"/>
      <c r="AL2473" s="500"/>
      <c r="AM2473" s="500"/>
      <c r="AN2473" s="500"/>
      <c r="AO2473" s="500"/>
      <c r="AP2473" s="500"/>
    </row>
    <row r="2474" spans="1:42" ht="16.5" customHeight="1">
      <c r="A2474" s="434" t="s">
        <v>3414</v>
      </c>
      <c r="B2474" s="505" t="str">
        <f>" 보통인부 : "&amp;TEXT(I2474,"#,##0"&amp;IF(I2474&lt;&gt;INT(I2474),".###",""))&amp;" * "&amp;AA2474&amp;" 인  / Q = "&amp;TEXT(C2474,"#,##0.0")&amp;""</f>
        <v xml:space="preserve"> 보통인부 : 172,068 * 2 인  / Q = 17,206.8</v>
      </c>
      <c r="C2474" s="506">
        <f>E2474+D2474+F2474</f>
        <v>17206.8</v>
      </c>
      <c r="D2474" s="506">
        <f>IF(H2474=0,0,ROUNDDOWN(J2474*H2474,1))</f>
        <v>17206.8</v>
      </c>
      <c r="E2474" s="506">
        <f>IF(H2474=0,0,ROUNDDOWN(K2474*H2474,1))</f>
        <v>0</v>
      </c>
      <c r="F2474" s="506">
        <f>IF(H2474=0,0,ROUNDDOWN(L2474*H2474,1))</f>
        <v>0</v>
      </c>
      <c r="G2474" s="451" t="s">
        <v>3654</v>
      </c>
      <c r="H2474" s="507">
        <f>ROUNDUP(AE2474,14-LEN(ABS(INT(AE2474))))</f>
        <v>0.1</v>
      </c>
      <c r="I2474" s="508">
        <f>K2474+J2474+L2474</f>
        <v>172068</v>
      </c>
      <c r="J2474" s="509">
        <f>노무비목록표!E10</f>
        <v>172068</v>
      </c>
      <c r="M2474" s="501" t="s">
        <v>2363</v>
      </c>
      <c r="N2474" s="501" t="s">
        <v>3416</v>
      </c>
      <c r="X2474" s="510" t="str">
        <f>노무비목록표!B10&amp;" / "&amp;노무비목록표!C10</f>
        <v xml:space="preserve">보통인부 / </v>
      </c>
      <c r="Y2474" s="433" t="str">
        <f ca="1">HYPERLINK("#"&amp;노무비목록표!G2&amp;"!A"&amp;ROW(노무비목록표!A10),"L00017 →")</f>
        <v>L00017 →</v>
      </c>
      <c r="Z2474" s="501" t="s">
        <v>3500</v>
      </c>
      <c r="AA2474" s="515">
        <v>2</v>
      </c>
      <c r="AB2474" s="501" t="s">
        <v>3428</v>
      </c>
      <c r="AC2474" s="512">
        <f>AB2462</f>
        <v>20</v>
      </c>
      <c r="AD2474" s="501" t="s">
        <v>3418</v>
      </c>
      <c r="AE2474" s="512">
        <f>1*AA2474/AB2462</f>
        <v>0.1</v>
      </c>
      <c r="AF2474" s="500"/>
      <c r="AG2474" s="500"/>
      <c r="AH2474" s="500"/>
      <c r="AI2474" s="500"/>
      <c r="AJ2474" s="500"/>
      <c r="AK2474" s="500"/>
      <c r="AL2474" s="500"/>
      <c r="AM2474" s="500"/>
      <c r="AN2474" s="500"/>
      <c r="AO2474" s="500"/>
      <c r="AP2474" s="500"/>
    </row>
    <row r="2475" spans="1:42" ht="16.5" customHeight="1">
      <c r="A2475" s="439"/>
      <c r="B2475" s="439"/>
      <c r="C2475" s="439"/>
      <c r="D2475" s="439"/>
      <c r="E2475" s="439"/>
      <c r="F2475" s="439"/>
      <c r="G2475" s="451" t="s">
        <v>3406</v>
      </c>
      <c r="Z2475" s="500"/>
      <c r="AA2475" s="500"/>
      <c r="AB2475" s="500"/>
      <c r="AC2475" s="500"/>
      <c r="AD2475" s="500"/>
      <c r="AE2475" s="500"/>
      <c r="AF2475" s="500"/>
      <c r="AG2475" s="500"/>
      <c r="AH2475" s="500"/>
      <c r="AI2475" s="500"/>
      <c r="AJ2475" s="500"/>
      <c r="AK2475" s="500"/>
      <c r="AL2475" s="500"/>
      <c r="AM2475" s="500"/>
      <c r="AN2475" s="500"/>
      <c r="AO2475" s="500"/>
      <c r="AP2475" s="500"/>
    </row>
    <row r="2476" spans="1:42" ht="16.5" customHeight="1">
      <c r="A2476" s="434"/>
      <c r="B2476" s="437" t="s">
        <v>3419</v>
      </c>
      <c r="C2476" s="513">
        <f>E2476+D2476+F2476</f>
        <v>64247.600000000006</v>
      </c>
      <c r="D2476" s="513">
        <f>SUMIF(N2457:N2475,M2476,D2457:D2475)</f>
        <v>64247.600000000006</v>
      </c>
      <c r="E2476" s="513">
        <f>SUMIF(N2457:N2475,M2476,E2457:E2475)</f>
        <v>0</v>
      </c>
      <c r="F2476" s="513">
        <f>SUMIF(N2457:N2475,M2476,F2457:F2475)</f>
        <v>0</v>
      </c>
      <c r="G2476" s="451" t="s">
        <v>3439</v>
      </c>
      <c r="M2476" s="501" t="s">
        <v>3416</v>
      </c>
      <c r="N2476" s="501" t="s">
        <v>3421</v>
      </c>
      <c r="Z2476" s="500"/>
      <c r="AA2476" s="500"/>
      <c r="AB2476" s="500"/>
      <c r="AC2476" s="500"/>
      <c r="AD2476" s="500"/>
      <c r="AE2476" s="500"/>
      <c r="AF2476" s="500"/>
      <c r="AG2476" s="500"/>
      <c r="AH2476" s="500"/>
      <c r="AI2476" s="500"/>
      <c r="AJ2476" s="500"/>
      <c r="AK2476" s="500"/>
      <c r="AL2476" s="500"/>
      <c r="AM2476" s="500"/>
      <c r="AN2476" s="500"/>
      <c r="AO2476" s="500"/>
      <c r="AP2476" s="500"/>
    </row>
    <row r="2477" spans="1:42" ht="16.5" customHeight="1">
      <c r="A2477" s="439"/>
      <c r="B2477" s="439"/>
      <c r="C2477" s="504"/>
      <c r="D2477" s="504"/>
      <c r="E2477" s="504"/>
      <c r="F2477" s="504"/>
      <c r="G2477" s="451" t="s">
        <v>3406</v>
      </c>
      <c r="Z2477" s="500"/>
      <c r="AA2477" s="500"/>
      <c r="AB2477" s="500"/>
      <c r="AC2477" s="500"/>
      <c r="AD2477" s="500"/>
      <c r="AE2477" s="500"/>
      <c r="AF2477" s="500"/>
      <c r="AG2477" s="500"/>
      <c r="AH2477" s="500"/>
      <c r="AI2477" s="500"/>
      <c r="AJ2477" s="500"/>
      <c r="AK2477" s="500"/>
      <c r="AL2477" s="500"/>
      <c r="AM2477" s="500"/>
      <c r="AN2477" s="500"/>
      <c r="AO2477" s="500"/>
      <c r="AP2477" s="500"/>
    </row>
    <row r="2478" spans="1:42" ht="16.5" customHeight="1">
      <c r="A2478" s="439"/>
      <c r="B2478" s="439"/>
      <c r="C2478" s="439"/>
      <c r="D2478" s="439"/>
      <c r="E2478" s="439"/>
      <c r="F2478" s="439"/>
      <c r="G2478" s="451" t="s">
        <v>3406</v>
      </c>
      <c r="Z2478" s="500"/>
      <c r="AA2478" s="500"/>
      <c r="AB2478" s="500"/>
      <c r="AC2478" s="500"/>
      <c r="AD2478" s="500"/>
      <c r="AE2478" s="500"/>
      <c r="AF2478" s="500"/>
      <c r="AG2478" s="500"/>
      <c r="AH2478" s="500"/>
      <c r="AI2478" s="500"/>
      <c r="AJ2478" s="500"/>
      <c r="AK2478" s="500"/>
      <c r="AL2478" s="500"/>
      <c r="AM2478" s="500"/>
      <c r="AN2478" s="500"/>
      <c r="AO2478" s="500"/>
      <c r="AP2478" s="500"/>
    </row>
    <row r="2479" spans="1:42" ht="16.5" customHeight="1">
      <c r="A2479" s="434"/>
      <c r="B2479" s="437" t="s">
        <v>3502</v>
      </c>
      <c r="C2479" s="439"/>
      <c r="D2479" s="439"/>
      <c r="E2479" s="439"/>
      <c r="F2479" s="439"/>
      <c r="G2479" s="451" t="s">
        <v>3503</v>
      </c>
      <c r="Z2479" s="500"/>
      <c r="AA2479" s="500"/>
      <c r="AB2479" s="500"/>
      <c r="AC2479" s="500"/>
      <c r="AD2479" s="500"/>
      <c r="AE2479" s="500"/>
      <c r="AF2479" s="500"/>
      <c r="AG2479" s="500"/>
      <c r="AH2479" s="500"/>
      <c r="AI2479" s="500"/>
      <c r="AJ2479" s="500"/>
      <c r="AK2479" s="500"/>
      <c r="AL2479" s="500"/>
      <c r="AM2479" s="500"/>
      <c r="AN2479" s="500"/>
      <c r="AO2479" s="500"/>
      <c r="AP2479" s="500"/>
    </row>
    <row r="2480" spans="1:42" ht="16.5" customHeight="1">
      <c r="A2480" s="439"/>
      <c r="B2480" s="439"/>
      <c r="C2480" s="439"/>
      <c r="D2480" s="439"/>
      <c r="E2480" s="439"/>
      <c r="F2480" s="439"/>
      <c r="G2480" s="451" t="s">
        <v>3406</v>
      </c>
      <c r="Z2480" s="500"/>
      <c r="AA2480" s="500"/>
      <c r="AB2480" s="500"/>
      <c r="AC2480" s="500"/>
      <c r="AD2480" s="500"/>
      <c r="AE2480" s="500"/>
      <c r="AF2480" s="500"/>
      <c r="AG2480" s="500"/>
      <c r="AH2480" s="500"/>
      <c r="AI2480" s="500"/>
      <c r="AJ2480" s="500"/>
      <c r="AK2480" s="500"/>
      <c r="AL2480" s="500"/>
      <c r="AM2480" s="500"/>
      <c r="AN2480" s="500"/>
      <c r="AO2480" s="500"/>
      <c r="AP2480" s="500"/>
    </row>
    <row r="2481" spans="1:42" ht="16.5" customHeight="1">
      <c r="A2481" s="434" t="s">
        <v>3628</v>
      </c>
      <c r="B2481" s="505" t="str">
        <f>"  지주목 이각, L1200 : "&amp;TEXT(I2481,"#,##0"&amp;IF(I2481&lt;&gt;INT(I2481),".###",""))&amp;" * "&amp;AA2481&amp;" 조  = "&amp;TEXT(C2481,"#,##0.0")&amp;""</f>
        <v xml:space="preserve">  지주목 이각, L1200 : 7,300 * 1 조  = 7,300.0</v>
      </c>
      <c r="C2481" s="506">
        <f>E2481+D2481+F2481</f>
        <v>7300</v>
      </c>
      <c r="D2481" s="506">
        <f>IF(H2481=0,0,ROUNDDOWN(J2481*H2481,1))</f>
        <v>0</v>
      </c>
      <c r="E2481" s="506">
        <f>IF(H2481=0,0,ROUNDDOWN(K2481*H2481,1))</f>
        <v>7300</v>
      </c>
      <c r="F2481" s="506">
        <f>IF(H2481=0,0,ROUNDDOWN(L2481*H2481,1))</f>
        <v>0</v>
      </c>
      <c r="G2481" s="451" t="s">
        <v>3629</v>
      </c>
      <c r="H2481" s="507">
        <f>ROUNDUP(AC2481,14-LEN(ABS(INT(AC2481))))</f>
        <v>1</v>
      </c>
      <c r="I2481" s="508">
        <f>K2481+J2481+L2481</f>
        <v>7300</v>
      </c>
      <c r="K2481" s="509">
        <f>재료비목록표!E94</f>
        <v>7300</v>
      </c>
      <c r="M2481" s="501" t="s">
        <v>3630</v>
      </c>
      <c r="N2481" s="501" t="s">
        <v>3416</v>
      </c>
      <c r="X2481" s="510" t="str">
        <f>재료비목록표!B94&amp;" / "&amp;재료비목록표!C94</f>
        <v>지주목 / 이각, L1200</v>
      </c>
      <c r="Y2481" s="433" t="str">
        <f ca="1">HYPERLINK("#"&amp;재료비목록표!G2&amp;"!A"&amp;ROW(재료비목록표!A94),"M08848 →")</f>
        <v>M08848 →</v>
      </c>
      <c r="Z2481" s="501" t="s">
        <v>3500</v>
      </c>
      <c r="AA2481" s="515">
        <v>1</v>
      </c>
      <c r="AB2481" s="501" t="s">
        <v>3418</v>
      </c>
      <c r="AC2481" s="512">
        <f>1*AA2481</f>
        <v>1</v>
      </c>
      <c r="AD2481" s="500"/>
      <c r="AE2481" s="500"/>
      <c r="AF2481" s="500"/>
      <c r="AG2481" s="500"/>
      <c r="AH2481" s="500"/>
      <c r="AI2481" s="500"/>
      <c r="AJ2481" s="500"/>
      <c r="AK2481" s="500"/>
      <c r="AL2481" s="500"/>
      <c r="AM2481" s="500"/>
      <c r="AN2481" s="500"/>
      <c r="AO2481" s="500"/>
      <c r="AP2481" s="500"/>
    </row>
    <row r="2482" spans="1:42" ht="16.5" customHeight="1">
      <c r="A2482" s="439"/>
      <c r="B2482" s="439"/>
      <c r="C2482" s="439"/>
      <c r="D2482" s="439"/>
      <c r="E2482" s="439"/>
      <c r="F2482" s="439"/>
      <c r="G2482" s="451" t="s">
        <v>3406</v>
      </c>
      <c r="Z2482" s="500"/>
      <c r="AA2482" s="500"/>
      <c r="AB2482" s="500"/>
      <c r="AC2482" s="500"/>
      <c r="AD2482" s="500"/>
      <c r="AE2482" s="500"/>
      <c r="AF2482" s="500"/>
      <c r="AG2482" s="500"/>
      <c r="AH2482" s="500"/>
      <c r="AI2482" s="500"/>
      <c r="AJ2482" s="500"/>
      <c r="AK2482" s="500"/>
      <c r="AL2482" s="500"/>
      <c r="AM2482" s="500"/>
      <c r="AN2482" s="500"/>
      <c r="AO2482" s="500"/>
      <c r="AP2482" s="500"/>
    </row>
    <row r="2483" spans="1:42" ht="16.5" customHeight="1">
      <c r="A2483" s="439"/>
      <c r="B2483" s="439"/>
      <c r="C2483" s="439"/>
      <c r="D2483" s="439"/>
      <c r="E2483" s="439"/>
      <c r="F2483" s="439"/>
      <c r="G2483" s="451" t="s">
        <v>3406</v>
      </c>
      <c r="Z2483" s="500"/>
      <c r="AA2483" s="500"/>
      <c r="AB2483" s="500"/>
      <c r="AC2483" s="500"/>
      <c r="AD2483" s="500"/>
      <c r="AE2483" s="500"/>
      <c r="AF2483" s="500"/>
      <c r="AG2483" s="500"/>
      <c r="AH2483" s="500"/>
      <c r="AI2483" s="500"/>
      <c r="AJ2483" s="500"/>
      <c r="AK2483" s="500"/>
      <c r="AL2483" s="500"/>
      <c r="AM2483" s="500"/>
      <c r="AN2483" s="500"/>
      <c r="AO2483" s="500"/>
      <c r="AP2483" s="500"/>
    </row>
    <row r="2484" spans="1:42" ht="16.5" customHeight="1">
      <c r="A2484" s="434" t="s">
        <v>3504</v>
      </c>
      <c r="B2484" s="505" t="str">
        <f>"  유기질비료 수목이식·식재용 : "&amp;TEXT(I2484,"#,##0"&amp;IF(I2484&lt;&gt;INT(I2484),".###",""))&amp;" * "&amp;AA2484&amp;" KG   = "&amp;TEXT(C2484,"#,##0.0")&amp;""</f>
        <v xml:space="preserve">  유기질비료 수목이식·식재용 : 500 * 10 KG   = 5,000.0</v>
      </c>
      <c r="C2484" s="506">
        <f>E2484+D2484+F2484</f>
        <v>5000</v>
      </c>
      <c r="D2484" s="506">
        <f>IF(H2484=0,0,ROUNDDOWN(J2484*H2484,1))</f>
        <v>0</v>
      </c>
      <c r="E2484" s="506">
        <f>IF(H2484=0,0,ROUNDDOWN(K2484*H2484,1))</f>
        <v>5000</v>
      </c>
      <c r="F2484" s="506">
        <f>IF(H2484=0,0,ROUNDDOWN(L2484*H2484,1))</f>
        <v>0</v>
      </c>
      <c r="G2484" s="451" t="s">
        <v>3631</v>
      </c>
      <c r="H2484" s="507">
        <f>ROUNDUP(AC2484,14-LEN(ABS(INT(AC2484))))</f>
        <v>10</v>
      </c>
      <c r="I2484" s="508">
        <f>K2484+J2484+L2484</f>
        <v>500</v>
      </c>
      <c r="K2484" s="509">
        <f>재료비목록표!E78</f>
        <v>500</v>
      </c>
      <c r="M2484" s="501" t="s">
        <v>3506</v>
      </c>
      <c r="N2484" s="501" t="s">
        <v>3416</v>
      </c>
      <c r="X2484" s="510" t="str">
        <f>재료비목록표!B78&amp;" / "&amp;재료비목록표!C78</f>
        <v>유기질비료 / 수목이식·식재용</v>
      </c>
      <c r="Y2484" s="433" t="str">
        <f ca="1">HYPERLINK("#"&amp;재료비목록표!G2&amp;"!A"&amp;ROW(재료비목록표!A78),"M01159 →")</f>
        <v>M01159 →</v>
      </c>
      <c r="Z2484" s="501" t="s">
        <v>3500</v>
      </c>
      <c r="AA2484" s="515">
        <v>10</v>
      </c>
      <c r="AB2484" s="501" t="s">
        <v>3418</v>
      </c>
      <c r="AC2484" s="512">
        <f>1*AA2484</f>
        <v>10</v>
      </c>
      <c r="AD2484" s="500"/>
      <c r="AE2484" s="500"/>
      <c r="AF2484" s="500"/>
      <c r="AG2484" s="500"/>
      <c r="AH2484" s="500"/>
      <c r="AI2484" s="500"/>
      <c r="AJ2484" s="500"/>
      <c r="AK2484" s="500"/>
      <c r="AL2484" s="500"/>
      <c r="AM2484" s="500"/>
      <c r="AN2484" s="500"/>
      <c r="AO2484" s="500"/>
      <c r="AP2484" s="500"/>
    </row>
    <row r="2485" spans="1:42" ht="16.5" customHeight="1">
      <c r="A2485" s="439"/>
      <c r="B2485" s="439"/>
      <c r="C2485" s="439"/>
      <c r="D2485" s="439"/>
      <c r="E2485" s="439"/>
      <c r="F2485" s="439"/>
      <c r="G2485" s="451" t="s">
        <v>3406</v>
      </c>
      <c r="Z2485" s="500"/>
      <c r="AA2485" s="500"/>
      <c r="AB2485" s="500"/>
      <c r="AC2485" s="500"/>
      <c r="AD2485" s="500"/>
      <c r="AE2485" s="500"/>
      <c r="AF2485" s="500"/>
      <c r="AG2485" s="500"/>
      <c r="AH2485" s="500"/>
      <c r="AI2485" s="500"/>
      <c r="AJ2485" s="500"/>
      <c r="AK2485" s="500"/>
      <c r="AL2485" s="500"/>
      <c r="AM2485" s="500"/>
      <c r="AN2485" s="500"/>
      <c r="AO2485" s="500"/>
      <c r="AP2485" s="500"/>
    </row>
    <row r="2486" spans="1:42" ht="16.5" customHeight="1">
      <c r="A2486" s="434"/>
      <c r="B2486" s="437" t="s">
        <v>3419</v>
      </c>
      <c r="C2486" s="513">
        <f>E2486+D2486+F2486</f>
        <v>12300</v>
      </c>
      <c r="D2486" s="513">
        <f>SUMIF(N2477:N2485,M2486,D2477:D2485)</f>
        <v>0</v>
      </c>
      <c r="E2486" s="513">
        <f>SUMIF(N2477:N2485,M2486,E2477:E2485)</f>
        <v>12300</v>
      </c>
      <c r="F2486" s="513">
        <f>SUMIF(N2477:N2485,M2486,F2477:F2485)</f>
        <v>0</v>
      </c>
      <c r="G2486" s="451" t="s">
        <v>3439</v>
      </c>
      <c r="M2486" s="501" t="s">
        <v>3416</v>
      </c>
      <c r="N2486" s="501" t="s">
        <v>3421</v>
      </c>
      <c r="Z2486" s="500"/>
      <c r="AA2486" s="500"/>
      <c r="AB2486" s="500"/>
      <c r="AC2486" s="500"/>
      <c r="AD2486" s="500"/>
      <c r="AE2486" s="500"/>
      <c r="AF2486" s="500"/>
      <c r="AG2486" s="500"/>
      <c r="AH2486" s="500"/>
      <c r="AI2486" s="500"/>
      <c r="AJ2486" s="500"/>
      <c r="AK2486" s="500"/>
      <c r="AL2486" s="500"/>
      <c r="AM2486" s="500"/>
      <c r="AN2486" s="500"/>
      <c r="AO2486" s="500"/>
      <c r="AP2486" s="500"/>
    </row>
    <row r="2487" spans="1:42" ht="16.5" customHeight="1">
      <c r="A2487" s="439"/>
      <c r="B2487" s="439"/>
      <c r="C2487" s="504"/>
      <c r="D2487" s="504"/>
      <c r="E2487" s="504"/>
      <c r="F2487" s="504"/>
      <c r="G2487" s="451" t="s">
        <v>3406</v>
      </c>
      <c r="Z2487" s="500"/>
      <c r="AA2487" s="500"/>
      <c r="AB2487" s="500"/>
      <c r="AC2487" s="500"/>
      <c r="AD2487" s="500"/>
      <c r="AE2487" s="500"/>
      <c r="AF2487" s="500"/>
      <c r="AG2487" s="500"/>
      <c r="AH2487" s="500"/>
      <c r="AI2487" s="500"/>
      <c r="AJ2487" s="500"/>
      <c r="AK2487" s="500"/>
      <c r="AL2487" s="500"/>
      <c r="AM2487" s="500"/>
      <c r="AN2487" s="500"/>
      <c r="AO2487" s="500"/>
      <c r="AP2487" s="500"/>
    </row>
    <row r="2488" spans="1:42" ht="16.5" customHeight="1">
      <c r="A2488" s="434"/>
      <c r="B2488" s="437" t="s">
        <v>3440</v>
      </c>
      <c r="C2488" s="513">
        <f>E2488+D2488+F2488</f>
        <v>76547.600000000006</v>
      </c>
      <c r="D2488" s="513">
        <f>SUMIF(N2457:N2487,M2488,D2457:D2487)</f>
        <v>64247.600000000006</v>
      </c>
      <c r="E2488" s="513">
        <f>SUMIF(N2457:N2487,M2488,E2457:E2487)</f>
        <v>12300</v>
      </c>
      <c r="F2488" s="513">
        <f>SUMIF(N2457:N2487,M2488,F2457:F2487)</f>
        <v>0</v>
      </c>
      <c r="G2488" s="451" t="s">
        <v>3441</v>
      </c>
      <c r="M2488" s="501" t="s">
        <v>3421</v>
      </c>
      <c r="N2488" s="501" t="s">
        <v>2354</v>
      </c>
      <c r="Z2488" s="500"/>
      <c r="AA2488" s="500"/>
      <c r="AB2488" s="500"/>
      <c r="AC2488" s="500"/>
      <c r="AD2488" s="500"/>
      <c r="AE2488" s="500"/>
      <c r="AF2488" s="500"/>
      <c r="AG2488" s="500"/>
      <c r="AH2488" s="500"/>
      <c r="AI2488" s="500"/>
      <c r="AJ2488" s="500"/>
      <c r="AK2488" s="500"/>
      <c r="AL2488" s="500"/>
      <c r="AM2488" s="500"/>
      <c r="AN2488" s="500"/>
      <c r="AO2488" s="500"/>
      <c r="AP2488" s="500"/>
    </row>
    <row r="2489" spans="1:42" ht="16.5" customHeight="1">
      <c r="A2489" s="439"/>
      <c r="B2489" s="439"/>
      <c r="C2489" s="504"/>
      <c r="D2489" s="504"/>
      <c r="E2489" s="504"/>
      <c r="F2489" s="504"/>
      <c r="G2489" s="451" t="s">
        <v>3413</v>
      </c>
      <c r="Z2489" s="500"/>
      <c r="AA2489" s="500"/>
      <c r="AB2489" s="500"/>
      <c r="AC2489" s="500"/>
      <c r="AD2489" s="500"/>
      <c r="AE2489" s="500"/>
      <c r="AF2489" s="500"/>
      <c r="AG2489" s="500"/>
      <c r="AH2489" s="500"/>
      <c r="AI2489" s="500"/>
      <c r="AJ2489" s="500"/>
      <c r="AK2489" s="500"/>
      <c r="AL2489" s="500"/>
      <c r="AM2489" s="500"/>
      <c r="AN2489" s="500"/>
      <c r="AO2489" s="500"/>
      <c r="AP2489" s="500"/>
    </row>
    <row r="2490" spans="1:42" ht="16.5" customHeight="1">
      <c r="A2490" s="439"/>
      <c r="B2490" s="439"/>
      <c r="C2490" s="439"/>
      <c r="D2490" s="439"/>
      <c r="E2490" s="439"/>
      <c r="F2490" s="439"/>
      <c r="Z2490" s="500"/>
      <c r="AA2490" s="500"/>
      <c r="AB2490" s="500"/>
      <c r="AC2490" s="500"/>
      <c r="AD2490" s="500"/>
      <c r="AE2490" s="500"/>
      <c r="AF2490" s="500"/>
      <c r="AG2490" s="500"/>
      <c r="AH2490" s="500"/>
      <c r="AI2490" s="500"/>
      <c r="AJ2490" s="500"/>
      <c r="AK2490" s="500"/>
      <c r="AL2490" s="500"/>
      <c r="AM2490" s="500"/>
      <c r="AN2490" s="500"/>
      <c r="AO2490" s="500"/>
      <c r="AP2490" s="500"/>
    </row>
    <row r="2491" spans="1:42" ht="16.5" customHeight="1">
      <c r="A2491" s="439"/>
      <c r="B2491" s="439"/>
      <c r="C2491" s="439"/>
      <c r="D2491" s="439"/>
      <c r="E2491" s="439"/>
      <c r="F2491" s="439"/>
      <c r="Z2491" s="500"/>
      <c r="AA2491" s="500"/>
      <c r="AB2491" s="500"/>
      <c r="AC2491" s="500"/>
      <c r="AD2491" s="500"/>
      <c r="AE2491" s="500"/>
      <c r="AF2491" s="500"/>
      <c r="AG2491" s="500"/>
      <c r="AH2491" s="500"/>
      <c r="AI2491" s="500"/>
      <c r="AJ2491" s="500"/>
      <c r="AK2491" s="500"/>
      <c r="AL2491" s="500"/>
      <c r="AM2491" s="500"/>
      <c r="AN2491" s="500"/>
      <c r="AO2491" s="500"/>
      <c r="AP2491" s="500"/>
    </row>
    <row r="2492" spans="1:42" ht="16.5" customHeight="1">
      <c r="A2492" s="439"/>
      <c r="B2492" s="439"/>
      <c r="C2492" s="439"/>
      <c r="D2492" s="439"/>
      <c r="E2492" s="439"/>
      <c r="F2492" s="439"/>
      <c r="Z2492" s="500"/>
      <c r="AA2492" s="500"/>
      <c r="AB2492" s="500"/>
      <c r="AC2492" s="500"/>
      <c r="AD2492" s="500"/>
      <c r="AE2492" s="500"/>
      <c r="AF2492" s="500"/>
      <c r="AG2492" s="500"/>
      <c r="AH2492" s="500"/>
      <c r="AI2492" s="500"/>
      <c r="AJ2492" s="500"/>
      <c r="AK2492" s="500"/>
      <c r="AL2492" s="500"/>
      <c r="AM2492" s="500"/>
      <c r="AN2492" s="500"/>
      <c r="AO2492" s="500"/>
      <c r="AP2492" s="500"/>
    </row>
    <row r="2493" spans="1:42" ht="16.5" customHeight="1">
      <c r="A2493" s="439"/>
      <c r="B2493" s="439"/>
      <c r="C2493" s="439"/>
      <c r="D2493" s="439"/>
      <c r="E2493" s="439"/>
      <c r="F2493" s="439"/>
      <c r="Z2493" s="500"/>
      <c r="AA2493" s="500"/>
      <c r="AB2493" s="500"/>
      <c r="AC2493" s="500"/>
      <c r="AD2493" s="500"/>
      <c r="AE2493" s="500"/>
      <c r="AF2493" s="500"/>
      <c r="AG2493" s="500"/>
      <c r="AH2493" s="500"/>
      <c r="AI2493" s="500"/>
      <c r="AJ2493" s="500"/>
      <c r="AK2493" s="500"/>
      <c r="AL2493" s="500"/>
      <c r="AM2493" s="500"/>
      <c r="AN2493" s="500"/>
      <c r="AO2493" s="500"/>
      <c r="AP2493" s="500"/>
    </row>
    <row r="2494" spans="1:42" ht="16.5" customHeight="1">
      <c r="A2494" s="439"/>
      <c r="B2494" s="439"/>
      <c r="C2494" s="439"/>
      <c r="D2494" s="439"/>
      <c r="E2494" s="439"/>
      <c r="F2494" s="439"/>
      <c r="Z2494" s="500"/>
      <c r="AA2494" s="500"/>
      <c r="AB2494" s="500"/>
      <c r="AC2494" s="500"/>
      <c r="AD2494" s="500"/>
      <c r="AE2494" s="500"/>
      <c r="AF2494" s="500"/>
      <c r="AG2494" s="500"/>
      <c r="AH2494" s="500"/>
      <c r="AI2494" s="500"/>
      <c r="AJ2494" s="500"/>
      <c r="AK2494" s="500"/>
      <c r="AL2494" s="500"/>
      <c r="AM2494" s="500"/>
      <c r="AN2494" s="500"/>
      <c r="AO2494" s="500"/>
      <c r="AP2494" s="500"/>
    </row>
    <row r="2495" spans="1:42" ht="16.5" customHeight="1">
      <c r="A2495" s="439"/>
      <c r="B2495" s="439"/>
      <c r="C2495" s="439"/>
      <c r="D2495" s="439"/>
      <c r="E2495" s="439"/>
      <c r="F2495" s="439"/>
      <c r="Z2495" s="500"/>
      <c r="AA2495" s="500"/>
      <c r="AB2495" s="500"/>
      <c r="AC2495" s="500"/>
      <c r="AD2495" s="500"/>
      <c r="AE2495" s="500"/>
      <c r="AF2495" s="500"/>
      <c r="AG2495" s="500"/>
      <c r="AH2495" s="500"/>
      <c r="AI2495" s="500"/>
      <c r="AJ2495" s="500"/>
      <c r="AK2495" s="500"/>
      <c r="AL2495" s="500"/>
      <c r="AM2495" s="500"/>
      <c r="AN2495" s="500"/>
      <c r="AO2495" s="500"/>
      <c r="AP2495" s="500"/>
    </row>
    <row r="2496" spans="1:42" ht="16.5" customHeight="1">
      <c r="A2496" s="439"/>
      <c r="B2496" s="439"/>
      <c r="C2496" s="439"/>
      <c r="D2496" s="439"/>
      <c r="E2496" s="439"/>
      <c r="F2496" s="439"/>
      <c r="Z2496" s="500"/>
      <c r="AA2496" s="500"/>
      <c r="AB2496" s="500"/>
      <c r="AC2496" s="500"/>
      <c r="AD2496" s="500"/>
      <c r="AE2496" s="500"/>
      <c r="AF2496" s="500"/>
      <c r="AG2496" s="500"/>
      <c r="AH2496" s="500"/>
      <c r="AI2496" s="500"/>
      <c r="AJ2496" s="500"/>
      <c r="AK2496" s="500"/>
      <c r="AL2496" s="500"/>
      <c r="AM2496" s="500"/>
      <c r="AN2496" s="500"/>
      <c r="AO2496" s="500"/>
      <c r="AP2496" s="500"/>
    </row>
    <row r="2497" spans="1:42" ht="16.5" customHeight="1">
      <c r="A2497" s="439"/>
      <c r="B2497" s="439"/>
      <c r="C2497" s="439"/>
      <c r="D2497" s="439"/>
      <c r="E2497" s="439"/>
      <c r="F2497" s="439"/>
      <c r="Z2497" s="500"/>
      <c r="AA2497" s="500"/>
      <c r="AB2497" s="500"/>
      <c r="AC2497" s="500"/>
      <c r="AD2497" s="500"/>
      <c r="AE2497" s="500"/>
      <c r="AF2497" s="500"/>
      <c r="AG2497" s="500"/>
      <c r="AH2497" s="500"/>
      <c r="AI2497" s="500"/>
      <c r="AJ2497" s="500"/>
      <c r="AK2497" s="500"/>
      <c r="AL2497" s="500"/>
      <c r="AM2497" s="500"/>
      <c r="AN2497" s="500"/>
      <c r="AO2497" s="500"/>
      <c r="AP2497" s="500"/>
    </row>
    <row r="2498" spans="1:42" ht="16.5" customHeight="1">
      <c r="A2498" s="439"/>
      <c r="B2498" s="439"/>
      <c r="C2498" s="439"/>
      <c r="D2498" s="439"/>
      <c r="E2498" s="439"/>
      <c r="F2498" s="439"/>
      <c r="Z2498" s="500"/>
      <c r="AA2498" s="500"/>
      <c r="AB2498" s="500"/>
      <c r="AC2498" s="500"/>
      <c r="AD2498" s="500"/>
      <c r="AE2498" s="500"/>
      <c r="AF2498" s="500"/>
      <c r="AG2498" s="500"/>
      <c r="AH2498" s="500"/>
      <c r="AI2498" s="500"/>
      <c r="AJ2498" s="500"/>
      <c r="AK2498" s="500"/>
      <c r="AL2498" s="500"/>
      <c r="AM2498" s="500"/>
      <c r="AN2498" s="500"/>
      <c r="AO2498" s="500"/>
      <c r="AP2498" s="500"/>
    </row>
    <row r="2499" spans="1:42" ht="16.5" customHeight="1">
      <c r="A2499" s="439"/>
      <c r="B2499" s="439"/>
      <c r="C2499" s="439"/>
      <c r="D2499" s="439"/>
      <c r="E2499" s="439"/>
      <c r="F2499" s="439"/>
      <c r="Z2499" s="500"/>
      <c r="AA2499" s="500"/>
      <c r="AB2499" s="500"/>
      <c r="AC2499" s="500"/>
      <c r="AD2499" s="500"/>
      <c r="AE2499" s="500"/>
      <c r="AF2499" s="500"/>
      <c r="AG2499" s="500"/>
      <c r="AH2499" s="500"/>
      <c r="AI2499" s="500"/>
      <c r="AJ2499" s="500"/>
      <c r="AK2499" s="500"/>
      <c r="AL2499" s="500"/>
      <c r="AM2499" s="500"/>
      <c r="AN2499" s="500"/>
      <c r="AO2499" s="500"/>
      <c r="AP2499" s="500"/>
    </row>
    <row r="2500" spans="1:42" ht="16.5" customHeight="1">
      <c r="A2500" s="439"/>
      <c r="B2500" s="439"/>
      <c r="C2500" s="439"/>
      <c r="D2500" s="439"/>
      <c r="E2500" s="439"/>
      <c r="F2500" s="439"/>
      <c r="Z2500" s="500"/>
      <c r="AA2500" s="500"/>
      <c r="AB2500" s="500"/>
      <c r="AC2500" s="500"/>
      <c r="AD2500" s="500"/>
      <c r="AE2500" s="500"/>
      <c r="AF2500" s="500"/>
      <c r="AG2500" s="500"/>
      <c r="AH2500" s="500"/>
      <c r="AI2500" s="500"/>
      <c r="AJ2500" s="500"/>
      <c r="AK2500" s="500"/>
      <c r="AL2500" s="500"/>
      <c r="AM2500" s="500"/>
      <c r="AN2500" s="500"/>
      <c r="AO2500" s="500"/>
      <c r="AP2500" s="500"/>
    </row>
    <row r="2501" spans="1:42" ht="16.5" customHeight="1">
      <c r="A2501" s="439"/>
      <c r="B2501" s="439"/>
      <c r="C2501" s="439"/>
      <c r="D2501" s="439"/>
      <c r="E2501" s="439"/>
      <c r="F2501" s="439"/>
      <c r="Z2501" s="500"/>
      <c r="AA2501" s="500"/>
      <c r="AB2501" s="500"/>
      <c r="AC2501" s="500"/>
      <c r="AD2501" s="500"/>
      <c r="AE2501" s="500"/>
      <c r="AF2501" s="500"/>
      <c r="AG2501" s="500"/>
      <c r="AH2501" s="500"/>
      <c r="AI2501" s="500"/>
      <c r="AJ2501" s="500"/>
      <c r="AK2501" s="500"/>
      <c r="AL2501" s="500"/>
      <c r="AM2501" s="500"/>
      <c r="AN2501" s="500"/>
      <c r="AO2501" s="500"/>
      <c r="AP2501" s="500"/>
    </row>
    <row r="2502" spans="1:42" ht="16.5" customHeight="1">
      <c r="A2502" s="439"/>
      <c r="B2502" s="439"/>
      <c r="C2502" s="439"/>
      <c r="D2502" s="439"/>
      <c r="E2502" s="439"/>
      <c r="F2502" s="439"/>
      <c r="Z2502" s="500"/>
      <c r="AA2502" s="500"/>
      <c r="AB2502" s="500"/>
      <c r="AC2502" s="500"/>
      <c r="AD2502" s="500"/>
      <c r="AE2502" s="500"/>
      <c r="AF2502" s="500"/>
      <c r="AG2502" s="500"/>
      <c r="AH2502" s="500"/>
      <c r="AI2502" s="500"/>
      <c r="AJ2502" s="500"/>
      <c r="AK2502" s="500"/>
      <c r="AL2502" s="500"/>
      <c r="AM2502" s="500"/>
      <c r="AN2502" s="500"/>
      <c r="AO2502" s="500"/>
      <c r="AP2502" s="500"/>
    </row>
    <row r="2503" spans="1:42" ht="16.5" customHeight="1">
      <c r="A2503" s="497"/>
      <c r="B2503" s="497"/>
      <c r="C2503" s="497"/>
      <c r="D2503" s="497"/>
      <c r="E2503" s="497"/>
      <c r="F2503" s="497"/>
      <c r="Z2503" s="500"/>
      <c r="AA2503" s="500"/>
      <c r="AB2503" s="500"/>
      <c r="AC2503" s="500"/>
      <c r="AD2503" s="500"/>
      <c r="AE2503" s="500"/>
      <c r="AF2503" s="500"/>
      <c r="AG2503" s="500"/>
      <c r="AH2503" s="500"/>
      <c r="AI2503" s="500"/>
      <c r="AJ2503" s="500"/>
      <c r="AK2503" s="500"/>
      <c r="AL2503" s="500"/>
      <c r="AM2503" s="500"/>
      <c r="AN2503" s="500"/>
      <c r="AO2503" s="500"/>
      <c r="AP2503" s="500"/>
    </row>
    <row r="2504" spans="1:42" ht="16.5" customHeight="1">
      <c r="A2504" s="616" t="s">
        <v>3487</v>
      </c>
      <c r="B2504" s="605"/>
      <c r="C2504" s="446">
        <f>E2504+D2504+F2504</f>
        <v>76547</v>
      </c>
      <c r="D2504" s="453">
        <f>ROUNDDOWN(SUMIF(N2457:N2489,M2504,D2457:D2489),0)</f>
        <v>64247</v>
      </c>
      <c r="E2504" s="454">
        <f>ROUNDDOWN(SUMIF(N2457:N2489,M2504,E2457:E2489),0)</f>
        <v>12300</v>
      </c>
      <c r="F2504" s="446">
        <f>ROUNDDOWN(SUMIF(N2457:N2489,M2504,F2457:F2489),0)</f>
        <v>0</v>
      </c>
      <c r="M2504" s="501" t="s">
        <v>2354</v>
      </c>
      <c r="Z2504" s="500"/>
      <c r="AA2504" s="500"/>
      <c r="AB2504" s="500"/>
      <c r="AC2504" s="500"/>
      <c r="AD2504" s="500"/>
      <c r="AE2504" s="500"/>
      <c r="AF2504" s="500"/>
      <c r="AG2504" s="500"/>
      <c r="AH2504" s="500"/>
      <c r="AI2504" s="500"/>
      <c r="AJ2504" s="500"/>
      <c r="AK2504" s="500"/>
      <c r="AL2504" s="500"/>
      <c r="AM2504" s="500"/>
      <c r="AN2504" s="500"/>
      <c r="AO2504" s="500"/>
      <c r="AP2504" s="500"/>
    </row>
    <row r="2505" spans="1:42" ht="16.5" customHeight="1">
      <c r="A2505" s="502" t="s">
        <v>3351</v>
      </c>
      <c r="B2505" s="503" t="s">
        <v>1852</v>
      </c>
      <c r="C2505" s="615">
        <f>C2554</f>
        <v>135479</v>
      </c>
      <c r="D2505" s="615">
        <f>D2554</f>
        <v>107079</v>
      </c>
      <c r="E2505" s="615">
        <f>E2554</f>
        <v>28400</v>
      </c>
      <c r="F2505" s="615">
        <f>F2554</f>
        <v>0</v>
      </c>
      <c r="G2505" s="486" t="str">
        <f>HYPERLINK("#G"&amp;ROW(G2540),"_x0005_`BDCOD|D01318_x0007_`POSS|"&amp;ROW(G2507)&amp;"_x0007_`POSE|"&amp;ROW(G2540)&amp;"_x0007_`")</f>
        <v>_x0005_`BDCOD|D01318_x0007_`POSS|2507_x0007_`POSE|2540_x0007_`</v>
      </c>
      <c r="Z2505" s="500"/>
      <c r="AA2505" s="500"/>
      <c r="AB2505" s="500"/>
      <c r="AC2505" s="500"/>
      <c r="AD2505" s="500"/>
      <c r="AE2505" s="500"/>
      <c r="AF2505" s="500"/>
      <c r="AG2505" s="500"/>
      <c r="AH2505" s="500"/>
      <c r="AI2505" s="500"/>
      <c r="AJ2505" s="500"/>
      <c r="AK2505" s="500"/>
      <c r="AL2505" s="500"/>
      <c r="AM2505" s="500"/>
      <c r="AN2505" s="500"/>
      <c r="AO2505" s="500"/>
      <c r="AP2505" s="500"/>
    </row>
    <row r="2506" spans="1:42" ht="16.5" customHeight="1">
      <c r="A2506" s="485"/>
      <c r="B2506" s="503" t="s">
        <v>3661</v>
      </c>
      <c r="C2506" s="593"/>
      <c r="D2506" s="593"/>
      <c r="E2506" s="593"/>
      <c r="F2506" s="593"/>
      <c r="M2506" s="501" t="s">
        <v>1852</v>
      </c>
      <c r="Z2506" s="500"/>
      <c r="AA2506" s="500"/>
      <c r="AB2506" s="500"/>
      <c r="AC2506" s="500"/>
      <c r="AD2506" s="500"/>
      <c r="AE2506" s="500"/>
      <c r="AF2506" s="500"/>
      <c r="AG2506" s="500"/>
      <c r="AH2506" s="500"/>
      <c r="AI2506" s="500"/>
      <c r="AJ2506" s="500"/>
      <c r="AK2506" s="500"/>
      <c r="AL2506" s="500"/>
      <c r="AM2506" s="500"/>
      <c r="AN2506" s="500"/>
      <c r="AO2506" s="500"/>
      <c r="AP2506" s="500"/>
    </row>
    <row r="2507" spans="1:42" ht="16.5" customHeight="1">
      <c r="A2507" s="439"/>
      <c r="B2507" s="439"/>
      <c r="C2507" s="504"/>
      <c r="D2507" s="504"/>
      <c r="E2507" s="504"/>
      <c r="F2507" s="504"/>
      <c r="G2507" s="451" t="s">
        <v>3406</v>
      </c>
      <c r="Z2507" s="500"/>
      <c r="AA2507" s="500"/>
      <c r="AB2507" s="500"/>
      <c r="AC2507" s="500"/>
      <c r="AD2507" s="500"/>
      <c r="AE2507" s="500"/>
      <c r="AF2507" s="500"/>
      <c r="AG2507" s="500"/>
      <c r="AH2507" s="500"/>
      <c r="AI2507" s="500"/>
      <c r="AJ2507" s="500"/>
      <c r="AK2507" s="500"/>
      <c r="AL2507" s="500"/>
      <c r="AM2507" s="500"/>
      <c r="AN2507" s="500"/>
      <c r="AO2507" s="500"/>
      <c r="AP2507" s="500"/>
    </row>
    <row r="2508" spans="1:42" ht="16.5" customHeight="1">
      <c r="A2508" s="434"/>
      <c r="B2508" s="437" t="s">
        <v>3640</v>
      </c>
      <c r="C2508" s="439"/>
      <c r="D2508" s="439"/>
      <c r="E2508" s="439"/>
      <c r="F2508" s="439"/>
      <c r="G2508" s="451" t="s">
        <v>3641</v>
      </c>
      <c r="Z2508" s="500"/>
      <c r="AA2508" s="500"/>
      <c r="AB2508" s="500"/>
      <c r="AC2508" s="500"/>
      <c r="AD2508" s="500"/>
      <c r="AE2508" s="500"/>
      <c r="AF2508" s="500"/>
      <c r="AG2508" s="500"/>
      <c r="AH2508" s="500"/>
      <c r="AI2508" s="500"/>
      <c r="AJ2508" s="500"/>
      <c r="AK2508" s="500"/>
      <c r="AL2508" s="500"/>
      <c r="AM2508" s="500"/>
      <c r="AN2508" s="500"/>
      <c r="AO2508" s="500"/>
      <c r="AP2508" s="500"/>
    </row>
    <row r="2509" spans="1:42" ht="16.5" customHeight="1">
      <c r="A2509" s="439"/>
      <c r="B2509" s="439"/>
      <c r="C2509" s="439"/>
      <c r="D2509" s="439"/>
      <c r="E2509" s="439"/>
      <c r="F2509" s="439"/>
      <c r="G2509" s="451" t="s">
        <v>3406</v>
      </c>
      <c r="Z2509" s="500"/>
      <c r="AA2509" s="500"/>
      <c r="AB2509" s="500"/>
      <c r="AC2509" s="500"/>
      <c r="AD2509" s="500"/>
      <c r="AE2509" s="500"/>
      <c r="AF2509" s="500"/>
      <c r="AG2509" s="500"/>
      <c r="AH2509" s="500"/>
      <c r="AI2509" s="500"/>
      <c r="AJ2509" s="500"/>
      <c r="AK2509" s="500"/>
      <c r="AL2509" s="500"/>
      <c r="AM2509" s="500"/>
      <c r="AN2509" s="500"/>
      <c r="AO2509" s="500"/>
      <c r="AP2509" s="500"/>
    </row>
    <row r="2510" spans="1:42" ht="16.5" customHeight="1">
      <c r="A2510" s="434"/>
      <c r="B2510" s="437" t="s">
        <v>3642</v>
      </c>
      <c r="C2510" s="439"/>
      <c r="D2510" s="439"/>
      <c r="E2510" s="439"/>
      <c r="F2510" s="439"/>
      <c r="G2510" s="451" t="s">
        <v>3643</v>
      </c>
      <c r="Z2510" s="500"/>
      <c r="AA2510" s="500"/>
      <c r="AB2510" s="500"/>
      <c r="AC2510" s="500"/>
      <c r="AD2510" s="500"/>
      <c r="AE2510" s="500"/>
      <c r="AF2510" s="500"/>
      <c r="AG2510" s="500"/>
      <c r="AH2510" s="500"/>
      <c r="AI2510" s="500"/>
      <c r="AJ2510" s="500"/>
      <c r="AK2510" s="500"/>
      <c r="AL2510" s="500"/>
      <c r="AM2510" s="500"/>
      <c r="AN2510" s="500"/>
      <c r="AO2510" s="500"/>
      <c r="AP2510" s="500"/>
    </row>
    <row r="2511" spans="1:42" ht="16.5" customHeight="1">
      <c r="A2511" s="439"/>
      <c r="B2511" s="439"/>
      <c r="C2511" s="439"/>
      <c r="D2511" s="439"/>
      <c r="E2511" s="439"/>
      <c r="F2511" s="439"/>
      <c r="G2511" s="451" t="s">
        <v>3406</v>
      </c>
      <c r="Z2511" s="500"/>
      <c r="AA2511" s="500"/>
      <c r="AB2511" s="500"/>
      <c r="AC2511" s="500"/>
      <c r="AD2511" s="500"/>
      <c r="AE2511" s="500"/>
      <c r="AF2511" s="500"/>
      <c r="AG2511" s="500"/>
      <c r="AH2511" s="500"/>
      <c r="AI2511" s="500"/>
      <c r="AJ2511" s="500"/>
      <c r="AK2511" s="500"/>
      <c r="AL2511" s="500"/>
      <c r="AM2511" s="500"/>
      <c r="AN2511" s="500"/>
      <c r="AO2511" s="500"/>
      <c r="AP2511" s="500"/>
    </row>
    <row r="2512" spans="1:42" ht="16.5" customHeight="1">
      <c r="A2512" s="434"/>
      <c r="B2512" s="437" t="str">
        <f>" 일당 작업량 :   Q = "&amp;Z2512&amp;"  주 "</f>
        <v xml:space="preserve"> 일당 작업량 :   Q = 12  주 </v>
      </c>
      <c r="C2512" s="439"/>
      <c r="D2512" s="439"/>
      <c r="E2512" s="439"/>
      <c r="F2512" s="439"/>
      <c r="G2512" s="451" t="s">
        <v>3546</v>
      </c>
      <c r="Z2512" s="515">
        <v>12</v>
      </c>
      <c r="AA2512" s="501" t="s">
        <v>3418</v>
      </c>
      <c r="AB2512" s="512">
        <f>Z2512</f>
        <v>12</v>
      </c>
      <c r="AC2512" s="500"/>
      <c r="AD2512" s="500"/>
      <c r="AE2512" s="500"/>
      <c r="AF2512" s="500"/>
      <c r="AG2512" s="500"/>
      <c r="AH2512" s="500"/>
      <c r="AI2512" s="500"/>
      <c r="AJ2512" s="500"/>
      <c r="AK2512" s="500"/>
      <c r="AL2512" s="500"/>
      <c r="AM2512" s="500"/>
      <c r="AN2512" s="500"/>
      <c r="AO2512" s="500"/>
      <c r="AP2512" s="500"/>
    </row>
    <row r="2513" spans="1:42" ht="16.5" customHeight="1">
      <c r="A2513" s="439"/>
      <c r="B2513" s="439"/>
      <c r="C2513" s="439"/>
      <c r="D2513" s="439"/>
      <c r="E2513" s="439"/>
      <c r="F2513" s="439"/>
      <c r="G2513" s="451" t="s">
        <v>3406</v>
      </c>
      <c r="Z2513" s="500"/>
      <c r="AA2513" s="500"/>
      <c r="AB2513" s="500"/>
      <c r="AC2513" s="500"/>
      <c r="AD2513" s="500"/>
      <c r="AE2513" s="500"/>
      <c r="AF2513" s="500"/>
      <c r="AG2513" s="500"/>
      <c r="AH2513" s="500"/>
      <c r="AI2513" s="500"/>
      <c r="AJ2513" s="500"/>
      <c r="AK2513" s="500"/>
      <c r="AL2513" s="500"/>
      <c r="AM2513" s="500"/>
      <c r="AN2513" s="500"/>
      <c r="AO2513" s="500"/>
      <c r="AP2513" s="500"/>
    </row>
    <row r="2514" spans="1:42" ht="16.5" customHeight="1">
      <c r="A2514" s="434"/>
      <c r="B2514" s="437" t="s">
        <v>3651</v>
      </c>
      <c r="C2514" s="439"/>
      <c r="D2514" s="439"/>
      <c r="E2514" s="439"/>
      <c r="F2514" s="439"/>
      <c r="G2514" s="451" t="s">
        <v>3652</v>
      </c>
      <c r="Z2514" s="500"/>
      <c r="AA2514" s="500"/>
      <c r="AB2514" s="500"/>
      <c r="AC2514" s="500"/>
      <c r="AD2514" s="500"/>
      <c r="AE2514" s="500"/>
      <c r="AF2514" s="500"/>
      <c r="AG2514" s="500"/>
      <c r="AH2514" s="500"/>
      <c r="AI2514" s="500"/>
      <c r="AJ2514" s="500"/>
      <c r="AK2514" s="500"/>
      <c r="AL2514" s="500"/>
      <c r="AM2514" s="500"/>
      <c r="AN2514" s="500"/>
      <c r="AO2514" s="500"/>
      <c r="AP2514" s="500"/>
    </row>
    <row r="2515" spans="1:42" ht="16.5" customHeight="1">
      <c r="A2515" s="439"/>
      <c r="B2515" s="439"/>
      <c r="C2515" s="439"/>
      <c r="D2515" s="439"/>
      <c r="E2515" s="439"/>
      <c r="F2515" s="439"/>
      <c r="G2515" s="451" t="s">
        <v>3406</v>
      </c>
      <c r="Z2515" s="500"/>
      <c r="AA2515" s="500"/>
      <c r="AB2515" s="500"/>
      <c r="AC2515" s="500"/>
      <c r="AD2515" s="500"/>
      <c r="AE2515" s="500"/>
      <c r="AF2515" s="500"/>
      <c r="AG2515" s="500"/>
      <c r="AH2515" s="500"/>
      <c r="AI2515" s="500"/>
      <c r="AJ2515" s="500"/>
      <c r="AK2515" s="500"/>
      <c r="AL2515" s="500"/>
      <c r="AM2515" s="500"/>
      <c r="AN2515" s="500"/>
      <c r="AO2515" s="500"/>
      <c r="AP2515" s="500"/>
    </row>
    <row r="2516" spans="1:42" ht="16.5" customHeight="1">
      <c r="A2516" s="439"/>
      <c r="B2516" s="439"/>
      <c r="C2516" s="439"/>
      <c r="D2516" s="439"/>
      <c r="E2516" s="439"/>
      <c r="F2516" s="439"/>
      <c r="G2516" s="451" t="s">
        <v>3406</v>
      </c>
      <c r="Z2516" s="500"/>
      <c r="AA2516" s="500"/>
      <c r="AB2516" s="500"/>
      <c r="AC2516" s="500"/>
      <c r="AD2516" s="500"/>
      <c r="AE2516" s="500"/>
      <c r="AF2516" s="500"/>
      <c r="AG2516" s="500"/>
      <c r="AH2516" s="500"/>
      <c r="AI2516" s="500"/>
      <c r="AJ2516" s="500"/>
      <c r="AK2516" s="500"/>
      <c r="AL2516" s="500"/>
      <c r="AM2516" s="500"/>
      <c r="AN2516" s="500"/>
      <c r="AO2516" s="500"/>
      <c r="AP2516" s="500"/>
    </row>
    <row r="2517" spans="1:42" ht="16.5" customHeight="1">
      <c r="A2517" s="439"/>
      <c r="B2517" s="439"/>
      <c r="C2517" s="439"/>
      <c r="D2517" s="439"/>
      <c r="E2517" s="439"/>
      <c r="F2517" s="439"/>
      <c r="G2517" s="451" t="s">
        <v>3406</v>
      </c>
      <c r="Z2517" s="500"/>
      <c r="AA2517" s="500"/>
      <c r="AB2517" s="500"/>
      <c r="AC2517" s="500"/>
      <c r="AD2517" s="500"/>
      <c r="AE2517" s="500"/>
      <c r="AF2517" s="500"/>
      <c r="AG2517" s="500"/>
      <c r="AH2517" s="500"/>
      <c r="AI2517" s="500"/>
      <c r="AJ2517" s="500"/>
      <c r="AK2517" s="500"/>
      <c r="AL2517" s="500"/>
      <c r="AM2517" s="500"/>
      <c r="AN2517" s="500"/>
      <c r="AO2517" s="500"/>
      <c r="AP2517" s="500"/>
    </row>
    <row r="2518" spans="1:42" ht="16.5" customHeight="1">
      <c r="A2518" s="439"/>
      <c r="B2518" s="439"/>
      <c r="C2518" s="439"/>
      <c r="D2518" s="439"/>
      <c r="E2518" s="439"/>
      <c r="F2518" s="439"/>
      <c r="G2518" s="451" t="s">
        <v>3406</v>
      </c>
      <c r="Z2518" s="500"/>
      <c r="AA2518" s="500"/>
      <c r="AB2518" s="500"/>
      <c r="AC2518" s="500"/>
      <c r="AD2518" s="500"/>
      <c r="AE2518" s="500"/>
      <c r="AF2518" s="500"/>
      <c r="AG2518" s="500"/>
      <c r="AH2518" s="500"/>
      <c r="AI2518" s="500"/>
      <c r="AJ2518" s="500"/>
      <c r="AK2518" s="500"/>
      <c r="AL2518" s="500"/>
      <c r="AM2518" s="500"/>
      <c r="AN2518" s="500"/>
      <c r="AO2518" s="500"/>
      <c r="AP2518" s="500"/>
    </row>
    <row r="2519" spans="1:42" ht="16.5" customHeight="1">
      <c r="A2519" s="434"/>
      <c r="B2519" s="437" t="s">
        <v>3496</v>
      </c>
      <c r="C2519" s="439"/>
      <c r="D2519" s="439"/>
      <c r="E2519" s="439"/>
      <c r="F2519" s="439"/>
      <c r="G2519" s="451" t="s">
        <v>3497</v>
      </c>
      <c r="Z2519" s="500"/>
      <c r="AA2519" s="500"/>
      <c r="AB2519" s="500"/>
      <c r="AC2519" s="500"/>
      <c r="AD2519" s="500"/>
      <c r="AE2519" s="500"/>
      <c r="AF2519" s="500"/>
      <c r="AG2519" s="500"/>
      <c r="AH2519" s="500"/>
      <c r="AI2519" s="500"/>
      <c r="AJ2519" s="500"/>
      <c r="AK2519" s="500"/>
      <c r="AL2519" s="500"/>
      <c r="AM2519" s="500"/>
      <c r="AN2519" s="500"/>
      <c r="AO2519" s="500"/>
      <c r="AP2519" s="500"/>
    </row>
    <row r="2520" spans="1:42" ht="16.5" customHeight="1">
      <c r="A2520" s="439"/>
      <c r="B2520" s="439"/>
      <c r="C2520" s="439"/>
      <c r="D2520" s="439"/>
      <c r="E2520" s="439"/>
      <c r="F2520" s="439"/>
      <c r="G2520" s="451" t="s">
        <v>3406</v>
      </c>
      <c r="Z2520" s="500"/>
      <c r="AA2520" s="500"/>
      <c r="AB2520" s="500"/>
      <c r="AC2520" s="500"/>
      <c r="AD2520" s="500"/>
      <c r="AE2520" s="500"/>
      <c r="AF2520" s="500"/>
      <c r="AG2520" s="500"/>
      <c r="AH2520" s="500"/>
      <c r="AI2520" s="500"/>
      <c r="AJ2520" s="500"/>
      <c r="AK2520" s="500"/>
      <c r="AL2520" s="500"/>
      <c r="AM2520" s="500"/>
      <c r="AN2520" s="500"/>
      <c r="AO2520" s="500"/>
      <c r="AP2520" s="500"/>
    </row>
    <row r="2521" spans="1:42" ht="16.5" customHeight="1">
      <c r="A2521" s="434" t="s">
        <v>3498</v>
      </c>
      <c r="B2521" s="505" t="str">
        <f>" 조경공 :  "&amp;TEXT(I2521,"#,##0"&amp;IF(I2521&lt;&gt;INT(I2521),".###",""))&amp;" * "&amp;AA2521&amp;" 인  / Q = "&amp;TEXT(C2521,"#,##0.0")&amp;""</f>
        <v xml:space="preserve"> 조경공 :  235,204 * 4 인  / Q = 78,401.3</v>
      </c>
      <c r="C2521" s="506">
        <f>E2521+D2521+F2521</f>
        <v>78401.3</v>
      </c>
      <c r="D2521" s="506">
        <f>IF(H2521=0,0,ROUNDDOWN(J2521*H2521,1))</f>
        <v>78401.3</v>
      </c>
      <c r="E2521" s="506">
        <f>IF(H2521=0,0,ROUNDDOWN(K2521*H2521,1))</f>
        <v>0</v>
      </c>
      <c r="F2521" s="506">
        <f>IF(H2521=0,0,ROUNDDOWN(L2521*H2521,1))</f>
        <v>0</v>
      </c>
      <c r="G2521" s="451" t="s">
        <v>3653</v>
      </c>
      <c r="H2521" s="507">
        <f>ROUNDUP(AE2521,14-LEN(ABS(INT(AE2521))))</f>
        <v>0.33333333333339998</v>
      </c>
      <c r="I2521" s="508">
        <f>K2521+J2521+L2521</f>
        <v>235204</v>
      </c>
      <c r="J2521" s="509">
        <f>노무비목록표!E15</f>
        <v>235204</v>
      </c>
      <c r="M2521" s="501" t="s">
        <v>2359</v>
      </c>
      <c r="N2521" s="501" t="s">
        <v>3416</v>
      </c>
      <c r="X2521" s="510" t="str">
        <f>노무비목록표!B15&amp;" / "&amp;노무비목록표!C15</f>
        <v xml:space="preserve">조경공 / </v>
      </c>
      <c r="Y2521" s="433" t="str">
        <f ca="1">HYPERLINK("#"&amp;노무비목록표!G2&amp;"!A"&amp;ROW(노무비목록표!A15),"L00184 →")</f>
        <v>L00184 →</v>
      </c>
      <c r="Z2521" s="501" t="s">
        <v>3500</v>
      </c>
      <c r="AA2521" s="515">
        <v>4</v>
      </c>
      <c r="AB2521" s="501" t="s">
        <v>3428</v>
      </c>
      <c r="AC2521" s="512">
        <f>AB2512</f>
        <v>12</v>
      </c>
      <c r="AD2521" s="501" t="s">
        <v>3418</v>
      </c>
      <c r="AE2521" s="512">
        <f>1*AA2521/AB2512</f>
        <v>0.33333333333333331</v>
      </c>
      <c r="AF2521" s="500"/>
      <c r="AG2521" s="500"/>
      <c r="AH2521" s="500"/>
      <c r="AI2521" s="500"/>
      <c r="AJ2521" s="500"/>
      <c r="AK2521" s="500"/>
      <c r="AL2521" s="500"/>
      <c r="AM2521" s="500"/>
      <c r="AN2521" s="500"/>
      <c r="AO2521" s="500"/>
      <c r="AP2521" s="500"/>
    </row>
    <row r="2522" spans="1:42" ht="16.5" customHeight="1">
      <c r="A2522" s="439"/>
      <c r="B2522" s="439"/>
      <c r="C2522" s="439"/>
      <c r="D2522" s="439"/>
      <c r="E2522" s="439"/>
      <c r="F2522" s="439"/>
      <c r="G2522" s="451" t="s">
        <v>3406</v>
      </c>
      <c r="Z2522" s="500"/>
      <c r="AA2522" s="500"/>
      <c r="AB2522" s="500"/>
      <c r="AC2522" s="500"/>
      <c r="AD2522" s="500"/>
      <c r="AE2522" s="500"/>
      <c r="AF2522" s="500"/>
      <c r="AG2522" s="500"/>
      <c r="AH2522" s="500"/>
      <c r="AI2522" s="500"/>
      <c r="AJ2522" s="500"/>
      <c r="AK2522" s="500"/>
      <c r="AL2522" s="500"/>
      <c r="AM2522" s="500"/>
      <c r="AN2522" s="500"/>
      <c r="AO2522" s="500"/>
      <c r="AP2522" s="500"/>
    </row>
    <row r="2523" spans="1:42" ht="16.5" customHeight="1">
      <c r="A2523" s="439"/>
      <c r="B2523" s="439"/>
      <c r="C2523" s="439"/>
      <c r="D2523" s="439"/>
      <c r="E2523" s="439"/>
      <c r="F2523" s="439"/>
      <c r="G2523" s="451" t="s">
        <v>3406</v>
      </c>
      <c r="Z2523" s="500"/>
      <c r="AA2523" s="500"/>
      <c r="AB2523" s="500"/>
      <c r="AC2523" s="500"/>
      <c r="AD2523" s="500"/>
      <c r="AE2523" s="500"/>
      <c r="AF2523" s="500"/>
      <c r="AG2523" s="500"/>
      <c r="AH2523" s="500"/>
      <c r="AI2523" s="500"/>
      <c r="AJ2523" s="500"/>
      <c r="AK2523" s="500"/>
      <c r="AL2523" s="500"/>
      <c r="AM2523" s="500"/>
      <c r="AN2523" s="500"/>
      <c r="AO2523" s="500"/>
      <c r="AP2523" s="500"/>
    </row>
    <row r="2524" spans="1:42" ht="16.5" customHeight="1">
      <c r="A2524" s="434" t="s">
        <v>3414</v>
      </c>
      <c r="B2524" s="505" t="str">
        <f>" 보통인부 : "&amp;TEXT(I2524,"#,##0"&amp;IF(I2524&lt;&gt;INT(I2524),".###",""))&amp;" * "&amp;AA2524&amp;" 인  / Q = "&amp;TEXT(C2524,"#,##0.0")&amp;""</f>
        <v xml:space="preserve"> 보통인부 : 172,068 * 2 인  / Q = 28,678.0</v>
      </c>
      <c r="C2524" s="506">
        <f>E2524+D2524+F2524</f>
        <v>28678</v>
      </c>
      <c r="D2524" s="506">
        <f>IF(H2524=0,0,ROUNDDOWN(J2524*H2524,1))</f>
        <v>28678</v>
      </c>
      <c r="E2524" s="506">
        <f>IF(H2524=0,0,ROUNDDOWN(K2524*H2524,1))</f>
        <v>0</v>
      </c>
      <c r="F2524" s="506">
        <f>IF(H2524=0,0,ROUNDDOWN(L2524*H2524,1))</f>
        <v>0</v>
      </c>
      <c r="G2524" s="451" t="s">
        <v>3654</v>
      </c>
      <c r="H2524" s="507">
        <f>ROUNDUP(AE2524,14-LEN(ABS(INT(AE2524))))</f>
        <v>0.16666666666669999</v>
      </c>
      <c r="I2524" s="508">
        <f>K2524+J2524+L2524</f>
        <v>172068</v>
      </c>
      <c r="J2524" s="509">
        <f>노무비목록표!E10</f>
        <v>172068</v>
      </c>
      <c r="M2524" s="501" t="s">
        <v>2363</v>
      </c>
      <c r="N2524" s="501" t="s">
        <v>3416</v>
      </c>
      <c r="X2524" s="510" t="str">
        <f>노무비목록표!B10&amp;" / "&amp;노무비목록표!C10</f>
        <v xml:space="preserve">보통인부 / </v>
      </c>
      <c r="Y2524" s="433" t="str">
        <f ca="1">HYPERLINK("#"&amp;노무비목록표!G2&amp;"!A"&amp;ROW(노무비목록표!A10),"L00017 →")</f>
        <v>L00017 →</v>
      </c>
      <c r="Z2524" s="501" t="s">
        <v>3500</v>
      </c>
      <c r="AA2524" s="515">
        <v>2</v>
      </c>
      <c r="AB2524" s="501" t="s">
        <v>3428</v>
      </c>
      <c r="AC2524" s="512">
        <f>AB2512</f>
        <v>12</v>
      </c>
      <c r="AD2524" s="501" t="s">
        <v>3418</v>
      </c>
      <c r="AE2524" s="512">
        <f>1*AA2524/AB2512</f>
        <v>0.16666666666666666</v>
      </c>
      <c r="AF2524" s="500"/>
      <c r="AG2524" s="500"/>
      <c r="AH2524" s="500"/>
      <c r="AI2524" s="500"/>
      <c r="AJ2524" s="500"/>
      <c r="AK2524" s="500"/>
      <c r="AL2524" s="500"/>
      <c r="AM2524" s="500"/>
      <c r="AN2524" s="500"/>
      <c r="AO2524" s="500"/>
      <c r="AP2524" s="500"/>
    </row>
    <row r="2525" spans="1:42" ht="16.5" customHeight="1">
      <c r="A2525" s="439"/>
      <c r="B2525" s="439"/>
      <c r="C2525" s="439"/>
      <c r="D2525" s="439"/>
      <c r="E2525" s="439"/>
      <c r="F2525" s="439"/>
      <c r="G2525" s="451" t="s">
        <v>3406</v>
      </c>
      <c r="Z2525" s="500"/>
      <c r="AA2525" s="500"/>
      <c r="AB2525" s="500"/>
      <c r="AC2525" s="500"/>
      <c r="AD2525" s="500"/>
      <c r="AE2525" s="500"/>
      <c r="AF2525" s="500"/>
      <c r="AG2525" s="500"/>
      <c r="AH2525" s="500"/>
      <c r="AI2525" s="500"/>
      <c r="AJ2525" s="500"/>
      <c r="AK2525" s="500"/>
      <c r="AL2525" s="500"/>
      <c r="AM2525" s="500"/>
      <c r="AN2525" s="500"/>
      <c r="AO2525" s="500"/>
      <c r="AP2525" s="500"/>
    </row>
    <row r="2526" spans="1:42" ht="16.5" customHeight="1">
      <c r="A2526" s="434"/>
      <c r="B2526" s="437" t="s">
        <v>3419</v>
      </c>
      <c r="C2526" s="513">
        <f>E2526+D2526+F2526</f>
        <v>107079.3</v>
      </c>
      <c r="D2526" s="513">
        <f>SUMIF(N2507:N2525,M2526,D2507:D2525)</f>
        <v>107079.3</v>
      </c>
      <c r="E2526" s="513">
        <f>SUMIF(N2507:N2525,M2526,E2507:E2525)</f>
        <v>0</v>
      </c>
      <c r="F2526" s="513">
        <f>SUMIF(N2507:N2525,M2526,F2507:F2525)</f>
        <v>0</v>
      </c>
      <c r="G2526" s="451" t="s">
        <v>3439</v>
      </c>
      <c r="M2526" s="501" t="s">
        <v>3416</v>
      </c>
      <c r="N2526" s="501" t="s">
        <v>3421</v>
      </c>
      <c r="Z2526" s="500"/>
      <c r="AA2526" s="500"/>
      <c r="AB2526" s="500"/>
      <c r="AC2526" s="500"/>
      <c r="AD2526" s="500"/>
      <c r="AE2526" s="500"/>
      <c r="AF2526" s="500"/>
      <c r="AG2526" s="500"/>
      <c r="AH2526" s="500"/>
      <c r="AI2526" s="500"/>
      <c r="AJ2526" s="500"/>
      <c r="AK2526" s="500"/>
      <c r="AL2526" s="500"/>
      <c r="AM2526" s="500"/>
      <c r="AN2526" s="500"/>
      <c r="AO2526" s="500"/>
      <c r="AP2526" s="500"/>
    </row>
    <row r="2527" spans="1:42" ht="16.5" customHeight="1">
      <c r="A2527" s="439"/>
      <c r="B2527" s="439"/>
      <c r="C2527" s="504"/>
      <c r="D2527" s="504"/>
      <c r="E2527" s="504"/>
      <c r="F2527" s="504"/>
      <c r="G2527" s="451" t="s">
        <v>3406</v>
      </c>
      <c r="Z2527" s="500"/>
      <c r="AA2527" s="500"/>
      <c r="AB2527" s="500"/>
      <c r="AC2527" s="500"/>
      <c r="AD2527" s="500"/>
      <c r="AE2527" s="500"/>
      <c r="AF2527" s="500"/>
      <c r="AG2527" s="500"/>
      <c r="AH2527" s="500"/>
      <c r="AI2527" s="500"/>
      <c r="AJ2527" s="500"/>
      <c r="AK2527" s="500"/>
      <c r="AL2527" s="500"/>
      <c r="AM2527" s="500"/>
      <c r="AN2527" s="500"/>
      <c r="AO2527" s="500"/>
      <c r="AP2527" s="500"/>
    </row>
    <row r="2528" spans="1:42" ht="16.5" customHeight="1">
      <c r="A2528" s="439"/>
      <c r="B2528" s="439"/>
      <c r="C2528" s="439"/>
      <c r="D2528" s="439"/>
      <c r="E2528" s="439"/>
      <c r="F2528" s="439"/>
      <c r="G2528" s="451" t="s">
        <v>3406</v>
      </c>
      <c r="Z2528" s="500"/>
      <c r="AA2528" s="500"/>
      <c r="AB2528" s="500"/>
      <c r="AC2528" s="500"/>
      <c r="AD2528" s="500"/>
      <c r="AE2528" s="500"/>
      <c r="AF2528" s="500"/>
      <c r="AG2528" s="500"/>
      <c r="AH2528" s="500"/>
      <c r="AI2528" s="500"/>
      <c r="AJ2528" s="500"/>
      <c r="AK2528" s="500"/>
      <c r="AL2528" s="500"/>
      <c r="AM2528" s="500"/>
      <c r="AN2528" s="500"/>
      <c r="AO2528" s="500"/>
      <c r="AP2528" s="500"/>
    </row>
    <row r="2529" spans="1:42" ht="16.5" customHeight="1">
      <c r="A2529" s="434"/>
      <c r="B2529" s="437" t="s">
        <v>3502</v>
      </c>
      <c r="C2529" s="439"/>
      <c r="D2529" s="439"/>
      <c r="E2529" s="439"/>
      <c r="F2529" s="439"/>
      <c r="G2529" s="451" t="s">
        <v>3503</v>
      </c>
      <c r="Z2529" s="500"/>
      <c r="AA2529" s="500"/>
      <c r="AB2529" s="500"/>
      <c r="AC2529" s="500"/>
      <c r="AD2529" s="500"/>
      <c r="AE2529" s="500"/>
      <c r="AF2529" s="500"/>
      <c r="AG2529" s="500"/>
      <c r="AH2529" s="500"/>
      <c r="AI2529" s="500"/>
      <c r="AJ2529" s="500"/>
      <c r="AK2529" s="500"/>
      <c r="AL2529" s="500"/>
      <c r="AM2529" s="500"/>
      <c r="AN2529" s="500"/>
      <c r="AO2529" s="500"/>
      <c r="AP2529" s="500"/>
    </row>
    <row r="2530" spans="1:42" ht="16.5" customHeight="1">
      <c r="A2530" s="439"/>
      <c r="B2530" s="439"/>
      <c r="C2530" s="439"/>
      <c r="D2530" s="439"/>
      <c r="E2530" s="439"/>
      <c r="F2530" s="439"/>
      <c r="G2530" s="451" t="s">
        <v>3406</v>
      </c>
      <c r="Z2530" s="500"/>
      <c r="AA2530" s="500"/>
      <c r="AB2530" s="500"/>
      <c r="AC2530" s="500"/>
      <c r="AD2530" s="500"/>
      <c r="AE2530" s="500"/>
      <c r="AF2530" s="500"/>
      <c r="AG2530" s="500"/>
      <c r="AH2530" s="500"/>
      <c r="AI2530" s="500"/>
      <c r="AJ2530" s="500"/>
      <c r="AK2530" s="500"/>
      <c r="AL2530" s="500"/>
      <c r="AM2530" s="500"/>
      <c r="AN2530" s="500"/>
      <c r="AO2530" s="500"/>
      <c r="AP2530" s="500"/>
    </row>
    <row r="2531" spans="1:42" ht="16.5" customHeight="1">
      <c r="A2531" s="434" t="s">
        <v>3564</v>
      </c>
      <c r="B2531" s="505" t="str">
        <f>"  지주목삼발이, L1800 : "&amp;TEXT(I2531,"#,##0"&amp;IF(I2531&lt;&gt;INT(I2531),".###",""))&amp;" * "&amp;AA2531&amp;" 조  = "&amp;TEXT(C2531,"#,##0.0")&amp;""</f>
        <v xml:space="preserve">  지주목삼발이, L1800 : 13,400 * 1 조  = 13,400.0</v>
      </c>
      <c r="C2531" s="506">
        <f>E2531+D2531+F2531</f>
        <v>13400</v>
      </c>
      <c r="D2531" s="506">
        <f>IF(H2531=0,0,ROUNDDOWN(J2531*H2531,1))</f>
        <v>0</v>
      </c>
      <c r="E2531" s="506">
        <f>IF(H2531=0,0,ROUNDDOWN(K2531*H2531,1))</f>
        <v>13400</v>
      </c>
      <c r="F2531" s="506">
        <f>IF(H2531=0,0,ROUNDDOWN(L2531*H2531,1))</f>
        <v>0</v>
      </c>
      <c r="G2531" s="451" t="s">
        <v>3565</v>
      </c>
      <c r="H2531" s="507">
        <f>ROUNDUP(AC2531,14-LEN(ABS(INT(AC2531))))</f>
        <v>1</v>
      </c>
      <c r="I2531" s="508">
        <f>K2531+J2531+L2531</f>
        <v>13400</v>
      </c>
      <c r="K2531" s="509">
        <f>재료비목록표!E92</f>
        <v>13400</v>
      </c>
      <c r="M2531" s="501" t="s">
        <v>3566</v>
      </c>
      <c r="N2531" s="501" t="s">
        <v>3416</v>
      </c>
      <c r="X2531" s="510" t="str">
        <f>재료비목록표!B92&amp;" / "&amp;재료비목록표!C92</f>
        <v>지주목 / 삼발이, L1800</v>
      </c>
      <c r="Y2531" s="433" t="str">
        <f ca="1">HYPERLINK("#"&amp;재료비목록표!G2&amp;"!A"&amp;ROW(재료비목록표!A92),"M08850 →")</f>
        <v>M08850 →</v>
      </c>
      <c r="Z2531" s="501" t="s">
        <v>3500</v>
      </c>
      <c r="AA2531" s="515">
        <v>1</v>
      </c>
      <c r="AB2531" s="501" t="s">
        <v>3418</v>
      </c>
      <c r="AC2531" s="512">
        <f>1*AA2531</f>
        <v>1</v>
      </c>
      <c r="AD2531" s="500"/>
      <c r="AE2531" s="500"/>
      <c r="AF2531" s="500"/>
      <c r="AG2531" s="500"/>
      <c r="AH2531" s="500"/>
      <c r="AI2531" s="500"/>
      <c r="AJ2531" s="500"/>
      <c r="AK2531" s="500"/>
      <c r="AL2531" s="500"/>
      <c r="AM2531" s="500"/>
      <c r="AN2531" s="500"/>
      <c r="AO2531" s="500"/>
      <c r="AP2531" s="500"/>
    </row>
    <row r="2532" spans="1:42" ht="16.5" customHeight="1">
      <c r="A2532" s="439"/>
      <c r="B2532" s="439"/>
      <c r="C2532" s="439"/>
      <c r="D2532" s="439"/>
      <c r="E2532" s="439"/>
      <c r="F2532" s="439"/>
      <c r="G2532" s="451" t="s">
        <v>3406</v>
      </c>
      <c r="Z2532" s="500"/>
      <c r="AA2532" s="500"/>
      <c r="AB2532" s="500"/>
      <c r="AC2532" s="500"/>
      <c r="AD2532" s="500"/>
      <c r="AE2532" s="500"/>
      <c r="AF2532" s="500"/>
      <c r="AG2532" s="500"/>
      <c r="AH2532" s="500"/>
      <c r="AI2532" s="500"/>
      <c r="AJ2532" s="500"/>
      <c r="AK2532" s="500"/>
      <c r="AL2532" s="500"/>
      <c r="AM2532" s="500"/>
      <c r="AN2532" s="500"/>
      <c r="AO2532" s="500"/>
      <c r="AP2532" s="500"/>
    </row>
    <row r="2533" spans="1:42" ht="16.5" customHeight="1">
      <c r="A2533" s="439"/>
      <c r="B2533" s="439"/>
      <c r="C2533" s="439"/>
      <c r="D2533" s="439"/>
      <c r="E2533" s="439"/>
      <c r="F2533" s="439"/>
      <c r="G2533" s="451" t="s">
        <v>3406</v>
      </c>
      <c r="Z2533" s="500"/>
      <c r="AA2533" s="500"/>
      <c r="AB2533" s="500"/>
      <c r="AC2533" s="500"/>
      <c r="AD2533" s="500"/>
      <c r="AE2533" s="500"/>
      <c r="AF2533" s="500"/>
      <c r="AG2533" s="500"/>
      <c r="AH2533" s="500"/>
      <c r="AI2533" s="500"/>
      <c r="AJ2533" s="500"/>
      <c r="AK2533" s="500"/>
      <c r="AL2533" s="500"/>
      <c r="AM2533" s="500"/>
      <c r="AN2533" s="500"/>
      <c r="AO2533" s="500"/>
      <c r="AP2533" s="500"/>
    </row>
    <row r="2534" spans="1:42" ht="16.5" customHeight="1">
      <c r="A2534" s="439"/>
      <c r="B2534" s="439"/>
      <c r="C2534" s="439"/>
      <c r="D2534" s="439"/>
      <c r="E2534" s="439"/>
      <c r="F2534" s="439"/>
      <c r="G2534" s="451" t="s">
        <v>3406</v>
      </c>
      <c r="Z2534" s="500"/>
      <c r="AA2534" s="500"/>
      <c r="AB2534" s="500"/>
      <c r="AC2534" s="500"/>
      <c r="AD2534" s="500"/>
      <c r="AE2534" s="500"/>
      <c r="AF2534" s="500"/>
      <c r="AG2534" s="500"/>
      <c r="AH2534" s="500"/>
      <c r="AI2534" s="500"/>
      <c r="AJ2534" s="500"/>
      <c r="AK2534" s="500"/>
      <c r="AL2534" s="500"/>
      <c r="AM2534" s="500"/>
      <c r="AN2534" s="500"/>
      <c r="AO2534" s="500"/>
      <c r="AP2534" s="500"/>
    </row>
    <row r="2535" spans="1:42" ht="16.5" customHeight="1">
      <c r="A2535" s="434" t="s">
        <v>3504</v>
      </c>
      <c r="B2535" s="505" t="str">
        <f>"  유기질비료 수목이식·식재용 : "&amp;TEXT(I2535,"#,##0"&amp;IF(I2535&lt;&gt;INT(I2535),".###",""))&amp;" * "&amp;AA2535&amp;" KG   = "&amp;TEXT(C2535,"#,##0.0")&amp;""</f>
        <v xml:space="preserve">  유기질비료 수목이식·식재용 : 500 * 30 KG   = 15,000.0</v>
      </c>
      <c r="C2535" s="506">
        <f>E2535+D2535+F2535</f>
        <v>15000</v>
      </c>
      <c r="D2535" s="506">
        <f>IF(H2535=0,0,ROUNDDOWN(J2535*H2535,1))</f>
        <v>0</v>
      </c>
      <c r="E2535" s="506">
        <f>IF(H2535=0,0,ROUNDDOWN(K2535*H2535,1))</f>
        <v>15000</v>
      </c>
      <c r="F2535" s="506">
        <f>IF(H2535=0,0,ROUNDDOWN(L2535*H2535,1))</f>
        <v>0</v>
      </c>
      <c r="G2535" s="451" t="s">
        <v>3591</v>
      </c>
      <c r="H2535" s="507">
        <f>ROUNDUP(AC2535,14-LEN(ABS(INT(AC2535))))</f>
        <v>30</v>
      </c>
      <c r="I2535" s="508">
        <f>K2535+J2535+L2535</f>
        <v>500</v>
      </c>
      <c r="K2535" s="509">
        <f>재료비목록표!E78</f>
        <v>500</v>
      </c>
      <c r="M2535" s="501" t="s">
        <v>3506</v>
      </c>
      <c r="N2535" s="501" t="s">
        <v>3416</v>
      </c>
      <c r="X2535" s="510" t="str">
        <f>재료비목록표!B78&amp;" / "&amp;재료비목록표!C78</f>
        <v>유기질비료 / 수목이식·식재용</v>
      </c>
      <c r="Y2535" s="433" t="str">
        <f ca="1">HYPERLINK("#"&amp;재료비목록표!G2&amp;"!A"&amp;ROW(재료비목록표!A78),"M01159 →")</f>
        <v>M01159 →</v>
      </c>
      <c r="Z2535" s="501" t="s">
        <v>3500</v>
      </c>
      <c r="AA2535" s="515">
        <v>30</v>
      </c>
      <c r="AB2535" s="501" t="s">
        <v>3418</v>
      </c>
      <c r="AC2535" s="512">
        <f>1*AA2535</f>
        <v>30</v>
      </c>
      <c r="AD2535" s="500"/>
      <c r="AE2535" s="500"/>
      <c r="AF2535" s="500"/>
      <c r="AG2535" s="500"/>
      <c r="AH2535" s="500"/>
      <c r="AI2535" s="500"/>
      <c r="AJ2535" s="500"/>
      <c r="AK2535" s="500"/>
      <c r="AL2535" s="500"/>
      <c r="AM2535" s="500"/>
      <c r="AN2535" s="500"/>
      <c r="AO2535" s="500"/>
      <c r="AP2535" s="500"/>
    </row>
    <row r="2536" spans="1:42" ht="16.5" customHeight="1">
      <c r="A2536" s="439"/>
      <c r="B2536" s="439"/>
      <c r="C2536" s="439"/>
      <c r="D2536" s="439"/>
      <c r="E2536" s="439"/>
      <c r="F2536" s="439"/>
      <c r="G2536" s="451" t="s">
        <v>3406</v>
      </c>
      <c r="Z2536" s="500"/>
      <c r="AA2536" s="500"/>
      <c r="AB2536" s="500"/>
      <c r="AC2536" s="500"/>
      <c r="AD2536" s="500"/>
      <c r="AE2536" s="500"/>
      <c r="AF2536" s="500"/>
      <c r="AG2536" s="500"/>
      <c r="AH2536" s="500"/>
      <c r="AI2536" s="500"/>
      <c r="AJ2536" s="500"/>
      <c r="AK2536" s="500"/>
      <c r="AL2536" s="500"/>
      <c r="AM2536" s="500"/>
      <c r="AN2536" s="500"/>
      <c r="AO2536" s="500"/>
      <c r="AP2536" s="500"/>
    </row>
    <row r="2537" spans="1:42" ht="16.5" customHeight="1">
      <c r="A2537" s="434"/>
      <c r="B2537" s="437" t="s">
        <v>3419</v>
      </c>
      <c r="C2537" s="513">
        <f>E2537+D2537+F2537</f>
        <v>28400</v>
      </c>
      <c r="D2537" s="513">
        <f>SUMIF(N2527:N2536,M2537,D2527:D2536)</f>
        <v>0</v>
      </c>
      <c r="E2537" s="513">
        <f>SUMIF(N2527:N2536,M2537,E2527:E2536)</f>
        <v>28400</v>
      </c>
      <c r="F2537" s="513">
        <f>SUMIF(N2527:N2536,M2537,F2527:F2536)</f>
        <v>0</v>
      </c>
      <c r="G2537" s="451" t="s">
        <v>3439</v>
      </c>
      <c r="M2537" s="501" t="s">
        <v>3416</v>
      </c>
      <c r="N2537" s="501" t="s">
        <v>3421</v>
      </c>
      <c r="Z2537" s="500"/>
      <c r="AA2537" s="500"/>
      <c r="AB2537" s="500"/>
      <c r="AC2537" s="500"/>
      <c r="AD2537" s="500"/>
      <c r="AE2537" s="500"/>
      <c r="AF2537" s="500"/>
      <c r="AG2537" s="500"/>
      <c r="AH2537" s="500"/>
      <c r="AI2537" s="500"/>
      <c r="AJ2537" s="500"/>
      <c r="AK2537" s="500"/>
      <c r="AL2537" s="500"/>
      <c r="AM2537" s="500"/>
      <c r="AN2537" s="500"/>
      <c r="AO2537" s="500"/>
      <c r="AP2537" s="500"/>
    </row>
    <row r="2538" spans="1:42" ht="16.5" customHeight="1">
      <c r="A2538" s="439"/>
      <c r="B2538" s="439"/>
      <c r="C2538" s="504"/>
      <c r="D2538" s="504"/>
      <c r="E2538" s="504"/>
      <c r="F2538" s="504"/>
      <c r="G2538" s="451" t="s">
        <v>3406</v>
      </c>
      <c r="Z2538" s="500"/>
      <c r="AA2538" s="500"/>
      <c r="AB2538" s="500"/>
      <c r="AC2538" s="500"/>
      <c r="AD2538" s="500"/>
      <c r="AE2538" s="500"/>
      <c r="AF2538" s="500"/>
      <c r="AG2538" s="500"/>
      <c r="AH2538" s="500"/>
      <c r="AI2538" s="500"/>
      <c r="AJ2538" s="500"/>
      <c r="AK2538" s="500"/>
      <c r="AL2538" s="500"/>
      <c r="AM2538" s="500"/>
      <c r="AN2538" s="500"/>
      <c r="AO2538" s="500"/>
      <c r="AP2538" s="500"/>
    </row>
    <row r="2539" spans="1:42" ht="16.5" customHeight="1">
      <c r="A2539" s="434"/>
      <c r="B2539" s="437" t="s">
        <v>3440</v>
      </c>
      <c r="C2539" s="513">
        <f>E2539+D2539+F2539</f>
        <v>135479.29999999999</v>
      </c>
      <c r="D2539" s="513">
        <f>SUMIF(N2507:N2538,M2539,D2507:D2538)</f>
        <v>107079.3</v>
      </c>
      <c r="E2539" s="513">
        <f>SUMIF(N2507:N2538,M2539,E2507:E2538)</f>
        <v>28400</v>
      </c>
      <c r="F2539" s="513">
        <f>SUMIF(N2507:N2538,M2539,F2507:F2538)</f>
        <v>0</v>
      </c>
      <c r="G2539" s="451" t="s">
        <v>3441</v>
      </c>
      <c r="M2539" s="501" t="s">
        <v>3421</v>
      </c>
      <c r="N2539" s="501" t="s">
        <v>2354</v>
      </c>
      <c r="Z2539" s="500"/>
      <c r="AA2539" s="500"/>
      <c r="AB2539" s="500"/>
      <c r="AC2539" s="500"/>
      <c r="AD2539" s="500"/>
      <c r="AE2539" s="500"/>
      <c r="AF2539" s="500"/>
      <c r="AG2539" s="500"/>
      <c r="AH2539" s="500"/>
      <c r="AI2539" s="500"/>
      <c r="AJ2539" s="500"/>
      <c r="AK2539" s="500"/>
      <c r="AL2539" s="500"/>
      <c r="AM2539" s="500"/>
      <c r="AN2539" s="500"/>
      <c r="AO2539" s="500"/>
      <c r="AP2539" s="500"/>
    </row>
    <row r="2540" spans="1:42" ht="16.5" customHeight="1">
      <c r="A2540" s="439"/>
      <c r="B2540" s="439"/>
      <c r="C2540" s="504"/>
      <c r="D2540" s="504"/>
      <c r="E2540" s="504"/>
      <c r="F2540" s="504"/>
      <c r="G2540" s="451" t="s">
        <v>3413</v>
      </c>
      <c r="Z2540" s="500"/>
      <c r="AA2540" s="500"/>
      <c r="AB2540" s="500"/>
      <c r="AC2540" s="500"/>
      <c r="AD2540" s="500"/>
      <c r="AE2540" s="500"/>
      <c r="AF2540" s="500"/>
      <c r="AG2540" s="500"/>
      <c r="AH2540" s="500"/>
      <c r="AI2540" s="500"/>
      <c r="AJ2540" s="500"/>
      <c r="AK2540" s="500"/>
      <c r="AL2540" s="500"/>
      <c r="AM2540" s="500"/>
      <c r="AN2540" s="500"/>
      <c r="AO2540" s="500"/>
      <c r="AP2540" s="500"/>
    </row>
    <row r="2541" spans="1:42" ht="16.5" customHeight="1">
      <c r="A2541" s="439"/>
      <c r="B2541" s="439"/>
      <c r="C2541" s="439"/>
      <c r="D2541" s="439"/>
      <c r="E2541" s="439"/>
      <c r="F2541" s="439"/>
      <c r="Z2541" s="500"/>
      <c r="AA2541" s="500"/>
      <c r="AB2541" s="500"/>
      <c r="AC2541" s="500"/>
      <c r="AD2541" s="500"/>
      <c r="AE2541" s="500"/>
      <c r="AF2541" s="500"/>
      <c r="AG2541" s="500"/>
      <c r="AH2541" s="500"/>
      <c r="AI2541" s="500"/>
      <c r="AJ2541" s="500"/>
      <c r="AK2541" s="500"/>
      <c r="AL2541" s="500"/>
      <c r="AM2541" s="500"/>
      <c r="AN2541" s="500"/>
      <c r="AO2541" s="500"/>
      <c r="AP2541" s="500"/>
    </row>
    <row r="2542" spans="1:42" ht="16.5" customHeight="1">
      <c r="A2542" s="439"/>
      <c r="B2542" s="439"/>
      <c r="C2542" s="439"/>
      <c r="D2542" s="439"/>
      <c r="E2542" s="439"/>
      <c r="F2542" s="439"/>
      <c r="Z2542" s="500"/>
      <c r="AA2542" s="500"/>
      <c r="AB2542" s="500"/>
      <c r="AC2542" s="500"/>
      <c r="AD2542" s="500"/>
      <c r="AE2542" s="500"/>
      <c r="AF2542" s="500"/>
      <c r="AG2542" s="500"/>
      <c r="AH2542" s="500"/>
      <c r="AI2542" s="500"/>
      <c r="AJ2542" s="500"/>
      <c r="AK2542" s="500"/>
      <c r="AL2542" s="500"/>
      <c r="AM2542" s="500"/>
      <c r="AN2542" s="500"/>
      <c r="AO2542" s="500"/>
      <c r="AP2542" s="500"/>
    </row>
    <row r="2543" spans="1:42" ht="16.5" customHeight="1">
      <c r="A2543" s="439"/>
      <c r="B2543" s="439"/>
      <c r="C2543" s="439"/>
      <c r="D2543" s="439"/>
      <c r="E2543" s="439"/>
      <c r="F2543" s="439"/>
      <c r="Z2543" s="500"/>
      <c r="AA2543" s="500"/>
      <c r="AB2543" s="500"/>
      <c r="AC2543" s="500"/>
      <c r="AD2543" s="500"/>
      <c r="AE2543" s="500"/>
      <c r="AF2543" s="500"/>
      <c r="AG2543" s="500"/>
      <c r="AH2543" s="500"/>
      <c r="AI2543" s="500"/>
      <c r="AJ2543" s="500"/>
      <c r="AK2543" s="500"/>
      <c r="AL2543" s="500"/>
      <c r="AM2543" s="500"/>
      <c r="AN2543" s="500"/>
      <c r="AO2543" s="500"/>
      <c r="AP2543" s="500"/>
    </row>
    <row r="2544" spans="1:42" ht="16.5" customHeight="1">
      <c r="A2544" s="439"/>
      <c r="B2544" s="439"/>
      <c r="C2544" s="439"/>
      <c r="D2544" s="439"/>
      <c r="E2544" s="439"/>
      <c r="F2544" s="439"/>
      <c r="Z2544" s="500"/>
      <c r="AA2544" s="500"/>
      <c r="AB2544" s="500"/>
      <c r="AC2544" s="500"/>
      <c r="AD2544" s="500"/>
      <c r="AE2544" s="500"/>
      <c r="AF2544" s="500"/>
      <c r="AG2544" s="500"/>
      <c r="AH2544" s="500"/>
      <c r="AI2544" s="500"/>
      <c r="AJ2544" s="500"/>
      <c r="AK2544" s="500"/>
      <c r="AL2544" s="500"/>
      <c r="AM2544" s="500"/>
      <c r="AN2544" s="500"/>
      <c r="AO2544" s="500"/>
      <c r="AP2544" s="500"/>
    </row>
    <row r="2545" spans="1:42" ht="16.5" customHeight="1">
      <c r="A2545" s="439"/>
      <c r="B2545" s="439"/>
      <c r="C2545" s="439"/>
      <c r="D2545" s="439"/>
      <c r="E2545" s="439"/>
      <c r="F2545" s="439"/>
      <c r="Z2545" s="500"/>
      <c r="AA2545" s="500"/>
      <c r="AB2545" s="500"/>
      <c r="AC2545" s="500"/>
      <c r="AD2545" s="500"/>
      <c r="AE2545" s="500"/>
      <c r="AF2545" s="500"/>
      <c r="AG2545" s="500"/>
      <c r="AH2545" s="500"/>
      <c r="AI2545" s="500"/>
      <c r="AJ2545" s="500"/>
      <c r="AK2545" s="500"/>
      <c r="AL2545" s="500"/>
      <c r="AM2545" s="500"/>
      <c r="AN2545" s="500"/>
      <c r="AO2545" s="500"/>
      <c r="AP2545" s="500"/>
    </row>
    <row r="2546" spans="1:42" ht="16.5" customHeight="1">
      <c r="A2546" s="439"/>
      <c r="B2546" s="439"/>
      <c r="C2546" s="439"/>
      <c r="D2546" s="439"/>
      <c r="E2546" s="439"/>
      <c r="F2546" s="439"/>
      <c r="Z2546" s="500"/>
      <c r="AA2546" s="500"/>
      <c r="AB2546" s="500"/>
      <c r="AC2546" s="500"/>
      <c r="AD2546" s="500"/>
      <c r="AE2546" s="500"/>
      <c r="AF2546" s="500"/>
      <c r="AG2546" s="500"/>
      <c r="AH2546" s="500"/>
      <c r="AI2546" s="500"/>
      <c r="AJ2546" s="500"/>
      <c r="AK2546" s="500"/>
      <c r="AL2546" s="500"/>
      <c r="AM2546" s="500"/>
      <c r="AN2546" s="500"/>
      <c r="AO2546" s="500"/>
      <c r="AP2546" s="500"/>
    </row>
    <row r="2547" spans="1:42" ht="16.5" customHeight="1">
      <c r="A2547" s="439"/>
      <c r="B2547" s="439"/>
      <c r="C2547" s="439"/>
      <c r="D2547" s="439"/>
      <c r="E2547" s="439"/>
      <c r="F2547" s="439"/>
      <c r="Z2547" s="500"/>
      <c r="AA2547" s="500"/>
      <c r="AB2547" s="500"/>
      <c r="AC2547" s="500"/>
      <c r="AD2547" s="500"/>
      <c r="AE2547" s="500"/>
      <c r="AF2547" s="500"/>
      <c r="AG2547" s="500"/>
      <c r="AH2547" s="500"/>
      <c r="AI2547" s="500"/>
      <c r="AJ2547" s="500"/>
      <c r="AK2547" s="500"/>
      <c r="AL2547" s="500"/>
      <c r="AM2547" s="500"/>
      <c r="AN2547" s="500"/>
      <c r="AO2547" s="500"/>
      <c r="AP2547" s="500"/>
    </row>
    <row r="2548" spans="1:42" ht="16.5" customHeight="1">
      <c r="A2548" s="439"/>
      <c r="B2548" s="439"/>
      <c r="C2548" s="439"/>
      <c r="D2548" s="439"/>
      <c r="E2548" s="439"/>
      <c r="F2548" s="439"/>
      <c r="Z2548" s="500"/>
      <c r="AA2548" s="500"/>
      <c r="AB2548" s="500"/>
      <c r="AC2548" s="500"/>
      <c r="AD2548" s="500"/>
      <c r="AE2548" s="500"/>
      <c r="AF2548" s="500"/>
      <c r="AG2548" s="500"/>
      <c r="AH2548" s="500"/>
      <c r="AI2548" s="500"/>
      <c r="AJ2548" s="500"/>
      <c r="AK2548" s="500"/>
      <c r="AL2548" s="500"/>
      <c r="AM2548" s="500"/>
      <c r="AN2548" s="500"/>
      <c r="AO2548" s="500"/>
      <c r="AP2548" s="500"/>
    </row>
    <row r="2549" spans="1:42" ht="16.5" customHeight="1">
      <c r="A2549" s="439"/>
      <c r="B2549" s="439"/>
      <c r="C2549" s="439"/>
      <c r="D2549" s="439"/>
      <c r="E2549" s="439"/>
      <c r="F2549" s="439"/>
      <c r="Z2549" s="500"/>
      <c r="AA2549" s="500"/>
      <c r="AB2549" s="500"/>
      <c r="AC2549" s="500"/>
      <c r="AD2549" s="500"/>
      <c r="AE2549" s="500"/>
      <c r="AF2549" s="500"/>
      <c r="AG2549" s="500"/>
      <c r="AH2549" s="500"/>
      <c r="AI2549" s="500"/>
      <c r="AJ2549" s="500"/>
      <c r="AK2549" s="500"/>
      <c r="AL2549" s="500"/>
      <c r="AM2549" s="500"/>
      <c r="AN2549" s="500"/>
      <c r="AO2549" s="500"/>
      <c r="AP2549" s="500"/>
    </row>
    <row r="2550" spans="1:42" ht="16.5" customHeight="1">
      <c r="A2550" s="439"/>
      <c r="B2550" s="439"/>
      <c r="C2550" s="439"/>
      <c r="D2550" s="439"/>
      <c r="E2550" s="439"/>
      <c r="F2550" s="439"/>
      <c r="Z2550" s="500"/>
      <c r="AA2550" s="500"/>
      <c r="AB2550" s="500"/>
      <c r="AC2550" s="500"/>
      <c r="AD2550" s="500"/>
      <c r="AE2550" s="500"/>
      <c r="AF2550" s="500"/>
      <c r="AG2550" s="500"/>
      <c r="AH2550" s="500"/>
      <c r="AI2550" s="500"/>
      <c r="AJ2550" s="500"/>
      <c r="AK2550" s="500"/>
      <c r="AL2550" s="500"/>
      <c r="AM2550" s="500"/>
      <c r="AN2550" s="500"/>
      <c r="AO2550" s="500"/>
      <c r="AP2550" s="500"/>
    </row>
    <row r="2551" spans="1:42" ht="16.5" customHeight="1">
      <c r="A2551" s="439"/>
      <c r="B2551" s="439"/>
      <c r="C2551" s="439"/>
      <c r="D2551" s="439"/>
      <c r="E2551" s="439"/>
      <c r="F2551" s="439"/>
      <c r="Z2551" s="500"/>
      <c r="AA2551" s="500"/>
      <c r="AB2551" s="500"/>
      <c r="AC2551" s="500"/>
      <c r="AD2551" s="500"/>
      <c r="AE2551" s="500"/>
      <c r="AF2551" s="500"/>
      <c r="AG2551" s="500"/>
      <c r="AH2551" s="500"/>
      <c r="AI2551" s="500"/>
      <c r="AJ2551" s="500"/>
      <c r="AK2551" s="500"/>
      <c r="AL2551" s="500"/>
      <c r="AM2551" s="500"/>
      <c r="AN2551" s="500"/>
      <c r="AO2551" s="500"/>
      <c r="AP2551" s="500"/>
    </row>
    <row r="2552" spans="1:42" ht="16.5" customHeight="1">
      <c r="A2552" s="439"/>
      <c r="B2552" s="439"/>
      <c r="C2552" s="439"/>
      <c r="D2552" s="439"/>
      <c r="E2552" s="439"/>
      <c r="F2552" s="439"/>
      <c r="Z2552" s="500"/>
      <c r="AA2552" s="500"/>
      <c r="AB2552" s="500"/>
      <c r="AC2552" s="500"/>
      <c r="AD2552" s="500"/>
      <c r="AE2552" s="500"/>
      <c r="AF2552" s="500"/>
      <c r="AG2552" s="500"/>
      <c r="AH2552" s="500"/>
      <c r="AI2552" s="500"/>
      <c r="AJ2552" s="500"/>
      <c r="AK2552" s="500"/>
      <c r="AL2552" s="500"/>
      <c r="AM2552" s="500"/>
      <c r="AN2552" s="500"/>
      <c r="AO2552" s="500"/>
      <c r="AP2552" s="500"/>
    </row>
    <row r="2553" spans="1:42" ht="16.5" customHeight="1">
      <c r="A2553" s="497"/>
      <c r="B2553" s="497"/>
      <c r="C2553" s="497"/>
      <c r="D2553" s="497"/>
      <c r="E2553" s="497"/>
      <c r="F2553" s="497"/>
      <c r="Z2553" s="500"/>
      <c r="AA2553" s="500"/>
      <c r="AB2553" s="500"/>
      <c r="AC2553" s="500"/>
      <c r="AD2553" s="500"/>
      <c r="AE2553" s="500"/>
      <c r="AF2553" s="500"/>
      <c r="AG2553" s="500"/>
      <c r="AH2553" s="500"/>
      <c r="AI2553" s="500"/>
      <c r="AJ2553" s="500"/>
      <c r="AK2553" s="500"/>
      <c r="AL2553" s="500"/>
      <c r="AM2553" s="500"/>
      <c r="AN2553" s="500"/>
      <c r="AO2553" s="500"/>
      <c r="AP2553" s="500"/>
    </row>
    <row r="2554" spans="1:42" ht="16.5" customHeight="1">
      <c r="A2554" s="616" t="s">
        <v>3487</v>
      </c>
      <c r="B2554" s="605"/>
      <c r="C2554" s="446">
        <f>E2554+D2554+F2554</f>
        <v>135479</v>
      </c>
      <c r="D2554" s="453">
        <f>ROUNDDOWN(SUMIF(N2507:N2540,M2554,D2507:D2540),0)</f>
        <v>107079</v>
      </c>
      <c r="E2554" s="454">
        <f>ROUNDDOWN(SUMIF(N2507:N2540,M2554,E2507:E2540),0)</f>
        <v>28400</v>
      </c>
      <c r="F2554" s="446">
        <f>ROUNDDOWN(SUMIF(N2507:N2540,M2554,F2507:F2540),0)</f>
        <v>0</v>
      </c>
      <c r="M2554" s="501" t="s">
        <v>2354</v>
      </c>
      <c r="Z2554" s="500"/>
      <c r="AA2554" s="500"/>
      <c r="AB2554" s="500"/>
      <c r="AC2554" s="500"/>
      <c r="AD2554" s="500"/>
      <c r="AE2554" s="500"/>
      <c r="AF2554" s="500"/>
      <c r="AG2554" s="500"/>
      <c r="AH2554" s="500"/>
      <c r="AI2554" s="500"/>
      <c r="AJ2554" s="500"/>
      <c r="AK2554" s="500"/>
      <c r="AL2554" s="500"/>
      <c r="AM2554" s="500"/>
      <c r="AN2554" s="500"/>
      <c r="AO2554" s="500"/>
      <c r="AP2554" s="500"/>
    </row>
    <row r="2555" spans="1:42" ht="16.5" customHeight="1">
      <c r="A2555" s="502" t="s">
        <v>3350</v>
      </c>
      <c r="B2555" s="503" t="s">
        <v>5314</v>
      </c>
      <c r="C2555" s="615">
        <f>C2604</f>
        <v>61556</v>
      </c>
      <c r="D2555" s="615">
        <f>D2604</f>
        <v>49256</v>
      </c>
      <c r="E2555" s="615">
        <f>E2604</f>
        <v>12300</v>
      </c>
      <c r="F2555" s="615">
        <f>F2604</f>
        <v>0</v>
      </c>
      <c r="G2555" s="486" t="str">
        <f>HYPERLINK("#G"&amp;ROW(G2593),"_x0005_`BDCOD|D01346_x0007_`POSS|"&amp;ROW(G2557)&amp;"_x0007_`POSE|"&amp;ROW(G2593)&amp;"_x0007_`")</f>
        <v>_x0005_`BDCOD|D01346_x0007_`POSS|2557_x0007_`POSE|2593_x0007_`</v>
      </c>
      <c r="Z2555" s="500"/>
      <c r="AA2555" s="500"/>
      <c r="AB2555" s="500"/>
      <c r="AC2555" s="500"/>
      <c r="AD2555" s="500"/>
      <c r="AE2555" s="500"/>
      <c r="AF2555" s="500"/>
      <c r="AG2555" s="500"/>
      <c r="AH2555" s="500"/>
      <c r="AI2555" s="500"/>
      <c r="AJ2555" s="500"/>
      <c r="AK2555" s="500"/>
      <c r="AL2555" s="500"/>
      <c r="AM2555" s="500"/>
      <c r="AN2555" s="500"/>
      <c r="AO2555" s="500"/>
      <c r="AP2555" s="500"/>
    </row>
    <row r="2556" spans="1:42" ht="16.5" customHeight="1">
      <c r="A2556" s="485"/>
      <c r="B2556" s="503" t="s">
        <v>5604</v>
      </c>
      <c r="C2556" s="593"/>
      <c r="D2556" s="593"/>
      <c r="E2556" s="593"/>
      <c r="F2556" s="593"/>
      <c r="M2556" s="501" t="s">
        <v>5314</v>
      </c>
      <c r="Z2556" s="500"/>
      <c r="AA2556" s="500"/>
      <c r="AB2556" s="500"/>
      <c r="AC2556" s="500"/>
      <c r="AD2556" s="500"/>
      <c r="AE2556" s="500"/>
      <c r="AF2556" s="500"/>
      <c r="AG2556" s="500"/>
      <c r="AH2556" s="500"/>
      <c r="AI2556" s="500"/>
      <c r="AJ2556" s="500"/>
      <c r="AK2556" s="500"/>
      <c r="AL2556" s="500"/>
      <c r="AM2556" s="500"/>
      <c r="AN2556" s="500"/>
      <c r="AO2556" s="500"/>
      <c r="AP2556" s="500"/>
    </row>
    <row r="2557" spans="1:42" ht="16.5" customHeight="1">
      <c r="A2557" s="439"/>
      <c r="B2557" s="439"/>
      <c r="C2557" s="504"/>
      <c r="D2557" s="504"/>
      <c r="E2557" s="504"/>
      <c r="F2557" s="504"/>
      <c r="G2557" s="451" t="s">
        <v>3406</v>
      </c>
      <c r="Z2557" s="500"/>
      <c r="AA2557" s="500"/>
      <c r="AB2557" s="500"/>
      <c r="AC2557" s="500"/>
      <c r="AD2557" s="500"/>
      <c r="AE2557" s="500"/>
      <c r="AF2557" s="500"/>
      <c r="AG2557" s="500"/>
      <c r="AH2557" s="500"/>
      <c r="AI2557" s="500"/>
      <c r="AJ2557" s="500"/>
      <c r="AK2557" s="500"/>
      <c r="AL2557" s="500"/>
      <c r="AM2557" s="500"/>
      <c r="AN2557" s="500"/>
      <c r="AO2557" s="500"/>
      <c r="AP2557" s="500"/>
    </row>
    <row r="2558" spans="1:42" ht="16.5" customHeight="1">
      <c r="A2558" s="434"/>
      <c r="B2558" s="437" t="s">
        <v>3542</v>
      </c>
      <c r="C2558" s="439"/>
      <c r="D2558" s="439"/>
      <c r="E2558" s="439"/>
      <c r="F2558" s="439"/>
      <c r="G2558" s="451" t="s">
        <v>3543</v>
      </c>
      <c r="Z2558" s="500"/>
      <c r="AA2558" s="500"/>
      <c r="AB2558" s="500"/>
      <c r="AC2558" s="500"/>
      <c r="AD2558" s="500"/>
      <c r="AE2558" s="500"/>
      <c r="AF2558" s="500"/>
      <c r="AG2558" s="500"/>
      <c r="AH2558" s="500"/>
      <c r="AI2558" s="500"/>
      <c r="AJ2558" s="500"/>
      <c r="AK2558" s="500"/>
      <c r="AL2558" s="500"/>
      <c r="AM2558" s="500"/>
      <c r="AN2558" s="500"/>
      <c r="AO2558" s="500"/>
      <c r="AP2558" s="500"/>
    </row>
    <row r="2559" spans="1:42" ht="16.5" customHeight="1">
      <c r="A2559" s="439"/>
      <c r="B2559" s="439"/>
      <c r="C2559" s="439"/>
      <c r="D2559" s="439"/>
      <c r="E2559" s="439"/>
      <c r="F2559" s="439"/>
      <c r="G2559" s="451" t="s">
        <v>3406</v>
      </c>
      <c r="Z2559" s="500"/>
      <c r="AA2559" s="500"/>
      <c r="AB2559" s="500"/>
      <c r="AC2559" s="500"/>
      <c r="AD2559" s="500"/>
      <c r="AE2559" s="500"/>
      <c r="AF2559" s="500"/>
      <c r="AG2559" s="500"/>
      <c r="AH2559" s="500"/>
      <c r="AI2559" s="500"/>
      <c r="AJ2559" s="500"/>
      <c r="AK2559" s="500"/>
      <c r="AL2559" s="500"/>
      <c r="AM2559" s="500"/>
      <c r="AN2559" s="500"/>
      <c r="AO2559" s="500"/>
      <c r="AP2559" s="500"/>
    </row>
    <row r="2560" spans="1:42" ht="16.5" customHeight="1">
      <c r="A2560" s="434"/>
      <c r="B2560" s="437" t="s">
        <v>3544</v>
      </c>
      <c r="C2560" s="439"/>
      <c r="D2560" s="439"/>
      <c r="E2560" s="439"/>
      <c r="F2560" s="439"/>
      <c r="G2560" s="451" t="s">
        <v>3545</v>
      </c>
      <c r="Z2560" s="500"/>
      <c r="AA2560" s="500"/>
      <c r="AB2560" s="500"/>
      <c r="AC2560" s="500"/>
      <c r="AD2560" s="500"/>
      <c r="AE2560" s="500"/>
      <c r="AF2560" s="500"/>
      <c r="AG2560" s="500"/>
      <c r="AH2560" s="500"/>
      <c r="AI2560" s="500"/>
      <c r="AJ2560" s="500"/>
      <c r="AK2560" s="500"/>
      <c r="AL2560" s="500"/>
      <c r="AM2560" s="500"/>
      <c r="AN2560" s="500"/>
      <c r="AO2560" s="500"/>
      <c r="AP2560" s="500"/>
    </row>
    <row r="2561" spans="1:42" ht="16.5" customHeight="1">
      <c r="A2561" s="439"/>
      <c r="B2561" s="439"/>
      <c r="C2561" s="439"/>
      <c r="D2561" s="439"/>
      <c r="E2561" s="439"/>
      <c r="F2561" s="439"/>
      <c r="G2561" s="451" t="s">
        <v>3406</v>
      </c>
      <c r="Z2561" s="500"/>
      <c r="AA2561" s="500"/>
      <c r="AB2561" s="500"/>
      <c r="AC2561" s="500"/>
      <c r="AD2561" s="500"/>
      <c r="AE2561" s="500"/>
      <c r="AF2561" s="500"/>
      <c r="AG2561" s="500"/>
      <c r="AH2561" s="500"/>
      <c r="AI2561" s="500"/>
      <c r="AJ2561" s="500"/>
      <c r="AK2561" s="500"/>
      <c r="AL2561" s="500"/>
      <c r="AM2561" s="500"/>
      <c r="AN2561" s="500"/>
      <c r="AO2561" s="500"/>
      <c r="AP2561" s="500"/>
    </row>
    <row r="2562" spans="1:42" ht="16.5" customHeight="1">
      <c r="A2562" s="434"/>
      <c r="B2562" s="437" t="str">
        <f>" 일당 작업량 :   Q = "&amp;Z2562&amp;"  주 "</f>
        <v xml:space="preserve"> 일당 작업량 :   Q = 30  주 </v>
      </c>
      <c r="C2562" s="439"/>
      <c r="D2562" s="439"/>
      <c r="E2562" s="439"/>
      <c r="F2562" s="439"/>
      <c r="G2562" s="451" t="s">
        <v>3646</v>
      </c>
      <c r="Z2562" s="515">
        <v>30</v>
      </c>
      <c r="AA2562" s="501" t="s">
        <v>3418</v>
      </c>
      <c r="AB2562" s="512">
        <f>Z2562</f>
        <v>30</v>
      </c>
      <c r="AC2562" s="500"/>
      <c r="AD2562" s="500"/>
      <c r="AE2562" s="500"/>
      <c r="AF2562" s="500"/>
      <c r="AG2562" s="500"/>
      <c r="AH2562" s="500"/>
      <c r="AI2562" s="500"/>
      <c r="AJ2562" s="500"/>
      <c r="AK2562" s="500"/>
      <c r="AL2562" s="500"/>
      <c r="AM2562" s="500"/>
      <c r="AN2562" s="500"/>
      <c r="AO2562" s="500"/>
      <c r="AP2562" s="500"/>
    </row>
    <row r="2563" spans="1:42" ht="16.5" customHeight="1">
      <c r="A2563" s="439"/>
      <c r="B2563" s="439"/>
      <c r="C2563" s="439"/>
      <c r="D2563" s="439"/>
      <c r="E2563" s="439"/>
      <c r="F2563" s="439"/>
      <c r="G2563" s="451" t="s">
        <v>3406</v>
      </c>
      <c r="Z2563" s="500"/>
      <c r="AA2563" s="500"/>
      <c r="AB2563" s="500"/>
      <c r="AC2563" s="500"/>
      <c r="AD2563" s="500"/>
      <c r="AE2563" s="500"/>
      <c r="AF2563" s="500"/>
      <c r="AG2563" s="500"/>
      <c r="AH2563" s="500"/>
      <c r="AI2563" s="500"/>
      <c r="AJ2563" s="500"/>
      <c r="AK2563" s="500"/>
      <c r="AL2563" s="500"/>
      <c r="AM2563" s="500"/>
      <c r="AN2563" s="500"/>
      <c r="AO2563" s="500"/>
      <c r="AP2563" s="500"/>
    </row>
    <row r="2564" spans="1:42" ht="16.5" customHeight="1">
      <c r="A2564" s="434"/>
      <c r="B2564" s="437" t="s">
        <v>3651</v>
      </c>
      <c r="C2564" s="439"/>
      <c r="D2564" s="439"/>
      <c r="E2564" s="439"/>
      <c r="F2564" s="439"/>
      <c r="G2564" s="451" t="s">
        <v>3652</v>
      </c>
      <c r="Z2564" s="500"/>
      <c r="AA2564" s="500"/>
      <c r="AB2564" s="500"/>
      <c r="AC2564" s="500"/>
      <c r="AD2564" s="500"/>
      <c r="AE2564" s="500"/>
      <c r="AF2564" s="500"/>
      <c r="AG2564" s="500"/>
      <c r="AH2564" s="500"/>
      <c r="AI2564" s="500"/>
      <c r="AJ2564" s="500"/>
      <c r="AK2564" s="500"/>
      <c r="AL2564" s="500"/>
      <c r="AM2564" s="500"/>
      <c r="AN2564" s="500"/>
      <c r="AO2564" s="500"/>
      <c r="AP2564" s="500"/>
    </row>
    <row r="2565" spans="1:42" ht="16.5" customHeight="1">
      <c r="A2565" s="439"/>
      <c r="B2565" s="439"/>
      <c r="C2565" s="439"/>
      <c r="D2565" s="439"/>
      <c r="E2565" s="439"/>
      <c r="F2565" s="439"/>
      <c r="G2565" s="451" t="s">
        <v>3406</v>
      </c>
      <c r="Z2565" s="500"/>
      <c r="AA2565" s="500"/>
      <c r="AB2565" s="500"/>
      <c r="AC2565" s="500"/>
      <c r="AD2565" s="500"/>
      <c r="AE2565" s="500"/>
      <c r="AF2565" s="500"/>
      <c r="AG2565" s="500"/>
      <c r="AH2565" s="500"/>
      <c r="AI2565" s="500"/>
      <c r="AJ2565" s="500"/>
      <c r="AK2565" s="500"/>
      <c r="AL2565" s="500"/>
      <c r="AM2565" s="500"/>
      <c r="AN2565" s="500"/>
      <c r="AO2565" s="500"/>
      <c r="AP2565" s="500"/>
    </row>
    <row r="2566" spans="1:42" ht="16.5" customHeight="1">
      <c r="A2566" s="439"/>
      <c r="B2566" s="439"/>
      <c r="C2566" s="439"/>
      <c r="D2566" s="439"/>
      <c r="E2566" s="439"/>
      <c r="F2566" s="439"/>
      <c r="G2566" s="451" t="s">
        <v>3406</v>
      </c>
      <c r="Z2566" s="500"/>
      <c r="AA2566" s="500"/>
      <c r="AB2566" s="500"/>
      <c r="AC2566" s="500"/>
      <c r="AD2566" s="500"/>
      <c r="AE2566" s="500"/>
      <c r="AF2566" s="500"/>
      <c r="AG2566" s="500"/>
      <c r="AH2566" s="500"/>
      <c r="AI2566" s="500"/>
      <c r="AJ2566" s="500"/>
      <c r="AK2566" s="500"/>
      <c r="AL2566" s="500"/>
      <c r="AM2566" s="500"/>
      <c r="AN2566" s="500"/>
      <c r="AO2566" s="500"/>
      <c r="AP2566" s="500"/>
    </row>
    <row r="2567" spans="1:42" ht="16.5" customHeight="1">
      <c r="A2567" s="439"/>
      <c r="B2567" s="439"/>
      <c r="C2567" s="439"/>
      <c r="D2567" s="439"/>
      <c r="E2567" s="439"/>
      <c r="F2567" s="439"/>
      <c r="G2567" s="451" t="s">
        <v>3406</v>
      </c>
      <c r="Z2567" s="500"/>
      <c r="AA2567" s="500"/>
      <c r="AB2567" s="500"/>
      <c r="AC2567" s="500"/>
      <c r="AD2567" s="500"/>
      <c r="AE2567" s="500"/>
      <c r="AF2567" s="500"/>
      <c r="AG2567" s="500"/>
      <c r="AH2567" s="500"/>
      <c r="AI2567" s="500"/>
      <c r="AJ2567" s="500"/>
      <c r="AK2567" s="500"/>
      <c r="AL2567" s="500"/>
      <c r="AM2567" s="500"/>
      <c r="AN2567" s="500"/>
      <c r="AO2567" s="500"/>
      <c r="AP2567" s="500"/>
    </row>
    <row r="2568" spans="1:42" ht="16.5" customHeight="1">
      <c r="A2568" s="439"/>
      <c r="B2568" s="439"/>
      <c r="C2568" s="439"/>
      <c r="D2568" s="439"/>
      <c r="E2568" s="439"/>
      <c r="F2568" s="439"/>
      <c r="G2568" s="451" t="s">
        <v>3406</v>
      </c>
      <c r="Z2568" s="500"/>
      <c r="AA2568" s="500"/>
      <c r="AB2568" s="500"/>
      <c r="AC2568" s="500"/>
      <c r="AD2568" s="500"/>
      <c r="AE2568" s="500"/>
      <c r="AF2568" s="500"/>
      <c r="AG2568" s="500"/>
      <c r="AH2568" s="500"/>
      <c r="AI2568" s="500"/>
      <c r="AJ2568" s="500"/>
      <c r="AK2568" s="500"/>
      <c r="AL2568" s="500"/>
      <c r="AM2568" s="500"/>
      <c r="AN2568" s="500"/>
      <c r="AO2568" s="500"/>
      <c r="AP2568" s="500"/>
    </row>
    <row r="2569" spans="1:42" ht="16.5" customHeight="1">
      <c r="A2569" s="434"/>
      <c r="B2569" s="437" t="s">
        <v>3496</v>
      </c>
      <c r="C2569" s="439"/>
      <c r="D2569" s="439"/>
      <c r="E2569" s="439"/>
      <c r="F2569" s="439"/>
      <c r="G2569" s="451" t="s">
        <v>3497</v>
      </c>
      <c r="Z2569" s="500"/>
      <c r="AA2569" s="500"/>
      <c r="AB2569" s="500"/>
      <c r="AC2569" s="500"/>
      <c r="AD2569" s="500"/>
      <c r="AE2569" s="500"/>
      <c r="AF2569" s="500"/>
      <c r="AG2569" s="500"/>
      <c r="AH2569" s="500"/>
      <c r="AI2569" s="500"/>
      <c r="AJ2569" s="500"/>
      <c r="AK2569" s="500"/>
      <c r="AL2569" s="500"/>
      <c r="AM2569" s="500"/>
      <c r="AN2569" s="500"/>
      <c r="AO2569" s="500"/>
      <c r="AP2569" s="500"/>
    </row>
    <row r="2570" spans="1:42" ht="16.5" customHeight="1">
      <c r="A2570" s="439"/>
      <c r="B2570" s="439"/>
      <c r="C2570" s="439"/>
      <c r="D2570" s="439"/>
      <c r="E2570" s="439"/>
      <c r="F2570" s="439"/>
      <c r="G2570" s="451" t="s">
        <v>3406</v>
      </c>
      <c r="Z2570" s="500"/>
      <c r="AA2570" s="500"/>
      <c r="AB2570" s="500"/>
      <c r="AC2570" s="500"/>
      <c r="AD2570" s="500"/>
      <c r="AE2570" s="500"/>
      <c r="AF2570" s="500"/>
      <c r="AG2570" s="500"/>
      <c r="AH2570" s="500"/>
      <c r="AI2570" s="500"/>
      <c r="AJ2570" s="500"/>
      <c r="AK2570" s="500"/>
      <c r="AL2570" s="500"/>
      <c r="AM2570" s="500"/>
      <c r="AN2570" s="500"/>
      <c r="AO2570" s="500"/>
      <c r="AP2570" s="500"/>
    </row>
    <row r="2571" spans="1:42" ht="16.5" customHeight="1">
      <c r="A2571" s="434" t="s">
        <v>3498</v>
      </c>
      <c r="B2571" s="505" t="str">
        <f>" 조경공 :  "&amp;TEXT(I2571,"#,##0"&amp;IF(I2571&lt;&gt;INT(I2571),".###",""))&amp;" * "&amp;AA2571&amp;" 인  / Q = "&amp;TEXT(C2571,"#,##0.0")&amp;""</f>
        <v xml:space="preserve"> 조경공 :  235,204 * 4 인  / Q = 31,360.5</v>
      </c>
      <c r="C2571" s="506">
        <f>E2571+D2571+F2571</f>
        <v>31360.5</v>
      </c>
      <c r="D2571" s="506">
        <f>IF(H2571=0,0,ROUNDDOWN(J2571*H2571,1))</f>
        <v>31360.5</v>
      </c>
      <c r="E2571" s="506">
        <f>IF(H2571=0,0,ROUNDDOWN(K2571*H2571,1))</f>
        <v>0</v>
      </c>
      <c r="F2571" s="506">
        <f>IF(H2571=0,0,ROUNDDOWN(L2571*H2571,1))</f>
        <v>0</v>
      </c>
      <c r="G2571" s="451" t="s">
        <v>3653</v>
      </c>
      <c r="H2571" s="507">
        <f>ROUNDUP(AE2571,14-LEN(ABS(INT(AE2571))))</f>
        <v>0.1333333333334</v>
      </c>
      <c r="I2571" s="508">
        <f>K2571+J2571+L2571</f>
        <v>235204</v>
      </c>
      <c r="J2571" s="509">
        <f>노무비목록표!E15</f>
        <v>235204</v>
      </c>
      <c r="M2571" s="501" t="s">
        <v>2359</v>
      </c>
      <c r="N2571" s="501" t="s">
        <v>3416</v>
      </c>
      <c r="X2571" s="510" t="str">
        <f>노무비목록표!B15&amp;" / "&amp;노무비목록표!C15</f>
        <v xml:space="preserve">조경공 / </v>
      </c>
      <c r="Y2571" s="433" t="str">
        <f ca="1">HYPERLINK("#"&amp;노무비목록표!G2&amp;"!A"&amp;ROW(노무비목록표!A15),"L00184 →")</f>
        <v>L00184 →</v>
      </c>
      <c r="Z2571" s="501" t="s">
        <v>3500</v>
      </c>
      <c r="AA2571" s="515">
        <v>4</v>
      </c>
      <c r="AB2571" s="501" t="s">
        <v>3428</v>
      </c>
      <c r="AC2571" s="512">
        <f>AB2562</f>
        <v>30</v>
      </c>
      <c r="AD2571" s="501" t="s">
        <v>3418</v>
      </c>
      <c r="AE2571" s="512">
        <f>1*AA2571/AB2562</f>
        <v>0.13333333333333333</v>
      </c>
      <c r="AF2571" s="500"/>
      <c r="AG2571" s="500"/>
      <c r="AH2571" s="500"/>
      <c r="AI2571" s="500"/>
      <c r="AJ2571" s="500"/>
      <c r="AK2571" s="500"/>
      <c r="AL2571" s="500"/>
      <c r="AM2571" s="500"/>
      <c r="AN2571" s="500"/>
      <c r="AO2571" s="500"/>
      <c r="AP2571" s="500"/>
    </row>
    <row r="2572" spans="1:42" ht="16.5" customHeight="1">
      <c r="A2572" s="439"/>
      <c r="B2572" s="439"/>
      <c r="C2572" s="439"/>
      <c r="D2572" s="439"/>
      <c r="E2572" s="439"/>
      <c r="F2572" s="439"/>
      <c r="G2572" s="451" t="s">
        <v>3406</v>
      </c>
      <c r="Z2572" s="500"/>
      <c r="AA2572" s="500"/>
      <c r="AB2572" s="500"/>
      <c r="AC2572" s="500"/>
      <c r="AD2572" s="500"/>
      <c r="AE2572" s="500"/>
      <c r="AF2572" s="500"/>
      <c r="AG2572" s="500"/>
      <c r="AH2572" s="500"/>
      <c r="AI2572" s="500"/>
      <c r="AJ2572" s="500"/>
      <c r="AK2572" s="500"/>
      <c r="AL2572" s="500"/>
      <c r="AM2572" s="500"/>
      <c r="AN2572" s="500"/>
      <c r="AO2572" s="500"/>
      <c r="AP2572" s="500"/>
    </row>
    <row r="2573" spans="1:42" ht="16.5" customHeight="1">
      <c r="A2573" s="439"/>
      <c r="B2573" s="439"/>
      <c r="C2573" s="439"/>
      <c r="D2573" s="439"/>
      <c r="E2573" s="439"/>
      <c r="F2573" s="439"/>
      <c r="G2573" s="451" t="s">
        <v>3406</v>
      </c>
      <c r="Z2573" s="500"/>
      <c r="AA2573" s="500"/>
      <c r="AB2573" s="500"/>
      <c r="AC2573" s="500"/>
      <c r="AD2573" s="500"/>
      <c r="AE2573" s="500"/>
      <c r="AF2573" s="500"/>
      <c r="AG2573" s="500"/>
      <c r="AH2573" s="500"/>
      <c r="AI2573" s="500"/>
      <c r="AJ2573" s="500"/>
      <c r="AK2573" s="500"/>
      <c r="AL2573" s="500"/>
      <c r="AM2573" s="500"/>
      <c r="AN2573" s="500"/>
      <c r="AO2573" s="500"/>
      <c r="AP2573" s="500"/>
    </row>
    <row r="2574" spans="1:42" ht="16.5" customHeight="1">
      <c r="A2574" s="434" t="s">
        <v>3414</v>
      </c>
      <c r="B2574" s="505" t="str">
        <f>" 보통인부 : "&amp;TEXT(I2574,"#,##0"&amp;IF(I2574&lt;&gt;INT(I2574),".###",""))&amp;" * "&amp;AA2574&amp;" 인  / Q = "&amp;TEXT(C2574,"#,##0.0")&amp;""</f>
        <v xml:space="preserve"> 보통인부 : 172,068 * 2 인  / Q = 11,471.2</v>
      </c>
      <c r="C2574" s="506">
        <f>E2574+D2574+F2574</f>
        <v>11471.2</v>
      </c>
      <c r="D2574" s="506">
        <f>IF(H2574=0,0,ROUNDDOWN(J2574*H2574,1))</f>
        <v>11471.2</v>
      </c>
      <c r="E2574" s="506">
        <f>IF(H2574=0,0,ROUNDDOWN(K2574*H2574,1))</f>
        <v>0</v>
      </c>
      <c r="F2574" s="506">
        <f>IF(H2574=0,0,ROUNDDOWN(L2574*H2574,1))</f>
        <v>0</v>
      </c>
      <c r="G2574" s="451" t="s">
        <v>3654</v>
      </c>
      <c r="H2574" s="507">
        <f>ROUNDUP(AE2574,14-LEN(ABS(INT(AE2574))))</f>
        <v>6.66666666667E-2</v>
      </c>
      <c r="I2574" s="508">
        <f>K2574+J2574+L2574</f>
        <v>172068</v>
      </c>
      <c r="J2574" s="509">
        <f>노무비목록표!E10</f>
        <v>172068</v>
      </c>
      <c r="M2574" s="501" t="s">
        <v>2363</v>
      </c>
      <c r="N2574" s="501" t="s">
        <v>3416</v>
      </c>
      <c r="X2574" s="510" t="str">
        <f>노무비목록표!B10&amp;" / "&amp;노무비목록표!C10</f>
        <v xml:space="preserve">보통인부 / </v>
      </c>
      <c r="Y2574" s="433" t="str">
        <f ca="1">HYPERLINK("#"&amp;노무비목록표!G2&amp;"!A"&amp;ROW(노무비목록표!A10),"L00017 →")</f>
        <v>L00017 →</v>
      </c>
      <c r="Z2574" s="501" t="s">
        <v>3500</v>
      </c>
      <c r="AA2574" s="515">
        <v>2</v>
      </c>
      <c r="AB2574" s="501" t="s">
        <v>3428</v>
      </c>
      <c r="AC2574" s="512">
        <f>AB2562</f>
        <v>30</v>
      </c>
      <c r="AD2574" s="501" t="s">
        <v>3418</v>
      </c>
      <c r="AE2574" s="512">
        <f>1*AA2574/AB2562</f>
        <v>6.6666666666666666E-2</v>
      </c>
      <c r="AF2574" s="500"/>
      <c r="AG2574" s="500"/>
      <c r="AH2574" s="500"/>
      <c r="AI2574" s="500"/>
      <c r="AJ2574" s="500"/>
      <c r="AK2574" s="500"/>
      <c r="AL2574" s="500"/>
      <c r="AM2574" s="500"/>
      <c r="AN2574" s="500"/>
      <c r="AO2574" s="500"/>
      <c r="AP2574" s="500"/>
    </row>
    <row r="2575" spans="1:42" ht="16.5" customHeight="1">
      <c r="A2575" s="439"/>
      <c r="B2575" s="439"/>
      <c r="C2575" s="439"/>
      <c r="D2575" s="439"/>
      <c r="E2575" s="439"/>
      <c r="F2575" s="439"/>
      <c r="G2575" s="451" t="s">
        <v>3406</v>
      </c>
      <c r="Z2575" s="500"/>
      <c r="AA2575" s="500"/>
      <c r="AB2575" s="500"/>
      <c r="AC2575" s="500"/>
      <c r="AD2575" s="500"/>
      <c r="AE2575" s="500"/>
      <c r="AF2575" s="500"/>
      <c r="AG2575" s="500"/>
      <c r="AH2575" s="500"/>
      <c r="AI2575" s="500"/>
      <c r="AJ2575" s="500"/>
      <c r="AK2575" s="500"/>
      <c r="AL2575" s="500"/>
      <c r="AM2575" s="500"/>
      <c r="AN2575" s="500"/>
      <c r="AO2575" s="500"/>
      <c r="AP2575" s="500"/>
    </row>
    <row r="2576" spans="1:42" ht="16.5" customHeight="1">
      <c r="A2576" s="434"/>
      <c r="B2576" s="437" t="s">
        <v>3419</v>
      </c>
      <c r="C2576" s="513">
        <f>E2576+D2576+F2576</f>
        <v>42831.7</v>
      </c>
      <c r="D2576" s="513">
        <f>SUMIF(N2557:N2575,M2576,D2557:D2575)</f>
        <v>42831.7</v>
      </c>
      <c r="E2576" s="513">
        <f>SUMIF(N2557:N2575,M2576,E2557:E2575)</f>
        <v>0</v>
      </c>
      <c r="F2576" s="513">
        <f>SUMIF(N2557:N2575,M2576,F2557:F2575)</f>
        <v>0</v>
      </c>
      <c r="G2576" s="451" t="s">
        <v>3439</v>
      </c>
      <c r="M2576" s="501" t="s">
        <v>3416</v>
      </c>
      <c r="N2576" s="501" t="s">
        <v>3421</v>
      </c>
      <c r="Z2576" s="500"/>
      <c r="AA2576" s="500"/>
      <c r="AB2576" s="500"/>
      <c r="AC2576" s="500"/>
      <c r="AD2576" s="500"/>
      <c r="AE2576" s="500"/>
      <c r="AF2576" s="500"/>
      <c r="AG2576" s="500"/>
      <c r="AH2576" s="500"/>
      <c r="AI2576" s="500"/>
      <c r="AJ2576" s="500"/>
      <c r="AK2576" s="500"/>
      <c r="AL2576" s="500"/>
      <c r="AM2576" s="500"/>
      <c r="AN2576" s="500"/>
      <c r="AO2576" s="500"/>
      <c r="AP2576" s="500"/>
    </row>
    <row r="2577" spans="1:42" ht="16.5" customHeight="1">
      <c r="A2577" s="439"/>
      <c r="B2577" s="439"/>
      <c r="C2577" s="504"/>
      <c r="D2577" s="504"/>
      <c r="E2577" s="504"/>
      <c r="F2577" s="504"/>
      <c r="G2577" s="451" t="s">
        <v>3406</v>
      </c>
      <c r="Z2577" s="500"/>
      <c r="AA2577" s="500"/>
      <c r="AB2577" s="500"/>
      <c r="AC2577" s="500"/>
      <c r="AD2577" s="500"/>
      <c r="AE2577" s="500"/>
      <c r="AF2577" s="500"/>
      <c r="AG2577" s="500"/>
      <c r="AH2577" s="500"/>
      <c r="AI2577" s="500"/>
      <c r="AJ2577" s="500"/>
      <c r="AK2577" s="500"/>
      <c r="AL2577" s="500"/>
      <c r="AM2577" s="500"/>
      <c r="AN2577" s="500"/>
      <c r="AO2577" s="500"/>
      <c r="AP2577" s="500"/>
    </row>
    <row r="2578" spans="1:42" ht="16.5" customHeight="1">
      <c r="A2578" s="439"/>
      <c r="B2578" s="439"/>
      <c r="C2578" s="439"/>
      <c r="D2578" s="439"/>
      <c r="E2578" s="439"/>
      <c r="F2578" s="439"/>
      <c r="G2578" s="451" t="s">
        <v>3406</v>
      </c>
      <c r="Z2578" s="500"/>
      <c r="AA2578" s="500"/>
      <c r="AB2578" s="500"/>
      <c r="AC2578" s="500"/>
      <c r="AD2578" s="500"/>
      <c r="AE2578" s="500"/>
      <c r="AF2578" s="500"/>
      <c r="AG2578" s="500"/>
      <c r="AH2578" s="500"/>
      <c r="AI2578" s="500"/>
      <c r="AJ2578" s="500"/>
      <c r="AK2578" s="500"/>
      <c r="AL2578" s="500"/>
      <c r="AM2578" s="500"/>
      <c r="AN2578" s="500"/>
      <c r="AO2578" s="500"/>
      <c r="AP2578" s="500"/>
    </row>
    <row r="2579" spans="1:42" ht="16.5" customHeight="1">
      <c r="A2579" s="434"/>
      <c r="B2579" s="437" t="s">
        <v>3502</v>
      </c>
      <c r="C2579" s="439"/>
      <c r="D2579" s="439"/>
      <c r="E2579" s="439"/>
      <c r="F2579" s="439"/>
      <c r="G2579" s="451" t="s">
        <v>3503</v>
      </c>
      <c r="Z2579" s="500"/>
      <c r="AA2579" s="500"/>
      <c r="AB2579" s="500"/>
      <c r="AC2579" s="500"/>
      <c r="AD2579" s="500"/>
      <c r="AE2579" s="500"/>
      <c r="AF2579" s="500"/>
      <c r="AG2579" s="500"/>
      <c r="AH2579" s="500"/>
      <c r="AI2579" s="500"/>
      <c r="AJ2579" s="500"/>
      <c r="AK2579" s="500"/>
      <c r="AL2579" s="500"/>
      <c r="AM2579" s="500"/>
      <c r="AN2579" s="500"/>
      <c r="AO2579" s="500"/>
      <c r="AP2579" s="500"/>
    </row>
    <row r="2580" spans="1:42" ht="16.5" customHeight="1">
      <c r="A2580" s="439"/>
      <c r="B2580" s="439"/>
      <c r="C2580" s="439"/>
      <c r="D2580" s="439"/>
      <c r="E2580" s="439"/>
      <c r="F2580" s="439"/>
      <c r="G2580" s="451" t="s">
        <v>3406</v>
      </c>
      <c r="Z2580" s="500"/>
      <c r="AA2580" s="500"/>
      <c r="AB2580" s="500"/>
      <c r="AC2580" s="500"/>
      <c r="AD2580" s="500"/>
      <c r="AE2580" s="500"/>
      <c r="AF2580" s="500"/>
      <c r="AG2580" s="500"/>
      <c r="AH2580" s="500"/>
      <c r="AI2580" s="500"/>
      <c r="AJ2580" s="500"/>
      <c r="AK2580" s="500"/>
      <c r="AL2580" s="500"/>
      <c r="AM2580" s="500"/>
      <c r="AN2580" s="500"/>
      <c r="AO2580" s="500"/>
      <c r="AP2580" s="500"/>
    </row>
    <row r="2581" spans="1:42" ht="16.5" customHeight="1">
      <c r="A2581" s="434" t="s">
        <v>3628</v>
      </c>
      <c r="B2581" s="505" t="str">
        <f>"  지주목 이각, L1200 : "&amp;TEXT(I2581,"#,##0"&amp;IF(I2581&lt;&gt;INT(I2581),".###",""))&amp;" * "&amp;AA2581&amp;" 조  = "&amp;TEXT(C2581,"#,##0.0")&amp;""</f>
        <v xml:space="preserve">  지주목 이각, L1200 : 7,300 * 1 조  = 7,300.0</v>
      </c>
      <c r="C2581" s="506">
        <f>E2581+D2581+F2581</f>
        <v>7300</v>
      </c>
      <c r="D2581" s="506">
        <f>IF(H2581=0,0,ROUNDDOWN(J2581*H2581,1))</f>
        <v>0</v>
      </c>
      <c r="E2581" s="506">
        <f>IF(H2581=0,0,ROUNDDOWN(K2581*H2581,1))</f>
        <v>7300</v>
      </c>
      <c r="F2581" s="506">
        <f>IF(H2581=0,0,ROUNDDOWN(L2581*H2581,1))</f>
        <v>0</v>
      </c>
      <c r="G2581" s="451" t="s">
        <v>3629</v>
      </c>
      <c r="H2581" s="507">
        <f>ROUNDUP(AC2581,14-LEN(ABS(INT(AC2581))))</f>
        <v>1</v>
      </c>
      <c r="I2581" s="508">
        <f>K2581+J2581+L2581</f>
        <v>7300</v>
      </c>
      <c r="K2581" s="509">
        <f>재료비목록표!E94</f>
        <v>7300</v>
      </c>
      <c r="M2581" s="501" t="s">
        <v>3630</v>
      </c>
      <c r="N2581" s="501" t="s">
        <v>3416</v>
      </c>
      <c r="X2581" s="510" t="str">
        <f>재료비목록표!B94&amp;" / "&amp;재료비목록표!C94</f>
        <v>지주목 / 이각, L1200</v>
      </c>
      <c r="Y2581" s="433" t="str">
        <f ca="1">HYPERLINK("#"&amp;재료비목록표!G2&amp;"!A"&amp;ROW(재료비목록표!A94),"M08848 →")</f>
        <v>M08848 →</v>
      </c>
      <c r="Z2581" s="501" t="s">
        <v>3500</v>
      </c>
      <c r="AA2581" s="515">
        <v>1</v>
      </c>
      <c r="AB2581" s="501" t="s">
        <v>3418</v>
      </c>
      <c r="AC2581" s="512">
        <f>1*AA2581</f>
        <v>1</v>
      </c>
      <c r="AD2581" s="500"/>
      <c r="AE2581" s="500"/>
      <c r="AF2581" s="500"/>
      <c r="AG2581" s="500"/>
      <c r="AH2581" s="500"/>
      <c r="AI2581" s="500"/>
      <c r="AJ2581" s="500"/>
      <c r="AK2581" s="500"/>
      <c r="AL2581" s="500"/>
      <c r="AM2581" s="500"/>
      <c r="AN2581" s="500"/>
      <c r="AO2581" s="500"/>
      <c r="AP2581" s="500"/>
    </row>
    <row r="2582" spans="1:42" ht="16.5" customHeight="1">
      <c r="A2582" s="439"/>
      <c r="B2582" s="439"/>
      <c r="C2582" s="439"/>
      <c r="D2582" s="439"/>
      <c r="E2582" s="439"/>
      <c r="F2582" s="439"/>
      <c r="G2582" s="451" t="s">
        <v>3406</v>
      </c>
      <c r="Z2582" s="500"/>
      <c r="AA2582" s="500"/>
      <c r="AB2582" s="500"/>
      <c r="AC2582" s="500"/>
      <c r="AD2582" s="500"/>
      <c r="AE2582" s="500"/>
      <c r="AF2582" s="500"/>
      <c r="AG2582" s="500"/>
      <c r="AH2582" s="500"/>
      <c r="AI2582" s="500"/>
      <c r="AJ2582" s="500"/>
      <c r="AK2582" s="500"/>
      <c r="AL2582" s="500"/>
      <c r="AM2582" s="500"/>
      <c r="AN2582" s="500"/>
      <c r="AO2582" s="500"/>
      <c r="AP2582" s="500"/>
    </row>
    <row r="2583" spans="1:42" ht="16.5" customHeight="1">
      <c r="A2583" s="439"/>
      <c r="B2583" s="439"/>
      <c r="C2583" s="439"/>
      <c r="D2583" s="439"/>
      <c r="E2583" s="439"/>
      <c r="F2583" s="439"/>
      <c r="G2583" s="451" t="s">
        <v>3406</v>
      </c>
      <c r="Z2583" s="500"/>
      <c r="AA2583" s="500"/>
      <c r="AB2583" s="500"/>
      <c r="AC2583" s="500"/>
      <c r="AD2583" s="500"/>
      <c r="AE2583" s="500"/>
      <c r="AF2583" s="500"/>
      <c r="AG2583" s="500"/>
      <c r="AH2583" s="500"/>
      <c r="AI2583" s="500"/>
      <c r="AJ2583" s="500"/>
      <c r="AK2583" s="500"/>
      <c r="AL2583" s="500"/>
      <c r="AM2583" s="500"/>
      <c r="AN2583" s="500"/>
      <c r="AO2583" s="500"/>
      <c r="AP2583" s="500"/>
    </row>
    <row r="2584" spans="1:42" ht="16.5" customHeight="1">
      <c r="A2584" s="434" t="s">
        <v>3504</v>
      </c>
      <c r="B2584" s="505" t="str">
        <f>"  유기질비료 수목이식·식재용 : "&amp;TEXT(I2584,"#,##0"&amp;IF(I2584&lt;&gt;INT(I2584),".###",""))&amp;" * "&amp;AA2584&amp;" KG   = "&amp;TEXT(C2584,"#,##0.0")&amp;""</f>
        <v xml:space="preserve">  유기질비료 수목이식·식재용 : 500 * 10 KG   = 5,000.0</v>
      </c>
      <c r="C2584" s="506">
        <f>E2584+D2584+F2584</f>
        <v>5000</v>
      </c>
      <c r="D2584" s="506">
        <f>IF(H2584=0,0,ROUNDDOWN(J2584*H2584,1))</f>
        <v>0</v>
      </c>
      <c r="E2584" s="506">
        <f>IF(H2584=0,0,ROUNDDOWN(K2584*H2584,1))</f>
        <v>5000</v>
      </c>
      <c r="F2584" s="506">
        <f>IF(H2584=0,0,ROUNDDOWN(L2584*H2584,1))</f>
        <v>0</v>
      </c>
      <c r="G2584" s="451" t="s">
        <v>3631</v>
      </c>
      <c r="H2584" s="507">
        <f>ROUNDUP(AC2584,14-LEN(ABS(INT(AC2584))))</f>
        <v>10</v>
      </c>
      <c r="I2584" s="508">
        <f>K2584+J2584+L2584</f>
        <v>500</v>
      </c>
      <c r="K2584" s="509">
        <f>재료비목록표!E78</f>
        <v>500</v>
      </c>
      <c r="M2584" s="501" t="s">
        <v>3506</v>
      </c>
      <c r="N2584" s="501" t="s">
        <v>3416</v>
      </c>
      <c r="X2584" s="510" t="str">
        <f>재료비목록표!B78&amp;" / "&amp;재료비목록표!C78</f>
        <v>유기질비료 / 수목이식·식재용</v>
      </c>
      <c r="Y2584" s="433" t="str">
        <f ca="1">HYPERLINK("#"&amp;재료비목록표!G2&amp;"!A"&amp;ROW(재료비목록표!A78),"M01159 →")</f>
        <v>M01159 →</v>
      </c>
      <c r="Z2584" s="501" t="s">
        <v>3500</v>
      </c>
      <c r="AA2584" s="515">
        <v>10</v>
      </c>
      <c r="AB2584" s="501" t="s">
        <v>3418</v>
      </c>
      <c r="AC2584" s="512">
        <f>1*AA2584</f>
        <v>10</v>
      </c>
      <c r="AD2584" s="500"/>
      <c r="AE2584" s="500"/>
      <c r="AF2584" s="500"/>
      <c r="AG2584" s="500"/>
      <c r="AH2584" s="500"/>
      <c r="AI2584" s="500"/>
      <c r="AJ2584" s="500"/>
      <c r="AK2584" s="500"/>
      <c r="AL2584" s="500"/>
      <c r="AM2584" s="500"/>
      <c r="AN2584" s="500"/>
      <c r="AO2584" s="500"/>
      <c r="AP2584" s="500"/>
    </row>
    <row r="2585" spans="1:42" ht="16.5" customHeight="1">
      <c r="A2585" s="439"/>
      <c r="B2585" s="439"/>
      <c r="C2585" s="439"/>
      <c r="D2585" s="439"/>
      <c r="E2585" s="439"/>
      <c r="F2585" s="439"/>
      <c r="G2585" s="451" t="s">
        <v>3406</v>
      </c>
      <c r="Z2585" s="500"/>
      <c r="AA2585" s="500"/>
      <c r="AB2585" s="500"/>
      <c r="AC2585" s="500"/>
      <c r="AD2585" s="500"/>
      <c r="AE2585" s="500"/>
      <c r="AF2585" s="500"/>
      <c r="AG2585" s="500"/>
      <c r="AH2585" s="500"/>
      <c r="AI2585" s="500"/>
      <c r="AJ2585" s="500"/>
      <c r="AK2585" s="500"/>
      <c r="AL2585" s="500"/>
      <c r="AM2585" s="500"/>
      <c r="AN2585" s="500"/>
      <c r="AO2585" s="500"/>
      <c r="AP2585" s="500"/>
    </row>
    <row r="2586" spans="1:42" ht="16.5" customHeight="1">
      <c r="A2586" s="434"/>
      <c r="B2586" s="437" t="s">
        <v>3419</v>
      </c>
      <c r="C2586" s="513">
        <f>E2586+D2586+F2586</f>
        <v>12300</v>
      </c>
      <c r="D2586" s="513">
        <f>SUMIF(N2577:N2585,M2586,D2577:D2585)</f>
        <v>0</v>
      </c>
      <c r="E2586" s="513">
        <f>SUMIF(N2577:N2585,M2586,E2577:E2585)</f>
        <v>12300</v>
      </c>
      <c r="F2586" s="513">
        <f>SUMIF(N2577:N2585,M2586,F2577:F2585)</f>
        <v>0</v>
      </c>
      <c r="G2586" s="451" t="s">
        <v>3439</v>
      </c>
      <c r="M2586" s="501" t="s">
        <v>3416</v>
      </c>
      <c r="N2586" s="501" t="s">
        <v>3421</v>
      </c>
      <c r="Z2586" s="500"/>
      <c r="AA2586" s="500"/>
      <c r="AB2586" s="500"/>
      <c r="AC2586" s="500"/>
      <c r="AD2586" s="500"/>
      <c r="AE2586" s="500"/>
      <c r="AF2586" s="500"/>
      <c r="AG2586" s="500"/>
      <c r="AH2586" s="500"/>
      <c r="AI2586" s="500"/>
      <c r="AJ2586" s="500"/>
      <c r="AK2586" s="500"/>
      <c r="AL2586" s="500"/>
      <c r="AM2586" s="500"/>
      <c r="AN2586" s="500"/>
      <c r="AO2586" s="500"/>
      <c r="AP2586" s="500"/>
    </row>
    <row r="2587" spans="1:42" ht="16.5" customHeight="1">
      <c r="A2587" s="439"/>
      <c r="B2587" s="439"/>
      <c r="C2587" s="504"/>
      <c r="D2587" s="504"/>
      <c r="E2587" s="504"/>
      <c r="F2587" s="504"/>
      <c r="G2587" s="451" t="s">
        <v>3406</v>
      </c>
      <c r="Z2587" s="500"/>
      <c r="AA2587" s="500"/>
      <c r="AB2587" s="500"/>
      <c r="AC2587" s="500"/>
      <c r="AD2587" s="500"/>
      <c r="AE2587" s="500"/>
      <c r="AF2587" s="500"/>
      <c r="AG2587" s="500"/>
      <c r="AH2587" s="500"/>
      <c r="AI2587" s="500"/>
      <c r="AJ2587" s="500"/>
      <c r="AK2587" s="500"/>
      <c r="AL2587" s="500"/>
      <c r="AM2587" s="500"/>
      <c r="AN2587" s="500"/>
      <c r="AO2587" s="500"/>
      <c r="AP2587" s="500"/>
    </row>
    <row r="2588" spans="1:42" ht="16.5" customHeight="1">
      <c r="A2588" s="434"/>
      <c r="B2588" s="505" t="str">
        <f>"  산지할증 : "&amp;TEXT(I2588,"#,##0.0")&amp;" * "&amp;AA2588&amp;" %  = "&amp;TEXT(C2588,"#,##0.0")&amp;""</f>
        <v xml:space="preserve">  산지할증 : 42,831.7 * 15 %  = 6,424.7</v>
      </c>
      <c r="C2588" s="506">
        <f>E2588+D2588+F2588</f>
        <v>6424.7</v>
      </c>
      <c r="D2588" s="506">
        <f>IF(H2588=0,0,ROUNDDOWN(J2588*H2588/100,1))</f>
        <v>6424.7</v>
      </c>
      <c r="E2588" s="506">
        <f>IF(H2588=0,0,ROUNDDOWN(K2588*H2588/100,1))</f>
        <v>0</v>
      </c>
      <c r="F2588" s="506">
        <f>IF(H2588=0,0,ROUNDDOWN(L2588*H2588/100,1))</f>
        <v>0</v>
      </c>
      <c r="G2588" s="451" t="s">
        <v>5587</v>
      </c>
      <c r="H2588" s="507">
        <f>ROUNDUP(AC2588,14-LEN(ABS(INT(AC2588))))</f>
        <v>15</v>
      </c>
      <c r="I2588" s="508">
        <f>K2588+J2588+L2588</f>
        <v>42831.7</v>
      </c>
      <c r="J2588" s="508">
        <f>D2576+D2586+SUMIF(N2587:N2587,N2588,D2587:D2587)</f>
        <v>42831.7</v>
      </c>
      <c r="K2588" s="456">
        <v>0</v>
      </c>
      <c r="L2588" s="456">
        <v>0</v>
      </c>
      <c r="M2588" s="501" t="s">
        <v>5605</v>
      </c>
      <c r="N2588" s="501" t="s">
        <v>3416</v>
      </c>
      <c r="Z2588" s="501" t="s">
        <v>3500</v>
      </c>
      <c r="AA2588" s="515">
        <v>15</v>
      </c>
      <c r="AB2588" s="501" t="s">
        <v>3418</v>
      </c>
      <c r="AC2588" s="512">
        <f>1*AA2588</f>
        <v>15</v>
      </c>
      <c r="AD2588" s="500"/>
      <c r="AE2588" s="500"/>
      <c r="AF2588" s="500"/>
      <c r="AG2588" s="500"/>
      <c r="AH2588" s="500"/>
      <c r="AI2588" s="500"/>
      <c r="AJ2588" s="500"/>
      <c r="AK2588" s="500"/>
      <c r="AL2588" s="500"/>
      <c r="AM2588" s="500"/>
      <c r="AN2588" s="500"/>
      <c r="AO2588" s="500"/>
      <c r="AP2588" s="500"/>
    </row>
    <row r="2589" spans="1:42" ht="16.5" customHeight="1">
      <c r="A2589" s="439"/>
      <c r="B2589" s="439"/>
      <c r="C2589" s="439"/>
      <c r="D2589" s="439"/>
      <c r="E2589" s="439"/>
      <c r="F2589" s="439"/>
      <c r="G2589" s="451" t="s">
        <v>3406</v>
      </c>
      <c r="Z2589" s="500"/>
      <c r="AA2589" s="500"/>
      <c r="AB2589" s="500"/>
      <c r="AC2589" s="500"/>
      <c r="AD2589" s="500"/>
      <c r="AE2589" s="500"/>
      <c r="AF2589" s="500"/>
      <c r="AG2589" s="500"/>
      <c r="AH2589" s="500"/>
      <c r="AI2589" s="500"/>
      <c r="AJ2589" s="500"/>
      <c r="AK2589" s="500"/>
      <c r="AL2589" s="500"/>
      <c r="AM2589" s="500"/>
      <c r="AN2589" s="500"/>
      <c r="AO2589" s="500"/>
      <c r="AP2589" s="500"/>
    </row>
    <row r="2590" spans="1:42" ht="16.5" customHeight="1">
      <c r="A2590" s="434"/>
      <c r="B2590" s="437" t="s">
        <v>3419</v>
      </c>
      <c r="C2590" s="513">
        <f>E2590+D2590+F2590</f>
        <v>6424.7</v>
      </c>
      <c r="D2590" s="513">
        <f>SUMIF(N2587:N2589,M2590,D2587:D2589)</f>
        <v>6424.7</v>
      </c>
      <c r="E2590" s="513">
        <f>SUMIF(N2587:N2589,M2590,E2587:E2589)</f>
        <v>0</v>
      </c>
      <c r="F2590" s="513">
        <f>SUMIF(N2587:N2589,M2590,F2587:F2589)</f>
        <v>0</v>
      </c>
      <c r="G2590" s="451" t="s">
        <v>3439</v>
      </c>
      <c r="M2590" s="501" t="s">
        <v>3416</v>
      </c>
      <c r="N2590" s="501" t="s">
        <v>3421</v>
      </c>
      <c r="Z2590" s="500"/>
      <c r="AA2590" s="500"/>
      <c r="AB2590" s="500"/>
      <c r="AC2590" s="500"/>
      <c r="AD2590" s="500"/>
      <c r="AE2590" s="500"/>
      <c r="AF2590" s="500"/>
      <c r="AG2590" s="500"/>
      <c r="AH2590" s="500"/>
      <c r="AI2590" s="500"/>
      <c r="AJ2590" s="500"/>
      <c r="AK2590" s="500"/>
      <c r="AL2590" s="500"/>
      <c r="AM2590" s="500"/>
      <c r="AN2590" s="500"/>
      <c r="AO2590" s="500"/>
      <c r="AP2590" s="500"/>
    </row>
    <row r="2591" spans="1:42" ht="16.5" customHeight="1">
      <c r="A2591" s="439"/>
      <c r="B2591" s="439"/>
      <c r="C2591" s="504"/>
      <c r="D2591" s="504"/>
      <c r="E2591" s="504"/>
      <c r="F2591" s="504"/>
      <c r="G2591" s="451" t="s">
        <v>3406</v>
      </c>
      <c r="Z2591" s="500"/>
      <c r="AA2591" s="500"/>
      <c r="AB2591" s="500"/>
      <c r="AC2591" s="500"/>
      <c r="AD2591" s="500"/>
      <c r="AE2591" s="500"/>
      <c r="AF2591" s="500"/>
      <c r="AG2591" s="500"/>
      <c r="AH2591" s="500"/>
      <c r="AI2591" s="500"/>
      <c r="AJ2591" s="500"/>
      <c r="AK2591" s="500"/>
      <c r="AL2591" s="500"/>
      <c r="AM2591" s="500"/>
      <c r="AN2591" s="500"/>
      <c r="AO2591" s="500"/>
      <c r="AP2591" s="500"/>
    </row>
    <row r="2592" spans="1:42" ht="16.5" customHeight="1">
      <c r="A2592" s="434"/>
      <c r="B2592" s="437" t="s">
        <v>3440</v>
      </c>
      <c r="C2592" s="513">
        <f>E2592+D2592+F2592</f>
        <v>61556.399999999994</v>
      </c>
      <c r="D2592" s="513">
        <f>SUMIF(N2557:N2591,M2592,D2557:D2591)</f>
        <v>49256.399999999994</v>
      </c>
      <c r="E2592" s="513">
        <f>SUMIF(N2557:N2591,M2592,E2557:E2591)</f>
        <v>12300</v>
      </c>
      <c r="F2592" s="513">
        <f>SUMIF(N2557:N2591,M2592,F2557:F2591)</f>
        <v>0</v>
      </c>
      <c r="G2592" s="451" t="s">
        <v>3441</v>
      </c>
      <c r="M2592" s="501" t="s">
        <v>3421</v>
      </c>
      <c r="N2592" s="501" t="s">
        <v>2354</v>
      </c>
      <c r="Z2592" s="500"/>
      <c r="AA2592" s="500"/>
      <c r="AB2592" s="500"/>
      <c r="AC2592" s="500"/>
      <c r="AD2592" s="500"/>
      <c r="AE2592" s="500"/>
      <c r="AF2592" s="500"/>
      <c r="AG2592" s="500"/>
      <c r="AH2592" s="500"/>
      <c r="AI2592" s="500"/>
      <c r="AJ2592" s="500"/>
      <c r="AK2592" s="500"/>
      <c r="AL2592" s="500"/>
      <c r="AM2592" s="500"/>
      <c r="AN2592" s="500"/>
      <c r="AO2592" s="500"/>
      <c r="AP2592" s="500"/>
    </row>
    <row r="2593" spans="1:42" ht="16.5" customHeight="1">
      <c r="A2593" s="439"/>
      <c r="B2593" s="439"/>
      <c r="C2593" s="504"/>
      <c r="D2593" s="504"/>
      <c r="E2593" s="504"/>
      <c r="F2593" s="504"/>
      <c r="G2593" s="451" t="s">
        <v>3413</v>
      </c>
      <c r="Z2593" s="500"/>
      <c r="AA2593" s="500"/>
      <c r="AB2593" s="500"/>
      <c r="AC2593" s="500"/>
      <c r="AD2593" s="500"/>
      <c r="AE2593" s="500"/>
      <c r="AF2593" s="500"/>
      <c r="AG2593" s="500"/>
      <c r="AH2593" s="500"/>
      <c r="AI2593" s="500"/>
      <c r="AJ2593" s="500"/>
      <c r="AK2593" s="500"/>
      <c r="AL2593" s="500"/>
      <c r="AM2593" s="500"/>
      <c r="AN2593" s="500"/>
      <c r="AO2593" s="500"/>
      <c r="AP2593" s="500"/>
    </row>
    <row r="2594" spans="1:42" ht="16.5" customHeight="1">
      <c r="A2594" s="439"/>
      <c r="B2594" s="439"/>
      <c r="C2594" s="439"/>
      <c r="D2594" s="439"/>
      <c r="E2594" s="439"/>
      <c r="F2594" s="439"/>
      <c r="Z2594" s="500"/>
      <c r="AA2594" s="500"/>
      <c r="AB2594" s="500"/>
      <c r="AC2594" s="500"/>
      <c r="AD2594" s="500"/>
      <c r="AE2594" s="500"/>
      <c r="AF2594" s="500"/>
      <c r="AG2594" s="500"/>
      <c r="AH2594" s="500"/>
      <c r="AI2594" s="500"/>
      <c r="AJ2594" s="500"/>
      <c r="AK2594" s="500"/>
      <c r="AL2594" s="500"/>
      <c r="AM2594" s="500"/>
      <c r="AN2594" s="500"/>
      <c r="AO2594" s="500"/>
      <c r="AP2594" s="500"/>
    </row>
    <row r="2595" spans="1:42" ht="16.5" customHeight="1">
      <c r="A2595" s="439"/>
      <c r="B2595" s="439"/>
      <c r="C2595" s="439"/>
      <c r="D2595" s="439"/>
      <c r="E2595" s="439"/>
      <c r="F2595" s="439"/>
      <c r="Z2595" s="500"/>
      <c r="AA2595" s="500"/>
      <c r="AB2595" s="500"/>
      <c r="AC2595" s="500"/>
      <c r="AD2595" s="500"/>
      <c r="AE2595" s="500"/>
      <c r="AF2595" s="500"/>
      <c r="AG2595" s="500"/>
      <c r="AH2595" s="500"/>
      <c r="AI2595" s="500"/>
      <c r="AJ2595" s="500"/>
      <c r="AK2595" s="500"/>
      <c r="AL2595" s="500"/>
      <c r="AM2595" s="500"/>
      <c r="AN2595" s="500"/>
      <c r="AO2595" s="500"/>
      <c r="AP2595" s="500"/>
    </row>
    <row r="2596" spans="1:42" ht="16.5" customHeight="1">
      <c r="A2596" s="439"/>
      <c r="B2596" s="439"/>
      <c r="C2596" s="439"/>
      <c r="D2596" s="439"/>
      <c r="E2596" s="439"/>
      <c r="F2596" s="439"/>
      <c r="Z2596" s="500"/>
      <c r="AA2596" s="500"/>
      <c r="AB2596" s="500"/>
      <c r="AC2596" s="500"/>
      <c r="AD2596" s="500"/>
      <c r="AE2596" s="500"/>
      <c r="AF2596" s="500"/>
      <c r="AG2596" s="500"/>
      <c r="AH2596" s="500"/>
      <c r="AI2596" s="500"/>
      <c r="AJ2596" s="500"/>
      <c r="AK2596" s="500"/>
      <c r="AL2596" s="500"/>
      <c r="AM2596" s="500"/>
      <c r="AN2596" s="500"/>
      <c r="AO2596" s="500"/>
      <c r="AP2596" s="500"/>
    </row>
    <row r="2597" spans="1:42" ht="16.5" customHeight="1">
      <c r="A2597" s="439"/>
      <c r="B2597" s="439"/>
      <c r="C2597" s="439"/>
      <c r="D2597" s="439"/>
      <c r="E2597" s="439"/>
      <c r="F2597" s="439"/>
      <c r="Z2597" s="500"/>
      <c r="AA2597" s="500"/>
      <c r="AB2597" s="500"/>
      <c r="AC2597" s="500"/>
      <c r="AD2597" s="500"/>
      <c r="AE2597" s="500"/>
      <c r="AF2597" s="500"/>
      <c r="AG2597" s="500"/>
      <c r="AH2597" s="500"/>
      <c r="AI2597" s="500"/>
      <c r="AJ2597" s="500"/>
      <c r="AK2597" s="500"/>
      <c r="AL2597" s="500"/>
      <c r="AM2597" s="500"/>
      <c r="AN2597" s="500"/>
      <c r="AO2597" s="500"/>
      <c r="AP2597" s="500"/>
    </row>
    <row r="2598" spans="1:42" ht="16.5" customHeight="1">
      <c r="A2598" s="439"/>
      <c r="B2598" s="439"/>
      <c r="C2598" s="439"/>
      <c r="D2598" s="439"/>
      <c r="E2598" s="439"/>
      <c r="F2598" s="439"/>
      <c r="Z2598" s="500"/>
      <c r="AA2598" s="500"/>
      <c r="AB2598" s="500"/>
      <c r="AC2598" s="500"/>
      <c r="AD2598" s="500"/>
      <c r="AE2598" s="500"/>
      <c r="AF2598" s="500"/>
      <c r="AG2598" s="500"/>
      <c r="AH2598" s="500"/>
      <c r="AI2598" s="500"/>
      <c r="AJ2598" s="500"/>
      <c r="AK2598" s="500"/>
      <c r="AL2598" s="500"/>
      <c r="AM2598" s="500"/>
      <c r="AN2598" s="500"/>
      <c r="AO2598" s="500"/>
      <c r="AP2598" s="500"/>
    </row>
    <row r="2599" spans="1:42" ht="16.5" customHeight="1">
      <c r="A2599" s="439"/>
      <c r="B2599" s="439"/>
      <c r="C2599" s="439"/>
      <c r="D2599" s="439"/>
      <c r="E2599" s="439"/>
      <c r="F2599" s="439"/>
      <c r="Z2599" s="500"/>
      <c r="AA2599" s="500"/>
      <c r="AB2599" s="500"/>
      <c r="AC2599" s="500"/>
      <c r="AD2599" s="500"/>
      <c r="AE2599" s="500"/>
      <c r="AF2599" s="500"/>
      <c r="AG2599" s="500"/>
      <c r="AH2599" s="500"/>
      <c r="AI2599" s="500"/>
      <c r="AJ2599" s="500"/>
      <c r="AK2599" s="500"/>
      <c r="AL2599" s="500"/>
      <c r="AM2599" s="500"/>
      <c r="AN2599" s="500"/>
      <c r="AO2599" s="500"/>
      <c r="AP2599" s="500"/>
    </row>
    <row r="2600" spans="1:42" ht="16.5" customHeight="1">
      <c r="A2600" s="439"/>
      <c r="B2600" s="439"/>
      <c r="C2600" s="439"/>
      <c r="D2600" s="439"/>
      <c r="E2600" s="439"/>
      <c r="F2600" s="439"/>
      <c r="Z2600" s="500"/>
      <c r="AA2600" s="500"/>
      <c r="AB2600" s="500"/>
      <c r="AC2600" s="500"/>
      <c r="AD2600" s="500"/>
      <c r="AE2600" s="500"/>
      <c r="AF2600" s="500"/>
      <c r="AG2600" s="500"/>
      <c r="AH2600" s="500"/>
      <c r="AI2600" s="500"/>
      <c r="AJ2600" s="500"/>
      <c r="AK2600" s="500"/>
      <c r="AL2600" s="500"/>
      <c r="AM2600" s="500"/>
      <c r="AN2600" s="500"/>
      <c r="AO2600" s="500"/>
      <c r="AP2600" s="500"/>
    </row>
    <row r="2601" spans="1:42" ht="16.5" customHeight="1">
      <c r="A2601" s="439"/>
      <c r="B2601" s="439"/>
      <c r="C2601" s="439"/>
      <c r="D2601" s="439"/>
      <c r="E2601" s="439"/>
      <c r="F2601" s="439"/>
      <c r="Z2601" s="500"/>
      <c r="AA2601" s="500"/>
      <c r="AB2601" s="500"/>
      <c r="AC2601" s="500"/>
      <c r="AD2601" s="500"/>
      <c r="AE2601" s="500"/>
      <c r="AF2601" s="500"/>
      <c r="AG2601" s="500"/>
      <c r="AH2601" s="500"/>
      <c r="AI2601" s="500"/>
      <c r="AJ2601" s="500"/>
      <c r="AK2601" s="500"/>
      <c r="AL2601" s="500"/>
      <c r="AM2601" s="500"/>
      <c r="AN2601" s="500"/>
      <c r="AO2601" s="500"/>
      <c r="AP2601" s="500"/>
    </row>
    <row r="2602" spans="1:42" ht="16.5" customHeight="1">
      <c r="A2602" s="439"/>
      <c r="B2602" s="439"/>
      <c r="C2602" s="439"/>
      <c r="D2602" s="439"/>
      <c r="E2602" s="439"/>
      <c r="F2602" s="439"/>
      <c r="Z2602" s="500"/>
      <c r="AA2602" s="500"/>
      <c r="AB2602" s="500"/>
      <c r="AC2602" s="500"/>
      <c r="AD2602" s="500"/>
      <c r="AE2602" s="500"/>
      <c r="AF2602" s="500"/>
      <c r="AG2602" s="500"/>
      <c r="AH2602" s="500"/>
      <c r="AI2602" s="500"/>
      <c r="AJ2602" s="500"/>
      <c r="AK2602" s="500"/>
      <c r="AL2602" s="500"/>
      <c r="AM2602" s="500"/>
      <c r="AN2602" s="500"/>
      <c r="AO2602" s="500"/>
      <c r="AP2602" s="500"/>
    </row>
    <row r="2603" spans="1:42" ht="16.5" customHeight="1">
      <c r="A2603" s="497"/>
      <c r="B2603" s="497"/>
      <c r="C2603" s="497"/>
      <c r="D2603" s="497"/>
      <c r="E2603" s="497"/>
      <c r="F2603" s="497"/>
      <c r="Z2603" s="500"/>
      <c r="AA2603" s="500"/>
      <c r="AB2603" s="500"/>
      <c r="AC2603" s="500"/>
      <c r="AD2603" s="500"/>
      <c r="AE2603" s="500"/>
      <c r="AF2603" s="500"/>
      <c r="AG2603" s="500"/>
      <c r="AH2603" s="500"/>
      <c r="AI2603" s="500"/>
      <c r="AJ2603" s="500"/>
      <c r="AK2603" s="500"/>
      <c r="AL2603" s="500"/>
      <c r="AM2603" s="500"/>
      <c r="AN2603" s="500"/>
      <c r="AO2603" s="500"/>
      <c r="AP2603" s="500"/>
    </row>
    <row r="2604" spans="1:42" ht="16.5" customHeight="1">
      <c r="A2604" s="616" t="s">
        <v>3487</v>
      </c>
      <c r="B2604" s="605"/>
      <c r="C2604" s="446">
        <f>E2604+D2604+F2604</f>
        <v>61556</v>
      </c>
      <c r="D2604" s="453">
        <f>ROUNDDOWN(SUMIF(N2557:N2593,M2604,D2557:D2593),0)</f>
        <v>49256</v>
      </c>
      <c r="E2604" s="454">
        <f>ROUNDDOWN(SUMIF(N2557:N2593,M2604,E2557:E2593),0)</f>
        <v>12300</v>
      </c>
      <c r="F2604" s="446">
        <f>ROUNDDOWN(SUMIF(N2557:N2593,M2604,F2557:F2593),0)</f>
        <v>0</v>
      </c>
      <c r="M2604" s="501" t="s">
        <v>2354</v>
      </c>
      <c r="Z2604" s="500"/>
      <c r="AA2604" s="500"/>
      <c r="AB2604" s="500"/>
      <c r="AC2604" s="500"/>
      <c r="AD2604" s="500"/>
      <c r="AE2604" s="500"/>
      <c r="AF2604" s="500"/>
      <c r="AG2604" s="500"/>
      <c r="AH2604" s="500"/>
      <c r="AI2604" s="500"/>
      <c r="AJ2604" s="500"/>
      <c r="AK2604" s="500"/>
      <c r="AL2604" s="500"/>
      <c r="AM2604" s="500"/>
      <c r="AN2604" s="500"/>
      <c r="AO2604" s="500"/>
      <c r="AP2604" s="500"/>
    </row>
    <row r="2605" spans="1:42" ht="16.5" customHeight="1">
      <c r="A2605" s="502" t="s">
        <v>3350</v>
      </c>
      <c r="B2605" s="503" t="s">
        <v>5317</v>
      </c>
      <c r="C2605" s="615">
        <f>C2654</f>
        <v>114512</v>
      </c>
      <c r="D2605" s="615">
        <f>D2654</f>
        <v>98512</v>
      </c>
      <c r="E2605" s="615">
        <f>E2654</f>
        <v>16000</v>
      </c>
      <c r="F2605" s="615">
        <f>F2654</f>
        <v>0</v>
      </c>
      <c r="G2605" s="486" t="str">
        <f>HYPERLINK("#G"&amp;ROW(G2644),"_x0005_`BDCOD|D01347_x0007_`POSS|"&amp;ROW(G2607)&amp;"_x0007_`POSE|"&amp;ROW(G2644)&amp;"_x0007_`")</f>
        <v>_x0005_`BDCOD|D01347_x0007_`POSS|2607_x0007_`POSE|2644_x0007_`</v>
      </c>
      <c r="Z2605" s="500"/>
      <c r="AA2605" s="500"/>
      <c r="AB2605" s="500"/>
      <c r="AC2605" s="500"/>
      <c r="AD2605" s="500"/>
      <c r="AE2605" s="500"/>
      <c r="AF2605" s="500"/>
      <c r="AG2605" s="500"/>
      <c r="AH2605" s="500"/>
      <c r="AI2605" s="500"/>
      <c r="AJ2605" s="500"/>
      <c r="AK2605" s="500"/>
      <c r="AL2605" s="500"/>
      <c r="AM2605" s="500"/>
      <c r="AN2605" s="500"/>
      <c r="AO2605" s="500"/>
      <c r="AP2605" s="500"/>
    </row>
    <row r="2606" spans="1:42" ht="16.5" customHeight="1">
      <c r="A2606" s="485"/>
      <c r="B2606" s="503" t="s">
        <v>5606</v>
      </c>
      <c r="C2606" s="593"/>
      <c r="D2606" s="593"/>
      <c r="E2606" s="593"/>
      <c r="F2606" s="593"/>
      <c r="M2606" s="501" t="s">
        <v>5317</v>
      </c>
      <c r="Z2606" s="500"/>
      <c r="AA2606" s="500"/>
      <c r="AB2606" s="500"/>
      <c r="AC2606" s="500"/>
      <c r="AD2606" s="500"/>
      <c r="AE2606" s="500"/>
      <c r="AF2606" s="500"/>
      <c r="AG2606" s="500"/>
      <c r="AH2606" s="500"/>
      <c r="AI2606" s="500"/>
      <c r="AJ2606" s="500"/>
      <c r="AK2606" s="500"/>
      <c r="AL2606" s="500"/>
      <c r="AM2606" s="500"/>
      <c r="AN2606" s="500"/>
      <c r="AO2606" s="500"/>
      <c r="AP2606" s="500"/>
    </row>
    <row r="2607" spans="1:42" ht="16.5" customHeight="1">
      <c r="A2607" s="439"/>
      <c r="B2607" s="439"/>
      <c r="C2607" s="504"/>
      <c r="D2607" s="504"/>
      <c r="E2607" s="504"/>
      <c r="F2607" s="504"/>
      <c r="G2607" s="451" t="s">
        <v>3406</v>
      </c>
      <c r="Z2607" s="500"/>
      <c r="AA2607" s="500"/>
      <c r="AB2607" s="500"/>
      <c r="AC2607" s="500"/>
      <c r="AD2607" s="500"/>
      <c r="AE2607" s="500"/>
      <c r="AF2607" s="500"/>
      <c r="AG2607" s="500"/>
      <c r="AH2607" s="500"/>
      <c r="AI2607" s="500"/>
      <c r="AJ2607" s="500"/>
      <c r="AK2607" s="500"/>
      <c r="AL2607" s="500"/>
      <c r="AM2607" s="500"/>
      <c r="AN2607" s="500"/>
      <c r="AO2607" s="500"/>
      <c r="AP2607" s="500"/>
    </row>
    <row r="2608" spans="1:42" ht="16.5" customHeight="1">
      <c r="A2608" s="434"/>
      <c r="B2608" s="437" t="s">
        <v>3542</v>
      </c>
      <c r="C2608" s="439"/>
      <c r="D2608" s="439"/>
      <c r="E2608" s="439"/>
      <c r="F2608" s="439"/>
      <c r="G2608" s="451" t="s">
        <v>3543</v>
      </c>
      <c r="Z2608" s="500"/>
      <c r="AA2608" s="500"/>
      <c r="AB2608" s="500"/>
      <c r="AC2608" s="500"/>
      <c r="AD2608" s="500"/>
      <c r="AE2608" s="500"/>
      <c r="AF2608" s="500"/>
      <c r="AG2608" s="500"/>
      <c r="AH2608" s="500"/>
      <c r="AI2608" s="500"/>
      <c r="AJ2608" s="500"/>
      <c r="AK2608" s="500"/>
      <c r="AL2608" s="500"/>
      <c r="AM2608" s="500"/>
      <c r="AN2608" s="500"/>
      <c r="AO2608" s="500"/>
      <c r="AP2608" s="500"/>
    </row>
    <row r="2609" spans="1:42" ht="16.5" customHeight="1">
      <c r="A2609" s="439"/>
      <c r="B2609" s="439"/>
      <c r="C2609" s="439"/>
      <c r="D2609" s="439"/>
      <c r="E2609" s="439"/>
      <c r="F2609" s="439"/>
      <c r="G2609" s="451" t="s">
        <v>3406</v>
      </c>
      <c r="Z2609" s="500"/>
      <c r="AA2609" s="500"/>
      <c r="AB2609" s="500"/>
      <c r="AC2609" s="500"/>
      <c r="AD2609" s="500"/>
      <c r="AE2609" s="500"/>
      <c r="AF2609" s="500"/>
      <c r="AG2609" s="500"/>
      <c r="AH2609" s="500"/>
      <c r="AI2609" s="500"/>
      <c r="AJ2609" s="500"/>
      <c r="AK2609" s="500"/>
      <c r="AL2609" s="500"/>
      <c r="AM2609" s="500"/>
      <c r="AN2609" s="500"/>
      <c r="AO2609" s="500"/>
      <c r="AP2609" s="500"/>
    </row>
    <row r="2610" spans="1:42" ht="16.5" customHeight="1">
      <c r="A2610" s="434"/>
      <c r="B2610" s="437" t="s">
        <v>3544</v>
      </c>
      <c r="C2610" s="439"/>
      <c r="D2610" s="439"/>
      <c r="E2610" s="439"/>
      <c r="F2610" s="439"/>
      <c r="G2610" s="451" t="s">
        <v>3545</v>
      </c>
      <c r="Z2610" s="500"/>
      <c r="AA2610" s="500"/>
      <c r="AB2610" s="500"/>
      <c r="AC2610" s="500"/>
      <c r="AD2610" s="500"/>
      <c r="AE2610" s="500"/>
      <c r="AF2610" s="500"/>
      <c r="AG2610" s="500"/>
      <c r="AH2610" s="500"/>
      <c r="AI2610" s="500"/>
      <c r="AJ2610" s="500"/>
      <c r="AK2610" s="500"/>
      <c r="AL2610" s="500"/>
      <c r="AM2610" s="500"/>
      <c r="AN2610" s="500"/>
      <c r="AO2610" s="500"/>
      <c r="AP2610" s="500"/>
    </row>
    <row r="2611" spans="1:42" ht="16.5" customHeight="1">
      <c r="A2611" s="439"/>
      <c r="B2611" s="439"/>
      <c r="C2611" s="439"/>
      <c r="D2611" s="439"/>
      <c r="E2611" s="439"/>
      <c r="F2611" s="439"/>
      <c r="G2611" s="451" t="s">
        <v>3406</v>
      </c>
      <c r="Z2611" s="500"/>
      <c r="AA2611" s="500"/>
      <c r="AB2611" s="500"/>
      <c r="AC2611" s="500"/>
      <c r="AD2611" s="500"/>
      <c r="AE2611" s="500"/>
      <c r="AF2611" s="500"/>
      <c r="AG2611" s="500"/>
      <c r="AH2611" s="500"/>
      <c r="AI2611" s="500"/>
      <c r="AJ2611" s="500"/>
      <c r="AK2611" s="500"/>
      <c r="AL2611" s="500"/>
      <c r="AM2611" s="500"/>
      <c r="AN2611" s="500"/>
      <c r="AO2611" s="500"/>
      <c r="AP2611" s="500"/>
    </row>
    <row r="2612" spans="1:42" ht="16.5" customHeight="1">
      <c r="A2612" s="434"/>
      <c r="B2612" s="437" t="str">
        <f>" 일당 작업량 :   Q = "&amp;Z2612&amp;"  주 "</f>
        <v xml:space="preserve"> 일당 작업량 :   Q = 15  주 </v>
      </c>
      <c r="C2612" s="439"/>
      <c r="D2612" s="439"/>
      <c r="E2612" s="439"/>
      <c r="F2612" s="439"/>
      <c r="G2612" s="451" t="s">
        <v>3656</v>
      </c>
      <c r="Z2612" s="515">
        <v>15</v>
      </c>
      <c r="AA2612" s="501" t="s">
        <v>3418</v>
      </c>
      <c r="AB2612" s="512">
        <f>Z2612</f>
        <v>15</v>
      </c>
      <c r="AC2612" s="500"/>
      <c r="AD2612" s="500"/>
      <c r="AE2612" s="500"/>
      <c r="AF2612" s="500"/>
      <c r="AG2612" s="500"/>
      <c r="AH2612" s="500"/>
      <c r="AI2612" s="500"/>
      <c r="AJ2612" s="500"/>
      <c r="AK2612" s="500"/>
      <c r="AL2612" s="500"/>
      <c r="AM2612" s="500"/>
      <c r="AN2612" s="500"/>
      <c r="AO2612" s="500"/>
      <c r="AP2612" s="500"/>
    </row>
    <row r="2613" spans="1:42" ht="16.5" customHeight="1">
      <c r="A2613" s="439"/>
      <c r="B2613" s="439"/>
      <c r="C2613" s="439"/>
      <c r="D2613" s="439"/>
      <c r="E2613" s="439"/>
      <c r="F2613" s="439"/>
      <c r="G2613" s="451" t="s">
        <v>3406</v>
      </c>
      <c r="Z2613" s="500"/>
      <c r="AA2613" s="500"/>
      <c r="AB2613" s="500"/>
      <c r="AC2613" s="500"/>
      <c r="AD2613" s="500"/>
      <c r="AE2613" s="500"/>
      <c r="AF2613" s="500"/>
      <c r="AG2613" s="500"/>
      <c r="AH2613" s="500"/>
      <c r="AI2613" s="500"/>
      <c r="AJ2613" s="500"/>
      <c r="AK2613" s="500"/>
      <c r="AL2613" s="500"/>
      <c r="AM2613" s="500"/>
      <c r="AN2613" s="500"/>
      <c r="AO2613" s="500"/>
      <c r="AP2613" s="500"/>
    </row>
    <row r="2614" spans="1:42" ht="16.5" customHeight="1">
      <c r="A2614" s="434"/>
      <c r="B2614" s="437" t="s">
        <v>3651</v>
      </c>
      <c r="C2614" s="439"/>
      <c r="D2614" s="439"/>
      <c r="E2614" s="439"/>
      <c r="F2614" s="439"/>
      <c r="G2614" s="451" t="s">
        <v>3652</v>
      </c>
      <c r="Z2614" s="500"/>
      <c r="AA2614" s="500"/>
      <c r="AB2614" s="500"/>
      <c r="AC2614" s="500"/>
      <c r="AD2614" s="500"/>
      <c r="AE2614" s="500"/>
      <c r="AF2614" s="500"/>
      <c r="AG2614" s="500"/>
      <c r="AH2614" s="500"/>
      <c r="AI2614" s="500"/>
      <c r="AJ2614" s="500"/>
      <c r="AK2614" s="500"/>
      <c r="AL2614" s="500"/>
      <c r="AM2614" s="500"/>
      <c r="AN2614" s="500"/>
      <c r="AO2614" s="500"/>
      <c r="AP2614" s="500"/>
    </row>
    <row r="2615" spans="1:42" ht="16.5" customHeight="1">
      <c r="A2615" s="439"/>
      <c r="B2615" s="439"/>
      <c r="C2615" s="439"/>
      <c r="D2615" s="439"/>
      <c r="E2615" s="439"/>
      <c r="F2615" s="439"/>
      <c r="G2615" s="451" t="s">
        <v>3406</v>
      </c>
      <c r="Z2615" s="500"/>
      <c r="AA2615" s="500"/>
      <c r="AB2615" s="500"/>
      <c r="AC2615" s="500"/>
      <c r="AD2615" s="500"/>
      <c r="AE2615" s="500"/>
      <c r="AF2615" s="500"/>
      <c r="AG2615" s="500"/>
      <c r="AH2615" s="500"/>
      <c r="AI2615" s="500"/>
      <c r="AJ2615" s="500"/>
      <c r="AK2615" s="500"/>
      <c r="AL2615" s="500"/>
      <c r="AM2615" s="500"/>
      <c r="AN2615" s="500"/>
      <c r="AO2615" s="500"/>
      <c r="AP2615" s="500"/>
    </row>
    <row r="2616" spans="1:42" ht="16.5" customHeight="1">
      <c r="A2616" s="439"/>
      <c r="B2616" s="439"/>
      <c r="C2616" s="439"/>
      <c r="D2616" s="439"/>
      <c r="E2616" s="439"/>
      <c r="F2616" s="439"/>
      <c r="G2616" s="451" t="s">
        <v>3406</v>
      </c>
      <c r="Z2616" s="500"/>
      <c r="AA2616" s="500"/>
      <c r="AB2616" s="500"/>
      <c r="AC2616" s="500"/>
      <c r="AD2616" s="500"/>
      <c r="AE2616" s="500"/>
      <c r="AF2616" s="500"/>
      <c r="AG2616" s="500"/>
      <c r="AH2616" s="500"/>
      <c r="AI2616" s="500"/>
      <c r="AJ2616" s="500"/>
      <c r="AK2616" s="500"/>
      <c r="AL2616" s="500"/>
      <c r="AM2616" s="500"/>
      <c r="AN2616" s="500"/>
      <c r="AO2616" s="500"/>
      <c r="AP2616" s="500"/>
    </row>
    <row r="2617" spans="1:42" ht="16.5" customHeight="1">
      <c r="A2617" s="439"/>
      <c r="B2617" s="439"/>
      <c r="C2617" s="439"/>
      <c r="D2617" s="439"/>
      <c r="E2617" s="439"/>
      <c r="F2617" s="439"/>
      <c r="G2617" s="451" t="s">
        <v>3406</v>
      </c>
      <c r="Z2617" s="500"/>
      <c r="AA2617" s="500"/>
      <c r="AB2617" s="500"/>
      <c r="AC2617" s="500"/>
      <c r="AD2617" s="500"/>
      <c r="AE2617" s="500"/>
      <c r="AF2617" s="500"/>
      <c r="AG2617" s="500"/>
      <c r="AH2617" s="500"/>
      <c r="AI2617" s="500"/>
      <c r="AJ2617" s="500"/>
      <c r="AK2617" s="500"/>
      <c r="AL2617" s="500"/>
      <c r="AM2617" s="500"/>
      <c r="AN2617" s="500"/>
      <c r="AO2617" s="500"/>
      <c r="AP2617" s="500"/>
    </row>
    <row r="2618" spans="1:42" ht="16.5" customHeight="1">
      <c r="A2618" s="439"/>
      <c r="B2618" s="439"/>
      <c r="C2618" s="439"/>
      <c r="D2618" s="439"/>
      <c r="E2618" s="439"/>
      <c r="F2618" s="439"/>
      <c r="G2618" s="451" t="s">
        <v>3406</v>
      </c>
      <c r="Z2618" s="500"/>
      <c r="AA2618" s="500"/>
      <c r="AB2618" s="500"/>
      <c r="AC2618" s="500"/>
      <c r="AD2618" s="500"/>
      <c r="AE2618" s="500"/>
      <c r="AF2618" s="500"/>
      <c r="AG2618" s="500"/>
      <c r="AH2618" s="500"/>
      <c r="AI2618" s="500"/>
      <c r="AJ2618" s="500"/>
      <c r="AK2618" s="500"/>
      <c r="AL2618" s="500"/>
      <c r="AM2618" s="500"/>
      <c r="AN2618" s="500"/>
      <c r="AO2618" s="500"/>
      <c r="AP2618" s="500"/>
    </row>
    <row r="2619" spans="1:42" ht="16.5" customHeight="1">
      <c r="A2619" s="434"/>
      <c r="B2619" s="437" t="s">
        <v>3496</v>
      </c>
      <c r="C2619" s="439"/>
      <c r="D2619" s="439"/>
      <c r="E2619" s="439"/>
      <c r="F2619" s="439"/>
      <c r="G2619" s="451" t="s">
        <v>3497</v>
      </c>
      <c r="Z2619" s="500"/>
      <c r="AA2619" s="500"/>
      <c r="AB2619" s="500"/>
      <c r="AC2619" s="500"/>
      <c r="AD2619" s="500"/>
      <c r="AE2619" s="500"/>
      <c r="AF2619" s="500"/>
      <c r="AG2619" s="500"/>
      <c r="AH2619" s="500"/>
      <c r="AI2619" s="500"/>
      <c r="AJ2619" s="500"/>
      <c r="AK2619" s="500"/>
      <c r="AL2619" s="500"/>
      <c r="AM2619" s="500"/>
      <c r="AN2619" s="500"/>
      <c r="AO2619" s="500"/>
      <c r="AP2619" s="500"/>
    </row>
    <row r="2620" spans="1:42" ht="16.5" customHeight="1">
      <c r="A2620" s="439"/>
      <c r="B2620" s="439"/>
      <c r="C2620" s="439"/>
      <c r="D2620" s="439"/>
      <c r="E2620" s="439"/>
      <c r="F2620" s="439"/>
      <c r="G2620" s="451" t="s">
        <v>3406</v>
      </c>
      <c r="Z2620" s="500"/>
      <c r="AA2620" s="500"/>
      <c r="AB2620" s="500"/>
      <c r="AC2620" s="500"/>
      <c r="AD2620" s="500"/>
      <c r="AE2620" s="500"/>
      <c r="AF2620" s="500"/>
      <c r="AG2620" s="500"/>
      <c r="AH2620" s="500"/>
      <c r="AI2620" s="500"/>
      <c r="AJ2620" s="500"/>
      <c r="AK2620" s="500"/>
      <c r="AL2620" s="500"/>
      <c r="AM2620" s="500"/>
      <c r="AN2620" s="500"/>
      <c r="AO2620" s="500"/>
      <c r="AP2620" s="500"/>
    </row>
    <row r="2621" spans="1:42" ht="16.5" customHeight="1">
      <c r="A2621" s="434" t="s">
        <v>3498</v>
      </c>
      <c r="B2621" s="505" t="str">
        <f>" 조경공 :  "&amp;TEXT(I2621,"#,##0"&amp;IF(I2621&lt;&gt;INT(I2621),".###",""))&amp;" * "&amp;AA2621&amp;" 인  / Q = "&amp;TEXT(C2621,"#,##0.0")&amp;""</f>
        <v xml:space="preserve"> 조경공 :  235,204 * 4 인  / Q = 62,721.0</v>
      </c>
      <c r="C2621" s="506">
        <f>E2621+D2621+F2621</f>
        <v>62721</v>
      </c>
      <c r="D2621" s="506">
        <f>IF(H2621=0,0,ROUNDDOWN(J2621*H2621,1))</f>
        <v>62721</v>
      </c>
      <c r="E2621" s="506">
        <f>IF(H2621=0,0,ROUNDDOWN(K2621*H2621,1))</f>
        <v>0</v>
      </c>
      <c r="F2621" s="506">
        <f>IF(H2621=0,0,ROUNDDOWN(L2621*H2621,1))</f>
        <v>0</v>
      </c>
      <c r="G2621" s="451" t="s">
        <v>3653</v>
      </c>
      <c r="H2621" s="507">
        <f>ROUNDUP(AE2621,14-LEN(ABS(INT(AE2621))))</f>
        <v>0.26666666666669997</v>
      </c>
      <c r="I2621" s="508">
        <f>K2621+J2621+L2621</f>
        <v>235204</v>
      </c>
      <c r="J2621" s="509">
        <f>노무비목록표!E15</f>
        <v>235204</v>
      </c>
      <c r="M2621" s="501" t="s">
        <v>2359</v>
      </c>
      <c r="N2621" s="501" t="s">
        <v>3416</v>
      </c>
      <c r="X2621" s="510" t="str">
        <f>노무비목록표!B15&amp;" / "&amp;노무비목록표!C15</f>
        <v xml:space="preserve">조경공 / </v>
      </c>
      <c r="Y2621" s="433" t="str">
        <f ca="1">HYPERLINK("#"&amp;노무비목록표!G2&amp;"!A"&amp;ROW(노무비목록표!A15),"L00184 →")</f>
        <v>L00184 →</v>
      </c>
      <c r="Z2621" s="501" t="s">
        <v>3500</v>
      </c>
      <c r="AA2621" s="515">
        <v>4</v>
      </c>
      <c r="AB2621" s="501" t="s">
        <v>3428</v>
      </c>
      <c r="AC2621" s="512">
        <f>AB2612</f>
        <v>15</v>
      </c>
      <c r="AD2621" s="501" t="s">
        <v>3418</v>
      </c>
      <c r="AE2621" s="512">
        <f>1*AA2621/AB2612</f>
        <v>0.26666666666666666</v>
      </c>
      <c r="AF2621" s="500"/>
      <c r="AG2621" s="500"/>
      <c r="AH2621" s="500"/>
      <c r="AI2621" s="500"/>
      <c r="AJ2621" s="500"/>
      <c r="AK2621" s="500"/>
      <c r="AL2621" s="500"/>
      <c r="AM2621" s="500"/>
      <c r="AN2621" s="500"/>
      <c r="AO2621" s="500"/>
      <c r="AP2621" s="500"/>
    </row>
    <row r="2622" spans="1:42" ht="16.5" customHeight="1">
      <c r="A2622" s="439"/>
      <c r="B2622" s="439"/>
      <c r="C2622" s="439"/>
      <c r="D2622" s="439"/>
      <c r="E2622" s="439"/>
      <c r="F2622" s="439"/>
      <c r="G2622" s="451" t="s">
        <v>3406</v>
      </c>
      <c r="Z2622" s="500"/>
      <c r="AA2622" s="500"/>
      <c r="AB2622" s="500"/>
      <c r="AC2622" s="500"/>
      <c r="AD2622" s="500"/>
      <c r="AE2622" s="500"/>
      <c r="AF2622" s="500"/>
      <c r="AG2622" s="500"/>
      <c r="AH2622" s="500"/>
      <c r="AI2622" s="500"/>
      <c r="AJ2622" s="500"/>
      <c r="AK2622" s="500"/>
      <c r="AL2622" s="500"/>
      <c r="AM2622" s="500"/>
      <c r="AN2622" s="500"/>
      <c r="AO2622" s="500"/>
      <c r="AP2622" s="500"/>
    </row>
    <row r="2623" spans="1:42" ht="16.5" customHeight="1">
      <c r="A2623" s="439"/>
      <c r="B2623" s="439"/>
      <c r="C2623" s="439"/>
      <c r="D2623" s="439"/>
      <c r="E2623" s="439"/>
      <c r="F2623" s="439"/>
      <c r="G2623" s="451" t="s">
        <v>3406</v>
      </c>
      <c r="Z2623" s="500"/>
      <c r="AA2623" s="500"/>
      <c r="AB2623" s="500"/>
      <c r="AC2623" s="500"/>
      <c r="AD2623" s="500"/>
      <c r="AE2623" s="500"/>
      <c r="AF2623" s="500"/>
      <c r="AG2623" s="500"/>
      <c r="AH2623" s="500"/>
      <c r="AI2623" s="500"/>
      <c r="AJ2623" s="500"/>
      <c r="AK2623" s="500"/>
      <c r="AL2623" s="500"/>
      <c r="AM2623" s="500"/>
      <c r="AN2623" s="500"/>
      <c r="AO2623" s="500"/>
      <c r="AP2623" s="500"/>
    </row>
    <row r="2624" spans="1:42" ht="16.5" customHeight="1">
      <c r="A2624" s="434" t="s">
        <v>3414</v>
      </c>
      <c r="B2624" s="505" t="str">
        <f>" 보통인부 : "&amp;TEXT(I2624,"#,##0"&amp;IF(I2624&lt;&gt;INT(I2624),".###",""))&amp;" * "&amp;AA2624&amp;" 인  / Q = "&amp;TEXT(C2624,"#,##0.0")&amp;""</f>
        <v xml:space="preserve"> 보통인부 : 172,068 * 2 인  / Q = 22,942.4</v>
      </c>
      <c r="C2624" s="506">
        <f>E2624+D2624+F2624</f>
        <v>22942.400000000001</v>
      </c>
      <c r="D2624" s="506">
        <f>IF(H2624=0,0,ROUNDDOWN(J2624*H2624,1))</f>
        <v>22942.400000000001</v>
      </c>
      <c r="E2624" s="506">
        <f>IF(H2624=0,0,ROUNDDOWN(K2624*H2624,1))</f>
        <v>0</v>
      </c>
      <c r="F2624" s="506">
        <f>IF(H2624=0,0,ROUNDDOWN(L2624*H2624,1))</f>
        <v>0</v>
      </c>
      <c r="G2624" s="451" t="s">
        <v>3654</v>
      </c>
      <c r="H2624" s="507">
        <f>ROUNDUP(AE2624,14-LEN(ABS(INT(AE2624))))</f>
        <v>0.1333333333334</v>
      </c>
      <c r="I2624" s="508">
        <f>K2624+J2624+L2624</f>
        <v>172068</v>
      </c>
      <c r="J2624" s="509">
        <f>노무비목록표!E10</f>
        <v>172068</v>
      </c>
      <c r="M2624" s="501" t="s">
        <v>2363</v>
      </c>
      <c r="N2624" s="501" t="s">
        <v>3416</v>
      </c>
      <c r="X2624" s="510" t="str">
        <f>노무비목록표!B10&amp;" / "&amp;노무비목록표!C10</f>
        <v xml:space="preserve">보통인부 / </v>
      </c>
      <c r="Y2624" s="433" t="str">
        <f ca="1">HYPERLINK("#"&amp;노무비목록표!G2&amp;"!A"&amp;ROW(노무비목록표!A10),"L00017 →")</f>
        <v>L00017 →</v>
      </c>
      <c r="Z2624" s="501" t="s">
        <v>3500</v>
      </c>
      <c r="AA2624" s="515">
        <v>2</v>
      </c>
      <c r="AB2624" s="501" t="s">
        <v>3428</v>
      </c>
      <c r="AC2624" s="512">
        <f>AB2612</f>
        <v>15</v>
      </c>
      <c r="AD2624" s="501" t="s">
        <v>3418</v>
      </c>
      <c r="AE2624" s="512">
        <f>1*AA2624/AB2612</f>
        <v>0.13333333333333333</v>
      </c>
      <c r="AF2624" s="500"/>
      <c r="AG2624" s="500"/>
      <c r="AH2624" s="500"/>
      <c r="AI2624" s="500"/>
      <c r="AJ2624" s="500"/>
      <c r="AK2624" s="500"/>
      <c r="AL2624" s="500"/>
      <c r="AM2624" s="500"/>
      <c r="AN2624" s="500"/>
      <c r="AO2624" s="500"/>
      <c r="AP2624" s="500"/>
    </row>
    <row r="2625" spans="1:42" ht="16.5" customHeight="1">
      <c r="A2625" s="439"/>
      <c r="B2625" s="439"/>
      <c r="C2625" s="439"/>
      <c r="D2625" s="439"/>
      <c r="E2625" s="439"/>
      <c r="F2625" s="439"/>
      <c r="G2625" s="451" t="s">
        <v>3406</v>
      </c>
      <c r="Z2625" s="500"/>
      <c r="AA2625" s="500"/>
      <c r="AB2625" s="500"/>
      <c r="AC2625" s="500"/>
      <c r="AD2625" s="500"/>
      <c r="AE2625" s="500"/>
      <c r="AF2625" s="500"/>
      <c r="AG2625" s="500"/>
      <c r="AH2625" s="500"/>
      <c r="AI2625" s="500"/>
      <c r="AJ2625" s="500"/>
      <c r="AK2625" s="500"/>
      <c r="AL2625" s="500"/>
      <c r="AM2625" s="500"/>
      <c r="AN2625" s="500"/>
      <c r="AO2625" s="500"/>
      <c r="AP2625" s="500"/>
    </row>
    <row r="2626" spans="1:42" ht="16.5" customHeight="1">
      <c r="A2626" s="434"/>
      <c r="B2626" s="437" t="s">
        <v>3419</v>
      </c>
      <c r="C2626" s="513">
        <f>E2626+D2626+F2626</f>
        <v>85663.4</v>
      </c>
      <c r="D2626" s="513">
        <f>SUMIF(N2607:N2625,M2626,D2607:D2625)</f>
        <v>85663.4</v>
      </c>
      <c r="E2626" s="513">
        <f>SUMIF(N2607:N2625,M2626,E2607:E2625)</f>
        <v>0</v>
      </c>
      <c r="F2626" s="513">
        <f>SUMIF(N2607:N2625,M2626,F2607:F2625)</f>
        <v>0</v>
      </c>
      <c r="G2626" s="451" t="s">
        <v>3439</v>
      </c>
      <c r="M2626" s="501" t="s">
        <v>3416</v>
      </c>
      <c r="N2626" s="501" t="s">
        <v>3421</v>
      </c>
      <c r="Z2626" s="500"/>
      <c r="AA2626" s="500"/>
      <c r="AB2626" s="500"/>
      <c r="AC2626" s="500"/>
      <c r="AD2626" s="500"/>
      <c r="AE2626" s="500"/>
      <c r="AF2626" s="500"/>
      <c r="AG2626" s="500"/>
      <c r="AH2626" s="500"/>
      <c r="AI2626" s="500"/>
      <c r="AJ2626" s="500"/>
      <c r="AK2626" s="500"/>
      <c r="AL2626" s="500"/>
      <c r="AM2626" s="500"/>
      <c r="AN2626" s="500"/>
      <c r="AO2626" s="500"/>
      <c r="AP2626" s="500"/>
    </row>
    <row r="2627" spans="1:42" ht="16.5" customHeight="1">
      <c r="A2627" s="439"/>
      <c r="B2627" s="439"/>
      <c r="C2627" s="504"/>
      <c r="D2627" s="504"/>
      <c r="E2627" s="504"/>
      <c r="F2627" s="504"/>
      <c r="G2627" s="451" t="s">
        <v>3406</v>
      </c>
      <c r="Z2627" s="500"/>
      <c r="AA2627" s="500"/>
      <c r="AB2627" s="500"/>
      <c r="AC2627" s="500"/>
      <c r="AD2627" s="500"/>
      <c r="AE2627" s="500"/>
      <c r="AF2627" s="500"/>
      <c r="AG2627" s="500"/>
      <c r="AH2627" s="500"/>
      <c r="AI2627" s="500"/>
      <c r="AJ2627" s="500"/>
      <c r="AK2627" s="500"/>
      <c r="AL2627" s="500"/>
      <c r="AM2627" s="500"/>
      <c r="AN2627" s="500"/>
      <c r="AO2627" s="500"/>
      <c r="AP2627" s="500"/>
    </row>
    <row r="2628" spans="1:42" ht="16.5" customHeight="1">
      <c r="A2628" s="439"/>
      <c r="B2628" s="439"/>
      <c r="C2628" s="439"/>
      <c r="D2628" s="439"/>
      <c r="E2628" s="439"/>
      <c r="F2628" s="439"/>
      <c r="G2628" s="451" t="s">
        <v>3406</v>
      </c>
      <c r="Z2628" s="500"/>
      <c r="AA2628" s="500"/>
      <c r="AB2628" s="500"/>
      <c r="AC2628" s="500"/>
      <c r="AD2628" s="500"/>
      <c r="AE2628" s="500"/>
      <c r="AF2628" s="500"/>
      <c r="AG2628" s="500"/>
      <c r="AH2628" s="500"/>
      <c r="AI2628" s="500"/>
      <c r="AJ2628" s="500"/>
      <c r="AK2628" s="500"/>
      <c r="AL2628" s="500"/>
      <c r="AM2628" s="500"/>
      <c r="AN2628" s="500"/>
      <c r="AO2628" s="500"/>
      <c r="AP2628" s="500"/>
    </row>
    <row r="2629" spans="1:42" ht="16.5" customHeight="1">
      <c r="A2629" s="434"/>
      <c r="B2629" s="437" t="s">
        <v>3502</v>
      </c>
      <c r="C2629" s="439"/>
      <c r="D2629" s="439"/>
      <c r="E2629" s="439"/>
      <c r="F2629" s="439"/>
      <c r="G2629" s="451" t="s">
        <v>3503</v>
      </c>
      <c r="Z2629" s="500"/>
      <c r="AA2629" s="500"/>
      <c r="AB2629" s="500"/>
      <c r="AC2629" s="500"/>
      <c r="AD2629" s="500"/>
      <c r="AE2629" s="500"/>
      <c r="AF2629" s="500"/>
      <c r="AG2629" s="500"/>
      <c r="AH2629" s="500"/>
      <c r="AI2629" s="500"/>
      <c r="AJ2629" s="500"/>
      <c r="AK2629" s="500"/>
      <c r="AL2629" s="500"/>
      <c r="AM2629" s="500"/>
      <c r="AN2629" s="500"/>
      <c r="AO2629" s="500"/>
      <c r="AP2629" s="500"/>
    </row>
    <row r="2630" spans="1:42" ht="16.5" customHeight="1">
      <c r="A2630" s="439"/>
      <c r="B2630" s="439"/>
      <c r="C2630" s="439"/>
      <c r="D2630" s="439"/>
      <c r="E2630" s="439"/>
      <c r="F2630" s="439"/>
      <c r="G2630" s="451" t="s">
        <v>3406</v>
      </c>
      <c r="Z2630" s="500"/>
      <c r="AA2630" s="500"/>
      <c r="AB2630" s="500"/>
      <c r="AC2630" s="500"/>
      <c r="AD2630" s="500"/>
      <c r="AE2630" s="500"/>
      <c r="AF2630" s="500"/>
      <c r="AG2630" s="500"/>
      <c r="AH2630" s="500"/>
      <c r="AI2630" s="500"/>
      <c r="AJ2630" s="500"/>
      <c r="AK2630" s="500"/>
      <c r="AL2630" s="500"/>
      <c r="AM2630" s="500"/>
      <c r="AN2630" s="500"/>
      <c r="AO2630" s="500"/>
      <c r="AP2630" s="500"/>
    </row>
    <row r="2631" spans="1:42" ht="16.5" customHeight="1">
      <c r="A2631" s="434" t="s">
        <v>3634</v>
      </c>
      <c r="B2631" s="505" t="str">
        <f>"  지주목 삼발이, L1500 : "&amp;TEXT(I2631,"#,##0"&amp;IF(I2631&lt;&gt;INT(I2631),".###",""))&amp;" * "&amp;AA2631&amp;" 조  = "&amp;TEXT(C2631,"#,##0.0")&amp;""</f>
        <v xml:space="preserve">  지주목 삼발이, L1500 : 11,000 * 1 조  = 11,000.0</v>
      </c>
      <c r="C2631" s="506">
        <f>E2631+D2631+F2631</f>
        <v>11000</v>
      </c>
      <c r="D2631" s="506">
        <f>IF(H2631=0,0,ROUNDDOWN(J2631*H2631,1))</f>
        <v>0</v>
      </c>
      <c r="E2631" s="506">
        <f>IF(H2631=0,0,ROUNDDOWN(K2631*H2631,1))</f>
        <v>11000</v>
      </c>
      <c r="F2631" s="506">
        <f>IF(H2631=0,0,ROUNDDOWN(L2631*H2631,1))</f>
        <v>0</v>
      </c>
      <c r="G2631" s="451" t="s">
        <v>3635</v>
      </c>
      <c r="H2631" s="507">
        <f>ROUNDUP(AC2631,14-LEN(ABS(INT(AC2631))))</f>
        <v>1</v>
      </c>
      <c r="I2631" s="508">
        <f>K2631+J2631+L2631</f>
        <v>11000</v>
      </c>
      <c r="K2631" s="509">
        <f>재료비목록표!E91</f>
        <v>11000</v>
      </c>
      <c r="M2631" s="501" t="s">
        <v>3636</v>
      </c>
      <c r="N2631" s="501" t="s">
        <v>3416</v>
      </c>
      <c r="X2631" s="510" t="str">
        <f>재료비목록표!B91&amp;" / "&amp;재료비목록표!C91</f>
        <v>지주목 / 삼발이, L1500</v>
      </c>
      <c r="Y2631" s="433" t="str">
        <f ca="1">HYPERLINK("#"&amp;재료비목록표!G2&amp;"!A"&amp;ROW(재료비목록표!A91),"M08849 →")</f>
        <v>M08849 →</v>
      </c>
      <c r="Z2631" s="501" t="s">
        <v>3500</v>
      </c>
      <c r="AA2631" s="515">
        <v>1</v>
      </c>
      <c r="AB2631" s="501" t="s">
        <v>3418</v>
      </c>
      <c r="AC2631" s="512">
        <f>1*AA2631</f>
        <v>1</v>
      </c>
      <c r="AD2631" s="500"/>
      <c r="AE2631" s="500"/>
      <c r="AF2631" s="500"/>
      <c r="AG2631" s="500"/>
      <c r="AH2631" s="500"/>
      <c r="AI2631" s="500"/>
      <c r="AJ2631" s="500"/>
      <c r="AK2631" s="500"/>
      <c r="AL2631" s="500"/>
      <c r="AM2631" s="500"/>
      <c r="AN2631" s="500"/>
      <c r="AO2631" s="500"/>
      <c r="AP2631" s="500"/>
    </row>
    <row r="2632" spans="1:42" ht="16.5" customHeight="1">
      <c r="A2632" s="439"/>
      <c r="B2632" s="439"/>
      <c r="C2632" s="439"/>
      <c r="D2632" s="439"/>
      <c r="E2632" s="439"/>
      <c r="F2632" s="439"/>
      <c r="G2632" s="451" t="s">
        <v>3406</v>
      </c>
      <c r="Z2632" s="500"/>
      <c r="AA2632" s="500"/>
      <c r="AB2632" s="500"/>
      <c r="AC2632" s="500"/>
      <c r="AD2632" s="500"/>
      <c r="AE2632" s="500"/>
      <c r="AF2632" s="500"/>
      <c r="AG2632" s="500"/>
      <c r="AH2632" s="500"/>
      <c r="AI2632" s="500"/>
      <c r="AJ2632" s="500"/>
      <c r="AK2632" s="500"/>
      <c r="AL2632" s="500"/>
      <c r="AM2632" s="500"/>
      <c r="AN2632" s="500"/>
      <c r="AO2632" s="500"/>
      <c r="AP2632" s="500"/>
    </row>
    <row r="2633" spans="1:42" ht="16.5" customHeight="1">
      <c r="A2633" s="439"/>
      <c r="B2633" s="439"/>
      <c r="C2633" s="439"/>
      <c r="D2633" s="439"/>
      <c r="E2633" s="439"/>
      <c r="F2633" s="439"/>
      <c r="G2633" s="451" t="s">
        <v>3406</v>
      </c>
      <c r="Z2633" s="500"/>
      <c r="AA2633" s="500"/>
      <c r="AB2633" s="500"/>
      <c r="AC2633" s="500"/>
      <c r="AD2633" s="500"/>
      <c r="AE2633" s="500"/>
      <c r="AF2633" s="500"/>
      <c r="AG2633" s="500"/>
      <c r="AH2633" s="500"/>
      <c r="AI2633" s="500"/>
      <c r="AJ2633" s="500"/>
      <c r="AK2633" s="500"/>
      <c r="AL2633" s="500"/>
      <c r="AM2633" s="500"/>
      <c r="AN2633" s="500"/>
      <c r="AO2633" s="500"/>
      <c r="AP2633" s="500"/>
    </row>
    <row r="2634" spans="1:42" ht="16.5" customHeight="1">
      <c r="A2634" s="439"/>
      <c r="B2634" s="439"/>
      <c r="C2634" s="439"/>
      <c r="D2634" s="439"/>
      <c r="E2634" s="439"/>
      <c r="F2634" s="439"/>
      <c r="G2634" s="451" t="s">
        <v>3406</v>
      </c>
      <c r="Z2634" s="500"/>
      <c r="AA2634" s="500"/>
      <c r="AB2634" s="500"/>
      <c r="AC2634" s="500"/>
      <c r="AD2634" s="500"/>
      <c r="AE2634" s="500"/>
      <c r="AF2634" s="500"/>
      <c r="AG2634" s="500"/>
      <c r="AH2634" s="500"/>
      <c r="AI2634" s="500"/>
      <c r="AJ2634" s="500"/>
      <c r="AK2634" s="500"/>
      <c r="AL2634" s="500"/>
      <c r="AM2634" s="500"/>
      <c r="AN2634" s="500"/>
      <c r="AO2634" s="500"/>
      <c r="AP2634" s="500"/>
    </row>
    <row r="2635" spans="1:42" ht="16.5" customHeight="1">
      <c r="A2635" s="434" t="s">
        <v>3504</v>
      </c>
      <c r="B2635" s="505" t="str">
        <f>"  유기질비료 수목이식·식재용 : "&amp;TEXT(I2635,"#,##0"&amp;IF(I2635&lt;&gt;INT(I2635),".###",""))&amp;" * "&amp;AA2635&amp;" KG   = "&amp;TEXT(C2635,"#,##0.0")&amp;""</f>
        <v xml:space="preserve">  유기질비료 수목이식·식재용 : 500 * 10 KG   = 5,000.0</v>
      </c>
      <c r="C2635" s="506">
        <f>E2635+D2635+F2635</f>
        <v>5000</v>
      </c>
      <c r="D2635" s="506">
        <f>IF(H2635=0,0,ROUNDDOWN(J2635*H2635,1))</f>
        <v>0</v>
      </c>
      <c r="E2635" s="506">
        <f>IF(H2635=0,0,ROUNDDOWN(K2635*H2635,1))</f>
        <v>5000</v>
      </c>
      <c r="F2635" s="506">
        <f>IF(H2635=0,0,ROUNDDOWN(L2635*H2635,1))</f>
        <v>0</v>
      </c>
      <c r="G2635" s="451" t="s">
        <v>3631</v>
      </c>
      <c r="H2635" s="507">
        <f>ROUNDUP(AC2635,14-LEN(ABS(INT(AC2635))))</f>
        <v>10</v>
      </c>
      <c r="I2635" s="508">
        <f>K2635+J2635+L2635</f>
        <v>500</v>
      </c>
      <c r="K2635" s="509">
        <f>재료비목록표!E78</f>
        <v>500</v>
      </c>
      <c r="M2635" s="501" t="s">
        <v>3506</v>
      </c>
      <c r="N2635" s="501" t="s">
        <v>3416</v>
      </c>
      <c r="X2635" s="510" t="str">
        <f>재료비목록표!B78&amp;" / "&amp;재료비목록표!C78</f>
        <v>유기질비료 / 수목이식·식재용</v>
      </c>
      <c r="Y2635" s="433" t="str">
        <f ca="1">HYPERLINK("#"&amp;재료비목록표!G2&amp;"!A"&amp;ROW(재료비목록표!A78),"M01159 →")</f>
        <v>M01159 →</v>
      </c>
      <c r="Z2635" s="501" t="s">
        <v>3500</v>
      </c>
      <c r="AA2635" s="515">
        <v>10</v>
      </c>
      <c r="AB2635" s="501" t="s">
        <v>3418</v>
      </c>
      <c r="AC2635" s="512">
        <f>1*AA2635</f>
        <v>10</v>
      </c>
      <c r="AD2635" s="500"/>
      <c r="AE2635" s="500"/>
      <c r="AF2635" s="500"/>
      <c r="AG2635" s="500"/>
      <c r="AH2635" s="500"/>
      <c r="AI2635" s="500"/>
      <c r="AJ2635" s="500"/>
      <c r="AK2635" s="500"/>
      <c r="AL2635" s="500"/>
      <c r="AM2635" s="500"/>
      <c r="AN2635" s="500"/>
      <c r="AO2635" s="500"/>
      <c r="AP2635" s="500"/>
    </row>
    <row r="2636" spans="1:42" ht="16.5" customHeight="1">
      <c r="A2636" s="439"/>
      <c r="B2636" s="439"/>
      <c r="C2636" s="439"/>
      <c r="D2636" s="439"/>
      <c r="E2636" s="439"/>
      <c r="F2636" s="439"/>
      <c r="G2636" s="451" t="s">
        <v>3406</v>
      </c>
      <c r="Z2636" s="500"/>
      <c r="AA2636" s="500"/>
      <c r="AB2636" s="500"/>
      <c r="AC2636" s="500"/>
      <c r="AD2636" s="500"/>
      <c r="AE2636" s="500"/>
      <c r="AF2636" s="500"/>
      <c r="AG2636" s="500"/>
      <c r="AH2636" s="500"/>
      <c r="AI2636" s="500"/>
      <c r="AJ2636" s="500"/>
      <c r="AK2636" s="500"/>
      <c r="AL2636" s="500"/>
      <c r="AM2636" s="500"/>
      <c r="AN2636" s="500"/>
      <c r="AO2636" s="500"/>
      <c r="AP2636" s="500"/>
    </row>
    <row r="2637" spans="1:42" ht="16.5" customHeight="1">
      <c r="A2637" s="434"/>
      <c r="B2637" s="437" t="s">
        <v>3419</v>
      </c>
      <c r="C2637" s="513">
        <f>E2637+D2637+F2637</f>
        <v>16000</v>
      </c>
      <c r="D2637" s="513">
        <f>SUMIF(N2627:N2636,M2637,D2627:D2636)</f>
        <v>0</v>
      </c>
      <c r="E2637" s="513">
        <f>SUMIF(N2627:N2636,M2637,E2627:E2636)</f>
        <v>16000</v>
      </c>
      <c r="F2637" s="513">
        <f>SUMIF(N2627:N2636,M2637,F2627:F2636)</f>
        <v>0</v>
      </c>
      <c r="G2637" s="451" t="s">
        <v>3439</v>
      </c>
      <c r="M2637" s="501" t="s">
        <v>3416</v>
      </c>
      <c r="N2637" s="501" t="s">
        <v>3421</v>
      </c>
      <c r="Z2637" s="500"/>
      <c r="AA2637" s="500"/>
      <c r="AB2637" s="500"/>
      <c r="AC2637" s="500"/>
      <c r="AD2637" s="500"/>
      <c r="AE2637" s="500"/>
      <c r="AF2637" s="500"/>
      <c r="AG2637" s="500"/>
      <c r="AH2637" s="500"/>
      <c r="AI2637" s="500"/>
      <c r="AJ2637" s="500"/>
      <c r="AK2637" s="500"/>
      <c r="AL2637" s="500"/>
      <c r="AM2637" s="500"/>
      <c r="AN2637" s="500"/>
      <c r="AO2637" s="500"/>
      <c r="AP2637" s="500"/>
    </row>
    <row r="2638" spans="1:42" ht="16.5" customHeight="1">
      <c r="A2638" s="439"/>
      <c r="B2638" s="439"/>
      <c r="C2638" s="504"/>
      <c r="D2638" s="504"/>
      <c r="E2638" s="504"/>
      <c r="F2638" s="504"/>
      <c r="G2638" s="451" t="s">
        <v>3406</v>
      </c>
      <c r="Z2638" s="500"/>
      <c r="AA2638" s="500"/>
      <c r="AB2638" s="500"/>
      <c r="AC2638" s="500"/>
      <c r="AD2638" s="500"/>
      <c r="AE2638" s="500"/>
      <c r="AF2638" s="500"/>
      <c r="AG2638" s="500"/>
      <c r="AH2638" s="500"/>
      <c r="AI2638" s="500"/>
      <c r="AJ2638" s="500"/>
      <c r="AK2638" s="500"/>
      <c r="AL2638" s="500"/>
      <c r="AM2638" s="500"/>
      <c r="AN2638" s="500"/>
      <c r="AO2638" s="500"/>
      <c r="AP2638" s="500"/>
    </row>
    <row r="2639" spans="1:42" ht="16.5" customHeight="1">
      <c r="A2639" s="434"/>
      <c r="B2639" s="505" t="str">
        <f>"  산지할증 : "&amp;TEXT(I2639,"#,##0.0")&amp;" * "&amp;AA2639&amp;" %  = "&amp;TEXT(C2639,"#,##0.0")&amp;""</f>
        <v xml:space="preserve">  산지할증 : 85,663.4 * 15 %  = 12,849.5</v>
      </c>
      <c r="C2639" s="506">
        <f>E2639+D2639+F2639</f>
        <v>12849.5</v>
      </c>
      <c r="D2639" s="506">
        <f>IF(H2639=0,0,ROUNDDOWN(J2639*H2639/100,1))</f>
        <v>12849.5</v>
      </c>
      <c r="E2639" s="506">
        <f>IF(H2639=0,0,ROUNDDOWN(K2639*H2639/100,1))</f>
        <v>0</v>
      </c>
      <c r="F2639" s="506">
        <f>IF(H2639=0,0,ROUNDDOWN(L2639*H2639/100,1))</f>
        <v>0</v>
      </c>
      <c r="G2639" s="451" t="s">
        <v>5587</v>
      </c>
      <c r="H2639" s="507">
        <f>ROUNDUP(AC2639,14-LEN(ABS(INT(AC2639))))</f>
        <v>15</v>
      </c>
      <c r="I2639" s="508">
        <f>K2639+J2639+L2639</f>
        <v>85663.4</v>
      </c>
      <c r="J2639" s="508">
        <f>D2626+D2637+SUMIF(N2638:N2638,N2639,D2638:D2638)</f>
        <v>85663.4</v>
      </c>
      <c r="K2639" s="456">
        <v>0</v>
      </c>
      <c r="L2639" s="456">
        <v>0</v>
      </c>
      <c r="M2639" s="501" t="s">
        <v>5605</v>
      </c>
      <c r="N2639" s="501" t="s">
        <v>3416</v>
      </c>
      <c r="Z2639" s="501" t="s">
        <v>3500</v>
      </c>
      <c r="AA2639" s="515">
        <v>15</v>
      </c>
      <c r="AB2639" s="501" t="s">
        <v>3418</v>
      </c>
      <c r="AC2639" s="512">
        <f>1*AA2639</f>
        <v>15</v>
      </c>
      <c r="AD2639" s="500"/>
      <c r="AE2639" s="500"/>
      <c r="AF2639" s="500"/>
      <c r="AG2639" s="500"/>
      <c r="AH2639" s="500"/>
      <c r="AI2639" s="500"/>
      <c r="AJ2639" s="500"/>
      <c r="AK2639" s="500"/>
      <c r="AL2639" s="500"/>
      <c r="AM2639" s="500"/>
      <c r="AN2639" s="500"/>
      <c r="AO2639" s="500"/>
      <c r="AP2639" s="500"/>
    </row>
    <row r="2640" spans="1:42" ht="16.5" customHeight="1">
      <c r="A2640" s="439"/>
      <c r="B2640" s="439"/>
      <c r="C2640" s="439"/>
      <c r="D2640" s="439"/>
      <c r="E2640" s="439"/>
      <c r="F2640" s="439"/>
      <c r="G2640" s="451" t="s">
        <v>3406</v>
      </c>
      <c r="Z2640" s="500"/>
      <c r="AA2640" s="500"/>
      <c r="AB2640" s="500"/>
      <c r="AC2640" s="500"/>
      <c r="AD2640" s="500"/>
      <c r="AE2640" s="500"/>
      <c r="AF2640" s="500"/>
      <c r="AG2640" s="500"/>
      <c r="AH2640" s="500"/>
      <c r="AI2640" s="500"/>
      <c r="AJ2640" s="500"/>
      <c r="AK2640" s="500"/>
      <c r="AL2640" s="500"/>
      <c r="AM2640" s="500"/>
      <c r="AN2640" s="500"/>
      <c r="AO2640" s="500"/>
      <c r="AP2640" s="500"/>
    </row>
    <row r="2641" spans="1:42" ht="16.5" customHeight="1">
      <c r="A2641" s="434"/>
      <c r="B2641" s="437" t="s">
        <v>3419</v>
      </c>
      <c r="C2641" s="513">
        <f>E2641+D2641+F2641</f>
        <v>12849.5</v>
      </c>
      <c r="D2641" s="513">
        <f>SUMIF(N2638:N2640,M2641,D2638:D2640)</f>
        <v>12849.5</v>
      </c>
      <c r="E2641" s="513">
        <f>SUMIF(N2638:N2640,M2641,E2638:E2640)</f>
        <v>0</v>
      </c>
      <c r="F2641" s="513">
        <f>SUMIF(N2638:N2640,M2641,F2638:F2640)</f>
        <v>0</v>
      </c>
      <c r="G2641" s="451" t="s">
        <v>3439</v>
      </c>
      <c r="M2641" s="501" t="s">
        <v>3416</v>
      </c>
      <c r="N2641" s="501" t="s">
        <v>3421</v>
      </c>
      <c r="Z2641" s="500"/>
      <c r="AA2641" s="500"/>
      <c r="AB2641" s="500"/>
      <c r="AC2641" s="500"/>
      <c r="AD2641" s="500"/>
      <c r="AE2641" s="500"/>
      <c r="AF2641" s="500"/>
      <c r="AG2641" s="500"/>
      <c r="AH2641" s="500"/>
      <c r="AI2641" s="500"/>
      <c r="AJ2641" s="500"/>
      <c r="AK2641" s="500"/>
      <c r="AL2641" s="500"/>
      <c r="AM2641" s="500"/>
      <c r="AN2641" s="500"/>
      <c r="AO2641" s="500"/>
      <c r="AP2641" s="500"/>
    </row>
    <row r="2642" spans="1:42" ht="16.5" customHeight="1">
      <c r="A2642" s="439"/>
      <c r="B2642" s="439"/>
      <c r="C2642" s="504"/>
      <c r="D2642" s="504"/>
      <c r="E2642" s="504"/>
      <c r="F2642" s="504"/>
      <c r="G2642" s="451" t="s">
        <v>3406</v>
      </c>
      <c r="Z2642" s="500"/>
      <c r="AA2642" s="500"/>
      <c r="AB2642" s="500"/>
      <c r="AC2642" s="500"/>
      <c r="AD2642" s="500"/>
      <c r="AE2642" s="500"/>
      <c r="AF2642" s="500"/>
      <c r="AG2642" s="500"/>
      <c r="AH2642" s="500"/>
      <c r="AI2642" s="500"/>
      <c r="AJ2642" s="500"/>
      <c r="AK2642" s="500"/>
      <c r="AL2642" s="500"/>
      <c r="AM2642" s="500"/>
      <c r="AN2642" s="500"/>
      <c r="AO2642" s="500"/>
      <c r="AP2642" s="500"/>
    </row>
    <row r="2643" spans="1:42" ht="16.5" customHeight="1">
      <c r="A2643" s="434"/>
      <c r="B2643" s="437" t="s">
        <v>3440</v>
      </c>
      <c r="C2643" s="513">
        <f>E2643+D2643+F2643</f>
        <v>114512.9</v>
      </c>
      <c r="D2643" s="513">
        <f>SUMIF(N2607:N2642,M2643,D2607:D2642)</f>
        <v>98512.9</v>
      </c>
      <c r="E2643" s="513">
        <f>SUMIF(N2607:N2642,M2643,E2607:E2642)</f>
        <v>16000</v>
      </c>
      <c r="F2643" s="513">
        <f>SUMIF(N2607:N2642,M2643,F2607:F2642)</f>
        <v>0</v>
      </c>
      <c r="G2643" s="451" t="s">
        <v>3441</v>
      </c>
      <c r="M2643" s="501" t="s">
        <v>3421</v>
      </c>
      <c r="N2643" s="501" t="s">
        <v>2354</v>
      </c>
      <c r="Z2643" s="500"/>
      <c r="AA2643" s="500"/>
      <c r="AB2643" s="500"/>
      <c r="AC2643" s="500"/>
      <c r="AD2643" s="500"/>
      <c r="AE2643" s="500"/>
      <c r="AF2643" s="500"/>
      <c r="AG2643" s="500"/>
      <c r="AH2643" s="500"/>
      <c r="AI2643" s="500"/>
      <c r="AJ2643" s="500"/>
      <c r="AK2643" s="500"/>
      <c r="AL2643" s="500"/>
      <c r="AM2643" s="500"/>
      <c r="AN2643" s="500"/>
      <c r="AO2643" s="500"/>
      <c r="AP2643" s="500"/>
    </row>
    <row r="2644" spans="1:42" ht="16.5" customHeight="1">
      <c r="A2644" s="439"/>
      <c r="B2644" s="439"/>
      <c r="C2644" s="504"/>
      <c r="D2644" s="504"/>
      <c r="E2644" s="504"/>
      <c r="F2644" s="504"/>
      <c r="G2644" s="451" t="s">
        <v>3413</v>
      </c>
      <c r="Z2644" s="500"/>
      <c r="AA2644" s="500"/>
      <c r="AB2644" s="500"/>
      <c r="AC2644" s="500"/>
      <c r="AD2644" s="500"/>
      <c r="AE2644" s="500"/>
      <c r="AF2644" s="500"/>
      <c r="AG2644" s="500"/>
      <c r="AH2644" s="500"/>
      <c r="AI2644" s="500"/>
      <c r="AJ2644" s="500"/>
      <c r="AK2644" s="500"/>
      <c r="AL2644" s="500"/>
      <c r="AM2644" s="500"/>
      <c r="AN2644" s="500"/>
      <c r="AO2644" s="500"/>
      <c r="AP2644" s="500"/>
    </row>
    <row r="2645" spans="1:42" ht="16.5" customHeight="1">
      <c r="A2645" s="439"/>
      <c r="B2645" s="439"/>
      <c r="C2645" s="439"/>
      <c r="D2645" s="439"/>
      <c r="E2645" s="439"/>
      <c r="F2645" s="439"/>
      <c r="Z2645" s="500"/>
      <c r="AA2645" s="500"/>
      <c r="AB2645" s="500"/>
      <c r="AC2645" s="500"/>
      <c r="AD2645" s="500"/>
      <c r="AE2645" s="500"/>
      <c r="AF2645" s="500"/>
      <c r="AG2645" s="500"/>
      <c r="AH2645" s="500"/>
      <c r="AI2645" s="500"/>
      <c r="AJ2645" s="500"/>
      <c r="AK2645" s="500"/>
      <c r="AL2645" s="500"/>
      <c r="AM2645" s="500"/>
      <c r="AN2645" s="500"/>
      <c r="AO2645" s="500"/>
      <c r="AP2645" s="500"/>
    </row>
    <row r="2646" spans="1:42" ht="16.5" customHeight="1">
      <c r="A2646" s="439"/>
      <c r="B2646" s="439"/>
      <c r="C2646" s="439"/>
      <c r="D2646" s="439"/>
      <c r="E2646" s="439"/>
      <c r="F2646" s="439"/>
      <c r="Z2646" s="500"/>
      <c r="AA2646" s="500"/>
      <c r="AB2646" s="500"/>
      <c r="AC2646" s="500"/>
      <c r="AD2646" s="500"/>
      <c r="AE2646" s="500"/>
      <c r="AF2646" s="500"/>
      <c r="AG2646" s="500"/>
      <c r="AH2646" s="500"/>
      <c r="AI2646" s="500"/>
      <c r="AJ2646" s="500"/>
      <c r="AK2646" s="500"/>
      <c r="AL2646" s="500"/>
      <c r="AM2646" s="500"/>
      <c r="AN2646" s="500"/>
      <c r="AO2646" s="500"/>
      <c r="AP2646" s="500"/>
    </row>
    <row r="2647" spans="1:42" ht="16.5" customHeight="1">
      <c r="A2647" s="439"/>
      <c r="B2647" s="439"/>
      <c r="C2647" s="439"/>
      <c r="D2647" s="439"/>
      <c r="E2647" s="439"/>
      <c r="F2647" s="439"/>
      <c r="Z2647" s="500"/>
      <c r="AA2647" s="500"/>
      <c r="AB2647" s="500"/>
      <c r="AC2647" s="500"/>
      <c r="AD2647" s="500"/>
      <c r="AE2647" s="500"/>
      <c r="AF2647" s="500"/>
      <c r="AG2647" s="500"/>
      <c r="AH2647" s="500"/>
      <c r="AI2647" s="500"/>
      <c r="AJ2647" s="500"/>
      <c r="AK2647" s="500"/>
      <c r="AL2647" s="500"/>
      <c r="AM2647" s="500"/>
      <c r="AN2647" s="500"/>
      <c r="AO2647" s="500"/>
      <c r="AP2647" s="500"/>
    </row>
    <row r="2648" spans="1:42" ht="16.5" customHeight="1">
      <c r="A2648" s="439"/>
      <c r="B2648" s="439"/>
      <c r="C2648" s="439"/>
      <c r="D2648" s="439"/>
      <c r="E2648" s="439"/>
      <c r="F2648" s="439"/>
      <c r="Z2648" s="500"/>
      <c r="AA2648" s="500"/>
      <c r="AB2648" s="500"/>
      <c r="AC2648" s="500"/>
      <c r="AD2648" s="500"/>
      <c r="AE2648" s="500"/>
      <c r="AF2648" s="500"/>
      <c r="AG2648" s="500"/>
      <c r="AH2648" s="500"/>
      <c r="AI2648" s="500"/>
      <c r="AJ2648" s="500"/>
      <c r="AK2648" s="500"/>
      <c r="AL2648" s="500"/>
      <c r="AM2648" s="500"/>
      <c r="AN2648" s="500"/>
      <c r="AO2648" s="500"/>
      <c r="AP2648" s="500"/>
    </row>
    <row r="2649" spans="1:42" ht="16.5" customHeight="1">
      <c r="A2649" s="439"/>
      <c r="B2649" s="439"/>
      <c r="C2649" s="439"/>
      <c r="D2649" s="439"/>
      <c r="E2649" s="439"/>
      <c r="F2649" s="439"/>
      <c r="Z2649" s="500"/>
      <c r="AA2649" s="500"/>
      <c r="AB2649" s="500"/>
      <c r="AC2649" s="500"/>
      <c r="AD2649" s="500"/>
      <c r="AE2649" s="500"/>
      <c r="AF2649" s="500"/>
      <c r="AG2649" s="500"/>
      <c r="AH2649" s="500"/>
      <c r="AI2649" s="500"/>
      <c r="AJ2649" s="500"/>
      <c r="AK2649" s="500"/>
      <c r="AL2649" s="500"/>
      <c r="AM2649" s="500"/>
      <c r="AN2649" s="500"/>
      <c r="AO2649" s="500"/>
      <c r="AP2649" s="500"/>
    </row>
    <row r="2650" spans="1:42" ht="16.5" customHeight="1">
      <c r="A2650" s="439"/>
      <c r="B2650" s="439"/>
      <c r="C2650" s="439"/>
      <c r="D2650" s="439"/>
      <c r="E2650" s="439"/>
      <c r="F2650" s="439"/>
      <c r="Z2650" s="500"/>
      <c r="AA2650" s="500"/>
      <c r="AB2650" s="500"/>
      <c r="AC2650" s="500"/>
      <c r="AD2650" s="500"/>
      <c r="AE2650" s="500"/>
      <c r="AF2650" s="500"/>
      <c r="AG2650" s="500"/>
      <c r="AH2650" s="500"/>
      <c r="AI2650" s="500"/>
      <c r="AJ2650" s="500"/>
      <c r="AK2650" s="500"/>
      <c r="AL2650" s="500"/>
      <c r="AM2650" s="500"/>
      <c r="AN2650" s="500"/>
      <c r="AO2650" s="500"/>
      <c r="AP2650" s="500"/>
    </row>
    <row r="2651" spans="1:42" ht="16.5" customHeight="1">
      <c r="A2651" s="439"/>
      <c r="B2651" s="439"/>
      <c r="C2651" s="439"/>
      <c r="D2651" s="439"/>
      <c r="E2651" s="439"/>
      <c r="F2651" s="439"/>
      <c r="Z2651" s="500"/>
      <c r="AA2651" s="500"/>
      <c r="AB2651" s="500"/>
      <c r="AC2651" s="500"/>
      <c r="AD2651" s="500"/>
      <c r="AE2651" s="500"/>
      <c r="AF2651" s="500"/>
      <c r="AG2651" s="500"/>
      <c r="AH2651" s="500"/>
      <c r="AI2651" s="500"/>
      <c r="AJ2651" s="500"/>
      <c r="AK2651" s="500"/>
      <c r="AL2651" s="500"/>
      <c r="AM2651" s="500"/>
      <c r="AN2651" s="500"/>
      <c r="AO2651" s="500"/>
      <c r="AP2651" s="500"/>
    </row>
    <row r="2652" spans="1:42" ht="16.5" customHeight="1">
      <c r="A2652" s="439"/>
      <c r="B2652" s="439"/>
      <c r="C2652" s="439"/>
      <c r="D2652" s="439"/>
      <c r="E2652" s="439"/>
      <c r="F2652" s="439"/>
      <c r="Z2652" s="500"/>
      <c r="AA2652" s="500"/>
      <c r="AB2652" s="500"/>
      <c r="AC2652" s="500"/>
      <c r="AD2652" s="500"/>
      <c r="AE2652" s="500"/>
      <c r="AF2652" s="500"/>
      <c r="AG2652" s="500"/>
      <c r="AH2652" s="500"/>
      <c r="AI2652" s="500"/>
      <c r="AJ2652" s="500"/>
      <c r="AK2652" s="500"/>
      <c r="AL2652" s="500"/>
      <c r="AM2652" s="500"/>
      <c r="AN2652" s="500"/>
      <c r="AO2652" s="500"/>
      <c r="AP2652" s="500"/>
    </row>
    <row r="2653" spans="1:42" ht="16.5" customHeight="1">
      <c r="A2653" s="497"/>
      <c r="B2653" s="497"/>
      <c r="C2653" s="497"/>
      <c r="D2653" s="497"/>
      <c r="E2653" s="497"/>
      <c r="F2653" s="497"/>
      <c r="Z2653" s="500"/>
      <c r="AA2653" s="500"/>
      <c r="AB2653" s="500"/>
      <c r="AC2653" s="500"/>
      <c r="AD2653" s="500"/>
      <c r="AE2653" s="500"/>
      <c r="AF2653" s="500"/>
      <c r="AG2653" s="500"/>
      <c r="AH2653" s="500"/>
      <c r="AI2653" s="500"/>
      <c r="AJ2653" s="500"/>
      <c r="AK2653" s="500"/>
      <c r="AL2653" s="500"/>
      <c r="AM2653" s="500"/>
      <c r="AN2653" s="500"/>
      <c r="AO2653" s="500"/>
      <c r="AP2653" s="500"/>
    </row>
    <row r="2654" spans="1:42" ht="16.5" customHeight="1">
      <c r="A2654" s="616" t="s">
        <v>3487</v>
      </c>
      <c r="B2654" s="605"/>
      <c r="C2654" s="446">
        <f>E2654+D2654+F2654</f>
        <v>114512</v>
      </c>
      <c r="D2654" s="453">
        <f>ROUNDDOWN(SUMIF(N2607:N2644,M2654,D2607:D2644),0)</f>
        <v>98512</v>
      </c>
      <c r="E2654" s="454">
        <f>ROUNDDOWN(SUMIF(N2607:N2644,M2654,E2607:E2644),0)</f>
        <v>16000</v>
      </c>
      <c r="F2654" s="446">
        <f>ROUNDDOWN(SUMIF(N2607:N2644,M2654,F2607:F2644),0)</f>
        <v>0</v>
      </c>
      <c r="M2654" s="501" t="s">
        <v>2354</v>
      </c>
      <c r="Z2654" s="500"/>
      <c r="AA2654" s="500"/>
      <c r="AB2654" s="500"/>
      <c r="AC2654" s="500"/>
      <c r="AD2654" s="500"/>
      <c r="AE2654" s="500"/>
      <c r="AF2654" s="500"/>
      <c r="AG2654" s="500"/>
      <c r="AH2654" s="500"/>
      <c r="AI2654" s="500"/>
      <c r="AJ2654" s="500"/>
      <c r="AK2654" s="500"/>
      <c r="AL2654" s="500"/>
      <c r="AM2654" s="500"/>
      <c r="AN2654" s="500"/>
      <c r="AO2654" s="500"/>
      <c r="AP2654" s="500"/>
    </row>
    <row r="2655" spans="1:42" ht="16.5" customHeight="1">
      <c r="A2655" s="502" t="s">
        <v>3351</v>
      </c>
      <c r="B2655" s="503" t="s">
        <v>5327</v>
      </c>
      <c r="C2655" s="615">
        <f>C2704</f>
        <v>46742</v>
      </c>
      <c r="D2655" s="615">
        <f>D2704</f>
        <v>36942</v>
      </c>
      <c r="E2655" s="615">
        <f>E2704</f>
        <v>9800</v>
      </c>
      <c r="F2655" s="615">
        <f>F2704</f>
        <v>0</v>
      </c>
      <c r="G2655" s="486" t="str">
        <f>HYPERLINK("#G"&amp;ROW(G2693),"_x0005_`BDCOD|D01348_x0007_`POSS|"&amp;ROW(G2657)&amp;"_x0007_`POSE|"&amp;ROW(G2693)&amp;"_x0007_`")</f>
        <v>_x0005_`BDCOD|D01348_x0007_`POSS|2657_x0007_`POSE|2693_x0007_`</v>
      </c>
      <c r="Z2655" s="500"/>
      <c r="AA2655" s="500"/>
      <c r="AB2655" s="500"/>
      <c r="AC2655" s="500"/>
      <c r="AD2655" s="500"/>
      <c r="AE2655" s="500"/>
      <c r="AF2655" s="500"/>
      <c r="AG2655" s="500"/>
      <c r="AH2655" s="500"/>
      <c r="AI2655" s="500"/>
      <c r="AJ2655" s="500"/>
      <c r="AK2655" s="500"/>
      <c r="AL2655" s="500"/>
      <c r="AM2655" s="500"/>
      <c r="AN2655" s="500"/>
      <c r="AO2655" s="500"/>
      <c r="AP2655" s="500"/>
    </row>
    <row r="2656" spans="1:42" ht="16.5" customHeight="1">
      <c r="A2656" s="485"/>
      <c r="B2656" s="503" t="s">
        <v>5607</v>
      </c>
      <c r="C2656" s="593"/>
      <c r="D2656" s="593"/>
      <c r="E2656" s="593"/>
      <c r="F2656" s="593"/>
      <c r="M2656" s="501" t="s">
        <v>5327</v>
      </c>
      <c r="Z2656" s="500"/>
      <c r="AA2656" s="500"/>
      <c r="AB2656" s="500"/>
      <c r="AC2656" s="500"/>
      <c r="AD2656" s="500"/>
      <c r="AE2656" s="500"/>
      <c r="AF2656" s="500"/>
      <c r="AG2656" s="500"/>
      <c r="AH2656" s="500"/>
      <c r="AI2656" s="500"/>
      <c r="AJ2656" s="500"/>
      <c r="AK2656" s="500"/>
      <c r="AL2656" s="500"/>
      <c r="AM2656" s="500"/>
      <c r="AN2656" s="500"/>
      <c r="AO2656" s="500"/>
      <c r="AP2656" s="500"/>
    </row>
    <row r="2657" spans="1:42" ht="16.5" customHeight="1">
      <c r="A2657" s="439"/>
      <c r="B2657" s="439"/>
      <c r="C2657" s="504"/>
      <c r="D2657" s="504"/>
      <c r="E2657" s="504"/>
      <c r="F2657" s="504"/>
      <c r="G2657" s="451" t="s">
        <v>3406</v>
      </c>
      <c r="Z2657" s="500"/>
      <c r="AA2657" s="500"/>
      <c r="AB2657" s="500"/>
      <c r="AC2657" s="500"/>
      <c r="AD2657" s="500"/>
      <c r="AE2657" s="500"/>
      <c r="AF2657" s="500"/>
      <c r="AG2657" s="500"/>
      <c r="AH2657" s="500"/>
      <c r="AI2657" s="500"/>
      <c r="AJ2657" s="500"/>
      <c r="AK2657" s="500"/>
      <c r="AL2657" s="500"/>
      <c r="AM2657" s="500"/>
      <c r="AN2657" s="500"/>
      <c r="AO2657" s="500"/>
      <c r="AP2657" s="500"/>
    </row>
    <row r="2658" spans="1:42" ht="16.5" customHeight="1">
      <c r="A2658" s="434"/>
      <c r="B2658" s="437" t="s">
        <v>3640</v>
      </c>
      <c r="C2658" s="439"/>
      <c r="D2658" s="439"/>
      <c r="E2658" s="439"/>
      <c r="F2658" s="439"/>
      <c r="G2658" s="451" t="s">
        <v>3641</v>
      </c>
      <c r="Z2658" s="500"/>
      <c r="AA2658" s="500"/>
      <c r="AB2658" s="500"/>
      <c r="AC2658" s="500"/>
      <c r="AD2658" s="500"/>
      <c r="AE2658" s="500"/>
      <c r="AF2658" s="500"/>
      <c r="AG2658" s="500"/>
      <c r="AH2658" s="500"/>
      <c r="AI2658" s="500"/>
      <c r="AJ2658" s="500"/>
      <c r="AK2658" s="500"/>
      <c r="AL2658" s="500"/>
      <c r="AM2658" s="500"/>
      <c r="AN2658" s="500"/>
      <c r="AO2658" s="500"/>
      <c r="AP2658" s="500"/>
    </row>
    <row r="2659" spans="1:42" ht="16.5" customHeight="1">
      <c r="A2659" s="439"/>
      <c r="B2659" s="439"/>
      <c r="C2659" s="439"/>
      <c r="D2659" s="439"/>
      <c r="E2659" s="439"/>
      <c r="F2659" s="439"/>
      <c r="G2659" s="451" t="s">
        <v>3406</v>
      </c>
      <c r="Z2659" s="500"/>
      <c r="AA2659" s="500"/>
      <c r="AB2659" s="500"/>
      <c r="AC2659" s="500"/>
      <c r="AD2659" s="500"/>
      <c r="AE2659" s="500"/>
      <c r="AF2659" s="500"/>
      <c r="AG2659" s="500"/>
      <c r="AH2659" s="500"/>
      <c r="AI2659" s="500"/>
      <c r="AJ2659" s="500"/>
      <c r="AK2659" s="500"/>
      <c r="AL2659" s="500"/>
      <c r="AM2659" s="500"/>
      <c r="AN2659" s="500"/>
      <c r="AO2659" s="500"/>
      <c r="AP2659" s="500"/>
    </row>
    <row r="2660" spans="1:42" ht="16.5" customHeight="1">
      <c r="A2660" s="434"/>
      <c r="B2660" s="437" t="s">
        <v>3642</v>
      </c>
      <c r="C2660" s="439"/>
      <c r="D2660" s="439"/>
      <c r="E2660" s="439"/>
      <c r="F2660" s="439"/>
      <c r="G2660" s="451" t="s">
        <v>3643</v>
      </c>
      <c r="Z2660" s="500"/>
      <c r="AA2660" s="500"/>
      <c r="AB2660" s="500"/>
      <c r="AC2660" s="500"/>
      <c r="AD2660" s="500"/>
      <c r="AE2660" s="500"/>
      <c r="AF2660" s="500"/>
      <c r="AG2660" s="500"/>
      <c r="AH2660" s="500"/>
      <c r="AI2660" s="500"/>
      <c r="AJ2660" s="500"/>
      <c r="AK2660" s="500"/>
      <c r="AL2660" s="500"/>
      <c r="AM2660" s="500"/>
      <c r="AN2660" s="500"/>
      <c r="AO2660" s="500"/>
      <c r="AP2660" s="500"/>
    </row>
    <row r="2661" spans="1:42" ht="16.5" customHeight="1">
      <c r="A2661" s="439"/>
      <c r="B2661" s="439"/>
      <c r="C2661" s="439"/>
      <c r="D2661" s="439"/>
      <c r="E2661" s="439"/>
      <c r="F2661" s="439"/>
      <c r="G2661" s="451" t="s">
        <v>3406</v>
      </c>
      <c r="Z2661" s="500"/>
      <c r="AA2661" s="500"/>
      <c r="AB2661" s="500"/>
      <c r="AC2661" s="500"/>
      <c r="AD2661" s="500"/>
      <c r="AE2661" s="500"/>
      <c r="AF2661" s="500"/>
      <c r="AG2661" s="500"/>
      <c r="AH2661" s="500"/>
      <c r="AI2661" s="500"/>
      <c r="AJ2661" s="500"/>
      <c r="AK2661" s="500"/>
      <c r="AL2661" s="500"/>
      <c r="AM2661" s="500"/>
      <c r="AN2661" s="500"/>
      <c r="AO2661" s="500"/>
      <c r="AP2661" s="500"/>
    </row>
    <row r="2662" spans="1:42" ht="16.5" customHeight="1">
      <c r="A2662" s="434"/>
      <c r="B2662" s="437" t="str">
        <f>" 일당 작업량 :   Q = "&amp;Z2662&amp;"  주 "</f>
        <v xml:space="preserve"> 일당 작업량 :   Q = 40  주 </v>
      </c>
      <c r="C2662" s="439"/>
      <c r="D2662" s="439"/>
      <c r="E2662" s="439"/>
      <c r="F2662" s="439"/>
      <c r="G2662" s="451" t="s">
        <v>3658</v>
      </c>
      <c r="Z2662" s="515">
        <v>40</v>
      </c>
      <c r="AA2662" s="501" t="s">
        <v>3418</v>
      </c>
      <c r="AB2662" s="512">
        <f>Z2662</f>
        <v>40</v>
      </c>
      <c r="AC2662" s="500"/>
      <c r="AD2662" s="500"/>
      <c r="AE2662" s="500"/>
      <c r="AF2662" s="500"/>
      <c r="AG2662" s="500"/>
      <c r="AH2662" s="500"/>
      <c r="AI2662" s="500"/>
      <c r="AJ2662" s="500"/>
      <c r="AK2662" s="500"/>
      <c r="AL2662" s="500"/>
      <c r="AM2662" s="500"/>
      <c r="AN2662" s="500"/>
      <c r="AO2662" s="500"/>
      <c r="AP2662" s="500"/>
    </row>
    <row r="2663" spans="1:42" ht="16.5" customHeight="1">
      <c r="A2663" s="439"/>
      <c r="B2663" s="439"/>
      <c r="C2663" s="439"/>
      <c r="D2663" s="439"/>
      <c r="E2663" s="439"/>
      <c r="F2663" s="439"/>
      <c r="G2663" s="451" t="s">
        <v>3406</v>
      </c>
      <c r="Z2663" s="500"/>
      <c r="AA2663" s="500"/>
      <c r="AB2663" s="500"/>
      <c r="AC2663" s="500"/>
      <c r="AD2663" s="500"/>
      <c r="AE2663" s="500"/>
      <c r="AF2663" s="500"/>
      <c r="AG2663" s="500"/>
      <c r="AH2663" s="500"/>
      <c r="AI2663" s="500"/>
      <c r="AJ2663" s="500"/>
      <c r="AK2663" s="500"/>
      <c r="AL2663" s="500"/>
      <c r="AM2663" s="500"/>
      <c r="AN2663" s="500"/>
      <c r="AO2663" s="500"/>
      <c r="AP2663" s="500"/>
    </row>
    <row r="2664" spans="1:42" ht="16.5" customHeight="1">
      <c r="A2664" s="434"/>
      <c r="B2664" s="437" t="s">
        <v>3651</v>
      </c>
      <c r="C2664" s="439"/>
      <c r="D2664" s="439"/>
      <c r="E2664" s="439"/>
      <c r="F2664" s="439"/>
      <c r="G2664" s="451" t="s">
        <v>3652</v>
      </c>
      <c r="Z2664" s="500"/>
      <c r="AA2664" s="500"/>
      <c r="AB2664" s="500"/>
      <c r="AC2664" s="500"/>
      <c r="AD2664" s="500"/>
      <c r="AE2664" s="500"/>
      <c r="AF2664" s="500"/>
      <c r="AG2664" s="500"/>
      <c r="AH2664" s="500"/>
      <c r="AI2664" s="500"/>
      <c r="AJ2664" s="500"/>
      <c r="AK2664" s="500"/>
      <c r="AL2664" s="500"/>
      <c r="AM2664" s="500"/>
      <c r="AN2664" s="500"/>
      <c r="AO2664" s="500"/>
      <c r="AP2664" s="500"/>
    </row>
    <row r="2665" spans="1:42" ht="16.5" customHeight="1">
      <c r="A2665" s="439"/>
      <c r="B2665" s="439"/>
      <c r="C2665" s="439"/>
      <c r="D2665" s="439"/>
      <c r="E2665" s="439"/>
      <c r="F2665" s="439"/>
      <c r="G2665" s="451" t="s">
        <v>3406</v>
      </c>
      <c r="Z2665" s="500"/>
      <c r="AA2665" s="500"/>
      <c r="AB2665" s="500"/>
      <c r="AC2665" s="500"/>
      <c r="AD2665" s="500"/>
      <c r="AE2665" s="500"/>
      <c r="AF2665" s="500"/>
      <c r="AG2665" s="500"/>
      <c r="AH2665" s="500"/>
      <c r="AI2665" s="500"/>
      <c r="AJ2665" s="500"/>
      <c r="AK2665" s="500"/>
      <c r="AL2665" s="500"/>
      <c r="AM2665" s="500"/>
      <c r="AN2665" s="500"/>
      <c r="AO2665" s="500"/>
      <c r="AP2665" s="500"/>
    </row>
    <row r="2666" spans="1:42" ht="16.5" customHeight="1">
      <c r="A2666" s="439"/>
      <c r="B2666" s="439"/>
      <c r="C2666" s="439"/>
      <c r="D2666" s="439"/>
      <c r="E2666" s="439"/>
      <c r="F2666" s="439"/>
      <c r="G2666" s="451" t="s">
        <v>3406</v>
      </c>
      <c r="Z2666" s="500"/>
      <c r="AA2666" s="500"/>
      <c r="AB2666" s="500"/>
      <c r="AC2666" s="500"/>
      <c r="AD2666" s="500"/>
      <c r="AE2666" s="500"/>
      <c r="AF2666" s="500"/>
      <c r="AG2666" s="500"/>
      <c r="AH2666" s="500"/>
      <c r="AI2666" s="500"/>
      <c r="AJ2666" s="500"/>
      <c r="AK2666" s="500"/>
      <c r="AL2666" s="500"/>
      <c r="AM2666" s="500"/>
      <c r="AN2666" s="500"/>
      <c r="AO2666" s="500"/>
      <c r="AP2666" s="500"/>
    </row>
    <row r="2667" spans="1:42" ht="16.5" customHeight="1">
      <c r="A2667" s="439"/>
      <c r="B2667" s="439"/>
      <c r="C2667" s="439"/>
      <c r="D2667" s="439"/>
      <c r="E2667" s="439"/>
      <c r="F2667" s="439"/>
      <c r="G2667" s="451" t="s">
        <v>3406</v>
      </c>
      <c r="Z2667" s="500"/>
      <c r="AA2667" s="500"/>
      <c r="AB2667" s="500"/>
      <c r="AC2667" s="500"/>
      <c r="AD2667" s="500"/>
      <c r="AE2667" s="500"/>
      <c r="AF2667" s="500"/>
      <c r="AG2667" s="500"/>
      <c r="AH2667" s="500"/>
      <c r="AI2667" s="500"/>
      <c r="AJ2667" s="500"/>
      <c r="AK2667" s="500"/>
      <c r="AL2667" s="500"/>
      <c r="AM2667" s="500"/>
      <c r="AN2667" s="500"/>
      <c r="AO2667" s="500"/>
      <c r="AP2667" s="500"/>
    </row>
    <row r="2668" spans="1:42" ht="16.5" customHeight="1">
      <c r="A2668" s="439"/>
      <c r="B2668" s="439"/>
      <c r="C2668" s="439"/>
      <c r="D2668" s="439"/>
      <c r="E2668" s="439"/>
      <c r="F2668" s="439"/>
      <c r="G2668" s="451" t="s">
        <v>3406</v>
      </c>
      <c r="Z2668" s="500"/>
      <c r="AA2668" s="500"/>
      <c r="AB2668" s="500"/>
      <c r="AC2668" s="500"/>
      <c r="AD2668" s="500"/>
      <c r="AE2668" s="500"/>
      <c r="AF2668" s="500"/>
      <c r="AG2668" s="500"/>
      <c r="AH2668" s="500"/>
      <c r="AI2668" s="500"/>
      <c r="AJ2668" s="500"/>
      <c r="AK2668" s="500"/>
      <c r="AL2668" s="500"/>
      <c r="AM2668" s="500"/>
      <c r="AN2668" s="500"/>
      <c r="AO2668" s="500"/>
      <c r="AP2668" s="500"/>
    </row>
    <row r="2669" spans="1:42" ht="16.5" customHeight="1">
      <c r="A2669" s="434"/>
      <c r="B2669" s="437" t="s">
        <v>3496</v>
      </c>
      <c r="C2669" s="439"/>
      <c r="D2669" s="439"/>
      <c r="E2669" s="439"/>
      <c r="F2669" s="439"/>
      <c r="G2669" s="451" t="s">
        <v>3497</v>
      </c>
      <c r="Z2669" s="500"/>
      <c r="AA2669" s="500"/>
      <c r="AB2669" s="500"/>
      <c r="AC2669" s="500"/>
      <c r="AD2669" s="500"/>
      <c r="AE2669" s="500"/>
      <c r="AF2669" s="500"/>
      <c r="AG2669" s="500"/>
      <c r="AH2669" s="500"/>
      <c r="AI2669" s="500"/>
      <c r="AJ2669" s="500"/>
      <c r="AK2669" s="500"/>
      <c r="AL2669" s="500"/>
      <c r="AM2669" s="500"/>
      <c r="AN2669" s="500"/>
      <c r="AO2669" s="500"/>
      <c r="AP2669" s="500"/>
    </row>
    <row r="2670" spans="1:42" ht="16.5" customHeight="1">
      <c r="A2670" s="439"/>
      <c r="B2670" s="439"/>
      <c r="C2670" s="439"/>
      <c r="D2670" s="439"/>
      <c r="E2670" s="439"/>
      <c r="F2670" s="439"/>
      <c r="G2670" s="451" t="s">
        <v>3406</v>
      </c>
      <c r="Z2670" s="500"/>
      <c r="AA2670" s="500"/>
      <c r="AB2670" s="500"/>
      <c r="AC2670" s="500"/>
      <c r="AD2670" s="500"/>
      <c r="AE2670" s="500"/>
      <c r="AF2670" s="500"/>
      <c r="AG2670" s="500"/>
      <c r="AH2670" s="500"/>
      <c r="AI2670" s="500"/>
      <c r="AJ2670" s="500"/>
      <c r="AK2670" s="500"/>
      <c r="AL2670" s="500"/>
      <c r="AM2670" s="500"/>
      <c r="AN2670" s="500"/>
      <c r="AO2670" s="500"/>
      <c r="AP2670" s="500"/>
    </row>
    <row r="2671" spans="1:42" ht="16.5" customHeight="1">
      <c r="A2671" s="434" t="s">
        <v>3498</v>
      </c>
      <c r="B2671" s="505" t="str">
        <f>" 조경공 :  "&amp;TEXT(I2671,"#,##0"&amp;IF(I2671&lt;&gt;INT(I2671),".###",""))&amp;" * "&amp;AA2671&amp;" 인  / Q = "&amp;TEXT(C2671,"#,##0.0")&amp;""</f>
        <v xml:space="preserve"> 조경공 :  235,204 * 4 인  / Q = 23,520.4</v>
      </c>
      <c r="C2671" s="506">
        <f>E2671+D2671+F2671</f>
        <v>23520.400000000001</v>
      </c>
      <c r="D2671" s="506">
        <f>IF(H2671=0,0,ROUNDDOWN(J2671*H2671,1))</f>
        <v>23520.400000000001</v>
      </c>
      <c r="E2671" s="506">
        <f>IF(H2671=0,0,ROUNDDOWN(K2671*H2671,1))</f>
        <v>0</v>
      </c>
      <c r="F2671" s="506">
        <f>IF(H2671=0,0,ROUNDDOWN(L2671*H2671,1))</f>
        <v>0</v>
      </c>
      <c r="G2671" s="451" t="s">
        <v>3653</v>
      </c>
      <c r="H2671" s="507">
        <f>ROUNDUP(AE2671,14-LEN(ABS(INT(AE2671))))</f>
        <v>0.1</v>
      </c>
      <c r="I2671" s="508">
        <f>K2671+J2671+L2671</f>
        <v>235204</v>
      </c>
      <c r="J2671" s="509">
        <f>노무비목록표!E15</f>
        <v>235204</v>
      </c>
      <c r="M2671" s="501" t="s">
        <v>2359</v>
      </c>
      <c r="N2671" s="501" t="s">
        <v>3416</v>
      </c>
      <c r="X2671" s="510" t="str">
        <f>노무비목록표!B15&amp;" / "&amp;노무비목록표!C15</f>
        <v xml:space="preserve">조경공 / </v>
      </c>
      <c r="Y2671" s="433" t="str">
        <f ca="1">HYPERLINK("#"&amp;노무비목록표!G2&amp;"!A"&amp;ROW(노무비목록표!A15),"L00184 →")</f>
        <v>L00184 →</v>
      </c>
      <c r="Z2671" s="501" t="s">
        <v>3500</v>
      </c>
      <c r="AA2671" s="515">
        <v>4</v>
      </c>
      <c r="AB2671" s="501" t="s">
        <v>3428</v>
      </c>
      <c r="AC2671" s="512">
        <f>AB2662</f>
        <v>40</v>
      </c>
      <c r="AD2671" s="501" t="s">
        <v>3418</v>
      </c>
      <c r="AE2671" s="512">
        <f>1*AA2671/AB2662</f>
        <v>0.1</v>
      </c>
      <c r="AF2671" s="500"/>
      <c r="AG2671" s="500"/>
      <c r="AH2671" s="500"/>
      <c r="AI2671" s="500"/>
      <c r="AJ2671" s="500"/>
      <c r="AK2671" s="500"/>
      <c r="AL2671" s="500"/>
      <c r="AM2671" s="500"/>
      <c r="AN2671" s="500"/>
      <c r="AO2671" s="500"/>
      <c r="AP2671" s="500"/>
    </row>
    <row r="2672" spans="1:42" ht="16.5" customHeight="1">
      <c r="A2672" s="439"/>
      <c r="B2672" s="439"/>
      <c r="C2672" s="439"/>
      <c r="D2672" s="439"/>
      <c r="E2672" s="439"/>
      <c r="F2672" s="439"/>
      <c r="G2672" s="451" t="s">
        <v>3406</v>
      </c>
      <c r="Z2672" s="500"/>
      <c r="AA2672" s="500"/>
      <c r="AB2672" s="500"/>
      <c r="AC2672" s="500"/>
      <c r="AD2672" s="500"/>
      <c r="AE2672" s="500"/>
      <c r="AF2672" s="500"/>
      <c r="AG2672" s="500"/>
      <c r="AH2672" s="500"/>
      <c r="AI2672" s="500"/>
      <c r="AJ2672" s="500"/>
      <c r="AK2672" s="500"/>
      <c r="AL2672" s="500"/>
      <c r="AM2672" s="500"/>
      <c r="AN2672" s="500"/>
      <c r="AO2672" s="500"/>
      <c r="AP2672" s="500"/>
    </row>
    <row r="2673" spans="1:42" ht="16.5" customHeight="1">
      <c r="A2673" s="439"/>
      <c r="B2673" s="439"/>
      <c r="C2673" s="439"/>
      <c r="D2673" s="439"/>
      <c r="E2673" s="439"/>
      <c r="F2673" s="439"/>
      <c r="G2673" s="451" t="s">
        <v>3406</v>
      </c>
      <c r="Z2673" s="500"/>
      <c r="AA2673" s="500"/>
      <c r="AB2673" s="500"/>
      <c r="AC2673" s="500"/>
      <c r="AD2673" s="500"/>
      <c r="AE2673" s="500"/>
      <c r="AF2673" s="500"/>
      <c r="AG2673" s="500"/>
      <c r="AH2673" s="500"/>
      <c r="AI2673" s="500"/>
      <c r="AJ2673" s="500"/>
      <c r="AK2673" s="500"/>
      <c r="AL2673" s="500"/>
      <c r="AM2673" s="500"/>
      <c r="AN2673" s="500"/>
      <c r="AO2673" s="500"/>
      <c r="AP2673" s="500"/>
    </row>
    <row r="2674" spans="1:42" ht="16.5" customHeight="1">
      <c r="A2674" s="434" t="s">
        <v>3414</v>
      </c>
      <c r="B2674" s="505" t="str">
        <f>" 보통인부 : "&amp;TEXT(I2674,"#,##0"&amp;IF(I2674&lt;&gt;INT(I2674),".###",""))&amp;" * "&amp;AA2674&amp;" 인  / Q = "&amp;TEXT(C2674,"#,##0.0")&amp;""</f>
        <v xml:space="preserve"> 보통인부 : 172,068 * 2 인  / Q = 8,603.4</v>
      </c>
      <c r="C2674" s="506">
        <f>E2674+D2674+F2674</f>
        <v>8603.4</v>
      </c>
      <c r="D2674" s="506">
        <f>IF(H2674=0,0,ROUNDDOWN(J2674*H2674,1))</f>
        <v>8603.4</v>
      </c>
      <c r="E2674" s="506">
        <f>IF(H2674=0,0,ROUNDDOWN(K2674*H2674,1))</f>
        <v>0</v>
      </c>
      <c r="F2674" s="506">
        <f>IF(H2674=0,0,ROUNDDOWN(L2674*H2674,1))</f>
        <v>0</v>
      </c>
      <c r="G2674" s="451" t="s">
        <v>3654</v>
      </c>
      <c r="H2674" s="507">
        <f>ROUNDUP(AE2674,14-LEN(ABS(INT(AE2674))))</f>
        <v>0.05</v>
      </c>
      <c r="I2674" s="508">
        <f>K2674+J2674+L2674</f>
        <v>172068</v>
      </c>
      <c r="J2674" s="509">
        <f>노무비목록표!E10</f>
        <v>172068</v>
      </c>
      <c r="M2674" s="501" t="s">
        <v>2363</v>
      </c>
      <c r="N2674" s="501" t="s">
        <v>3416</v>
      </c>
      <c r="X2674" s="510" t="str">
        <f>노무비목록표!B10&amp;" / "&amp;노무비목록표!C10</f>
        <v xml:space="preserve">보통인부 / </v>
      </c>
      <c r="Y2674" s="433" t="str">
        <f ca="1">HYPERLINK("#"&amp;노무비목록표!G2&amp;"!A"&amp;ROW(노무비목록표!A10),"L00017 →")</f>
        <v>L00017 →</v>
      </c>
      <c r="Z2674" s="501" t="s">
        <v>3500</v>
      </c>
      <c r="AA2674" s="515">
        <v>2</v>
      </c>
      <c r="AB2674" s="501" t="s">
        <v>3428</v>
      </c>
      <c r="AC2674" s="512">
        <f>AB2662</f>
        <v>40</v>
      </c>
      <c r="AD2674" s="501" t="s">
        <v>3418</v>
      </c>
      <c r="AE2674" s="512">
        <f>1*AA2674/AB2662</f>
        <v>0.05</v>
      </c>
      <c r="AF2674" s="500"/>
      <c r="AG2674" s="500"/>
      <c r="AH2674" s="500"/>
      <c r="AI2674" s="500"/>
      <c r="AJ2674" s="500"/>
      <c r="AK2674" s="500"/>
      <c r="AL2674" s="500"/>
      <c r="AM2674" s="500"/>
      <c r="AN2674" s="500"/>
      <c r="AO2674" s="500"/>
      <c r="AP2674" s="500"/>
    </row>
    <row r="2675" spans="1:42" ht="16.5" customHeight="1">
      <c r="A2675" s="439"/>
      <c r="B2675" s="439"/>
      <c r="C2675" s="439"/>
      <c r="D2675" s="439"/>
      <c r="E2675" s="439"/>
      <c r="F2675" s="439"/>
      <c r="G2675" s="451" t="s">
        <v>3406</v>
      </c>
      <c r="Z2675" s="500"/>
      <c r="AA2675" s="500"/>
      <c r="AB2675" s="500"/>
      <c r="AC2675" s="500"/>
      <c r="AD2675" s="500"/>
      <c r="AE2675" s="500"/>
      <c r="AF2675" s="500"/>
      <c r="AG2675" s="500"/>
      <c r="AH2675" s="500"/>
      <c r="AI2675" s="500"/>
      <c r="AJ2675" s="500"/>
      <c r="AK2675" s="500"/>
      <c r="AL2675" s="500"/>
      <c r="AM2675" s="500"/>
      <c r="AN2675" s="500"/>
      <c r="AO2675" s="500"/>
      <c r="AP2675" s="500"/>
    </row>
    <row r="2676" spans="1:42" ht="16.5" customHeight="1">
      <c r="A2676" s="434"/>
      <c r="B2676" s="437" t="s">
        <v>3419</v>
      </c>
      <c r="C2676" s="513">
        <f>E2676+D2676+F2676</f>
        <v>32123.800000000003</v>
      </c>
      <c r="D2676" s="513">
        <f>SUMIF(N2657:N2675,M2676,D2657:D2675)</f>
        <v>32123.800000000003</v>
      </c>
      <c r="E2676" s="513">
        <f>SUMIF(N2657:N2675,M2676,E2657:E2675)</f>
        <v>0</v>
      </c>
      <c r="F2676" s="513">
        <f>SUMIF(N2657:N2675,M2676,F2657:F2675)</f>
        <v>0</v>
      </c>
      <c r="G2676" s="451" t="s">
        <v>3439</v>
      </c>
      <c r="M2676" s="501" t="s">
        <v>3416</v>
      </c>
      <c r="N2676" s="501" t="s">
        <v>3421</v>
      </c>
      <c r="Z2676" s="500"/>
      <c r="AA2676" s="500"/>
      <c r="AB2676" s="500"/>
      <c r="AC2676" s="500"/>
      <c r="AD2676" s="500"/>
      <c r="AE2676" s="500"/>
      <c r="AF2676" s="500"/>
      <c r="AG2676" s="500"/>
      <c r="AH2676" s="500"/>
      <c r="AI2676" s="500"/>
      <c r="AJ2676" s="500"/>
      <c r="AK2676" s="500"/>
      <c r="AL2676" s="500"/>
      <c r="AM2676" s="500"/>
      <c r="AN2676" s="500"/>
      <c r="AO2676" s="500"/>
      <c r="AP2676" s="500"/>
    </row>
    <row r="2677" spans="1:42" ht="16.5" customHeight="1">
      <c r="A2677" s="439"/>
      <c r="B2677" s="439"/>
      <c r="C2677" s="504"/>
      <c r="D2677" s="504"/>
      <c r="E2677" s="504"/>
      <c r="F2677" s="504"/>
      <c r="G2677" s="451" t="s">
        <v>3406</v>
      </c>
      <c r="Z2677" s="500"/>
      <c r="AA2677" s="500"/>
      <c r="AB2677" s="500"/>
      <c r="AC2677" s="500"/>
      <c r="AD2677" s="500"/>
      <c r="AE2677" s="500"/>
      <c r="AF2677" s="500"/>
      <c r="AG2677" s="500"/>
      <c r="AH2677" s="500"/>
      <c r="AI2677" s="500"/>
      <c r="AJ2677" s="500"/>
      <c r="AK2677" s="500"/>
      <c r="AL2677" s="500"/>
      <c r="AM2677" s="500"/>
      <c r="AN2677" s="500"/>
      <c r="AO2677" s="500"/>
      <c r="AP2677" s="500"/>
    </row>
    <row r="2678" spans="1:42" ht="16.5" customHeight="1">
      <c r="A2678" s="439"/>
      <c r="B2678" s="439"/>
      <c r="C2678" s="439"/>
      <c r="D2678" s="439"/>
      <c r="E2678" s="439"/>
      <c r="F2678" s="439"/>
      <c r="G2678" s="451" t="s">
        <v>3406</v>
      </c>
      <c r="Z2678" s="500"/>
      <c r="AA2678" s="500"/>
      <c r="AB2678" s="500"/>
      <c r="AC2678" s="500"/>
      <c r="AD2678" s="500"/>
      <c r="AE2678" s="500"/>
      <c r="AF2678" s="500"/>
      <c r="AG2678" s="500"/>
      <c r="AH2678" s="500"/>
      <c r="AI2678" s="500"/>
      <c r="AJ2678" s="500"/>
      <c r="AK2678" s="500"/>
      <c r="AL2678" s="500"/>
      <c r="AM2678" s="500"/>
      <c r="AN2678" s="500"/>
      <c r="AO2678" s="500"/>
      <c r="AP2678" s="500"/>
    </row>
    <row r="2679" spans="1:42" ht="16.5" customHeight="1">
      <c r="A2679" s="434"/>
      <c r="B2679" s="437" t="s">
        <v>3502</v>
      </c>
      <c r="C2679" s="439"/>
      <c r="D2679" s="439"/>
      <c r="E2679" s="439"/>
      <c r="F2679" s="439"/>
      <c r="G2679" s="451" t="s">
        <v>3503</v>
      </c>
      <c r="Z2679" s="500"/>
      <c r="AA2679" s="500"/>
      <c r="AB2679" s="500"/>
      <c r="AC2679" s="500"/>
      <c r="AD2679" s="500"/>
      <c r="AE2679" s="500"/>
      <c r="AF2679" s="500"/>
      <c r="AG2679" s="500"/>
      <c r="AH2679" s="500"/>
      <c r="AI2679" s="500"/>
      <c r="AJ2679" s="500"/>
      <c r="AK2679" s="500"/>
      <c r="AL2679" s="500"/>
      <c r="AM2679" s="500"/>
      <c r="AN2679" s="500"/>
      <c r="AO2679" s="500"/>
      <c r="AP2679" s="500"/>
    </row>
    <row r="2680" spans="1:42" ht="16.5" customHeight="1">
      <c r="A2680" s="439"/>
      <c r="B2680" s="439"/>
      <c r="C2680" s="439"/>
      <c r="D2680" s="439"/>
      <c r="E2680" s="439"/>
      <c r="F2680" s="439"/>
      <c r="G2680" s="451" t="s">
        <v>3406</v>
      </c>
      <c r="Z2680" s="500"/>
      <c r="AA2680" s="500"/>
      <c r="AB2680" s="500"/>
      <c r="AC2680" s="500"/>
      <c r="AD2680" s="500"/>
      <c r="AE2680" s="500"/>
      <c r="AF2680" s="500"/>
      <c r="AG2680" s="500"/>
      <c r="AH2680" s="500"/>
      <c r="AI2680" s="500"/>
      <c r="AJ2680" s="500"/>
      <c r="AK2680" s="500"/>
      <c r="AL2680" s="500"/>
      <c r="AM2680" s="500"/>
      <c r="AN2680" s="500"/>
      <c r="AO2680" s="500"/>
      <c r="AP2680" s="500"/>
    </row>
    <row r="2681" spans="1:42" ht="16.5" customHeight="1">
      <c r="A2681" s="434" t="s">
        <v>3628</v>
      </c>
      <c r="B2681" s="505" t="str">
        <f>"  지주목 이각, L1200 : "&amp;TEXT(I2681,"#,##0"&amp;IF(I2681&lt;&gt;INT(I2681),".###",""))&amp;" * "&amp;AA2681&amp;" 조  = "&amp;TEXT(C2681,"#,##0.0")&amp;""</f>
        <v xml:space="preserve">  지주목 이각, L1200 : 7,300 * 1 조  = 7,300.0</v>
      </c>
      <c r="C2681" s="506">
        <f>E2681+D2681+F2681</f>
        <v>7300</v>
      </c>
      <c r="D2681" s="506">
        <f>IF(H2681=0,0,ROUNDDOWN(J2681*H2681,1))</f>
        <v>0</v>
      </c>
      <c r="E2681" s="506">
        <f>IF(H2681=0,0,ROUNDDOWN(K2681*H2681,1))</f>
        <v>7300</v>
      </c>
      <c r="F2681" s="506">
        <f>IF(H2681=0,0,ROUNDDOWN(L2681*H2681,1))</f>
        <v>0</v>
      </c>
      <c r="G2681" s="451" t="s">
        <v>3629</v>
      </c>
      <c r="H2681" s="507">
        <f>ROUNDUP(AC2681,14-LEN(ABS(INT(AC2681))))</f>
        <v>1</v>
      </c>
      <c r="I2681" s="508">
        <f>K2681+J2681+L2681</f>
        <v>7300</v>
      </c>
      <c r="K2681" s="509">
        <f>재료비목록표!E94</f>
        <v>7300</v>
      </c>
      <c r="M2681" s="501" t="s">
        <v>3630</v>
      </c>
      <c r="N2681" s="501" t="s">
        <v>3416</v>
      </c>
      <c r="X2681" s="510" t="str">
        <f>재료비목록표!B94&amp;" / "&amp;재료비목록표!C94</f>
        <v>지주목 / 이각, L1200</v>
      </c>
      <c r="Y2681" s="433" t="str">
        <f ca="1">HYPERLINK("#"&amp;재료비목록표!G2&amp;"!A"&amp;ROW(재료비목록표!A94),"M08848 →")</f>
        <v>M08848 →</v>
      </c>
      <c r="Z2681" s="501" t="s">
        <v>3500</v>
      </c>
      <c r="AA2681" s="515">
        <v>1</v>
      </c>
      <c r="AB2681" s="501" t="s">
        <v>3418</v>
      </c>
      <c r="AC2681" s="512">
        <f>1*AA2681</f>
        <v>1</v>
      </c>
      <c r="AD2681" s="500"/>
      <c r="AE2681" s="500"/>
      <c r="AF2681" s="500"/>
      <c r="AG2681" s="500"/>
      <c r="AH2681" s="500"/>
      <c r="AI2681" s="500"/>
      <c r="AJ2681" s="500"/>
      <c r="AK2681" s="500"/>
      <c r="AL2681" s="500"/>
      <c r="AM2681" s="500"/>
      <c r="AN2681" s="500"/>
      <c r="AO2681" s="500"/>
      <c r="AP2681" s="500"/>
    </row>
    <row r="2682" spans="1:42" ht="16.5" customHeight="1">
      <c r="A2682" s="439"/>
      <c r="B2682" s="439"/>
      <c r="C2682" s="439"/>
      <c r="D2682" s="439"/>
      <c r="E2682" s="439"/>
      <c r="F2682" s="439"/>
      <c r="G2682" s="451" t="s">
        <v>3406</v>
      </c>
      <c r="Z2682" s="500"/>
      <c r="AA2682" s="500"/>
      <c r="AB2682" s="500"/>
      <c r="AC2682" s="500"/>
      <c r="AD2682" s="500"/>
      <c r="AE2682" s="500"/>
      <c r="AF2682" s="500"/>
      <c r="AG2682" s="500"/>
      <c r="AH2682" s="500"/>
      <c r="AI2682" s="500"/>
      <c r="AJ2682" s="500"/>
      <c r="AK2682" s="500"/>
      <c r="AL2682" s="500"/>
      <c r="AM2682" s="500"/>
      <c r="AN2682" s="500"/>
      <c r="AO2682" s="500"/>
      <c r="AP2682" s="500"/>
    </row>
    <row r="2683" spans="1:42" ht="16.5" customHeight="1">
      <c r="A2683" s="439"/>
      <c r="B2683" s="439"/>
      <c r="C2683" s="439"/>
      <c r="D2683" s="439"/>
      <c r="E2683" s="439"/>
      <c r="F2683" s="439"/>
      <c r="G2683" s="451" t="s">
        <v>3406</v>
      </c>
      <c r="Z2683" s="500"/>
      <c r="AA2683" s="500"/>
      <c r="AB2683" s="500"/>
      <c r="AC2683" s="500"/>
      <c r="AD2683" s="500"/>
      <c r="AE2683" s="500"/>
      <c r="AF2683" s="500"/>
      <c r="AG2683" s="500"/>
      <c r="AH2683" s="500"/>
      <c r="AI2683" s="500"/>
      <c r="AJ2683" s="500"/>
      <c r="AK2683" s="500"/>
      <c r="AL2683" s="500"/>
      <c r="AM2683" s="500"/>
      <c r="AN2683" s="500"/>
      <c r="AO2683" s="500"/>
      <c r="AP2683" s="500"/>
    </row>
    <row r="2684" spans="1:42" ht="16.5" customHeight="1">
      <c r="A2684" s="434" t="s">
        <v>3504</v>
      </c>
      <c r="B2684" s="505" t="str">
        <f>"  유기질비료 수목이식·식재용 : "&amp;TEXT(I2684,"#,##0"&amp;IF(I2684&lt;&gt;INT(I2684),".###",""))&amp;" * "&amp;AA2684&amp;" KG   = "&amp;TEXT(C2684,"#,##0.0")&amp;""</f>
        <v xml:space="preserve">  유기질비료 수목이식·식재용 : 500 * 5 KG   = 2,500.0</v>
      </c>
      <c r="C2684" s="506">
        <f>E2684+D2684+F2684</f>
        <v>2500</v>
      </c>
      <c r="D2684" s="506">
        <f>IF(H2684=0,0,ROUNDDOWN(J2684*H2684,1))</f>
        <v>0</v>
      </c>
      <c r="E2684" s="506">
        <f>IF(H2684=0,0,ROUNDDOWN(K2684*H2684,1))</f>
        <v>2500</v>
      </c>
      <c r="F2684" s="506">
        <f>IF(H2684=0,0,ROUNDDOWN(L2684*H2684,1))</f>
        <v>0</v>
      </c>
      <c r="G2684" s="451" t="s">
        <v>3659</v>
      </c>
      <c r="H2684" s="507">
        <f>ROUNDUP(AC2684,14-LEN(ABS(INT(AC2684))))</f>
        <v>5</v>
      </c>
      <c r="I2684" s="508">
        <f>K2684+J2684+L2684</f>
        <v>500</v>
      </c>
      <c r="K2684" s="509">
        <f>재료비목록표!E78</f>
        <v>500</v>
      </c>
      <c r="M2684" s="501" t="s">
        <v>3506</v>
      </c>
      <c r="N2684" s="501" t="s">
        <v>3416</v>
      </c>
      <c r="X2684" s="510" t="str">
        <f>재료비목록표!B78&amp;" / "&amp;재료비목록표!C78</f>
        <v>유기질비료 / 수목이식·식재용</v>
      </c>
      <c r="Y2684" s="433" t="str">
        <f ca="1">HYPERLINK("#"&amp;재료비목록표!G2&amp;"!A"&amp;ROW(재료비목록표!A78),"M01159 →")</f>
        <v>M01159 →</v>
      </c>
      <c r="Z2684" s="501" t="s">
        <v>3500</v>
      </c>
      <c r="AA2684" s="515">
        <v>5</v>
      </c>
      <c r="AB2684" s="501" t="s">
        <v>3418</v>
      </c>
      <c r="AC2684" s="512">
        <f>1*AA2684</f>
        <v>5</v>
      </c>
      <c r="AD2684" s="500"/>
      <c r="AE2684" s="500"/>
      <c r="AF2684" s="500"/>
      <c r="AG2684" s="500"/>
      <c r="AH2684" s="500"/>
      <c r="AI2684" s="500"/>
      <c r="AJ2684" s="500"/>
      <c r="AK2684" s="500"/>
      <c r="AL2684" s="500"/>
      <c r="AM2684" s="500"/>
      <c r="AN2684" s="500"/>
      <c r="AO2684" s="500"/>
      <c r="AP2684" s="500"/>
    </row>
    <row r="2685" spans="1:42" ht="16.5" customHeight="1">
      <c r="A2685" s="439"/>
      <c r="B2685" s="439"/>
      <c r="C2685" s="439"/>
      <c r="D2685" s="439"/>
      <c r="E2685" s="439"/>
      <c r="F2685" s="439"/>
      <c r="G2685" s="451" t="s">
        <v>3406</v>
      </c>
      <c r="Z2685" s="500"/>
      <c r="AA2685" s="500"/>
      <c r="AB2685" s="500"/>
      <c r="AC2685" s="500"/>
      <c r="AD2685" s="500"/>
      <c r="AE2685" s="500"/>
      <c r="AF2685" s="500"/>
      <c r="AG2685" s="500"/>
      <c r="AH2685" s="500"/>
      <c r="AI2685" s="500"/>
      <c r="AJ2685" s="500"/>
      <c r="AK2685" s="500"/>
      <c r="AL2685" s="500"/>
      <c r="AM2685" s="500"/>
      <c r="AN2685" s="500"/>
      <c r="AO2685" s="500"/>
      <c r="AP2685" s="500"/>
    </row>
    <row r="2686" spans="1:42" ht="16.5" customHeight="1">
      <c r="A2686" s="434"/>
      <c r="B2686" s="437" t="s">
        <v>3419</v>
      </c>
      <c r="C2686" s="513">
        <f>E2686+D2686+F2686</f>
        <v>9800</v>
      </c>
      <c r="D2686" s="513">
        <f>SUMIF(N2677:N2685,M2686,D2677:D2685)</f>
        <v>0</v>
      </c>
      <c r="E2686" s="513">
        <f>SUMIF(N2677:N2685,M2686,E2677:E2685)</f>
        <v>9800</v>
      </c>
      <c r="F2686" s="513">
        <f>SUMIF(N2677:N2685,M2686,F2677:F2685)</f>
        <v>0</v>
      </c>
      <c r="G2686" s="451" t="s">
        <v>3439</v>
      </c>
      <c r="M2686" s="501" t="s">
        <v>3416</v>
      </c>
      <c r="N2686" s="501" t="s">
        <v>3421</v>
      </c>
      <c r="Z2686" s="500"/>
      <c r="AA2686" s="500"/>
      <c r="AB2686" s="500"/>
      <c r="AC2686" s="500"/>
      <c r="AD2686" s="500"/>
      <c r="AE2686" s="500"/>
      <c r="AF2686" s="500"/>
      <c r="AG2686" s="500"/>
      <c r="AH2686" s="500"/>
      <c r="AI2686" s="500"/>
      <c r="AJ2686" s="500"/>
      <c r="AK2686" s="500"/>
      <c r="AL2686" s="500"/>
      <c r="AM2686" s="500"/>
      <c r="AN2686" s="500"/>
      <c r="AO2686" s="500"/>
      <c r="AP2686" s="500"/>
    </row>
    <row r="2687" spans="1:42" ht="16.5" customHeight="1">
      <c r="A2687" s="439"/>
      <c r="B2687" s="439"/>
      <c r="C2687" s="504"/>
      <c r="D2687" s="504"/>
      <c r="E2687" s="504"/>
      <c r="F2687" s="504"/>
      <c r="G2687" s="451" t="s">
        <v>3406</v>
      </c>
      <c r="Z2687" s="500"/>
      <c r="AA2687" s="500"/>
      <c r="AB2687" s="500"/>
      <c r="AC2687" s="500"/>
      <c r="AD2687" s="500"/>
      <c r="AE2687" s="500"/>
      <c r="AF2687" s="500"/>
      <c r="AG2687" s="500"/>
      <c r="AH2687" s="500"/>
      <c r="AI2687" s="500"/>
      <c r="AJ2687" s="500"/>
      <c r="AK2687" s="500"/>
      <c r="AL2687" s="500"/>
      <c r="AM2687" s="500"/>
      <c r="AN2687" s="500"/>
      <c r="AO2687" s="500"/>
      <c r="AP2687" s="500"/>
    </row>
    <row r="2688" spans="1:42" ht="16.5" customHeight="1">
      <c r="A2688" s="434"/>
      <c r="B2688" s="505" t="str">
        <f>"  산지할증 : "&amp;TEXT(I2688,"#,##0.0")&amp;" * "&amp;AA2688&amp;" %  = "&amp;TEXT(C2688,"#,##0.0")&amp;""</f>
        <v xml:space="preserve">  산지할증 : 32,123.8 * 15 %  = 4,818.5</v>
      </c>
      <c r="C2688" s="506">
        <f>E2688+D2688+F2688</f>
        <v>4818.5</v>
      </c>
      <c r="D2688" s="506">
        <f>IF(H2688=0,0,ROUNDDOWN(J2688*H2688/100,1))</f>
        <v>4818.5</v>
      </c>
      <c r="E2688" s="506">
        <f>IF(H2688=0,0,ROUNDDOWN(K2688*H2688/100,1))</f>
        <v>0</v>
      </c>
      <c r="F2688" s="506">
        <f>IF(H2688=0,0,ROUNDDOWN(L2688*H2688/100,1))</f>
        <v>0</v>
      </c>
      <c r="G2688" s="451" t="s">
        <v>5587</v>
      </c>
      <c r="H2688" s="507">
        <f>ROUNDUP(AC2688,14-LEN(ABS(INT(AC2688))))</f>
        <v>15</v>
      </c>
      <c r="I2688" s="508">
        <f>K2688+J2688+L2688</f>
        <v>32123.800000000003</v>
      </c>
      <c r="J2688" s="508">
        <f>D2676+D2686+SUMIF(N2687:N2687,N2688,D2687:D2687)</f>
        <v>32123.800000000003</v>
      </c>
      <c r="K2688" s="456">
        <v>0</v>
      </c>
      <c r="L2688" s="456">
        <v>0</v>
      </c>
      <c r="M2688" s="501" t="s">
        <v>5605</v>
      </c>
      <c r="N2688" s="501" t="s">
        <v>3416</v>
      </c>
      <c r="Z2688" s="501" t="s">
        <v>3500</v>
      </c>
      <c r="AA2688" s="515">
        <v>15</v>
      </c>
      <c r="AB2688" s="501" t="s">
        <v>3418</v>
      </c>
      <c r="AC2688" s="512">
        <f>1*AA2688</f>
        <v>15</v>
      </c>
      <c r="AD2688" s="500"/>
      <c r="AE2688" s="500"/>
      <c r="AF2688" s="500"/>
      <c r="AG2688" s="500"/>
      <c r="AH2688" s="500"/>
      <c r="AI2688" s="500"/>
      <c r="AJ2688" s="500"/>
      <c r="AK2688" s="500"/>
      <c r="AL2688" s="500"/>
      <c r="AM2688" s="500"/>
      <c r="AN2688" s="500"/>
      <c r="AO2688" s="500"/>
      <c r="AP2688" s="500"/>
    </row>
    <row r="2689" spans="1:42" ht="16.5" customHeight="1">
      <c r="A2689" s="439"/>
      <c r="B2689" s="439"/>
      <c r="C2689" s="439"/>
      <c r="D2689" s="439"/>
      <c r="E2689" s="439"/>
      <c r="F2689" s="439"/>
      <c r="G2689" s="451" t="s">
        <v>3406</v>
      </c>
      <c r="Z2689" s="500"/>
      <c r="AA2689" s="500"/>
      <c r="AB2689" s="500"/>
      <c r="AC2689" s="500"/>
      <c r="AD2689" s="500"/>
      <c r="AE2689" s="500"/>
      <c r="AF2689" s="500"/>
      <c r="AG2689" s="500"/>
      <c r="AH2689" s="500"/>
      <c r="AI2689" s="500"/>
      <c r="AJ2689" s="500"/>
      <c r="AK2689" s="500"/>
      <c r="AL2689" s="500"/>
      <c r="AM2689" s="500"/>
      <c r="AN2689" s="500"/>
      <c r="AO2689" s="500"/>
      <c r="AP2689" s="500"/>
    </row>
    <row r="2690" spans="1:42" ht="16.5" customHeight="1">
      <c r="A2690" s="434"/>
      <c r="B2690" s="437" t="s">
        <v>3419</v>
      </c>
      <c r="C2690" s="513">
        <f>E2690+D2690+F2690</f>
        <v>4818.5</v>
      </c>
      <c r="D2690" s="513">
        <f>SUMIF(N2687:N2689,M2690,D2687:D2689)</f>
        <v>4818.5</v>
      </c>
      <c r="E2690" s="513">
        <f>SUMIF(N2687:N2689,M2690,E2687:E2689)</f>
        <v>0</v>
      </c>
      <c r="F2690" s="513">
        <f>SUMIF(N2687:N2689,M2690,F2687:F2689)</f>
        <v>0</v>
      </c>
      <c r="G2690" s="451" t="s">
        <v>3439</v>
      </c>
      <c r="M2690" s="501" t="s">
        <v>3416</v>
      </c>
      <c r="N2690" s="501" t="s">
        <v>3421</v>
      </c>
      <c r="Z2690" s="500"/>
      <c r="AA2690" s="500"/>
      <c r="AB2690" s="500"/>
      <c r="AC2690" s="500"/>
      <c r="AD2690" s="500"/>
      <c r="AE2690" s="500"/>
      <c r="AF2690" s="500"/>
      <c r="AG2690" s="500"/>
      <c r="AH2690" s="500"/>
      <c r="AI2690" s="500"/>
      <c r="AJ2690" s="500"/>
      <c r="AK2690" s="500"/>
      <c r="AL2690" s="500"/>
      <c r="AM2690" s="500"/>
      <c r="AN2690" s="500"/>
      <c r="AO2690" s="500"/>
      <c r="AP2690" s="500"/>
    </row>
    <row r="2691" spans="1:42" ht="16.5" customHeight="1">
      <c r="A2691" s="439"/>
      <c r="B2691" s="439"/>
      <c r="C2691" s="504"/>
      <c r="D2691" s="504"/>
      <c r="E2691" s="504"/>
      <c r="F2691" s="504"/>
      <c r="G2691" s="451" t="s">
        <v>3406</v>
      </c>
      <c r="Z2691" s="500"/>
      <c r="AA2691" s="500"/>
      <c r="AB2691" s="500"/>
      <c r="AC2691" s="500"/>
      <c r="AD2691" s="500"/>
      <c r="AE2691" s="500"/>
      <c r="AF2691" s="500"/>
      <c r="AG2691" s="500"/>
      <c r="AH2691" s="500"/>
      <c r="AI2691" s="500"/>
      <c r="AJ2691" s="500"/>
      <c r="AK2691" s="500"/>
      <c r="AL2691" s="500"/>
      <c r="AM2691" s="500"/>
      <c r="AN2691" s="500"/>
      <c r="AO2691" s="500"/>
      <c r="AP2691" s="500"/>
    </row>
    <row r="2692" spans="1:42" ht="16.5" customHeight="1">
      <c r="A2692" s="434"/>
      <c r="B2692" s="437" t="s">
        <v>3440</v>
      </c>
      <c r="C2692" s="513">
        <f>E2692+D2692+F2692</f>
        <v>46742.3</v>
      </c>
      <c r="D2692" s="513">
        <f>SUMIF(N2657:N2691,M2692,D2657:D2691)</f>
        <v>36942.300000000003</v>
      </c>
      <c r="E2692" s="513">
        <f>SUMIF(N2657:N2691,M2692,E2657:E2691)</f>
        <v>9800</v>
      </c>
      <c r="F2692" s="513">
        <f>SUMIF(N2657:N2691,M2692,F2657:F2691)</f>
        <v>0</v>
      </c>
      <c r="G2692" s="451" t="s">
        <v>3441</v>
      </c>
      <c r="M2692" s="501" t="s">
        <v>3421</v>
      </c>
      <c r="N2692" s="501" t="s">
        <v>2354</v>
      </c>
      <c r="Z2692" s="500"/>
      <c r="AA2692" s="500"/>
      <c r="AB2692" s="500"/>
      <c r="AC2692" s="500"/>
      <c r="AD2692" s="500"/>
      <c r="AE2692" s="500"/>
      <c r="AF2692" s="500"/>
      <c r="AG2692" s="500"/>
      <c r="AH2692" s="500"/>
      <c r="AI2692" s="500"/>
      <c r="AJ2692" s="500"/>
      <c r="AK2692" s="500"/>
      <c r="AL2692" s="500"/>
      <c r="AM2692" s="500"/>
      <c r="AN2692" s="500"/>
      <c r="AO2692" s="500"/>
      <c r="AP2692" s="500"/>
    </row>
    <row r="2693" spans="1:42" ht="16.5" customHeight="1">
      <c r="A2693" s="439"/>
      <c r="B2693" s="439"/>
      <c r="C2693" s="504"/>
      <c r="D2693" s="504"/>
      <c r="E2693" s="504"/>
      <c r="F2693" s="504"/>
      <c r="G2693" s="451" t="s">
        <v>3413</v>
      </c>
      <c r="Z2693" s="500"/>
      <c r="AA2693" s="500"/>
      <c r="AB2693" s="500"/>
      <c r="AC2693" s="500"/>
      <c r="AD2693" s="500"/>
      <c r="AE2693" s="500"/>
      <c r="AF2693" s="500"/>
      <c r="AG2693" s="500"/>
      <c r="AH2693" s="500"/>
      <c r="AI2693" s="500"/>
      <c r="AJ2693" s="500"/>
      <c r="AK2693" s="500"/>
      <c r="AL2693" s="500"/>
      <c r="AM2693" s="500"/>
      <c r="AN2693" s="500"/>
      <c r="AO2693" s="500"/>
      <c r="AP2693" s="500"/>
    </row>
    <row r="2694" spans="1:42" ht="16.5" customHeight="1">
      <c r="A2694" s="439"/>
      <c r="B2694" s="439"/>
      <c r="C2694" s="439"/>
      <c r="D2694" s="439"/>
      <c r="E2694" s="439"/>
      <c r="F2694" s="439"/>
      <c r="Z2694" s="500"/>
      <c r="AA2694" s="500"/>
      <c r="AB2694" s="500"/>
      <c r="AC2694" s="500"/>
      <c r="AD2694" s="500"/>
      <c r="AE2694" s="500"/>
      <c r="AF2694" s="500"/>
      <c r="AG2694" s="500"/>
      <c r="AH2694" s="500"/>
      <c r="AI2694" s="500"/>
      <c r="AJ2694" s="500"/>
      <c r="AK2694" s="500"/>
      <c r="AL2694" s="500"/>
      <c r="AM2694" s="500"/>
      <c r="AN2694" s="500"/>
      <c r="AO2694" s="500"/>
      <c r="AP2694" s="500"/>
    </row>
    <row r="2695" spans="1:42" ht="16.5" customHeight="1">
      <c r="A2695" s="439"/>
      <c r="B2695" s="439"/>
      <c r="C2695" s="439"/>
      <c r="D2695" s="439"/>
      <c r="E2695" s="439"/>
      <c r="F2695" s="439"/>
      <c r="Z2695" s="500"/>
      <c r="AA2695" s="500"/>
      <c r="AB2695" s="500"/>
      <c r="AC2695" s="500"/>
      <c r="AD2695" s="500"/>
      <c r="AE2695" s="500"/>
      <c r="AF2695" s="500"/>
      <c r="AG2695" s="500"/>
      <c r="AH2695" s="500"/>
      <c r="AI2695" s="500"/>
      <c r="AJ2695" s="500"/>
      <c r="AK2695" s="500"/>
      <c r="AL2695" s="500"/>
      <c r="AM2695" s="500"/>
      <c r="AN2695" s="500"/>
      <c r="AO2695" s="500"/>
      <c r="AP2695" s="500"/>
    </row>
    <row r="2696" spans="1:42" ht="16.5" customHeight="1">
      <c r="A2696" s="439"/>
      <c r="B2696" s="439"/>
      <c r="C2696" s="439"/>
      <c r="D2696" s="439"/>
      <c r="E2696" s="439"/>
      <c r="F2696" s="439"/>
      <c r="Z2696" s="500"/>
      <c r="AA2696" s="500"/>
      <c r="AB2696" s="500"/>
      <c r="AC2696" s="500"/>
      <c r="AD2696" s="500"/>
      <c r="AE2696" s="500"/>
      <c r="AF2696" s="500"/>
      <c r="AG2696" s="500"/>
      <c r="AH2696" s="500"/>
      <c r="AI2696" s="500"/>
      <c r="AJ2696" s="500"/>
      <c r="AK2696" s="500"/>
      <c r="AL2696" s="500"/>
      <c r="AM2696" s="500"/>
      <c r="AN2696" s="500"/>
      <c r="AO2696" s="500"/>
      <c r="AP2696" s="500"/>
    </row>
    <row r="2697" spans="1:42" ht="16.5" customHeight="1">
      <c r="A2697" s="439"/>
      <c r="B2697" s="439"/>
      <c r="C2697" s="439"/>
      <c r="D2697" s="439"/>
      <c r="E2697" s="439"/>
      <c r="F2697" s="439"/>
      <c r="Z2697" s="500"/>
      <c r="AA2697" s="500"/>
      <c r="AB2697" s="500"/>
      <c r="AC2697" s="500"/>
      <c r="AD2697" s="500"/>
      <c r="AE2697" s="500"/>
      <c r="AF2697" s="500"/>
      <c r="AG2697" s="500"/>
      <c r="AH2697" s="500"/>
      <c r="AI2697" s="500"/>
      <c r="AJ2697" s="500"/>
      <c r="AK2697" s="500"/>
      <c r="AL2697" s="500"/>
      <c r="AM2697" s="500"/>
      <c r="AN2697" s="500"/>
      <c r="AO2697" s="500"/>
      <c r="AP2697" s="500"/>
    </row>
    <row r="2698" spans="1:42" ht="16.5" customHeight="1">
      <c r="A2698" s="439"/>
      <c r="B2698" s="439"/>
      <c r="C2698" s="439"/>
      <c r="D2698" s="439"/>
      <c r="E2698" s="439"/>
      <c r="F2698" s="439"/>
      <c r="Z2698" s="500"/>
      <c r="AA2698" s="500"/>
      <c r="AB2698" s="500"/>
      <c r="AC2698" s="500"/>
      <c r="AD2698" s="500"/>
      <c r="AE2698" s="500"/>
      <c r="AF2698" s="500"/>
      <c r="AG2698" s="500"/>
      <c r="AH2698" s="500"/>
      <c r="AI2698" s="500"/>
      <c r="AJ2698" s="500"/>
      <c r="AK2698" s="500"/>
      <c r="AL2698" s="500"/>
      <c r="AM2698" s="500"/>
      <c r="AN2698" s="500"/>
      <c r="AO2698" s="500"/>
      <c r="AP2698" s="500"/>
    </row>
    <row r="2699" spans="1:42" ht="16.5" customHeight="1">
      <c r="A2699" s="439"/>
      <c r="B2699" s="439"/>
      <c r="C2699" s="439"/>
      <c r="D2699" s="439"/>
      <c r="E2699" s="439"/>
      <c r="F2699" s="439"/>
      <c r="Z2699" s="500"/>
      <c r="AA2699" s="500"/>
      <c r="AB2699" s="500"/>
      <c r="AC2699" s="500"/>
      <c r="AD2699" s="500"/>
      <c r="AE2699" s="500"/>
      <c r="AF2699" s="500"/>
      <c r="AG2699" s="500"/>
      <c r="AH2699" s="500"/>
      <c r="AI2699" s="500"/>
      <c r="AJ2699" s="500"/>
      <c r="AK2699" s="500"/>
      <c r="AL2699" s="500"/>
      <c r="AM2699" s="500"/>
      <c r="AN2699" s="500"/>
      <c r="AO2699" s="500"/>
      <c r="AP2699" s="500"/>
    </row>
    <row r="2700" spans="1:42" ht="16.5" customHeight="1">
      <c r="A2700" s="439"/>
      <c r="B2700" s="439"/>
      <c r="C2700" s="439"/>
      <c r="D2700" s="439"/>
      <c r="E2700" s="439"/>
      <c r="F2700" s="439"/>
      <c r="Z2700" s="500"/>
      <c r="AA2700" s="500"/>
      <c r="AB2700" s="500"/>
      <c r="AC2700" s="500"/>
      <c r="AD2700" s="500"/>
      <c r="AE2700" s="500"/>
      <c r="AF2700" s="500"/>
      <c r="AG2700" s="500"/>
      <c r="AH2700" s="500"/>
      <c r="AI2700" s="500"/>
      <c r="AJ2700" s="500"/>
      <c r="AK2700" s="500"/>
      <c r="AL2700" s="500"/>
      <c r="AM2700" s="500"/>
      <c r="AN2700" s="500"/>
      <c r="AO2700" s="500"/>
      <c r="AP2700" s="500"/>
    </row>
    <row r="2701" spans="1:42" ht="16.5" customHeight="1">
      <c r="A2701" s="439"/>
      <c r="B2701" s="439"/>
      <c r="C2701" s="439"/>
      <c r="D2701" s="439"/>
      <c r="E2701" s="439"/>
      <c r="F2701" s="439"/>
      <c r="Z2701" s="500"/>
      <c r="AA2701" s="500"/>
      <c r="AB2701" s="500"/>
      <c r="AC2701" s="500"/>
      <c r="AD2701" s="500"/>
      <c r="AE2701" s="500"/>
      <c r="AF2701" s="500"/>
      <c r="AG2701" s="500"/>
      <c r="AH2701" s="500"/>
      <c r="AI2701" s="500"/>
      <c r="AJ2701" s="500"/>
      <c r="AK2701" s="500"/>
      <c r="AL2701" s="500"/>
      <c r="AM2701" s="500"/>
      <c r="AN2701" s="500"/>
      <c r="AO2701" s="500"/>
      <c r="AP2701" s="500"/>
    </row>
    <row r="2702" spans="1:42" ht="16.5" customHeight="1">
      <c r="A2702" s="439"/>
      <c r="B2702" s="439"/>
      <c r="C2702" s="439"/>
      <c r="D2702" s="439"/>
      <c r="E2702" s="439"/>
      <c r="F2702" s="439"/>
      <c r="Z2702" s="500"/>
      <c r="AA2702" s="500"/>
      <c r="AB2702" s="500"/>
      <c r="AC2702" s="500"/>
      <c r="AD2702" s="500"/>
      <c r="AE2702" s="500"/>
      <c r="AF2702" s="500"/>
      <c r="AG2702" s="500"/>
      <c r="AH2702" s="500"/>
      <c r="AI2702" s="500"/>
      <c r="AJ2702" s="500"/>
      <c r="AK2702" s="500"/>
      <c r="AL2702" s="500"/>
      <c r="AM2702" s="500"/>
      <c r="AN2702" s="500"/>
      <c r="AO2702" s="500"/>
      <c r="AP2702" s="500"/>
    </row>
    <row r="2703" spans="1:42" ht="16.5" customHeight="1">
      <c r="A2703" s="497"/>
      <c r="B2703" s="497"/>
      <c r="C2703" s="497"/>
      <c r="D2703" s="497"/>
      <c r="E2703" s="497"/>
      <c r="F2703" s="497"/>
      <c r="Z2703" s="500"/>
      <c r="AA2703" s="500"/>
      <c r="AB2703" s="500"/>
      <c r="AC2703" s="500"/>
      <c r="AD2703" s="500"/>
      <c r="AE2703" s="500"/>
      <c r="AF2703" s="500"/>
      <c r="AG2703" s="500"/>
      <c r="AH2703" s="500"/>
      <c r="AI2703" s="500"/>
      <c r="AJ2703" s="500"/>
      <c r="AK2703" s="500"/>
      <c r="AL2703" s="500"/>
      <c r="AM2703" s="500"/>
      <c r="AN2703" s="500"/>
      <c r="AO2703" s="500"/>
      <c r="AP2703" s="500"/>
    </row>
    <row r="2704" spans="1:42" ht="16.5" customHeight="1">
      <c r="A2704" s="616" t="s">
        <v>3487</v>
      </c>
      <c r="B2704" s="605"/>
      <c r="C2704" s="446">
        <f>E2704+D2704+F2704</f>
        <v>46742</v>
      </c>
      <c r="D2704" s="453">
        <f>ROUNDDOWN(SUMIF(N2657:N2693,M2704,D2657:D2693),0)</f>
        <v>36942</v>
      </c>
      <c r="E2704" s="454">
        <f>ROUNDDOWN(SUMIF(N2657:N2693,M2704,E2657:E2693),0)</f>
        <v>9800</v>
      </c>
      <c r="F2704" s="446">
        <f>ROUNDDOWN(SUMIF(N2657:N2693,M2704,F2657:F2693),0)</f>
        <v>0</v>
      </c>
      <c r="M2704" s="501" t="s">
        <v>2354</v>
      </c>
      <c r="Z2704" s="500"/>
      <c r="AA2704" s="500"/>
      <c r="AB2704" s="500"/>
      <c r="AC2704" s="500"/>
      <c r="AD2704" s="500"/>
      <c r="AE2704" s="500"/>
      <c r="AF2704" s="500"/>
      <c r="AG2704" s="500"/>
      <c r="AH2704" s="500"/>
      <c r="AI2704" s="500"/>
      <c r="AJ2704" s="500"/>
      <c r="AK2704" s="500"/>
      <c r="AL2704" s="500"/>
      <c r="AM2704" s="500"/>
      <c r="AN2704" s="500"/>
      <c r="AO2704" s="500"/>
      <c r="AP2704" s="500"/>
    </row>
    <row r="2705" spans="1:42" ht="16.5" customHeight="1">
      <c r="A2705" s="502" t="s">
        <v>3351</v>
      </c>
      <c r="B2705" s="503" t="s">
        <v>5330</v>
      </c>
      <c r="C2705" s="615">
        <f>C2754</f>
        <v>86184</v>
      </c>
      <c r="D2705" s="615">
        <f>D2754</f>
        <v>73884</v>
      </c>
      <c r="E2705" s="615">
        <f>E2754</f>
        <v>12300</v>
      </c>
      <c r="F2705" s="615">
        <f>F2754</f>
        <v>0</v>
      </c>
      <c r="G2705" s="486" t="str">
        <f>HYPERLINK("#G"&amp;ROW(G2743),"_x0005_`BDCOD|D01349_x0007_`POSS|"&amp;ROW(G2707)&amp;"_x0007_`POSE|"&amp;ROW(G2743)&amp;"_x0007_`")</f>
        <v>_x0005_`BDCOD|D01349_x0007_`POSS|2707_x0007_`POSE|2743_x0007_`</v>
      </c>
      <c r="Z2705" s="500"/>
      <c r="AA2705" s="500"/>
      <c r="AB2705" s="500"/>
      <c r="AC2705" s="500"/>
      <c r="AD2705" s="500"/>
      <c r="AE2705" s="500"/>
      <c r="AF2705" s="500"/>
      <c r="AG2705" s="500"/>
      <c r="AH2705" s="500"/>
      <c r="AI2705" s="500"/>
      <c r="AJ2705" s="500"/>
      <c r="AK2705" s="500"/>
      <c r="AL2705" s="500"/>
      <c r="AM2705" s="500"/>
      <c r="AN2705" s="500"/>
      <c r="AO2705" s="500"/>
      <c r="AP2705" s="500"/>
    </row>
    <row r="2706" spans="1:42" ht="16.5" customHeight="1">
      <c r="A2706" s="485"/>
      <c r="B2706" s="503" t="s">
        <v>5608</v>
      </c>
      <c r="C2706" s="593"/>
      <c r="D2706" s="593"/>
      <c r="E2706" s="593"/>
      <c r="F2706" s="593"/>
      <c r="M2706" s="501" t="s">
        <v>5330</v>
      </c>
      <c r="Z2706" s="500"/>
      <c r="AA2706" s="500"/>
      <c r="AB2706" s="500"/>
      <c r="AC2706" s="500"/>
      <c r="AD2706" s="500"/>
      <c r="AE2706" s="500"/>
      <c r="AF2706" s="500"/>
      <c r="AG2706" s="500"/>
      <c r="AH2706" s="500"/>
      <c r="AI2706" s="500"/>
      <c r="AJ2706" s="500"/>
      <c r="AK2706" s="500"/>
      <c r="AL2706" s="500"/>
      <c r="AM2706" s="500"/>
      <c r="AN2706" s="500"/>
      <c r="AO2706" s="500"/>
      <c r="AP2706" s="500"/>
    </row>
    <row r="2707" spans="1:42" ht="16.5" customHeight="1">
      <c r="A2707" s="439"/>
      <c r="B2707" s="439"/>
      <c r="C2707" s="504"/>
      <c r="D2707" s="504"/>
      <c r="E2707" s="504"/>
      <c r="F2707" s="504"/>
      <c r="G2707" s="451" t="s">
        <v>3406</v>
      </c>
      <c r="Z2707" s="500"/>
      <c r="AA2707" s="500"/>
      <c r="AB2707" s="500"/>
      <c r="AC2707" s="500"/>
      <c r="AD2707" s="500"/>
      <c r="AE2707" s="500"/>
      <c r="AF2707" s="500"/>
      <c r="AG2707" s="500"/>
      <c r="AH2707" s="500"/>
      <c r="AI2707" s="500"/>
      <c r="AJ2707" s="500"/>
      <c r="AK2707" s="500"/>
      <c r="AL2707" s="500"/>
      <c r="AM2707" s="500"/>
      <c r="AN2707" s="500"/>
      <c r="AO2707" s="500"/>
      <c r="AP2707" s="500"/>
    </row>
    <row r="2708" spans="1:42" ht="16.5" customHeight="1">
      <c r="A2708" s="434"/>
      <c r="B2708" s="437" t="s">
        <v>3640</v>
      </c>
      <c r="C2708" s="439"/>
      <c r="D2708" s="439"/>
      <c r="E2708" s="439"/>
      <c r="F2708" s="439"/>
      <c r="G2708" s="451" t="s">
        <v>3641</v>
      </c>
      <c r="Z2708" s="500"/>
      <c r="AA2708" s="500"/>
      <c r="AB2708" s="500"/>
      <c r="AC2708" s="500"/>
      <c r="AD2708" s="500"/>
      <c r="AE2708" s="500"/>
      <c r="AF2708" s="500"/>
      <c r="AG2708" s="500"/>
      <c r="AH2708" s="500"/>
      <c r="AI2708" s="500"/>
      <c r="AJ2708" s="500"/>
      <c r="AK2708" s="500"/>
      <c r="AL2708" s="500"/>
      <c r="AM2708" s="500"/>
      <c r="AN2708" s="500"/>
      <c r="AO2708" s="500"/>
      <c r="AP2708" s="500"/>
    </row>
    <row r="2709" spans="1:42" ht="16.5" customHeight="1">
      <c r="A2709" s="439"/>
      <c r="B2709" s="439"/>
      <c r="C2709" s="439"/>
      <c r="D2709" s="439"/>
      <c r="E2709" s="439"/>
      <c r="F2709" s="439"/>
      <c r="G2709" s="451" t="s">
        <v>3406</v>
      </c>
      <c r="Z2709" s="500"/>
      <c r="AA2709" s="500"/>
      <c r="AB2709" s="500"/>
      <c r="AC2709" s="500"/>
      <c r="AD2709" s="500"/>
      <c r="AE2709" s="500"/>
      <c r="AF2709" s="500"/>
      <c r="AG2709" s="500"/>
      <c r="AH2709" s="500"/>
      <c r="AI2709" s="500"/>
      <c r="AJ2709" s="500"/>
      <c r="AK2709" s="500"/>
      <c r="AL2709" s="500"/>
      <c r="AM2709" s="500"/>
      <c r="AN2709" s="500"/>
      <c r="AO2709" s="500"/>
      <c r="AP2709" s="500"/>
    </row>
    <row r="2710" spans="1:42" ht="16.5" customHeight="1">
      <c r="A2710" s="434"/>
      <c r="B2710" s="437" t="s">
        <v>3642</v>
      </c>
      <c r="C2710" s="439"/>
      <c r="D2710" s="439"/>
      <c r="E2710" s="439"/>
      <c r="F2710" s="439"/>
      <c r="G2710" s="451" t="s">
        <v>3643</v>
      </c>
      <c r="Z2710" s="500"/>
      <c r="AA2710" s="500"/>
      <c r="AB2710" s="500"/>
      <c r="AC2710" s="500"/>
      <c r="AD2710" s="500"/>
      <c r="AE2710" s="500"/>
      <c r="AF2710" s="500"/>
      <c r="AG2710" s="500"/>
      <c r="AH2710" s="500"/>
      <c r="AI2710" s="500"/>
      <c r="AJ2710" s="500"/>
      <c r="AK2710" s="500"/>
      <c r="AL2710" s="500"/>
      <c r="AM2710" s="500"/>
      <c r="AN2710" s="500"/>
      <c r="AO2710" s="500"/>
      <c r="AP2710" s="500"/>
    </row>
    <row r="2711" spans="1:42" ht="16.5" customHeight="1">
      <c r="A2711" s="439"/>
      <c r="B2711" s="439"/>
      <c r="C2711" s="439"/>
      <c r="D2711" s="439"/>
      <c r="E2711" s="439"/>
      <c r="F2711" s="439"/>
      <c r="G2711" s="451" t="s">
        <v>3406</v>
      </c>
      <c r="Z2711" s="500"/>
      <c r="AA2711" s="500"/>
      <c r="AB2711" s="500"/>
      <c r="AC2711" s="500"/>
      <c r="AD2711" s="500"/>
      <c r="AE2711" s="500"/>
      <c r="AF2711" s="500"/>
      <c r="AG2711" s="500"/>
      <c r="AH2711" s="500"/>
      <c r="AI2711" s="500"/>
      <c r="AJ2711" s="500"/>
      <c r="AK2711" s="500"/>
      <c r="AL2711" s="500"/>
      <c r="AM2711" s="500"/>
      <c r="AN2711" s="500"/>
      <c r="AO2711" s="500"/>
      <c r="AP2711" s="500"/>
    </row>
    <row r="2712" spans="1:42" ht="16.5" customHeight="1">
      <c r="A2712" s="434"/>
      <c r="B2712" s="437" t="str">
        <f>" 일당 작업량 :   Q = "&amp;Z2712&amp;"  주 "</f>
        <v xml:space="preserve"> 일당 작업량 :   Q = 20  주 </v>
      </c>
      <c r="C2712" s="439"/>
      <c r="D2712" s="439"/>
      <c r="E2712" s="439"/>
      <c r="F2712" s="439"/>
      <c r="G2712" s="451" t="s">
        <v>3648</v>
      </c>
      <c r="Z2712" s="515">
        <v>20</v>
      </c>
      <c r="AA2712" s="501" t="s">
        <v>3418</v>
      </c>
      <c r="AB2712" s="512">
        <f>Z2712</f>
        <v>20</v>
      </c>
      <c r="AC2712" s="500"/>
      <c r="AD2712" s="500"/>
      <c r="AE2712" s="500"/>
      <c r="AF2712" s="500"/>
      <c r="AG2712" s="500"/>
      <c r="AH2712" s="500"/>
      <c r="AI2712" s="500"/>
      <c r="AJ2712" s="500"/>
      <c r="AK2712" s="500"/>
      <c r="AL2712" s="500"/>
      <c r="AM2712" s="500"/>
      <c r="AN2712" s="500"/>
      <c r="AO2712" s="500"/>
      <c r="AP2712" s="500"/>
    </row>
    <row r="2713" spans="1:42" ht="16.5" customHeight="1">
      <c r="A2713" s="439"/>
      <c r="B2713" s="439"/>
      <c r="C2713" s="439"/>
      <c r="D2713" s="439"/>
      <c r="E2713" s="439"/>
      <c r="F2713" s="439"/>
      <c r="G2713" s="451" t="s">
        <v>3406</v>
      </c>
      <c r="Z2713" s="500"/>
      <c r="AA2713" s="500"/>
      <c r="AB2713" s="500"/>
      <c r="AC2713" s="500"/>
      <c r="AD2713" s="500"/>
      <c r="AE2713" s="500"/>
      <c r="AF2713" s="500"/>
      <c r="AG2713" s="500"/>
      <c r="AH2713" s="500"/>
      <c r="AI2713" s="500"/>
      <c r="AJ2713" s="500"/>
      <c r="AK2713" s="500"/>
      <c r="AL2713" s="500"/>
      <c r="AM2713" s="500"/>
      <c r="AN2713" s="500"/>
      <c r="AO2713" s="500"/>
      <c r="AP2713" s="500"/>
    </row>
    <row r="2714" spans="1:42" ht="16.5" customHeight="1">
      <c r="A2714" s="434"/>
      <c r="B2714" s="437" t="s">
        <v>3651</v>
      </c>
      <c r="C2714" s="439"/>
      <c r="D2714" s="439"/>
      <c r="E2714" s="439"/>
      <c r="F2714" s="439"/>
      <c r="G2714" s="451" t="s">
        <v>3652</v>
      </c>
      <c r="Z2714" s="500"/>
      <c r="AA2714" s="500"/>
      <c r="AB2714" s="500"/>
      <c r="AC2714" s="500"/>
      <c r="AD2714" s="500"/>
      <c r="AE2714" s="500"/>
      <c r="AF2714" s="500"/>
      <c r="AG2714" s="500"/>
      <c r="AH2714" s="500"/>
      <c r="AI2714" s="500"/>
      <c r="AJ2714" s="500"/>
      <c r="AK2714" s="500"/>
      <c r="AL2714" s="500"/>
      <c r="AM2714" s="500"/>
      <c r="AN2714" s="500"/>
      <c r="AO2714" s="500"/>
      <c r="AP2714" s="500"/>
    </row>
    <row r="2715" spans="1:42" ht="16.5" customHeight="1">
      <c r="A2715" s="439"/>
      <c r="B2715" s="439"/>
      <c r="C2715" s="439"/>
      <c r="D2715" s="439"/>
      <c r="E2715" s="439"/>
      <c r="F2715" s="439"/>
      <c r="G2715" s="451" t="s">
        <v>3406</v>
      </c>
      <c r="Z2715" s="500"/>
      <c r="AA2715" s="500"/>
      <c r="AB2715" s="500"/>
      <c r="AC2715" s="500"/>
      <c r="AD2715" s="500"/>
      <c r="AE2715" s="500"/>
      <c r="AF2715" s="500"/>
      <c r="AG2715" s="500"/>
      <c r="AH2715" s="500"/>
      <c r="AI2715" s="500"/>
      <c r="AJ2715" s="500"/>
      <c r="AK2715" s="500"/>
      <c r="AL2715" s="500"/>
      <c r="AM2715" s="500"/>
      <c r="AN2715" s="500"/>
      <c r="AO2715" s="500"/>
      <c r="AP2715" s="500"/>
    </row>
    <row r="2716" spans="1:42" ht="16.5" customHeight="1">
      <c r="A2716" s="439"/>
      <c r="B2716" s="439"/>
      <c r="C2716" s="439"/>
      <c r="D2716" s="439"/>
      <c r="E2716" s="439"/>
      <c r="F2716" s="439"/>
      <c r="G2716" s="451" t="s">
        <v>3406</v>
      </c>
      <c r="Z2716" s="500"/>
      <c r="AA2716" s="500"/>
      <c r="AB2716" s="500"/>
      <c r="AC2716" s="500"/>
      <c r="AD2716" s="500"/>
      <c r="AE2716" s="500"/>
      <c r="AF2716" s="500"/>
      <c r="AG2716" s="500"/>
      <c r="AH2716" s="500"/>
      <c r="AI2716" s="500"/>
      <c r="AJ2716" s="500"/>
      <c r="AK2716" s="500"/>
      <c r="AL2716" s="500"/>
      <c r="AM2716" s="500"/>
      <c r="AN2716" s="500"/>
      <c r="AO2716" s="500"/>
      <c r="AP2716" s="500"/>
    </row>
    <row r="2717" spans="1:42" ht="16.5" customHeight="1">
      <c r="A2717" s="439"/>
      <c r="B2717" s="439"/>
      <c r="C2717" s="439"/>
      <c r="D2717" s="439"/>
      <c r="E2717" s="439"/>
      <c r="F2717" s="439"/>
      <c r="G2717" s="451" t="s">
        <v>3406</v>
      </c>
      <c r="Z2717" s="500"/>
      <c r="AA2717" s="500"/>
      <c r="AB2717" s="500"/>
      <c r="AC2717" s="500"/>
      <c r="AD2717" s="500"/>
      <c r="AE2717" s="500"/>
      <c r="AF2717" s="500"/>
      <c r="AG2717" s="500"/>
      <c r="AH2717" s="500"/>
      <c r="AI2717" s="500"/>
      <c r="AJ2717" s="500"/>
      <c r="AK2717" s="500"/>
      <c r="AL2717" s="500"/>
      <c r="AM2717" s="500"/>
      <c r="AN2717" s="500"/>
      <c r="AO2717" s="500"/>
      <c r="AP2717" s="500"/>
    </row>
    <row r="2718" spans="1:42" ht="16.5" customHeight="1">
      <c r="A2718" s="439"/>
      <c r="B2718" s="439"/>
      <c r="C2718" s="439"/>
      <c r="D2718" s="439"/>
      <c r="E2718" s="439"/>
      <c r="F2718" s="439"/>
      <c r="G2718" s="451" t="s">
        <v>3406</v>
      </c>
      <c r="Z2718" s="500"/>
      <c r="AA2718" s="500"/>
      <c r="AB2718" s="500"/>
      <c r="AC2718" s="500"/>
      <c r="AD2718" s="500"/>
      <c r="AE2718" s="500"/>
      <c r="AF2718" s="500"/>
      <c r="AG2718" s="500"/>
      <c r="AH2718" s="500"/>
      <c r="AI2718" s="500"/>
      <c r="AJ2718" s="500"/>
      <c r="AK2718" s="500"/>
      <c r="AL2718" s="500"/>
      <c r="AM2718" s="500"/>
      <c r="AN2718" s="500"/>
      <c r="AO2718" s="500"/>
      <c r="AP2718" s="500"/>
    </row>
    <row r="2719" spans="1:42" ht="16.5" customHeight="1">
      <c r="A2719" s="434"/>
      <c r="B2719" s="437" t="s">
        <v>3496</v>
      </c>
      <c r="C2719" s="439"/>
      <c r="D2719" s="439"/>
      <c r="E2719" s="439"/>
      <c r="F2719" s="439"/>
      <c r="G2719" s="451" t="s">
        <v>3497</v>
      </c>
      <c r="Z2719" s="500"/>
      <c r="AA2719" s="500"/>
      <c r="AB2719" s="500"/>
      <c r="AC2719" s="500"/>
      <c r="AD2719" s="500"/>
      <c r="AE2719" s="500"/>
      <c r="AF2719" s="500"/>
      <c r="AG2719" s="500"/>
      <c r="AH2719" s="500"/>
      <c r="AI2719" s="500"/>
      <c r="AJ2719" s="500"/>
      <c r="AK2719" s="500"/>
      <c r="AL2719" s="500"/>
      <c r="AM2719" s="500"/>
      <c r="AN2719" s="500"/>
      <c r="AO2719" s="500"/>
      <c r="AP2719" s="500"/>
    </row>
    <row r="2720" spans="1:42" ht="16.5" customHeight="1">
      <c r="A2720" s="439"/>
      <c r="B2720" s="439"/>
      <c r="C2720" s="439"/>
      <c r="D2720" s="439"/>
      <c r="E2720" s="439"/>
      <c r="F2720" s="439"/>
      <c r="G2720" s="451" t="s">
        <v>3406</v>
      </c>
      <c r="Z2720" s="500"/>
      <c r="AA2720" s="500"/>
      <c r="AB2720" s="500"/>
      <c r="AC2720" s="500"/>
      <c r="AD2720" s="500"/>
      <c r="AE2720" s="500"/>
      <c r="AF2720" s="500"/>
      <c r="AG2720" s="500"/>
      <c r="AH2720" s="500"/>
      <c r="AI2720" s="500"/>
      <c r="AJ2720" s="500"/>
      <c r="AK2720" s="500"/>
      <c r="AL2720" s="500"/>
      <c r="AM2720" s="500"/>
      <c r="AN2720" s="500"/>
      <c r="AO2720" s="500"/>
      <c r="AP2720" s="500"/>
    </row>
    <row r="2721" spans="1:42" ht="16.5" customHeight="1">
      <c r="A2721" s="434" t="s">
        <v>3498</v>
      </c>
      <c r="B2721" s="505" t="str">
        <f>" 조경공 :  "&amp;TEXT(I2721,"#,##0"&amp;IF(I2721&lt;&gt;INT(I2721),".###",""))&amp;" * "&amp;AA2721&amp;" 인  / Q = "&amp;TEXT(C2721,"#,##0.0")&amp;""</f>
        <v xml:space="preserve"> 조경공 :  235,204 * 4 인  / Q = 47,040.8</v>
      </c>
      <c r="C2721" s="506">
        <f>E2721+D2721+F2721</f>
        <v>47040.800000000003</v>
      </c>
      <c r="D2721" s="506">
        <f>IF(H2721=0,0,ROUNDDOWN(J2721*H2721,1))</f>
        <v>47040.800000000003</v>
      </c>
      <c r="E2721" s="506">
        <f>IF(H2721=0,0,ROUNDDOWN(K2721*H2721,1))</f>
        <v>0</v>
      </c>
      <c r="F2721" s="506">
        <f>IF(H2721=0,0,ROUNDDOWN(L2721*H2721,1))</f>
        <v>0</v>
      </c>
      <c r="G2721" s="451" t="s">
        <v>3653</v>
      </c>
      <c r="H2721" s="507">
        <f>ROUNDUP(AE2721,14-LEN(ABS(INT(AE2721))))</f>
        <v>0.2</v>
      </c>
      <c r="I2721" s="508">
        <f>K2721+J2721+L2721</f>
        <v>235204</v>
      </c>
      <c r="J2721" s="509">
        <f>노무비목록표!E15</f>
        <v>235204</v>
      </c>
      <c r="M2721" s="501" t="s">
        <v>2359</v>
      </c>
      <c r="N2721" s="501" t="s">
        <v>3416</v>
      </c>
      <c r="X2721" s="510" t="str">
        <f>노무비목록표!B15&amp;" / "&amp;노무비목록표!C15</f>
        <v xml:space="preserve">조경공 / </v>
      </c>
      <c r="Y2721" s="433" t="str">
        <f ca="1">HYPERLINK("#"&amp;노무비목록표!G2&amp;"!A"&amp;ROW(노무비목록표!A15),"L00184 →")</f>
        <v>L00184 →</v>
      </c>
      <c r="Z2721" s="501" t="s">
        <v>3500</v>
      </c>
      <c r="AA2721" s="515">
        <v>4</v>
      </c>
      <c r="AB2721" s="501" t="s">
        <v>3428</v>
      </c>
      <c r="AC2721" s="512">
        <f>AB2712</f>
        <v>20</v>
      </c>
      <c r="AD2721" s="501" t="s">
        <v>3418</v>
      </c>
      <c r="AE2721" s="512">
        <f>1*AA2721/AB2712</f>
        <v>0.2</v>
      </c>
      <c r="AF2721" s="500"/>
      <c r="AG2721" s="500"/>
      <c r="AH2721" s="500"/>
      <c r="AI2721" s="500"/>
      <c r="AJ2721" s="500"/>
      <c r="AK2721" s="500"/>
      <c r="AL2721" s="500"/>
      <c r="AM2721" s="500"/>
      <c r="AN2721" s="500"/>
      <c r="AO2721" s="500"/>
      <c r="AP2721" s="500"/>
    </row>
    <row r="2722" spans="1:42" ht="16.5" customHeight="1">
      <c r="A2722" s="439"/>
      <c r="B2722" s="439"/>
      <c r="C2722" s="439"/>
      <c r="D2722" s="439"/>
      <c r="E2722" s="439"/>
      <c r="F2722" s="439"/>
      <c r="G2722" s="451" t="s">
        <v>3406</v>
      </c>
      <c r="Z2722" s="500"/>
      <c r="AA2722" s="500"/>
      <c r="AB2722" s="500"/>
      <c r="AC2722" s="500"/>
      <c r="AD2722" s="500"/>
      <c r="AE2722" s="500"/>
      <c r="AF2722" s="500"/>
      <c r="AG2722" s="500"/>
      <c r="AH2722" s="500"/>
      <c r="AI2722" s="500"/>
      <c r="AJ2722" s="500"/>
      <c r="AK2722" s="500"/>
      <c r="AL2722" s="500"/>
      <c r="AM2722" s="500"/>
      <c r="AN2722" s="500"/>
      <c r="AO2722" s="500"/>
      <c r="AP2722" s="500"/>
    </row>
    <row r="2723" spans="1:42" ht="16.5" customHeight="1">
      <c r="A2723" s="439"/>
      <c r="B2723" s="439"/>
      <c r="C2723" s="439"/>
      <c r="D2723" s="439"/>
      <c r="E2723" s="439"/>
      <c r="F2723" s="439"/>
      <c r="G2723" s="451" t="s">
        <v>3406</v>
      </c>
      <c r="Z2723" s="500"/>
      <c r="AA2723" s="500"/>
      <c r="AB2723" s="500"/>
      <c r="AC2723" s="500"/>
      <c r="AD2723" s="500"/>
      <c r="AE2723" s="500"/>
      <c r="AF2723" s="500"/>
      <c r="AG2723" s="500"/>
      <c r="AH2723" s="500"/>
      <c r="AI2723" s="500"/>
      <c r="AJ2723" s="500"/>
      <c r="AK2723" s="500"/>
      <c r="AL2723" s="500"/>
      <c r="AM2723" s="500"/>
      <c r="AN2723" s="500"/>
      <c r="AO2723" s="500"/>
      <c r="AP2723" s="500"/>
    </row>
    <row r="2724" spans="1:42" ht="16.5" customHeight="1">
      <c r="A2724" s="434" t="s">
        <v>3414</v>
      </c>
      <c r="B2724" s="505" t="str">
        <f>" 보통인부 : "&amp;TEXT(I2724,"#,##0"&amp;IF(I2724&lt;&gt;INT(I2724),".###",""))&amp;" * "&amp;AA2724&amp;" 인  / Q = "&amp;TEXT(C2724,"#,##0.0")&amp;""</f>
        <v xml:space="preserve"> 보통인부 : 172,068 * 2 인  / Q = 17,206.8</v>
      </c>
      <c r="C2724" s="506">
        <f>E2724+D2724+F2724</f>
        <v>17206.8</v>
      </c>
      <c r="D2724" s="506">
        <f>IF(H2724=0,0,ROUNDDOWN(J2724*H2724,1))</f>
        <v>17206.8</v>
      </c>
      <c r="E2724" s="506">
        <f>IF(H2724=0,0,ROUNDDOWN(K2724*H2724,1))</f>
        <v>0</v>
      </c>
      <c r="F2724" s="506">
        <f>IF(H2724=0,0,ROUNDDOWN(L2724*H2724,1))</f>
        <v>0</v>
      </c>
      <c r="G2724" s="451" t="s">
        <v>3654</v>
      </c>
      <c r="H2724" s="507">
        <f>ROUNDUP(AE2724,14-LEN(ABS(INT(AE2724))))</f>
        <v>0.1</v>
      </c>
      <c r="I2724" s="508">
        <f>K2724+J2724+L2724</f>
        <v>172068</v>
      </c>
      <c r="J2724" s="509">
        <f>노무비목록표!E10</f>
        <v>172068</v>
      </c>
      <c r="M2724" s="501" t="s">
        <v>2363</v>
      </c>
      <c r="N2724" s="501" t="s">
        <v>3416</v>
      </c>
      <c r="X2724" s="510" t="str">
        <f>노무비목록표!B10&amp;" / "&amp;노무비목록표!C10</f>
        <v xml:space="preserve">보통인부 / </v>
      </c>
      <c r="Y2724" s="433" t="str">
        <f ca="1">HYPERLINK("#"&amp;노무비목록표!G2&amp;"!A"&amp;ROW(노무비목록표!A10),"L00017 →")</f>
        <v>L00017 →</v>
      </c>
      <c r="Z2724" s="501" t="s">
        <v>3500</v>
      </c>
      <c r="AA2724" s="515">
        <v>2</v>
      </c>
      <c r="AB2724" s="501" t="s">
        <v>3428</v>
      </c>
      <c r="AC2724" s="512">
        <f>AB2712</f>
        <v>20</v>
      </c>
      <c r="AD2724" s="501" t="s">
        <v>3418</v>
      </c>
      <c r="AE2724" s="512">
        <f>1*AA2724/AB2712</f>
        <v>0.1</v>
      </c>
      <c r="AF2724" s="500"/>
      <c r="AG2724" s="500"/>
      <c r="AH2724" s="500"/>
      <c r="AI2724" s="500"/>
      <c r="AJ2724" s="500"/>
      <c r="AK2724" s="500"/>
      <c r="AL2724" s="500"/>
      <c r="AM2724" s="500"/>
      <c r="AN2724" s="500"/>
      <c r="AO2724" s="500"/>
      <c r="AP2724" s="500"/>
    </row>
    <row r="2725" spans="1:42" ht="16.5" customHeight="1">
      <c r="A2725" s="439"/>
      <c r="B2725" s="439"/>
      <c r="C2725" s="439"/>
      <c r="D2725" s="439"/>
      <c r="E2725" s="439"/>
      <c r="F2725" s="439"/>
      <c r="G2725" s="451" t="s">
        <v>3406</v>
      </c>
      <c r="Z2725" s="500"/>
      <c r="AA2725" s="500"/>
      <c r="AB2725" s="500"/>
      <c r="AC2725" s="500"/>
      <c r="AD2725" s="500"/>
      <c r="AE2725" s="500"/>
      <c r="AF2725" s="500"/>
      <c r="AG2725" s="500"/>
      <c r="AH2725" s="500"/>
      <c r="AI2725" s="500"/>
      <c r="AJ2725" s="500"/>
      <c r="AK2725" s="500"/>
      <c r="AL2725" s="500"/>
      <c r="AM2725" s="500"/>
      <c r="AN2725" s="500"/>
      <c r="AO2725" s="500"/>
      <c r="AP2725" s="500"/>
    </row>
    <row r="2726" spans="1:42" ht="16.5" customHeight="1">
      <c r="A2726" s="434"/>
      <c r="B2726" s="437" t="s">
        <v>3419</v>
      </c>
      <c r="C2726" s="513">
        <f>E2726+D2726+F2726</f>
        <v>64247.600000000006</v>
      </c>
      <c r="D2726" s="513">
        <f>SUMIF(N2707:N2725,M2726,D2707:D2725)</f>
        <v>64247.600000000006</v>
      </c>
      <c r="E2726" s="513">
        <f>SUMIF(N2707:N2725,M2726,E2707:E2725)</f>
        <v>0</v>
      </c>
      <c r="F2726" s="513">
        <f>SUMIF(N2707:N2725,M2726,F2707:F2725)</f>
        <v>0</v>
      </c>
      <c r="G2726" s="451" t="s">
        <v>3439</v>
      </c>
      <c r="M2726" s="501" t="s">
        <v>3416</v>
      </c>
      <c r="N2726" s="501" t="s">
        <v>3421</v>
      </c>
      <c r="Z2726" s="500"/>
      <c r="AA2726" s="500"/>
      <c r="AB2726" s="500"/>
      <c r="AC2726" s="500"/>
      <c r="AD2726" s="500"/>
      <c r="AE2726" s="500"/>
      <c r="AF2726" s="500"/>
      <c r="AG2726" s="500"/>
      <c r="AH2726" s="500"/>
      <c r="AI2726" s="500"/>
      <c r="AJ2726" s="500"/>
      <c r="AK2726" s="500"/>
      <c r="AL2726" s="500"/>
      <c r="AM2726" s="500"/>
      <c r="AN2726" s="500"/>
      <c r="AO2726" s="500"/>
      <c r="AP2726" s="500"/>
    </row>
    <row r="2727" spans="1:42" ht="16.5" customHeight="1">
      <c r="A2727" s="439"/>
      <c r="B2727" s="439"/>
      <c r="C2727" s="504"/>
      <c r="D2727" s="504"/>
      <c r="E2727" s="504"/>
      <c r="F2727" s="504"/>
      <c r="G2727" s="451" t="s">
        <v>3406</v>
      </c>
      <c r="Z2727" s="500"/>
      <c r="AA2727" s="500"/>
      <c r="AB2727" s="500"/>
      <c r="AC2727" s="500"/>
      <c r="AD2727" s="500"/>
      <c r="AE2727" s="500"/>
      <c r="AF2727" s="500"/>
      <c r="AG2727" s="500"/>
      <c r="AH2727" s="500"/>
      <c r="AI2727" s="500"/>
      <c r="AJ2727" s="500"/>
      <c r="AK2727" s="500"/>
      <c r="AL2727" s="500"/>
      <c r="AM2727" s="500"/>
      <c r="AN2727" s="500"/>
      <c r="AO2727" s="500"/>
      <c r="AP2727" s="500"/>
    </row>
    <row r="2728" spans="1:42" ht="16.5" customHeight="1">
      <c r="A2728" s="439"/>
      <c r="B2728" s="439"/>
      <c r="C2728" s="439"/>
      <c r="D2728" s="439"/>
      <c r="E2728" s="439"/>
      <c r="F2728" s="439"/>
      <c r="G2728" s="451" t="s">
        <v>3406</v>
      </c>
      <c r="Z2728" s="500"/>
      <c r="AA2728" s="500"/>
      <c r="AB2728" s="500"/>
      <c r="AC2728" s="500"/>
      <c r="AD2728" s="500"/>
      <c r="AE2728" s="500"/>
      <c r="AF2728" s="500"/>
      <c r="AG2728" s="500"/>
      <c r="AH2728" s="500"/>
      <c r="AI2728" s="500"/>
      <c r="AJ2728" s="500"/>
      <c r="AK2728" s="500"/>
      <c r="AL2728" s="500"/>
      <c r="AM2728" s="500"/>
      <c r="AN2728" s="500"/>
      <c r="AO2728" s="500"/>
      <c r="AP2728" s="500"/>
    </row>
    <row r="2729" spans="1:42" ht="16.5" customHeight="1">
      <c r="A2729" s="434"/>
      <c r="B2729" s="437" t="s">
        <v>3502</v>
      </c>
      <c r="C2729" s="439"/>
      <c r="D2729" s="439"/>
      <c r="E2729" s="439"/>
      <c r="F2729" s="439"/>
      <c r="G2729" s="451" t="s">
        <v>3503</v>
      </c>
      <c r="Z2729" s="500"/>
      <c r="AA2729" s="500"/>
      <c r="AB2729" s="500"/>
      <c r="AC2729" s="500"/>
      <c r="AD2729" s="500"/>
      <c r="AE2729" s="500"/>
      <c r="AF2729" s="500"/>
      <c r="AG2729" s="500"/>
      <c r="AH2729" s="500"/>
      <c r="AI2729" s="500"/>
      <c r="AJ2729" s="500"/>
      <c r="AK2729" s="500"/>
      <c r="AL2729" s="500"/>
      <c r="AM2729" s="500"/>
      <c r="AN2729" s="500"/>
      <c r="AO2729" s="500"/>
      <c r="AP2729" s="500"/>
    </row>
    <row r="2730" spans="1:42" ht="16.5" customHeight="1">
      <c r="A2730" s="439"/>
      <c r="B2730" s="439"/>
      <c r="C2730" s="439"/>
      <c r="D2730" s="439"/>
      <c r="E2730" s="439"/>
      <c r="F2730" s="439"/>
      <c r="G2730" s="451" t="s">
        <v>3406</v>
      </c>
      <c r="Z2730" s="500"/>
      <c r="AA2730" s="500"/>
      <c r="AB2730" s="500"/>
      <c r="AC2730" s="500"/>
      <c r="AD2730" s="500"/>
      <c r="AE2730" s="500"/>
      <c r="AF2730" s="500"/>
      <c r="AG2730" s="500"/>
      <c r="AH2730" s="500"/>
      <c r="AI2730" s="500"/>
      <c r="AJ2730" s="500"/>
      <c r="AK2730" s="500"/>
      <c r="AL2730" s="500"/>
      <c r="AM2730" s="500"/>
      <c r="AN2730" s="500"/>
      <c r="AO2730" s="500"/>
      <c r="AP2730" s="500"/>
    </row>
    <row r="2731" spans="1:42" ht="16.5" customHeight="1">
      <c r="A2731" s="434" t="s">
        <v>3628</v>
      </c>
      <c r="B2731" s="505" t="str">
        <f>"  지주목 이각, L1200 : "&amp;TEXT(I2731,"#,##0"&amp;IF(I2731&lt;&gt;INT(I2731),".###",""))&amp;" * "&amp;AA2731&amp;" 조  = "&amp;TEXT(C2731,"#,##0.0")&amp;""</f>
        <v xml:space="preserve">  지주목 이각, L1200 : 7,300 * 1 조  = 7,300.0</v>
      </c>
      <c r="C2731" s="506">
        <f>E2731+D2731+F2731</f>
        <v>7300</v>
      </c>
      <c r="D2731" s="506">
        <f>IF(H2731=0,0,ROUNDDOWN(J2731*H2731,1))</f>
        <v>0</v>
      </c>
      <c r="E2731" s="506">
        <f>IF(H2731=0,0,ROUNDDOWN(K2731*H2731,1))</f>
        <v>7300</v>
      </c>
      <c r="F2731" s="506">
        <f>IF(H2731=0,0,ROUNDDOWN(L2731*H2731,1))</f>
        <v>0</v>
      </c>
      <c r="G2731" s="451" t="s">
        <v>3629</v>
      </c>
      <c r="H2731" s="507">
        <f>ROUNDUP(AC2731,14-LEN(ABS(INT(AC2731))))</f>
        <v>1</v>
      </c>
      <c r="I2731" s="508">
        <f>K2731+J2731+L2731</f>
        <v>7300</v>
      </c>
      <c r="K2731" s="509">
        <f>재료비목록표!E94</f>
        <v>7300</v>
      </c>
      <c r="M2731" s="501" t="s">
        <v>3630</v>
      </c>
      <c r="N2731" s="501" t="s">
        <v>3416</v>
      </c>
      <c r="X2731" s="510" t="str">
        <f>재료비목록표!B94&amp;" / "&amp;재료비목록표!C94</f>
        <v>지주목 / 이각, L1200</v>
      </c>
      <c r="Y2731" s="433" t="str">
        <f ca="1">HYPERLINK("#"&amp;재료비목록표!G2&amp;"!A"&amp;ROW(재료비목록표!A94),"M08848 →")</f>
        <v>M08848 →</v>
      </c>
      <c r="Z2731" s="501" t="s">
        <v>3500</v>
      </c>
      <c r="AA2731" s="515">
        <v>1</v>
      </c>
      <c r="AB2731" s="501" t="s">
        <v>3418</v>
      </c>
      <c r="AC2731" s="512">
        <f>1*AA2731</f>
        <v>1</v>
      </c>
      <c r="AD2731" s="500"/>
      <c r="AE2731" s="500"/>
      <c r="AF2731" s="500"/>
      <c r="AG2731" s="500"/>
      <c r="AH2731" s="500"/>
      <c r="AI2731" s="500"/>
      <c r="AJ2731" s="500"/>
      <c r="AK2731" s="500"/>
      <c r="AL2731" s="500"/>
      <c r="AM2731" s="500"/>
      <c r="AN2731" s="500"/>
      <c r="AO2731" s="500"/>
      <c r="AP2731" s="500"/>
    </row>
    <row r="2732" spans="1:42" ht="16.5" customHeight="1">
      <c r="A2732" s="439"/>
      <c r="B2732" s="439"/>
      <c r="C2732" s="439"/>
      <c r="D2732" s="439"/>
      <c r="E2732" s="439"/>
      <c r="F2732" s="439"/>
      <c r="G2732" s="451" t="s">
        <v>3406</v>
      </c>
      <c r="Z2732" s="500"/>
      <c r="AA2732" s="500"/>
      <c r="AB2732" s="500"/>
      <c r="AC2732" s="500"/>
      <c r="AD2732" s="500"/>
      <c r="AE2732" s="500"/>
      <c r="AF2732" s="500"/>
      <c r="AG2732" s="500"/>
      <c r="AH2732" s="500"/>
      <c r="AI2732" s="500"/>
      <c r="AJ2732" s="500"/>
      <c r="AK2732" s="500"/>
      <c r="AL2732" s="500"/>
      <c r="AM2732" s="500"/>
      <c r="AN2732" s="500"/>
      <c r="AO2732" s="500"/>
      <c r="AP2732" s="500"/>
    </row>
    <row r="2733" spans="1:42" ht="16.5" customHeight="1">
      <c r="A2733" s="439"/>
      <c r="B2733" s="439"/>
      <c r="C2733" s="439"/>
      <c r="D2733" s="439"/>
      <c r="E2733" s="439"/>
      <c r="F2733" s="439"/>
      <c r="G2733" s="451" t="s">
        <v>3406</v>
      </c>
      <c r="Z2733" s="500"/>
      <c r="AA2733" s="500"/>
      <c r="AB2733" s="500"/>
      <c r="AC2733" s="500"/>
      <c r="AD2733" s="500"/>
      <c r="AE2733" s="500"/>
      <c r="AF2733" s="500"/>
      <c r="AG2733" s="500"/>
      <c r="AH2733" s="500"/>
      <c r="AI2733" s="500"/>
      <c r="AJ2733" s="500"/>
      <c r="AK2733" s="500"/>
      <c r="AL2733" s="500"/>
      <c r="AM2733" s="500"/>
      <c r="AN2733" s="500"/>
      <c r="AO2733" s="500"/>
      <c r="AP2733" s="500"/>
    </row>
    <row r="2734" spans="1:42" ht="16.5" customHeight="1">
      <c r="A2734" s="434" t="s">
        <v>3504</v>
      </c>
      <c r="B2734" s="505" t="str">
        <f>"  유기질비료 수목이식·식재용 : "&amp;TEXT(I2734,"#,##0"&amp;IF(I2734&lt;&gt;INT(I2734),".###",""))&amp;" * "&amp;AA2734&amp;" KG   = "&amp;TEXT(C2734,"#,##0.0")&amp;""</f>
        <v xml:space="preserve">  유기질비료 수목이식·식재용 : 500 * 10 KG   = 5,000.0</v>
      </c>
      <c r="C2734" s="506">
        <f>E2734+D2734+F2734</f>
        <v>5000</v>
      </c>
      <c r="D2734" s="506">
        <f>IF(H2734=0,0,ROUNDDOWN(J2734*H2734,1))</f>
        <v>0</v>
      </c>
      <c r="E2734" s="506">
        <f>IF(H2734=0,0,ROUNDDOWN(K2734*H2734,1))</f>
        <v>5000</v>
      </c>
      <c r="F2734" s="506">
        <f>IF(H2734=0,0,ROUNDDOWN(L2734*H2734,1))</f>
        <v>0</v>
      </c>
      <c r="G2734" s="451" t="s">
        <v>3631</v>
      </c>
      <c r="H2734" s="507">
        <f>ROUNDUP(AC2734,14-LEN(ABS(INT(AC2734))))</f>
        <v>10</v>
      </c>
      <c r="I2734" s="508">
        <f>K2734+J2734+L2734</f>
        <v>500</v>
      </c>
      <c r="K2734" s="509">
        <f>재료비목록표!E78</f>
        <v>500</v>
      </c>
      <c r="M2734" s="501" t="s">
        <v>3506</v>
      </c>
      <c r="N2734" s="501" t="s">
        <v>3416</v>
      </c>
      <c r="X2734" s="510" t="str">
        <f>재료비목록표!B78&amp;" / "&amp;재료비목록표!C78</f>
        <v>유기질비료 / 수목이식·식재용</v>
      </c>
      <c r="Y2734" s="433" t="str">
        <f ca="1">HYPERLINK("#"&amp;재료비목록표!G2&amp;"!A"&amp;ROW(재료비목록표!A78),"M01159 →")</f>
        <v>M01159 →</v>
      </c>
      <c r="Z2734" s="501" t="s">
        <v>3500</v>
      </c>
      <c r="AA2734" s="515">
        <v>10</v>
      </c>
      <c r="AB2734" s="501" t="s">
        <v>3418</v>
      </c>
      <c r="AC2734" s="512">
        <f>1*AA2734</f>
        <v>10</v>
      </c>
      <c r="AD2734" s="500"/>
      <c r="AE2734" s="500"/>
      <c r="AF2734" s="500"/>
      <c r="AG2734" s="500"/>
      <c r="AH2734" s="500"/>
      <c r="AI2734" s="500"/>
      <c r="AJ2734" s="500"/>
      <c r="AK2734" s="500"/>
      <c r="AL2734" s="500"/>
      <c r="AM2734" s="500"/>
      <c r="AN2734" s="500"/>
      <c r="AO2734" s="500"/>
      <c r="AP2734" s="500"/>
    </row>
    <row r="2735" spans="1:42" ht="16.5" customHeight="1">
      <c r="A2735" s="439"/>
      <c r="B2735" s="439"/>
      <c r="C2735" s="439"/>
      <c r="D2735" s="439"/>
      <c r="E2735" s="439"/>
      <c r="F2735" s="439"/>
      <c r="G2735" s="451" t="s">
        <v>3406</v>
      </c>
      <c r="Z2735" s="500"/>
      <c r="AA2735" s="500"/>
      <c r="AB2735" s="500"/>
      <c r="AC2735" s="500"/>
      <c r="AD2735" s="500"/>
      <c r="AE2735" s="500"/>
      <c r="AF2735" s="500"/>
      <c r="AG2735" s="500"/>
      <c r="AH2735" s="500"/>
      <c r="AI2735" s="500"/>
      <c r="AJ2735" s="500"/>
      <c r="AK2735" s="500"/>
      <c r="AL2735" s="500"/>
      <c r="AM2735" s="500"/>
      <c r="AN2735" s="500"/>
      <c r="AO2735" s="500"/>
      <c r="AP2735" s="500"/>
    </row>
    <row r="2736" spans="1:42" ht="16.5" customHeight="1">
      <c r="A2736" s="434"/>
      <c r="B2736" s="437" t="s">
        <v>3419</v>
      </c>
      <c r="C2736" s="513">
        <f>E2736+D2736+F2736</f>
        <v>12300</v>
      </c>
      <c r="D2736" s="513">
        <f>SUMIF(N2727:N2735,M2736,D2727:D2735)</f>
        <v>0</v>
      </c>
      <c r="E2736" s="513">
        <f>SUMIF(N2727:N2735,M2736,E2727:E2735)</f>
        <v>12300</v>
      </c>
      <c r="F2736" s="513">
        <f>SUMIF(N2727:N2735,M2736,F2727:F2735)</f>
        <v>0</v>
      </c>
      <c r="G2736" s="451" t="s">
        <v>3439</v>
      </c>
      <c r="M2736" s="501" t="s">
        <v>3416</v>
      </c>
      <c r="N2736" s="501" t="s">
        <v>3421</v>
      </c>
      <c r="Z2736" s="500"/>
      <c r="AA2736" s="500"/>
      <c r="AB2736" s="500"/>
      <c r="AC2736" s="500"/>
      <c r="AD2736" s="500"/>
      <c r="AE2736" s="500"/>
      <c r="AF2736" s="500"/>
      <c r="AG2736" s="500"/>
      <c r="AH2736" s="500"/>
      <c r="AI2736" s="500"/>
      <c r="AJ2736" s="500"/>
      <c r="AK2736" s="500"/>
      <c r="AL2736" s="500"/>
      <c r="AM2736" s="500"/>
      <c r="AN2736" s="500"/>
      <c r="AO2736" s="500"/>
      <c r="AP2736" s="500"/>
    </row>
    <row r="2737" spans="1:42" ht="16.5" customHeight="1">
      <c r="A2737" s="439"/>
      <c r="B2737" s="439"/>
      <c r="C2737" s="504"/>
      <c r="D2737" s="504"/>
      <c r="E2737" s="504"/>
      <c r="F2737" s="504"/>
      <c r="G2737" s="451" t="s">
        <v>3406</v>
      </c>
      <c r="Z2737" s="500"/>
      <c r="AA2737" s="500"/>
      <c r="AB2737" s="500"/>
      <c r="AC2737" s="500"/>
      <c r="AD2737" s="500"/>
      <c r="AE2737" s="500"/>
      <c r="AF2737" s="500"/>
      <c r="AG2737" s="500"/>
      <c r="AH2737" s="500"/>
      <c r="AI2737" s="500"/>
      <c r="AJ2737" s="500"/>
      <c r="AK2737" s="500"/>
      <c r="AL2737" s="500"/>
      <c r="AM2737" s="500"/>
      <c r="AN2737" s="500"/>
      <c r="AO2737" s="500"/>
      <c r="AP2737" s="500"/>
    </row>
    <row r="2738" spans="1:42" ht="16.5" customHeight="1">
      <c r="A2738" s="434"/>
      <c r="B2738" s="505" t="str">
        <f>"  산지할증 : "&amp;TEXT(I2738,"#,##0.0")&amp;" * "&amp;AA2738&amp;" %  = "&amp;TEXT(C2738,"#,##0.0")&amp;""</f>
        <v xml:space="preserve">  산지할증 : 64,247.6 * 15 %  = 9,637.1</v>
      </c>
      <c r="C2738" s="506">
        <f>E2738+D2738+F2738</f>
        <v>9637.1</v>
      </c>
      <c r="D2738" s="506">
        <f>IF(H2738=0,0,ROUNDDOWN(J2738*H2738/100,1))</f>
        <v>9637.1</v>
      </c>
      <c r="E2738" s="506">
        <f>IF(H2738=0,0,ROUNDDOWN(K2738*H2738/100,1))</f>
        <v>0</v>
      </c>
      <c r="F2738" s="506">
        <f>IF(H2738=0,0,ROUNDDOWN(L2738*H2738/100,1))</f>
        <v>0</v>
      </c>
      <c r="G2738" s="451" t="s">
        <v>5587</v>
      </c>
      <c r="H2738" s="507">
        <f>ROUNDUP(AC2738,14-LEN(ABS(INT(AC2738))))</f>
        <v>15</v>
      </c>
      <c r="I2738" s="508">
        <f>K2738+J2738+L2738</f>
        <v>64247.600000000006</v>
      </c>
      <c r="J2738" s="508">
        <f>D2726+D2736+SUMIF(N2737:N2737,N2738,D2737:D2737)</f>
        <v>64247.600000000006</v>
      </c>
      <c r="K2738" s="456">
        <v>0</v>
      </c>
      <c r="L2738" s="456">
        <v>0</v>
      </c>
      <c r="M2738" s="501" t="s">
        <v>5605</v>
      </c>
      <c r="N2738" s="501" t="s">
        <v>3416</v>
      </c>
      <c r="Z2738" s="501" t="s">
        <v>3500</v>
      </c>
      <c r="AA2738" s="515">
        <v>15</v>
      </c>
      <c r="AB2738" s="501" t="s">
        <v>3418</v>
      </c>
      <c r="AC2738" s="512">
        <f>1*AA2738</f>
        <v>15</v>
      </c>
      <c r="AD2738" s="500"/>
      <c r="AE2738" s="500"/>
      <c r="AF2738" s="500"/>
      <c r="AG2738" s="500"/>
      <c r="AH2738" s="500"/>
      <c r="AI2738" s="500"/>
      <c r="AJ2738" s="500"/>
      <c r="AK2738" s="500"/>
      <c r="AL2738" s="500"/>
      <c r="AM2738" s="500"/>
      <c r="AN2738" s="500"/>
      <c r="AO2738" s="500"/>
      <c r="AP2738" s="500"/>
    </row>
    <row r="2739" spans="1:42" ht="16.5" customHeight="1">
      <c r="A2739" s="439"/>
      <c r="B2739" s="439"/>
      <c r="C2739" s="439"/>
      <c r="D2739" s="439"/>
      <c r="E2739" s="439"/>
      <c r="F2739" s="439"/>
      <c r="G2739" s="451" t="s">
        <v>3406</v>
      </c>
      <c r="Z2739" s="500"/>
      <c r="AA2739" s="500"/>
      <c r="AB2739" s="500"/>
      <c r="AC2739" s="500"/>
      <c r="AD2739" s="500"/>
      <c r="AE2739" s="500"/>
      <c r="AF2739" s="500"/>
      <c r="AG2739" s="500"/>
      <c r="AH2739" s="500"/>
      <c r="AI2739" s="500"/>
      <c r="AJ2739" s="500"/>
      <c r="AK2739" s="500"/>
      <c r="AL2739" s="500"/>
      <c r="AM2739" s="500"/>
      <c r="AN2739" s="500"/>
      <c r="AO2739" s="500"/>
      <c r="AP2739" s="500"/>
    </row>
    <row r="2740" spans="1:42" ht="16.5" customHeight="1">
      <c r="A2740" s="434"/>
      <c r="B2740" s="437" t="s">
        <v>3419</v>
      </c>
      <c r="C2740" s="513">
        <f>E2740+D2740+F2740</f>
        <v>9637.1</v>
      </c>
      <c r="D2740" s="513">
        <f>SUMIF(N2737:N2739,M2740,D2737:D2739)</f>
        <v>9637.1</v>
      </c>
      <c r="E2740" s="513">
        <f>SUMIF(N2737:N2739,M2740,E2737:E2739)</f>
        <v>0</v>
      </c>
      <c r="F2740" s="513">
        <f>SUMIF(N2737:N2739,M2740,F2737:F2739)</f>
        <v>0</v>
      </c>
      <c r="G2740" s="451" t="s">
        <v>3439</v>
      </c>
      <c r="M2740" s="501" t="s">
        <v>3416</v>
      </c>
      <c r="N2740" s="501" t="s">
        <v>3421</v>
      </c>
      <c r="Z2740" s="500"/>
      <c r="AA2740" s="500"/>
      <c r="AB2740" s="500"/>
      <c r="AC2740" s="500"/>
      <c r="AD2740" s="500"/>
      <c r="AE2740" s="500"/>
      <c r="AF2740" s="500"/>
      <c r="AG2740" s="500"/>
      <c r="AH2740" s="500"/>
      <c r="AI2740" s="500"/>
      <c r="AJ2740" s="500"/>
      <c r="AK2740" s="500"/>
      <c r="AL2740" s="500"/>
      <c r="AM2740" s="500"/>
      <c r="AN2740" s="500"/>
      <c r="AO2740" s="500"/>
      <c r="AP2740" s="500"/>
    </row>
    <row r="2741" spans="1:42" ht="16.5" customHeight="1">
      <c r="A2741" s="439"/>
      <c r="B2741" s="439"/>
      <c r="C2741" s="504"/>
      <c r="D2741" s="504"/>
      <c r="E2741" s="504"/>
      <c r="F2741" s="504"/>
      <c r="G2741" s="451" t="s">
        <v>3406</v>
      </c>
      <c r="Z2741" s="500"/>
      <c r="AA2741" s="500"/>
      <c r="AB2741" s="500"/>
      <c r="AC2741" s="500"/>
      <c r="AD2741" s="500"/>
      <c r="AE2741" s="500"/>
      <c r="AF2741" s="500"/>
      <c r="AG2741" s="500"/>
      <c r="AH2741" s="500"/>
      <c r="AI2741" s="500"/>
      <c r="AJ2741" s="500"/>
      <c r="AK2741" s="500"/>
      <c r="AL2741" s="500"/>
      <c r="AM2741" s="500"/>
      <c r="AN2741" s="500"/>
      <c r="AO2741" s="500"/>
      <c r="AP2741" s="500"/>
    </row>
    <row r="2742" spans="1:42" ht="16.5" customHeight="1">
      <c r="A2742" s="434"/>
      <c r="B2742" s="437" t="s">
        <v>3440</v>
      </c>
      <c r="C2742" s="513">
        <f>E2742+D2742+F2742</f>
        <v>86184.700000000012</v>
      </c>
      <c r="D2742" s="513">
        <f>SUMIF(N2707:N2741,M2742,D2707:D2741)</f>
        <v>73884.700000000012</v>
      </c>
      <c r="E2742" s="513">
        <f>SUMIF(N2707:N2741,M2742,E2707:E2741)</f>
        <v>12300</v>
      </c>
      <c r="F2742" s="513">
        <f>SUMIF(N2707:N2741,M2742,F2707:F2741)</f>
        <v>0</v>
      </c>
      <c r="G2742" s="451" t="s">
        <v>3441</v>
      </c>
      <c r="M2742" s="501" t="s">
        <v>3421</v>
      </c>
      <c r="N2742" s="501" t="s">
        <v>2354</v>
      </c>
      <c r="Z2742" s="500"/>
      <c r="AA2742" s="500"/>
      <c r="AB2742" s="500"/>
      <c r="AC2742" s="500"/>
      <c r="AD2742" s="500"/>
      <c r="AE2742" s="500"/>
      <c r="AF2742" s="500"/>
      <c r="AG2742" s="500"/>
      <c r="AH2742" s="500"/>
      <c r="AI2742" s="500"/>
      <c r="AJ2742" s="500"/>
      <c r="AK2742" s="500"/>
      <c r="AL2742" s="500"/>
      <c r="AM2742" s="500"/>
      <c r="AN2742" s="500"/>
      <c r="AO2742" s="500"/>
      <c r="AP2742" s="500"/>
    </row>
    <row r="2743" spans="1:42" ht="16.5" customHeight="1">
      <c r="A2743" s="439"/>
      <c r="B2743" s="439"/>
      <c r="C2743" s="504"/>
      <c r="D2743" s="504"/>
      <c r="E2743" s="504"/>
      <c r="F2743" s="504"/>
      <c r="G2743" s="451" t="s">
        <v>3413</v>
      </c>
      <c r="Z2743" s="500"/>
      <c r="AA2743" s="500"/>
      <c r="AB2743" s="500"/>
      <c r="AC2743" s="500"/>
      <c r="AD2743" s="500"/>
      <c r="AE2743" s="500"/>
      <c r="AF2743" s="500"/>
      <c r="AG2743" s="500"/>
      <c r="AH2743" s="500"/>
      <c r="AI2743" s="500"/>
      <c r="AJ2743" s="500"/>
      <c r="AK2743" s="500"/>
      <c r="AL2743" s="500"/>
      <c r="AM2743" s="500"/>
      <c r="AN2743" s="500"/>
      <c r="AO2743" s="500"/>
      <c r="AP2743" s="500"/>
    </row>
    <row r="2744" spans="1:42" ht="16.5" customHeight="1">
      <c r="A2744" s="439"/>
      <c r="B2744" s="439"/>
      <c r="C2744" s="439"/>
      <c r="D2744" s="439"/>
      <c r="E2744" s="439"/>
      <c r="F2744" s="439"/>
      <c r="Z2744" s="500"/>
      <c r="AA2744" s="500"/>
      <c r="AB2744" s="500"/>
      <c r="AC2744" s="500"/>
      <c r="AD2744" s="500"/>
      <c r="AE2744" s="500"/>
      <c r="AF2744" s="500"/>
      <c r="AG2744" s="500"/>
      <c r="AH2744" s="500"/>
      <c r="AI2744" s="500"/>
      <c r="AJ2744" s="500"/>
      <c r="AK2744" s="500"/>
      <c r="AL2744" s="500"/>
      <c r="AM2744" s="500"/>
      <c r="AN2744" s="500"/>
      <c r="AO2744" s="500"/>
      <c r="AP2744" s="500"/>
    </row>
    <row r="2745" spans="1:42" ht="16.5" customHeight="1">
      <c r="A2745" s="439"/>
      <c r="B2745" s="439"/>
      <c r="C2745" s="439"/>
      <c r="D2745" s="439"/>
      <c r="E2745" s="439"/>
      <c r="F2745" s="439"/>
      <c r="Z2745" s="500"/>
      <c r="AA2745" s="500"/>
      <c r="AB2745" s="500"/>
      <c r="AC2745" s="500"/>
      <c r="AD2745" s="500"/>
      <c r="AE2745" s="500"/>
      <c r="AF2745" s="500"/>
      <c r="AG2745" s="500"/>
      <c r="AH2745" s="500"/>
      <c r="AI2745" s="500"/>
      <c r="AJ2745" s="500"/>
      <c r="AK2745" s="500"/>
      <c r="AL2745" s="500"/>
      <c r="AM2745" s="500"/>
      <c r="AN2745" s="500"/>
      <c r="AO2745" s="500"/>
      <c r="AP2745" s="500"/>
    </row>
    <row r="2746" spans="1:42" ht="16.5" customHeight="1">
      <c r="A2746" s="439"/>
      <c r="B2746" s="439"/>
      <c r="C2746" s="439"/>
      <c r="D2746" s="439"/>
      <c r="E2746" s="439"/>
      <c r="F2746" s="439"/>
      <c r="Z2746" s="500"/>
      <c r="AA2746" s="500"/>
      <c r="AB2746" s="500"/>
      <c r="AC2746" s="500"/>
      <c r="AD2746" s="500"/>
      <c r="AE2746" s="500"/>
      <c r="AF2746" s="500"/>
      <c r="AG2746" s="500"/>
      <c r="AH2746" s="500"/>
      <c r="AI2746" s="500"/>
      <c r="AJ2746" s="500"/>
      <c r="AK2746" s="500"/>
      <c r="AL2746" s="500"/>
      <c r="AM2746" s="500"/>
      <c r="AN2746" s="500"/>
      <c r="AO2746" s="500"/>
      <c r="AP2746" s="500"/>
    </row>
    <row r="2747" spans="1:42" ht="16.5" customHeight="1">
      <c r="A2747" s="439"/>
      <c r="B2747" s="439"/>
      <c r="C2747" s="439"/>
      <c r="D2747" s="439"/>
      <c r="E2747" s="439"/>
      <c r="F2747" s="439"/>
      <c r="Z2747" s="500"/>
      <c r="AA2747" s="500"/>
      <c r="AB2747" s="500"/>
      <c r="AC2747" s="500"/>
      <c r="AD2747" s="500"/>
      <c r="AE2747" s="500"/>
      <c r="AF2747" s="500"/>
      <c r="AG2747" s="500"/>
      <c r="AH2747" s="500"/>
      <c r="AI2747" s="500"/>
      <c r="AJ2747" s="500"/>
      <c r="AK2747" s="500"/>
      <c r="AL2747" s="500"/>
      <c r="AM2747" s="500"/>
      <c r="AN2747" s="500"/>
      <c r="AO2747" s="500"/>
      <c r="AP2747" s="500"/>
    </row>
    <row r="2748" spans="1:42" ht="16.5" customHeight="1">
      <c r="A2748" s="439"/>
      <c r="B2748" s="439"/>
      <c r="C2748" s="439"/>
      <c r="D2748" s="439"/>
      <c r="E2748" s="439"/>
      <c r="F2748" s="439"/>
      <c r="Z2748" s="500"/>
      <c r="AA2748" s="500"/>
      <c r="AB2748" s="500"/>
      <c r="AC2748" s="500"/>
      <c r="AD2748" s="500"/>
      <c r="AE2748" s="500"/>
      <c r="AF2748" s="500"/>
      <c r="AG2748" s="500"/>
      <c r="AH2748" s="500"/>
      <c r="AI2748" s="500"/>
      <c r="AJ2748" s="500"/>
      <c r="AK2748" s="500"/>
      <c r="AL2748" s="500"/>
      <c r="AM2748" s="500"/>
      <c r="AN2748" s="500"/>
      <c r="AO2748" s="500"/>
      <c r="AP2748" s="500"/>
    </row>
    <row r="2749" spans="1:42" ht="16.5" customHeight="1">
      <c r="A2749" s="439"/>
      <c r="B2749" s="439"/>
      <c r="C2749" s="439"/>
      <c r="D2749" s="439"/>
      <c r="E2749" s="439"/>
      <c r="F2749" s="439"/>
      <c r="Z2749" s="500"/>
      <c r="AA2749" s="500"/>
      <c r="AB2749" s="500"/>
      <c r="AC2749" s="500"/>
      <c r="AD2749" s="500"/>
      <c r="AE2749" s="500"/>
      <c r="AF2749" s="500"/>
      <c r="AG2749" s="500"/>
      <c r="AH2749" s="500"/>
      <c r="AI2749" s="500"/>
      <c r="AJ2749" s="500"/>
      <c r="AK2749" s="500"/>
      <c r="AL2749" s="500"/>
      <c r="AM2749" s="500"/>
      <c r="AN2749" s="500"/>
      <c r="AO2749" s="500"/>
      <c r="AP2749" s="500"/>
    </row>
    <row r="2750" spans="1:42" ht="16.5" customHeight="1">
      <c r="A2750" s="439"/>
      <c r="B2750" s="439"/>
      <c r="C2750" s="439"/>
      <c r="D2750" s="439"/>
      <c r="E2750" s="439"/>
      <c r="F2750" s="439"/>
      <c r="Z2750" s="500"/>
      <c r="AA2750" s="500"/>
      <c r="AB2750" s="500"/>
      <c r="AC2750" s="500"/>
      <c r="AD2750" s="500"/>
      <c r="AE2750" s="500"/>
      <c r="AF2750" s="500"/>
      <c r="AG2750" s="500"/>
      <c r="AH2750" s="500"/>
      <c r="AI2750" s="500"/>
      <c r="AJ2750" s="500"/>
      <c r="AK2750" s="500"/>
      <c r="AL2750" s="500"/>
      <c r="AM2750" s="500"/>
      <c r="AN2750" s="500"/>
      <c r="AO2750" s="500"/>
      <c r="AP2750" s="500"/>
    </row>
    <row r="2751" spans="1:42" ht="16.5" customHeight="1">
      <c r="A2751" s="439"/>
      <c r="B2751" s="439"/>
      <c r="C2751" s="439"/>
      <c r="D2751" s="439"/>
      <c r="E2751" s="439"/>
      <c r="F2751" s="439"/>
      <c r="Z2751" s="500"/>
      <c r="AA2751" s="500"/>
      <c r="AB2751" s="500"/>
      <c r="AC2751" s="500"/>
      <c r="AD2751" s="500"/>
      <c r="AE2751" s="500"/>
      <c r="AF2751" s="500"/>
      <c r="AG2751" s="500"/>
      <c r="AH2751" s="500"/>
      <c r="AI2751" s="500"/>
      <c r="AJ2751" s="500"/>
      <c r="AK2751" s="500"/>
      <c r="AL2751" s="500"/>
      <c r="AM2751" s="500"/>
      <c r="AN2751" s="500"/>
      <c r="AO2751" s="500"/>
      <c r="AP2751" s="500"/>
    </row>
    <row r="2752" spans="1:42" ht="16.5" customHeight="1">
      <c r="A2752" s="439"/>
      <c r="B2752" s="439"/>
      <c r="C2752" s="439"/>
      <c r="D2752" s="439"/>
      <c r="E2752" s="439"/>
      <c r="F2752" s="439"/>
      <c r="Z2752" s="500"/>
      <c r="AA2752" s="500"/>
      <c r="AB2752" s="500"/>
      <c r="AC2752" s="500"/>
      <c r="AD2752" s="500"/>
      <c r="AE2752" s="500"/>
      <c r="AF2752" s="500"/>
      <c r="AG2752" s="500"/>
      <c r="AH2752" s="500"/>
      <c r="AI2752" s="500"/>
      <c r="AJ2752" s="500"/>
      <c r="AK2752" s="500"/>
      <c r="AL2752" s="500"/>
      <c r="AM2752" s="500"/>
      <c r="AN2752" s="500"/>
      <c r="AO2752" s="500"/>
      <c r="AP2752" s="500"/>
    </row>
    <row r="2753" spans="1:42" ht="16.5" customHeight="1">
      <c r="A2753" s="497"/>
      <c r="B2753" s="497"/>
      <c r="C2753" s="497"/>
      <c r="D2753" s="497"/>
      <c r="E2753" s="497"/>
      <c r="F2753" s="497"/>
      <c r="Z2753" s="500"/>
      <c r="AA2753" s="500"/>
      <c r="AB2753" s="500"/>
      <c r="AC2753" s="500"/>
      <c r="AD2753" s="500"/>
      <c r="AE2753" s="500"/>
      <c r="AF2753" s="500"/>
      <c r="AG2753" s="500"/>
      <c r="AH2753" s="500"/>
      <c r="AI2753" s="500"/>
      <c r="AJ2753" s="500"/>
      <c r="AK2753" s="500"/>
      <c r="AL2753" s="500"/>
      <c r="AM2753" s="500"/>
      <c r="AN2753" s="500"/>
      <c r="AO2753" s="500"/>
      <c r="AP2753" s="500"/>
    </row>
    <row r="2754" spans="1:42" ht="16.5" customHeight="1">
      <c r="A2754" s="616" t="s">
        <v>3487</v>
      </c>
      <c r="B2754" s="605"/>
      <c r="C2754" s="446">
        <f>E2754+D2754+F2754</f>
        <v>86184</v>
      </c>
      <c r="D2754" s="453">
        <f>ROUNDDOWN(SUMIF(N2707:N2743,M2754,D2707:D2743),0)</f>
        <v>73884</v>
      </c>
      <c r="E2754" s="454">
        <f>ROUNDDOWN(SUMIF(N2707:N2743,M2754,E2707:E2743),0)</f>
        <v>12300</v>
      </c>
      <c r="F2754" s="446">
        <f>ROUNDDOWN(SUMIF(N2707:N2743,M2754,F2707:F2743),0)</f>
        <v>0</v>
      </c>
      <c r="M2754" s="501" t="s">
        <v>2354</v>
      </c>
      <c r="Z2754" s="500"/>
      <c r="AA2754" s="500"/>
      <c r="AB2754" s="500"/>
      <c r="AC2754" s="500"/>
      <c r="AD2754" s="500"/>
      <c r="AE2754" s="500"/>
      <c r="AF2754" s="500"/>
      <c r="AG2754" s="500"/>
      <c r="AH2754" s="500"/>
      <c r="AI2754" s="500"/>
      <c r="AJ2754" s="500"/>
      <c r="AK2754" s="500"/>
      <c r="AL2754" s="500"/>
      <c r="AM2754" s="500"/>
      <c r="AN2754" s="500"/>
      <c r="AO2754" s="500"/>
      <c r="AP2754" s="500"/>
    </row>
    <row r="2755" spans="1:42" ht="16.5" customHeight="1">
      <c r="A2755" s="502" t="s">
        <v>3351</v>
      </c>
      <c r="B2755" s="503" t="s">
        <v>5333</v>
      </c>
      <c r="C2755" s="615">
        <f>C2804</f>
        <v>151541</v>
      </c>
      <c r="D2755" s="615">
        <f>D2804</f>
        <v>123141</v>
      </c>
      <c r="E2755" s="615">
        <f>E2804</f>
        <v>28400</v>
      </c>
      <c r="F2755" s="615">
        <f>F2804</f>
        <v>0</v>
      </c>
      <c r="G2755" s="486" t="str">
        <f>HYPERLINK("#G"&amp;ROW(G2794),"_x0005_`BDCOD|D01350_x0007_`POSS|"&amp;ROW(G2757)&amp;"_x0007_`POSE|"&amp;ROW(G2794)&amp;"_x0007_`")</f>
        <v>_x0005_`BDCOD|D01350_x0007_`POSS|2757_x0007_`POSE|2794_x0007_`</v>
      </c>
      <c r="Z2755" s="500"/>
      <c r="AA2755" s="500"/>
      <c r="AB2755" s="500"/>
      <c r="AC2755" s="500"/>
      <c r="AD2755" s="500"/>
      <c r="AE2755" s="500"/>
      <c r="AF2755" s="500"/>
      <c r="AG2755" s="500"/>
      <c r="AH2755" s="500"/>
      <c r="AI2755" s="500"/>
      <c r="AJ2755" s="500"/>
      <c r="AK2755" s="500"/>
      <c r="AL2755" s="500"/>
      <c r="AM2755" s="500"/>
      <c r="AN2755" s="500"/>
      <c r="AO2755" s="500"/>
      <c r="AP2755" s="500"/>
    </row>
    <row r="2756" spans="1:42" ht="16.5" customHeight="1">
      <c r="A2756" s="485"/>
      <c r="B2756" s="503" t="s">
        <v>5609</v>
      </c>
      <c r="C2756" s="593"/>
      <c r="D2756" s="593"/>
      <c r="E2756" s="593"/>
      <c r="F2756" s="593"/>
      <c r="M2756" s="501" t="s">
        <v>5333</v>
      </c>
      <c r="Z2756" s="500"/>
      <c r="AA2756" s="500"/>
      <c r="AB2756" s="500"/>
      <c r="AC2756" s="500"/>
      <c r="AD2756" s="500"/>
      <c r="AE2756" s="500"/>
      <c r="AF2756" s="500"/>
      <c r="AG2756" s="500"/>
      <c r="AH2756" s="500"/>
      <c r="AI2756" s="500"/>
      <c r="AJ2756" s="500"/>
      <c r="AK2756" s="500"/>
      <c r="AL2756" s="500"/>
      <c r="AM2756" s="500"/>
      <c r="AN2756" s="500"/>
      <c r="AO2756" s="500"/>
      <c r="AP2756" s="500"/>
    </row>
    <row r="2757" spans="1:42" ht="16.5" customHeight="1">
      <c r="A2757" s="439"/>
      <c r="B2757" s="439"/>
      <c r="C2757" s="504"/>
      <c r="D2757" s="504"/>
      <c r="E2757" s="504"/>
      <c r="F2757" s="504"/>
      <c r="G2757" s="451" t="s">
        <v>3406</v>
      </c>
      <c r="Z2757" s="500"/>
      <c r="AA2757" s="500"/>
      <c r="AB2757" s="500"/>
      <c r="AC2757" s="500"/>
      <c r="AD2757" s="500"/>
      <c r="AE2757" s="500"/>
      <c r="AF2757" s="500"/>
      <c r="AG2757" s="500"/>
      <c r="AH2757" s="500"/>
      <c r="AI2757" s="500"/>
      <c r="AJ2757" s="500"/>
      <c r="AK2757" s="500"/>
      <c r="AL2757" s="500"/>
      <c r="AM2757" s="500"/>
      <c r="AN2757" s="500"/>
      <c r="AO2757" s="500"/>
      <c r="AP2757" s="500"/>
    </row>
    <row r="2758" spans="1:42" ht="16.5" customHeight="1">
      <c r="A2758" s="434"/>
      <c r="B2758" s="437" t="s">
        <v>3640</v>
      </c>
      <c r="C2758" s="439"/>
      <c r="D2758" s="439"/>
      <c r="E2758" s="439"/>
      <c r="F2758" s="439"/>
      <c r="G2758" s="451" t="s">
        <v>3641</v>
      </c>
      <c r="Z2758" s="500"/>
      <c r="AA2758" s="500"/>
      <c r="AB2758" s="500"/>
      <c r="AC2758" s="500"/>
      <c r="AD2758" s="500"/>
      <c r="AE2758" s="500"/>
      <c r="AF2758" s="500"/>
      <c r="AG2758" s="500"/>
      <c r="AH2758" s="500"/>
      <c r="AI2758" s="500"/>
      <c r="AJ2758" s="500"/>
      <c r="AK2758" s="500"/>
      <c r="AL2758" s="500"/>
      <c r="AM2758" s="500"/>
      <c r="AN2758" s="500"/>
      <c r="AO2758" s="500"/>
      <c r="AP2758" s="500"/>
    </row>
    <row r="2759" spans="1:42" ht="16.5" customHeight="1">
      <c r="A2759" s="439"/>
      <c r="B2759" s="439"/>
      <c r="C2759" s="439"/>
      <c r="D2759" s="439"/>
      <c r="E2759" s="439"/>
      <c r="F2759" s="439"/>
      <c r="G2759" s="451" t="s">
        <v>3406</v>
      </c>
      <c r="Z2759" s="500"/>
      <c r="AA2759" s="500"/>
      <c r="AB2759" s="500"/>
      <c r="AC2759" s="500"/>
      <c r="AD2759" s="500"/>
      <c r="AE2759" s="500"/>
      <c r="AF2759" s="500"/>
      <c r="AG2759" s="500"/>
      <c r="AH2759" s="500"/>
      <c r="AI2759" s="500"/>
      <c r="AJ2759" s="500"/>
      <c r="AK2759" s="500"/>
      <c r="AL2759" s="500"/>
      <c r="AM2759" s="500"/>
      <c r="AN2759" s="500"/>
      <c r="AO2759" s="500"/>
      <c r="AP2759" s="500"/>
    </row>
    <row r="2760" spans="1:42" ht="16.5" customHeight="1">
      <c r="A2760" s="434"/>
      <c r="B2760" s="437" t="s">
        <v>3642</v>
      </c>
      <c r="C2760" s="439"/>
      <c r="D2760" s="439"/>
      <c r="E2760" s="439"/>
      <c r="F2760" s="439"/>
      <c r="G2760" s="451" t="s">
        <v>3643</v>
      </c>
      <c r="Z2760" s="500"/>
      <c r="AA2760" s="500"/>
      <c r="AB2760" s="500"/>
      <c r="AC2760" s="500"/>
      <c r="AD2760" s="500"/>
      <c r="AE2760" s="500"/>
      <c r="AF2760" s="500"/>
      <c r="AG2760" s="500"/>
      <c r="AH2760" s="500"/>
      <c r="AI2760" s="500"/>
      <c r="AJ2760" s="500"/>
      <c r="AK2760" s="500"/>
      <c r="AL2760" s="500"/>
      <c r="AM2760" s="500"/>
      <c r="AN2760" s="500"/>
      <c r="AO2760" s="500"/>
      <c r="AP2760" s="500"/>
    </row>
    <row r="2761" spans="1:42" ht="16.5" customHeight="1">
      <c r="A2761" s="439"/>
      <c r="B2761" s="439"/>
      <c r="C2761" s="439"/>
      <c r="D2761" s="439"/>
      <c r="E2761" s="439"/>
      <c r="F2761" s="439"/>
      <c r="G2761" s="451" t="s">
        <v>3406</v>
      </c>
      <c r="Z2761" s="500"/>
      <c r="AA2761" s="500"/>
      <c r="AB2761" s="500"/>
      <c r="AC2761" s="500"/>
      <c r="AD2761" s="500"/>
      <c r="AE2761" s="500"/>
      <c r="AF2761" s="500"/>
      <c r="AG2761" s="500"/>
      <c r="AH2761" s="500"/>
      <c r="AI2761" s="500"/>
      <c r="AJ2761" s="500"/>
      <c r="AK2761" s="500"/>
      <c r="AL2761" s="500"/>
      <c r="AM2761" s="500"/>
      <c r="AN2761" s="500"/>
      <c r="AO2761" s="500"/>
      <c r="AP2761" s="500"/>
    </row>
    <row r="2762" spans="1:42" ht="16.5" customHeight="1">
      <c r="A2762" s="434"/>
      <c r="B2762" s="437" t="str">
        <f>" 일당 작업량 :   Q = "&amp;Z2762&amp;"  주 "</f>
        <v xml:space="preserve"> 일당 작업량 :   Q = 12  주 </v>
      </c>
      <c r="C2762" s="439"/>
      <c r="D2762" s="439"/>
      <c r="E2762" s="439"/>
      <c r="F2762" s="439"/>
      <c r="G2762" s="451" t="s">
        <v>3546</v>
      </c>
      <c r="Z2762" s="515">
        <v>12</v>
      </c>
      <c r="AA2762" s="501" t="s">
        <v>3418</v>
      </c>
      <c r="AB2762" s="512">
        <f>Z2762</f>
        <v>12</v>
      </c>
      <c r="AC2762" s="500"/>
      <c r="AD2762" s="500"/>
      <c r="AE2762" s="500"/>
      <c r="AF2762" s="500"/>
      <c r="AG2762" s="500"/>
      <c r="AH2762" s="500"/>
      <c r="AI2762" s="500"/>
      <c r="AJ2762" s="500"/>
      <c r="AK2762" s="500"/>
      <c r="AL2762" s="500"/>
      <c r="AM2762" s="500"/>
      <c r="AN2762" s="500"/>
      <c r="AO2762" s="500"/>
      <c r="AP2762" s="500"/>
    </row>
    <row r="2763" spans="1:42" ht="16.5" customHeight="1">
      <c r="A2763" s="439"/>
      <c r="B2763" s="439"/>
      <c r="C2763" s="439"/>
      <c r="D2763" s="439"/>
      <c r="E2763" s="439"/>
      <c r="F2763" s="439"/>
      <c r="G2763" s="451" t="s">
        <v>3406</v>
      </c>
      <c r="Z2763" s="500"/>
      <c r="AA2763" s="500"/>
      <c r="AB2763" s="500"/>
      <c r="AC2763" s="500"/>
      <c r="AD2763" s="500"/>
      <c r="AE2763" s="500"/>
      <c r="AF2763" s="500"/>
      <c r="AG2763" s="500"/>
      <c r="AH2763" s="500"/>
      <c r="AI2763" s="500"/>
      <c r="AJ2763" s="500"/>
      <c r="AK2763" s="500"/>
      <c r="AL2763" s="500"/>
      <c r="AM2763" s="500"/>
      <c r="AN2763" s="500"/>
      <c r="AO2763" s="500"/>
      <c r="AP2763" s="500"/>
    </row>
    <row r="2764" spans="1:42" ht="16.5" customHeight="1">
      <c r="A2764" s="434"/>
      <c r="B2764" s="437" t="s">
        <v>3651</v>
      </c>
      <c r="C2764" s="439"/>
      <c r="D2764" s="439"/>
      <c r="E2764" s="439"/>
      <c r="F2764" s="439"/>
      <c r="G2764" s="451" t="s">
        <v>3652</v>
      </c>
      <c r="Z2764" s="500"/>
      <c r="AA2764" s="500"/>
      <c r="AB2764" s="500"/>
      <c r="AC2764" s="500"/>
      <c r="AD2764" s="500"/>
      <c r="AE2764" s="500"/>
      <c r="AF2764" s="500"/>
      <c r="AG2764" s="500"/>
      <c r="AH2764" s="500"/>
      <c r="AI2764" s="500"/>
      <c r="AJ2764" s="500"/>
      <c r="AK2764" s="500"/>
      <c r="AL2764" s="500"/>
      <c r="AM2764" s="500"/>
      <c r="AN2764" s="500"/>
      <c r="AO2764" s="500"/>
      <c r="AP2764" s="500"/>
    </row>
    <row r="2765" spans="1:42" ht="16.5" customHeight="1">
      <c r="A2765" s="439"/>
      <c r="B2765" s="439"/>
      <c r="C2765" s="439"/>
      <c r="D2765" s="439"/>
      <c r="E2765" s="439"/>
      <c r="F2765" s="439"/>
      <c r="G2765" s="451" t="s">
        <v>3406</v>
      </c>
      <c r="Z2765" s="500"/>
      <c r="AA2765" s="500"/>
      <c r="AB2765" s="500"/>
      <c r="AC2765" s="500"/>
      <c r="AD2765" s="500"/>
      <c r="AE2765" s="500"/>
      <c r="AF2765" s="500"/>
      <c r="AG2765" s="500"/>
      <c r="AH2765" s="500"/>
      <c r="AI2765" s="500"/>
      <c r="AJ2765" s="500"/>
      <c r="AK2765" s="500"/>
      <c r="AL2765" s="500"/>
      <c r="AM2765" s="500"/>
      <c r="AN2765" s="500"/>
      <c r="AO2765" s="500"/>
      <c r="AP2765" s="500"/>
    </row>
    <row r="2766" spans="1:42" ht="16.5" customHeight="1">
      <c r="A2766" s="439"/>
      <c r="B2766" s="439"/>
      <c r="C2766" s="439"/>
      <c r="D2766" s="439"/>
      <c r="E2766" s="439"/>
      <c r="F2766" s="439"/>
      <c r="G2766" s="451" t="s">
        <v>3406</v>
      </c>
      <c r="Z2766" s="500"/>
      <c r="AA2766" s="500"/>
      <c r="AB2766" s="500"/>
      <c r="AC2766" s="500"/>
      <c r="AD2766" s="500"/>
      <c r="AE2766" s="500"/>
      <c r="AF2766" s="500"/>
      <c r="AG2766" s="500"/>
      <c r="AH2766" s="500"/>
      <c r="AI2766" s="500"/>
      <c r="AJ2766" s="500"/>
      <c r="AK2766" s="500"/>
      <c r="AL2766" s="500"/>
      <c r="AM2766" s="500"/>
      <c r="AN2766" s="500"/>
      <c r="AO2766" s="500"/>
      <c r="AP2766" s="500"/>
    </row>
    <row r="2767" spans="1:42" ht="16.5" customHeight="1">
      <c r="A2767" s="439"/>
      <c r="B2767" s="439"/>
      <c r="C2767" s="439"/>
      <c r="D2767" s="439"/>
      <c r="E2767" s="439"/>
      <c r="F2767" s="439"/>
      <c r="G2767" s="451" t="s">
        <v>3406</v>
      </c>
      <c r="Z2767" s="500"/>
      <c r="AA2767" s="500"/>
      <c r="AB2767" s="500"/>
      <c r="AC2767" s="500"/>
      <c r="AD2767" s="500"/>
      <c r="AE2767" s="500"/>
      <c r="AF2767" s="500"/>
      <c r="AG2767" s="500"/>
      <c r="AH2767" s="500"/>
      <c r="AI2767" s="500"/>
      <c r="AJ2767" s="500"/>
      <c r="AK2767" s="500"/>
      <c r="AL2767" s="500"/>
      <c r="AM2767" s="500"/>
      <c r="AN2767" s="500"/>
      <c r="AO2767" s="500"/>
      <c r="AP2767" s="500"/>
    </row>
    <row r="2768" spans="1:42" ht="16.5" customHeight="1">
      <c r="A2768" s="439"/>
      <c r="B2768" s="439"/>
      <c r="C2768" s="439"/>
      <c r="D2768" s="439"/>
      <c r="E2768" s="439"/>
      <c r="F2768" s="439"/>
      <c r="G2768" s="451" t="s">
        <v>3406</v>
      </c>
      <c r="Z2768" s="500"/>
      <c r="AA2768" s="500"/>
      <c r="AB2768" s="500"/>
      <c r="AC2768" s="500"/>
      <c r="AD2768" s="500"/>
      <c r="AE2768" s="500"/>
      <c r="AF2768" s="500"/>
      <c r="AG2768" s="500"/>
      <c r="AH2768" s="500"/>
      <c r="AI2768" s="500"/>
      <c r="AJ2768" s="500"/>
      <c r="AK2768" s="500"/>
      <c r="AL2768" s="500"/>
      <c r="AM2768" s="500"/>
      <c r="AN2768" s="500"/>
      <c r="AO2768" s="500"/>
      <c r="AP2768" s="500"/>
    </row>
    <row r="2769" spans="1:42" ht="16.5" customHeight="1">
      <c r="A2769" s="434"/>
      <c r="B2769" s="437" t="s">
        <v>3496</v>
      </c>
      <c r="C2769" s="439"/>
      <c r="D2769" s="439"/>
      <c r="E2769" s="439"/>
      <c r="F2769" s="439"/>
      <c r="G2769" s="451" t="s">
        <v>3497</v>
      </c>
      <c r="Z2769" s="500"/>
      <c r="AA2769" s="500"/>
      <c r="AB2769" s="500"/>
      <c r="AC2769" s="500"/>
      <c r="AD2769" s="500"/>
      <c r="AE2769" s="500"/>
      <c r="AF2769" s="500"/>
      <c r="AG2769" s="500"/>
      <c r="AH2769" s="500"/>
      <c r="AI2769" s="500"/>
      <c r="AJ2769" s="500"/>
      <c r="AK2769" s="500"/>
      <c r="AL2769" s="500"/>
      <c r="AM2769" s="500"/>
      <c r="AN2769" s="500"/>
      <c r="AO2769" s="500"/>
      <c r="AP2769" s="500"/>
    </row>
    <row r="2770" spans="1:42" ht="16.5" customHeight="1">
      <c r="A2770" s="439"/>
      <c r="B2770" s="439"/>
      <c r="C2770" s="439"/>
      <c r="D2770" s="439"/>
      <c r="E2770" s="439"/>
      <c r="F2770" s="439"/>
      <c r="G2770" s="451" t="s">
        <v>3406</v>
      </c>
      <c r="Z2770" s="500"/>
      <c r="AA2770" s="500"/>
      <c r="AB2770" s="500"/>
      <c r="AC2770" s="500"/>
      <c r="AD2770" s="500"/>
      <c r="AE2770" s="500"/>
      <c r="AF2770" s="500"/>
      <c r="AG2770" s="500"/>
      <c r="AH2770" s="500"/>
      <c r="AI2770" s="500"/>
      <c r="AJ2770" s="500"/>
      <c r="AK2770" s="500"/>
      <c r="AL2770" s="500"/>
      <c r="AM2770" s="500"/>
      <c r="AN2770" s="500"/>
      <c r="AO2770" s="500"/>
      <c r="AP2770" s="500"/>
    </row>
    <row r="2771" spans="1:42" ht="16.5" customHeight="1">
      <c r="A2771" s="434" t="s">
        <v>3498</v>
      </c>
      <c r="B2771" s="505" t="str">
        <f>" 조경공 :  "&amp;TEXT(I2771,"#,##0"&amp;IF(I2771&lt;&gt;INT(I2771),".###",""))&amp;" * "&amp;AA2771&amp;" 인  / Q = "&amp;TEXT(C2771,"#,##0.0")&amp;""</f>
        <v xml:space="preserve"> 조경공 :  235,204 * 4 인  / Q = 78,401.3</v>
      </c>
      <c r="C2771" s="506">
        <f>E2771+D2771+F2771</f>
        <v>78401.3</v>
      </c>
      <c r="D2771" s="506">
        <f>IF(H2771=0,0,ROUNDDOWN(J2771*H2771,1))</f>
        <v>78401.3</v>
      </c>
      <c r="E2771" s="506">
        <f>IF(H2771=0,0,ROUNDDOWN(K2771*H2771,1))</f>
        <v>0</v>
      </c>
      <c r="F2771" s="506">
        <f>IF(H2771=0,0,ROUNDDOWN(L2771*H2771,1))</f>
        <v>0</v>
      </c>
      <c r="G2771" s="451" t="s">
        <v>3653</v>
      </c>
      <c r="H2771" s="507">
        <f>ROUNDUP(AE2771,14-LEN(ABS(INT(AE2771))))</f>
        <v>0.33333333333339998</v>
      </c>
      <c r="I2771" s="508">
        <f>K2771+J2771+L2771</f>
        <v>235204</v>
      </c>
      <c r="J2771" s="509">
        <f>노무비목록표!E15</f>
        <v>235204</v>
      </c>
      <c r="M2771" s="501" t="s">
        <v>2359</v>
      </c>
      <c r="N2771" s="501" t="s">
        <v>3416</v>
      </c>
      <c r="X2771" s="510" t="str">
        <f>노무비목록표!B15&amp;" / "&amp;노무비목록표!C15</f>
        <v xml:space="preserve">조경공 / </v>
      </c>
      <c r="Y2771" s="433" t="str">
        <f ca="1">HYPERLINK("#"&amp;노무비목록표!G2&amp;"!A"&amp;ROW(노무비목록표!A15),"L00184 →")</f>
        <v>L00184 →</v>
      </c>
      <c r="Z2771" s="501" t="s">
        <v>3500</v>
      </c>
      <c r="AA2771" s="515">
        <v>4</v>
      </c>
      <c r="AB2771" s="501" t="s">
        <v>3428</v>
      </c>
      <c r="AC2771" s="512">
        <f>AB2762</f>
        <v>12</v>
      </c>
      <c r="AD2771" s="501" t="s">
        <v>3418</v>
      </c>
      <c r="AE2771" s="512">
        <f>1*AA2771/AB2762</f>
        <v>0.33333333333333331</v>
      </c>
      <c r="AF2771" s="500"/>
      <c r="AG2771" s="500"/>
      <c r="AH2771" s="500"/>
      <c r="AI2771" s="500"/>
      <c r="AJ2771" s="500"/>
      <c r="AK2771" s="500"/>
      <c r="AL2771" s="500"/>
      <c r="AM2771" s="500"/>
      <c r="AN2771" s="500"/>
      <c r="AO2771" s="500"/>
      <c r="AP2771" s="500"/>
    </row>
    <row r="2772" spans="1:42" ht="16.5" customHeight="1">
      <c r="A2772" s="439"/>
      <c r="B2772" s="439"/>
      <c r="C2772" s="439"/>
      <c r="D2772" s="439"/>
      <c r="E2772" s="439"/>
      <c r="F2772" s="439"/>
      <c r="G2772" s="451" t="s">
        <v>3406</v>
      </c>
      <c r="Z2772" s="500"/>
      <c r="AA2772" s="500"/>
      <c r="AB2772" s="500"/>
      <c r="AC2772" s="500"/>
      <c r="AD2772" s="500"/>
      <c r="AE2772" s="500"/>
      <c r="AF2772" s="500"/>
      <c r="AG2772" s="500"/>
      <c r="AH2772" s="500"/>
      <c r="AI2772" s="500"/>
      <c r="AJ2772" s="500"/>
      <c r="AK2772" s="500"/>
      <c r="AL2772" s="500"/>
      <c r="AM2772" s="500"/>
      <c r="AN2772" s="500"/>
      <c r="AO2772" s="500"/>
      <c r="AP2772" s="500"/>
    </row>
    <row r="2773" spans="1:42" ht="16.5" customHeight="1">
      <c r="A2773" s="439"/>
      <c r="B2773" s="439"/>
      <c r="C2773" s="439"/>
      <c r="D2773" s="439"/>
      <c r="E2773" s="439"/>
      <c r="F2773" s="439"/>
      <c r="G2773" s="451" t="s">
        <v>3406</v>
      </c>
      <c r="Z2773" s="500"/>
      <c r="AA2773" s="500"/>
      <c r="AB2773" s="500"/>
      <c r="AC2773" s="500"/>
      <c r="AD2773" s="500"/>
      <c r="AE2773" s="500"/>
      <c r="AF2773" s="500"/>
      <c r="AG2773" s="500"/>
      <c r="AH2773" s="500"/>
      <c r="AI2773" s="500"/>
      <c r="AJ2773" s="500"/>
      <c r="AK2773" s="500"/>
      <c r="AL2773" s="500"/>
      <c r="AM2773" s="500"/>
      <c r="AN2773" s="500"/>
      <c r="AO2773" s="500"/>
      <c r="AP2773" s="500"/>
    </row>
    <row r="2774" spans="1:42" ht="16.5" customHeight="1">
      <c r="A2774" s="434" t="s">
        <v>3414</v>
      </c>
      <c r="B2774" s="505" t="str">
        <f>" 보통인부 : "&amp;TEXT(I2774,"#,##0"&amp;IF(I2774&lt;&gt;INT(I2774),".###",""))&amp;" * "&amp;AA2774&amp;" 인  / Q = "&amp;TEXT(C2774,"#,##0.0")&amp;""</f>
        <v xml:space="preserve"> 보통인부 : 172,068 * 2 인  / Q = 28,678.0</v>
      </c>
      <c r="C2774" s="506">
        <f>E2774+D2774+F2774</f>
        <v>28678</v>
      </c>
      <c r="D2774" s="506">
        <f>IF(H2774=0,0,ROUNDDOWN(J2774*H2774,1))</f>
        <v>28678</v>
      </c>
      <c r="E2774" s="506">
        <f>IF(H2774=0,0,ROUNDDOWN(K2774*H2774,1))</f>
        <v>0</v>
      </c>
      <c r="F2774" s="506">
        <f>IF(H2774=0,0,ROUNDDOWN(L2774*H2774,1))</f>
        <v>0</v>
      </c>
      <c r="G2774" s="451" t="s">
        <v>3654</v>
      </c>
      <c r="H2774" s="507">
        <f>ROUNDUP(AE2774,14-LEN(ABS(INT(AE2774))))</f>
        <v>0.16666666666669999</v>
      </c>
      <c r="I2774" s="508">
        <f>K2774+J2774+L2774</f>
        <v>172068</v>
      </c>
      <c r="J2774" s="509">
        <f>노무비목록표!E10</f>
        <v>172068</v>
      </c>
      <c r="M2774" s="501" t="s">
        <v>2363</v>
      </c>
      <c r="N2774" s="501" t="s">
        <v>3416</v>
      </c>
      <c r="X2774" s="510" t="str">
        <f>노무비목록표!B10&amp;" / "&amp;노무비목록표!C10</f>
        <v xml:space="preserve">보통인부 / </v>
      </c>
      <c r="Y2774" s="433" t="str">
        <f ca="1">HYPERLINK("#"&amp;노무비목록표!G2&amp;"!A"&amp;ROW(노무비목록표!A10),"L00017 →")</f>
        <v>L00017 →</v>
      </c>
      <c r="Z2774" s="501" t="s">
        <v>3500</v>
      </c>
      <c r="AA2774" s="515">
        <v>2</v>
      </c>
      <c r="AB2774" s="501" t="s">
        <v>3428</v>
      </c>
      <c r="AC2774" s="512">
        <f>AB2762</f>
        <v>12</v>
      </c>
      <c r="AD2774" s="501" t="s">
        <v>3418</v>
      </c>
      <c r="AE2774" s="512">
        <f>1*AA2774/AB2762</f>
        <v>0.16666666666666666</v>
      </c>
      <c r="AF2774" s="500"/>
      <c r="AG2774" s="500"/>
      <c r="AH2774" s="500"/>
      <c r="AI2774" s="500"/>
      <c r="AJ2774" s="500"/>
      <c r="AK2774" s="500"/>
      <c r="AL2774" s="500"/>
      <c r="AM2774" s="500"/>
      <c r="AN2774" s="500"/>
      <c r="AO2774" s="500"/>
      <c r="AP2774" s="500"/>
    </row>
    <row r="2775" spans="1:42" ht="16.5" customHeight="1">
      <c r="A2775" s="439"/>
      <c r="B2775" s="439"/>
      <c r="C2775" s="439"/>
      <c r="D2775" s="439"/>
      <c r="E2775" s="439"/>
      <c r="F2775" s="439"/>
      <c r="G2775" s="451" t="s">
        <v>3406</v>
      </c>
      <c r="Z2775" s="500"/>
      <c r="AA2775" s="500"/>
      <c r="AB2775" s="500"/>
      <c r="AC2775" s="500"/>
      <c r="AD2775" s="500"/>
      <c r="AE2775" s="500"/>
      <c r="AF2775" s="500"/>
      <c r="AG2775" s="500"/>
      <c r="AH2775" s="500"/>
      <c r="AI2775" s="500"/>
      <c r="AJ2775" s="500"/>
      <c r="AK2775" s="500"/>
      <c r="AL2775" s="500"/>
      <c r="AM2775" s="500"/>
      <c r="AN2775" s="500"/>
      <c r="AO2775" s="500"/>
      <c r="AP2775" s="500"/>
    </row>
    <row r="2776" spans="1:42" ht="16.5" customHeight="1">
      <c r="A2776" s="434"/>
      <c r="B2776" s="437" t="s">
        <v>3419</v>
      </c>
      <c r="C2776" s="513">
        <f>E2776+D2776+F2776</f>
        <v>107079.3</v>
      </c>
      <c r="D2776" s="513">
        <f>SUMIF(N2757:N2775,M2776,D2757:D2775)</f>
        <v>107079.3</v>
      </c>
      <c r="E2776" s="513">
        <f>SUMIF(N2757:N2775,M2776,E2757:E2775)</f>
        <v>0</v>
      </c>
      <c r="F2776" s="513">
        <f>SUMIF(N2757:N2775,M2776,F2757:F2775)</f>
        <v>0</v>
      </c>
      <c r="G2776" s="451" t="s">
        <v>3439</v>
      </c>
      <c r="M2776" s="501" t="s">
        <v>3416</v>
      </c>
      <c r="N2776" s="501" t="s">
        <v>3421</v>
      </c>
      <c r="Z2776" s="500"/>
      <c r="AA2776" s="500"/>
      <c r="AB2776" s="500"/>
      <c r="AC2776" s="500"/>
      <c r="AD2776" s="500"/>
      <c r="AE2776" s="500"/>
      <c r="AF2776" s="500"/>
      <c r="AG2776" s="500"/>
      <c r="AH2776" s="500"/>
      <c r="AI2776" s="500"/>
      <c r="AJ2776" s="500"/>
      <c r="AK2776" s="500"/>
      <c r="AL2776" s="500"/>
      <c r="AM2776" s="500"/>
      <c r="AN2776" s="500"/>
      <c r="AO2776" s="500"/>
      <c r="AP2776" s="500"/>
    </row>
    <row r="2777" spans="1:42" ht="16.5" customHeight="1">
      <c r="A2777" s="439"/>
      <c r="B2777" s="439"/>
      <c r="C2777" s="504"/>
      <c r="D2777" s="504"/>
      <c r="E2777" s="504"/>
      <c r="F2777" s="504"/>
      <c r="G2777" s="451" t="s">
        <v>3406</v>
      </c>
      <c r="Z2777" s="500"/>
      <c r="AA2777" s="500"/>
      <c r="AB2777" s="500"/>
      <c r="AC2777" s="500"/>
      <c r="AD2777" s="500"/>
      <c r="AE2777" s="500"/>
      <c r="AF2777" s="500"/>
      <c r="AG2777" s="500"/>
      <c r="AH2777" s="500"/>
      <c r="AI2777" s="500"/>
      <c r="AJ2777" s="500"/>
      <c r="AK2777" s="500"/>
      <c r="AL2777" s="500"/>
      <c r="AM2777" s="500"/>
      <c r="AN2777" s="500"/>
      <c r="AO2777" s="500"/>
      <c r="AP2777" s="500"/>
    </row>
    <row r="2778" spans="1:42" ht="16.5" customHeight="1">
      <c r="A2778" s="439"/>
      <c r="B2778" s="439"/>
      <c r="C2778" s="439"/>
      <c r="D2778" s="439"/>
      <c r="E2778" s="439"/>
      <c r="F2778" s="439"/>
      <c r="G2778" s="451" t="s">
        <v>3406</v>
      </c>
      <c r="Z2778" s="500"/>
      <c r="AA2778" s="500"/>
      <c r="AB2778" s="500"/>
      <c r="AC2778" s="500"/>
      <c r="AD2778" s="500"/>
      <c r="AE2778" s="500"/>
      <c r="AF2778" s="500"/>
      <c r="AG2778" s="500"/>
      <c r="AH2778" s="500"/>
      <c r="AI2778" s="500"/>
      <c r="AJ2778" s="500"/>
      <c r="AK2778" s="500"/>
      <c r="AL2778" s="500"/>
      <c r="AM2778" s="500"/>
      <c r="AN2778" s="500"/>
      <c r="AO2778" s="500"/>
      <c r="AP2778" s="500"/>
    </row>
    <row r="2779" spans="1:42" ht="16.5" customHeight="1">
      <c r="A2779" s="434"/>
      <c r="B2779" s="437" t="s">
        <v>3502</v>
      </c>
      <c r="C2779" s="439"/>
      <c r="D2779" s="439"/>
      <c r="E2779" s="439"/>
      <c r="F2779" s="439"/>
      <c r="G2779" s="451" t="s">
        <v>3503</v>
      </c>
      <c r="Z2779" s="500"/>
      <c r="AA2779" s="500"/>
      <c r="AB2779" s="500"/>
      <c r="AC2779" s="500"/>
      <c r="AD2779" s="500"/>
      <c r="AE2779" s="500"/>
      <c r="AF2779" s="500"/>
      <c r="AG2779" s="500"/>
      <c r="AH2779" s="500"/>
      <c r="AI2779" s="500"/>
      <c r="AJ2779" s="500"/>
      <c r="AK2779" s="500"/>
      <c r="AL2779" s="500"/>
      <c r="AM2779" s="500"/>
      <c r="AN2779" s="500"/>
      <c r="AO2779" s="500"/>
      <c r="AP2779" s="500"/>
    </row>
    <row r="2780" spans="1:42" ht="16.5" customHeight="1">
      <c r="A2780" s="439"/>
      <c r="B2780" s="439"/>
      <c r="C2780" s="439"/>
      <c r="D2780" s="439"/>
      <c r="E2780" s="439"/>
      <c r="F2780" s="439"/>
      <c r="G2780" s="451" t="s">
        <v>3406</v>
      </c>
      <c r="Z2780" s="500"/>
      <c r="AA2780" s="500"/>
      <c r="AB2780" s="500"/>
      <c r="AC2780" s="500"/>
      <c r="AD2780" s="500"/>
      <c r="AE2780" s="500"/>
      <c r="AF2780" s="500"/>
      <c r="AG2780" s="500"/>
      <c r="AH2780" s="500"/>
      <c r="AI2780" s="500"/>
      <c r="AJ2780" s="500"/>
      <c r="AK2780" s="500"/>
      <c r="AL2780" s="500"/>
      <c r="AM2780" s="500"/>
      <c r="AN2780" s="500"/>
      <c r="AO2780" s="500"/>
      <c r="AP2780" s="500"/>
    </row>
    <row r="2781" spans="1:42" ht="16.5" customHeight="1">
      <c r="A2781" s="434" t="s">
        <v>3564</v>
      </c>
      <c r="B2781" s="505" t="str">
        <f>"  지주목삼발이, L1800 : "&amp;TEXT(I2781,"#,##0"&amp;IF(I2781&lt;&gt;INT(I2781),".###",""))&amp;" * "&amp;AA2781&amp;" 조  = "&amp;TEXT(C2781,"#,##0.0")&amp;""</f>
        <v xml:space="preserve">  지주목삼발이, L1800 : 13,400 * 1 조  = 13,400.0</v>
      </c>
      <c r="C2781" s="506">
        <f>E2781+D2781+F2781</f>
        <v>13400</v>
      </c>
      <c r="D2781" s="506">
        <f>IF(H2781=0,0,ROUNDDOWN(J2781*H2781,1))</f>
        <v>0</v>
      </c>
      <c r="E2781" s="506">
        <f>IF(H2781=0,0,ROUNDDOWN(K2781*H2781,1))</f>
        <v>13400</v>
      </c>
      <c r="F2781" s="506">
        <f>IF(H2781=0,0,ROUNDDOWN(L2781*H2781,1))</f>
        <v>0</v>
      </c>
      <c r="G2781" s="451" t="s">
        <v>3565</v>
      </c>
      <c r="H2781" s="507">
        <f>ROUNDUP(AC2781,14-LEN(ABS(INT(AC2781))))</f>
        <v>1</v>
      </c>
      <c r="I2781" s="508">
        <f>K2781+J2781+L2781</f>
        <v>13400</v>
      </c>
      <c r="K2781" s="509">
        <f>재료비목록표!E92</f>
        <v>13400</v>
      </c>
      <c r="M2781" s="501" t="s">
        <v>3566</v>
      </c>
      <c r="N2781" s="501" t="s">
        <v>3416</v>
      </c>
      <c r="X2781" s="510" t="str">
        <f>재료비목록표!B92&amp;" / "&amp;재료비목록표!C92</f>
        <v>지주목 / 삼발이, L1800</v>
      </c>
      <c r="Y2781" s="433" t="str">
        <f ca="1">HYPERLINK("#"&amp;재료비목록표!G2&amp;"!A"&amp;ROW(재료비목록표!A92),"M08850 →")</f>
        <v>M08850 →</v>
      </c>
      <c r="Z2781" s="501" t="s">
        <v>3500</v>
      </c>
      <c r="AA2781" s="515">
        <v>1</v>
      </c>
      <c r="AB2781" s="501" t="s">
        <v>3418</v>
      </c>
      <c r="AC2781" s="512">
        <f>1*AA2781</f>
        <v>1</v>
      </c>
      <c r="AD2781" s="500"/>
      <c r="AE2781" s="500"/>
      <c r="AF2781" s="500"/>
      <c r="AG2781" s="500"/>
      <c r="AH2781" s="500"/>
      <c r="AI2781" s="500"/>
      <c r="AJ2781" s="500"/>
      <c r="AK2781" s="500"/>
      <c r="AL2781" s="500"/>
      <c r="AM2781" s="500"/>
      <c r="AN2781" s="500"/>
      <c r="AO2781" s="500"/>
      <c r="AP2781" s="500"/>
    </row>
    <row r="2782" spans="1:42" ht="16.5" customHeight="1">
      <c r="A2782" s="439"/>
      <c r="B2782" s="439"/>
      <c r="C2782" s="439"/>
      <c r="D2782" s="439"/>
      <c r="E2782" s="439"/>
      <c r="F2782" s="439"/>
      <c r="G2782" s="451" t="s">
        <v>3406</v>
      </c>
      <c r="Z2782" s="500"/>
      <c r="AA2782" s="500"/>
      <c r="AB2782" s="500"/>
      <c r="AC2782" s="500"/>
      <c r="AD2782" s="500"/>
      <c r="AE2782" s="500"/>
      <c r="AF2782" s="500"/>
      <c r="AG2782" s="500"/>
      <c r="AH2782" s="500"/>
      <c r="AI2782" s="500"/>
      <c r="AJ2782" s="500"/>
      <c r="AK2782" s="500"/>
      <c r="AL2782" s="500"/>
      <c r="AM2782" s="500"/>
      <c r="AN2782" s="500"/>
      <c r="AO2782" s="500"/>
      <c r="AP2782" s="500"/>
    </row>
    <row r="2783" spans="1:42" ht="16.5" customHeight="1">
      <c r="A2783" s="439"/>
      <c r="B2783" s="439"/>
      <c r="C2783" s="439"/>
      <c r="D2783" s="439"/>
      <c r="E2783" s="439"/>
      <c r="F2783" s="439"/>
      <c r="G2783" s="451" t="s">
        <v>3406</v>
      </c>
      <c r="Z2783" s="500"/>
      <c r="AA2783" s="500"/>
      <c r="AB2783" s="500"/>
      <c r="AC2783" s="500"/>
      <c r="AD2783" s="500"/>
      <c r="AE2783" s="500"/>
      <c r="AF2783" s="500"/>
      <c r="AG2783" s="500"/>
      <c r="AH2783" s="500"/>
      <c r="AI2783" s="500"/>
      <c r="AJ2783" s="500"/>
      <c r="AK2783" s="500"/>
      <c r="AL2783" s="500"/>
      <c r="AM2783" s="500"/>
      <c r="AN2783" s="500"/>
      <c r="AO2783" s="500"/>
      <c r="AP2783" s="500"/>
    </row>
    <row r="2784" spans="1:42" ht="16.5" customHeight="1">
      <c r="A2784" s="439"/>
      <c r="B2784" s="439"/>
      <c r="C2784" s="439"/>
      <c r="D2784" s="439"/>
      <c r="E2784" s="439"/>
      <c r="F2784" s="439"/>
      <c r="G2784" s="451" t="s">
        <v>3406</v>
      </c>
      <c r="Z2784" s="500"/>
      <c r="AA2784" s="500"/>
      <c r="AB2784" s="500"/>
      <c r="AC2784" s="500"/>
      <c r="AD2784" s="500"/>
      <c r="AE2784" s="500"/>
      <c r="AF2784" s="500"/>
      <c r="AG2784" s="500"/>
      <c r="AH2784" s="500"/>
      <c r="AI2784" s="500"/>
      <c r="AJ2784" s="500"/>
      <c r="AK2784" s="500"/>
      <c r="AL2784" s="500"/>
      <c r="AM2784" s="500"/>
      <c r="AN2784" s="500"/>
      <c r="AO2784" s="500"/>
      <c r="AP2784" s="500"/>
    </row>
    <row r="2785" spans="1:42" ht="16.5" customHeight="1">
      <c r="A2785" s="434" t="s">
        <v>3504</v>
      </c>
      <c r="B2785" s="505" t="str">
        <f>"  유기질비료 수목이식·식재용 : "&amp;TEXT(I2785,"#,##0"&amp;IF(I2785&lt;&gt;INT(I2785),".###",""))&amp;" * "&amp;AA2785&amp;" KG   = "&amp;TEXT(C2785,"#,##0.0")&amp;""</f>
        <v xml:space="preserve">  유기질비료 수목이식·식재용 : 500 * 30 KG   = 15,000.0</v>
      </c>
      <c r="C2785" s="506">
        <f>E2785+D2785+F2785</f>
        <v>15000</v>
      </c>
      <c r="D2785" s="506">
        <f>IF(H2785=0,0,ROUNDDOWN(J2785*H2785,1))</f>
        <v>0</v>
      </c>
      <c r="E2785" s="506">
        <f>IF(H2785=0,0,ROUNDDOWN(K2785*H2785,1))</f>
        <v>15000</v>
      </c>
      <c r="F2785" s="506">
        <f>IF(H2785=0,0,ROUNDDOWN(L2785*H2785,1))</f>
        <v>0</v>
      </c>
      <c r="G2785" s="451" t="s">
        <v>3591</v>
      </c>
      <c r="H2785" s="507">
        <f>ROUNDUP(AC2785,14-LEN(ABS(INT(AC2785))))</f>
        <v>30</v>
      </c>
      <c r="I2785" s="508">
        <f>K2785+J2785+L2785</f>
        <v>500</v>
      </c>
      <c r="K2785" s="509">
        <f>재료비목록표!E78</f>
        <v>500</v>
      </c>
      <c r="M2785" s="501" t="s">
        <v>3506</v>
      </c>
      <c r="N2785" s="501" t="s">
        <v>3416</v>
      </c>
      <c r="X2785" s="510" t="str">
        <f>재료비목록표!B78&amp;" / "&amp;재료비목록표!C78</f>
        <v>유기질비료 / 수목이식·식재용</v>
      </c>
      <c r="Y2785" s="433" t="str">
        <f ca="1">HYPERLINK("#"&amp;재료비목록표!G2&amp;"!A"&amp;ROW(재료비목록표!A78),"M01159 →")</f>
        <v>M01159 →</v>
      </c>
      <c r="Z2785" s="501" t="s">
        <v>3500</v>
      </c>
      <c r="AA2785" s="515">
        <v>30</v>
      </c>
      <c r="AB2785" s="501" t="s">
        <v>3418</v>
      </c>
      <c r="AC2785" s="512">
        <f>1*AA2785</f>
        <v>30</v>
      </c>
      <c r="AD2785" s="500"/>
      <c r="AE2785" s="500"/>
      <c r="AF2785" s="500"/>
      <c r="AG2785" s="500"/>
      <c r="AH2785" s="500"/>
      <c r="AI2785" s="500"/>
      <c r="AJ2785" s="500"/>
      <c r="AK2785" s="500"/>
      <c r="AL2785" s="500"/>
      <c r="AM2785" s="500"/>
      <c r="AN2785" s="500"/>
      <c r="AO2785" s="500"/>
      <c r="AP2785" s="500"/>
    </row>
    <row r="2786" spans="1:42" ht="16.5" customHeight="1">
      <c r="A2786" s="439"/>
      <c r="B2786" s="439"/>
      <c r="C2786" s="439"/>
      <c r="D2786" s="439"/>
      <c r="E2786" s="439"/>
      <c r="F2786" s="439"/>
      <c r="G2786" s="451" t="s">
        <v>3406</v>
      </c>
      <c r="Z2786" s="500"/>
      <c r="AA2786" s="500"/>
      <c r="AB2786" s="500"/>
      <c r="AC2786" s="500"/>
      <c r="AD2786" s="500"/>
      <c r="AE2786" s="500"/>
      <c r="AF2786" s="500"/>
      <c r="AG2786" s="500"/>
      <c r="AH2786" s="500"/>
      <c r="AI2786" s="500"/>
      <c r="AJ2786" s="500"/>
      <c r="AK2786" s="500"/>
      <c r="AL2786" s="500"/>
      <c r="AM2786" s="500"/>
      <c r="AN2786" s="500"/>
      <c r="AO2786" s="500"/>
      <c r="AP2786" s="500"/>
    </row>
    <row r="2787" spans="1:42" ht="16.5" customHeight="1">
      <c r="A2787" s="434"/>
      <c r="B2787" s="437" t="s">
        <v>3419</v>
      </c>
      <c r="C2787" s="513">
        <f>E2787+D2787+F2787</f>
        <v>28400</v>
      </c>
      <c r="D2787" s="513">
        <f>SUMIF(N2777:N2786,M2787,D2777:D2786)</f>
        <v>0</v>
      </c>
      <c r="E2787" s="513">
        <f>SUMIF(N2777:N2786,M2787,E2777:E2786)</f>
        <v>28400</v>
      </c>
      <c r="F2787" s="513">
        <f>SUMIF(N2777:N2786,M2787,F2777:F2786)</f>
        <v>0</v>
      </c>
      <c r="G2787" s="451" t="s">
        <v>3439</v>
      </c>
      <c r="M2787" s="501" t="s">
        <v>3416</v>
      </c>
      <c r="N2787" s="501" t="s">
        <v>3421</v>
      </c>
      <c r="Z2787" s="500"/>
      <c r="AA2787" s="500"/>
      <c r="AB2787" s="500"/>
      <c r="AC2787" s="500"/>
      <c r="AD2787" s="500"/>
      <c r="AE2787" s="500"/>
      <c r="AF2787" s="500"/>
      <c r="AG2787" s="500"/>
      <c r="AH2787" s="500"/>
      <c r="AI2787" s="500"/>
      <c r="AJ2787" s="500"/>
      <c r="AK2787" s="500"/>
      <c r="AL2787" s="500"/>
      <c r="AM2787" s="500"/>
      <c r="AN2787" s="500"/>
      <c r="AO2787" s="500"/>
      <c r="AP2787" s="500"/>
    </row>
    <row r="2788" spans="1:42" ht="16.5" customHeight="1">
      <c r="A2788" s="439"/>
      <c r="B2788" s="439"/>
      <c r="C2788" s="504"/>
      <c r="D2788" s="504"/>
      <c r="E2788" s="504"/>
      <c r="F2788" s="504"/>
      <c r="G2788" s="451" t="s">
        <v>3406</v>
      </c>
      <c r="Z2788" s="500"/>
      <c r="AA2788" s="500"/>
      <c r="AB2788" s="500"/>
      <c r="AC2788" s="500"/>
      <c r="AD2788" s="500"/>
      <c r="AE2788" s="500"/>
      <c r="AF2788" s="500"/>
      <c r="AG2788" s="500"/>
      <c r="AH2788" s="500"/>
      <c r="AI2788" s="500"/>
      <c r="AJ2788" s="500"/>
      <c r="AK2788" s="500"/>
      <c r="AL2788" s="500"/>
      <c r="AM2788" s="500"/>
      <c r="AN2788" s="500"/>
      <c r="AO2788" s="500"/>
      <c r="AP2788" s="500"/>
    </row>
    <row r="2789" spans="1:42" ht="16.5" customHeight="1">
      <c r="A2789" s="434"/>
      <c r="B2789" s="505" t="str">
        <f>"  산지할증 : "&amp;TEXT(I2789,"#,##0.0")&amp;" * "&amp;AA2789&amp;" %  = "&amp;TEXT(C2789,"#,##0.0")&amp;""</f>
        <v xml:space="preserve">  산지할증 : 107,079.3 * 15 %  = 16,061.8</v>
      </c>
      <c r="C2789" s="506">
        <f>E2789+D2789+F2789</f>
        <v>16061.8</v>
      </c>
      <c r="D2789" s="506">
        <f>IF(H2789=0,0,ROUNDDOWN(J2789*H2789/100,1))</f>
        <v>16061.8</v>
      </c>
      <c r="E2789" s="506">
        <f>IF(H2789=0,0,ROUNDDOWN(K2789*H2789/100,1))</f>
        <v>0</v>
      </c>
      <c r="F2789" s="506">
        <f>IF(H2789=0,0,ROUNDDOWN(L2789*H2789/100,1))</f>
        <v>0</v>
      </c>
      <c r="G2789" s="451" t="s">
        <v>5587</v>
      </c>
      <c r="H2789" s="507">
        <f>ROUNDUP(AC2789,14-LEN(ABS(INT(AC2789))))</f>
        <v>15</v>
      </c>
      <c r="I2789" s="508">
        <f>K2789+J2789+L2789</f>
        <v>107079.3</v>
      </c>
      <c r="J2789" s="508">
        <f>D2776+D2787+SUMIF(N2788:N2788,N2789,D2788:D2788)</f>
        <v>107079.3</v>
      </c>
      <c r="K2789" s="456">
        <v>0</v>
      </c>
      <c r="L2789" s="456">
        <v>0</v>
      </c>
      <c r="M2789" s="501" t="s">
        <v>5605</v>
      </c>
      <c r="N2789" s="501" t="s">
        <v>3416</v>
      </c>
      <c r="Z2789" s="501" t="s">
        <v>3500</v>
      </c>
      <c r="AA2789" s="515">
        <v>15</v>
      </c>
      <c r="AB2789" s="501" t="s">
        <v>3418</v>
      </c>
      <c r="AC2789" s="512">
        <f>1*AA2789</f>
        <v>15</v>
      </c>
      <c r="AD2789" s="500"/>
      <c r="AE2789" s="500"/>
      <c r="AF2789" s="500"/>
      <c r="AG2789" s="500"/>
      <c r="AH2789" s="500"/>
      <c r="AI2789" s="500"/>
      <c r="AJ2789" s="500"/>
      <c r="AK2789" s="500"/>
      <c r="AL2789" s="500"/>
      <c r="AM2789" s="500"/>
      <c r="AN2789" s="500"/>
      <c r="AO2789" s="500"/>
      <c r="AP2789" s="500"/>
    </row>
    <row r="2790" spans="1:42" ht="16.5" customHeight="1">
      <c r="A2790" s="439"/>
      <c r="B2790" s="439"/>
      <c r="C2790" s="439"/>
      <c r="D2790" s="439"/>
      <c r="E2790" s="439"/>
      <c r="F2790" s="439"/>
      <c r="G2790" s="451" t="s">
        <v>3406</v>
      </c>
      <c r="Z2790" s="500"/>
      <c r="AA2790" s="500"/>
      <c r="AB2790" s="500"/>
      <c r="AC2790" s="500"/>
      <c r="AD2790" s="500"/>
      <c r="AE2790" s="500"/>
      <c r="AF2790" s="500"/>
      <c r="AG2790" s="500"/>
      <c r="AH2790" s="500"/>
      <c r="AI2790" s="500"/>
      <c r="AJ2790" s="500"/>
      <c r="AK2790" s="500"/>
      <c r="AL2790" s="500"/>
      <c r="AM2790" s="500"/>
      <c r="AN2790" s="500"/>
      <c r="AO2790" s="500"/>
      <c r="AP2790" s="500"/>
    </row>
    <row r="2791" spans="1:42" ht="16.5" customHeight="1">
      <c r="A2791" s="434"/>
      <c r="B2791" s="437" t="s">
        <v>3419</v>
      </c>
      <c r="C2791" s="513">
        <f>E2791+D2791+F2791</f>
        <v>16061.8</v>
      </c>
      <c r="D2791" s="513">
        <f>SUMIF(N2788:N2790,M2791,D2788:D2790)</f>
        <v>16061.8</v>
      </c>
      <c r="E2791" s="513">
        <f>SUMIF(N2788:N2790,M2791,E2788:E2790)</f>
        <v>0</v>
      </c>
      <c r="F2791" s="513">
        <f>SUMIF(N2788:N2790,M2791,F2788:F2790)</f>
        <v>0</v>
      </c>
      <c r="G2791" s="451" t="s">
        <v>3439</v>
      </c>
      <c r="M2791" s="501" t="s">
        <v>3416</v>
      </c>
      <c r="N2791" s="501" t="s">
        <v>3421</v>
      </c>
      <c r="Z2791" s="500"/>
      <c r="AA2791" s="500"/>
      <c r="AB2791" s="500"/>
      <c r="AC2791" s="500"/>
      <c r="AD2791" s="500"/>
      <c r="AE2791" s="500"/>
      <c r="AF2791" s="500"/>
      <c r="AG2791" s="500"/>
      <c r="AH2791" s="500"/>
      <c r="AI2791" s="500"/>
      <c r="AJ2791" s="500"/>
      <c r="AK2791" s="500"/>
      <c r="AL2791" s="500"/>
      <c r="AM2791" s="500"/>
      <c r="AN2791" s="500"/>
      <c r="AO2791" s="500"/>
      <c r="AP2791" s="500"/>
    </row>
    <row r="2792" spans="1:42" ht="16.5" customHeight="1">
      <c r="A2792" s="439"/>
      <c r="B2792" s="439"/>
      <c r="C2792" s="504"/>
      <c r="D2792" s="504"/>
      <c r="E2792" s="504"/>
      <c r="F2792" s="504"/>
      <c r="G2792" s="451" t="s">
        <v>3406</v>
      </c>
      <c r="Z2792" s="500"/>
      <c r="AA2792" s="500"/>
      <c r="AB2792" s="500"/>
      <c r="AC2792" s="500"/>
      <c r="AD2792" s="500"/>
      <c r="AE2792" s="500"/>
      <c r="AF2792" s="500"/>
      <c r="AG2792" s="500"/>
      <c r="AH2792" s="500"/>
      <c r="AI2792" s="500"/>
      <c r="AJ2792" s="500"/>
      <c r="AK2792" s="500"/>
      <c r="AL2792" s="500"/>
      <c r="AM2792" s="500"/>
      <c r="AN2792" s="500"/>
      <c r="AO2792" s="500"/>
      <c r="AP2792" s="500"/>
    </row>
    <row r="2793" spans="1:42" ht="16.5" customHeight="1">
      <c r="A2793" s="434"/>
      <c r="B2793" s="437" t="s">
        <v>3440</v>
      </c>
      <c r="C2793" s="513">
        <f>E2793+D2793+F2793</f>
        <v>151541.1</v>
      </c>
      <c r="D2793" s="513">
        <f>SUMIF(N2757:N2792,M2793,D2757:D2792)</f>
        <v>123141.1</v>
      </c>
      <c r="E2793" s="513">
        <f>SUMIF(N2757:N2792,M2793,E2757:E2792)</f>
        <v>28400</v>
      </c>
      <c r="F2793" s="513">
        <f>SUMIF(N2757:N2792,M2793,F2757:F2792)</f>
        <v>0</v>
      </c>
      <c r="G2793" s="451" t="s">
        <v>3441</v>
      </c>
      <c r="M2793" s="501" t="s">
        <v>3421</v>
      </c>
      <c r="N2793" s="501" t="s">
        <v>2354</v>
      </c>
      <c r="Z2793" s="500"/>
      <c r="AA2793" s="500"/>
      <c r="AB2793" s="500"/>
      <c r="AC2793" s="500"/>
      <c r="AD2793" s="500"/>
      <c r="AE2793" s="500"/>
      <c r="AF2793" s="500"/>
      <c r="AG2793" s="500"/>
      <c r="AH2793" s="500"/>
      <c r="AI2793" s="500"/>
      <c r="AJ2793" s="500"/>
      <c r="AK2793" s="500"/>
      <c r="AL2793" s="500"/>
      <c r="AM2793" s="500"/>
      <c r="AN2793" s="500"/>
      <c r="AO2793" s="500"/>
      <c r="AP2793" s="500"/>
    </row>
    <row r="2794" spans="1:42" ht="16.5" customHeight="1">
      <c r="A2794" s="439"/>
      <c r="B2794" s="439"/>
      <c r="C2794" s="504"/>
      <c r="D2794" s="504"/>
      <c r="E2794" s="504"/>
      <c r="F2794" s="504"/>
      <c r="G2794" s="451" t="s">
        <v>3413</v>
      </c>
      <c r="Z2794" s="500"/>
      <c r="AA2794" s="500"/>
      <c r="AB2794" s="500"/>
      <c r="AC2794" s="500"/>
      <c r="AD2794" s="500"/>
      <c r="AE2794" s="500"/>
      <c r="AF2794" s="500"/>
      <c r="AG2794" s="500"/>
      <c r="AH2794" s="500"/>
      <c r="AI2794" s="500"/>
      <c r="AJ2794" s="500"/>
      <c r="AK2794" s="500"/>
      <c r="AL2794" s="500"/>
      <c r="AM2794" s="500"/>
      <c r="AN2794" s="500"/>
      <c r="AO2794" s="500"/>
      <c r="AP2794" s="500"/>
    </row>
    <row r="2795" spans="1:42" ht="16.5" customHeight="1">
      <c r="A2795" s="439"/>
      <c r="B2795" s="439"/>
      <c r="C2795" s="439"/>
      <c r="D2795" s="439"/>
      <c r="E2795" s="439"/>
      <c r="F2795" s="439"/>
      <c r="Z2795" s="500"/>
      <c r="AA2795" s="500"/>
      <c r="AB2795" s="500"/>
      <c r="AC2795" s="500"/>
      <c r="AD2795" s="500"/>
      <c r="AE2795" s="500"/>
      <c r="AF2795" s="500"/>
      <c r="AG2795" s="500"/>
      <c r="AH2795" s="500"/>
      <c r="AI2795" s="500"/>
      <c r="AJ2795" s="500"/>
      <c r="AK2795" s="500"/>
      <c r="AL2795" s="500"/>
      <c r="AM2795" s="500"/>
      <c r="AN2795" s="500"/>
      <c r="AO2795" s="500"/>
      <c r="AP2795" s="500"/>
    </row>
    <row r="2796" spans="1:42" ht="16.5" customHeight="1">
      <c r="A2796" s="439"/>
      <c r="B2796" s="439"/>
      <c r="C2796" s="439"/>
      <c r="D2796" s="439"/>
      <c r="E2796" s="439"/>
      <c r="F2796" s="439"/>
      <c r="Z2796" s="500"/>
      <c r="AA2796" s="500"/>
      <c r="AB2796" s="500"/>
      <c r="AC2796" s="500"/>
      <c r="AD2796" s="500"/>
      <c r="AE2796" s="500"/>
      <c r="AF2796" s="500"/>
      <c r="AG2796" s="500"/>
      <c r="AH2796" s="500"/>
      <c r="AI2796" s="500"/>
      <c r="AJ2796" s="500"/>
      <c r="AK2796" s="500"/>
      <c r="AL2796" s="500"/>
      <c r="AM2796" s="500"/>
      <c r="AN2796" s="500"/>
      <c r="AO2796" s="500"/>
      <c r="AP2796" s="500"/>
    </row>
    <row r="2797" spans="1:42" ht="16.5" customHeight="1">
      <c r="A2797" s="439"/>
      <c r="B2797" s="439"/>
      <c r="C2797" s="439"/>
      <c r="D2797" s="439"/>
      <c r="E2797" s="439"/>
      <c r="F2797" s="439"/>
      <c r="Z2797" s="500"/>
      <c r="AA2797" s="500"/>
      <c r="AB2797" s="500"/>
      <c r="AC2797" s="500"/>
      <c r="AD2797" s="500"/>
      <c r="AE2797" s="500"/>
      <c r="AF2797" s="500"/>
      <c r="AG2797" s="500"/>
      <c r="AH2797" s="500"/>
      <c r="AI2797" s="500"/>
      <c r="AJ2797" s="500"/>
      <c r="AK2797" s="500"/>
      <c r="AL2797" s="500"/>
      <c r="AM2797" s="500"/>
      <c r="AN2797" s="500"/>
      <c r="AO2797" s="500"/>
      <c r="AP2797" s="500"/>
    </row>
    <row r="2798" spans="1:42" ht="16.5" customHeight="1">
      <c r="A2798" s="439"/>
      <c r="B2798" s="439"/>
      <c r="C2798" s="439"/>
      <c r="D2798" s="439"/>
      <c r="E2798" s="439"/>
      <c r="F2798" s="439"/>
      <c r="Z2798" s="500"/>
      <c r="AA2798" s="500"/>
      <c r="AB2798" s="500"/>
      <c r="AC2798" s="500"/>
      <c r="AD2798" s="500"/>
      <c r="AE2798" s="500"/>
      <c r="AF2798" s="500"/>
      <c r="AG2798" s="500"/>
      <c r="AH2798" s="500"/>
      <c r="AI2798" s="500"/>
      <c r="AJ2798" s="500"/>
      <c r="AK2798" s="500"/>
      <c r="AL2798" s="500"/>
      <c r="AM2798" s="500"/>
      <c r="AN2798" s="500"/>
      <c r="AO2798" s="500"/>
      <c r="AP2798" s="500"/>
    </row>
    <row r="2799" spans="1:42" ht="16.5" customHeight="1">
      <c r="A2799" s="439"/>
      <c r="B2799" s="439"/>
      <c r="C2799" s="439"/>
      <c r="D2799" s="439"/>
      <c r="E2799" s="439"/>
      <c r="F2799" s="439"/>
      <c r="Z2799" s="500"/>
      <c r="AA2799" s="500"/>
      <c r="AB2799" s="500"/>
      <c r="AC2799" s="500"/>
      <c r="AD2799" s="500"/>
      <c r="AE2799" s="500"/>
      <c r="AF2799" s="500"/>
      <c r="AG2799" s="500"/>
      <c r="AH2799" s="500"/>
      <c r="AI2799" s="500"/>
      <c r="AJ2799" s="500"/>
      <c r="AK2799" s="500"/>
      <c r="AL2799" s="500"/>
      <c r="AM2799" s="500"/>
      <c r="AN2799" s="500"/>
      <c r="AO2799" s="500"/>
      <c r="AP2799" s="500"/>
    </row>
    <row r="2800" spans="1:42" ht="16.5" customHeight="1">
      <c r="A2800" s="439"/>
      <c r="B2800" s="439"/>
      <c r="C2800" s="439"/>
      <c r="D2800" s="439"/>
      <c r="E2800" s="439"/>
      <c r="F2800" s="439"/>
      <c r="Z2800" s="500"/>
      <c r="AA2800" s="500"/>
      <c r="AB2800" s="500"/>
      <c r="AC2800" s="500"/>
      <c r="AD2800" s="500"/>
      <c r="AE2800" s="500"/>
      <c r="AF2800" s="500"/>
      <c r="AG2800" s="500"/>
      <c r="AH2800" s="500"/>
      <c r="AI2800" s="500"/>
      <c r="AJ2800" s="500"/>
      <c r="AK2800" s="500"/>
      <c r="AL2800" s="500"/>
      <c r="AM2800" s="500"/>
      <c r="AN2800" s="500"/>
      <c r="AO2800" s="500"/>
      <c r="AP2800" s="500"/>
    </row>
    <row r="2801" spans="1:42" ht="16.5" customHeight="1">
      <c r="A2801" s="439"/>
      <c r="B2801" s="439"/>
      <c r="C2801" s="439"/>
      <c r="D2801" s="439"/>
      <c r="E2801" s="439"/>
      <c r="F2801" s="439"/>
      <c r="Z2801" s="500"/>
      <c r="AA2801" s="500"/>
      <c r="AB2801" s="500"/>
      <c r="AC2801" s="500"/>
      <c r="AD2801" s="500"/>
      <c r="AE2801" s="500"/>
      <c r="AF2801" s="500"/>
      <c r="AG2801" s="500"/>
      <c r="AH2801" s="500"/>
      <c r="AI2801" s="500"/>
      <c r="AJ2801" s="500"/>
      <c r="AK2801" s="500"/>
      <c r="AL2801" s="500"/>
      <c r="AM2801" s="500"/>
      <c r="AN2801" s="500"/>
      <c r="AO2801" s="500"/>
      <c r="AP2801" s="500"/>
    </row>
    <row r="2802" spans="1:42" ht="16.5" customHeight="1">
      <c r="A2802" s="439"/>
      <c r="B2802" s="439"/>
      <c r="C2802" s="439"/>
      <c r="D2802" s="439"/>
      <c r="E2802" s="439"/>
      <c r="F2802" s="439"/>
      <c r="Z2802" s="500"/>
      <c r="AA2802" s="500"/>
      <c r="AB2802" s="500"/>
      <c r="AC2802" s="500"/>
      <c r="AD2802" s="500"/>
      <c r="AE2802" s="500"/>
      <c r="AF2802" s="500"/>
      <c r="AG2802" s="500"/>
      <c r="AH2802" s="500"/>
      <c r="AI2802" s="500"/>
      <c r="AJ2802" s="500"/>
      <c r="AK2802" s="500"/>
      <c r="AL2802" s="500"/>
      <c r="AM2802" s="500"/>
      <c r="AN2802" s="500"/>
      <c r="AO2802" s="500"/>
      <c r="AP2802" s="500"/>
    </row>
    <row r="2803" spans="1:42" ht="16.5" customHeight="1">
      <c r="A2803" s="497"/>
      <c r="B2803" s="497"/>
      <c r="C2803" s="497"/>
      <c r="D2803" s="497"/>
      <c r="E2803" s="497"/>
      <c r="F2803" s="497"/>
      <c r="Z2803" s="500"/>
      <c r="AA2803" s="500"/>
      <c r="AB2803" s="500"/>
      <c r="AC2803" s="500"/>
      <c r="AD2803" s="500"/>
      <c r="AE2803" s="500"/>
      <c r="AF2803" s="500"/>
      <c r="AG2803" s="500"/>
      <c r="AH2803" s="500"/>
      <c r="AI2803" s="500"/>
      <c r="AJ2803" s="500"/>
      <c r="AK2803" s="500"/>
      <c r="AL2803" s="500"/>
      <c r="AM2803" s="500"/>
      <c r="AN2803" s="500"/>
      <c r="AO2803" s="500"/>
      <c r="AP2803" s="500"/>
    </row>
    <row r="2804" spans="1:42" ht="16.5" customHeight="1">
      <c r="A2804" s="616" t="s">
        <v>3487</v>
      </c>
      <c r="B2804" s="605"/>
      <c r="C2804" s="446">
        <f>E2804+D2804+F2804</f>
        <v>151541</v>
      </c>
      <c r="D2804" s="453">
        <f>ROUNDDOWN(SUMIF(N2757:N2794,M2804,D2757:D2794),0)</f>
        <v>123141</v>
      </c>
      <c r="E2804" s="454">
        <f>ROUNDDOWN(SUMIF(N2757:N2794,M2804,E2757:E2794),0)</f>
        <v>28400</v>
      </c>
      <c r="F2804" s="446">
        <f>ROUNDDOWN(SUMIF(N2757:N2794,M2804,F2757:F2794),0)</f>
        <v>0</v>
      </c>
      <c r="M2804" s="501" t="s">
        <v>2354</v>
      </c>
      <c r="Z2804" s="500"/>
      <c r="AA2804" s="500"/>
      <c r="AB2804" s="500"/>
      <c r="AC2804" s="500"/>
      <c r="AD2804" s="500"/>
      <c r="AE2804" s="500"/>
      <c r="AF2804" s="500"/>
      <c r="AG2804" s="500"/>
      <c r="AH2804" s="500"/>
      <c r="AI2804" s="500"/>
      <c r="AJ2804" s="500"/>
      <c r="AK2804" s="500"/>
      <c r="AL2804" s="500"/>
      <c r="AM2804" s="500"/>
      <c r="AN2804" s="500"/>
      <c r="AO2804" s="500"/>
      <c r="AP2804" s="500"/>
    </row>
    <row r="2805" spans="1:42" ht="16.5" customHeight="1">
      <c r="A2805" s="502" t="s">
        <v>3350</v>
      </c>
      <c r="B2805" s="503" t="s">
        <v>5321</v>
      </c>
      <c r="C2805" s="615">
        <f>C2854</f>
        <v>65839</v>
      </c>
      <c r="D2805" s="615">
        <f>D2854</f>
        <v>53539</v>
      </c>
      <c r="E2805" s="615">
        <f>E2854</f>
        <v>12300</v>
      </c>
      <c r="F2805" s="615">
        <f>F2854</f>
        <v>0</v>
      </c>
      <c r="G2805" s="486" t="str">
        <f>HYPERLINK("#G"&amp;ROW(G2843),"_x0005_`BDCOD|D01320_x0007_`POSS|"&amp;ROW(G2807)&amp;"_x0007_`POSE|"&amp;ROW(G2843)&amp;"_x0007_`")</f>
        <v>_x0005_`BDCOD|D01320_x0007_`POSS|2807_x0007_`POSE|2843_x0007_`</v>
      </c>
      <c r="Z2805" s="500"/>
      <c r="AA2805" s="500"/>
      <c r="AB2805" s="500"/>
      <c r="AC2805" s="500"/>
      <c r="AD2805" s="500"/>
      <c r="AE2805" s="500"/>
      <c r="AF2805" s="500"/>
      <c r="AG2805" s="500"/>
      <c r="AH2805" s="500"/>
      <c r="AI2805" s="500"/>
      <c r="AJ2805" s="500"/>
      <c r="AK2805" s="500"/>
      <c r="AL2805" s="500"/>
      <c r="AM2805" s="500"/>
      <c r="AN2805" s="500"/>
      <c r="AO2805" s="500"/>
      <c r="AP2805" s="500"/>
    </row>
    <row r="2806" spans="1:42" ht="16.5" customHeight="1">
      <c r="A2806" s="485"/>
      <c r="B2806" s="503" t="s">
        <v>5610</v>
      </c>
      <c r="C2806" s="593"/>
      <c r="D2806" s="593"/>
      <c r="E2806" s="593"/>
      <c r="F2806" s="593"/>
      <c r="M2806" s="501" t="s">
        <v>5321</v>
      </c>
      <c r="Z2806" s="500"/>
      <c r="AA2806" s="500"/>
      <c r="AB2806" s="500"/>
      <c r="AC2806" s="500"/>
      <c r="AD2806" s="500"/>
      <c r="AE2806" s="500"/>
      <c r="AF2806" s="500"/>
      <c r="AG2806" s="500"/>
      <c r="AH2806" s="500"/>
      <c r="AI2806" s="500"/>
      <c r="AJ2806" s="500"/>
      <c r="AK2806" s="500"/>
      <c r="AL2806" s="500"/>
      <c r="AM2806" s="500"/>
      <c r="AN2806" s="500"/>
      <c r="AO2806" s="500"/>
      <c r="AP2806" s="500"/>
    </row>
    <row r="2807" spans="1:42" ht="16.5" customHeight="1">
      <c r="A2807" s="439"/>
      <c r="B2807" s="439"/>
      <c r="C2807" s="504"/>
      <c r="D2807" s="504"/>
      <c r="E2807" s="504"/>
      <c r="F2807" s="504"/>
      <c r="G2807" s="451" t="s">
        <v>3406</v>
      </c>
      <c r="Z2807" s="500"/>
      <c r="AA2807" s="500"/>
      <c r="AB2807" s="500"/>
      <c r="AC2807" s="500"/>
      <c r="AD2807" s="500"/>
      <c r="AE2807" s="500"/>
      <c r="AF2807" s="500"/>
      <c r="AG2807" s="500"/>
      <c r="AH2807" s="500"/>
      <c r="AI2807" s="500"/>
      <c r="AJ2807" s="500"/>
      <c r="AK2807" s="500"/>
      <c r="AL2807" s="500"/>
      <c r="AM2807" s="500"/>
      <c r="AN2807" s="500"/>
      <c r="AO2807" s="500"/>
      <c r="AP2807" s="500"/>
    </row>
    <row r="2808" spans="1:42" ht="16.5" customHeight="1">
      <c r="A2808" s="434"/>
      <c r="B2808" s="437" t="s">
        <v>3542</v>
      </c>
      <c r="C2808" s="439"/>
      <c r="D2808" s="439"/>
      <c r="E2808" s="439"/>
      <c r="F2808" s="439"/>
      <c r="G2808" s="451" t="s">
        <v>3543</v>
      </c>
      <c r="Z2808" s="500"/>
      <c r="AA2808" s="500"/>
      <c r="AB2808" s="500"/>
      <c r="AC2808" s="500"/>
      <c r="AD2808" s="500"/>
      <c r="AE2808" s="500"/>
      <c r="AF2808" s="500"/>
      <c r="AG2808" s="500"/>
      <c r="AH2808" s="500"/>
      <c r="AI2808" s="500"/>
      <c r="AJ2808" s="500"/>
      <c r="AK2808" s="500"/>
      <c r="AL2808" s="500"/>
      <c r="AM2808" s="500"/>
      <c r="AN2808" s="500"/>
      <c r="AO2808" s="500"/>
      <c r="AP2808" s="500"/>
    </row>
    <row r="2809" spans="1:42" ht="16.5" customHeight="1">
      <c r="A2809" s="439"/>
      <c r="B2809" s="439"/>
      <c r="C2809" s="439"/>
      <c r="D2809" s="439"/>
      <c r="E2809" s="439"/>
      <c r="F2809" s="439"/>
      <c r="G2809" s="451" t="s">
        <v>3406</v>
      </c>
      <c r="Z2809" s="500"/>
      <c r="AA2809" s="500"/>
      <c r="AB2809" s="500"/>
      <c r="AC2809" s="500"/>
      <c r="AD2809" s="500"/>
      <c r="AE2809" s="500"/>
      <c r="AF2809" s="500"/>
      <c r="AG2809" s="500"/>
      <c r="AH2809" s="500"/>
      <c r="AI2809" s="500"/>
      <c r="AJ2809" s="500"/>
      <c r="AK2809" s="500"/>
      <c r="AL2809" s="500"/>
      <c r="AM2809" s="500"/>
      <c r="AN2809" s="500"/>
      <c r="AO2809" s="500"/>
      <c r="AP2809" s="500"/>
    </row>
    <row r="2810" spans="1:42" ht="16.5" customHeight="1">
      <c r="A2810" s="434"/>
      <c r="B2810" s="437" t="s">
        <v>3544</v>
      </c>
      <c r="C2810" s="439"/>
      <c r="D2810" s="439"/>
      <c r="E2810" s="439"/>
      <c r="F2810" s="439"/>
      <c r="G2810" s="451" t="s">
        <v>3545</v>
      </c>
      <c r="Z2810" s="500"/>
      <c r="AA2810" s="500"/>
      <c r="AB2810" s="500"/>
      <c r="AC2810" s="500"/>
      <c r="AD2810" s="500"/>
      <c r="AE2810" s="500"/>
      <c r="AF2810" s="500"/>
      <c r="AG2810" s="500"/>
      <c r="AH2810" s="500"/>
      <c r="AI2810" s="500"/>
      <c r="AJ2810" s="500"/>
      <c r="AK2810" s="500"/>
      <c r="AL2810" s="500"/>
      <c r="AM2810" s="500"/>
      <c r="AN2810" s="500"/>
      <c r="AO2810" s="500"/>
      <c r="AP2810" s="500"/>
    </row>
    <row r="2811" spans="1:42" ht="16.5" customHeight="1">
      <c r="A2811" s="439"/>
      <c r="B2811" s="439"/>
      <c r="C2811" s="439"/>
      <c r="D2811" s="439"/>
      <c r="E2811" s="439"/>
      <c r="F2811" s="439"/>
      <c r="G2811" s="451" t="s">
        <v>3406</v>
      </c>
      <c r="Z2811" s="500"/>
      <c r="AA2811" s="500"/>
      <c r="AB2811" s="500"/>
      <c r="AC2811" s="500"/>
      <c r="AD2811" s="500"/>
      <c r="AE2811" s="500"/>
      <c r="AF2811" s="500"/>
      <c r="AG2811" s="500"/>
      <c r="AH2811" s="500"/>
      <c r="AI2811" s="500"/>
      <c r="AJ2811" s="500"/>
      <c r="AK2811" s="500"/>
      <c r="AL2811" s="500"/>
      <c r="AM2811" s="500"/>
      <c r="AN2811" s="500"/>
      <c r="AO2811" s="500"/>
      <c r="AP2811" s="500"/>
    </row>
    <row r="2812" spans="1:42" ht="16.5" customHeight="1">
      <c r="A2812" s="434"/>
      <c r="B2812" s="437" t="str">
        <f>" 일당 작업량 :   Q = "&amp;Z2812&amp;"  주 "</f>
        <v xml:space="preserve"> 일당 작업량 :   Q = 30  주 </v>
      </c>
      <c r="C2812" s="439"/>
      <c r="D2812" s="439"/>
      <c r="E2812" s="439"/>
      <c r="F2812" s="439"/>
      <c r="G2812" s="451" t="s">
        <v>3646</v>
      </c>
      <c r="Z2812" s="515">
        <v>30</v>
      </c>
      <c r="AA2812" s="501" t="s">
        <v>3418</v>
      </c>
      <c r="AB2812" s="512">
        <f>Z2812</f>
        <v>30</v>
      </c>
      <c r="AC2812" s="500"/>
      <c r="AD2812" s="500"/>
      <c r="AE2812" s="500"/>
      <c r="AF2812" s="500"/>
      <c r="AG2812" s="500"/>
      <c r="AH2812" s="500"/>
      <c r="AI2812" s="500"/>
      <c r="AJ2812" s="500"/>
      <c r="AK2812" s="500"/>
      <c r="AL2812" s="500"/>
      <c r="AM2812" s="500"/>
      <c r="AN2812" s="500"/>
      <c r="AO2812" s="500"/>
      <c r="AP2812" s="500"/>
    </row>
    <row r="2813" spans="1:42" ht="16.5" customHeight="1">
      <c r="A2813" s="439"/>
      <c r="B2813" s="439"/>
      <c r="C2813" s="439"/>
      <c r="D2813" s="439"/>
      <c r="E2813" s="439"/>
      <c r="F2813" s="439"/>
      <c r="G2813" s="451" t="s">
        <v>3406</v>
      </c>
      <c r="Z2813" s="500"/>
      <c r="AA2813" s="500"/>
      <c r="AB2813" s="500"/>
      <c r="AC2813" s="500"/>
      <c r="AD2813" s="500"/>
      <c r="AE2813" s="500"/>
      <c r="AF2813" s="500"/>
      <c r="AG2813" s="500"/>
      <c r="AH2813" s="500"/>
      <c r="AI2813" s="500"/>
      <c r="AJ2813" s="500"/>
      <c r="AK2813" s="500"/>
      <c r="AL2813" s="500"/>
      <c r="AM2813" s="500"/>
      <c r="AN2813" s="500"/>
      <c r="AO2813" s="500"/>
      <c r="AP2813" s="500"/>
    </row>
    <row r="2814" spans="1:42" ht="16.5" customHeight="1">
      <c r="A2814" s="434"/>
      <c r="B2814" s="437" t="s">
        <v>3651</v>
      </c>
      <c r="C2814" s="439"/>
      <c r="D2814" s="439"/>
      <c r="E2814" s="439"/>
      <c r="F2814" s="439"/>
      <c r="G2814" s="451" t="s">
        <v>3652</v>
      </c>
      <c r="Z2814" s="500"/>
      <c r="AA2814" s="500"/>
      <c r="AB2814" s="500"/>
      <c r="AC2814" s="500"/>
      <c r="AD2814" s="500"/>
      <c r="AE2814" s="500"/>
      <c r="AF2814" s="500"/>
      <c r="AG2814" s="500"/>
      <c r="AH2814" s="500"/>
      <c r="AI2814" s="500"/>
      <c r="AJ2814" s="500"/>
      <c r="AK2814" s="500"/>
      <c r="AL2814" s="500"/>
      <c r="AM2814" s="500"/>
      <c r="AN2814" s="500"/>
      <c r="AO2814" s="500"/>
      <c r="AP2814" s="500"/>
    </row>
    <row r="2815" spans="1:42" ht="16.5" customHeight="1">
      <c r="A2815" s="439"/>
      <c r="B2815" s="439"/>
      <c r="C2815" s="439"/>
      <c r="D2815" s="439"/>
      <c r="E2815" s="439"/>
      <c r="F2815" s="439"/>
      <c r="G2815" s="451" t="s">
        <v>3406</v>
      </c>
      <c r="Z2815" s="500"/>
      <c r="AA2815" s="500"/>
      <c r="AB2815" s="500"/>
      <c r="AC2815" s="500"/>
      <c r="AD2815" s="500"/>
      <c r="AE2815" s="500"/>
      <c r="AF2815" s="500"/>
      <c r="AG2815" s="500"/>
      <c r="AH2815" s="500"/>
      <c r="AI2815" s="500"/>
      <c r="AJ2815" s="500"/>
      <c r="AK2815" s="500"/>
      <c r="AL2815" s="500"/>
      <c r="AM2815" s="500"/>
      <c r="AN2815" s="500"/>
      <c r="AO2815" s="500"/>
      <c r="AP2815" s="500"/>
    </row>
    <row r="2816" spans="1:42" ht="16.5" customHeight="1">
      <c r="A2816" s="439"/>
      <c r="B2816" s="439"/>
      <c r="C2816" s="439"/>
      <c r="D2816" s="439"/>
      <c r="E2816" s="439"/>
      <c r="F2816" s="439"/>
      <c r="G2816" s="451" t="s">
        <v>3406</v>
      </c>
      <c r="Z2816" s="500"/>
      <c r="AA2816" s="500"/>
      <c r="AB2816" s="500"/>
      <c r="AC2816" s="500"/>
      <c r="AD2816" s="500"/>
      <c r="AE2816" s="500"/>
      <c r="AF2816" s="500"/>
      <c r="AG2816" s="500"/>
      <c r="AH2816" s="500"/>
      <c r="AI2816" s="500"/>
      <c r="AJ2816" s="500"/>
      <c r="AK2816" s="500"/>
      <c r="AL2816" s="500"/>
      <c r="AM2816" s="500"/>
      <c r="AN2816" s="500"/>
      <c r="AO2816" s="500"/>
      <c r="AP2816" s="500"/>
    </row>
    <row r="2817" spans="1:42" ht="16.5" customHeight="1">
      <c r="A2817" s="439"/>
      <c r="B2817" s="439"/>
      <c r="C2817" s="439"/>
      <c r="D2817" s="439"/>
      <c r="E2817" s="439"/>
      <c r="F2817" s="439"/>
      <c r="G2817" s="451" t="s">
        <v>3406</v>
      </c>
      <c r="Z2817" s="500"/>
      <c r="AA2817" s="500"/>
      <c r="AB2817" s="500"/>
      <c r="AC2817" s="500"/>
      <c r="AD2817" s="500"/>
      <c r="AE2817" s="500"/>
      <c r="AF2817" s="500"/>
      <c r="AG2817" s="500"/>
      <c r="AH2817" s="500"/>
      <c r="AI2817" s="500"/>
      <c r="AJ2817" s="500"/>
      <c r="AK2817" s="500"/>
      <c r="AL2817" s="500"/>
      <c r="AM2817" s="500"/>
      <c r="AN2817" s="500"/>
      <c r="AO2817" s="500"/>
      <c r="AP2817" s="500"/>
    </row>
    <row r="2818" spans="1:42" ht="16.5" customHeight="1">
      <c r="A2818" s="439"/>
      <c r="B2818" s="439"/>
      <c r="C2818" s="439"/>
      <c r="D2818" s="439"/>
      <c r="E2818" s="439"/>
      <c r="F2818" s="439"/>
      <c r="G2818" s="451" t="s">
        <v>3406</v>
      </c>
      <c r="Z2818" s="500"/>
      <c r="AA2818" s="500"/>
      <c r="AB2818" s="500"/>
      <c r="AC2818" s="500"/>
      <c r="AD2818" s="500"/>
      <c r="AE2818" s="500"/>
      <c r="AF2818" s="500"/>
      <c r="AG2818" s="500"/>
      <c r="AH2818" s="500"/>
      <c r="AI2818" s="500"/>
      <c r="AJ2818" s="500"/>
      <c r="AK2818" s="500"/>
      <c r="AL2818" s="500"/>
      <c r="AM2818" s="500"/>
      <c r="AN2818" s="500"/>
      <c r="AO2818" s="500"/>
      <c r="AP2818" s="500"/>
    </row>
    <row r="2819" spans="1:42" ht="16.5" customHeight="1">
      <c r="A2819" s="434"/>
      <c r="B2819" s="437" t="s">
        <v>3496</v>
      </c>
      <c r="C2819" s="439"/>
      <c r="D2819" s="439"/>
      <c r="E2819" s="439"/>
      <c r="F2819" s="439"/>
      <c r="G2819" s="451" t="s">
        <v>3497</v>
      </c>
      <c r="Z2819" s="500"/>
      <c r="AA2819" s="500"/>
      <c r="AB2819" s="500"/>
      <c r="AC2819" s="500"/>
      <c r="AD2819" s="500"/>
      <c r="AE2819" s="500"/>
      <c r="AF2819" s="500"/>
      <c r="AG2819" s="500"/>
      <c r="AH2819" s="500"/>
      <c r="AI2819" s="500"/>
      <c r="AJ2819" s="500"/>
      <c r="AK2819" s="500"/>
      <c r="AL2819" s="500"/>
      <c r="AM2819" s="500"/>
      <c r="AN2819" s="500"/>
      <c r="AO2819" s="500"/>
      <c r="AP2819" s="500"/>
    </row>
    <row r="2820" spans="1:42" ht="16.5" customHeight="1">
      <c r="A2820" s="439"/>
      <c r="B2820" s="439"/>
      <c r="C2820" s="439"/>
      <c r="D2820" s="439"/>
      <c r="E2820" s="439"/>
      <c r="F2820" s="439"/>
      <c r="G2820" s="451" t="s">
        <v>3406</v>
      </c>
      <c r="Z2820" s="500"/>
      <c r="AA2820" s="500"/>
      <c r="AB2820" s="500"/>
      <c r="AC2820" s="500"/>
      <c r="AD2820" s="500"/>
      <c r="AE2820" s="500"/>
      <c r="AF2820" s="500"/>
      <c r="AG2820" s="500"/>
      <c r="AH2820" s="500"/>
      <c r="AI2820" s="500"/>
      <c r="AJ2820" s="500"/>
      <c r="AK2820" s="500"/>
      <c r="AL2820" s="500"/>
      <c r="AM2820" s="500"/>
      <c r="AN2820" s="500"/>
      <c r="AO2820" s="500"/>
      <c r="AP2820" s="500"/>
    </row>
    <row r="2821" spans="1:42" ht="16.5" customHeight="1">
      <c r="A2821" s="434" t="s">
        <v>3498</v>
      </c>
      <c r="B2821" s="505" t="str">
        <f>" 조경공 :  "&amp;TEXT(I2821,"#,##0"&amp;IF(I2821&lt;&gt;INT(I2821),".###",""))&amp;" * "&amp;AA2821&amp;" 인  / Q = "&amp;TEXT(C2821,"#,##0.0")&amp;""</f>
        <v xml:space="preserve"> 조경공 :  235,204 * 4 인  / Q = 31,360.5</v>
      </c>
      <c r="C2821" s="506">
        <f>E2821+D2821+F2821</f>
        <v>31360.5</v>
      </c>
      <c r="D2821" s="506">
        <f>IF(H2821=0,0,ROUNDDOWN(J2821*H2821,1))</f>
        <v>31360.5</v>
      </c>
      <c r="E2821" s="506">
        <f>IF(H2821=0,0,ROUNDDOWN(K2821*H2821,1))</f>
        <v>0</v>
      </c>
      <c r="F2821" s="506">
        <f>IF(H2821=0,0,ROUNDDOWN(L2821*H2821,1))</f>
        <v>0</v>
      </c>
      <c r="G2821" s="451" t="s">
        <v>3653</v>
      </c>
      <c r="H2821" s="507">
        <f>ROUNDUP(AE2821,14-LEN(ABS(INT(AE2821))))</f>
        <v>0.1333333333334</v>
      </c>
      <c r="I2821" s="508">
        <f>K2821+J2821+L2821</f>
        <v>235204</v>
      </c>
      <c r="J2821" s="509">
        <f>노무비목록표!E15</f>
        <v>235204</v>
      </c>
      <c r="M2821" s="501" t="s">
        <v>2359</v>
      </c>
      <c r="N2821" s="501" t="s">
        <v>3416</v>
      </c>
      <c r="X2821" s="510" t="str">
        <f>노무비목록표!B15&amp;" / "&amp;노무비목록표!C15</f>
        <v xml:space="preserve">조경공 / </v>
      </c>
      <c r="Y2821" s="433" t="str">
        <f ca="1">HYPERLINK("#"&amp;노무비목록표!G2&amp;"!A"&amp;ROW(노무비목록표!A15),"L00184 →")</f>
        <v>L00184 →</v>
      </c>
      <c r="Z2821" s="501" t="s">
        <v>3500</v>
      </c>
      <c r="AA2821" s="515">
        <v>4</v>
      </c>
      <c r="AB2821" s="501" t="s">
        <v>3428</v>
      </c>
      <c r="AC2821" s="512">
        <f>AB2812</f>
        <v>30</v>
      </c>
      <c r="AD2821" s="501" t="s">
        <v>3418</v>
      </c>
      <c r="AE2821" s="512">
        <f>1*AA2821/AB2812</f>
        <v>0.13333333333333333</v>
      </c>
      <c r="AF2821" s="500"/>
      <c r="AG2821" s="500"/>
      <c r="AH2821" s="500"/>
      <c r="AI2821" s="500"/>
      <c r="AJ2821" s="500"/>
      <c r="AK2821" s="500"/>
      <c r="AL2821" s="500"/>
      <c r="AM2821" s="500"/>
      <c r="AN2821" s="500"/>
      <c r="AO2821" s="500"/>
      <c r="AP2821" s="500"/>
    </row>
    <row r="2822" spans="1:42" ht="16.5" customHeight="1">
      <c r="A2822" s="439"/>
      <c r="B2822" s="439"/>
      <c r="C2822" s="439"/>
      <c r="D2822" s="439"/>
      <c r="E2822" s="439"/>
      <c r="F2822" s="439"/>
      <c r="G2822" s="451" t="s">
        <v>3406</v>
      </c>
      <c r="Z2822" s="500"/>
      <c r="AA2822" s="500"/>
      <c r="AB2822" s="500"/>
      <c r="AC2822" s="500"/>
      <c r="AD2822" s="500"/>
      <c r="AE2822" s="500"/>
      <c r="AF2822" s="500"/>
      <c r="AG2822" s="500"/>
      <c r="AH2822" s="500"/>
      <c r="AI2822" s="500"/>
      <c r="AJ2822" s="500"/>
      <c r="AK2822" s="500"/>
      <c r="AL2822" s="500"/>
      <c r="AM2822" s="500"/>
      <c r="AN2822" s="500"/>
      <c r="AO2822" s="500"/>
      <c r="AP2822" s="500"/>
    </row>
    <row r="2823" spans="1:42" ht="16.5" customHeight="1">
      <c r="A2823" s="439"/>
      <c r="B2823" s="439"/>
      <c r="C2823" s="439"/>
      <c r="D2823" s="439"/>
      <c r="E2823" s="439"/>
      <c r="F2823" s="439"/>
      <c r="G2823" s="451" t="s">
        <v>3406</v>
      </c>
      <c r="Z2823" s="500"/>
      <c r="AA2823" s="500"/>
      <c r="AB2823" s="500"/>
      <c r="AC2823" s="500"/>
      <c r="AD2823" s="500"/>
      <c r="AE2823" s="500"/>
      <c r="AF2823" s="500"/>
      <c r="AG2823" s="500"/>
      <c r="AH2823" s="500"/>
      <c r="AI2823" s="500"/>
      <c r="AJ2823" s="500"/>
      <c r="AK2823" s="500"/>
      <c r="AL2823" s="500"/>
      <c r="AM2823" s="500"/>
      <c r="AN2823" s="500"/>
      <c r="AO2823" s="500"/>
      <c r="AP2823" s="500"/>
    </row>
    <row r="2824" spans="1:42" ht="16.5" customHeight="1">
      <c r="A2824" s="434" t="s">
        <v>3414</v>
      </c>
      <c r="B2824" s="505" t="str">
        <f>" 보통인부 : "&amp;TEXT(I2824,"#,##0"&amp;IF(I2824&lt;&gt;INT(I2824),".###",""))&amp;" * "&amp;AA2824&amp;" 인  / Q = "&amp;TEXT(C2824,"#,##0.0")&amp;""</f>
        <v xml:space="preserve"> 보통인부 : 172,068 * 2 인  / Q = 11,471.2</v>
      </c>
      <c r="C2824" s="506">
        <f>E2824+D2824+F2824</f>
        <v>11471.2</v>
      </c>
      <c r="D2824" s="506">
        <f>IF(H2824=0,0,ROUNDDOWN(J2824*H2824,1))</f>
        <v>11471.2</v>
      </c>
      <c r="E2824" s="506">
        <f>IF(H2824=0,0,ROUNDDOWN(K2824*H2824,1))</f>
        <v>0</v>
      </c>
      <c r="F2824" s="506">
        <f>IF(H2824=0,0,ROUNDDOWN(L2824*H2824,1))</f>
        <v>0</v>
      </c>
      <c r="G2824" s="451" t="s">
        <v>3654</v>
      </c>
      <c r="H2824" s="507">
        <f>ROUNDUP(AE2824,14-LEN(ABS(INT(AE2824))))</f>
        <v>6.66666666667E-2</v>
      </c>
      <c r="I2824" s="508">
        <f>K2824+J2824+L2824</f>
        <v>172068</v>
      </c>
      <c r="J2824" s="509">
        <f>노무비목록표!E10</f>
        <v>172068</v>
      </c>
      <c r="M2824" s="501" t="s">
        <v>2363</v>
      </c>
      <c r="N2824" s="501" t="s">
        <v>3416</v>
      </c>
      <c r="X2824" s="510" t="str">
        <f>노무비목록표!B10&amp;" / "&amp;노무비목록표!C10</f>
        <v xml:space="preserve">보통인부 / </v>
      </c>
      <c r="Y2824" s="433" t="str">
        <f ca="1">HYPERLINK("#"&amp;노무비목록표!G2&amp;"!A"&amp;ROW(노무비목록표!A10),"L00017 →")</f>
        <v>L00017 →</v>
      </c>
      <c r="Z2824" s="501" t="s">
        <v>3500</v>
      </c>
      <c r="AA2824" s="515">
        <v>2</v>
      </c>
      <c r="AB2824" s="501" t="s">
        <v>3428</v>
      </c>
      <c r="AC2824" s="512">
        <f>AB2812</f>
        <v>30</v>
      </c>
      <c r="AD2824" s="501" t="s">
        <v>3418</v>
      </c>
      <c r="AE2824" s="512">
        <f>1*AA2824/AB2812</f>
        <v>6.6666666666666666E-2</v>
      </c>
      <c r="AF2824" s="500"/>
      <c r="AG2824" s="500"/>
      <c r="AH2824" s="500"/>
      <c r="AI2824" s="500"/>
      <c r="AJ2824" s="500"/>
      <c r="AK2824" s="500"/>
      <c r="AL2824" s="500"/>
      <c r="AM2824" s="500"/>
      <c r="AN2824" s="500"/>
      <c r="AO2824" s="500"/>
      <c r="AP2824" s="500"/>
    </row>
    <row r="2825" spans="1:42" ht="16.5" customHeight="1">
      <c r="A2825" s="439"/>
      <c r="B2825" s="439"/>
      <c r="C2825" s="439"/>
      <c r="D2825" s="439"/>
      <c r="E2825" s="439"/>
      <c r="F2825" s="439"/>
      <c r="G2825" s="451" t="s">
        <v>3406</v>
      </c>
      <c r="Z2825" s="500"/>
      <c r="AA2825" s="500"/>
      <c r="AB2825" s="500"/>
      <c r="AC2825" s="500"/>
      <c r="AD2825" s="500"/>
      <c r="AE2825" s="500"/>
      <c r="AF2825" s="500"/>
      <c r="AG2825" s="500"/>
      <c r="AH2825" s="500"/>
      <c r="AI2825" s="500"/>
      <c r="AJ2825" s="500"/>
      <c r="AK2825" s="500"/>
      <c r="AL2825" s="500"/>
      <c r="AM2825" s="500"/>
      <c r="AN2825" s="500"/>
      <c r="AO2825" s="500"/>
      <c r="AP2825" s="500"/>
    </row>
    <row r="2826" spans="1:42" ht="16.5" customHeight="1">
      <c r="A2826" s="434"/>
      <c r="B2826" s="437" t="s">
        <v>3419</v>
      </c>
      <c r="C2826" s="513">
        <f>E2826+D2826+F2826</f>
        <v>42831.7</v>
      </c>
      <c r="D2826" s="513">
        <f>SUMIF(N2807:N2825,M2826,D2807:D2825)</f>
        <v>42831.7</v>
      </c>
      <c r="E2826" s="513">
        <f>SUMIF(N2807:N2825,M2826,E2807:E2825)</f>
        <v>0</v>
      </c>
      <c r="F2826" s="513">
        <f>SUMIF(N2807:N2825,M2826,F2807:F2825)</f>
        <v>0</v>
      </c>
      <c r="G2826" s="451" t="s">
        <v>3439</v>
      </c>
      <c r="M2826" s="501" t="s">
        <v>3416</v>
      </c>
      <c r="N2826" s="501" t="s">
        <v>3421</v>
      </c>
      <c r="Z2826" s="500"/>
      <c r="AA2826" s="500"/>
      <c r="AB2826" s="500"/>
      <c r="AC2826" s="500"/>
      <c r="AD2826" s="500"/>
      <c r="AE2826" s="500"/>
      <c r="AF2826" s="500"/>
      <c r="AG2826" s="500"/>
      <c r="AH2826" s="500"/>
      <c r="AI2826" s="500"/>
      <c r="AJ2826" s="500"/>
      <c r="AK2826" s="500"/>
      <c r="AL2826" s="500"/>
      <c r="AM2826" s="500"/>
      <c r="AN2826" s="500"/>
      <c r="AO2826" s="500"/>
      <c r="AP2826" s="500"/>
    </row>
    <row r="2827" spans="1:42" ht="16.5" customHeight="1">
      <c r="A2827" s="439"/>
      <c r="B2827" s="439"/>
      <c r="C2827" s="504"/>
      <c r="D2827" s="504"/>
      <c r="E2827" s="504"/>
      <c r="F2827" s="504"/>
      <c r="G2827" s="451" t="s">
        <v>3406</v>
      </c>
      <c r="Z2827" s="500"/>
      <c r="AA2827" s="500"/>
      <c r="AB2827" s="500"/>
      <c r="AC2827" s="500"/>
      <c r="AD2827" s="500"/>
      <c r="AE2827" s="500"/>
      <c r="AF2827" s="500"/>
      <c r="AG2827" s="500"/>
      <c r="AH2827" s="500"/>
      <c r="AI2827" s="500"/>
      <c r="AJ2827" s="500"/>
      <c r="AK2827" s="500"/>
      <c r="AL2827" s="500"/>
      <c r="AM2827" s="500"/>
      <c r="AN2827" s="500"/>
      <c r="AO2827" s="500"/>
      <c r="AP2827" s="500"/>
    </row>
    <row r="2828" spans="1:42" ht="16.5" customHeight="1">
      <c r="A2828" s="439"/>
      <c r="B2828" s="439"/>
      <c r="C2828" s="439"/>
      <c r="D2828" s="439"/>
      <c r="E2828" s="439"/>
      <c r="F2828" s="439"/>
      <c r="G2828" s="451" t="s">
        <v>3406</v>
      </c>
      <c r="Z2828" s="500"/>
      <c r="AA2828" s="500"/>
      <c r="AB2828" s="500"/>
      <c r="AC2828" s="500"/>
      <c r="AD2828" s="500"/>
      <c r="AE2828" s="500"/>
      <c r="AF2828" s="500"/>
      <c r="AG2828" s="500"/>
      <c r="AH2828" s="500"/>
      <c r="AI2828" s="500"/>
      <c r="AJ2828" s="500"/>
      <c r="AK2828" s="500"/>
      <c r="AL2828" s="500"/>
      <c r="AM2828" s="500"/>
      <c r="AN2828" s="500"/>
      <c r="AO2828" s="500"/>
      <c r="AP2828" s="500"/>
    </row>
    <row r="2829" spans="1:42" ht="16.5" customHeight="1">
      <c r="A2829" s="434"/>
      <c r="B2829" s="437" t="s">
        <v>3502</v>
      </c>
      <c r="C2829" s="439"/>
      <c r="D2829" s="439"/>
      <c r="E2829" s="439"/>
      <c r="F2829" s="439"/>
      <c r="G2829" s="451" t="s">
        <v>3503</v>
      </c>
      <c r="Z2829" s="500"/>
      <c r="AA2829" s="500"/>
      <c r="AB2829" s="500"/>
      <c r="AC2829" s="500"/>
      <c r="AD2829" s="500"/>
      <c r="AE2829" s="500"/>
      <c r="AF2829" s="500"/>
      <c r="AG2829" s="500"/>
      <c r="AH2829" s="500"/>
      <c r="AI2829" s="500"/>
      <c r="AJ2829" s="500"/>
      <c r="AK2829" s="500"/>
      <c r="AL2829" s="500"/>
      <c r="AM2829" s="500"/>
      <c r="AN2829" s="500"/>
      <c r="AO2829" s="500"/>
      <c r="AP2829" s="500"/>
    </row>
    <row r="2830" spans="1:42" ht="16.5" customHeight="1">
      <c r="A2830" s="439"/>
      <c r="B2830" s="439"/>
      <c r="C2830" s="439"/>
      <c r="D2830" s="439"/>
      <c r="E2830" s="439"/>
      <c r="F2830" s="439"/>
      <c r="G2830" s="451" t="s">
        <v>3406</v>
      </c>
      <c r="Z2830" s="500"/>
      <c r="AA2830" s="500"/>
      <c r="AB2830" s="500"/>
      <c r="AC2830" s="500"/>
      <c r="AD2830" s="500"/>
      <c r="AE2830" s="500"/>
      <c r="AF2830" s="500"/>
      <c r="AG2830" s="500"/>
      <c r="AH2830" s="500"/>
      <c r="AI2830" s="500"/>
      <c r="AJ2830" s="500"/>
      <c r="AK2830" s="500"/>
      <c r="AL2830" s="500"/>
      <c r="AM2830" s="500"/>
      <c r="AN2830" s="500"/>
      <c r="AO2830" s="500"/>
      <c r="AP2830" s="500"/>
    </row>
    <row r="2831" spans="1:42" ht="16.5" customHeight="1">
      <c r="A2831" s="434" t="s">
        <v>3628</v>
      </c>
      <c r="B2831" s="505" t="str">
        <f>"  지주목 이각, L1200 : "&amp;TEXT(I2831,"#,##0"&amp;IF(I2831&lt;&gt;INT(I2831),".###",""))&amp;" * "&amp;AA2831&amp;" 조  = "&amp;TEXT(C2831,"#,##0.0")&amp;""</f>
        <v xml:space="preserve">  지주목 이각, L1200 : 7,300 * 1 조  = 7,300.0</v>
      </c>
      <c r="C2831" s="506">
        <f>E2831+D2831+F2831</f>
        <v>7300</v>
      </c>
      <c r="D2831" s="506">
        <f>IF(H2831=0,0,ROUNDDOWN(J2831*H2831,1))</f>
        <v>0</v>
      </c>
      <c r="E2831" s="506">
        <f>IF(H2831=0,0,ROUNDDOWN(K2831*H2831,1))</f>
        <v>7300</v>
      </c>
      <c r="F2831" s="506">
        <f>IF(H2831=0,0,ROUNDDOWN(L2831*H2831,1))</f>
        <v>0</v>
      </c>
      <c r="G2831" s="451" t="s">
        <v>3629</v>
      </c>
      <c r="H2831" s="507">
        <f>ROUNDUP(AC2831,14-LEN(ABS(INT(AC2831))))</f>
        <v>1</v>
      </c>
      <c r="I2831" s="508">
        <f>K2831+J2831+L2831</f>
        <v>7300</v>
      </c>
      <c r="K2831" s="509">
        <f>재료비목록표!E94</f>
        <v>7300</v>
      </c>
      <c r="M2831" s="501" t="s">
        <v>3630</v>
      </c>
      <c r="N2831" s="501" t="s">
        <v>3416</v>
      </c>
      <c r="X2831" s="510" t="str">
        <f>재료비목록표!B94&amp;" / "&amp;재료비목록표!C94</f>
        <v>지주목 / 이각, L1200</v>
      </c>
      <c r="Y2831" s="433" t="str">
        <f ca="1">HYPERLINK("#"&amp;재료비목록표!G2&amp;"!A"&amp;ROW(재료비목록표!A94),"M08848 →")</f>
        <v>M08848 →</v>
      </c>
      <c r="Z2831" s="501" t="s">
        <v>3500</v>
      </c>
      <c r="AA2831" s="515">
        <v>1</v>
      </c>
      <c r="AB2831" s="501" t="s">
        <v>3418</v>
      </c>
      <c r="AC2831" s="512">
        <f>1*AA2831</f>
        <v>1</v>
      </c>
      <c r="AD2831" s="500"/>
      <c r="AE2831" s="500"/>
      <c r="AF2831" s="500"/>
      <c r="AG2831" s="500"/>
      <c r="AH2831" s="500"/>
      <c r="AI2831" s="500"/>
      <c r="AJ2831" s="500"/>
      <c r="AK2831" s="500"/>
      <c r="AL2831" s="500"/>
      <c r="AM2831" s="500"/>
      <c r="AN2831" s="500"/>
      <c r="AO2831" s="500"/>
      <c r="AP2831" s="500"/>
    </row>
    <row r="2832" spans="1:42" ht="16.5" customHeight="1">
      <c r="A2832" s="439"/>
      <c r="B2832" s="439"/>
      <c r="C2832" s="439"/>
      <c r="D2832" s="439"/>
      <c r="E2832" s="439"/>
      <c r="F2832" s="439"/>
      <c r="G2832" s="451" t="s">
        <v>3406</v>
      </c>
      <c r="Z2832" s="500"/>
      <c r="AA2832" s="500"/>
      <c r="AB2832" s="500"/>
      <c r="AC2832" s="500"/>
      <c r="AD2832" s="500"/>
      <c r="AE2832" s="500"/>
      <c r="AF2832" s="500"/>
      <c r="AG2832" s="500"/>
      <c r="AH2832" s="500"/>
      <c r="AI2832" s="500"/>
      <c r="AJ2832" s="500"/>
      <c r="AK2832" s="500"/>
      <c r="AL2832" s="500"/>
      <c r="AM2832" s="500"/>
      <c r="AN2832" s="500"/>
      <c r="AO2832" s="500"/>
      <c r="AP2832" s="500"/>
    </row>
    <row r="2833" spans="1:42" ht="16.5" customHeight="1">
      <c r="A2833" s="439"/>
      <c r="B2833" s="439"/>
      <c r="C2833" s="439"/>
      <c r="D2833" s="439"/>
      <c r="E2833" s="439"/>
      <c r="F2833" s="439"/>
      <c r="G2833" s="451" t="s">
        <v>3406</v>
      </c>
      <c r="Z2833" s="500"/>
      <c r="AA2833" s="500"/>
      <c r="AB2833" s="500"/>
      <c r="AC2833" s="500"/>
      <c r="AD2833" s="500"/>
      <c r="AE2833" s="500"/>
      <c r="AF2833" s="500"/>
      <c r="AG2833" s="500"/>
      <c r="AH2833" s="500"/>
      <c r="AI2833" s="500"/>
      <c r="AJ2833" s="500"/>
      <c r="AK2833" s="500"/>
      <c r="AL2833" s="500"/>
      <c r="AM2833" s="500"/>
      <c r="AN2833" s="500"/>
      <c r="AO2833" s="500"/>
      <c r="AP2833" s="500"/>
    </row>
    <row r="2834" spans="1:42" ht="16.5" customHeight="1">
      <c r="A2834" s="434" t="s">
        <v>3504</v>
      </c>
      <c r="B2834" s="505" t="str">
        <f>"  유기질비료 수목이식·식재용 : "&amp;TEXT(I2834,"#,##0"&amp;IF(I2834&lt;&gt;INT(I2834),".###",""))&amp;" * "&amp;AA2834&amp;" KG   = "&amp;TEXT(C2834,"#,##0.0")&amp;""</f>
        <v xml:space="preserve">  유기질비료 수목이식·식재용 : 500 * 10 KG   = 5,000.0</v>
      </c>
      <c r="C2834" s="506">
        <f>E2834+D2834+F2834</f>
        <v>5000</v>
      </c>
      <c r="D2834" s="506">
        <f>IF(H2834=0,0,ROUNDDOWN(J2834*H2834,1))</f>
        <v>0</v>
      </c>
      <c r="E2834" s="506">
        <f>IF(H2834=0,0,ROUNDDOWN(K2834*H2834,1))</f>
        <v>5000</v>
      </c>
      <c r="F2834" s="506">
        <f>IF(H2834=0,0,ROUNDDOWN(L2834*H2834,1))</f>
        <v>0</v>
      </c>
      <c r="G2834" s="451" t="s">
        <v>3631</v>
      </c>
      <c r="H2834" s="507">
        <f>ROUNDUP(AC2834,14-LEN(ABS(INT(AC2834))))</f>
        <v>10</v>
      </c>
      <c r="I2834" s="508">
        <f>K2834+J2834+L2834</f>
        <v>500</v>
      </c>
      <c r="K2834" s="509">
        <f>재료비목록표!E78</f>
        <v>500</v>
      </c>
      <c r="M2834" s="501" t="s">
        <v>3506</v>
      </c>
      <c r="N2834" s="501" t="s">
        <v>3416</v>
      </c>
      <c r="X2834" s="510" t="str">
        <f>재료비목록표!B78&amp;" / "&amp;재료비목록표!C78</f>
        <v>유기질비료 / 수목이식·식재용</v>
      </c>
      <c r="Y2834" s="433" t="str">
        <f ca="1">HYPERLINK("#"&amp;재료비목록표!G2&amp;"!A"&amp;ROW(재료비목록표!A78),"M01159 →")</f>
        <v>M01159 →</v>
      </c>
      <c r="Z2834" s="501" t="s">
        <v>3500</v>
      </c>
      <c r="AA2834" s="515">
        <v>10</v>
      </c>
      <c r="AB2834" s="501" t="s">
        <v>3418</v>
      </c>
      <c r="AC2834" s="512">
        <f>1*AA2834</f>
        <v>10</v>
      </c>
      <c r="AD2834" s="500"/>
      <c r="AE2834" s="500"/>
      <c r="AF2834" s="500"/>
      <c r="AG2834" s="500"/>
      <c r="AH2834" s="500"/>
      <c r="AI2834" s="500"/>
      <c r="AJ2834" s="500"/>
      <c r="AK2834" s="500"/>
      <c r="AL2834" s="500"/>
      <c r="AM2834" s="500"/>
      <c r="AN2834" s="500"/>
      <c r="AO2834" s="500"/>
      <c r="AP2834" s="500"/>
    </row>
    <row r="2835" spans="1:42" ht="16.5" customHeight="1">
      <c r="A2835" s="439"/>
      <c r="B2835" s="439"/>
      <c r="C2835" s="439"/>
      <c r="D2835" s="439"/>
      <c r="E2835" s="439"/>
      <c r="F2835" s="439"/>
      <c r="G2835" s="451" t="s">
        <v>3406</v>
      </c>
      <c r="Z2835" s="500"/>
      <c r="AA2835" s="500"/>
      <c r="AB2835" s="500"/>
      <c r="AC2835" s="500"/>
      <c r="AD2835" s="500"/>
      <c r="AE2835" s="500"/>
      <c r="AF2835" s="500"/>
      <c r="AG2835" s="500"/>
      <c r="AH2835" s="500"/>
      <c r="AI2835" s="500"/>
      <c r="AJ2835" s="500"/>
      <c r="AK2835" s="500"/>
      <c r="AL2835" s="500"/>
      <c r="AM2835" s="500"/>
      <c r="AN2835" s="500"/>
      <c r="AO2835" s="500"/>
      <c r="AP2835" s="500"/>
    </row>
    <row r="2836" spans="1:42" ht="16.5" customHeight="1">
      <c r="A2836" s="434"/>
      <c r="B2836" s="437" t="s">
        <v>3419</v>
      </c>
      <c r="C2836" s="513">
        <f>E2836+D2836+F2836</f>
        <v>12300</v>
      </c>
      <c r="D2836" s="513">
        <f>SUMIF(N2827:N2835,M2836,D2827:D2835)</f>
        <v>0</v>
      </c>
      <c r="E2836" s="513">
        <f>SUMIF(N2827:N2835,M2836,E2827:E2835)</f>
        <v>12300</v>
      </c>
      <c r="F2836" s="513">
        <f>SUMIF(N2827:N2835,M2836,F2827:F2835)</f>
        <v>0</v>
      </c>
      <c r="G2836" s="451" t="s">
        <v>3439</v>
      </c>
      <c r="M2836" s="501" t="s">
        <v>3416</v>
      </c>
      <c r="N2836" s="501" t="s">
        <v>3421</v>
      </c>
      <c r="Z2836" s="500"/>
      <c r="AA2836" s="500"/>
      <c r="AB2836" s="500"/>
      <c r="AC2836" s="500"/>
      <c r="AD2836" s="500"/>
      <c r="AE2836" s="500"/>
      <c r="AF2836" s="500"/>
      <c r="AG2836" s="500"/>
      <c r="AH2836" s="500"/>
      <c r="AI2836" s="500"/>
      <c r="AJ2836" s="500"/>
      <c r="AK2836" s="500"/>
      <c r="AL2836" s="500"/>
      <c r="AM2836" s="500"/>
      <c r="AN2836" s="500"/>
      <c r="AO2836" s="500"/>
      <c r="AP2836" s="500"/>
    </row>
    <row r="2837" spans="1:42" ht="16.5" customHeight="1">
      <c r="A2837" s="439"/>
      <c r="B2837" s="439"/>
      <c r="C2837" s="504"/>
      <c r="D2837" s="504"/>
      <c r="E2837" s="504"/>
      <c r="F2837" s="504"/>
      <c r="G2837" s="451" t="s">
        <v>3406</v>
      </c>
      <c r="Z2837" s="500"/>
      <c r="AA2837" s="500"/>
      <c r="AB2837" s="500"/>
      <c r="AC2837" s="500"/>
      <c r="AD2837" s="500"/>
      <c r="AE2837" s="500"/>
      <c r="AF2837" s="500"/>
      <c r="AG2837" s="500"/>
      <c r="AH2837" s="500"/>
      <c r="AI2837" s="500"/>
      <c r="AJ2837" s="500"/>
      <c r="AK2837" s="500"/>
      <c r="AL2837" s="500"/>
      <c r="AM2837" s="500"/>
      <c r="AN2837" s="500"/>
      <c r="AO2837" s="500"/>
      <c r="AP2837" s="500"/>
    </row>
    <row r="2838" spans="1:42" ht="16.5" customHeight="1">
      <c r="A2838" s="434"/>
      <c r="B2838" s="505" t="str">
        <f>"  산지할증 : "&amp;TEXT(I2838,"#,##0.0")&amp;" * "&amp;AA2838&amp;" %  = "&amp;TEXT(C2838,"#,##0.0")&amp;""</f>
        <v xml:space="preserve">  산지할증 : 42,831.7 * 25 %  = 10,707.9</v>
      </c>
      <c r="C2838" s="506">
        <f>E2838+D2838+F2838</f>
        <v>10707.9</v>
      </c>
      <c r="D2838" s="506">
        <f>IF(H2838=0,0,ROUNDDOWN(J2838*H2838/100,1))</f>
        <v>10707.9</v>
      </c>
      <c r="E2838" s="506">
        <f>IF(H2838=0,0,ROUNDDOWN(K2838*H2838/100,1))</f>
        <v>0</v>
      </c>
      <c r="F2838" s="506">
        <f>IF(H2838=0,0,ROUNDDOWN(L2838*H2838/100,1))</f>
        <v>0</v>
      </c>
      <c r="G2838" s="451" t="s">
        <v>5592</v>
      </c>
      <c r="H2838" s="507">
        <f>ROUNDUP(AC2838,14-LEN(ABS(INT(AC2838))))</f>
        <v>25</v>
      </c>
      <c r="I2838" s="508">
        <f>K2838+J2838+L2838</f>
        <v>42831.7</v>
      </c>
      <c r="J2838" s="508">
        <f>D2826+D2836+SUMIF(N2837:N2837,N2838,D2837:D2837)</f>
        <v>42831.7</v>
      </c>
      <c r="K2838" s="456">
        <v>0</v>
      </c>
      <c r="L2838" s="456">
        <v>0</v>
      </c>
      <c r="M2838" s="501" t="s">
        <v>5605</v>
      </c>
      <c r="N2838" s="501" t="s">
        <v>3416</v>
      </c>
      <c r="Z2838" s="501" t="s">
        <v>3500</v>
      </c>
      <c r="AA2838" s="515">
        <v>25</v>
      </c>
      <c r="AB2838" s="501" t="s">
        <v>3418</v>
      </c>
      <c r="AC2838" s="512">
        <f>1*AA2838</f>
        <v>25</v>
      </c>
      <c r="AD2838" s="500"/>
      <c r="AE2838" s="500"/>
      <c r="AF2838" s="500"/>
      <c r="AG2838" s="500"/>
      <c r="AH2838" s="500"/>
      <c r="AI2838" s="500"/>
      <c r="AJ2838" s="500"/>
      <c r="AK2838" s="500"/>
      <c r="AL2838" s="500"/>
      <c r="AM2838" s="500"/>
      <c r="AN2838" s="500"/>
      <c r="AO2838" s="500"/>
      <c r="AP2838" s="500"/>
    </row>
    <row r="2839" spans="1:42" ht="16.5" customHeight="1">
      <c r="A2839" s="439"/>
      <c r="B2839" s="439"/>
      <c r="C2839" s="439"/>
      <c r="D2839" s="439"/>
      <c r="E2839" s="439"/>
      <c r="F2839" s="439"/>
      <c r="G2839" s="451" t="s">
        <v>3406</v>
      </c>
      <c r="Z2839" s="500"/>
      <c r="AA2839" s="500"/>
      <c r="AB2839" s="500"/>
      <c r="AC2839" s="500"/>
      <c r="AD2839" s="500"/>
      <c r="AE2839" s="500"/>
      <c r="AF2839" s="500"/>
      <c r="AG2839" s="500"/>
      <c r="AH2839" s="500"/>
      <c r="AI2839" s="500"/>
      <c r="AJ2839" s="500"/>
      <c r="AK2839" s="500"/>
      <c r="AL2839" s="500"/>
      <c r="AM2839" s="500"/>
      <c r="AN2839" s="500"/>
      <c r="AO2839" s="500"/>
      <c r="AP2839" s="500"/>
    </row>
    <row r="2840" spans="1:42" ht="16.5" customHeight="1">
      <c r="A2840" s="434"/>
      <c r="B2840" s="437" t="s">
        <v>3419</v>
      </c>
      <c r="C2840" s="513">
        <f>E2840+D2840+F2840</f>
        <v>10707.9</v>
      </c>
      <c r="D2840" s="513">
        <f>SUMIF(N2837:N2839,M2840,D2837:D2839)</f>
        <v>10707.9</v>
      </c>
      <c r="E2840" s="513">
        <f>SUMIF(N2837:N2839,M2840,E2837:E2839)</f>
        <v>0</v>
      </c>
      <c r="F2840" s="513">
        <f>SUMIF(N2837:N2839,M2840,F2837:F2839)</f>
        <v>0</v>
      </c>
      <c r="G2840" s="451" t="s">
        <v>3439</v>
      </c>
      <c r="M2840" s="501" t="s">
        <v>3416</v>
      </c>
      <c r="N2840" s="501" t="s">
        <v>3421</v>
      </c>
      <c r="Z2840" s="500"/>
      <c r="AA2840" s="500"/>
      <c r="AB2840" s="500"/>
      <c r="AC2840" s="500"/>
      <c r="AD2840" s="500"/>
      <c r="AE2840" s="500"/>
      <c r="AF2840" s="500"/>
      <c r="AG2840" s="500"/>
      <c r="AH2840" s="500"/>
      <c r="AI2840" s="500"/>
      <c r="AJ2840" s="500"/>
      <c r="AK2840" s="500"/>
      <c r="AL2840" s="500"/>
      <c r="AM2840" s="500"/>
      <c r="AN2840" s="500"/>
      <c r="AO2840" s="500"/>
      <c r="AP2840" s="500"/>
    </row>
    <row r="2841" spans="1:42" ht="16.5" customHeight="1">
      <c r="A2841" s="439"/>
      <c r="B2841" s="439"/>
      <c r="C2841" s="504"/>
      <c r="D2841" s="504"/>
      <c r="E2841" s="504"/>
      <c r="F2841" s="504"/>
      <c r="G2841" s="451" t="s">
        <v>3406</v>
      </c>
      <c r="Z2841" s="500"/>
      <c r="AA2841" s="500"/>
      <c r="AB2841" s="500"/>
      <c r="AC2841" s="500"/>
      <c r="AD2841" s="500"/>
      <c r="AE2841" s="500"/>
      <c r="AF2841" s="500"/>
      <c r="AG2841" s="500"/>
      <c r="AH2841" s="500"/>
      <c r="AI2841" s="500"/>
      <c r="AJ2841" s="500"/>
      <c r="AK2841" s="500"/>
      <c r="AL2841" s="500"/>
      <c r="AM2841" s="500"/>
      <c r="AN2841" s="500"/>
      <c r="AO2841" s="500"/>
      <c r="AP2841" s="500"/>
    </row>
    <row r="2842" spans="1:42" ht="16.5" customHeight="1">
      <c r="A2842" s="434"/>
      <c r="B2842" s="437" t="s">
        <v>3440</v>
      </c>
      <c r="C2842" s="513">
        <f>E2842+D2842+F2842</f>
        <v>65839.600000000006</v>
      </c>
      <c r="D2842" s="513">
        <f>SUMIF(N2807:N2841,M2842,D2807:D2841)</f>
        <v>53539.6</v>
      </c>
      <c r="E2842" s="513">
        <f>SUMIF(N2807:N2841,M2842,E2807:E2841)</f>
        <v>12300</v>
      </c>
      <c r="F2842" s="513">
        <f>SUMIF(N2807:N2841,M2842,F2807:F2841)</f>
        <v>0</v>
      </c>
      <c r="G2842" s="451" t="s">
        <v>3441</v>
      </c>
      <c r="M2842" s="501" t="s">
        <v>3421</v>
      </c>
      <c r="N2842" s="501" t="s">
        <v>2354</v>
      </c>
      <c r="Z2842" s="500"/>
      <c r="AA2842" s="500"/>
      <c r="AB2842" s="500"/>
      <c r="AC2842" s="500"/>
      <c r="AD2842" s="500"/>
      <c r="AE2842" s="500"/>
      <c r="AF2842" s="500"/>
      <c r="AG2842" s="500"/>
      <c r="AH2842" s="500"/>
      <c r="AI2842" s="500"/>
      <c r="AJ2842" s="500"/>
      <c r="AK2842" s="500"/>
      <c r="AL2842" s="500"/>
      <c r="AM2842" s="500"/>
      <c r="AN2842" s="500"/>
      <c r="AO2842" s="500"/>
      <c r="AP2842" s="500"/>
    </row>
    <row r="2843" spans="1:42" ht="16.5" customHeight="1">
      <c r="A2843" s="439"/>
      <c r="B2843" s="439"/>
      <c r="C2843" s="504"/>
      <c r="D2843" s="504"/>
      <c r="E2843" s="504"/>
      <c r="F2843" s="504"/>
      <c r="G2843" s="451" t="s">
        <v>3413</v>
      </c>
      <c r="Z2843" s="500"/>
      <c r="AA2843" s="500"/>
      <c r="AB2843" s="500"/>
      <c r="AC2843" s="500"/>
      <c r="AD2843" s="500"/>
      <c r="AE2843" s="500"/>
      <c r="AF2843" s="500"/>
      <c r="AG2843" s="500"/>
      <c r="AH2843" s="500"/>
      <c r="AI2843" s="500"/>
      <c r="AJ2843" s="500"/>
      <c r="AK2843" s="500"/>
      <c r="AL2843" s="500"/>
      <c r="AM2843" s="500"/>
      <c r="AN2843" s="500"/>
      <c r="AO2843" s="500"/>
      <c r="AP2843" s="500"/>
    </row>
    <row r="2844" spans="1:42" ht="16.5" customHeight="1">
      <c r="A2844" s="439"/>
      <c r="B2844" s="439"/>
      <c r="C2844" s="439"/>
      <c r="D2844" s="439"/>
      <c r="E2844" s="439"/>
      <c r="F2844" s="439"/>
      <c r="Z2844" s="500"/>
      <c r="AA2844" s="500"/>
      <c r="AB2844" s="500"/>
      <c r="AC2844" s="500"/>
      <c r="AD2844" s="500"/>
      <c r="AE2844" s="500"/>
      <c r="AF2844" s="500"/>
      <c r="AG2844" s="500"/>
      <c r="AH2844" s="500"/>
      <c r="AI2844" s="500"/>
      <c r="AJ2844" s="500"/>
      <c r="AK2844" s="500"/>
      <c r="AL2844" s="500"/>
      <c r="AM2844" s="500"/>
      <c r="AN2844" s="500"/>
      <c r="AO2844" s="500"/>
      <c r="AP2844" s="500"/>
    </row>
    <row r="2845" spans="1:42" ht="16.5" customHeight="1">
      <c r="A2845" s="439"/>
      <c r="B2845" s="439"/>
      <c r="C2845" s="439"/>
      <c r="D2845" s="439"/>
      <c r="E2845" s="439"/>
      <c r="F2845" s="439"/>
      <c r="Z2845" s="500"/>
      <c r="AA2845" s="500"/>
      <c r="AB2845" s="500"/>
      <c r="AC2845" s="500"/>
      <c r="AD2845" s="500"/>
      <c r="AE2845" s="500"/>
      <c r="AF2845" s="500"/>
      <c r="AG2845" s="500"/>
      <c r="AH2845" s="500"/>
      <c r="AI2845" s="500"/>
      <c r="AJ2845" s="500"/>
      <c r="AK2845" s="500"/>
      <c r="AL2845" s="500"/>
      <c r="AM2845" s="500"/>
      <c r="AN2845" s="500"/>
      <c r="AO2845" s="500"/>
      <c r="AP2845" s="500"/>
    </row>
    <row r="2846" spans="1:42" ht="16.5" customHeight="1">
      <c r="A2846" s="439"/>
      <c r="B2846" s="439"/>
      <c r="C2846" s="439"/>
      <c r="D2846" s="439"/>
      <c r="E2846" s="439"/>
      <c r="F2846" s="439"/>
      <c r="Z2846" s="500"/>
      <c r="AA2846" s="500"/>
      <c r="AB2846" s="500"/>
      <c r="AC2846" s="500"/>
      <c r="AD2846" s="500"/>
      <c r="AE2846" s="500"/>
      <c r="AF2846" s="500"/>
      <c r="AG2846" s="500"/>
      <c r="AH2846" s="500"/>
      <c r="AI2846" s="500"/>
      <c r="AJ2846" s="500"/>
      <c r="AK2846" s="500"/>
      <c r="AL2846" s="500"/>
      <c r="AM2846" s="500"/>
      <c r="AN2846" s="500"/>
      <c r="AO2846" s="500"/>
      <c r="AP2846" s="500"/>
    </row>
    <row r="2847" spans="1:42" ht="16.5" customHeight="1">
      <c r="A2847" s="439"/>
      <c r="B2847" s="439"/>
      <c r="C2847" s="439"/>
      <c r="D2847" s="439"/>
      <c r="E2847" s="439"/>
      <c r="F2847" s="439"/>
      <c r="Z2847" s="500"/>
      <c r="AA2847" s="500"/>
      <c r="AB2847" s="500"/>
      <c r="AC2847" s="500"/>
      <c r="AD2847" s="500"/>
      <c r="AE2847" s="500"/>
      <c r="AF2847" s="500"/>
      <c r="AG2847" s="500"/>
      <c r="AH2847" s="500"/>
      <c r="AI2847" s="500"/>
      <c r="AJ2847" s="500"/>
      <c r="AK2847" s="500"/>
      <c r="AL2847" s="500"/>
      <c r="AM2847" s="500"/>
      <c r="AN2847" s="500"/>
      <c r="AO2847" s="500"/>
      <c r="AP2847" s="500"/>
    </row>
    <row r="2848" spans="1:42" ht="16.5" customHeight="1">
      <c r="A2848" s="439"/>
      <c r="B2848" s="439"/>
      <c r="C2848" s="439"/>
      <c r="D2848" s="439"/>
      <c r="E2848" s="439"/>
      <c r="F2848" s="439"/>
      <c r="Z2848" s="500"/>
      <c r="AA2848" s="500"/>
      <c r="AB2848" s="500"/>
      <c r="AC2848" s="500"/>
      <c r="AD2848" s="500"/>
      <c r="AE2848" s="500"/>
      <c r="AF2848" s="500"/>
      <c r="AG2848" s="500"/>
      <c r="AH2848" s="500"/>
      <c r="AI2848" s="500"/>
      <c r="AJ2848" s="500"/>
      <c r="AK2848" s="500"/>
      <c r="AL2848" s="500"/>
      <c r="AM2848" s="500"/>
      <c r="AN2848" s="500"/>
      <c r="AO2848" s="500"/>
      <c r="AP2848" s="500"/>
    </row>
    <row r="2849" spans="1:42" ht="16.5" customHeight="1">
      <c r="A2849" s="439"/>
      <c r="B2849" s="439"/>
      <c r="C2849" s="439"/>
      <c r="D2849" s="439"/>
      <c r="E2849" s="439"/>
      <c r="F2849" s="439"/>
      <c r="Z2849" s="500"/>
      <c r="AA2849" s="500"/>
      <c r="AB2849" s="500"/>
      <c r="AC2849" s="500"/>
      <c r="AD2849" s="500"/>
      <c r="AE2849" s="500"/>
      <c r="AF2849" s="500"/>
      <c r="AG2849" s="500"/>
      <c r="AH2849" s="500"/>
      <c r="AI2849" s="500"/>
      <c r="AJ2849" s="500"/>
      <c r="AK2849" s="500"/>
      <c r="AL2849" s="500"/>
      <c r="AM2849" s="500"/>
      <c r="AN2849" s="500"/>
      <c r="AO2849" s="500"/>
      <c r="AP2849" s="500"/>
    </row>
    <row r="2850" spans="1:42" ht="16.5" customHeight="1">
      <c r="A2850" s="439"/>
      <c r="B2850" s="439"/>
      <c r="C2850" s="439"/>
      <c r="D2850" s="439"/>
      <c r="E2850" s="439"/>
      <c r="F2850" s="439"/>
      <c r="Z2850" s="500"/>
      <c r="AA2850" s="500"/>
      <c r="AB2850" s="500"/>
      <c r="AC2850" s="500"/>
      <c r="AD2850" s="500"/>
      <c r="AE2850" s="500"/>
      <c r="AF2850" s="500"/>
      <c r="AG2850" s="500"/>
      <c r="AH2850" s="500"/>
      <c r="AI2850" s="500"/>
      <c r="AJ2850" s="500"/>
      <c r="AK2850" s="500"/>
      <c r="AL2850" s="500"/>
      <c r="AM2850" s="500"/>
      <c r="AN2850" s="500"/>
      <c r="AO2850" s="500"/>
      <c r="AP2850" s="500"/>
    </row>
    <row r="2851" spans="1:42" ht="16.5" customHeight="1">
      <c r="A2851" s="439"/>
      <c r="B2851" s="439"/>
      <c r="C2851" s="439"/>
      <c r="D2851" s="439"/>
      <c r="E2851" s="439"/>
      <c r="F2851" s="439"/>
      <c r="Z2851" s="500"/>
      <c r="AA2851" s="500"/>
      <c r="AB2851" s="500"/>
      <c r="AC2851" s="500"/>
      <c r="AD2851" s="500"/>
      <c r="AE2851" s="500"/>
      <c r="AF2851" s="500"/>
      <c r="AG2851" s="500"/>
      <c r="AH2851" s="500"/>
      <c r="AI2851" s="500"/>
      <c r="AJ2851" s="500"/>
      <c r="AK2851" s="500"/>
      <c r="AL2851" s="500"/>
      <c r="AM2851" s="500"/>
      <c r="AN2851" s="500"/>
      <c r="AO2851" s="500"/>
      <c r="AP2851" s="500"/>
    </row>
    <row r="2852" spans="1:42" ht="16.5" customHeight="1">
      <c r="A2852" s="439"/>
      <c r="B2852" s="439"/>
      <c r="C2852" s="439"/>
      <c r="D2852" s="439"/>
      <c r="E2852" s="439"/>
      <c r="F2852" s="439"/>
      <c r="Z2852" s="500"/>
      <c r="AA2852" s="500"/>
      <c r="AB2852" s="500"/>
      <c r="AC2852" s="500"/>
      <c r="AD2852" s="500"/>
      <c r="AE2852" s="500"/>
      <c r="AF2852" s="500"/>
      <c r="AG2852" s="500"/>
      <c r="AH2852" s="500"/>
      <c r="AI2852" s="500"/>
      <c r="AJ2852" s="500"/>
      <c r="AK2852" s="500"/>
      <c r="AL2852" s="500"/>
      <c r="AM2852" s="500"/>
      <c r="AN2852" s="500"/>
      <c r="AO2852" s="500"/>
      <c r="AP2852" s="500"/>
    </row>
    <row r="2853" spans="1:42" ht="16.5" customHeight="1">
      <c r="A2853" s="497"/>
      <c r="B2853" s="497"/>
      <c r="C2853" s="497"/>
      <c r="D2853" s="497"/>
      <c r="E2853" s="497"/>
      <c r="F2853" s="497"/>
      <c r="Z2853" s="500"/>
      <c r="AA2853" s="500"/>
      <c r="AB2853" s="500"/>
      <c r="AC2853" s="500"/>
      <c r="AD2853" s="500"/>
      <c r="AE2853" s="500"/>
      <c r="AF2853" s="500"/>
      <c r="AG2853" s="500"/>
      <c r="AH2853" s="500"/>
      <c r="AI2853" s="500"/>
      <c r="AJ2853" s="500"/>
      <c r="AK2853" s="500"/>
      <c r="AL2853" s="500"/>
      <c r="AM2853" s="500"/>
      <c r="AN2853" s="500"/>
      <c r="AO2853" s="500"/>
      <c r="AP2853" s="500"/>
    </row>
    <row r="2854" spans="1:42" ht="16.5" customHeight="1">
      <c r="A2854" s="616" t="s">
        <v>3487</v>
      </c>
      <c r="B2854" s="605"/>
      <c r="C2854" s="446">
        <f>E2854+D2854+F2854</f>
        <v>65839</v>
      </c>
      <c r="D2854" s="453">
        <f>ROUNDDOWN(SUMIF(N2807:N2843,M2854,D2807:D2843),0)</f>
        <v>53539</v>
      </c>
      <c r="E2854" s="454">
        <f>ROUNDDOWN(SUMIF(N2807:N2843,M2854,E2807:E2843),0)</f>
        <v>12300</v>
      </c>
      <c r="F2854" s="446">
        <f>ROUNDDOWN(SUMIF(N2807:N2843,M2854,F2807:F2843),0)</f>
        <v>0</v>
      </c>
      <c r="M2854" s="501" t="s">
        <v>2354</v>
      </c>
      <c r="Z2854" s="500"/>
      <c r="AA2854" s="500"/>
      <c r="AB2854" s="500"/>
      <c r="AC2854" s="500"/>
      <c r="AD2854" s="500"/>
      <c r="AE2854" s="500"/>
      <c r="AF2854" s="500"/>
      <c r="AG2854" s="500"/>
      <c r="AH2854" s="500"/>
      <c r="AI2854" s="500"/>
      <c r="AJ2854" s="500"/>
      <c r="AK2854" s="500"/>
      <c r="AL2854" s="500"/>
      <c r="AM2854" s="500"/>
      <c r="AN2854" s="500"/>
      <c r="AO2854" s="500"/>
      <c r="AP2854" s="500"/>
    </row>
    <row r="2855" spans="1:42" ht="16.5" customHeight="1">
      <c r="A2855" s="502" t="s">
        <v>3350</v>
      </c>
      <c r="B2855" s="503" t="s">
        <v>5324</v>
      </c>
      <c r="C2855" s="615">
        <f>C2904</f>
        <v>123079</v>
      </c>
      <c r="D2855" s="615">
        <f>D2904</f>
        <v>107079</v>
      </c>
      <c r="E2855" s="615">
        <f>E2904</f>
        <v>16000</v>
      </c>
      <c r="F2855" s="615">
        <f>F2904</f>
        <v>0</v>
      </c>
      <c r="G2855" s="486" t="str">
        <f>HYPERLINK("#G"&amp;ROW(G2894),"_x0005_`BDCOD|D01321_x0007_`POSS|"&amp;ROW(G2857)&amp;"_x0007_`POSE|"&amp;ROW(G2894)&amp;"_x0007_`")</f>
        <v>_x0005_`BDCOD|D01321_x0007_`POSS|2857_x0007_`POSE|2894_x0007_`</v>
      </c>
      <c r="Z2855" s="500"/>
      <c r="AA2855" s="500"/>
      <c r="AB2855" s="500"/>
      <c r="AC2855" s="500"/>
      <c r="AD2855" s="500"/>
      <c r="AE2855" s="500"/>
      <c r="AF2855" s="500"/>
      <c r="AG2855" s="500"/>
      <c r="AH2855" s="500"/>
      <c r="AI2855" s="500"/>
      <c r="AJ2855" s="500"/>
      <c r="AK2855" s="500"/>
      <c r="AL2855" s="500"/>
      <c r="AM2855" s="500"/>
      <c r="AN2855" s="500"/>
      <c r="AO2855" s="500"/>
      <c r="AP2855" s="500"/>
    </row>
    <row r="2856" spans="1:42" ht="16.5" customHeight="1">
      <c r="A2856" s="485"/>
      <c r="B2856" s="503" t="s">
        <v>5611</v>
      </c>
      <c r="C2856" s="593"/>
      <c r="D2856" s="593"/>
      <c r="E2856" s="593"/>
      <c r="F2856" s="593"/>
      <c r="M2856" s="501" t="s">
        <v>5324</v>
      </c>
      <c r="Z2856" s="500"/>
      <c r="AA2856" s="500"/>
      <c r="AB2856" s="500"/>
      <c r="AC2856" s="500"/>
      <c r="AD2856" s="500"/>
      <c r="AE2856" s="500"/>
      <c r="AF2856" s="500"/>
      <c r="AG2856" s="500"/>
      <c r="AH2856" s="500"/>
      <c r="AI2856" s="500"/>
      <c r="AJ2856" s="500"/>
      <c r="AK2856" s="500"/>
      <c r="AL2856" s="500"/>
      <c r="AM2856" s="500"/>
      <c r="AN2856" s="500"/>
      <c r="AO2856" s="500"/>
      <c r="AP2856" s="500"/>
    </row>
    <row r="2857" spans="1:42" ht="16.5" customHeight="1">
      <c r="A2857" s="439"/>
      <c r="B2857" s="439"/>
      <c r="C2857" s="504"/>
      <c r="D2857" s="504"/>
      <c r="E2857" s="504"/>
      <c r="F2857" s="504"/>
      <c r="G2857" s="451" t="s">
        <v>3406</v>
      </c>
      <c r="Z2857" s="500"/>
      <c r="AA2857" s="500"/>
      <c r="AB2857" s="500"/>
      <c r="AC2857" s="500"/>
      <c r="AD2857" s="500"/>
      <c r="AE2857" s="500"/>
      <c r="AF2857" s="500"/>
      <c r="AG2857" s="500"/>
      <c r="AH2857" s="500"/>
      <c r="AI2857" s="500"/>
      <c r="AJ2857" s="500"/>
      <c r="AK2857" s="500"/>
      <c r="AL2857" s="500"/>
      <c r="AM2857" s="500"/>
      <c r="AN2857" s="500"/>
      <c r="AO2857" s="500"/>
      <c r="AP2857" s="500"/>
    </row>
    <row r="2858" spans="1:42" ht="16.5" customHeight="1">
      <c r="A2858" s="434"/>
      <c r="B2858" s="437" t="s">
        <v>3542</v>
      </c>
      <c r="C2858" s="439"/>
      <c r="D2858" s="439"/>
      <c r="E2858" s="439"/>
      <c r="F2858" s="439"/>
      <c r="G2858" s="451" t="s">
        <v>3543</v>
      </c>
      <c r="Z2858" s="500"/>
      <c r="AA2858" s="500"/>
      <c r="AB2858" s="500"/>
      <c r="AC2858" s="500"/>
      <c r="AD2858" s="500"/>
      <c r="AE2858" s="500"/>
      <c r="AF2858" s="500"/>
      <c r="AG2858" s="500"/>
      <c r="AH2858" s="500"/>
      <c r="AI2858" s="500"/>
      <c r="AJ2858" s="500"/>
      <c r="AK2858" s="500"/>
      <c r="AL2858" s="500"/>
      <c r="AM2858" s="500"/>
      <c r="AN2858" s="500"/>
      <c r="AO2858" s="500"/>
      <c r="AP2858" s="500"/>
    </row>
    <row r="2859" spans="1:42" ht="16.5" customHeight="1">
      <c r="A2859" s="439"/>
      <c r="B2859" s="439"/>
      <c r="C2859" s="439"/>
      <c r="D2859" s="439"/>
      <c r="E2859" s="439"/>
      <c r="F2859" s="439"/>
      <c r="G2859" s="451" t="s">
        <v>3406</v>
      </c>
      <c r="Z2859" s="500"/>
      <c r="AA2859" s="500"/>
      <c r="AB2859" s="500"/>
      <c r="AC2859" s="500"/>
      <c r="AD2859" s="500"/>
      <c r="AE2859" s="500"/>
      <c r="AF2859" s="500"/>
      <c r="AG2859" s="500"/>
      <c r="AH2859" s="500"/>
      <c r="AI2859" s="500"/>
      <c r="AJ2859" s="500"/>
      <c r="AK2859" s="500"/>
      <c r="AL2859" s="500"/>
      <c r="AM2859" s="500"/>
      <c r="AN2859" s="500"/>
      <c r="AO2859" s="500"/>
      <c r="AP2859" s="500"/>
    </row>
    <row r="2860" spans="1:42" ht="16.5" customHeight="1">
      <c r="A2860" s="434"/>
      <c r="B2860" s="437" t="s">
        <v>3544</v>
      </c>
      <c r="C2860" s="439"/>
      <c r="D2860" s="439"/>
      <c r="E2860" s="439"/>
      <c r="F2860" s="439"/>
      <c r="G2860" s="451" t="s">
        <v>3545</v>
      </c>
      <c r="Z2860" s="500"/>
      <c r="AA2860" s="500"/>
      <c r="AB2860" s="500"/>
      <c r="AC2860" s="500"/>
      <c r="AD2860" s="500"/>
      <c r="AE2860" s="500"/>
      <c r="AF2860" s="500"/>
      <c r="AG2860" s="500"/>
      <c r="AH2860" s="500"/>
      <c r="AI2860" s="500"/>
      <c r="AJ2860" s="500"/>
      <c r="AK2860" s="500"/>
      <c r="AL2860" s="500"/>
      <c r="AM2860" s="500"/>
      <c r="AN2860" s="500"/>
      <c r="AO2860" s="500"/>
      <c r="AP2860" s="500"/>
    </row>
    <row r="2861" spans="1:42" ht="16.5" customHeight="1">
      <c r="A2861" s="439"/>
      <c r="B2861" s="439"/>
      <c r="C2861" s="439"/>
      <c r="D2861" s="439"/>
      <c r="E2861" s="439"/>
      <c r="F2861" s="439"/>
      <c r="G2861" s="451" t="s">
        <v>3406</v>
      </c>
      <c r="Z2861" s="500"/>
      <c r="AA2861" s="500"/>
      <c r="AB2861" s="500"/>
      <c r="AC2861" s="500"/>
      <c r="AD2861" s="500"/>
      <c r="AE2861" s="500"/>
      <c r="AF2861" s="500"/>
      <c r="AG2861" s="500"/>
      <c r="AH2861" s="500"/>
      <c r="AI2861" s="500"/>
      <c r="AJ2861" s="500"/>
      <c r="AK2861" s="500"/>
      <c r="AL2861" s="500"/>
      <c r="AM2861" s="500"/>
      <c r="AN2861" s="500"/>
      <c r="AO2861" s="500"/>
      <c r="AP2861" s="500"/>
    </row>
    <row r="2862" spans="1:42" ht="16.5" customHeight="1">
      <c r="A2862" s="434"/>
      <c r="B2862" s="437" t="str">
        <f>" 일당 작업량 :   Q = "&amp;Z2862&amp;"  주 "</f>
        <v xml:space="preserve"> 일당 작업량 :   Q = 15  주 </v>
      </c>
      <c r="C2862" s="439"/>
      <c r="D2862" s="439"/>
      <c r="E2862" s="439"/>
      <c r="F2862" s="439"/>
      <c r="G2862" s="451" t="s">
        <v>3656</v>
      </c>
      <c r="Z2862" s="515">
        <v>15</v>
      </c>
      <c r="AA2862" s="501" t="s">
        <v>3418</v>
      </c>
      <c r="AB2862" s="512">
        <f>Z2862</f>
        <v>15</v>
      </c>
      <c r="AC2862" s="500"/>
      <c r="AD2862" s="500"/>
      <c r="AE2862" s="500"/>
      <c r="AF2862" s="500"/>
      <c r="AG2862" s="500"/>
      <c r="AH2862" s="500"/>
      <c r="AI2862" s="500"/>
      <c r="AJ2862" s="500"/>
      <c r="AK2862" s="500"/>
      <c r="AL2862" s="500"/>
      <c r="AM2862" s="500"/>
      <c r="AN2862" s="500"/>
      <c r="AO2862" s="500"/>
      <c r="AP2862" s="500"/>
    </row>
    <row r="2863" spans="1:42" ht="16.5" customHeight="1">
      <c r="A2863" s="439"/>
      <c r="B2863" s="439"/>
      <c r="C2863" s="439"/>
      <c r="D2863" s="439"/>
      <c r="E2863" s="439"/>
      <c r="F2863" s="439"/>
      <c r="G2863" s="451" t="s">
        <v>3406</v>
      </c>
      <c r="Z2863" s="500"/>
      <c r="AA2863" s="500"/>
      <c r="AB2863" s="500"/>
      <c r="AC2863" s="500"/>
      <c r="AD2863" s="500"/>
      <c r="AE2863" s="500"/>
      <c r="AF2863" s="500"/>
      <c r="AG2863" s="500"/>
      <c r="AH2863" s="500"/>
      <c r="AI2863" s="500"/>
      <c r="AJ2863" s="500"/>
      <c r="AK2863" s="500"/>
      <c r="AL2863" s="500"/>
      <c r="AM2863" s="500"/>
      <c r="AN2863" s="500"/>
      <c r="AO2863" s="500"/>
      <c r="AP2863" s="500"/>
    </row>
    <row r="2864" spans="1:42" ht="16.5" customHeight="1">
      <c r="A2864" s="434"/>
      <c r="B2864" s="437" t="s">
        <v>3651</v>
      </c>
      <c r="C2864" s="439"/>
      <c r="D2864" s="439"/>
      <c r="E2864" s="439"/>
      <c r="F2864" s="439"/>
      <c r="G2864" s="451" t="s">
        <v>3652</v>
      </c>
      <c r="Z2864" s="500"/>
      <c r="AA2864" s="500"/>
      <c r="AB2864" s="500"/>
      <c r="AC2864" s="500"/>
      <c r="AD2864" s="500"/>
      <c r="AE2864" s="500"/>
      <c r="AF2864" s="500"/>
      <c r="AG2864" s="500"/>
      <c r="AH2864" s="500"/>
      <c r="AI2864" s="500"/>
      <c r="AJ2864" s="500"/>
      <c r="AK2864" s="500"/>
      <c r="AL2864" s="500"/>
      <c r="AM2864" s="500"/>
      <c r="AN2864" s="500"/>
      <c r="AO2864" s="500"/>
      <c r="AP2864" s="500"/>
    </row>
    <row r="2865" spans="1:42" ht="16.5" customHeight="1">
      <c r="A2865" s="439"/>
      <c r="B2865" s="439"/>
      <c r="C2865" s="439"/>
      <c r="D2865" s="439"/>
      <c r="E2865" s="439"/>
      <c r="F2865" s="439"/>
      <c r="G2865" s="451" t="s">
        <v>3406</v>
      </c>
      <c r="Z2865" s="500"/>
      <c r="AA2865" s="500"/>
      <c r="AB2865" s="500"/>
      <c r="AC2865" s="500"/>
      <c r="AD2865" s="500"/>
      <c r="AE2865" s="500"/>
      <c r="AF2865" s="500"/>
      <c r="AG2865" s="500"/>
      <c r="AH2865" s="500"/>
      <c r="AI2865" s="500"/>
      <c r="AJ2865" s="500"/>
      <c r="AK2865" s="500"/>
      <c r="AL2865" s="500"/>
      <c r="AM2865" s="500"/>
      <c r="AN2865" s="500"/>
      <c r="AO2865" s="500"/>
      <c r="AP2865" s="500"/>
    </row>
    <row r="2866" spans="1:42" ht="16.5" customHeight="1">
      <c r="A2866" s="439"/>
      <c r="B2866" s="439"/>
      <c r="C2866" s="439"/>
      <c r="D2866" s="439"/>
      <c r="E2866" s="439"/>
      <c r="F2866" s="439"/>
      <c r="G2866" s="451" t="s">
        <v>3406</v>
      </c>
      <c r="Z2866" s="500"/>
      <c r="AA2866" s="500"/>
      <c r="AB2866" s="500"/>
      <c r="AC2866" s="500"/>
      <c r="AD2866" s="500"/>
      <c r="AE2866" s="500"/>
      <c r="AF2866" s="500"/>
      <c r="AG2866" s="500"/>
      <c r="AH2866" s="500"/>
      <c r="AI2866" s="500"/>
      <c r="AJ2866" s="500"/>
      <c r="AK2866" s="500"/>
      <c r="AL2866" s="500"/>
      <c r="AM2866" s="500"/>
      <c r="AN2866" s="500"/>
      <c r="AO2866" s="500"/>
      <c r="AP2866" s="500"/>
    </row>
    <row r="2867" spans="1:42" ht="16.5" customHeight="1">
      <c r="A2867" s="439"/>
      <c r="B2867" s="439"/>
      <c r="C2867" s="439"/>
      <c r="D2867" s="439"/>
      <c r="E2867" s="439"/>
      <c r="F2867" s="439"/>
      <c r="G2867" s="451" t="s">
        <v>3406</v>
      </c>
      <c r="Z2867" s="500"/>
      <c r="AA2867" s="500"/>
      <c r="AB2867" s="500"/>
      <c r="AC2867" s="500"/>
      <c r="AD2867" s="500"/>
      <c r="AE2867" s="500"/>
      <c r="AF2867" s="500"/>
      <c r="AG2867" s="500"/>
      <c r="AH2867" s="500"/>
      <c r="AI2867" s="500"/>
      <c r="AJ2867" s="500"/>
      <c r="AK2867" s="500"/>
      <c r="AL2867" s="500"/>
      <c r="AM2867" s="500"/>
      <c r="AN2867" s="500"/>
      <c r="AO2867" s="500"/>
      <c r="AP2867" s="500"/>
    </row>
    <row r="2868" spans="1:42" ht="16.5" customHeight="1">
      <c r="A2868" s="439"/>
      <c r="B2868" s="439"/>
      <c r="C2868" s="439"/>
      <c r="D2868" s="439"/>
      <c r="E2868" s="439"/>
      <c r="F2868" s="439"/>
      <c r="G2868" s="451" t="s">
        <v>3406</v>
      </c>
      <c r="Z2868" s="500"/>
      <c r="AA2868" s="500"/>
      <c r="AB2868" s="500"/>
      <c r="AC2868" s="500"/>
      <c r="AD2868" s="500"/>
      <c r="AE2868" s="500"/>
      <c r="AF2868" s="500"/>
      <c r="AG2868" s="500"/>
      <c r="AH2868" s="500"/>
      <c r="AI2868" s="500"/>
      <c r="AJ2868" s="500"/>
      <c r="AK2868" s="500"/>
      <c r="AL2868" s="500"/>
      <c r="AM2868" s="500"/>
      <c r="AN2868" s="500"/>
      <c r="AO2868" s="500"/>
      <c r="AP2868" s="500"/>
    </row>
    <row r="2869" spans="1:42" ht="16.5" customHeight="1">
      <c r="A2869" s="434"/>
      <c r="B2869" s="437" t="s">
        <v>3496</v>
      </c>
      <c r="C2869" s="439"/>
      <c r="D2869" s="439"/>
      <c r="E2869" s="439"/>
      <c r="F2869" s="439"/>
      <c r="G2869" s="451" t="s">
        <v>3497</v>
      </c>
      <c r="Z2869" s="500"/>
      <c r="AA2869" s="500"/>
      <c r="AB2869" s="500"/>
      <c r="AC2869" s="500"/>
      <c r="AD2869" s="500"/>
      <c r="AE2869" s="500"/>
      <c r="AF2869" s="500"/>
      <c r="AG2869" s="500"/>
      <c r="AH2869" s="500"/>
      <c r="AI2869" s="500"/>
      <c r="AJ2869" s="500"/>
      <c r="AK2869" s="500"/>
      <c r="AL2869" s="500"/>
      <c r="AM2869" s="500"/>
      <c r="AN2869" s="500"/>
      <c r="AO2869" s="500"/>
      <c r="AP2869" s="500"/>
    </row>
    <row r="2870" spans="1:42" ht="16.5" customHeight="1">
      <c r="A2870" s="439"/>
      <c r="B2870" s="439"/>
      <c r="C2870" s="439"/>
      <c r="D2870" s="439"/>
      <c r="E2870" s="439"/>
      <c r="F2870" s="439"/>
      <c r="G2870" s="451" t="s">
        <v>3406</v>
      </c>
      <c r="Z2870" s="500"/>
      <c r="AA2870" s="500"/>
      <c r="AB2870" s="500"/>
      <c r="AC2870" s="500"/>
      <c r="AD2870" s="500"/>
      <c r="AE2870" s="500"/>
      <c r="AF2870" s="500"/>
      <c r="AG2870" s="500"/>
      <c r="AH2870" s="500"/>
      <c r="AI2870" s="500"/>
      <c r="AJ2870" s="500"/>
      <c r="AK2870" s="500"/>
      <c r="AL2870" s="500"/>
      <c r="AM2870" s="500"/>
      <c r="AN2870" s="500"/>
      <c r="AO2870" s="500"/>
      <c r="AP2870" s="500"/>
    </row>
    <row r="2871" spans="1:42" ht="16.5" customHeight="1">
      <c r="A2871" s="434" t="s">
        <v>3498</v>
      </c>
      <c r="B2871" s="505" t="str">
        <f>" 조경공 :  "&amp;TEXT(I2871,"#,##0"&amp;IF(I2871&lt;&gt;INT(I2871),".###",""))&amp;" * "&amp;AA2871&amp;" 인  / Q = "&amp;TEXT(C2871,"#,##0.0")&amp;""</f>
        <v xml:space="preserve"> 조경공 :  235,204 * 4 인  / Q = 62,721.0</v>
      </c>
      <c r="C2871" s="506">
        <f>E2871+D2871+F2871</f>
        <v>62721</v>
      </c>
      <c r="D2871" s="506">
        <f>IF(H2871=0,0,ROUNDDOWN(J2871*H2871,1))</f>
        <v>62721</v>
      </c>
      <c r="E2871" s="506">
        <f>IF(H2871=0,0,ROUNDDOWN(K2871*H2871,1))</f>
        <v>0</v>
      </c>
      <c r="F2871" s="506">
        <f>IF(H2871=0,0,ROUNDDOWN(L2871*H2871,1))</f>
        <v>0</v>
      </c>
      <c r="G2871" s="451" t="s">
        <v>3653</v>
      </c>
      <c r="H2871" s="507">
        <f>ROUNDUP(AE2871,14-LEN(ABS(INT(AE2871))))</f>
        <v>0.26666666666669997</v>
      </c>
      <c r="I2871" s="508">
        <f>K2871+J2871+L2871</f>
        <v>235204</v>
      </c>
      <c r="J2871" s="509">
        <f>노무비목록표!E15</f>
        <v>235204</v>
      </c>
      <c r="M2871" s="501" t="s">
        <v>2359</v>
      </c>
      <c r="N2871" s="501" t="s">
        <v>3416</v>
      </c>
      <c r="X2871" s="510" t="str">
        <f>노무비목록표!B15&amp;" / "&amp;노무비목록표!C15</f>
        <v xml:space="preserve">조경공 / </v>
      </c>
      <c r="Y2871" s="433" t="str">
        <f ca="1">HYPERLINK("#"&amp;노무비목록표!G2&amp;"!A"&amp;ROW(노무비목록표!A15),"L00184 →")</f>
        <v>L00184 →</v>
      </c>
      <c r="Z2871" s="501" t="s">
        <v>3500</v>
      </c>
      <c r="AA2871" s="515">
        <v>4</v>
      </c>
      <c r="AB2871" s="501" t="s">
        <v>3428</v>
      </c>
      <c r="AC2871" s="512">
        <f>AB2862</f>
        <v>15</v>
      </c>
      <c r="AD2871" s="501" t="s">
        <v>3418</v>
      </c>
      <c r="AE2871" s="512">
        <f>1*AA2871/AB2862</f>
        <v>0.26666666666666666</v>
      </c>
      <c r="AF2871" s="500"/>
      <c r="AG2871" s="500"/>
      <c r="AH2871" s="500"/>
      <c r="AI2871" s="500"/>
      <c r="AJ2871" s="500"/>
      <c r="AK2871" s="500"/>
      <c r="AL2871" s="500"/>
      <c r="AM2871" s="500"/>
      <c r="AN2871" s="500"/>
      <c r="AO2871" s="500"/>
      <c r="AP2871" s="500"/>
    </row>
    <row r="2872" spans="1:42" ht="16.5" customHeight="1">
      <c r="A2872" s="439"/>
      <c r="B2872" s="439"/>
      <c r="C2872" s="439"/>
      <c r="D2872" s="439"/>
      <c r="E2872" s="439"/>
      <c r="F2872" s="439"/>
      <c r="G2872" s="451" t="s">
        <v>3406</v>
      </c>
      <c r="Z2872" s="500"/>
      <c r="AA2872" s="500"/>
      <c r="AB2872" s="500"/>
      <c r="AC2872" s="500"/>
      <c r="AD2872" s="500"/>
      <c r="AE2872" s="500"/>
      <c r="AF2872" s="500"/>
      <c r="AG2872" s="500"/>
      <c r="AH2872" s="500"/>
      <c r="AI2872" s="500"/>
      <c r="AJ2872" s="500"/>
      <c r="AK2872" s="500"/>
      <c r="AL2872" s="500"/>
      <c r="AM2872" s="500"/>
      <c r="AN2872" s="500"/>
      <c r="AO2872" s="500"/>
      <c r="AP2872" s="500"/>
    </row>
    <row r="2873" spans="1:42" ht="16.5" customHeight="1">
      <c r="A2873" s="439"/>
      <c r="B2873" s="439"/>
      <c r="C2873" s="439"/>
      <c r="D2873" s="439"/>
      <c r="E2873" s="439"/>
      <c r="F2873" s="439"/>
      <c r="G2873" s="451" t="s">
        <v>3406</v>
      </c>
      <c r="Z2873" s="500"/>
      <c r="AA2873" s="500"/>
      <c r="AB2873" s="500"/>
      <c r="AC2873" s="500"/>
      <c r="AD2873" s="500"/>
      <c r="AE2873" s="500"/>
      <c r="AF2873" s="500"/>
      <c r="AG2873" s="500"/>
      <c r="AH2873" s="500"/>
      <c r="AI2873" s="500"/>
      <c r="AJ2873" s="500"/>
      <c r="AK2873" s="500"/>
      <c r="AL2873" s="500"/>
      <c r="AM2873" s="500"/>
      <c r="AN2873" s="500"/>
      <c r="AO2873" s="500"/>
      <c r="AP2873" s="500"/>
    </row>
    <row r="2874" spans="1:42" ht="16.5" customHeight="1">
      <c r="A2874" s="434" t="s">
        <v>3414</v>
      </c>
      <c r="B2874" s="505" t="str">
        <f>" 보통인부 : "&amp;TEXT(I2874,"#,##0"&amp;IF(I2874&lt;&gt;INT(I2874),".###",""))&amp;" * "&amp;AA2874&amp;" 인  / Q = "&amp;TEXT(C2874,"#,##0.0")&amp;""</f>
        <v xml:space="preserve"> 보통인부 : 172,068 * 2 인  / Q = 22,942.4</v>
      </c>
      <c r="C2874" s="506">
        <f>E2874+D2874+F2874</f>
        <v>22942.400000000001</v>
      </c>
      <c r="D2874" s="506">
        <f>IF(H2874=0,0,ROUNDDOWN(J2874*H2874,1))</f>
        <v>22942.400000000001</v>
      </c>
      <c r="E2874" s="506">
        <f>IF(H2874=0,0,ROUNDDOWN(K2874*H2874,1))</f>
        <v>0</v>
      </c>
      <c r="F2874" s="506">
        <f>IF(H2874=0,0,ROUNDDOWN(L2874*H2874,1))</f>
        <v>0</v>
      </c>
      <c r="G2874" s="451" t="s">
        <v>3654</v>
      </c>
      <c r="H2874" s="507">
        <f>ROUNDUP(AE2874,14-LEN(ABS(INT(AE2874))))</f>
        <v>0.1333333333334</v>
      </c>
      <c r="I2874" s="508">
        <f>K2874+J2874+L2874</f>
        <v>172068</v>
      </c>
      <c r="J2874" s="509">
        <f>노무비목록표!E10</f>
        <v>172068</v>
      </c>
      <c r="M2874" s="501" t="s">
        <v>2363</v>
      </c>
      <c r="N2874" s="501" t="s">
        <v>3416</v>
      </c>
      <c r="X2874" s="510" t="str">
        <f>노무비목록표!B10&amp;" / "&amp;노무비목록표!C10</f>
        <v xml:space="preserve">보통인부 / </v>
      </c>
      <c r="Y2874" s="433" t="str">
        <f ca="1">HYPERLINK("#"&amp;노무비목록표!G2&amp;"!A"&amp;ROW(노무비목록표!A10),"L00017 →")</f>
        <v>L00017 →</v>
      </c>
      <c r="Z2874" s="501" t="s">
        <v>3500</v>
      </c>
      <c r="AA2874" s="515">
        <v>2</v>
      </c>
      <c r="AB2874" s="501" t="s">
        <v>3428</v>
      </c>
      <c r="AC2874" s="512">
        <f>AB2862</f>
        <v>15</v>
      </c>
      <c r="AD2874" s="501" t="s">
        <v>3418</v>
      </c>
      <c r="AE2874" s="512">
        <f>1*AA2874/AB2862</f>
        <v>0.13333333333333333</v>
      </c>
      <c r="AF2874" s="500"/>
      <c r="AG2874" s="500"/>
      <c r="AH2874" s="500"/>
      <c r="AI2874" s="500"/>
      <c r="AJ2874" s="500"/>
      <c r="AK2874" s="500"/>
      <c r="AL2874" s="500"/>
      <c r="AM2874" s="500"/>
      <c r="AN2874" s="500"/>
      <c r="AO2874" s="500"/>
      <c r="AP2874" s="500"/>
    </row>
    <row r="2875" spans="1:42" ht="16.5" customHeight="1">
      <c r="A2875" s="439"/>
      <c r="B2875" s="439"/>
      <c r="C2875" s="439"/>
      <c r="D2875" s="439"/>
      <c r="E2875" s="439"/>
      <c r="F2875" s="439"/>
      <c r="G2875" s="451" t="s">
        <v>3406</v>
      </c>
      <c r="Z2875" s="500"/>
      <c r="AA2875" s="500"/>
      <c r="AB2875" s="500"/>
      <c r="AC2875" s="500"/>
      <c r="AD2875" s="500"/>
      <c r="AE2875" s="500"/>
      <c r="AF2875" s="500"/>
      <c r="AG2875" s="500"/>
      <c r="AH2875" s="500"/>
      <c r="AI2875" s="500"/>
      <c r="AJ2875" s="500"/>
      <c r="AK2875" s="500"/>
      <c r="AL2875" s="500"/>
      <c r="AM2875" s="500"/>
      <c r="AN2875" s="500"/>
      <c r="AO2875" s="500"/>
      <c r="AP2875" s="500"/>
    </row>
    <row r="2876" spans="1:42" ht="16.5" customHeight="1">
      <c r="A2876" s="434"/>
      <c r="B2876" s="437" t="s">
        <v>3419</v>
      </c>
      <c r="C2876" s="513">
        <f>E2876+D2876+F2876</f>
        <v>85663.4</v>
      </c>
      <c r="D2876" s="513">
        <f>SUMIF(N2857:N2875,M2876,D2857:D2875)</f>
        <v>85663.4</v>
      </c>
      <c r="E2876" s="513">
        <f>SUMIF(N2857:N2875,M2876,E2857:E2875)</f>
        <v>0</v>
      </c>
      <c r="F2876" s="513">
        <f>SUMIF(N2857:N2875,M2876,F2857:F2875)</f>
        <v>0</v>
      </c>
      <c r="G2876" s="451" t="s">
        <v>3439</v>
      </c>
      <c r="M2876" s="501" t="s">
        <v>3416</v>
      </c>
      <c r="N2876" s="501" t="s">
        <v>3421</v>
      </c>
      <c r="Z2876" s="500"/>
      <c r="AA2876" s="500"/>
      <c r="AB2876" s="500"/>
      <c r="AC2876" s="500"/>
      <c r="AD2876" s="500"/>
      <c r="AE2876" s="500"/>
      <c r="AF2876" s="500"/>
      <c r="AG2876" s="500"/>
      <c r="AH2876" s="500"/>
      <c r="AI2876" s="500"/>
      <c r="AJ2876" s="500"/>
      <c r="AK2876" s="500"/>
      <c r="AL2876" s="500"/>
      <c r="AM2876" s="500"/>
      <c r="AN2876" s="500"/>
      <c r="AO2876" s="500"/>
      <c r="AP2876" s="500"/>
    </row>
    <row r="2877" spans="1:42" ht="16.5" customHeight="1">
      <c r="A2877" s="439"/>
      <c r="B2877" s="439"/>
      <c r="C2877" s="504"/>
      <c r="D2877" s="504"/>
      <c r="E2877" s="504"/>
      <c r="F2877" s="504"/>
      <c r="G2877" s="451" t="s">
        <v>3406</v>
      </c>
      <c r="Z2877" s="500"/>
      <c r="AA2877" s="500"/>
      <c r="AB2877" s="500"/>
      <c r="AC2877" s="500"/>
      <c r="AD2877" s="500"/>
      <c r="AE2877" s="500"/>
      <c r="AF2877" s="500"/>
      <c r="AG2877" s="500"/>
      <c r="AH2877" s="500"/>
      <c r="AI2877" s="500"/>
      <c r="AJ2877" s="500"/>
      <c r="AK2877" s="500"/>
      <c r="AL2877" s="500"/>
      <c r="AM2877" s="500"/>
      <c r="AN2877" s="500"/>
      <c r="AO2877" s="500"/>
      <c r="AP2877" s="500"/>
    </row>
    <row r="2878" spans="1:42" ht="16.5" customHeight="1">
      <c r="A2878" s="439"/>
      <c r="B2878" s="439"/>
      <c r="C2878" s="439"/>
      <c r="D2878" s="439"/>
      <c r="E2878" s="439"/>
      <c r="F2878" s="439"/>
      <c r="G2878" s="451" t="s">
        <v>3406</v>
      </c>
      <c r="Z2878" s="500"/>
      <c r="AA2878" s="500"/>
      <c r="AB2878" s="500"/>
      <c r="AC2878" s="500"/>
      <c r="AD2878" s="500"/>
      <c r="AE2878" s="500"/>
      <c r="AF2878" s="500"/>
      <c r="AG2878" s="500"/>
      <c r="AH2878" s="500"/>
      <c r="AI2878" s="500"/>
      <c r="AJ2878" s="500"/>
      <c r="AK2878" s="500"/>
      <c r="AL2878" s="500"/>
      <c r="AM2878" s="500"/>
      <c r="AN2878" s="500"/>
      <c r="AO2878" s="500"/>
      <c r="AP2878" s="500"/>
    </row>
    <row r="2879" spans="1:42" ht="16.5" customHeight="1">
      <c r="A2879" s="434"/>
      <c r="B2879" s="437" t="s">
        <v>3502</v>
      </c>
      <c r="C2879" s="439"/>
      <c r="D2879" s="439"/>
      <c r="E2879" s="439"/>
      <c r="F2879" s="439"/>
      <c r="G2879" s="451" t="s">
        <v>3503</v>
      </c>
      <c r="Z2879" s="500"/>
      <c r="AA2879" s="500"/>
      <c r="AB2879" s="500"/>
      <c r="AC2879" s="500"/>
      <c r="AD2879" s="500"/>
      <c r="AE2879" s="500"/>
      <c r="AF2879" s="500"/>
      <c r="AG2879" s="500"/>
      <c r="AH2879" s="500"/>
      <c r="AI2879" s="500"/>
      <c r="AJ2879" s="500"/>
      <c r="AK2879" s="500"/>
      <c r="AL2879" s="500"/>
      <c r="AM2879" s="500"/>
      <c r="AN2879" s="500"/>
      <c r="AO2879" s="500"/>
      <c r="AP2879" s="500"/>
    </row>
    <row r="2880" spans="1:42" ht="16.5" customHeight="1">
      <c r="A2880" s="439"/>
      <c r="B2880" s="439"/>
      <c r="C2880" s="439"/>
      <c r="D2880" s="439"/>
      <c r="E2880" s="439"/>
      <c r="F2880" s="439"/>
      <c r="G2880" s="451" t="s">
        <v>3406</v>
      </c>
      <c r="Z2880" s="500"/>
      <c r="AA2880" s="500"/>
      <c r="AB2880" s="500"/>
      <c r="AC2880" s="500"/>
      <c r="AD2880" s="500"/>
      <c r="AE2880" s="500"/>
      <c r="AF2880" s="500"/>
      <c r="AG2880" s="500"/>
      <c r="AH2880" s="500"/>
      <c r="AI2880" s="500"/>
      <c r="AJ2880" s="500"/>
      <c r="AK2880" s="500"/>
      <c r="AL2880" s="500"/>
      <c r="AM2880" s="500"/>
      <c r="AN2880" s="500"/>
      <c r="AO2880" s="500"/>
      <c r="AP2880" s="500"/>
    </row>
    <row r="2881" spans="1:42" ht="16.5" customHeight="1">
      <c r="A2881" s="434" t="s">
        <v>3634</v>
      </c>
      <c r="B2881" s="505" t="str">
        <f>"  지주목 삼발이, L1500 : "&amp;TEXT(I2881,"#,##0"&amp;IF(I2881&lt;&gt;INT(I2881),".###",""))&amp;" * "&amp;AA2881&amp;" 조  = "&amp;TEXT(C2881,"#,##0.0")&amp;""</f>
        <v xml:space="preserve">  지주목 삼발이, L1500 : 11,000 * 1 조  = 11,000.0</v>
      </c>
      <c r="C2881" s="506">
        <f>E2881+D2881+F2881</f>
        <v>11000</v>
      </c>
      <c r="D2881" s="506">
        <f>IF(H2881=0,0,ROUNDDOWN(J2881*H2881,1))</f>
        <v>0</v>
      </c>
      <c r="E2881" s="506">
        <f>IF(H2881=0,0,ROUNDDOWN(K2881*H2881,1))</f>
        <v>11000</v>
      </c>
      <c r="F2881" s="506">
        <f>IF(H2881=0,0,ROUNDDOWN(L2881*H2881,1))</f>
        <v>0</v>
      </c>
      <c r="G2881" s="451" t="s">
        <v>3635</v>
      </c>
      <c r="H2881" s="507">
        <f>ROUNDUP(AC2881,14-LEN(ABS(INT(AC2881))))</f>
        <v>1</v>
      </c>
      <c r="I2881" s="508">
        <f>K2881+J2881+L2881</f>
        <v>11000</v>
      </c>
      <c r="K2881" s="509">
        <f>재료비목록표!E91</f>
        <v>11000</v>
      </c>
      <c r="M2881" s="501" t="s">
        <v>3636</v>
      </c>
      <c r="N2881" s="501" t="s">
        <v>3416</v>
      </c>
      <c r="X2881" s="510" t="str">
        <f>재료비목록표!B91&amp;" / "&amp;재료비목록표!C91</f>
        <v>지주목 / 삼발이, L1500</v>
      </c>
      <c r="Y2881" s="433" t="str">
        <f ca="1">HYPERLINK("#"&amp;재료비목록표!G2&amp;"!A"&amp;ROW(재료비목록표!A91),"M08849 →")</f>
        <v>M08849 →</v>
      </c>
      <c r="Z2881" s="501" t="s">
        <v>3500</v>
      </c>
      <c r="AA2881" s="515">
        <v>1</v>
      </c>
      <c r="AB2881" s="501" t="s">
        <v>3418</v>
      </c>
      <c r="AC2881" s="512">
        <f>1*AA2881</f>
        <v>1</v>
      </c>
      <c r="AD2881" s="500"/>
      <c r="AE2881" s="500"/>
      <c r="AF2881" s="500"/>
      <c r="AG2881" s="500"/>
      <c r="AH2881" s="500"/>
      <c r="AI2881" s="500"/>
      <c r="AJ2881" s="500"/>
      <c r="AK2881" s="500"/>
      <c r="AL2881" s="500"/>
      <c r="AM2881" s="500"/>
      <c r="AN2881" s="500"/>
      <c r="AO2881" s="500"/>
      <c r="AP2881" s="500"/>
    </row>
    <row r="2882" spans="1:42" ht="16.5" customHeight="1">
      <c r="A2882" s="439"/>
      <c r="B2882" s="439"/>
      <c r="C2882" s="439"/>
      <c r="D2882" s="439"/>
      <c r="E2882" s="439"/>
      <c r="F2882" s="439"/>
      <c r="G2882" s="451" t="s">
        <v>3406</v>
      </c>
      <c r="Z2882" s="500"/>
      <c r="AA2882" s="500"/>
      <c r="AB2882" s="500"/>
      <c r="AC2882" s="500"/>
      <c r="AD2882" s="500"/>
      <c r="AE2882" s="500"/>
      <c r="AF2882" s="500"/>
      <c r="AG2882" s="500"/>
      <c r="AH2882" s="500"/>
      <c r="AI2882" s="500"/>
      <c r="AJ2882" s="500"/>
      <c r="AK2882" s="500"/>
      <c r="AL2882" s="500"/>
      <c r="AM2882" s="500"/>
      <c r="AN2882" s="500"/>
      <c r="AO2882" s="500"/>
      <c r="AP2882" s="500"/>
    </row>
    <row r="2883" spans="1:42" ht="16.5" customHeight="1">
      <c r="A2883" s="439"/>
      <c r="B2883" s="439"/>
      <c r="C2883" s="439"/>
      <c r="D2883" s="439"/>
      <c r="E2883" s="439"/>
      <c r="F2883" s="439"/>
      <c r="G2883" s="451" t="s">
        <v>3406</v>
      </c>
      <c r="Z2883" s="500"/>
      <c r="AA2883" s="500"/>
      <c r="AB2883" s="500"/>
      <c r="AC2883" s="500"/>
      <c r="AD2883" s="500"/>
      <c r="AE2883" s="500"/>
      <c r="AF2883" s="500"/>
      <c r="AG2883" s="500"/>
      <c r="AH2883" s="500"/>
      <c r="AI2883" s="500"/>
      <c r="AJ2883" s="500"/>
      <c r="AK2883" s="500"/>
      <c r="AL2883" s="500"/>
      <c r="AM2883" s="500"/>
      <c r="AN2883" s="500"/>
      <c r="AO2883" s="500"/>
      <c r="AP2883" s="500"/>
    </row>
    <row r="2884" spans="1:42" ht="16.5" customHeight="1">
      <c r="A2884" s="439"/>
      <c r="B2884" s="439"/>
      <c r="C2884" s="439"/>
      <c r="D2884" s="439"/>
      <c r="E2884" s="439"/>
      <c r="F2884" s="439"/>
      <c r="G2884" s="451" t="s">
        <v>3406</v>
      </c>
      <c r="Z2884" s="500"/>
      <c r="AA2884" s="500"/>
      <c r="AB2884" s="500"/>
      <c r="AC2884" s="500"/>
      <c r="AD2884" s="500"/>
      <c r="AE2884" s="500"/>
      <c r="AF2884" s="500"/>
      <c r="AG2884" s="500"/>
      <c r="AH2884" s="500"/>
      <c r="AI2884" s="500"/>
      <c r="AJ2884" s="500"/>
      <c r="AK2884" s="500"/>
      <c r="AL2884" s="500"/>
      <c r="AM2884" s="500"/>
      <c r="AN2884" s="500"/>
      <c r="AO2884" s="500"/>
      <c r="AP2884" s="500"/>
    </row>
    <row r="2885" spans="1:42" ht="16.5" customHeight="1">
      <c r="A2885" s="434" t="s">
        <v>3504</v>
      </c>
      <c r="B2885" s="505" t="str">
        <f>"  유기질비료 수목이식·식재용 : "&amp;TEXT(I2885,"#,##0"&amp;IF(I2885&lt;&gt;INT(I2885),".###",""))&amp;" * "&amp;AA2885&amp;" KG   = "&amp;TEXT(C2885,"#,##0.0")&amp;""</f>
        <v xml:space="preserve">  유기질비료 수목이식·식재용 : 500 * 10 KG   = 5,000.0</v>
      </c>
      <c r="C2885" s="506">
        <f>E2885+D2885+F2885</f>
        <v>5000</v>
      </c>
      <c r="D2885" s="506">
        <f>IF(H2885=0,0,ROUNDDOWN(J2885*H2885,1))</f>
        <v>0</v>
      </c>
      <c r="E2885" s="506">
        <f>IF(H2885=0,0,ROUNDDOWN(K2885*H2885,1))</f>
        <v>5000</v>
      </c>
      <c r="F2885" s="506">
        <f>IF(H2885=0,0,ROUNDDOWN(L2885*H2885,1))</f>
        <v>0</v>
      </c>
      <c r="G2885" s="451" t="s">
        <v>3631</v>
      </c>
      <c r="H2885" s="507">
        <f>ROUNDUP(AC2885,14-LEN(ABS(INT(AC2885))))</f>
        <v>10</v>
      </c>
      <c r="I2885" s="508">
        <f>K2885+J2885+L2885</f>
        <v>500</v>
      </c>
      <c r="K2885" s="509">
        <f>재료비목록표!E78</f>
        <v>500</v>
      </c>
      <c r="M2885" s="501" t="s">
        <v>3506</v>
      </c>
      <c r="N2885" s="501" t="s">
        <v>3416</v>
      </c>
      <c r="X2885" s="510" t="str">
        <f>재료비목록표!B78&amp;" / "&amp;재료비목록표!C78</f>
        <v>유기질비료 / 수목이식·식재용</v>
      </c>
      <c r="Y2885" s="433" t="str">
        <f ca="1">HYPERLINK("#"&amp;재료비목록표!G2&amp;"!A"&amp;ROW(재료비목록표!A78),"M01159 →")</f>
        <v>M01159 →</v>
      </c>
      <c r="Z2885" s="501" t="s">
        <v>3500</v>
      </c>
      <c r="AA2885" s="515">
        <v>10</v>
      </c>
      <c r="AB2885" s="501" t="s">
        <v>3418</v>
      </c>
      <c r="AC2885" s="512">
        <f>1*AA2885</f>
        <v>10</v>
      </c>
      <c r="AD2885" s="500"/>
      <c r="AE2885" s="500"/>
      <c r="AF2885" s="500"/>
      <c r="AG2885" s="500"/>
      <c r="AH2885" s="500"/>
      <c r="AI2885" s="500"/>
      <c r="AJ2885" s="500"/>
      <c r="AK2885" s="500"/>
      <c r="AL2885" s="500"/>
      <c r="AM2885" s="500"/>
      <c r="AN2885" s="500"/>
      <c r="AO2885" s="500"/>
      <c r="AP2885" s="500"/>
    </row>
    <row r="2886" spans="1:42" ht="16.5" customHeight="1">
      <c r="A2886" s="439"/>
      <c r="B2886" s="439"/>
      <c r="C2886" s="439"/>
      <c r="D2886" s="439"/>
      <c r="E2886" s="439"/>
      <c r="F2886" s="439"/>
      <c r="G2886" s="451" t="s">
        <v>3406</v>
      </c>
      <c r="Z2886" s="500"/>
      <c r="AA2886" s="500"/>
      <c r="AB2886" s="500"/>
      <c r="AC2886" s="500"/>
      <c r="AD2886" s="500"/>
      <c r="AE2886" s="500"/>
      <c r="AF2886" s="500"/>
      <c r="AG2886" s="500"/>
      <c r="AH2886" s="500"/>
      <c r="AI2886" s="500"/>
      <c r="AJ2886" s="500"/>
      <c r="AK2886" s="500"/>
      <c r="AL2886" s="500"/>
      <c r="AM2886" s="500"/>
      <c r="AN2886" s="500"/>
      <c r="AO2886" s="500"/>
      <c r="AP2886" s="500"/>
    </row>
    <row r="2887" spans="1:42" ht="16.5" customHeight="1">
      <c r="A2887" s="434"/>
      <c r="B2887" s="437" t="s">
        <v>3419</v>
      </c>
      <c r="C2887" s="513">
        <f>E2887+D2887+F2887</f>
        <v>16000</v>
      </c>
      <c r="D2887" s="513">
        <f>SUMIF(N2877:N2886,M2887,D2877:D2886)</f>
        <v>0</v>
      </c>
      <c r="E2887" s="513">
        <f>SUMIF(N2877:N2886,M2887,E2877:E2886)</f>
        <v>16000</v>
      </c>
      <c r="F2887" s="513">
        <f>SUMIF(N2877:N2886,M2887,F2877:F2886)</f>
        <v>0</v>
      </c>
      <c r="G2887" s="451" t="s">
        <v>3439</v>
      </c>
      <c r="M2887" s="501" t="s">
        <v>3416</v>
      </c>
      <c r="N2887" s="501" t="s">
        <v>3421</v>
      </c>
      <c r="Z2887" s="500"/>
      <c r="AA2887" s="500"/>
      <c r="AB2887" s="500"/>
      <c r="AC2887" s="500"/>
      <c r="AD2887" s="500"/>
      <c r="AE2887" s="500"/>
      <c r="AF2887" s="500"/>
      <c r="AG2887" s="500"/>
      <c r="AH2887" s="500"/>
      <c r="AI2887" s="500"/>
      <c r="AJ2887" s="500"/>
      <c r="AK2887" s="500"/>
      <c r="AL2887" s="500"/>
      <c r="AM2887" s="500"/>
      <c r="AN2887" s="500"/>
      <c r="AO2887" s="500"/>
      <c r="AP2887" s="500"/>
    </row>
    <row r="2888" spans="1:42" ht="16.5" customHeight="1">
      <c r="A2888" s="439"/>
      <c r="B2888" s="439"/>
      <c r="C2888" s="504"/>
      <c r="D2888" s="504"/>
      <c r="E2888" s="504"/>
      <c r="F2888" s="504"/>
      <c r="G2888" s="451" t="s">
        <v>3406</v>
      </c>
      <c r="Z2888" s="500"/>
      <c r="AA2888" s="500"/>
      <c r="AB2888" s="500"/>
      <c r="AC2888" s="500"/>
      <c r="AD2888" s="500"/>
      <c r="AE2888" s="500"/>
      <c r="AF2888" s="500"/>
      <c r="AG2888" s="500"/>
      <c r="AH2888" s="500"/>
      <c r="AI2888" s="500"/>
      <c r="AJ2888" s="500"/>
      <c r="AK2888" s="500"/>
      <c r="AL2888" s="500"/>
      <c r="AM2888" s="500"/>
      <c r="AN2888" s="500"/>
      <c r="AO2888" s="500"/>
      <c r="AP2888" s="500"/>
    </row>
    <row r="2889" spans="1:42" ht="16.5" customHeight="1">
      <c r="A2889" s="434"/>
      <c r="B2889" s="505" t="str">
        <f>"  산지할증 : "&amp;TEXT(I2889,"#,##0.0")&amp;" * "&amp;AA2889&amp;" %  = "&amp;TEXT(C2889,"#,##0.0")&amp;""</f>
        <v xml:space="preserve">  산지할증 : 85,663.4 * 25 %  = 21,415.8</v>
      </c>
      <c r="C2889" s="506">
        <f>E2889+D2889+F2889</f>
        <v>21415.8</v>
      </c>
      <c r="D2889" s="506">
        <f>IF(H2889=0,0,ROUNDDOWN(J2889*H2889/100,1))</f>
        <v>21415.8</v>
      </c>
      <c r="E2889" s="506">
        <f>IF(H2889=0,0,ROUNDDOWN(K2889*H2889/100,1))</f>
        <v>0</v>
      </c>
      <c r="F2889" s="506">
        <f>IF(H2889=0,0,ROUNDDOWN(L2889*H2889/100,1))</f>
        <v>0</v>
      </c>
      <c r="G2889" s="451" t="s">
        <v>5592</v>
      </c>
      <c r="H2889" s="507">
        <f>ROUNDUP(AC2889,14-LEN(ABS(INT(AC2889))))</f>
        <v>25</v>
      </c>
      <c r="I2889" s="508">
        <f>K2889+J2889+L2889</f>
        <v>85663.4</v>
      </c>
      <c r="J2889" s="508">
        <f>D2876+D2887+SUMIF(N2888:N2888,N2889,D2888:D2888)</f>
        <v>85663.4</v>
      </c>
      <c r="K2889" s="456">
        <v>0</v>
      </c>
      <c r="L2889" s="456">
        <v>0</v>
      </c>
      <c r="M2889" s="501" t="s">
        <v>5605</v>
      </c>
      <c r="N2889" s="501" t="s">
        <v>3416</v>
      </c>
      <c r="Z2889" s="501" t="s">
        <v>3500</v>
      </c>
      <c r="AA2889" s="515">
        <v>25</v>
      </c>
      <c r="AB2889" s="501" t="s">
        <v>3418</v>
      </c>
      <c r="AC2889" s="512">
        <f>1*AA2889</f>
        <v>25</v>
      </c>
      <c r="AD2889" s="500"/>
      <c r="AE2889" s="500"/>
      <c r="AF2889" s="500"/>
      <c r="AG2889" s="500"/>
      <c r="AH2889" s="500"/>
      <c r="AI2889" s="500"/>
      <c r="AJ2889" s="500"/>
      <c r="AK2889" s="500"/>
      <c r="AL2889" s="500"/>
      <c r="AM2889" s="500"/>
      <c r="AN2889" s="500"/>
      <c r="AO2889" s="500"/>
      <c r="AP2889" s="500"/>
    </row>
    <row r="2890" spans="1:42" ht="16.5" customHeight="1">
      <c r="A2890" s="439"/>
      <c r="B2890" s="439"/>
      <c r="C2890" s="439"/>
      <c r="D2890" s="439"/>
      <c r="E2890" s="439"/>
      <c r="F2890" s="439"/>
      <c r="G2890" s="451" t="s">
        <v>3406</v>
      </c>
      <c r="Z2890" s="500"/>
      <c r="AA2890" s="500"/>
      <c r="AB2890" s="500"/>
      <c r="AC2890" s="500"/>
      <c r="AD2890" s="500"/>
      <c r="AE2890" s="500"/>
      <c r="AF2890" s="500"/>
      <c r="AG2890" s="500"/>
      <c r="AH2890" s="500"/>
      <c r="AI2890" s="500"/>
      <c r="AJ2890" s="500"/>
      <c r="AK2890" s="500"/>
      <c r="AL2890" s="500"/>
      <c r="AM2890" s="500"/>
      <c r="AN2890" s="500"/>
      <c r="AO2890" s="500"/>
      <c r="AP2890" s="500"/>
    </row>
    <row r="2891" spans="1:42" ht="16.5" customHeight="1">
      <c r="A2891" s="434"/>
      <c r="B2891" s="437" t="s">
        <v>3419</v>
      </c>
      <c r="C2891" s="513">
        <f>E2891+D2891+F2891</f>
        <v>21415.8</v>
      </c>
      <c r="D2891" s="513">
        <f>SUMIF(N2888:N2890,M2891,D2888:D2890)</f>
        <v>21415.8</v>
      </c>
      <c r="E2891" s="513">
        <f>SUMIF(N2888:N2890,M2891,E2888:E2890)</f>
        <v>0</v>
      </c>
      <c r="F2891" s="513">
        <f>SUMIF(N2888:N2890,M2891,F2888:F2890)</f>
        <v>0</v>
      </c>
      <c r="G2891" s="451" t="s">
        <v>3439</v>
      </c>
      <c r="M2891" s="501" t="s">
        <v>3416</v>
      </c>
      <c r="N2891" s="501" t="s">
        <v>3421</v>
      </c>
      <c r="Z2891" s="500"/>
      <c r="AA2891" s="500"/>
      <c r="AB2891" s="500"/>
      <c r="AC2891" s="500"/>
      <c r="AD2891" s="500"/>
      <c r="AE2891" s="500"/>
      <c r="AF2891" s="500"/>
      <c r="AG2891" s="500"/>
      <c r="AH2891" s="500"/>
      <c r="AI2891" s="500"/>
      <c r="AJ2891" s="500"/>
      <c r="AK2891" s="500"/>
      <c r="AL2891" s="500"/>
      <c r="AM2891" s="500"/>
      <c r="AN2891" s="500"/>
      <c r="AO2891" s="500"/>
      <c r="AP2891" s="500"/>
    </row>
    <row r="2892" spans="1:42" ht="16.5" customHeight="1">
      <c r="A2892" s="439"/>
      <c r="B2892" s="439"/>
      <c r="C2892" s="504"/>
      <c r="D2892" s="504"/>
      <c r="E2892" s="504"/>
      <c r="F2892" s="504"/>
      <c r="G2892" s="451" t="s">
        <v>3406</v>
      </c>
      <c r="Z2892" s="500"/>
      <c r="AA2892" s="500"/>
      <c r="AB2892" s="500"/>
      <c r="AC2892" s="500"/>
      <c r="AD2892" s="500"/>
      <c r="AE2892" s="500"/>
      <c r="AF2892" s="500"/>
      <c r="AG2892" s="500"/>
      <c r="AH2892" s="500"/>
      <c r="AI2892" s="500"/>
      <c r="AJ2892" s="500"/>
      <c r="AK2892" s="500"/>
      <c r="AL2892" s="500"/>
      <c r="AM2892" s="500"/>
      <c r="AN2892" s="500"/>
      <c r="AO2892" s="500"/>
      <c r="AP2892" s="500"/>
    </row>
    <row r="2893" spans="1:42" ht="16.5" customHeight="1">
      <c r="A2893" s="434"/>
      <c r="B2893" s="437" t="s">
        <v>3440</v>
      </c>
      <c r="C2893" s="513">
        <f>E2893+D2893+F2893</f>
        <v>123079.2</v>
      </c>
      <c r="D2893" s="513">
        <f>SUMIF(N2857:N2892,M2893,D2857:D2892)</f>
        <v>107079.2</v>
      </c>
      <c r="E2893" s="513">
        <f>SUMIF(N2857:N2892,M2893,E2857:E2892)</f>
        <v>16000</v>
      </c>
      <c r="F2893" s="513">
        <f>SUMIF(N2857:N2892,M2893,F2857:F2892)</f>
        <v>0</v>
      </c>
      <c r="G2893" s="451" t="s">
        <v>3441</v>
      </c>
      <c r="M2893" s="501" t="s">
        <v>3421</v>
      </c>
      <c r="N2893" s="501" t="s">
        <v>2354</v>
      </c>
      <c r="Z2893" s="500"/>
      <c r="AA2893" s="500"/>
      <c r="AB2893" s="500"/>
      <c r="AC2893" s="500"/>
      <c r="AD2893" s="500"/>
      <c r="AE2893" s="500"/>
      <c r="AF2893" s="500"/>
      <c r="AG2893" s="500"/>
      <c r="AH2893" s="500"/>
      <c r="AI2893" s="500"/>
      <c r="AJ2893" s="500"/>
      <c r="AK2893" s="500"/>
      <c r="AL2893" s="500"/>
      <c r="AM2893" s="500"/>
      <c r="AN2893" s="500"/>
      <c r="AO2893" s="500"/>
      <c r="AP2893" s="500"/>
    </row>
    <row r="2894" spans="1:42" ht="16.5" customHeight="1">
      <c r="A2894" s="439"/>
      <c r="B2894" s="439"/>
      <c r="C2894" s="504"/>
      <c r="D2894" s="504"/>
      <c r="E2894" s="504"/>
      <c r="F2894" s="504"/>
      <c r="G2894" s="451" t="s">
        <v>3413</v>
      </c>
      <c r="Z2894" s="500"/>
      <c r="AA2894" s="500"/>
      <c r="AB2894" s="500"/>
      <c r="AC2894" s="500"/>
      <c r="AD2894" s="500"/>
      <c r="AE2894" s="500"/>
      <c r="AF2894" s="500"/>
      <c r="AG2894" s="500"/>
      <c r="AH2894" s="500"/>
      <c r="AI2894" s="500"/>
      <c r="AJ2894" s="500"/>
      <c r="AK2894" s="500"/>
      <c r="AL2894" s="500"/>
      <c r="AM2894" s="500"/>
      <c r="AN2894" s="500"/>
      <c r="AO2894" s="500"/>
      <c r="AP2894" s="500"/>
    </row>
    <row r="2895" spans="1:42" ht="16.5" customHeight="1">
      <c r="A2895" s="439"/>
      <c r="B2895" s="439"/>
      <c r="C2895" s="439"/>
      <c r="D2895" s="439"/>
      <c r="E2895" s="439"/>
      <c r="F2895" s="439"/>
      <c r="Z2895" s="500"/>
      <c r="AA2895" s="500"/>
      <c r="AB2895" s="500"/>
      <c r="AC2895" s="500"/>
      <c r="AD2895" s="500"/>
      <c r="AE2895" s="500"/>
      <c r="AF2895" s="500"/>
      <c r="AG2895" s="500"/>
      <c r="AH2895" s="500"/>
      <c r="AI2895" s="500"/>
      <c r="AJ2895" s="500"/>
      <c r="AK2895" s="500"/>
      <c r="AL2895" s="500"/>
      <c r="AM2895" s="500"/>
      <c r="AN2895" s="500"/>
      <c r="AO2895" s="500"/>
      <c r="AP2895" s="500"/>
    </row>
    <row r="2896" spans="1:42" ht="16.5" customHeight="1">
      <c r="A2896" s="439"/>
      <c r="B2896" s="439"/>
      <c r="C2896" s="439"/>
      <c r="D2896" s="439"/>
      <c r="E2896" s="439"/>
      <c r="F2896" s="439"/>
      <c r="Z2896" s="500"/>
      <c r="AA2896" s="500"/>
      <c r="AB2896" s="500"/>
      <c r="AC2896" s="500"/>
      <c r="AD2896" s="500"/>
      <c r="AE2896" s="500"/>
      <c r="AF2896" s="500"/>
      <c r="AG2896" s="500"/>
      <c r="AH2896" s="500"/>
      <c r="AI2896" s="500"/>
      <c r="AJ2896" s="500"/>
      <c r="AK2896" s="500"/>
      <c r="AL2896" s="500"/>
      <c r="AM2896" s="500"/>
      <c r="AN2896" s="500"/>
      <c r="AO2896" s="500"/>
      <c r="AP2896" s="500"/>
    </row>
    <row r="2897" spans="1:42" ht="16.5" customHeight="1">
      <c r="A2897" s="439"/>
      <c r="B2897" s="439"/>
      <c r="C2897" s="439"/>
      <c r="D2897" s="439"/>
      <c r="E2897" s="439"/>
      <c r="F2897" s="439"/>
      <c r="Z2897" s="500"/>
      <c r="AA2897" s="500"/>
      <c r="AB2897" s="500"/>
      <c r="AC2897" s="500"/>
      <c r="AD2897" s="500"/>
      <c r="AE2897" s="500"/>
      <c r="AF2897" s="500"/>
      <c r="AG2897" s="500"/>
      <c r="AH2897" s="500"/>
      <c r="AI2897" s="500"/>
      <c r="AJ2897" s="500"/>
      <c r="AK2897" s="500"/>
      <c r="AL2897" s="500"/>
      <c r="AM2897" s="500"/>
      <c r="AN2897" s="500"/>
      <c r="AO2897" s="500"/>
      <c r="AP2897" s="500"/>
    </row>
    <row r="2898" spans="1:42" ht="16.5" customHeight="1">
      <c r="A2898" s="439"/>
      <c r="B2898" s="439"/>
      <c r="C2898" s="439"/>
      <c r="D2898" s="439"/>
      <c r="E2898" s="439"/>
      <c r="F2898" s="439"/>
      <c r="Z2898" s="500"/>
      <c r="AA2898" s="500"/>
      <c r="AB2898" s="500"/>
      <c r="AC2898" s="500"/>
      <c r="AD2898" s="500"/>
      <c r="AE2898" s="500"/>
      <c r="AF2898" s="500"/>
      <c r="AG2898" s="500"/>
      <c r="AH2898" s="500"/>
      <c r="AI2898" s="500"/>
      <c r="AJ2898" s="500"/>
      <c r="AK2898" s="500"/>
      <c r="AL2898" s="500"/>
      <c r="AM2898" s="500"/>
      <c r="AN2898" s="500"/>
      <c r="AO2898" s="500"/>
      <c r="AP2898" s="500"/>
    </row>
    <row r="2899" spans="1:42" ht="16.5" customHeight="1">
      <c r="A2899" s="439"/>
      <c r="B2899" s="439"/>
      <c r="C2899" s="439"/>
      <c r="D2899" s="439"/>
      <c r="E2899" s="439"/>
      <c r="F2899" s="439"/>
      <c r="Z2899" s="500"/>
      <c r="AA2899" s="500"/>
      <c r="AB2899" s="500"/>
      <c r="AC2899" s="500"/>
      <c r="AD2899" s="500"/>
      <c r="AE2899" s="500"/>
      <c r="AF2899" s="500"/>
      <c r="AG2899" s="500"/>
      <c r="AH2899" s="500"/>
      <c r="AI2899" s="500"/>
      <c r="AJ2899" s="500"/>
      <c r="AK2899" s="500"/>
      <c r="AL2899" s="500"/>
      <c r="AM2899" s="500"/>
      <c r="AN2899" s="500"/>
      <c r="AO2899" s="500"/>
      <c r="AP2899" s="500"/>
    </row>
    <row r="2900" spans="1:42" ht="16.5" customHeight="1">
      <c r="A2900" s="439"/>
      <c r="B2900" s="439"/>
      <c r="C2900" s="439"/>
      <c r="D2900" s="439"/>
      <c r="E2900" s="439"/>
      <c r="F2900" s="439"/>
      <c r="Z2900" s="500"/>
      <c r="AA2900" s="500"/>
      <c r="AB2900" s="500"/>
      <c r="AC2900" s="500"/>
      <c r="AD2900" s="500"/>
      <c r="AE2900" s="500"/>
      <c r="AF2900" s="500"/>
      <c r="AG2900" s="500"/>
      <c r="AH2900" s="500"/>
      <c r="AI2900" s="500"/>
      <c r="AJ2900" s="500"/>
      <c r="AK2900" s="500"/>
      <c r="AL2900" s="500"/>
      <c r="AM2900" s="500"/>
      <c r="AN2900" s="500"/>
      <c r="AO2900" s="500"/>
      <c r="AP2900" s="500"/>
    </row>
    <row r="2901" spans="1:42" ht="16.5" customHeight="1">
      <c r="A2901" s="439"/>
      <c r="B2901" s="439"/>
      <c r="C2901" s="439"/>
      <c r="D2901" s="439"/>
      <c r="E2901" s="439"/>
      <c r="F2901" s="439"/>
      <c r="Z2901" s="500"/>
      <c r="AA2901" s="500"/>
      <c r="AB2901" s="500"/>
      <c r="AC2901" s="500"/>
      <c r="AD2901" s="500"/>
      <c r="AE2901" s="500"/>
      <c r="AF2901" s="500"/>
      <c r="AG2901" s="500"/>
      <c r="AH2901" s="500"/>
      <c r="AI2901" s="500"/>
      <c r="AJ2901" s="500"/>
      <c r="AK2901" s="500"/>
      <c r="AL2901" s="500"/>
      <c r="AM2901" s="500"/>
      <c r="AN2901" s="500"/>
      <c r="AO2901" s="500"/>
      <c r="AP2901" s="500"/>
    </row>
    <row r="2902" spans="1:42" ht="16.5" customHeight="1">
      <c r="A2902" s="439"/>
      <c r="B2902" s="439"/>
      <c r="C2902" s="439"/>
      <c r="D2902" s="439"/>
      <c r="E2902" s="439"/>
      <c r="F2902" s="439"/>
      <c r="Z2902" s="500"/>
      <c r="AA2902" s="500"/>
      <c r="AB2902" s="500"/>
      <c r="AC2902" s="500"/>
      <c r="AD2902" s="500"/>
      <c r="AE2902" s="500"/>
      <c r="AF2902" s="500"/>
      <c r="AG2902" s="500"/>
      <c r="AH2902" s="500"/>
      <c r="AI2902" s="500"/>
      <c r="AJ2902" s="500"/>
      <c r="AK2902" s="500"/>
      <c r="AL2902" s="500"/>
      <c r="AM2902" s="500"/>
      <c r="AN2902" s="500"/>
      <c r="AO2902" s="500"/>
      <c r="AP2902" s="500"/>
    </row>
    <row r="2903" spans="1:42" ht="16.5" customHeight="1">
      <c r="A2903" s="497"/>
      <c r="B2903" s="497"/>
      <c r="C2903" s="497"/>
      <c r="D2903" s="497"/>
      <c r="E2903" s="497"/>
      <c r="F2903" s="497"/>
      <c r="Z2903" s="500"/>
      <c r="AA2903" s="500"/>
      <c r="AB2903" s="500"/>
      <c r="AC2903" s="500"/>
      <c r="AD2903" s="500"/>
      <c r="AE2903" s="500"/>
      <c r="AF2903" s="500"/>
      <c r="AG2903" s="500"/>
      <c r="AH2903" s="500"/>
      <c r="AI2903" s="500"/>
      <c r="AJ2903" s="500"/>
      <c r="AK2903" s="500"/>
      <c r="AL2903" s="500"/>
      <c r="AM2903" s="500"/>
      <c r="AN2903" s="500"/>
      <c r="AO2903" s="500"/>
      <c r="AP2903" s="500"/>
    </row>
    <row r="2904" spans="1:42" ht="16.5" customHeight="1">
      <c r="A2904" s="616" t="s">
        <v>3487</v>
      </c>
      <c r="B2904" s="605"/>
      <c r="C2904" s="446">
        <f>E2904+D2904+F2904</f>
        <v>123079</v>
      </c>
      <c r="D2904" s="453">
        <f>ROUNDDOWN(SUMIF(N2857:N2894,M2904,D2857:D2894),0)</f>
        <v>107079</v>
      </c>
      <c r="E2904" s="454">
        <f>ROUNDDOWN(SUMIF(N2857:N2894,M2904,E2857:E2894),0)</f>
        <v>16000</v>
      </c>
      <c r="F2904" s="446">
        <f>ROUNDDOWN(SUMIF(N2857:N2894,M2904,F2857:F2894),0)</f>
        <v>0</v>
      </c>
      <c r="M2904" s="501" t="s">
        <v>2354</v>
      </c>
      <c r="Z2904" s="500"/>
      <c r="AA2904" s="500"/>
      <c r="AB2904" s="500"/>
      <c r="AC2904" s="500"/>
      <c r="AD2904" s="500"/>
      <c r="AE2904" s="500"/>
      <c r="AF2904" s="500"/>
      <c r="AG2904" s="500"/>
      <c r="AH2904" s="500"/>
      <c r="AI2904" s="500"/>
      <c r="AJ2904" s="500"/>
      <c r="AK2904" s="500"/>
      <c r="AL2904" s="500"/>
      <c r="AM2904" s="500"/>
      <c r="AN2904" s="500"/>
      <c r="AO2904" s="500"/>
      <c r="AP2904" s="500"/>
    </row>
    <row r="2905" spans="1:42" ht="16.5" customHeight="1">
      <c r="A2905" s="502" t="s">
        <v>3351</v>
      </c>
      <c r="B2905" s="503" t="s">
        <v>5336</v>
      </c>
      <c r="C2905" s="615">
        <f>C2954</f>
        <v>49954</v>
      </c>
      <c r="D2905" s="615">
        <f>D2954</f>
        <v>40154</v>
      </c>
      <c r="E2905" s="615">
        <f>E2954</f>
        <v>9800</v>
      </c>
      <c r="F2905" s="615">
        <f>F2954</f>
        <v>0</v>
      </c>
      <c r="G2905" s="486" t="str">
        <f>HYPERLINK("#G"&amp;ROW(G2943),"_x0005_`BDCOD|D01322_x0007_`POSS|"&amp;ROW(G2907)&amp;"_x0007_`POSE|"&amp;ROW(G2943)&amp;"_x0007_`")</f>
        <v>_x0005_`BDCOD|D01322_x0007_`POSS|2907_x0007_`POSE|2943_x0007_`</v>
      </c>
      <c r="Z2905" s="500"/>
      <c r="AA2905" s="500"/>
      <c r="AB2905" s="500"/>
      <c r="AC2905" s="500"/>
      <c r="AD2905" s="500"/>
      <c r="AE2905" s="500"/>
      <c r="AF2905" s="500"/>
      <c r="AG2905" s="500"/>
      <c r="AH2905" s="500"/>
      <c r="AI2905" s="500"/>
      <c r="AJ2905" s="500"/>
      <c r="AK2905" s="500"/>
      <c r="AL2905" s="500"/>
      <c r="AM2905" s="500"/>
      <c r="AN2905" s="500"/>
      <c r="AO2905" s="500"/>
      <c r="AP2905" s="500"/>
    </row>
    <row r="2906" spans="1:42" ht="16.5" customHeight="1">
      <c r="A2906" s="485"/>
      <c r="B2906" s="503" t="s">
        <v>5612</v>
      </c>
      <c r="C2906" s="593"/>
      <c r="D2906" s="593"/>
      <c r="E2906" s="593"/>
      <c r="F2906" s="593"/>
      <c r="M2906" s="501" t="s">
        <v>5336</v>
      </c>
      <c r="Z2906" s="500"/>
      <c r="AA2906" s="500"/>
      <c r="AB2906" s="500"/>
      <c r="AC2906" s="500"/>
      <c r="AD2906" s="500"/>
      <c r="AE2906" s="500"/>
      <c r="AF2906" s="500"/>
      <c r="AG2906" s="500"/>
      <c r="AH2906" s="500"/>
      <c r="AI2906" s="500"/>
      <c r="AJ2906" s="500"/>
      <c r="AK2906" s="500"/>
      <c r="AL2906" s="500"/>
      <c r="AM2906" s="500"/>
      <c r="AN2906" s="500"/>
      <c r="AO2906" s="500"/>
      <c r="AP2906" s="500"/>
    </row>
    <row r="2907" spans="1:42" ht="16.5" customHeight="1">
      <c r="A2907" s="439"/>
      <c r="B2907" s="439"/>
      <c r="C2907" s="504"/>
      <c r="D2907" s="504"/>
      <c r="E2907" s="504"/>
      <c r="F2907" s="504"/>
      <c r="G2907" s="451" t="s">
        <v>3406</v>
      </c>
      <c r="Z2907" s="500"/>
      <c r="AA2907" s="500"/>
      <c r="AB2907" s="500"/>
      <c r="AC2907" s="500"/>
      <c r="AD2907" s="500"/>
      <c r="AE2907" s="500"/>
      <c r="AF2907" s="500"/>
      <c r="AG2907" s="500"/>
      <c r="AH2907" s="500"/>
      <c r="AI2907" s="500"/>
      <c r="AJ2907" s="500"/>
      <c r="AK2907" s="500"/>
      <c r="AL2907" s="500"/>
      <c r="AM2907" s="500"/>
      <c r="AN2907" s="500"/>
      <c r="AO2907" s="500"/>
      <c r="AP2907" s="500"/>
    </row>
    <row r="2908" spans="1:42" ht="16.5" customHeight="1">
      <c r="A2908" s="434"/>
      <c r="B2908" s="437" t="s">
        <v>3640</v>
      </c>
      <c r="C2908" s="439"/>
      <c r="D2908" s="439"/>
      <c r="E2908" s="439"/>
      <c r="F2908" s="439"/>
      <c r="G2908" s="451" t="s">
        <v>3641</v>
      </c>
      <c r="Z2908" s="500"/>
      <c r="AA2908" s="500"/>
      <c r="AB2908" s="500"/>
      <c r="AC2908" s="500"/>
      <c r="AD2908" s="500"/>
      <c r="AE2908" s="500"/>
      <c r="AF2908" s="500"/>
      <c r="AG2908" s="500"/>
      <c r="AH2908" s="500"/>
      <c r="AI2908" s="500"/>
      <c r="AJ2908" s="500"/>
      <c r="AK2908" s="500"/>
      <c r="AL2908" s="500"/>
      <c r="AM2908" s="500"/>
      <c r="AN2908" s="500"/>
      <c r="AO2908" s="500"/>
      <c r="AP2908" s="500"/>
    </row>
    <row r="2909" spans="1:42" ht="16.5" customHeight="1">
      <c r="A2909" s="439"/>
      <c r="B2909" s="439"/>
      <c r="C2909" s="439"/>
      <c r="D2909" s="439"/>
      <c r="E2909" s="439"/>
      <c r="F2909" s="439"/>
      <c r="G2909" s="451" t="s">
        <v>3406</v>
      </c>
      <c r="Z2909" s="500"/>
      <c r="AA2909" s="500"/>
      <c r="AB2909" s="500"/>
      <c r="AC2909" s="500"/>
      <c r="AD2909" s="500"/>
      <c r="AE2909" s="500"/>
      <c r="AF2909" s="500"/>
      <c r="AG2909" s="500"/>
      <c r="AH2909" s="500"/>
      <c r="AI2909" s="500"/>
      <c r="AJ2909" s="500"/>
      <c r="AK2909" s="500"/>
      <c r="AL2909" s="500"/>
      <c r="AM2909" s="500"/>
      <c r="AN2909" s="500"/>
      <c r="AO2909" s="500"/>
      <c r="AP2909" s="500"/>
    </row>
    <row r="2910" spans="1:42" ht="16.5" customHeight="1">
      <c r="A2910" s="434"/>
      <c r="B2910" s="437" t="s">
        <v>3642</v>
      </c>
      <c r="C2910" s="439"/>
      <c r="D2910" s="439"/>
      <c r="E2910" s="439"/>
      <c r="F2910" s="439"/>
      <c r="G2910" s="451" t="s">
        <v>3643</v>
      </c>
      <c r="Z2910" s="500"/>
      <c r="AA2910" s="500"/>
      <c r="AB2910" s="500"/>
      <c r="AC2910" s="500"/>
      <c r="AD2910" s="500"/>
      <c r="AE2910" s="500"/>
      <c r="AF2910" s="500"/>
      <c r="AG2910" s="500"/>
      <c r="AH2910" s="500"/>
      <c r="AI2910" s="500"/>
      <c r="AJ2910" s="500"/>
      <c r="AK2910" s="500"/>
      <c r="AL2910" s="500"/>
      <c r="AM2910" s="500"/>
      <c r="AN2910" s="500"/>
      <c r="AO2910" s="500"/>
      <c r="AP2910" s="500"/>
    </row>
    <row r="2911" spans="1:42" ht="16.5" customHeight="1">
      <c r="A2911" s="439"/>
      <c r="B2911" s="439"/>
      <c r="C2911" s="439"/>
      <c r="D2911" s="439"/>
      <c r="E2911" s="439"/>
      <c r="F2911" s="439"/>
      <c r="G2911" s="451" t="s">
        <v>3406</v>
      </c>
      <c r="Z2911" s="500"/>
      <c r="AA2911" s="500"/>
      <c r="AB2911" s="500"/>
      <c r="AC2911" s="500"/>
      <c r="AD2911" s="500"/>
      <c r="AE2911" s="500"/>
      <c r="AF2911" s="500"/>
      <c r="AG2911" s="500"/>
      <c r="AH2911" s="500"/>
      <c r="AI2911" s="500"/>
      <c r="AJ2911" s="500"/>
      <c r="AK2911" s="500"/>
      <c r="AL2911" s="500"/>
      <c r="AM2911" s="500"/>
      <c r="AN2911" s="500"/>
      <c r="AO2911" s="500"/>
      <c r="AP2911" s="500"/>
    </row>
    <row r="2912" spans="1:42" ht="16.5" customHeight="1">
      <c r="A2912" s="434"/>
      <c r="B2912" s="437" t="str">
        <f>" 일당 작업량 :   Q = "&amp;Z2912&amp;"  주 "</f>
        <v xml:space="preserve"> 일당 작업량 :   Q = 40  주 </v>
      </c>
      <c r="C2912" s="439"/>
      <c r="D2912" s="439"/>
      <c r="E2912" s="439"/>
      <c r="F2912" s="439"/>
      <c r="G2912" s="451" t="s">
        <v>3658</v>
      </c>
      <c r="Z2912" s="515">
        <v>40</v>
      </c>
      <c r="AA2912" s="501" t="s">
        <v>3418</v>
      </c>
      <c r="AB2912" s="512">
        <f>Z2912</f>
        <v>40</v>
      </c>
      <c r="AC2912" s="500"/>
      <c r="AD2912" s="500"/>
      <c r="AE2912" s="500"/>
      <c r="AF2912" s="500"/>
      <c r="AG2912" s="500"/>
      <c r="AH2912" s="500"/>
      <c r="AI2912" s="500"/>
      <c r="AJ2912" s="500"/>
      <c r="AK2912" s="500"/>
      <c r="AL2912" s="500"/>
      <c r="AM2912" s="500"/>
      <c r="AN2912" s="500"/>
      <c r="AO2912" s="500"/>
      <c r="AP2912" s="500"/>
    </row>
    <row r="2913" spans="1:42" ht="16.5" customHeight="1">
      <c r="A2913" s="439"/>
      <c r="B2913" s="439"/>
      <c r="C2913" s="439"/>
      <c r="D2913" s="439"/>
      <c r="E2913" s="439"/>
      <c r="F2913" s="439"/>
      <c r="G2913" s="451" t="s">
        <v>3406</v>
      </c>
      <c r="Z2913" s="500"/>
      <c r="AA2913" s="500"/>
      <c r="AB2913" s="500"/>
      <c r="AC2913" s="500"/>
      <c r="AD2913" s="500"/>
      <c r="AE2913" s="500"/>
      <c r="AF2913" s="500"/>
      <c r="AG2913" s="500"/>
      <c r="AH2913" s="500"/>
      <c r="AI2913" s="500"/>
      <c r="AJ2913" s="500"/>
      <c r="AK2913" s="500"/>
      <c r="AL2913" s="500"/>
      <c r="AM2913" s="500"/>
      <c r="AN2913" s="500"/>
      <c r="AO2913" s="500"/>
      <c r="AP2913" s="500"/>
    </row>
    <row r="2914" spans="1:42" ht="16.5" customHeight="1">
      <c r="A2914" s="434"/>
      <c r="B2914" s="437" t="s">
        <v>3651</v>
      </c>
      <c r="C2914" s="439"/>
      <c r="D2914" s="439"/>
      <c r="E2914" s="439"/>
      <c r="F2914" s="439"/>
      <c r="G2914" s="451" t="s">
        <v>3652</v>
      </c>
      <c r="Z2914" s="500"/>
      <c r="AA2914" s="500"/>
      <c r="AB2914" s="500"/>
      <c r="AC2914" s="500"/>
      <c r="AD2914" s="500"/>
      <c r="AE2914" s="500"/>
      <c r="AF2914" s="500"/>
      <c r="AG2914" s="500"/>
      <c r="AH2914" s="500"/>
      <c r="AI2914" s="500"/>
      <c r="AJ2914" s="500"/>
      <c r="AK2914" s="500"/>
      <c r="AL2914" s="500"/>
      <c r="AM2914" s="500"/>
      <c r="AN2914" s="500"/>
      <c r="AO2914" s="500"/>
      <c r="AP2914" s="500"/>
    </row>
    <row r="2915" spans="1:42" ht="16.5" customHeight="1">
      <c r="A2915" s="439"/>
      <c r="B2915" s="439"/>
      <c r="C2915" s="439"/>
      <c r="D2915" s="439"/>
      <c r="E2915" s="439"/>
      <c r="F2915" s="439"/>
      <c r="G2915" s="451" t="s">
        <v>3406</v>
      </c>
      <c r="Z2915" s="500"/>
      <c r="AA2915" s="500"/>
      <c r="AB2915" s="500"/>
      <c r="AC2915" s="500"/>
      <c r="AD2915" s="500"/>
      <c r="AE2915" s="500"/>
      <c r="AF2915" s="500"/>
      <c r="AG2915" s="500"/>
      <c r="AH2915" s="500"/>
      <c r="AI2915" s="500"/>
      <c r="AJ2915" s="500"/>
      <c r="AK2915" s="500"/>
      <c r="AL2915" s="500"/>
      <c r="AM2915" s="500"/>
      <c r="AN2915" s="500"/>
      <c r="AO2915" s="500"/>
      <c r="AP2915" s="500"/>
    </row>
    <row r="2916" spans="1:42" ht="16.5" customHeight="1">
      <c r="A2916" s="439"/>
      <c r="B2916" s="439"/>
      <c r="C2916" s="439"/>
      <c r="D2916" s="439"/>
      <c r="E2916" s="439"/>
      <c r="F2916" s="439"/>
      <c r="G2916" s="451" t="s">
        <v>3406</v>
      </c>
      <c r="Z2916" s="500"/>
      <c r="AA2916" s="500"/>
      <c r="AB2916" s="500"/>
      <c r="AC2916" s="500"/>
      <c r="AD2916" s="500"/>
      <c r="AE2916" s="500"/>
      <c r="AF2916" s="500"/>
      <c r="AG2916" s="500"/>
      <c r="AH2916" s="500"/>
      <c r="AI2916" s="500"/>
      <c r="AJ2916" s="500"/>
      <c r="AK2916" s="500"/>
      <c r="AL2916" s="500"/>
      <c r="AM2916" s="500"/>
      <c r="AN2916" s="500"/>
      <c r="AO2916" s="500"/>
      <c r="AP2916" s="500"/>
    </row>
    <row r="2917" spans="1:42" ht="16.5" customHeight="1">
      <c r="A2917" s="439"/>
      <c r="B2917" s="439"/>
      <c r="C2917" s="439"/>
      <c r="D2917" s="439"/>
      <c r="E2917" s="439"/>
      <c r="F2917" s="439"/>
      <c r="G2917" s="451" t="s">
        <v>3406</v>
      </c>
      <c r="Z2917" s="500"/>
      <c r="AA2917" s="500"/>
      <c r="AB2917" s="500"/>
      <c r="AC2917" s="500"/>
      <c r="AD2917" s="500"/>
      <c r="AE2917" s="500"/>
      <c r="AF2917" s="500"/>
      <c r="AG2917" s="500"/>
      <c r="AH2917" s="500"/>
      <c r="AI2917" s="500"/>
      <c r="AJ2917" s="500"/>
      <c r="AK2917" s="500"/>
      <c r="AL2917" s="500"/>
      <c r="AM2917" s="500"/>
      <c r="AN2917" s="500"/>
      <c r="AO2917" s="500"/>
      <c r="AP2917" s="500"/>
    </row>
    <row r="2918" spans="1:42" ht="16.5" customHeight="1">
      <c r="A2918" s="439"/>
      <c r="B2918" s="439"/>
      <c r="C2918" s="439"/>
      <c r="D2918" s="439"/>
      <c r="E2918" s="439"/>
      <c r="F2918" s="439"/>
      <c r="G2918" s="451" t="s">
        <v>3406</v>
      </c>
      <c r="Z2918" s="500"/>
      <c r="AA2918" s="500"/>
      <c r="AB2918" s="500"/>
      <c r="AC2918" s="500"/>
      <c r="AD2918" s="500"/>
      <c r="AE2918" s="500"/>
      <c r="AF2918" s="500"/>
      <c r="AG2918" s="500"/>
      <c r="AH2918" s="500"/>
      <c r="AI2918" s="500"/>
      <c r="AJ2918" s="500"/>
      <c r="AK2918" s="500"/>
      <c r="AL2918" s="500"/>
      <c r="AM2918" s="500"/>
      <c r="AN2918" s="500"/>
      <c r="AO2918" s="500"/>
      <c r="AP2918" s="500"/>
    </row>
    <row r="2919" spans="1:42" ht="16.5" customHeight="1">
      <c r="A2919" s="434"/>
      <c r="B2919" s="437" t="s">
        <v>3496</v>
      </c>
      <c r="C2919" s="439"/>
      <c r="D2919" s="439"/>
      <c r="E2919" s="439"/>
      <c r="F2919" s="439"/>
      <c r="G2919" s="451" t="s">
        <v>3497</v>
      </c>
      <c r="Z2919" s="500"/>
      <c r="AA2919" s="500"/>
      <c r="AB2919" s="500"/>
      <c r="AC2919" s="500"/>
      <c r="AD2919" s="500"/>
      <c r="AE2919" s="500"/>
      <c r="AF2919" s="500"/>
      <c r="AG2919" s="500"/>
      <c r="AH2919" s="500"/>
      <c r="AI2919" s="500"/>
      <c r="AJ2919" s="500"/>
      <c r="AK2919" s="500"/>
      <c r="AL2919" s="500"/>
      <c r="AM2919" s="500"/>
      <c r="AN2919" s="500"/>
      <c r="AO2919" s="500"/>
      <c r="AP2919" s="500"/>
    </row>
    <row r="2920" spans="1:42" ht="16.5" customHeight="1">
      <c r="A2920" s="439"/>
      <c r="B2920" s="439"/>
      <c r="C2920" s="439"/>
      <c r="D2920" s="439"/>
      <c r="E2920" s="439"/>
      <c r="F2920" s="439"/>
      <c r="G2920" s="451" t="s">
        <v>3406</v>
      </c>
      <c r="Z2920" s="500"/>
      <c r="AA2920" s="500"/>
      <c r="AB2920" s="500"/>
      <c r="AC2920" s="500"/>
      <c r="AD2920" s="500"/>
      <c r="AE2920" s="500"/>
      <c r="AF2920" s="500"/>
      <c r="AG2920" s="500"/>
      <c r="AH2920" s="500"/>
      <c r="AI2920" s="500"/>
      <c r="AJ2920" s="500"/>
      <c r="AK2920" s="500"/>
      <c r="AL2920" s="500"/>
      <c r="AM2920" s="500"/>
      <c r="AN2920" s="500"/>
      <c r="AO2920" s="500"/>
      <c r="AP2920" s="500"/>
    </row>
    <row r="2921" spans="1:42" ht="16.5" customHeight="1">
      <c r="A2921" s="434" t="s">
        <v>3498</v>
      </c>
      <c r="B2921" s="505" t="str">
        <f>" 조경공 :  "&amp;TEXT(I2921,"#,##0"&amp;IF(I2921&lt;&gt;INT(I2921),".###",""))&amp;" * "&amp;AA2921&amp;" 인  / Q = "&amp;TEXT(C2921,"#,##0.0")&amp;""</f>
        <v xml:space="preserve"> 조경공 :  235,204 * 4 인  / Q = 23,520.4</v>
      </c>
      <c r="C2921" s="506">
        <f>E2921+D2921+F2921</f>
        <v>23520.400000000001</v>
      </c>
      <c r="D2921" s="506">
        <f>IF(H2921=0,0,ROUNDDOWN(J2921*H2921,1))</f>
        <v>23520.400000000001</v>
      </c>
      <c r="E2921" s="506">
        <f>IF(H2921=0,0,ROUNDDOWN(K2921*H2921,1))</f>
        <v>0</v>
      </c>
      <c r="F2921" s="506">
        <f>IF(H2921=0,0,ROUNDDOWN(L2921*H2921,1))</f>
        <v>0</v>
      </c>
      <c r="G2921" s="451" t="s">
        <v>3653</v>
      </c>
      <c r="H2921" s="507">
        <f>ROUNDUP(AE2921,14-LEN(ABS(INT(AE2921))))</f>
        <v>0.1</v>
      </c>
      <c r="I2921" s="508">
        <f>K2921+J2921+L2921</f>
        <v>235204</v>
      </c>
      <c r="J2921" s="509">
        <f>노무비목록표!E15</f>
        <v>235204</v>
      </c>
      <c r="M2921" s="501" t="s">
        <v>2359</v>
      </c>
      <c r="N2921" s="501" t="s">
        <v>3416</v>
      </c>
      <c r="X2921" s="510" t="str">
        <f>노무비목록표!B15&amp;" / "&amp;노무비목록표!C15</f>
        <v xml:space="preserve">조경공 / </v>
      </c>
      <c r="Y2921" s="433" t="str">
        <f ca="1">HYPERLINK("#"&amp;노무비목록표!G2&amp;"!A"&amp;ROW(노무비목록표!A15),"L00184 →")</f>
        <v>L00184 →</v>
      </c>
      <c r="Z2921" s="501" t="s">
        <v>3500</v>
      </c>
      <c r="AA2921" s="515">
        <v>4</v>
      </c>
      <c r="AB2921" s="501" t="s">
        <v>3428</v>
      </c>
      <c r="AC2921" s="512">
        <f>AB2912</f>
        <v>40</v>
      </c>
      <c r="AD2921" s="501" t="s">
        <v>3418</v>
      </c>
      <c r="AE2921" s="512">
        <f>1*AA2921/AB2912</f>
        <v>0.1</v>
      </c>
      <c r="AF2921" s="500"/>
      <c r="AG2921" s="500"/>
      <c r="AH2921" s="500"/>
      <c r="AI2921" s="500"/>
      <c r="AJ2921" s="500"/>
      <c r="AK2921" s="500"/>
      <c r="AL2921" s="500"/>
      <c r="AM2921" s="500"/>
      <c r="AN2921" s="500"/>
      <c r="AO2921" s="500"/>
      <c r="AP2921" s="500"/>
    </row>
    <row r="2922" spans="1:42" ht="16.5" customHeight="1">
      <c r="A2922" s="439"/>
      <c r="B2922" s="439"/>
      <c r="C2922" s="439"/>
      <c r="D2922" s="439"/>
      <c r="E2922" s="439"/>
      <c r="F2922" s="439"/>
      <c r="G2922" s="451" t="s">
        <v>3406</v>
      </c>
      <c r="Z2922" s="500"/>
      <c r="AA2922" s="500"/>
      <c r="AB2922" s="500"/>
      <c r="AC2922" s="500"/>
      <c r="AD2922" s="500"/>
      <c r="AE2922" s="500"/>
      <c r="AF2922" s="500"/>
      <c r="AG2922" s="500"/>
      <c r="AH2922" s="500"/>
      <c r="AI2922" s="500"/>
      <c r="AJ2922" s="500"/>
      <c r="AK2922" s="500"/>
      <c r="AL2922" s="500"/>
      <c r="AM2922" s="500"/>
      <c r="AN2922" s="500"/>
      <c r="AO2922" s="500"/>
      <c r="AP2922" s="500"/>
    </row>
    <row r="2923" spans="1:42" ht="16.5" customHeight="1">
      <c r="A2923" s="439"/>
      <c r="B2923" s="439"/>
      <c r="C2923" s="439"/>
      <c r="D2923" s="439"/>
      <c r="E2923" s="439"/>
      <c r="F2923" s="439"/>
      <c r="G2923" s="451" t="s">
        <v>3406</v>
      </c>
      <c r="Z2923" s="500"/>
      <c r="AA2923" s="500"/>
      <c r="AB2923" s="500"/>
      <c r="AC2923" s="500"/>
      <c r="AD2923" s="500"/>
      <c r="AE2923" s="500"/>
      <c r="AF2923" s="500"/>
      <c r="AG2923" s="500"/>
      <c r="AH2923" s="500"/>
      <c r="AI2923" s="500"/>
      <c r="AJ2923" s="500"/>
      <c r="AK2923" s="500"/>
      <c r="AL2923" s="500"/>
      <c r="AM2923" s="500"/>
      <c r="AN2923" s="500"/>
      <c r="AO2923" s="500"/>
      <c r="AP2923" s="500"/>
    </row>
    <row r="2924" spans="1:42" ht="16.5" customHeight="1">
      <c r="A2924" s="434" t="s">
        <v>3414</v>
      </c>
      <c r="B2924" s="505" t="str">
        <f>" 보통인부 : "&amp;TEXT(I2924,"#,##0"&amp;IF(I2924&lt;&gt;INT(I2924),".###",""))&amp;" * "&amp;AA2924&amp;" 인  / Q = "&amp;TEXT(C2924,"#,##0.0")&amp;""</f>
        <v xml:space="preserve"> 보통인부 : 172,068 * 2 인  / Q = 8,603.4</v>
      </c>
      <c r="C2924" s="506">
        <f>E2924+D2924+F2924</f>
        <v>8603.4</v>
      </c>
      <c r="D2924" s="506">
        <f>IF(H2924=0,0,ROUNDDOWN(J2924*H2924,1))</f>
        <v>8603.4</v>
      </c>
      <c r="E2924" s="506">
        <f>IF(H2924=0,0,ROUNDDOWN(K2924*H2924,1))</f>
        <v>0</v>
      </c>
      <c r="F2924" s="506">
        <f>IF(H2924=0,0,ROUNDDOWN(L2924*H2924,1))</f>
        <v>0</v>
      </c>
      <c r="G2924" s="451" t="s">
        <v>3654</v>
      </c>
      <c r="H2924" s="507">
        <f>ROUNDUP(AE2924,14-LEN(ABS(INT(AE2924))))</f>
        <v>0.05</v>
      </c>
      <c r="I2924" s="508">
        <f>K2924+J2924+L2924</f>
        <v>172068</v>
      </c>
      <c r="J2924" s="509">
        <f>노무비목록표!E10</f>
        <v>172068</v>
      </c>
      <c r="M2924" s="501" t="s">
        <v>2363</v>
      </c>
      <c r="N2924" s="501" t="s">
        <v>3416</v>
      </c>
      <c r="X2924" s="510" t="str">
        <f>노무비목록표!B10&amp;" / "&amp;노무비목록표!C10</f>
        <v xml:space="preserve">보통인부 / </v>
      </c>
      <c r="Y2924" s="433" t="str">
        <f ca="1">HYPERLINK("#"&amp;노무비목록표!G2&amp;"!A"&amp;ROW(노무비목록표!A10),"L00017 →")</f>
        <v>L00017 →</v>
      </c>
      <c r="Z2924" s="501" t="s">
        <v>3500</v>
      </c>
      <c r="AA2924" s="515">
        <v>2</v>
      </c>
      <c r="AB2924" s="501" t="s">
        <v>3428</v>
      </c>
      <c r="AC2924" s="512">
        <f>AB2912</f>
        <v>40</v>
      </c>
      <c r="AD2924" s="501" t="s">
        <v>3418</v>
      </c>
      <c r="AE2924" s="512">
        <f>1*AA2924/AB2912</f>
        <v>0.05</v>
      </c>
      <c r="AF2924" s="500"/>
      <c r="AG2924" s="500"/>
      <c r="AH2924" s="500"/>
      <c r="AI2924" s="500"/>
      <c r="AJ2924" s="500"/>
      <c r="AK2924" s="500"/>
      <c r="AL2924" s="500"/>
      <c r="AM2924" s="500"/>
      <c r="AN2924" s="500"/>
      <c r="AO2924" s="500"/>
      <c r="AP2924" s="500"/>
    </row>
    <row r="2925" spans="1:42" ht="16.5" customHeight="1">
      <c r="A2925" s="439"/>
      <c r="B2925" s="439"/>
      <c r="C2925" s="439"/>
      <c r="D2925" s="439"/>
      <c r="E2925" s="439"/>
      <c r="F2925" s="439"/>
      <c r="G2925" s="451" t="s">
        <v>3406</v>
      </c>
      <c r="Z2925" s="500"/>
      <c r="AA2925" s="500"/>
      <c r="AB2925" s="500"/>
      <c r="AC2925" s="500"/>
      <c r="AD2925" s="500"/>
      <c r="AE2925" s="500"/>
      <c r="AF2925" s="500"/>
      <c r="AG2925" s="500"/>
      <c r="AH2925" s="500"/>
      <c r="AI2925" s="500"/>
      <c r="AJ2925" s="500"/>
      <c r="AK2925" s="500"/>
      <c r="AL2925" s="500"/>
      <c r="AM2925" s="500"/>
      <c r="AN2925" s="500"/>
      <c r="AO2925" s="500"/>
      <c r="AP2925" s="500"/>
    </row>
    <row r="2926" spans="1:42" ht="16.5" customHeight="1">
      <c r="A2926" s="434"/>
      <c r="B2926" s="437" t="s">
        <v>3419</v>
      </c>
      <c r="C2926" s="513">
        <f>E2926+D2926+F2926</f>
        <v>32123.800000000003</v>
      </c>
      <c r="D2926" s="513">
        <f>SUMIF(N2907:N2925,M2926,D2907:D2925)</f>
        <v>32123.800000000003</v>
      </c>
      <c r="E2926" s="513">
        <f>SUMIF(N2907:N2925,M2926,E2907:E2925)</f>
        <v>0</v>
      </c>
      <c r="F2926" s="513">
        <f>SUMIF(N2907:N2925,M2926,F2907:F2925)</f>
        <v>0</v>
      </c>
      <c r="G2926" s="451" t="s">
        <v>3439</v>
      </c>
      <c r="M2926" s="501" t="s">
        <v>3416</v>
      </c>
      <c r="N2926" s="501" t="s">
        <v>3421</v>
      </c>
      <c r="Z2926" s="500"/>
      <c r="AA2926" s="500"/>
      <c r="AB2926" s="500"/>
      <c r="AC2926" s="500"/>
      <c r="AD2926" s="500"/>
      <c r="AE2926" s="500"/>
      <c r="AF2926" s="500"/>
      <c r="AG2926" s="500"/>
      <c r="AH2926" s="500"/>
      <c r="AI2926" s="500"/>
      <c r="AJ2926" s="500"/>
      <c r="AK2926" s="500"/>
      <c r="AL2926" s="500"/>
      <c r="AM2926" s="500"/>
      <c r="AN2926" s="500"/>
      <c r="AO2926" s="500"/>
      <c r="AP2926" s="500"/>
    </row>
    <row r="2927" spans="1:42" ht="16.5" customHeight="1">
      <c r="A2927" s="439"/>
      <c r="B2927" s="439"/>
      <c r="C2927" s="504"/>
      <c r="D2927" s="504"/>
      <c r="E2927" s="504"/>
      <c r="F2927" s="504"/>
      <c r="G2927" s="451" t="s">
        <v>3406</v>
      </c>
      <c r="Z2927" s="500"/>
      <c r="AA2927" s="500"/>
      <c r="AB2927" s="500"/>
      <c r="AC2927" s="500"/>
      <c r="AD2927" s="500"/>
      <c r="AE2927" s="500"/>
      <c r="AF2927" s="500"/>
      <c r="AG2927" s="500"/>
      <c r="AH2927" s="500"/>
      <c r="AI2927" s="500"/>
      <c r="AJ2927" s="500"/>
      <c r="AK2927" s="500"/>
      <c r="AL2927" s="500"/>
      <c r="AM2927" s="500"/>
      <c r="AN2927" s="500"/>
      <c r="AO2927" s="500"/>
      <c r="AP2927" s="500"/>
    </row>
    <row r="2928" spans="1:42" ht="16.5" customHeight="1">
      <c r="A2928" s="439"/>
      <c r="B2928" s="439"/>
      <c r="C2928" s="439"/>
      <c r="D2928" s="439"/>
      <c r="E2928" s="439"/>
      <c r="F2928" s="439"/>
      <c r="G2928" s="451" t="s">
        <v>3406</v>
      </c>
      <c r="Z2928" s="500"/>
      <c r="AA2928" s="500"/>
      <c r="AB2928" s="500"/>
      <c r="AC2928" s="500"/>
      <c r="AD2928" s="500"/>
      <c r="AE2928" s="500"/>
      <c r="AF2928" s="500"/>
      <c r="AG2928" s="500"/>
      <c r="AH2928" s="500"/>
      <c r="AI2928" s="500"/>
      <c r="AJ2928" s="500"/>
      <c r="AK2928" s="500"/>
      <c r="AL2928" s="500"/>
      <c r="AM2928" s="500"/>
      <c r="AN2928" s="500"/>
      <c r="AO2928" s="500"/>
      <c r="AP2928" s="500"/>
    </row>
    <row r="2929" spans="1:42" ht="16.5" customHeight="1">
      <c r="A2929" s="434"/>
      <c r="B2929" s="437" t="s">
        <v>3502</v>
      </c>
      <c r="C2929" s="439"/>
      <c r="D2929" s="439"/>
      <c r="E2929" s="439"/>
      <c r="F2929" s="439"/>
      <c r="G2929" s="451" t="s">
        <v>3503</v>
      </c>
      <c r="Z2929" s="500"/>
      <c r="AA2929" s="500"/>
      <c r="AB2929" s="500"/>
      <c r="AC2929" s="500"/>
      <c r="AD2929" s="500"/>
      <c r="AE2929" s="500"/>
      <c r="AF2929" s="500"/>
      <c r="AG2929" s="500"/>
      <c r="AH2929" s="500"/>
      <c r="AI2929" s="500"/>
      <c r="AJ2929" s="500"/>
      <c r="AK2929" s="500"/>
      <c r="AL2929" s="500"/>
      <c r="AM2929" s="500"/>
      <c r="AN2929" s="500"/>
      <c r="AO2929" s="500"/>
      <c r="AP2929" s="500"/>
    </row>
    <row r="2930" spans="1:42" ht="16.5" customHeight="1">
      <c r="A2930" s="439"/>
      <c r="B2930" s="439"/>
      <c r="C2930" s="439"/>
      <c r="D2930" s="439"/>
      <c r="E2930" s="439"/>
      <c r="F2930" s="439"/>
      <c r="G2930" s="451" t="s">
        <v>3406</v>
      </c>
      <c r="Z2930" s="500"/>
      <c r="AA2930" s="500"/>
      <c r="AB2930" s="500"/>
      <c r="AC2930" s="500"/>
      <c r="AD2930" s="500"/>
      <c r="AE2930" s="500"/>
      <c r="AF2930" s="500"/>
      <c r="AG2930" s="500"/>
      <c r="AH2930" s="500"/>
      <c r="AI2930" s="500"/>
      <c r="AJ2930" s="500"/>
      <c r="AK2930" s="500"/>
      <c r="AL2930" s="500"/>
      <c r="AM2930" s="500"/>
      <c r="AN2930" s="500"/>
      <c r="AO2930" s="500"/>
      <c r="AP2930" s="500"/>
    </row>
    <row r="2931" spans="1:42" ht="16.5" customHeight="1">
      <c r="A2931" s="434" t="s">
        <v>3628</v>
      </c>
      <c r="B2931" s="505" t="str">
        <f>"  지주목 이각, L1200 : "&amp;TEXT(I2931,"#,##0"&amp;IF(I2931&lt;&gt;INT(I2931),".###",""))&amp;" * "&amp;AA2931&amp;" 조  = "&amp;TEXT(C2931,"#,##0.0")&amp;""</f>
        <v xml:space="preserve">  지주목 이각, L1200 : 7,300 * 1 조  = 7,300.0</v>
      </c>
      <c r="C2931" s="506">
        <f>E2931+D2931+F2931</f>
        <v>7300</v>
      </c>
      <c r="D2931" s="506">
        <f>IF(H2931=0,0,ROUNDDOWN(J2931*H2931,1))</f>
        <v>0</v>
      </c>
      <c r="E2931" s="506">
        <f>IF(H2931=0,0,ROUNDDOWN(K2931*H2931,1))</f>
        <v>7300</v>
      </c>
      <c r="F2931" s="506">
        <f>IF(H2931=0,0,ROUNDDOWN(L2931*H2931,1))</f>
        <v>0</v>
      </c>
      <c r="G2931" s="451" t="s">
        <v>3629</v>
      </c>
      <c r="H2931" s="507">
        <f>ROUNDUP(AC2931,14-LEN(ABS(INT(AC2931))))</f>
        <v>1</v>
      </c>
      <c r="I2931" s="508">
        <f>K2931+J2931+L2931</f>
        <v>7300</v>
      </c>
      <c r="K2931" s="509">
        <f>재료비목록표!E94</f>
        <v>7300</v>
      </c>
      <c r="M2931" s="501" t="s">
        <v>3630</v>
      </c>
      <c r="N2931" s="501" t="s">
        <v>3416</v>
      </c>
      <c r="X2931" s="510" t="str">
        <f>재료비목록표!B94&amp;" / "&amp;재료비목록표!C94</f>
        <v>지주목 / 이각, L1200</v>
      </c>
      <c r="Y2931" s="433" t="str">
        <f ca="1">HYPERLINK("#"&amp;재료비목록표!G2&amp;"!A"&amp;ROW(재료비목록표!A94),"M08848 →")</f>
        <v>M08848 →</v>
      </c>
      <c r="Z2931" s="501" t="s">
        <v>3500</v>
      </c>
      <c r="AA2931" s="515">
        <v>1</v>
      </c>
      <c r="AB2931" s="501" t="s">
        <v>3418</v>
      </c>
      <c r="AC2931" s="512">
        <f>1*AA2931</f>
        <v>1</v>
      </c>
      <c r="AD2931" s="500"/>
      <c r="AE2931" s="500"/>
      <c r="AF2931" s="500"/>
      <c r="AG2931" s="500"/>
      <c r="AH2931" s="500"/>
      <c r="AI2931" s="500"/>
      <c r="AJ2931" s="500"/>
      <c r="AK2931" s="500"/>
      <c r="AL2931" s="500"/>
      <c r="AM2931" s="500"/>
      <c r="AN2931" s="500"/>
      <c r="AO2931" s="500"/>
      <c r="AP2931" s="500"/>
    </row>
    <row r="2932" spans="1:42" ht="16.5" customHeight="1">
      <c r="A2932" s="439"/>
      <c r="B2932" s="439"/>
      <c r="C2932" s="439"/>
      <c r="D2932" s="439"/>
      <c r="E2932" s="439"/>
      <c r="F2932" s="439"/>
      <c r="G2932" s="451" t="s">
        <v>3406</v>
      </c>
      <c r="Z2932" s="500"/>
      <c r="AA2932" s="500"/>
      <c r="AB2932" s="500"/>
      <c r="AC2932" s="500"/>
      <c r="AD2932" s="500"/>
      <c r="AE2932" s="500"/>
      <c r="AF2932" s="500"/>
      <c r="AG2932" s="500"/>
      <c r="AH2932" s="500"/>
      <c r="AI2932" s="500"/>
      <c r="AJ2932" s="500"/>
      <c r="AK2932" s="500"/>
      <c r="AL2932" s="500"/>
      <c r="AM2932" s="500"/>
      <c r="AN2932" s="500"/>
      <c r="AO2932" s="500"/>
      <c r="AP2932" s="500"/>
    </row>
    <row r="2933" spans="1:42" ht="16.5" customHeight="1">
      <c r="A2933" s="439"/>
      <c r="B2933" s="439"/>
      <c r="C2933" s="439"/>
      <c r="D2933" s="439"/>
      <c r="E2933" s="439"/>
      <c r="F2933" s="439"/>
      <c r="G2933" s="451" t="s">
        <v>3406</v>
      </c>
      <c r="Z2933" s="500"/>
      <c r="AA2933" s="500"/>
      <c r="AB2933" s="500"/>
      <c r="AC2933" s="500"/>
      <c r="AD2933" s="500"/>
      <c r="AE2933" s="500"/>
      <c r="AF2933" s="500"/>
      <c r="AG2933" s="500"/>
      <c r="AH2933" s="500"/>
      <c r="AI2933" s="500"/>
      <c r="AJ2933" s="500"/>
      <c r="AK2933" s="500"/>
      <c r="AL2933" s="500"/>
      <c r="AM2933" s="500"/>
      <c r="AN2933" s="500"/>
      <c r="AO2933" s="500"/>
      <c r="AP2933" s="500"/>
    </row>
    <row r="2934" spans="1:42" ht="16.5" customHeight="1">
      <c r="A2934" s="434" t="s">
        <v>3504</v>
      </c>
      <c r="B2934" s="505" t="str">
        <f>"  유기질비료 수목이식·식재용 : "&amp;TEXT(I2934,"#,##0"&amp;IF(I2934&lt;&gt;INT(I2934),".###",""))&amp;" * "&amp;AA2934&amp;" KG   = "&amp;TEXT(C2934,"#,##0.0")&amp;""</f>
        <v xml:space="preserve">  유기질비료 수목이식·식재용 : 500 * 5 KG   = 2,500.0</v>
      </c>
      <c r="C2934" s="506">
        <f>E2934+D2934+F2934</f>
        <v>2500</v>
      </c>
      <c r="D2934" s="506">
        <f>IF(H2934=0,0,ROUNDDOWN(J2934*H2934,1))</f>
        <v>0</v>
      </c>
      <c r="E2934" s="506">
        <f>IF(H2934=0,0,ROUNDDOWN(K2934*H2934,1))</f>
        <v>2500</v>
      </c>
      <c r="F2934" s="506">
        <f>IF(H2934=0,0,ROUNDDOWN(L2934*H2934,1))</f>
        <v>0</v>
      </c>
      <c r="G2934" s="451" t="s">
        <v>3659</v>
      </c>
      <c r="H2934" s="507">
        <f>ROUNDUP(AC2934,14-LEN(ABS(INT(AC2934))))</f>
        <v>5</v>
      </c>
      <c r="I2934" s="508">
        <f>K2934+J2934+L2934</f>
        <v>500</v>
      </c>
      <c r="K2934" s="509">
        <f>재료비목록표!E78</f>
        <v>500</v>
      </c>
      <c r="M2934" s="501" t="s">
        <v>3506</v>
      </c>
      <c r="N2934" s="501" t="s">
        <v>3416</v>
      </c>
      <c r="X2934" s="510" t="str">
        <f>재료비목록표!B78&amp;" / "&amp;재료비목록표!C78</f>
        <v>유기질비료 / 수목이식·식재용</v>
      </c>
      <c r="Y2934" s="433" t="str">
        <f ca="1">HYPERLINK("#"&amp;재료비목록표!G2&amp;"!A"&amp;ROW(재료비목록표!A78),"M01159 →")</f>
        <v>M01159 →</v>
      </c>
      <c r="Z2934" s="501" t="s">
        <v>3500</v>
      </c>
      <c r="AA2934" s="515">
        <v>5</v>
      </c>
      <c r="AB2934" s="501" t="s">
        <v>3418</v>
      </c>
      <c r="AC2934" s="512">
        <f>1*AA2934</f>
        <v>5</v>
      </c>
      <c r="AD2934" s="500"/>
      <c r="AE2934" s="500"/>
      <c r="AF2934" s="500"/>
      <c r="AG2934" s="500"/>
      <c r="AH2934" s="500"/>
      <c r="AI2934" s="500"/>
      <c r="AJ2934" s="500"/>
      <c r="AK2934" s="500"/>
      <c r="AL2934" s="500"/>
      <c r="AM2934" s="500"/>
      <c r="AN2934" s="500"/>
      <c r="AO2934" s="500"/>
      <c r="AP2934" s="500"/>
    </row>
    <row r="2935" spans="1:42" ht="16.5" customHeight="1">
      <c r="A2935" s="439"/>
      <c r="B2935" s="439"/>
      <c r="C2935" s="439"/>
      <c r="D2935" s="439"/>
      <c r="E2935" s="439"/>
      <c r="F2935" s="439"/>
      <c r="G2935" s="451" t="s">
        <v>3406</v>
      </c>
      <c r="Z2935" s="500"/>
      <c r="AA2935" s="500"/>
      <c r="AB2935" s="500"/>
      <c r="AC2935" s="500"/>
      <c r="AD2935" s="500"/>
      <c r="AE2935" s="500"/>
      <c r="AF2935" s="500"/>
      <c r="AG2935" s="500"/>
      <c r="AH2935" s="500"/>
      <c r="AI2935" s="500"/>
      <c r="AJ2935" s="500"/>
      <c r="AK2935" s="500"/>
      <c r="AL2935" s="500"/>
      <c r="AM2935" s="500"/>
      <c r="AN2935" s="500"/>
      <c r="AO2935" s="500"/>
      <c r="AP2935" s="500"/>
    </row>
    <row r="2936" spans="1:42" ht="16.5" customHeight="1">
      <c r="A2936" s="434"/>
      <c r="B2936" s="437" t="s">
        <v>3419</v>
      </c>
      <c r="C2936" s="513">
        <f>E2936+D2936+F2936</f>
        <v>9800</v>
      </c>
      <c r="D2936" s="513">
        <f>SUMIF(N2927:N2935,M2936,D2927:D2935)</f>
        <v>0</v>
      </c>
      <c r="E2936" s="513">
        <f>SUMIF(N2927:N2935,M2936,E2927:E2935)</f>
        <v>9800</v>
      </c>
      <c r="F2936" s="513">
        <f>SUMIF(N2927:N2935,M2936,F2927:F2935)</f>
        <v>0</v>
      </c>
      <c r="G2936" s="451" t="s">
        <v>3439</v>
      </c>
      <c r="M2936" s="501" t="s">
        <v>3416</v>
      </c>
      <c r="N2936" s="501" t="s">
        <v>3421</v>
      </c>
      <c r="Z2936" s="500"/>
      <c r="AA2936" s="500"/>
      <c r="AB2936" s="500"/>
      <c r="AC2936" s="500"/>
      <c r="AD2936" s="500"/>
      <c r="AE2936" s="500"/>
      <c r="AF2936" s="500"/>
      <c r="AG2936" s="500"/>
      <c r="AH2936" s="500"/>
      <c r="AI2936" s="500"/>
      <c r="AJ2936" s="500"/>
      <c r="AK2936" s="500"/>
      <c r="AL2936" s="500"/>
      <c r="AM2936" s="500"/>
      <c r="AN2936" s="500"/>
      <c r="AO2936" s="500"/>
      <c r="AP2936" s="500"/>
    </row>
    <row r="2937" spans="1:42" ht="16.5" customHeight="1">
      <c r="A2937" s="439"/>
      <c r="B2937" s="439"/>
      <c r="C2937" s="504"/>
      <c r="D2937" s="504"/>
      <c r="E2937" s="504"/>
      <c r="F2937" s="504"/>
      <c r="G2937" s="451" t="s">
        <v>3406</v>
      </c>
      <c r="Z2937" s="500"/>
      <c r="AA2937" s="500"/>
      <c r="AB2937" s="500"/>
      <c r="AC2937" s="500"/>
      <c r="AD2937" s="500"/>
      <c r="AE2937" s="500"/>
      <c r="AF2937" s="500"/>
      <c r="AG2937" s="500"/>
      <c r="AH2937" s="500"/>
      <c r="AI2937" s="500"/>
      <c r="AJ2937" s="500"/>
      <c r="AK2937" s="500"/>
      <c r="AL2937" s="500"/>
      <c r="AM2937" s="500"/>
      <c r="AN2937" s="500"/>
      <c r="AO2937" s="500"/>
      <c r="AP2937" s="500"/>
    </row>
    <row r="2938" spans="1:42" ht="16.5" customHeight="1">
      <c r="A2938" s="434"/>
      <c r="B2938" s="505" t="str">
        <f>"  산지할증 : "&amp;TEXT(I2938,"#,##0.0")&amp;" * "&amp;AA2938&amp;" %  = "&amp;TEXT(C2938,"#,##0.0")&amp;""</f>
        <v xml:space="preserve">  산지할증 : 32,123.8 * 25 %  = 8,030.9</v>
      </c>
      <c r="C2938" s="506">
        <f>E2938+D2938+F2938</f>
        <v>8030.9</v>
      </c>
      <c r="D2938" s="506">
        <f>IF(H2938=0,0,ROUNDDOWN(J2938*H2938/100,1))</f>
        <v>8030.9</v>
      </c>
      <c r="E2938" s="506">
        <f>IF(H2938=0,0,ROUNDDOWN(K2938*H2938/100,1))</f>
        <v>0</v>
      </c>
      <c r="F2938" s="506">
        <f>IF(H2938=0,0,ROUNDDOWN(L2938*H2938/100,1))</f>
        <v>0</v>
      </c>
      <c r="G2938" s="451" t="s">
        <v>5592</v>
      </c>
      <c r="H2938" s="507">
        <f>ROUNDUP(AC2938,14-LEN(ABS(INT(AC2938))))</f>
        <v>25</v>
      </c>
      <c r="I2938" s="508">
        <f>K2938+J2938+L2938</f>
        <v>32123.800000000003</v>
      </c>
      <c r="J2938" s="508">
        <f>D2926+D2936+SUMIF(N2937:N2937,N2938,D2937:D2937)</f>
        <v>32123.800000000003</v>
      </c>
      <c r="K2938" s="456">
        <v>0</v>
      </c>
      <c r="L2938" s="456">
        <v>0</v>
      </c>
      <c r="M2938" s="501" t="s">
        <v>5605</v>
      </c>
      <c r="N2938" s="501" t="s">
        <v>3416</v>
      </c>
      <c r="Z2938" s="501" t="s">
        <v>3500</v>
      </c>
      <c r="AA2938" s="515">
        <v>25</v>
      </c>
      <c r="AB2938" s="501" t="s">
        <v>3418</v>
      </c>
      <c r="AC2938" s="512">
        <f>1*AA2938</f>
        <v>25</v>
      </c>
      <c r="AD2938" s="500"/>
      <c r="AE2938" s="500"/>
      <c r="AF2938" s="500"/>
      <c r="AG2938" s="500"/>
      <c r="AH2938" s="500"/>
      <c r="AI2938" s="500"/>
      <c r="AJ2938" s="500"/>
      <c r="AK2938" s="500"/>
      <c r="AL2938" s="500"/>
      <c r="AM2938" s="500"/>
      <c r="AN2938" s="500"/>
      <c r="AO2938" s="500"/>
      <c r="AP2938" s="500"/>
    </row>
    <row r="2939" spans="1:42" ht="16.5" customHeight="1">
      <c r="A2939" s="439"/>
      <c r="B2939" s="439"/>
      <c r="C2939" s="439"/>
      <c r="D2939" s="439"/>
      <c r="E2939" s="439"/>
      <c r="F2939" s="439"/>
      <c r="G2939" s="451" t="s">
        <v>3406</v>
      </c>
      <c r="Z2939" s="500"/>
      <c r="AA2939" s="500"/>
      <c r="AB2939" s="500"/>
      <c r="AC2939" s="500"/>
      <c r="AD2939" s="500"/>
      <c r="AE2939" s="500"/>
      <c r="AF2939" s="500"/>
      <c r="AG2939" s="500"/>
      <c r="AH2939" s="500"/>
      <c r="AI2939" s="500"/>
      <c r="AJ2939" s="500"/>
      <c r="AK2939" s="500"/>
      <c r="AL2939" s="500"/>
      <c r="AM2939" s="500"/>
      <c r="AN2939" s="500"/>
      <c r="AO2939" s="500"/>
      <c r="AP2939" s="500"/>
    </row>
    <row r="2940" spans="1:42" ht="16.5" customHeight="1">
      <c r="A2940" s="434"/>
      <c r="B2940" s="437" t="s">
        <v>3419</v>
      </c>
      <c r="C2940" s="513">
        <f>E2940+D2940+F2940</f>
        <v>8030.9</v>
      </c>
      <c r="D2940" s="513">
        <f>SUMIF(N2937:N2939,M2940,D2937:D2939)</f>
        <v>8030.9</v>
      </c>
      <c r="E2940" s="513">
        <f>SUMIF(N2937:N2939,M2940,E2937:E2939)</f>
        <v>0</v>
      </c>
      <c r="F2940" s="513">
        <f>SUMIF(N2937:N2939,M2940,F2937:F2939)</f>
        <v>0</v>
      </c>
      <c r="G2940" s="451" t="s">
        <v>3439</v>
      </c>
      <c r="M2940" s="501" t="s">
        <v>3416</v>
      </c>
      <c r="N2940" s="501" t="s">
        <v>3421</v>
      </c>
      <c r="Z2940" s="500"/>
      <c r="AA2940" s="500"/>
      <c r="AB2940" s="500"/>
      <c r="AC2940" s="500"/>
      <c r="AD2940" s="500"/>
      <c r="AE2940" s="500"/>
      <c r="AF2940" s="500"/>
      <c r="AG2940" s="500"/>
      <c r="AH2940" s="500"/>
      <c r="AI2940" s="500"/>
      <c r="AJ2940" s="500"/>
      <c r="AK2940" s="500"/>
      <c r="AL2940" s="500"/>
      <c r="AM2940" s="500"/>
      <c r="AN2940" s="500"/>
      <c r="AO2940" s="500"/>
      <c r="AP2940" s="500"/>
    </row>
    <row r="2941" spans="1:42" ht="16.5" customHeight="1">
      <c r="A2941" s="439"/>
      <c r="B2941" s="439"/>
      <c r="C2941" s="504"/>
      <c r="D2941" s="504"/>
      <c r="E2941" s="504"/>
      <c r="F2941" s="504"/>
      <c r="G2941" s="451" t="s">
        <v>3406</v>
      </c>
      <c r="Z2941" s="500"/>
      <c r="AA2941" s="500"/>
      <c r="AB2941" s="500"/>
      <c r="AC2941" s="500"/>
      <c r="AD2941" s="500"/>
      <c r="AE2941" s="500"/>
      <c r="AF2941" s="500"/>
      <c r="AG2941" s="500"/>
      <c r="AH2941" s="500"/>
      <c r="AI2941" s="500"/>
      <c r="AJ2941" s="500"/>
      <c r="AK2941" s="500"/>
      <c r="AL2941" s="500"/>
      <c r="AM2941" s="500"/>
      <c r="AN2941" s="500"/>
      <c r="AO2941" s="500"/>
      <c r="AP2941" s="500"/>
    </row>
    <row r="2942" spans="1:42" ht="16.5" customHeight="1">
      <c r="A2942" s="434"/>
      <c r="B2942" s="437" t="s">
        <v>3440</v>
      </c>
      <c r="C2942" s="513">
        <f>E2942+D2942+F2942</f>
        <v>49954.700000000004</v>
      </c>
      <c r="D2942" s="513">
        <f>SUMIF(N2907:N2941,M2942,D2907:D2941)</f>
        <v>40154.700000000004</v>
      </c>
      <c r="E2942" s="513">
        <f>SUMIF(N2907:N2941,M2942,E2907:E2941)</f>
        <v>9800</v>
      </c>
      <c r="F2942" s="513">
        <f>SUMIF(N2907:N2941,M2942,F2907:F2941)</f>
        <v>0</v>
      </c>
      <c r="G2942" s="451" t="s">
        <v>3441</v>
      </c>
      <c r="M2942" s="501" t="s">
        <v>3421</v>
      </c>
      <c r="N2942" s="501" t="s">
        <v>2354</v>
      </c>
      <c r="Z2942" s="500"/>
      <c r="AA2942" s="500"/>
      <c r="AB2942" s="500"/>
      <c r="AC2942" s="500"/>
      <c r="AD2942" s="500"/>
      <c r="AE2942" s="500"/>
      <c r="AF2942" s="500"/>
      <c r="AG2942" s="500"/>
      <c r="AH2942" s="500"/>
      <c r="AI2942" s="500"/>
      <c r="AJ2942" s="500"/>
      <c r="AK2942" s="500"/>
      <c r="AL2942" s="500"/>
      <c r="AM2942" s="500"/>
      <c r="AN2942" s="500"/>
      <c r="AO2942" s="500"/>
      <c r="AP2942" s="500"/>
    </row>
    <row r="2943" spans="1:42" ht="16.5" customHeight="1">
      <c r="A2943" s="439"/>
      <c r="B2943" s="439"/>
      <c r="C2943" s="504"/>
      <c r="D2943" s="504"/>
      <c r="E2943" s="504"/>
      <c r="F2943" s="504"/>
      <c r="G2943" s="451" t="s">
        <v>3413</v>
      </c>
      <c r="Z2943" s="500"/>
      <c r="AA2943" s="500"/>
      <c r="AB2943" s="500"/>
      <c r="AC2943" s="500"/>
      <c r="AD2943" s="500"/>
      <c r="AE2943" s="500"/>
      <c r="AF2943" s="500"/>
      <c r="AG2943" s="500"/>
      <c r="AH2943" s="500"/>
      <c r="AI2943" s="500"/>
      <c r="AJ2943" s="500"/>
      <c r="AK2943" s="500"/>
      <c r="AL2943" s="500"/>
      <c r="AM2943" s="500"/>
      <c r="AN2943" s="500"/>
      <c r="AO2943" s="500"/>
      <c r="AP2943" s="500"/>
    </row>
    <row r="2944" spans="1:42" ht="16.5" customHeight="1">
      <c r="A2944" s="439"/>
      <c r="B2944" s="439"/>
      <c r="C2944" s="439"/>
      <c r="D2944" s="439"/>
      <c r="E2944" s="439"/>
      <c r="F2944" s="439"/>
      <c r="Z2944" s="500"/>
      <c r="AA2944" s="500"/>
      <c r="AB2944" s="500"/>
      <c r="AC2944" s="500"/>
      <c r="AD2944" s="500"/>
      <c r="AE2944" s="500"/>
      <c r="AF2944" s="500"/>
      <c r="AG2944" s="500"/>
      <c r="AH2944" s="500"/>
      <c r="AI2944" s="500"/>
      <c r="AJ2944" s="500"/>
      <c r="AK2944" s="500"/>
      <c r="AL2944" s="500"/>
      <c r="AM2944" s="500"/>
      <c r="AN2944" s="500"/>
      <c r="AO2944" s="500"/>
      <c r="AP2944" s="500"/>
    </row>
    <row r="2945" spans="1:42" ht="16.5" customHeight="1">
      <c r="A2945" s="439"/>
      <c r="B2945" s="439"/>
      <c r="C2945" s="439"/>
      <c r="D2945" s="439"/>
      <c r="E2945" s="439"/>
      <c r="F2945" s="439"/>
      <c r="Z2945" s="500"/>
      <c r="AA2945" s="500"/>
      <c r="AB2945" s="500"/>
      <c r="AC2945" s="500"/>
      <c r="AD2945" s="500"/>
      <c r="AE2945" s="500"/>
      <c r="AF2945" s="500"/>
      <c r="AG2945" s="500"/>
      <c r="AH2945" s="500"/>
      <c r="AI2945" s="500"/>
      <c r="AJ2945" s="500"/>
      <c r="AK2945" s="500"/>
      <c r="AL2945" s="500"/>
      <c r="AM2945" s="500"/>
      <c r="AN2945" s="500"/>
      <c r="AO2945" s="500"/>
      <c r="AP2945" s="500"/>
    </row>
    <row r="2946" spans="1:42" ht="16.5" customHeight="1">
      <c r="A2946" s="439"/>
      <c r="B2946" s="439"/>
      <c r="C2946" s="439"/>
      <c r="D2946" s="439"/>
      <c r="E2946" s="439"/>
      <c r="F2946" s="439"/>
      <c r="Z2946" s="500"/>
      <c r="AA2946" s="500"/>
      <c r="AB2946" s="500"/>
      <c r="AC2946" s="500"/>
      <c r="AD2946" s="500"/>
      <c r="AE2946" s="500"/>
      <c r="AF2946" s="500"/>
      <c r="AG2946" s="500"/>
      <c r="AH2946" s="500"/>
      <c r="AI2946" s="500"/>
      <c r="AJ2946" s="500"/>
      <c r="AK2946" s="500"/>
      <c r="AL2946" s="500"/>
      <c r="AM2946" s="500"/>
      <c r="AN2946" s="500"/>
      <c r="AO2946" s="500"/>
      <c r="AP2946" s="500"/>
    </row>
    <row r="2947" spans="1:42" ht="16.5" customHeight="1">
      <c r="A2947" s="439"/>
      <c r="B2947" s="439"/>
      <c r="C2947" s="439"/>
      <c r="D2947" s="439"/>
      <c r="E2947" s="439"/>
      <c r="F2947" s="439"/>
      <c r="Z2947" s="500"/>
      <c r="AA2947" s="500"/>
      <c r="AB2947" s="500"/>
      <c r="AC2947" s="500"/>
      <c r="AD2947" s="500"/>
      <c r="AE2947" s="500"/>
      <c r="AF2947" s="500"/>
      <c r="AG2947" s="500"/>
      <c r="AH2947" s="500"/>
      <c r="AI2947" s="500"/>
      <c r="AJ2947" s="500"/>
      <c r="AK2947" s="500"/>
      <c r="AL2947" s="500"/>
      <c r="AM2947" s="500"/>
      <c r="AN2947" s="500"/>
      <c r="AO2947" s="500"/>
      <c r="AP2947" s="500"/>
    </row>
    <row r="2948" spans="1:42" ht="16.5" customHeight="1">
      <c r="A2948" s="439"/>
      <c r="B2948" s="439"/>
      <c r="C2948" s="439"/>
      <c r="D2948" s="439"/>
      <c r="E2948" s="439"/>
      <c r="F2948" s="439"/>
      <c r="Z2948" s="500"/>
      <c r="AA2948" s="500"/>
      <c r="AB2948" s="500"/>
      <c r="AC2948" s="500"/>
      <c r="AD2948" s="500"/>
      <c r="AE2948" s="500"/>
      <c r="AF2948" s="500"/>
      <c r="AG2948" s="500"/>
      <c r="AH2948" s="500"/>
      <c r="AI2948" s="500"/>
      <c r="AJ2948" s="500"/>
      <c r="AK2948" s="500"/>
      <c r="AL2948" s="500"/>
      <c r="AM2948" s="500"/>
      <c r="AN2948" s="500"/>
      <c r="AO2948" s="500"/>
      <c r="AP2948" s="500"/>
    </row>
    <row r="2949" spans="1:42" ht="16.5" customHeight="1">
      <c r="A2949" s="439"/>
      <c r="B2949" s="439"/>
      <c r="C2949" s="439"/>
      <c r="D2949" s="439"/>
      <c r="E2949" s="439"/>
      <c r="F2949" s="439"/>
      <c r="Z2949" s="500"/>
      <c r="AA2949" s="500"/>
      <c r="AB2949" s="500"/>
      <c r="AC2949" s="500"/>
      <c r="AD2949" s="500"/>
      <c r="AE2949" s="500"/>
      <c r="AF2949" s="500"/>
      <c r="AG2949" s="500"/>
      <c r="AH2949" s="500"/>
      <c r="AI2949" s="500"/>
      <c r="AJ2949" s="500"/>
      <c r="AK2949" s="500"/>
      <c r="AL2949" s="500"/>
      <c r="AM2949" s="500"/>
      <c r="AN2949" s="500"/>
      <c r="AO2949" s="500"/>
      <c r="AP2949" s="500"/>
    </row>
    <row r="2950" spans="1:42" ht="16.5" customHeight="1">
      <c r="A2950" s="439"/>
      <c r="B2950" s="439"/>
      <c r="C2950" s="439"/>
      <c r="D2950" s="439"/>
      <c r="E2950" s="439"/>
      <c r="F2950" s="439"/>
      <c r="Z2950" s="500"/>
      <c r="AA2950" s="500"/>
      <c r="AB2950" s="500"/>
      <c r="AC2950" s="500"/>
      <c r="AD2950" s="500"/>
      <c r="AE2950" s="500"/>
      <c r="AF2950" s="500"/>
      <c r="AG2950" s="500"/>
      <c r="AH2950" s="500"/>
      <c r="AI2950" s="500"/>
      <c r="AJ2950" s="500"/>
      <c r="AK2950" s="500"/>
      <c r="AL2950" s="500"/>
      <c r="AM2950" s="500"/>
      <c r="AN2950" s="500"/>
      <c r="AO2950" s="500"/>
      <c r="AP2950" s="500"/>
    </row>
    <row r="2951" spans="1:42" ht="16.5" customHeight="1">
      <c r="A2951" s="439"/>
      <c r="B2951" s="439"/>
      <c r="C2951" s="439"/>
      <c r="D2951" s="439"/>
      <c r="E2951" s="439"/>
      <c r="F2951" s="439"/>
      <c r="Z2951" s="500"/>
      <c r="AA2951" s="500"/>
      <c r="AB2951" s="500"/>
      <c r="AC2951" s="500"/>
      <c r="AD2951" s="500"/>
      <c r="AE2951" s="500"/>
      <c r="AF2951" s="500"/>
      <c r="AG2951" s="500"/>
      <c r="AH2951" s="500"/>
      <c r="AI2951" s="500"/>
      <c r="AJ2951" s="500"/>
      <c r="AK2951" s="500"/>
      <c r="AL2951" s="500"/>
      <c r="AM2951" s="500"/>
      <c r="AN2951" s="500"/>
      <c r="AO2951" s="500"/>
      <c r="AP2951" s="500"/>
    </row>
    <row r="2952" spans="1:42" ht="16.5" customHeight="1">
      <c r="A2952" s="439"/>
      <c r="B2952" s="439"/>
      <c r="C2952" s="439"/>
      <c r="D2952" s="439"/>
      <c r="E2952" s="439"/>
      <c r="F2952" s="439"/>
      <c r="Z2952" s="500"/>
      <c r="AA2952" s="500"/>
      <c r="AB2952" s="500"/>
      <c r="AC2952" s="500"/>
      <c r="AD2952" s="500"/>
      <c r="AE2952" s="500"/>
      <c r="AF2952" s="500"/>
      <c r="AG2952" s="500"/>
      <c r="AH2952" s="500"/>
      <c r="AI2952" s="500"/>
      <c r="AJ2952" s="500"/>
      <c r="AK2952" s="500"/>
      <c r="AL2952" s="500"/>
      <c r="AM2952" s="500"/>
      <c r="AN2952" s="500"/>
      <c r="AO2952" s="500"/>
      <c r="AP2952" s="500"/>
    </row>
    <row r="2953" spans="1:42" ht="16.5" customHeight="1">
      <c r="A2953" s="497"/>
      <c r="B2953" s="497"/>
      <c r="C2953" s="497"/>
      <c r="D2953" s="497"/>
      <c r="E2953" s="497"/>
      <c r="F2953" s="497"/>
      <c r="Z2953" s="500"/>
      <c r="AA2953" s="500"/>
      <c r="AB2953" s="500"/>
      <c r="AC2953" s="500"/>
      <c r="AD2953" s="500"/>
      <c r="AE2953" s="500"/>
      <c r="AF2953" s="500"/>
      <c r="AG2953" s="500"/>
      <c r="AH2953" s="500"/>
      <c r="AI2953" s="500"/>
      <c r="AJ2953" s="500"/>
      <c r="AK2953" s="500"/>
      <c r="AL2953" s="500"/>
      <c r="AM2953" s="500"/>
      <c r="AN2953" s="500"/>
      <c r="AO2953" s="500"/>
      <c r="AP2953" s="500"/>
    </row>
    <row r="2954" spans="1:42" ht="16.5" customHeight="1">
      <c r="A2954" s="616" t="s">
        <v>3487</v>
      </c>
      <c r="B2954" s="605"/>
      <c r="C2954" s="446">
        <f>E2954+D2954+F2954</f>
        <v>49954</v>
      </c>
      <c r="D2954" s="453">
        <f>ROUNDDOWN(SUMIF(N2907:N2943,M2954,D2907:D2943),0)</f>
        <v>40154</v>
      </c>
      <c r="E2954" s="454">
        <f>ROUNDDOWN(SUMIF(N2907:N2943,M2954,E2907:E2943),0)</f>
        <v>9800</v>
      </c>
      <c r="F2954" s="446">
        <f>ROUNDDOWN(SUMIF(N2907:N2943,M2954,F2907:F2943),0)</f>
        <v>0</v>
      </c>
      <c r="M2954" s="501" t="s">
        <v>2354</v>
      </c>
      <c r="Z2954" s="500"/>
      <c r="AA2954" s="500"/>
      <c r="AB2954" s="500"/>
      <c r="AC2954" s="500"/>
      <c r="AD2954" s="500"/>
      <c r="AE2954" s="500"/>
      <c r="AF2954" s="500"/>
      <c r="AG2954" s="500"/>
      <c r="AH2954" s="500"/>
      <c r="AI2954" s="500"/>
      <c r="AJ2954" s="500"/>
      <c r="AK2954" s="500"/>
      <c r="AL2954" s="500"/>
      <c r="AM2954" s="500"/>
      <c r="AN2954" s="500"/>
      <c r="AO2954" s="500"/>
      <c r="AP2954" s="500"/>
    </row>
    <row r="2955" spans="1:42" ht="16.5" customHeight="1">
      <c r="A2955" s="502" t="s">
        <v>3351</v>
      </c>
      <c r="B2955" s="503" t="s">
        <v>5339</v>
      </c>
      <c r="C2955" s="615">
        <f>C3004</f>
        <v>92609</v>
      </c>
      <c r="D2955" s="615">
        <f>D3004</f>
        <v>80309</v>
      </c>
      <c r="E2955" s="615">
        <f>E3004</f>
        <v>12300</v>
      </c>
      <c r="F2955" s="615">
        <f>F3004</f>
        <v>0</v>
      </c>
      <c r="G2955" s="486" t="str">
        <f>HYPERLINK("#G"&amp;ROW(G2993),"_x0005_`BDCOD|D01323_x0007_`POSS|"&amp;ROW(G2957)&amp;"_x0007_`POSE|"&amp;ROW(G2993)&amp;"_x0007_`")</f>
        <v>_x0005_`BDCOD|D01323_x0007_`POSS|2957_x0007_`POSE|2993_x0007_`</v>
      </c>
      <c r="Z2955" s="500"/>
      <c r="AA2955" s="500"/>
      <c r="AB2955" s="500"/>
      <c r="AC2955" s="500"/>
      <c r="AD2955" s="500"/>
      <c r="AE2955" s="500"/>
      <c r="AF2955" s="500"/>
      <c r="AG2955" s="500"/>
      <c r="AH2955" s="500"/>
      <c r="AI2955" s="500"/>
      <c r="AJ2955" s="500"/>
      <c r="AK2955" s="500"/>
      <c r="AL2955" s="500"/>
      <c r="AM2955" s="500"/>
      <c r="AN2955" s="500"/>
      <c r="AO2955" s="500"/>
      <c r="AP2955" s="500"/>
    </row>
    <row r="2956" spans="1:42" ht="16.5" customHeight="1">
      <c r="A2956" s="485"/>
      <c r="B2956" s="503" t="s">
        <v>5613</v>
      </c>
      <c r="C2956" s="593"/>
      <c r="D2956" s="593"/>
      <c r="E2956" s="593"/>
      <c r="F2956" s="593"/>
      <c r="M2956" s="501" t="s">
        <v>5339</v>
      </c>
      <c r="Z2956" s="500"/>
      <c r="AA2956" s="500"/>
      <c r="AB2956" s="500"/>
      <c r="AC2956" s="500"/>
      <c r="AD2956" s="500"/>
      <c r="AE2956" s="500"/>
      <c r="AF2956" s="500"/>
      <c r="AG2956" s="500"/>
      <c r="AH2956" s="500"/>
      <c r="AI2956" s="500"/>
      <c r="AJ2956" s="500"/>
      <c r="AK2956" s="500"/>
      <c r="AL2956" s="500"/>
      <c r="AM2956" s="500"/>
      <c r="AN2956" s="500"/>
      <c r="AO2956" s="500"/>
      <c r="AP2956" s="500"/>
    </row>
    <row r="2957" spans="1:42" ht="16.5" customHeight="1">
      <c r="A2957" s="439"/>
      <c r="B2957" s="439"/>
      <c r="C2957" s="504"/>
      <c r="D2957" s="504"/>
      <c r="E2957" s="504"/>
      <c r="F2957" s="504"/>
      <c r="G2957" s="451" t="s">
        <v>3406</v>
      </c>
      <c r="Z2957" s="500"/>
      <c r="AA2957" s="500"/>
      <c r="AB2957" s="500"/>
      <c r="AC2957" s="500"/>
      <c r="AD2957" s="500"/>
      <c r="AE2957" s="500"/>
      <c r="AF2957" s="500"/>
      <c r="AG2957" s="500"/>
      <c r="AH2957" s="500"/>
      <c r="AI2957" s="500"/>
      <c r="AJ2957" s="500"/>
      <c r="AK2957" s="500"/>
      <c r="AL2957" s="500"/>
      <c r="AM2957" s="500"/>
      <c r="AN2957" s="500"/>
      <c r="AO2957" s="500"/>
      <c r="AP2957" s="500"/>
    </row>
    <row r="2958" spans="1:42" ht="16.5" customHeight="1">
      <c r="A2958" s="434"/>
      <c r="B2958" s="437" t="s">
        <v>3640</v>
      </c>
      <c r="C2958" s="439"/>
      <c r="D2958" s="439"/>
      <c r="E2958" s="439"/>
      <c r="F2958" s="439"/>
      <c r="G2958" s="451" t="s">
        <v>3641</v>
      </c>
      <c r="Z2958" s="500"/>
      <c r="AA2958" s="500"/>
      <c r="AB2958" s="500"/>
      <c r="AC2958" s="500"/>
      <c r="AD2958" s="500"/>
      <c r="AE2958" s="500"/>
      <c r="AF2958" s="500"/>
      <c r="AG2958" s="500"/>
      <c r="AH2958" s="500"/>
      <c r="AI2958" s="500"/>
      <c r="AJ2958" s="500"/>
      <c r="AK2958" s="500"/>
      <c r="AL2958" s="500"/>
      <c r="AM2958" s="500"/>
      <c r="AN2958" s="500"/>
      <c r="AO2958" s="500"/>
      <c r="AP2958" s="500"/>
    </row>
    <row r="2959" spans="1:42" ht="16.5" customHeight="1">
      <c r="A2959" s="439"/>
      <c r="B2959" s="439"/>
      <c r="C2959" s="439"/>
      <c r="D2959" s="439"/>
      <c r="E2959" s="439"/>
      <c r="F2959" s="439"/>
      <c r="G2959" s="451" t="s">
        <v>3406</v>
      </c>
      <c r="Z2959" s="500"/>
      <c r="AA2959" s="500"/>
      <c r="AB2959" s="500"/>
      <c r="AC2959" s="500"/>
      <c r="AD2959" s="500"/>
      <c r="AE2959" s="500"/>
      <c r="AF2959" s="500"/>
      <c r="AG2959" s="500"/>
      <c r="AH2959" s="500"/>
      <c r="AI2959" s="500"/>
      <c r="AJ2959" s="500"/>
      <c r="AK2959" s="500"/>
      <c r="AL2959" s="500"/>
      <c r="AM2959" s="500"/>
      <c r="AN2959" s="500"/>
      <c r="AO2959" s="500"/>
      <c r="AP2959" s="500"/>
    </row>
    <row r="2960" spans="1:42" ht="16.5" customHeight="1">
      <c r="A2960" s="434"/>
      <c r="B2960" s="437" t="s">
        <v>3642</v>
      </c>
      <c r="C2960" s="439"/>
      <c r="D2960" s="439"/>
      <c r="E2960" s="439"/>
      <c r="F2960" s="439"/>
      <c r="G2960" s="451" t="s">
        <v>3643</v>
      </c>
      <c r="Z2960" s="500"/>
      <c r="AA2960" s="500"/>
      <c r="AB2960" s="500"/>
      <c r="AC2960" s="500"/>
      <c r="AD2960" s="500"/>
      <c r="AE2960" s="500"/>
      <c r="AF2960" s="500"/>
      <c r="AG2960" s="500"/>
      <c r="AH2960" s="500"/>
      <c r="AI2960" s="500"/>
      <c r="AJ2960" s="500"/>
      <c r="AK2960" s="500"/>
      <c r="AL2960" s="500"/>
      <c r="AM2960" s="500"/>
      <c r="AN2960" s="500"/>
      <c r="AO2960" s="500"/>
      <c r="AP2960" s="500"/>
    </row>
    <row r="2961" spans="1:42" ht="16.5" customHeight="1">
      <c r="A2961" s="439"/>
      <c r="B2961" s="439"/>
      <c r="C2961" s="439"/>
      <c r="D2961" s="439"/>
      <c r="E2961" s="439"/>
      <c r="F2961" s="439"/>
      <c r="G2961" s="451" t="s">
        <v>3406</v>
      </c>
      <c r="Z2961" s="500"/>
      <c r="AA2961" s="500"/>
      <c r="AB2961" s="500"/>
      <c r="AC2961" s="500"/>
      <c r="AD2961" s="500"/>
      <c r="AE2961" s="500"/>
      <c r="AF2961" s="500"/>
      <c r="AG2961" s="500"/>
      <c r="AH2961" s="500"/>
      <c r="AI2961" s="500"/>
      <c r="AJ2961" s="500"/>
      <c r="AK2961" s="500"/>
      <c r="AL2961" s="500"/>
      <c r="AM2961" s="500"/>
      <c r="AN2961" s="500"/>
      <c r="AO2961" s="500"/>
      <c r="AP2961" s="500"/>
    </row>
    <row r="2962" spans="1:42" ht="16.5" customHeight="1">
      <c r="A2962" s="434"/>
      <c r="B2962" s="437" t="str">
        <f>" 일당 작업량 :   Q = "&amp;Z2962&amp;"  주 "</f>
        <v xml:space="preserve"> 일당 작업량 :   Q = 20  주 </v>
      </c>
      <c r="C2962" s="439"/>
      <c r="D2962" s="439"/>
      <c r="E2962" s="439"/>
      <c r="F2962" s="439"/>
      <c r="G2962" s="451" t="s">
        <v>3648</v>
      </c>
      <c r="Z2962" s="515">
        <v>20</v>
      </c>
      <c r="AA2962" s="501" t="s">
        <v>3418</v>
      </c>
      <c r="AB2962" s="512">
        <f>Z2962</f>
        <v>20</v>
      </c>
      <c r="AC2962" s="500"/>
      <c r="AD2962" s="500"/>
      <c r="AE2962" s="500"/>
      <c r="AF2962" s="500"/>
      <c r="AG2962" s="500"/>
      <c r="AH2962" s="500"/>
      <c r="AI2962" s="500"/>
      <c r="AJ2962" s="500"/>
      <c r="AK2962" s="500"/>
      <c r="AL2962" s="500"/>
      <c r="AM2962" s="500"/>
      <c r="AN2962" s="500"/>
      <c r="AO2962" s="500"/>
      <c r="AP2962" s="500"/>
    </row>
    <row r="2963" spans="1:42" ht="16.5" customHeight="1">
      <c r="A2963" s="439"/>
      <c r="B2963" s="439"/>
      <c r="C2963" s="439"/>
      <c r="D2963" s="439"/>
      <c r="E2963" s="439"/>
      <c r="F2963" s="439"/>
      <c r="G2963" s="451" t="s">
        <v>3406</v>
      </c>
      <c r="Z2963" s="500"/>
      <c r="AA2963" s="500"/>
      <c r="AB2963" s="500"/>
      <c r="AC2963" s="500"/>
      <c r="AD2963" s="500"/>
      <c r="AE2963" s="500"/>
      <c r="AF2963" s="500"/>
      <c r="AG2963" s="500"/>
      <c r="AH2963" s="500"/>
      <c r="AI2963" s="500"/>
      <c r="AJ2963" s="500"/>
      <c r="AK2963" s="500"/>
      <c r="AL2963" s="500"/>
      <c r="AM2963" s="500"/>
      <c r="AN2963" s="500"/>
      <c r="AO2963" s="500"/>
      <c r="AP2963" s="500"/>
    </row>
    <row r="2964" spans="1:42" ht="16.5" customHeight="1">
      <c r="A2964" s="434"/>
      <c r="B2964" s="437" t="s">
        <v>3651</v>
      </c>
      <c r="C2964" s="439"/>
      <c r="D2964" s="439"/>
      <c r="E2964" s="439"/>
      <c r="F2964" s="439"/>
      <c r="G2964" s="451" t="s">
        <v>3652</v>
      </c>
      <c r="Z2964" s="500"/>
      <c r="AA2964" s="500"/>
      <c r="AB2964" s="500"/>
      <c r="AC2964" s="500"/>
      <c r="AD2964" s="500"/>
      <c r="AE2964" s="500"/>
      <c r="AF2964" s="500"/>
      <c r="AG2964" s="500"/>
      <c r="AH2964" s="500"/>
      <c r="AI2964" s="500"/>
      <c r="AJ2964" s="500"/>
      <c r="AK2964" s="500"/>
      <c r="AL2964" s="500"/>
      <c r="AM2964" s="500"/>
      <c r="AN2964" s="500"/>
      <c r="AO2964" s="500"/>
      <c r="AP2964" s="500"/>
    </row>
    <row r="2965" spans="1:42" ht="16.5" customHeight="1">
      <c r="A2965" s="439"/>
      <c r="B2965" s="439"/>
      <c r="C2965" s="439"/>
      <c r="D2965" s="439"/>
      <c r="E2965" s="439"/>
      <c r="F2965" s="439"/>
      <c r="G2965" s="451" t="s">
        <v>3406</v>
      </c>
      <c r="Z2965" s="500"/>
      <c r="AA2965" s="500"/>
      <c r="AB2965" s="500"/>
      <c r="AC2965" s="500"/>
      <c r="AD2965" s="500"/>
      <c r="AE2965" s="500"/>
      <c r="AF2965" s="500"/>
      <c r="AG2965" s="500"/>
      <c r="AH2965" s="500"/>
      <c r="AI2965" s="500"/>
      <c r="AJ2965" s="500"/>
      <c r="AK2965" s="500"/>
      <c r="AL2965" s="500"/>
      <c r="AM2965" s="500"/>
      <c r="AN2965" s="500"/>
      <c r="AO2965" s="500"/>
      <c r="AP2965" s="500"/>
    </row>
    <row r="2966" spans="1:42" ht="16.5" customHeight="1">
      <c r="A2966" s="439"/>
      <c r="B2966" s="439"/>
      <c r="C2966" s="439"/>
      <c r="D2966" s="439"/>
      <c r="E2966" s="439"/>
      <c r="F2966" s="439"/>
      <c r="G2966" s="451" t="s">
        <v>3406</v>
      </c>
      <c r="Z2966" s="500"/>
      <c r="AA2966" s="500"/>
      <c r="AB2966" s="500"/>
      <c r="AC2966" s="500"/>
      <c r="AD2966" s="500"/>
      <c r="AE2966" s="500"/>
      <c r="AF2966" s="500"/>
      <c r="AG2966" s="500"/>
      <c r="AH2966" s="500"/>
      <c r="AI2966" s="500"/>
      <c r="AJ2966" s="500"/>
      <c r="AK2966" s="500"/>
      <c r="AL2966" s="500"/>
      <c r="AM2966" s="500"/>
      <c r="AN2966" s="500"/>
      <c r="AO2966" s="500"/>
      <c r="AP2966" s="500"/>
    </row>
    <row r="2967" spans="1:42" ht="16.5" customHeight="1">
      <c r="A2967" s="439"/>
      <c r="B2967" s="439"/>
      <c r="C2967" s="439"/>
      <c r="D2967" s="439"/>
      <c r="E2967" s="439"/>
      <c r="F2967" s="439"/>
      <c r="G2967" s="451" t="s">
        <v>3406</v>
      </c>
      <c r="Z2967" s="500"/>
      <c r="AA2967" s="500"/>
      <c r="AB2967" s="500"/>
      <c r="AC2967" s="500"/>
      <c r="AD2967" s="500"/>
      <c r="AE2967" s="500"/>
      <c r="AF2967" s="500"/>
      <c r="AG2967" s="500"/>
      <c r="AH2967" s="500"/>
      <c r="AI2967" s="500"/>
      <c r="AJ2967" s="500"/>
      <c r="AK2967" s="500"/>
      <c r="AL2967" s="500"/>
      <c r="AM2967" s="500"/>
      <c r="AN2967" s="500"/>
      <c r="AO2967" s="500"/>
      <c r="AP2967" s="500"/>
    </row>
    <row r="2968" spans="1:42" ht="16.5" customHeight="1">
      <c r="A2968" s="439"/>
      <c r="B2968" s="439"/>
      <c r="C2968" s="439"/>
      <c r="D2968" s="439"/>
      <c r="E2968" s="439"/>
      <c r="F2968" s="439"/>
      <c r="G2968" s="451" t="s">
        <v>3406</v>
      </c>
      <c r="Z2968" s="500"/>
      <c r="AA2968" s="500"/>
      <c r="AB2968" s="500"/>
      <c r="AC2968" s="500"/>
      <c r="AD2968" s="500"/>
      <c r="AE2968" s="500"/>
      <c r="AF2968" s="500"/>
      <c r="AG2968" s="500"/>
      <c r="AH2968" s="500"/>
      <c r="AI2968" s="500"/>
      <c r="AJ2968" s="500"/>
      <c r="AK2968" s="500"/>
      <c r="AL2968" s="500"/>
      <c r="AM2968" s="500"/>
      <c r="AN2968" s="500"/>
      <c r="AO2968" s="500"/>
      <c r="AP2968" s="500"/>
    </row>
    <row r="2969" spans="1:42" ht="16.5" customHeight="1">
      <c r="A2969" s="434"/>
      <c r="B2969" s="437" t="s">
        <v>3496</v>
      </c>
      <c r="C2969" s="439"/>
      <c r="D2969" s="439"/>
      <c r="E2969" s="439"/>
      <c r="F2969" s="439"/>
      <c r="G2969" s="451" t="s">
        <v>3497</v>
      </c>
      <c r="Z2969" s="500"/>
      <c r="AA2969" s="500"/>
      <c r="AB2969" s="500"/>
      <c r="AC2969" s="500"/>
      <c r="AD2969" s="500"/>
      <c r="AE2969" s="500"/>
      <c r="AF2969" s="500"/>
      <c r="AG2969" s="500"/>
      <c r="AH2969" s="500"/>
      <c r="AI2969" s="500"/>
      <c r="AJ2969" s="500"/>
      <c r="AK2969" s="500"/>
      <c r="AL2969" s="500"/>
      <c r="AM2969" s="500"/>
      <c r="AN2969" s="500"/>
      <c r="AO2969" s="500"/>
      <c r="AP2969" s="500"/>
    </row>
    <row r="2970" spans="1:42" ht="16.5" customHeight="1">
      <c r="A2970" s="439"/>
      <c r="B2970" s="439"/>
      <c r="C2970" s="439"/>
      <c r="D2970" s="439"/>
      <c r="E2970" s="439"/>
      <c r="F2970" s="439"/>
      <c r="G2970" s="451" t="s">
        <v>3406</v>
      </c>
      <c r="Z2970" s="500"/>
      <c r="AA2970" s="500"/>
      <c r="AB2970" s="500"/>
      <c r="AC2970" s="500"/>
      <c r="AD2970" s="500"/>
      <c r="AE2970" s="500"/>
      <c r="AF2970" s="500"/>
      <c r="AG2970" s="500"/>
      <c r="AH2970" s="500"/>
      <c r="AI2970" s="500"/>
      <c r="AJ2970" s="500"/>
      <c r="AK2970" s="500"/>
      <c r="AL2970" s="500"/>
      <c r="AM2970" s="500"/>
      <c r="AN2970" s="500"/>
      <c r="AO2970" s="500"/>
      <c r="AP2970" s="500"/>
    </row>
    <row r="2971" spans="1:42" ht="16.5" customHeight="1">
      <c r="A2971" s="434" t="s">
        <v>3498</v>
      </c>
      <c r="B2971" s="505" t="str">
        <f>" 조경공 :  "&amp;TEXT(I2971,"#,##0"&amp;IF(I2971&lt;&gt;INT(I2971),".###",""))&amp;" * "&amp;AA2971&amp;" 인  / Q = "&amp;TEXT(C2971,"#,##0.0")&amp;""</f>
        <v xml:space="preserve"> 조경공 :  235,204 * 4 인  / Q = 47,040.8</v>
      </c>
      <c r="C2971" s="506">
        <f>E2971+D2971+F2971</f>
        <v>47040.800000000003</v>
      </c>
      <c r="D2971" s="506">
        <f>IF(H2971=0,0,ROUNDDOWN(J2971*H2971,1))</f>
        <v>47040.800000000003</v>
      </c>
      <c r="E2971" s="506">
        <f>IF(H2971=0,0,ROUNDDOWN(K2971*H2971,1))</f>
        <v>0</v>
      </c>
      <c r="F2971" s="506">
        <f>IF(H2971=0,0,ROUNDDOWN(L2971*H2971,1))</f>
        <v>0</v>
      </c>
      <c r="G2971" s="451" t="s">
        <v>3653</v>
      </c>
      <c r="H2971" s="507">
        <f>ROUNDUP(AE2971,14-LEN(ABS(INT(AE2971))))</f>
        <v>0.2</v>
      </c>
      <c r="I2971" s="508">
        <f>K2971+J2971+L2971</f>
        <v>235204</v>
      </c>
      <c r="J2971" s="509">
        <f>노무비목록표!E15</f>
        <v>235204</v>
      </c>
      <c r="M2971" s="501" t="s">
        <v>2359</v>
      </c>
      <c r="N2971" s="501" t="s">
        <v>3416</v>
      </c>
      <c r="X2971" s="510" t="str">
        <f>노무비목록표!B15&amp;" / "&amp;노무비목록표!C15</f>
        <v xml:space="preserve">조경공 / </v>
      </c>
      <c r="Y2971" s="433" t="str">
        <f ca="1">HYPERLINK("#"&amp;노무비목록표!G2&amp;"!A"&amp;ROW(노무비목록표!A15),"L00184 →")</f>
        <v>L00184 →</v>
      </c>
      <c r="Z2971" s="501" t="s">
        <v>3500</v>
      </c>
      <c r="AA2971" s="515">
        <v>4</v>
      </c>
      <c r="AB2971" s="501" t="s">
        <v>3428</v>
      </c>
      <c r="AC2971" s="512">
        <f>AB2962</f>
        <v>20</v>
      </c>
      <c r="AD2971" s="501" t="s">
        <v>3418</v>
      </c>
      <c r="AE2971" s="512">
        <f>1*AA2971/AB2962</f>
        <v>0.2</v>
      </c>
      <c r="AF2971" s="500"/>
      <c r="AG2971" s="500"/>
      <c r="AH2971" s="500"/>
      <c r="AI2971" s="500"/>
      <c r="AJ2971" s="500"/>
      <c r="AK2971" s="500"/>
      <c r="AL2971" s="500"/>
      <c r="AM2971" s="500"/>
      <c r="AN2971" s="500"/>
      <c r="AO2971" s="500"/>
      <c r="AP2971" s="500"/>
    </row>
    <row r="2972" spans="1:42" ht="16.5" customHeight="1">
      <c r="A2972" s="439"/>
      <c r="B2972" s="439"/>
      <c r="C2972" s="439"/>
      <c r="D2972" s="439"/>
      <c r="E2972" s="439"/>
      <c r="F2972" s="439"/>
      <c r="G2972" s="451" t="s">
        <v>3406</v>
      </c>
      <c r="Z2972" s="500"/>
      <c r="AA2972" s="500"/>
      <c r="AB2972" s="500"/>
      <c r="AC2972" s="500"/>
      <c r="AD2972" s="500"/>
      <c r="AE2972" s="500"/>
      <c r="AF2972" s="500"/>
      <c r="AG2972" s="500"/>
      <c r="AH2972" s="500"/>
      <c r="AI2972" s="500"/>
      <c r="AJ2972" s="500"/>
      <c r="AK2972" s="500"/>
      <c r="AL2972" s="500"/>
      <c r="AM2972" s="500"/>
      <c r="AN2972" s="500"/>
      <c r="AO2972" s="500"/>
      <c r="AP2972" s="500"/>
    </row>
    <row r="2973" spans="1:42" ht="16.5" customHeight="1">
      <c r="A2973" s="439"/>
      <c r="B2973" s="439"/>
      <c r="C2973" s="439"/>
      <c r="D2973" s="439"/>
      <c r="E2973" s="439"/>
      <c r="F2973" s="439"/>
      <c r="G2973" s="451" t="s">
        <v>3406</v>
      </c>
      <c r="Z2973" s="500"/>
      <c r="AA2973" s="500"/>
      <c r="AB2973" s="500"/>
      <c r="AC2973" s="500"/>
      <c r="AD2973" s="500"/>
      <c r="AE2973" s="500"/>
      <c r="AF2973" s="500"/>
      <c r="AG2973" s="500"/>
      <c r="AH2973" s="500"/>
      <c r="AI2973" s="500"/>
      <c r="AJ2973" s="500"/>
      <c r="AK2973" s="500"/>
      <c r="AL2973" s="500"/>
      <c r="AM2973" s="500"/>
      <c r="AN2973" s="500"/>
      <c r="AO2973" s="500"/>
      <c r="AP2973" s="500"/>
    </row>
    <row r="2974" spans="1:42" ht="16.5" customHeight="1">
      <c r="A2974" s="434" t="s">
        <v>3414</v>
      </c>
      <c r="B2974" s="505" t="str">
        <f>" 보통인부 : "&amp;TEXT(I2974,"#,##0"&amp;IF(I2974&lt;&gt;INT(I2974),".###",""))&amp;" * "&amp;AA2974&amp;" 인  / Q = "&amp;TEXT(C2974,"#,##0.0")&amp;""</f>
        <v xml:space="preserve"> 보통인부 : 172,068 * 2 인  / Q = 17,206.8</v>
      </c>
      <c r="C2974" s="506">
        <f>E2974+D2974+F2974</f>
        <v>17206.8</v>
      </c>
      <c r="D2974" s="506">
        <f>IF(H2974=0,0,ROUNDDOWN(J2974*H2974,1))</f>
        <v>17206.8</v>
      </c>
      <c r="E2974" s="506">
        <f>IF(H2974=0,0,ROUNDDOWN(K2974*H2974,1))</f>
        <v>0</v>
      </c>
      <c r="F2974" s="506">
        <f>IF(H2974=0,0,ROUNDDOWN(L2974*H2974,1))</f>
        <v>0</v>
      </c>
      <c r="G2974" s="451" t="s">
        <v>3654</v>
      </c>
      <c r="H2974" s="507">
        <f>ROUNDUP(AE2974,14-LEN(ABS(INT(AE2974))))</f>
        <v>0.1</v>
      </c>
      <c r="I2974" s="508">
        <f>K2974+J2974+L2974</f>
        <v>172068</v>
      </c>
      <c r="J2974" s="509">
        <f>노무비목록표!E10</f>
        <v>172068</v>
      </c>
      <c r="M2974" s="501" t="s">
        <v>2363</v>
      </c>
      <c r="N2974" s="501" t="s">
        <v>3416</v>
      </c>
      <c r="X2974" s="510" t="str">
        <f>노무비목록표!B10&amp;" / "&amp;노무비목록표!C10</f>
        <v xml:space="preserve">보통인부 / </v>
      </c>
      <c r="Y2974" s="433" t="str">
        <f ca="1">HYPERLINK("#"&amp;노무비목록표!G2&amp;"!A"&amp;ROW(노무비목록표!A10),"L00017 →")</f>
        <v>L00017 →</v>
      </c>
      <c r="Z2974" s="501" t="s">
        <v>3500</v>
      </c>
      <c r="AA2974" s="515">
        <v>2</v>
      </c>
      <c r="AB2974" s="501" t="s">
        <v>3428</v>
      </c>
      <c r="AC2974" s="512">
        <f>AB2962</f>
        <v>20</v>
      </c>
      <c r="AD2974" s="501" t="s">
        <v>3418</v>
      </c>
      <c r="AE2974" s="512">
        <f>1*AA2974/AB2962</f>
        <v>0.1</v>
      </c>
      <c r="AF2974" s="500"/>
      <c r="AG2974" s="500"/>
      <c r="AH2974" s="500"/>
      <c r="AI2974" s="500"/>
      <c r="AJ2974" s="500"/>
      <c r="AK2974" s="500"/>
      <c r="AL2974" s="500"/>
      <c r="AM2974" s="500"/>
      <c r="AN2974" s="500"/>
      <c r="AO2974" s="500"/>
      <c r="AP2974" s="500"/>
    </row>
    <row r="2975" spans="1:42" ht="16.5" customHeight="1">
      <c r="A2975" s="439"/>
      <c r="B2975" s="439"/>
      <c r="C2975" s="439"/>
      <c r="D2975" s="439"/>
      <c r="E2975" s="439"/>
      <c r="F2975" s="439"/>
      <c r="G2975" s="451" t="s">
        <v>3406</v>
      </c>
      <c r="Z2975" s="500"/>
      <c r="AA2975" s="500"/>
      <c r="AB2975" s="500"/>
      <c r="AC2975" s="500"/>
      <c r="AD2975" s="500"/>
      <c r="AE2975" s="500"/>
      <c r="AF2975" s="500"/>
      <c r="AG2975" s="500"/>
      <c r="AH2975" s="500"/>
      <c r="AI2975" s="500"/>
      <c r="AJ2975" s="500"/>
      <c r="AK2975" s="500"/>
      <c r="AL2975" s="500"/>
      <c r="AM2975" s="500"/>
      <c r="AN2975" s="500"/>
      <c r="AO2975" s="500"/>
      <c r="AP2975" s="500"/>
    </row>
    <row r="2976" spans="1:42" ht="16.5" customHeight="1">
      <c r="A2976" s="434"/>
      <c r="B2976" s="437" t="s">
        <v>3419</v>
      </c>
      <c r="C2976" s="513">
        <f>E2976+D2976+F2976</f>
        <v>64247.600000000006</v>
      </c>
      <c r="D2976" s="513">
        <f>SUMIF(N2957:N2975,M2976,D2957:D2975)</f>
        <v>64247.600000000006</v>
      </c>
      <c r="E2976" s="513">
        <f>SUMIF(N2957:N2975,M2976,E2957:E2975)</f>
        <v>0</v>
      </c>
      <c r="F2976" s="513">
        <f>SUMIF(N2957:N2975,M2976,F2957:F2975)</f>
        <v>0</v>
      </c>
      <c r="G2976" s="451" t="s">
        <v>3439</v>
      </c>
      <c r="M2976" s="501" t="s">
        <v>3416</v>
      </c>
      <c r="N2976" s="501" t="s">
        <v>3421</v>
      </c>
      <c r="Z2976" s="500"/>
      <c r="AA2976" s="500"/>
      <c r="AB2976" s="500"/>
      <c r="AC2976" s="500"/>
      <c r="AD2976" s="500"/>
      <c r="AE2976" s="500"/>
      <c r="AF2976" s="500"/>
      <c r="AG2976" s="500"/>
      <c r="AH2976" s="500"/>
      <c r="AI2976" s="500"/>
      <c r="AJ2976" s="500"/>
      <c r="AK2976" s="500"/>
      <c r="AL2976" s="500"/>
      <c r="AM2976" s="500"/>
      <c r="AN2976" s="500"/>
      <c r="AO2976" s="500"/>
      <c r="AP2976" s="500"/>
    </row>
    <row r="2977" spans="1:42" ht="16.5" customHeight="1">
      <c r="A2977" s="439"/>
      <c r="B2977" s="439"/>
      <c r="C2977" s="504"/>
      <c r="D2977" s="504"/>
      <c r="E2977" s="504"/>
      <c r="F2977" s="504"/>
      <c r="G2977" s="451" t="s">
        <v>3406</v>
      </c>
      <c r="Z2977" s="500"/>
      <c r="AA2977" s="500"/>
      <c r="AB2977" s="500"/>
      <c r="AC2977" s="500"/>
      <c r="AD2977" s="500"/>
      <c r="AE2977" s="500"/>
      <c r="AF2977" s="500"/>
      <c r="AG2977" s="500"/>
      <c r="AH2977" s="500"/>
      <c r="AI2977" s="500"/>
      <c r="AJ2977" s="500"/>
      <c r="AK2977" s="500"/>
      <c r="AL2977" s="500"/>
      <c r="AM2977" s="500"/>
      <c r="AN2977" s="500"/>
      <c r="AO2977" s="500"/>
      <c r="AP2977" s="500"/>
    </row>
    <row r="2978" spans="1:42" ht="16.5" customHeight="1">
      <c r="A2978" s="439"/>
      <c r="B2978" s="439"/>
      <c r="C2978" s="439"/>
      <c r="D2978" s="439"/>
      <c r="E2978" s="439"/>
      <c r="F2978" s="439"/>
      <c r="G2978" s="451" t="s">
        <v>3406</v>
      </c>
      <c r="Z2978" s="500"/>
      <c r="AA2978" s="500"/>
      <c r="AB2978" s="500"/>
      <c r="AC2978" s="500"/>
      <c r="AD2978" s="500"/>
      <c r="AE2978" s="500"/>
      <c r="AF2978" s="500"/>
      <c r="AG2978" s="500"/>
      <c r="AH2978" s="500"/>
      <c r="AI2978" s="500"/>
      <c r="AJ2978" s="500"/>
      <c r="AK2978" s="500"/>
      <c r="AL2978" s="500"/>
      <c r="AM2978" s="500"/>
      <c r="AN2978" s="500"/>
      <c r="AO2978" s="500"/>
      <c r="AP2978" s="500"/>
    </row>
    <row r="2979" spans="1:42" ht="16.5" customHeight="1">
      <c r="A2979" s="434"/>
      <c r="B2979" s="437" t="s">
        <v>3502</v>
      </c>
      <c r="C2979" s="439"/>
      <c r="D2979" s="439"/>
      <c r="E2979" s="439"/>
      <c r="F2979" s="439"/>
      <c r="G2979" s="451" t="s">
        <v>3503</v>
      </c>
      <c r="Z2979" s="500"/>
      <c r="AA2979" s="500"/>
      <c r="AB2979" s="500"/>
      <c r="AC2979" s="500"/>
      <c r="AD2979" s="500"/>
      <c r="AE2979" s="500"/>
      <c r="AF2979" s="500"/>
      <c r="AG2979" s="500"/>
      <c r="AH2979" s="500"/>
      <c r="AI2979" s="500"/>
      <c r="AJ2979" s="500"/>
      <c r="AK2979" s="500"/>
      <c r="AL2979" s="500"/>
      <c r="AM2979" s="500"/>
      <c r="AN2979" s="500"/>
      <c r="AO2979" s="500"/>
      <c r="AP2979" s="500"/>
    </row>
    <row r="2980" spans="1:42" ht="16.5" customHeight="1">
      <c r="A2980" s="439"/>
      <c r="B2980" s="439"/>
      <c r="C2980" s="439"/>
      <c r="D2980" s="439"/>
      <c r="E2980" s="439"/>
      <c r="F2980" s="439"/>
      <c r="G2980" s="451" t="s">
        <v>3406</v>
      </c>
      <c r="Z2980" s="500"/>
      <c r="AA2980" s="500"/>
      <c r="AB2980" s="500"/>
      <c r="AC2980" s="500"/>
      <c r="AD2980" s="500"/>
      <c r="AE2980" s="500"/>
      <c r="AF2980" s="500"/>
      <c r="AG2980" s="500"/>
      <c r="AH2980" s="500"/>
      <c r="AI2980" s="500"/>
      <c r="AJ2980" s="500"/>
      <c r="AK2980" s="500"/>
      <c r="AL2980" s="500"/>
      <c r="AM2980" s="500"/>
      <c r="AN2980" s="500"/>
      <c r="AO2980" s="500"/>
      <c r="AP2980" s="500"/>
    </row>
    <row r="2981" spans="1:42" ht="16.5" customHeight="1">
      <c r="A2981" s="434" t="s">
        <v>3628</v>
      </c>
      <c r="B2981" s="505" t="str">
        <f>"  지주목 이각, L1200 : "&amp;TEXT(I2981,"#,##0"&amp;IF(I2981&lt;&gt;INT(I2981),".###",""))&amp;" * "&amp;AA2981&amp;" 조  = "&amp;TEXT(C2981,"#,##0.0")&amp;""</f>
        <v xml:space="preserve">  지주목 이각, L1200 : 7,300 * 1 조  = 7,300.0</v>
      </c>
      <c r="C2981" s="506">
        <f>E2981+D2981+F2981</f>
        <v>7300</v>
      </c>
      <c r="D2981" s="506">
        <f>IF(H2981=0,0,ROUNDDOWN(J2981*H2981,1))</f>
        <v>0</v>
      </c>
      <c r="E2981" s="506">
        <f>IF(H2981=0,0,ROUNDDOWN(K2981*H2981,1))</f>
        <v>7300</v>
      </c>
      <c r="F2981" s="506">
        <f>IF(H2981=0,0,ROUNDDOWN(L2981*H2981,1))</f>
        <v>0</v>
      </c>
      <c r="G2981" s="451" t="s">
        <v>3629</v>
      </c>
      <c r="H2981" s="507">
        <f>ROUNDUP(AC2981,14-LEN(ABS(INT(AC2981))))</f>
        <v>1</v>
      </c>
      <c r="I2981" s="508">
        <f>K2981+J2981+L2981</f>
        <v>7300</v>
      </c>
      <c r="K2981" s="509">
        <f>재료비목록표!E94</f>
        <v>7300</v>
      </c>
      <c r="M2981" s="501" t="s">
        <v>3630</v>
      </c>
      <c r="N2981" s="501" t="s">
        <v>3416</v>
      </c>
      <c r="X2981" s="510" t="str">
        <f>재료비목록표!B94&amp;" / "&amp;재료비목록표!C94</f>
        <v>지주목 / 이각, L1200</v>
      </c>
      <c r="Y2981" s="433" t="str">
        <f ca="1">HYPERLINK("#"&amp;재료비목록표!G2&amp;"!A"&amp;ROW(재료비목록표!A94),"M08848 →")</f>
        <v>M08848 →</v>
      </c>
      <c r="Z2981" s="501" t="s">
        <v>3500</v>
      </c>
      <c r="AA2981" s="515">
        <v>1</v>
      </c>
      <c r="AB2981" s="501" t="s">
        <v>3418</v>
      </c>
      <c r="AC2981" s="512">
        <f>1*AA2981</f>
        <v>1</v>
      </c>
      <c r="AD2981" s="500"/>
      <c r="AE2981" s="500"/>
      <c r="AF2981" s="500"/>
      <c r="AG2981" s="500"/>
      <c r="AH2981" s="500"/>
      <c r="AI2981" s="500"/>
      <c r="AJ2981" s="500"/>
      <c r="AK2981" s="500"/>
      <c r="AL2981" s="500"/>
      <c r="AM2981" s="500"/>
      <c r="AN2981" s="500"/>
      <c r="AO2981" s="500"/>
      <c r="AP2981" s="500"/>
    </row>
    <row r="2982" spans="1:42" ht="16.5" customHeight="1">
      <c r="A2982" s="439"/>
      <c r="B2982" s="439"/>
      <c r="C2982" s="439"/>
      <c r="D2982" s="439"/>
      <c r="E2982" s="439"/>
      <c r="F2982" s="439"/>
      <c r="G2982" s="451" t="s">
        <v>3406</v>
      </c>
      <c r="Z2982" s="500"/>
      <c r="AA2982" s="500"/>
      <c r="AB2982" s="500"/>
      <c r="AC2982" s="500"/>
      <c r="AD2982" s="500"/>
      <c r="AE2982" s="500"/>
      <c r="AF2982" s="500"/>
      <c r="AG2982" s="500"/>
      <c r="AH2982" s="500"/>
      <c r="AI2982" s="500"/>
      <c r="AJ2982" s="500"/>
      <c r="AK2982" s="500"/>
      <c r="AL2982" s="500"/>
      <c r="AM2982" s="500"/>
      <c r="AN2982" s="500"/>
      <c r="AO2982" s="500"/>
      <c r="AP2982" s="500"/>
    </row>
    <row r="2983" spans="1:42" ht="16.5" customHeight="1">
      <c r="A2983" s="439"/>
      <c r="B2983" s="439"/>
      <c r="C2983" s="439"/>
      <c r="D2983" s="439"/>
      <c r="E2983" s="439"/>
      <c r="F2983" s="439"/>
      <c r="G2983" s="451" t="s">
        <v>3406</v>
      </c>
      <c r="Z2983" s="500"/>
      <c r="AA2983" s="500"/>
      <c r="AB2983" s="500"/>
      <c r="AC2983" s="500"/>
      <c r="AD2983" s="500"/>
      <c r="AE2983" s="500"/>
      <c r="AF2983" s="500"/>
      <c r="AG2983" s="500"/>
      <c r="AH2983" s="500"/>
      <c r="AI2983" s="500"/>
      <c r="AJ2983" s="500"/>
      <c r="AK2983" s="500"/>
      <c r="AL2983" s="500"/>
      <c r="AM2983" s="500"/>
      <c r="AN2983" s="500"/>
      <c r="AO2983" s="500"/>
      <c r="AP2983" s="500"/>
    </row>
    <row r="2984" spans="1:42" ht="16.5" customHeight="1">
      <c r="A2984" s="434" t="s">
        <v>3504</v>
      </c>
      <c r="B2984" s="505" t="str">
        <f>"  유기질비료 수목이식·식재용 : "&amp;TEXT(I2984,"#,##0"&amp;IF(I2984&lt;&gt;INT(I2984),".###",""))&amp;" * "&amp;AA2984&amp;" KG   = "&amp;TEXT(C2984,"#,##0.0")&amp;""</f>
        <v xml:space="preserve">  유기질비료 수목이식·식재용 : 500 * 10 KG   = 5,000.0</v>
      </c>
      <c r="C2984" s="506">
        <f>E2984+D2984+F2984</f>
        <v>5000</v>
      </c>
      <c r="D2984" s="506">
        <f>IF(H2984=0,0,ROUNDDOWN(J2984*H2984,1))</f>
        <v>0</v>
      </c>
      <c r="E2984" s="506">
        <f>IF(H2984=0,0,ROUNDDOWN(K2984*H2984,1))</f>
        <v>5000</v>
      </c>
      <c r="F2984" s="506">
        <f>IF(H2984=0,0,ROUNDDOWN(L2984*H2984,1))</f>
        <v>0</v>
      </c>
      <c r="G2984" s="451" t="s">
        <v>3631</v>
      </c>
      <c r="H2984" s="507">
        <f>ROUNDUP(AC2984,14-LEN(ABS(INT(AC2984))))</f>
        <v>10</v>
      </c>
      <c r="I2984" s="508">
        <f>K2984+J2984+L2984</f>
        <v>500</v>
      </c>
      <c r="K2984" s="509">
        <f>재료비목록표!E78</f>
        <v>500</v>
      </c>
      <c r="M2984" s="501" t="s">
        <v>3506</v>
      </c>
      <c r="N2984" s="501" t="s">
        <v>3416</v>
      </c>
      <c r="X2984" s="510" t="str">
        <f>재료비목록표!B78&amp;" / "&amp;재료비목록표!C78</f>
        <v>유기질비료 / 수목이식·식재용</v>
      </c>
      <c r="Y2984" s="433" t="str">
        <f ca="1">HYPERLINK("#"&amp;재료비목록표!G2&amp;"!A"&amp;ROW(재료비목록표!A78),"M01159 →")</f>
        <v>M01159 →</v>
      </c>
      <c r="Z2984" s="501" t="s">
        <v>3500</v>
      </c>
      <c r="AA2984" s="515">
        <v>10</v>
      </c>
      <c r="AB2984" s="501" t="s">
        <v>3418</v>
      </c>
      <c r="AC2984" s="512">
        <f>1*AA2984</f>
        <v>10</v>
      </c>
      <c r="AD2984" s="500"/>
      <c r="AE2984" s="500"/>
      <c r="AF2984" s="500"/>
      <c r="AG2984" s="500"/>
      <c r="AH2984" s="500"/>
      <c r="AI2984" s="500"/>
      <c r="AJ2984" s="500"/>
      <c r="AK2984" s="500"/>
      <c r="AL2984" s="500"/>
      <c r="AM2984" s="500"/>
      <c r="AN2984" s="500"/>
      <c r="AO2984" s="500"/>
      <c r="AP2984" s="500"/>
    </row>
    <row r="2985" spans="1:42" ht="16.5" customHeight="1">
      <c r="A2985" s="439"/>
      <c r="B2985" s="439"/>
      <c r="C2985" s="439"/>
      <c r="D2985" s="439"/>
      <c r="E2985" s="439"/>
      <c r="F2985" s="439"/>
      <c r="G2985" s="451" t="s">
        <v>3406</v>
      </c>
      <c r="Z2985" s="500"/>
      <c r="AA2985" s="500"/>
      <c r="AB2985" s="500"/>
      <c r="AC2985" s="500"/>
      <c r="AD2985" s="500"/>
      <c r="AE2985" s="500"/>
      <c r="AF2985" s="500"/>
      <c r="AG2985" s="500"/>
      <c r="AH2985" s="500"/>
      <c r="AI2985" s="500"/>
      <c r="AJ2985" s="500"/>
      <c r="AK2985" s="500"/>
      <c r="AL2985" s="500"/>
      <c r="AM2985" s="500"/>
      <c r="AN2985" s="500"/>
      <c r="AO2985" s="500"/>
      <c r="AP2985" s="500"/>
    </row>
    <row r="2986" spans="1:42" ht="16.5" customHeight="1">
      <c r="A2986" s="434"/>
      <c r="B2986" s="437" t="s">
        <v>3419</v>
      </c>
      <c r="C2986" s="513">
        <f>E2986+D2986+F2986</f>
        <v>12300</v>
      </c>
      <c r="D2986" s="513">
        <f>SUMIF(N2977:N2985,M2986,D2977:D2985)</f>
        <v>0</v>
      </c>
      <c r="E2986" s="513">
        <f>SUMIF(N2977:N2985,M2986,E2977:E2985)</f>
        <v>12300</v>
      </c>
      <c r="F2986" s="513">
        <f>SUMIF(N2977:N2985,M2986,F2977:F2985)</f>
        <v>0</v>
      </c>
      <c r="G2986" s="451" t="s">
        <v>3439</v>
      </c>
      <c r="M2986" s="501" t="s">
        <v>3416</v>
      </c>
      <c r="N2986" s="501" t="s">
        <v>3421</v>
      </c>
      <c r="Z2986" s="500"/>
      <c r="AA2986" s="500"/>
      <c r="AB2986" s="500"/>
      <c r="AC2986" s="500"/>
      <c r="AD2986" s="500"/>
      <c r="AE2986" s="500"/>
      <c r="AF2986" s="500"/>
      <c r="AG2986" s="500"/>
      <c r="AH2986" s="500"/>
      <c r="AI2986" s="500"/>
      <c r="AJ2986" s="500"/>
      <c r="AK2986" s="500"/>
      <c r="AL2986" s="500"/>
      <c r="AM2986" s="500"/>
      <c r="AN2986" s="500"/>
      <c r="AO2986" s="500"/>
      <c r="AP2986" s="500"/>
    </row>
    <row r="2987" spans="1:42" ht="16.5" customHeight="1">
      <c r="A2987" s="439"/>
      <c r="B2987" s="439"/>
      <c r="C2987" s="504"/>
      <c r="D2987" s="504"/>
      <c r="E2987" s="504"/>
      <c r="F2987" s="504"/>
      <c r="G2987" s="451" t="s">
        <v>3406</v>
      </c>
      <c r="Z2987" s="500"/>
      <c r="AA2987" s="500"/>
      <c r="AB2987" s="500"/>
      <c r="AC2987" s="500"/>
      <c r="AD2987" s="500"/>
      <c r="AE2987" s="500"/>
      <c r="AF2987" s="500"/>
      <c r="AG2987" s="500"/>
      <c r="AH2987" s="500"/>
      <c r="AI2987" s="500"/>
      <c r="AJ2987" s="500"/>
      <c r="AK2987" s="500"/>
      <c r="AL2987" s="500"/>
      <c r="AM2987" s="500"/>
      <c r="AN2987" s="500"/>
      <c r="AO2987" s="500"/>
      <c r="AP2987" s="500"/>
    </row>
    <row r="2988" spans="1:42" ht="16.5" customHeight="1">
      <c r="A2988" s="434"/>
      <c r="B2988" s="505" t="str">
        <f>"  산지할증 : "&amp;TEXT(I2988,"#,##0.0")&amp;" * "&amp;AA2988&amp;" %  = "&amp;TEXT(C2988,"#,##0.0")&amp;""</f>
        <v xml:space="preserve">  산지할증 : 64,247.6 * 25 %  = 16,061.9</v>
      </c>
      <c r="C2988" s="506">
        <f>E2988+D2988+F2988</f>
        <v>16061.9</v>
      </c>
      <c r="D2988" s="506">
        <f>IF(H2988=0,0,ROUNDDOWN(J2988*H2988/100,1))</f>
        <v>16061.9</v>
      </c>
      <c r="E2988" s="506">
        <f>IF(H2988=0,0,ROUNDDOWN(K2988*H2988/100,1))</f>
        <v>0</v>
      </c>
      <c r="F2988" s="506">
        <f>IF(H2988=0,0,ROUNDDOWN(L2988*H2988/100,1))</f>
        <v>0</v>
      </c>
      <c r="G2988" s="451" t="s">
        <v>5592</v>
      </c>
      <c r="H2988" s="507">
        <f>ROUNDUP(AC2988,14-LEN(ABS(INT(AC2988))))</f>
        <v>25</v>
      </c>
      <c r="I2988" s="508">
        <f>K2988+J2988+L2988</f>
        <v>64247.600000000006</v>
      </c>
      <c r="J2988" s="508">
        <f>D2976+D2986+SUMIF(N2987:N2987,N2988,D2987:D2987)</f>
        <v>64247.600000000006</v>
      </c>
      <c r="K2988" s="456">
        <v>0</v>
      </c>
      <c r="L2988" s="456">
        <v>0</v>
      </c>
      <c r="M2988" s="501" t="s">
        <v>5605</v>
      </c>
      <c r="N2988" s="501" t="s">
        <v>3416</v>
      </c>
      <c r="Z2988" s="501" t="s">
        <v>3500</v>
      </c>
      <c r="AA2988" s="515">
        <v>25</v>
      </c>
      <c r="AB2988" s="501" t="s">
        <v>3418</v>
      </c>
      <c r="AC2988" s="512">
        <f>1*AA2988</f>
        <v>25</v>
      </c>
      <c r="AD2988" s="500"/>
      <c r="AE2988" s="500"/>
      <c r="AF2988" s="500"/>
      <c r="AG2988" s="500"/>
      <c r="AH2988" s="500"/>
      <c r="AI2988" s="500"/>
      <c r="AJ2988" s="500"/>
      <c r="AK2988" s="500"/>
      <c r="AL2988" s="500"/>
      <c r="AM2988" s="500"/>
      <c r="AN2988" s="500"/>
      <c r="AO2988" s="500"/>
      <c r="AP2988" s="500"/>
    </row>
    <row r="2989" spans="1:42" ht="16.5" customHeight="1">
      <c r="A2989" s="439"/>
      <c r="B2989" s="439"/>
      <c r="C2989" s="439"/>
      <c r="D2989" s="439"/>
      <c r="E2989" s="439"/>
      <c r="F2989" s="439"/>
      <c r="G2989" s="451" t="s">
        <v>3406</v>
      </c>
      <c r="Z2989" s="500"/>
      <c r="AA2989" s="500"/>
      <c r="AB2989" s="500"/>
      <c r="AC2989" s="500"/>
      <c r="AD2989" s="500"/>
      <c r="AE2989" s="500"/>
      <c r="AF2989" s="500"/>
      <c r="AG2989" s="500"/>
      <c r="AH2989" s="500"/>
      <c r="AI2989" s="500"/>
      <c r="AJ2989" s="500"/>
      <c r="AK2989" s="500"/>
      <c r="AL2989" s="500"/>
      <c r="AM2989" s="500"/>
      <c r="AN2989" s="500"/>
      <c r="AO2989" s="500"/>
      <c r="AP2989" s="500"/>
    </row>
    <row r="2990" spans="1:42" ht="16.5" customHeight="1">
      <c r="A2990" s="434"/>
      <c r="B2990" s="437" t="s">
        <v>3419</v>
      </c>
      <c r="C2990" s="513">
        <f>E2990+D2990+F2990</f>
        <v>16061.9</v>
      </c>
      <c r="D2990" s="513">
        <f>SUMIF(N2987:N2989,M2990,D2987:D2989)</f>
        <v>16061.9</v>
      </c>
      <c r="E2990" s="513">
        <f>SUMIF(N2987:N2989,M2990,E2987:E2989)</f>
        <v>0</v>
      </c>
      <c r="F2990" s="513">
        <f>SUMIF(N2987:N2989,M2990,F2987:F2989)</f>
        <v>0</v>
      </c>
      <c r="G2990" s="451" t="s">
        <v>3439</v>
      </c>
      <c r="M2990" s="501" t="s">
        <v>3416</v>
      </c>
      <c r="N2990" s="501" t="s">
        <v>3421</v>
      </c>
      <c r="Z2990" s="500"/>
      <c r="AA2990" s="500"/>
      <c r="AB2990" s="500"/>
      <c r="AC2990" s="500"/>
      <c r="AD2990" s="500"/>
      <c r="AE2990" s="500"/>
      <c r="AF2990" s="500"/>
      <c r="AG2990" s="500"/>
      <c r="AH2990" s="500"/>
      <c r="AI2990" s="500"/>
      <c r="AJ2990" s="500"/>
      <c r="AK2990" s="500"/>
      <c r="AL2990" s="500"/>
      <c r="AM2990" s="500"/>
      <c r="AN2990" s="500"/>
      <c r="AO2990" s="500"/>
      <c r="AP2990" s="500"/>
    </row>
    <row r="2991" spans="1:42" ht="16.5" customHeight="1">
      <c r="A2991" s="439"/>
      <c r="B2991" s="439"/>
      <c r="C2991" s="504"/>
      <c r="D2991" s="504"/>
      <c r="E2991" s="504"/>
      <c r="F2991" s="504"/>
      <c r="G2991" s="451" t="s">
        <v>3406</v>
      </c>
      <c r="Z2991" s="500"/>
      <c r="AA2991" s="500"/>
      <c r="AB2991" s="500"/>
      <c r="AC2991" s="500"/>
      <c r="AD2991" s="500"/>
      <c r="AE2991" s="500"/>
      <c r="AF2991" s="500"/>
      <c r="AG2991" s="500"/>
      <c r="AH2991" s="500"/>
      <c r="AI2991" s="500"/>
      <c r="AJ2991" s="500"/>
      <c r="AK2991" s="500"/>
      <c r="AL2991" s="500"/>
      <c r="AM2991" s="500"/>
      <c r="AN2991" s="500"/>
      <c r="AO2991" s="500"/>
      <c r="AP2991" s="500"/>
    </row>
    <row r="2992" spans="1:42" ht="16.5" customHeight="1">
      <c r="A2992" s="434"/>
      <c r="B2992" s="437" t="s">
        <v>3440</v>
      </c>
      <c r="C2992" s="513">
        <f>E2992+D2992+F2992</f>
        <v>92609.5</v>
      </c>
      <c r="D2992" s="513">
        <f>SUMIF(N2957:N2991,M2992,D2957:D2991)</f>
        <v>80309.5</v>
      </c>
      <c r="E2992" s="513">
        <f>SUMIF(N2957:N2991,M2992,E2957:E2991)</f>
        <v>12300</v>
      </c>
      <c r="F2992" s="513">
        <f>SUMIF(N2957:N2991,M2992,F2957:F2991)</f>
        <v>0</v>
      </c>
      <c r="G2992" s="451" t="s">
        <v>3441</v>
      </c>
      <c r="M2992" s="501" t="s">
        <v>3421</v>
      </c>
      <c r="N2992" s="501" t="s">
        <v>2354</v>
      </c>
      <c r="Z2992" s="500"/>
      <c r="AA2992" s="500"/>
      <c r="AB2992" s="500"/>
      <c r="AC2992" s="500"/>
      <c r="AD2992" s="500"/>
      <c r="AE2992" s="500"/>
      <c r="AF2992" s="500"/>
      <c r="AG2992" s="500"/>
      <c r="AH2992" s="500"/>
      <c r="AI2992" s="500"/>
      <c r="AJ2992" s="500"/>
      <c r="AK2992" s="500"/>
      <c r="AL2992" s="500"/>
      <c r="AM2992" s="500"/>
      <c r="AN2992" s="500"/>
      <c r="AO2992" s="500"/>
      <c r="AP2992" s="500"/>
    </row>
    <row r="2993" spans="1:42" ht="16.5" customHeight="1">
      <c r="A2993" s="439"/>
      <c r="B2993" s="439"/>
      <c r="C2993" s="504"/>
      <c r="D2993" s="504"/>
      <c r="E2993" s="504"/>
      <c r="F2993" s="504"/>
      <c r="G2993" s="451" t="s">
        <v>3413</v>
      </c>
      <c r="Z2993" s="500"/>
      <c r="AA2993" s="500"/>
      <c r="AB2993" s="500"/>
      <c r="AC2993" s="500"/>
      <c r="AD2993" s="500"/>
      <c r="AE2993" s="500"/>
      <c r="AF2993" s="500"/>
      <c r="AG2993" s="500"/>
      <c r="AH2993" s="500"/>
      <c r="AI2993" s="500"/>
      <c r="AJ2993" s="500"/>
      <c r="AK2993" s="500"/>
      <c r="AL2993" s="500"/>
      <c r="AM2993" s="500"/>
      <c r="AN2993" s="500"/>
      <c r="AO2993" s="500"/>
      <c r="AP2993" s="500"/>
    </row>
    <row r="2994" spans="1:42" ht="16.5" customHeight="1">
      <c r="A2994" s="439"/>
      <c r="B2994" s="439"/>
      <c r="C2994" s="439"/>
      <c r="D2994" s="439"/>
      <c r="E2994" s="439"/>
      <c r="F2994" s="439"/>
      <c r="Z2994" s="500"/>
      <c r="AA2994" s="500"/>
      <c r="AB2994" s="500"/>
      <c r="AC2994" s="500"/>
      <c r="AD2994" s="500"/>
      <c r="AE2994" s="500"/>
      <c r="AF2994" s="500"/>
      <c r="AG2994" s="500"/>
      <c r="AH2994" s="500"/>
      <c r="AI2994" s="500"/>
      <c r="AJ2994" s="500"/>
      <c r="AK2994" s="500"/>
      <c r="AL2994" s="500"/>
      <c r="AM2994" s="500"/>
      <c r="AN2994" s="500"/>
      <c r="AO2994" s="500"/>
      <c r="AP2994" s="500"/>
    </row>
    <row r="2995" spans="1:42" ht="16.5" customHeight="1">
      <c r="A2995" s="439"/>
      <c r="B2995" s="439"/>
      <c r="C2995" s="439"/>
      <c r="D2995" s="439"/>
      <c r="E2995" s="439"/>
      <c r="F2995" s="439"/>
      <c r="Z2995" s="500"/>
      <c r="AA2995" s="500"/>
      <c r="AB2995" s="500"/>
      <c r="AC2995" s="500"/>
      <c r="AD2995" s="500"/>
      <c r="AE2995" s="500"/>
      <c r="AF2995" s="500"/>
      <c r="AG2995" s="500"/>
      <c r="AH2995" s="500"/>
      <c r="AI2995" s="500"/>
      <c r="AJ2995" s="500"/>
      <c r="AK2995" s="500"/>
      <c r="AL2995" s="500"/>
      <c r="AM2995" s="500"/>
      <c r="AN2995" s="500"/>
      <c r="AO2995" s="500"/>
      <c r="AP2995" s="500"/>
    </row>
    <row r="2996" spans="1:42" ht="16.5" customHeight="1">
      <c r="A2996" s="439"/>
      <c r="B2996" s="439"/>
      <c r="C2996" s="439"/>
      <c r="D2996" s="439"/>
      <c r="E2996" s="439"/>
      <c r="F2996" s="439"/>
      <c r="Z2996" s="500"/>
      <c r="AA2996" s="500"/>
      <c r="AB2996" s="500"/>
      <c r="AC2996" s="500"/>
      <c r="AD2996" s="500"/>
      <c r="AE2996" s="500"/>
      <c r="AF2996" s="500"/>
      <c r="AG2996" s="500"/>
      <c r="AH2996" s="500"/>
      <c r="AI2996" s="500"/>
      <c r="AJ2996" s="500"/>
      <c r="AK2996" s="500"/>
      <c r="AL2996" s="500"/>
      <c r="AM2996" s="500"/>
      <c r="AN2996" s="500"/>
      <c r="AO2996" s="500"/>
      <c r="AP2996" s="500"/>
    </row>
    <row r="2997" spans="1:42" ht="16.5" customHeight="1">
      <c r="A2997" s="439"/>
      <c r="B2997" s="439"/>
      <c r="C2997" s="439"/>
      <c r="D2997" s="439"/>
      <c r="E2997" s="439"/>
      <c r="F2997" s="439"/>
      <c r="Z2997" s="500"/>
      <c r="AA2997" s="500"/>
      <c r="AB2997" s="500"/>
      <c r="AC2997" s="500"/>
      <c r="AD2997" s="500"/>
      <c r="AE2997" s="500"/>
      <c r="AF2997" s="500"/>
      <c r="AG2997" s="500"/>
      <c r="AH2997" s="500"/>
      <c r="AI2997" s="500"/>
      <c r="AJ2997" s="500"/>
      <c r="AK2997" s="500"/>
      <c r="AL2997" s="500"/>
      <c r="AM2997" s="500"/>
      <c r="AN2997" s="500"/>
      <c r="AO2997" s="500"/>
      <c r="AP2997" s="500"/>
    </row>
    <row r="2998" spans="1:42" ht="16.5" customHeight="1">
      <c r="A2998" s="439"/>
      <c r="B2998" s="439"/>
      <c r="C2998" s="439"/>
      <c r="D2998" s="439"/>
      <c r="E2998" s="439"/>
      <c r="F2998" s="439"/>
      <c r="Z2998" s="500"/>
      <c r="AA2998" s="500"/>
      <c r="AB2998" s="500"/>
      <c r="AC2998" s="500"/>
      <c r="AD2998" s="500"/>
      <c r="AE2998" s="500"/>
      <c r="AF2998" s="500"/>
      <c r="AG2998" s="500"/>
      <c r="AH2998" s="500"/>
      <c r="AI2998" s="500"/>
      <c r="AJ2998" s="500"/>
      <c r="AK2998" s="500"/>
      <c r="AL2998" s="500"/>
      <c r="AM2998" s="500"/>
      <c r="AN2998" s="500"/>
      <c r="AO2998" s="500"/>
      <c r="AP2998" s="500"/>
    </row>
    <row r="2999" spans="1:42" ht="16.5" customHeight="1">
      <c r="A2999" s="439"/>
      <c r="B2999" s="439"/>
      <c r="C2999" s="439"/>
      <c r="D2999" s="439"/>
      <c r="E2999" s="439"/>
      <c r="F2999" s="439"/>
      <c r="Z2999" s="500"/>
      <c r="AA2999" s="500"/>
      <c r="AB2999" s="500"/>
      <c r="AC2999" s="500"/>
      <c r="AD2999" s="500"/>
      <c r="AE2999" s="500"/>
      <c r="AF2999" s="500"/>
      <c r="AG2999" s="500"/>
      <c r="AH2999" s="500"/>
      <c r="AI2999" s="500"/>
      <c r="AJ2999" s="500"/>
      <c r="AK2999" s="500"/>
      <c r="AL2999" s="500"/>
      <c r="AM2999" s="500"/>
      <c r="AN2999" s="500"/>
      <c r="AO2999" s="500"/>
      <c r="AP2999" s="500"/>
    </row>
    <row r="3000" spans="1:42" ht="16.5" customHeight="1">
      <c r="A3000" s="439"/>
      <c r="B3000" s="439"/>
      <c r="C3000" s="439"/>
      <c r="D3000" s="439"/>
      <c r="E3000" s="439"/>
      <c r="F3000" s="439"/>
      <c r="Z3000" s="500"/>
      <c r="AA3000" s="500"/>
      <c r="AB3000" s="500"/>
      <c r="AC3000" s="500"/>
      <c r="AD3000" s="500"/>
      <c r="AE3000" s="500"/>
      <c r="AF3000" s="500"/>
      <c r="AG3000" s="500"/>
      <c r="AH3000" s="500"/>
      <c r="AI3000" s="500"/>
      <c r="AJ3000" s="500"/>
      <c r="AK3000" s="500"/>
      <c r="AL3000" s="500"/>
      <c r="AM3000" s="500"/>
      <c r="AN3000" s="500"/>
      <c r="AO3000" s="500"/>
      <c r="AP3000" s="500"/>
    </row>
    <row r="3001" spans="1:42" ht="16.5" customHeight="1">
      <c r="A3001" s="439"/>
      <c r="B3001" s="439"/>
      <c r="C3001" s="439"/>
      <c r="D3001" s="439"/>
      <c r="E3001" s="439"/>
      <c r="F3001" s="439"/>
      <c r="Z3001" s="500"/>
      <c r="AA3001" s="500"/>
      <c r="AB3001" s="500"/>
      <c r="AC3001" s="500"/>
      <c r="AD3001" s="500"/>
      <c r="AE3001" s="500"/>
      <c r="AF3001" s="500"/>
      <c r="AG3001" s="500"/>
      <c r="AH3001" s="500"/>
      <c r="AI3001" s="500"/>
      <c r="AJ3001" s="500"/>
      <c r="AK3001" s="500"/>
      <c r="AL3001" s="500"/>
      <c r="AM3001" s="500"/>
      <c r="AN3001" s="500"/>
      <c r="AO3001" s="500"/>
      <c r="AP3001" s="500"/>
    </row>
    <row r="3002" spans="1:42" ht="16.5" customHeight="1">
      <c r="A3002" s="439"/>
      <c r="B3002" s="439"/>
      <c r="C3002" s="439"/>
      <c r="D3002" s="439"/>
      <c r="E3002" s="439"/>
      <c r="F3002" s="439"/>
      <c r="Z3002" s="500"/>
      <c r="AA3002" s="500"/>
      <c r="AB3002" s="500"/>
      <c r="AC3002" s="500"/>
      <c r="AD3002" s="500"/>
      <c r="AE3002" s="500"/>
      <c r="AF3002" s="500"/>
      <c r="AG3002" s="500"/>
      <c r="AH3002" s="500"/>
      <c r="AI3002" s="500"/>
      <c r="AJ3002" s="500"/>
      <c r="AK3002" s="500"/>
      <c r="AL3002" s="500"/>
      <c r="AM3002" s="500"/>
      <c r="AN3002" s="500"/>
      <c r="AO3002" s="500"/>
      <c r="AP3002" s="500"/>
    </row>
    <row r="3003" spans="1:42" ht="16.5" customHeight="1">
      <c r="A3003" s="497"/>
      <c r="B3003" s="497"/>
      <c r="C3003" s="497"/>
      <c r="D3003" s="497"/>
      <c r="E3003" s="497"/>
      <c r="F3003" s="497"/>
      <c r="Z3003" s="500"/>
      <c r="AA3003" s="500"/>
      <c r="AB3003" s="500"/>
      <c r="AC3003" s="500"/>
      <c r="AD3003" s="500"/>
      <c r="AE3003" s="500"/>
      <c r="AF3003" s="500"/>
      <c r="AG3003" s="500"/>
      <c r="AH3003" s="500"/>
      <c r="AI3003" s="500"/>
      <c r="AJ3003" s="500"/>
      <c r="AK3003" s="500"/>
      <c r="AL3003" s="500"/>
      <c r="AM3003" s="500"/>
      <c r="AN3003" s="500"/>
      <c r="AO3003" s="500"/>
      <c r="AP3003" s="500"/>
    </row>
    <row r="3004" spans="1:42" ht="16.5" customHeight="1">
      <c r="A3004" s="616" t="s">
        <v>3487</v>
      </c>
      <c r="B3004" s="605"/>
      <c r="C3004" s="446">
        <f>E3004+D3004+F3004</f>
        <v>92609</v>
      </c>
      <c r="D3004" s="453">
        <f>ROUNDDOWN(SUMIF(N2957:N2993,M3004,D2957:D2993),0)</f>
        <v>80309</v>
      </c>
      <c r="E3004" s="454">
        <f>ROUNDDOWN(SUMIF(N2957:N2993,M3004,E2957:E2993),0)</f>
        <v>12300</v>
      </c>
      <c r="F3004" s="446">
        <f>ROUNDDOWN(SUMIF(N2957:N2993,M3004,F2957:F2993),0)</f>
        <v>0</v>
      </c>
      <c r="M3004" s="501" t="s">
        <v>2354</v>
      </c>
      <c r="Z3004" s="500"/>
      <c r="AA3004" s="500"/>
      <c r="AB3004" s="500"/>
      <c r="AC3004" s="500"/>
      <c r="AD3004" s="500"/>
      <c r="AE3004" s="500"/>
      <c r="AF3004" s="500"/>
      <c r="AG3004" s="500"/>
      <c r="AH3004" s="500"/>
      <c r="AI3004" s="500"/>
      <c r="AJ3004" s="500"/>
      <c r="AK3004" s="500"/>
      <c r="AL3004" s="500"/>
      <c r="AM3004" s="500"/>
      <c r="AN3004" s="500"/>
      <c r="AO3004" s="500"/>
      <c r="AP3004" s="500"/>
    </row>
    <row r="3005" spans="1:42" ht="16.5" customHeight="1">
      <c r="A3005" s="502" t="s">
        <v>3351</v>
      </c>
      <c r="B3005" s="503" t="s">
        <v>5342</v>
      </c>
      <c r="C3005" s="615">
        <f>C3054</f>
        <v>162249</v>
      </c>
      <c r="D3005" s="615">
        <f>D3054</f>
        <v>133849</v>
      </c>
      <c r="E3005" s="615">
        <f>E3054</f>
        <v>28400</v>
      </c>
      <c r="F3005" s="615">
        <f>F3054</f>
        <v>0</v>
      </c>
      <c r="G3005" s="486" t="str">
        <f>HYPERLINK("#G"&amp;ROW(G3044),"_x0005_`BDCOD|D01324_x0007_`POSS|"&amp;ROW(G3007)&amp;"_x0007_`POSE|"&amp;ROW(G3044)&amp;"_x0007_`")</f>
        <v>_x0005_`BDCOD|D01324_x0007_`POSS|3007_x0007_`POSE|3044_x0007_`</v>
      </c>
      <c r="Z3005" s="500"/>
      <c r="AA3005" s="500"/>
      <c r="AB3005" s="500"/>
      <c r="AC3005" s="500"/>
      <c r="AD3005" s="500"/>
      <c r="AE3005" s="500"/>
      <c r="AF3005" s="500"/>
      <c r="AG3005" s="500"/>
      <c r="AH3005" s="500"/>
      <c r="AI3005" s="500"/>
      <c r="AJ3005" s="500"/>
      <c r="AK3005" s="500"/>
      <c r="AL3005" s="500"/>
      <c r="AM3005" s="500"/>
      <c r="AN3005" s="500"/>
      <c r="AO3005" s="500"/>
      <c r="AP3005" s="500"/>
    </row>
    <row r="3006" spans="1:42" ht="16.5" customHeight="1">
      <c r="A3006" s="485"/>
      <c r="B3006" s="503" t="s">
        <v>5614</v>
      </c>
      <c r="C3006" s="593"/>
      <c r="D3006" s="593"/>
      <c r="E3006" s="593"/>
      <c r="F3006" s="593"/>
      <c r="M3006" s="501" t="s">
        <v>5342</v>
      </c>
      <c r="Z3006" s="500"/>
      <c r="AA3006" s="500"/>
      <c r="AB3006" s="500"/>
      <c r="AC3006" s="500"/>
      <c r="AD3006" s="500"/>
      <c r="AE3006" s="500"/>
      <c r="AF3006" s="500"/>
      <c r="AG3006" s="500"/>
      <c r="AH3006" s="500"/>
      <c r="AI3006" s="500"/>
      <c r="AJ3006" s="500"/>
      <c r="AK3006" s="500"/>
      <c r="AL3006" s="500"/>
      <c r="AM3006" s="500"/>
      <c r="AN3006" s="500"/>
      <c r="AO3006" s="500"/>
      <c r="AP3006" s="500"/>
    </row>
    <row r="3007" spans="1:42" ht="16.5" customHeight="1">
      <c r="A3007" s="439"/>
      <c r="B3007" s="439"/>
      <c r="C3007" s="504"/>
      <c r="D3007" s="504"/>
      <c r="E3007" s="504"/>
      <c r="F3007" s="504"/>
      <c r="G3007" s="451" t="s">
        <v>3406</v>
      </c>
      <c r="Z3007" s="500"/>
      <c r="AA3007" s="500"/>
      <c r="AB3007" s="500"/>
      <c r="AC3007" s="500"/>
      <c r="AD3007" s="500"/>
      <c r="AE3007" s="500"/>
      <c r="AF3007" s="500"/>
      <c r="AG3007" s="500"/>
      <c r="AH3007" s="500"/>
      <c r="AI3007" s="500"/>
      <c r="AJ3007" s="500"/>
      <c r="AK3007" s="500"/>
      <c r="AL3007" s="500"/>
      <c r="AM3007" s="500"/>
      <c r="AN3007" s="500"/>
      <c r="AO3007" s="500"/>
      <c r="AP3007" s="500"/>
    </row>
    <row r="3008" spans="1:42" ht="16.5" customHeight="1">
      <c r="A3008" s="434"/>
      <c r="B3008" s="437" t="s">
        <v>3640</v>
      </c>
      <c r="C3008" s="439"/>
      <c r="D3008" s="439"/>
      <c r="E3008" s="439"/>
      <c r="F3008" s="439"/>
      <c r="G3008" s="451" t="s">
        <v>3641</v>
      </c>
      <c r="Z3008" s="500"/>
      <c r="AA3008" s="500"/>
      <c r="AB3008" s="500"/>
      <c r="AC3008" s="500"/>
      <c r="AD3008" s="500"/>
      <c r="AE3008" s="500"/>
      <c r="AF3008" s="500"/>
      <c r="AG3008" s="500"/>
      <c r="AH3008" s="500"/>
      <c r="AI3008" s="500"/>
      <c r="AJ3008" s="500"/>
      <c r="AK3008" s="500"/>
      <c r="AL3008" s="500"/>
      <c r="AM3008" s="500"/>
      <c r="AN3008" s="500"/>
      <c r="AO3008" s="500"/>
      <c r="AP3008" s="500"/>
    </row>
    <row r="3009" spans="1:42" ht="16.5" customHeight="1">
      <c r="A3009" s="439"/>
      <c r="B3009" s="439"/>
      <c r="C3009" s="439"/>
      <c r="D3009" s="439"/>
      <c r="E3009" s="439"/>
      <c r="F3009" s="439"/>
      <c r="G3009" s="451" t="s">
        <v>3406</v>
      </c>
      <c r="Z3009" s="500"/>
      <c r="AA3009" s="500"/>
      <c r="AB3009" s="500"/>
      <c r="AC3009" s="500"/>
      <c r="AD3009" s="500"/>
      <c r="AE3009" s="500"/>
      <c r="AF3009" s="500"/>
      <c r="AG3009" s="500"/>
      <c r="AH3009" s="500"/>
      <c r="AI3009" s="500"/>
      <c r="AJ3009" s="500"/>
      <c r="AK3009" s="500"/>
      <c r="AL3009" s="500"/>
      <c r="AM3009" s="500"/>
      <c r="AN3009" s="500"/>
      <c r="AO3009" s="500"/>
      <c r="AP3009" s="500"/>
    </row>
    <row r="3010" spans="1:42" ht="16.5" customHeight="1">
      <c r="A3010" s="434"/>
      <c r="B3010" s="437" t="s">
        <v>3642</v>
      </c>
      <c r="C3010" s="439"/>
      <c r="D3010" s="439"/>
      <c r="E3010" s="439"/>
      <c r="F3010" s="439"/>
      <c r="G3010" s="451" t="s">
        <v>3643</v>
      </c>
      <c r="Z3010" s="500"/>
      <c r="AA3010" s="500"/>
      <c r="AB3010" s="500"/>
      <c r="AC3010" s="500"/>
      <c r="AD3010" s="500"/>
      <c r="AE3010" s="500"/>
      <c r="AF3010" s="500"/>
      <c r="AG3010" s="500"/>
      <c r="AH3010" s="500"/>
      <c r="AI3010" s="500"/>
      <c r="AJ3010" s="500"/>
      <c r="AK3010" s="500"/>
      <c r="AL3010" s="500"/>
      <c r="AM3010" s="500"/>
      <c r="AN3010" s="500"/>
      <c r="AO3010" s="500"/>
      <c r="AP3010" s="500"/>
    </row>
    <row r="3011" spans="1:42" ht="16.5" customHeight="1">
      <c r="A3011" s="439"/>
      <c r="B3011" s="439"/>
      <c r="C3011" s="439"/>
      <c r="D3011" s="439"/>
      <c r="E3011" s="439"/>
      <c r="F3011" s="439"/>
      <c r="G3011" s="451" t="s">
        <v>3406</v>
      </c>
      <c r="Z3011" s="500"/>
      <c r="AA3011" s="500"/>
      <c r="AB3011" s="500"/>
      <c r="AC3011" s="500"/>
      <c r="AD3011" s="500"/>
      <c r="AE3011" s="500"/>
      <c r="AF3011" s="500"/>
      <c r="AG3011" s="500"/>
      <c r="AH3011" s="500"/>
      <c r="AI3011" s="500"/>
      <c r="AJ3011" s="500"/>
      <c r="AK3011" s="500"/>
      <c r="AL3011" s="500"/>
      <c r="AM3011" s="500"/>
      <c r="AN3011" s="500"/>
      <c r="AO3011" s="500"/>
      <c r="AP3011" s="500"/>
    </row>
    <row r="3012" spans="1:42" ht="16.5" customHeight="1">
      <c r="A3012" s="434"/>
      <c r="B3012" s="437" t="str">
        <f>" 일당 작업량 :   Q = "&amp;Z3012&amp;"  주 "</f>
        <v xml:space="preserve"> 일당 작업량 :   Q = 12  주 </v>
      </c>
      <c r="C3012" s="439"/>
      <c r="D3012" s="439"/>
      <c r="E3012" s="439"/>
      <c r="F3012" s="439"/>
      <c r="G3012" s="451" t="s">
        <v>3546</v>
      </c>
      <c r="Z3012" s="515">
        <v>12</v>
      </c>
      <c r="AA3012" s="501" t="s">
        <v>3418</v>
      </c>
      <c r="AB3012" s="512">
        <f>Z3012</f>
        <v>12</v>
      </c>
      <c r="AC3012" s="500"/>
      <c r="AD3012" s="500"/>
      <c r="AE3012" s="500"/>
      <c r="AF3012" s="500"/>
      <c r="AG3012" s="500"/>
      <c r="AH3012" s="500"/>
      <c r="AI3012" s="500"/>
      <c r="AJ3012" s="500"/>
      <c r="AK3012" s="500"/>
      <c r="AL3012" s="500"/>
      <c r="AM3012" s="500"/>
      <c r="AN3012" s="500"/>
      <c r="AO3012" s="500"/>
      <c r="AP3012" s="500"/>
    </row>
    <row r="3013" spans="1:42" ht="16.5" customHeight="1">
      <c r="A3013" s="439"/>
      <c r="B3013" s="439"/>
      <c r="C3013" s="439"/>
      <c r="D3013" s="439"/>
      <c r="E3013" s="439"/>
      <c r="F3013" s="439"/>
      <c r="G3013" s="451" t="s">
        <v>3406</v>
      </c>
      <c r="Z3013" s="500"/>
      <c r="AA3013" s="500"/>
      <c r="AB3013" s="500"/>
      <c r="AC3013" s="500"/>
      <c r="AD3013" s="500"/>
      <c r="AE3013" s="500"/>
      <c r="AF3013" s="500"/>
      <c r="AG3013" s="500"/>
      <c r="AH3013" s="500"/>
      <c r="AI3013" s="500"/>
      <c r="AJ3013" s="500"/>
      <c r="AK3013" s="500"/>
      <c r="AL3013" s="500"/>
      <c r="AM3013" s="500"/>
      <c r="AN3013" s="500"/>
      <c r="AO3013" s="500"/>
      <c r="AP3013" s="500"/>
    </row>
    <row r="3014" spans="1:42" ht="16.5" customHeight="1">
      <c r="A3014" s="434"/>
      <c r="B3014" s="437" t="s">
        <v>3651</v>
      </c>
      <c r="C3014" s="439"/>
      <c r="D3014" s="439"/>
      <c r="E3014" s="439"/>
      <c r="F3014" s="439"/>
      <c r="G3014" s="451" t="s">
        <v>3652</v>
      </c>
      <c r="Z3014" s="500"/>
      <c r="AA3014" s="500"/>
      <c r="AB3014" s="500"/>
      <c r="AC3014" s="500"/>
      <c r="AD3014" s="500"/>
      <c r="AE3014" s="500"/>
      <c r="AF3014" s="500"/>
      <c r="AG3014" s="500"/>
      <c r="AH3014" s="500"/>
      <c r="AI3014" s="500"/>
      <c r="AJ3014" s="500"/>
      <c r="AK3014" s="500"/>
      <c r="AL3014" s="500"/>
      <c r="AM3014" s="500"/>
      <c r="AN3014" s="500"/>
      <c r="AO3014" s="500"/>
      <c r="AP3014" s="500"/>
    </row>
    <row r="3015" spans="1:42" ht="16.5" customHeight="1">
      <c r="A3015" s="439"/>
      <c r="B3015" s="439"/>
      <c r="C3015" s="439"/>
      <c r="D3015" s="439"/>
      <c r="E3015" s="439"/>
      <c r="F3015" s="439"/>
      <c r="G3015" s="451" t="s">
        <v>3406</v>
      </c>
      <c r="Z3015" s="500"/>
      <c r="AA3015" s="500"/>
      <c r="AB3015" s="500"/>
      <c r="AC3015" s="500"/>
      <c r="AD3015" s="500"/>
      <c r="AE3015" s="500"/>
      <c r="AF3015" s="500"/>
      <c r="AG3015" s="500"/>
      <c r="AH3015" s="500"/>
      <c r="AI3015" s="500"/>
      <c r="AJ3015" s="500"/>
      <c r="AK3015" s="500"/>
      <c r="AL3015" s="500"/>
      <c r="AM3015" s="500"/>
      <c r="AN3015" s="500"/>
      <c r="AO3015" s="500"/>
      <c r="AP3015" s="500"/>
    </row>
    <row r="3016" spans="1:42" ht="16.5" customHeight="1">
      <c r="A3016" s="439"/>
      <c r="B3016" s="439"/>
      <c r="C3016" s="439"/>
      <c r="D3016" s="439"/>
      <c r="E3016" s="439"/>
      <c r="F3016" s="439"/>
      <c r="G3016" s="451" t="s">
        <v>3406</v>
      </c>
      <c r="Z3016" s="500"/>
      <c r="AA3016" s="500"/>
      <c r="AB3016" s="500"/>
      <c r="AC3016" s="500"/>
      <c r="AD3016" s="500"/>
      <c r="AE3016" s="500"/>
      <c r="AF3016" s="500"/>
      <c r="AG3016" s="500"/>
      <c r="AH3016" s="500"/>
      <c r="AI3016" s="500"/>
      <c r="AJ3016" s="500"/>
      <c r="AK3016" s="500"/>
      <c r="AL3016" s="500"/>
      <c r="AM3016" s="500"/>
      <c r="AN3016" s="500"/>
      <c r="AO3016" s="500"/>
      <c r="AP3016" s="500"/>
    </row>
    <row r="3017" spans="1:42" ht="16.5" customHeight="1">
      <c r="A3017" s="439"/>
      <c r="B3017" s="439"/>
      <c r="C3017" s="439"/>
      <c r="D3017" s="439"/>
      <c r="E3017" s="439"/>
      <c r="F3017" s="439"/>
      <c r="G3017" s="451" t="s">
        <v>3406</v>
      </c>
      <c r="Z3017" s="500"/>
      <c r="AA3017" s="500"/>
      <c r="AB3017" s="500"/>
      <c r="AC3017" s="500"/>
      <c r="AD3017" s="500"/>
      <c r="AE3017" s="500"/>
      <c r="AF3017" s="500"/>
      <c r="AG3017" s="500"/>
      <c r="AH3017" s="500"/>
      <c r="AI3017" s="500"/>
      <c r="AJ3017" s="500"/>
      <c r="AK3017" s="500"/>
      <c r="AL3017" s="500"/>
      <c r="AM3017" s="500"/>
      <c r="AN3017" s="500"/>
      <c r="AO3017" s="500"/>
      <c r="AP3017" s="500"/>
    </row>
    <row r="3018" spans="1:42" ht="16.5" customHeight="1">
      <c r="A3018" s="439"/>
      <c r="B3018" s="439"/>
      <c r="C3018" s="439"/>
      <c r="D3018" s="439"/>
      <c r="E3018" s="439"/>
      <c r="F3018" s="439"/>
      <c r="G3018" s="451" t="s">
        <v>3406</v>
      </c>
      <c r="Z3018" s="500"/>
      <c r="AA3018" s="500"/>
      <c r="AB3018" s="500"/>
      <c r="AC3018" s="500"/>
      <c r="AD3018" s="500"/>
      <c r="AE3018" s="500"/>
      <c r="AF3018" s="500"/>
      <c r="AG3018" s="500"/>
      <c r="AH3018" s="500"/>
      <c r="AI3018" s="500"/>
      <c r="AJ3018" s="500"/>
      <c r="AK3018" s="500"/>
      <c r="AL3018" s="500"/>
      <c r="AM3018" s="500"/>
      <c r="AN3018" s="500"/>
      <c r="AO3018" s="500"/>
      <c r="AP3018" s="500"/>
    </row>
    <row r="3019" spans="1:42" ht="16.5" customHeight="1">
      <c r="A3019" s="434"/>
      <c r="B3019" s="437" t="s">
        <v>3496</v>
      </c>
      <c r="C3019" s="439"/>
      <c r="D3019" s="439"/>
      <c r="E3019" s="439"/>
      <c r="F3019" s="439"/>
      <c r="G3019" s="451" t="s">
        <v>3497</v>
      </c>
      <c r="Z3019" s="500"/>
      <c r="AA3019" s="500"/>
      <c r="AB3019" s="500"/>
      <c r="AC3019" s="500"/>
      <c r="AD3019" s="500"/>
      <c r="AE3019" s="500"/>
      <c r="AF3019" s="500"/>
      <c r="AG3019" s="500"/>
      <c r="AH3019" s="500"/>
      <c r="AI3019" s="500"/>
      <c r="AJ3019" s="500"/>
      <c r="AK3019" s="500"/>
      <c r="AL3019" s="500"/>
      <c r="AM3019" s="500"/>
      <c r="AN3019" s="500"/>
      <c r="AO3019" s="500"/>
      <c r="AP3019" s="500"/>
    </row>
    <row r="3020" spans="1:42" ht="16.5" customHeight="1">
      <c r="A3020" s="439"/>
      <c r="B3020" s="439"/>
      <c r="C3020" s="439"/>
      <c r="D3020" s="439"/>
      <c r="E3020" s="439"/>
      <c r="F3020" s="439"/>
      <c r="G3020" s="451" t="s">
        <v>3406</v>
      </c>
      <c r="Z3020" s="500"/>
      <c r="AA3020" s="500"/>
      <c r="AB3020" s="500"/>
      <c r="AC3020" s="500"/>
      <c r="AD3020" s="500"/>
      <c r="AE3020" s="500"/>
      <c r="AF3020" s="500"/>
      <c r="AG3020" s="500"/>
      <c r="AH3020" s="500"/>
      <c r="AI3020" s="500"/>
      <c r="AJ3020" s="500"/>
      <c r="AK3020" s="500"/>
      <c r="AL3020" s="500"/>
      <c r="AM3020" s="500"/>
      <c r="AN3020" s="500"/>
      <c r="AO3020" s="500"/>
      <c r="AP3020" s="500"/>
    </row>
    <row r="3021" spans="1:42" ht="16.5" customHeight="1">
      <c r="A3021" s="434" t="s">
        <v>3498</v>
      </c>
      <c r="B3021" s="505" t="str">
        <f>" 조경공 :  "&amp;TEXT(I3021,"#,##0"&amp;IF(I3021&lt;&gt;INT(I3021),".###",""))&amp;" * "&amp;AA3021&amp;" 인  / Q = "&amp;TEXT(C3021,"#,##0.0")&amp;""</f>
        <v xml:space="preserve"> 조경공 :  235,204 * 4 인  / Q = 78,401.3</v>
      </c>
      <c r="C3021" s="506">
        <f>E3021+D3021+F3021</f>
        <v>78401.3</v>
      </c>
      <c r="D3021" s="506">
        <f>IF(H3021=0,0,ROUNDDOWN(J3021*H3021,1))</f>
        <v>78401.3</v>
      </c>
      <c r="E3021" s="506">
        <f>IF(H3021=0,0,ROUNDDOWN(K3021*H3021,1))</f>
        <v>0</v>
      </c>
      <c r="F3021" s="506">
        <f>IF(H3021=0,0,ROUNDDOWN(L3021*H3021,1))</f>
        <v>0</v>
      </c>
      <c r="G3021" s="451" t="s">
        <v>3653</v>
      </c>
      <c r="H3021" s="507">
        <f>ROUNDUP(AE3021,14-LEN(ABS(INT(AE3021))))</f>
        <v>0.33333333333339998</v>
      </c>
      <c r="I3021" s="508">
        <f>K3021+J3021+L3021</f>
        <v>235204</v>
      </c>
      <c r="J3021" s="509">
        <f>노무비목록표!E15</f>
        <v>235204</v>
      </c>
      <c r="M3021" s="501" t="s">
        <v>2359</v>
      </c>
      <c r="N3021" s="501" t="s">
        <v>3416</v>
      </c>
      <c r="X3021" s="510" t="str">
        <f>노무비목록표!B15&amp;" / "&amp;노무비목록표!C15</f>
        <v xml:space="preserve">조경공 / </v>
      </c>
      <c r="Y3021" s="433" t="str">
        <f ca="1">HYPERLINK("#"&amp;노무비목록표!G2&amp;"!A"&amp;ROW(노무비목록표!A15),"L00184 →")</f>
        <v>L00184 →</v>
      </c>
      <c r="Z3021" s="501" t="s">
        <v>3500</v>
      </c>
      <c r="AA3021" s="515">
        <v>4</v>
      </c>
      <c r="AB3021" s="501" t="s">
        <v>3428</v>
      </c>
      <c r="AC3021" s="512">
        <f>AB3012</f>
        <v>12</v>
      </c>
      <c r="AD3021" s="501" t="s">
        <v>3418</v>
      </c>
      <c r="AE3021" s="512">
        <f>1*AA3021/AB3012</f>
        <v>0.33333333333333331</v>
      </c>
      <c r="AF3021" s="500"/>
      <c r="AG3021" s="500"/>
      <c r="AH3021" s="500"/>
      <c r="AI3021" s="500"/>
      <c r="AJ3021" s="500"/>
      <c r="AK3021" s="500"/>
      <c r="AL3021" s="500"/>
      <c r="AM3021" s="500"/>
      <c r="AN3021" s="500"/>
      <c r="AO3021" s="500"/>
      <c r="AP3021" s="500"/>
    </row>
    <row r="3022" spans="1:42" ht="16.5" customHeight="1">
      <c r="A3022" s="439"/>
      <c r="B3022" s="439"/>
      <c r="C3022" s="439"/>
      <c r="D3022" s="439"/>
      <c r="E3022" s="439"/>
      <c r="F3022" s="439"/>
      <c r="G3022" s="451" t="s">
        <v>3406</v>
      </c>
      <c r="Z3022" s="500"/>
      <c r="AA3022" s="500"/>
      <c r="AB3022" s="500"/>
      <c r="AC3022" s="500"/>
      <c r="AD3022" s="500"/>
      <c r="AE3022" s="500"/>
      <c r="AF3022" s="500"/>
      <c r="AG3022" s="500"/>
      <c r="AH3022" s="500"/>
      <c r="AI3022" s="500"/>
      <c r="AJ3022" s="500"/>
      <c r="AK3022" s="500"/>
      <c r="AL3022" s="500"/>
      <c r="AM3022" s="500"/>
      <c r="AN3022" s="500"/>
      <c r="AO3022" s="500"/>
      <c r="AP3022" s="500"/>
    </row>
    <row r="3023" spans="1:42" ht="16.5" customHeight="1">
      <c r="A3023" s="439"/>
      <c r="B3023" s="439"/>
      <c r="C3023" s="439"/>
      <c r="D3023" s="439"/>
      <c r="E3023" s="439"/>
      <c r="F3023" s="439"/>
      <c r="G3023" s="451" t="s">
        <v>3406</v>
      </c>
      <c r="Z3023" s="500"/>
      <c r="AA3023" s="500"/>
      <c r="AB3023" s="500"/>
      <c r="AC3023" s="500"/>
      <c r="AD3023" s="500"/>
      <c r="AE3023" s="500"/>
      <c r="AF3023" s="500"/>
      <c r="AG3023" s="500"/>
      <c r="AH3023" s="500"/>
      <c r="AI3023" s="500"/>
      <c r="AJ3023" s="500"/>
      <c r="AK3023" s="500"/>
      <c r="AL3023" s="500"/>
      <c r="AM3023" s="500"/>
      <c r="AN3023" s="500"/>
      <c r="AO3023" s="500"/>
      <c r="AP3023" s="500"/>
    </row>
    <row r="3024" spans="1:42" ht="16.5" customHeight="1">
      <c r="A3024" s="434" t="s">
        <v>3414</v>
      </c>
      <c r="B3024" s="505" t="str">
        <f>" 보통인부 : "&amp;TEXT(I3024,"#,##0"&amp;IF(I3024&lt;&gt;INT(I3024),".###",""))&amp;" * "&amp;AA3024&amp;" 인  / Q = "&amp;TEXT(C3024,"#,##0.0")&amp;""</f>
        <v xml:space="preserve"> 보통인부 : 172,068 * 2 인  / Q = 28,678.0</v>
      </c>
      <c r="C3024" s="506">
        <f>E3024+D3024+F3024</f>
        <v>28678</v>
      </c>
      <c r="D3024" s="506">
        <f>IF(H3024=0,0,ROUNDDOWN(J3024*H3024,1))</f>
        <v>28678</v>
      </c>
      <c r="E3024" s="506">
        <f>IF(H3024=0,0,ROUNDDOWN(K3024*H3024,1))</f>
        <v>0</v>
      </c>
      <c r="F3024" s="506">
        <f>IF(H3024=0,0,ROUNDDOWN(L3024*H3024,1))</f>
        <v>0</v>
      </c>
      <c r="G3024" s="451" t="s">
        <v>3654</v>
      </c>
      <c r="H3024" s="507">
        <f>ROUNDUP(AE3024,14-LEN(ABS(INT(AE3024))))</f>
        <v>0.16666666666669999</v>
      </c>
      <c r="I3024" s="508">
        <f>K3024+J3024+L3024</f>
        <v>172068</v>
      </c>
      <c r="J3024" s="509">
        <f>노무비목록표!E10</f>
        <v>172068</v>
      </c>
      <c r="M3024" s="501" t="s">
        <v>2363</v>
      </c>
      <c r="N3024" s="501" t="s">
        <v>3416</v>
      </c>
      <c r="X3024" s="510" t="str">
        <f>노무비목록표!B10&amp;" / "&amp;노무비목록표!C10</f>
        <v xml:space="preserve">보통인부 / </v>
      </c>
      <c r="Y3024" s="433" t="str">
        <f ca="1">HYPERLINK("#"&amp;노무비목록표!G2&amp;"!A"&amp;ROW(노무비목록표!A10),"L00017 →")</f>
        <v>L00017 →</v>
      </c>
      <c r="Z3024" s="501" t="s">
        <v>3500</v>
      </c>
      <c r="AA3024" s="515">
        <v>2</v>
      </c>
      <c r="AB3024" s="501" t="s">
        <v>3428</v>
      </c>
      <c r="AC3024" s="512">
        <f>AB3012</f>
        <v>12</v>
      </c>
      <c r="AD3024" s="501" t="s">
        <v>3418</v>
      </c>
      <c r="AE3024" s="512">
        <f>1*AA3024/AB3012</f>
        <v>0.16666666666666666</v>
      </c>
      <c r="AF3024" s="500"/>
      <c r="AG3024" s="500"/>
      <c r="AH3024" s="500"/>
      <c r="AI3024" s="500"/>
      <c r="AJ3024" s="500"/>
      <c r="AK3024" s="500"/>
      <c r="AL3024" s="500"/>
      <c r="AM3024" s="500"/>
      <c r="AN3024" s="500"/>
      <c r="AO3024" s="500"/>
      <c r="AP3024" s="500"/>
    </row>
    <row r="3025" spans="1:42" ht="16.5" customHeight="1">
      <c r="A3025" s="439"/>
      <c r="B3025" s="439"/>
      <c r="C3025" s="439"/>
      <c r="D3025" s="439"/>
      <c r="E3025" s="439"/>
      <c r="F3025" s="439"/>
      <c r="G3025" s="451" t="s">
        <v>3406</v>
      </c>
      <c r="Z3025" s="500"/>
      <c r="AA3025" s="500"/>
      <c r="AB3025" s="500"/>
      <c r="AC3025" s="500"/>
      <c r="AD3025" s="500"/>
      <c r="AE3025" s="500"/>
      <c r="AF3025" s="500"/>
      <c r="AG3025" s="500"/>
      <c r="AH3025" s="500"/>
      <c r="AI3025" s="500"/>
      <c r="AJ3025" s="500"/>
      <c r="AK3025" s="500"/>
      <c r="AL3025" s="500"/>
      <c r="AM3025" s="500"/>
      <c r="AN3025" s="500"/>
      <c r="AO3025" s="500"/>
      <c r="AP3025" s="500"/>
    </row>
    <row r="3026" spans="1:42" ht="16.5" customHeight="1">
      <c r="A3026" s="434"/>
      <c r="B3026" s="437" t="s">
        <v>3419</v>
      </c>
      <c r="C3026" s="513">
        <f>E3026+D3026+F3026</f>
        <v>107079.3</v>
      </c>
      <c r="D3026" s="513">
        <f>SUMIF(N3007:N3025,M3026,D3007:D3025)</f>
        <v>107079.3</v>
      </c>
      <c r="E3026" s="513">
        <f>SUMIF(N3007:N3025,M3026,E3007:E3025)</f>
        <v>0</v>
      </c>
      <c r="F3026" s="513">
        <f>SUMIF(N3007:N3025,M3026,F3007:F3025)</f>
        <v>0</v>
      </c>
      <c r="G3026" s="451" t="s">
        <v>3439</v>
      </c>
      <c r="M3026" s="501" t="s">
        <v>3416</v>
      </c>
      <c r="N3026" s="501" t="s">
        <v>3421</v>
      </c>
      <c r="Z3026" s="500"/>
      <c r="AA3026" s="500"/>
      <c r="AB3026" s="500"/>
      <c r="AC3026" s="500"/>
      <c r="AD3026" s="500"/>
      <c r="AE3026" s="500"/>
      <c r="AF3026" s="500"/>
      <c r="AG3026" s="500"/>
      <c r="AH3026" s="500"/>
      <c r="AI3026" s="500"/>
      <c r="AJ3026" s="500"/>
      <c r="AK3026" s="500"/>
      <c r="AL3026" s="500"/>
      <c r="AM3026" s="500"/>
      <c r="AN3026" s="500"/>
      <c r="AO3026" s="500"/>
      <c r="AP3026" s="500"/>
    </row>
    <row r="3027" spans="1:42" ht="16.5" customHeight="1">
      <c r="A3027" s="439"/>
      <c r="B3027" s="439"/>
      <c r="C3027" s="504"/>
      <c r="D3027" s="504"/>
      <c r="E3027" s="504"/>
      <c r="F3027" s="504"/>
      <c r="G3027" s="451" t="s">
        <v>3406</v>
      </c>
      <c r="Z3027" s="500"/>
      <c r="AA3027" s="500"/>
      <c r="AB3027" s="500"/>
      <c r="AC3027" s="500"/>
      <c r="AD3027" s="500"/>
      <c r="AE3027" s="500"/>
      <c r="AF3027" s="500"/>
      <c r="AG3027" s="500"/>
      <c r="AH3027" s="500"/>
      <c r="AI3027" s="500"/>
      <c r="AJ3027" s="500"/>
      <c r="AK3027" s="500"/>
      <c r="AL3027" s="500"/>
      <c r="AM3027" s="500"/>
      <c r="AN3027" s="500"/>
      <c r="AO3027" s="500"/>
      <c r="AP3027" s="500"/>
    </row>
    <row r="3028" spans="1:42" ht="16.5" customHeight="1">
      <c r="A3028" s="439"/>
      <c r="B3028" s="439"/>
      <c r="C3028" s="439"/>
      <c r="D3028" s="439"/>
      <c r="E3028" s="439"/>
      <c r="F3028" s="439"/>
      <c r="G3028" s="451" t="s">
        <v>3406</v>
      </c>
      <c r="Z3028" s="500"/>
      <c r="AA3028" s="500"/>
      <c r="AB3028" s="500"/>
      <c r="AC3028" s="500"/>
      <c r="AD3028" s="500"/>
      <c r="AE3028" s="500"/>
      <c r="AF3028" s="500"/>
      <c r="AG3028" s="500"/>
      <c r="AH3028" s="500"/>
      <c r="AI3028" s="500"/>
      <c r="AJ3028" s="500"/>
      <c r="AK3028" s="500"/>
      <c r="AL3028" s="500"/>
      <c r="AM3028" s="500"/>
      <c r="AN3028" s="500"/>
      <c r="AO3028" s="500"/>
      <c r="AP3028" s="500"/>
    </row>
    <row r="3029" spans="1:42" ht="16.5" customHeight="1">
      <c r="A3029" s="434"/>
      <c r="B3029" s="437" t="s">
        <v>3502</v>
      </c>
      <c r="C3029" s="439"/>
      <c r="D3029" s="439"/>
      <c r="E3029" s="439"/>
      <c r="F3029" s="439"/>
      <c r="G3029" s="451" t="s">
        <v>3503</v>
      </c>
      <c r="Z3029" s="500"/>
      <c r="AA3029" s="500"/>
      <c r="AB3029" s="500"/>
      <c r="AC3029" s="500"/>
      <c r="AD3029" s="500"/>
      <c r="AE3029" s="500"/>
      <c r="AF3029" s="500"/>
      <c r="AG3029" s="500"/>
      <c r="AH3029" s="500"/>
      <c r="AI3029" s="500"/>
      <c r="AJ3029" s="500"/>
      <c r="AK3029" s="500"/>
      <c r="AL3029" s="500"/>
      <c r="AM3029" s="500"/>
      <c r="AN3029" s="500"/>
      <c r="AO3029" s="500"/>
      <c r="AP3029" s="500"/>
    </row>
    <row r="3030" spans="1:42" ht="16.5" customHeight="1">
      <c r="A3030" s="439"/>
      <c r="B3030" s="439"/>
      <c r="C3030" s="439"/>
      <c r="D3030" s="439"/>
      <c r="E3030" s="439"/>
      <c r="F3030" s="439"/>
      <c r="G3030" s="451" t="s">
        <v>3406</v>
      </c>
      <c r="Z3030" s="500"/>
      <c r="AA3030" s="500"/>
      <c r="AB3030" s="500"/>
      <c r="AC3030" s="500"/>
      <c r="AD3030" s="500"/>
      <c r="AE3030" s="500"/>
      <c r="AF3030" s="500"/>
      <c r="AG3030" s="500"/>
      <c r="AH3030" s="500"/>
      <c r="AI3030" s="500"/>
      <c r="AJ3030" s="500"/>
      <c r="AK3030" s="500"/>
      <c r="AL3030" s="500"/>
      <c r="AM3030" s="500"/>
      <c r="AN3030" s="500"/>
      <c r="AO3030" s="500"/>
      <c r="AP3030" s="500"/>
    </row>
    <row r="3031" spans="1:42" ht="16.5" customHeight="1">
      <c r="A3031" s="434" t="s">
        <v>3564</v>
      </c>
      <c r="B3031" s="505" t="str">
        <f>"  지주목삼발이, L1800 : "&amp;TEXT(I3031,"#,##0"&amp;IF(I3031&lt;&gt;INT(I3031),".###",""))&amp;" * "&amp;AA3031&amp;" 조  = "&amp;TEXT(C3031,"#,##0.0")&amp;""</f>
        <v xml:space="preserve">  지주목삼발이, L1800 : 13,400 * 1 조  = 13,400.0</v>
      </c>
      <c r="C3031" s="506">
        <f>E3031+D3031+F3031</f>
        <v>13400</v>
      </c>
      <c r="D3031" s="506">
        <f>IF(H3031=0,0,ROUNDDOWN(J3031*H3031,1))</f>
        <v>0</v>
      </c>
      <c r="E3031" s="506">
        <f>IF(H3031=0,0,ROUNDDOWN(K3031*H3031,1))</f>
        <v>13400</v>
      </c>
      <c r="F3031" s="506">
        <f>IF(H3031=0,0,ROUNDDOWN(L3031*H3031,1))</f>
        <v>0</v>
      </c>
      <c r="G3031" s="451" t="s">
        <v>3565</v>
      </c>
      <c r="H3031" s="507">
        <f>ROUNDUP(AC3031,14-LEN(ABS(INT(AC3031))))</f>
        <v>1</v>
      </c>
      <c r="I3031" s="508">
        <f>K3031+J3031+L3031</f>
        <v>13400</v>
      </c>
      <c r="K3031" s="509">
        <f>재료비목록표!E92</f>
        <v>13400</v>
      </c>
      <c r="M3031" s="501" t="s">
        <v>3566</v>
      </c>
      <c r="N3031" s="501" t="s">
        <v>3416</v>
      </c>
      <c r="X3031" s="510" t="str">
        <f>재료비목록표!B92&amp;" / "&amp;재료비목록표!C92</f>
        <v>지주목 / 삼발이, L1800</v>
      </c>
      <c r="Y3031" s="433" t="str">
        <f ca="1">HYPERLINK("#"&amp;재료비목록표!G2&amp;"!A"&amp;ROW(재료비목록표!A92),"M08850 →")</f>
        <v>M08850 →</v>
      </c>
      <c r="Z3031" s="501" t="s">
        <v>3500</v>
      </c>
      <c r="AA3031" s="515">
        <v>1</v>
      </c>
      <c r="AB3031" s="501" t="s">
        <v>3418</v>
      </c>
      <c r="AC3031" s="512">
        <f>1*AA3031</f>
        <v>1</v>
      </c>
      <c r="AD3031" s="500"/>
      <c r="AE3031" s="500"/>
      <c r="AF3031" s="500"/>
      <c r="AG3031" s="500"/>
      <c r="AH3031" s="500"/>
      <c r="AI3031" s="500"/>
      <c r="AJ3031" s="500"/>
      <c r="AK3031" s="500"/>
      <c r="AL3031" s="500"/>
      <c r="AM3031" s="500"/>
      <c r="AN3031" s="500"/>
      <c r="AO3031" s="500"/>
      <c r="AP3031" s="500"/>
    </row>
    <row r="3032" spans="1:42" ht="16.5" customHeight="1">
      <c r="A3032" s="439"/>
      <c r="B3032" s="439"/>
      <c r="C3032" s="439"/>
      <c r="D3032" s="439"/>
      <c r="E3032" s="439"/>
      <c r="F3032" s="439"/>
      <c r="G3032" s="451" t="s">
        <v>3406</v>
      </c>
      <c r="Z3032" s="500"/>
      <c r="AA3032" s="500"/>
      <c r="AB3032" s="500"/>
      <c r="AC3032" s="500"/>
      <c r="AD3032" s="500"/>
      <c r="AE3032" s="500"/>
      <c r="AF3032" s="500"/>
      <c r="AG3032" s="500"/>
      <c r="AH3032" s="500"/>
      <c r="AI3032" s="500"/>
      <c r="AJ3032" s="500"/>
      <c r="AK3032" s="500"/>
      <c r="AL3032" s="500"/>
      <c r="AM3032" s="500"/>
      <c r="AN3032" s="500"/>
      <c r="AO3032" s="500"/>
      <c r="AP3032" s="500"/>
    </row>
    <row r="3033" spans="1:42" ht="16.5" customHeight="1">
      <c r="A3033" s="439"/>
      <c r="B3033" s="439"/>
      <c r="C3033" s="439"/>
      <c r="D3033" s="439"/>
      <c r="E3033" s="439"/>
      <c r="F3033" s="439"/>
      <c r="G3033" s="451" t="s">
        <v>3406</v>
      </c>
      <c r="Z3033" s="500"/>
      <c r="AA3033" s="500"/>
      <c r="AB3033" s="500"/>
      <c r="AC3033" s="500"/>
      <c r="AD3033" s="500"/>
      <c r="AE3033" s="500"/>
      <c r="AF3033" s="500"/>
      <c r="AG3033" s="500"/>
      <c r="AH3033" s="500"/>
      <c r="AI3033" s="500"/>
      <c r="AJ3033" s="500"/>
      <c r="AK3033" s="500"/>
      <c r="AL3033" s="500"/>
      <c r="AM3033" s="500"/>
      <c r="AN3033" s="500"/>
      <c r="AO3033" s="500"/>
      <c r="AP3033" s="500"/>
    </row>
    <row r="3034" spans="1:42" ht="16.5" customHeight="1">
      <c r="A3034" s="439"/>
      <c r="B3034" s="439"/>
      <c r="C3034" s="439"/>
      <c r="D3034" s="439"/>
      <c r="E3034" s="439"/>
      <c r="F3034" s="439"/>
      <c r="G3034" s="451" t="s">
        <v>3406</v>
      </c>
      <c r="Z3034" s="500"/>
      <c r="AA3034" s="500"/>
      <c r="AB3034" s="500"/>
      <c r="AC3034" s="500"/>
      <c r="AD3034" s="500"/>
      <c r="AE3034" s="500"/>
      <c r="AF3034" s="500"/>
      <c r="AG3034" s="500"/>
      <c r="AH3034" s="500"/>
      <c r="AI3034" s="500"/>
      <c r="AJ3034" s="500"/>
      <c r="AK3034" s="500"/>
      <c r="AL3034" s="500"/>
      <c r="AM3034" s="500"/>
      <c r="AN3034" s="500"/>
      <c r="AO3034" s="500"/>
      <c r="AP3034" s="500"/>
    </row>
    <row r="3035" spans="1:42" ht="16.5" customHeight="1">
      <c r="A3035" s="434" t="s">
        <v>3504</v>
      </c>
      <c r="B3035" s="505" t="str">
        <f>"  유기질비료 수목이식·식재용 : "&amp;TEXT(I3035,"#,##0"&amp;IF(I3035&lt;&gt;INT(I3035),".###",""))&amp;" * "&amp;AA3035&amp;" KG   = "&amp;TEXT(C3035,"#,##0.0")&amp;""</f>
        <v xml:space="preserve">  유기질비료 수목이식·식재용 : 500 * 30 KG   = 15,000.0</v>
      </c>
      <c r="C3035" s="506">
        <f>E3035+D3035+F3035</f>
        <v>15000</v>
      </c>
      <c r="D3035" s="506">
        <f>IF(H3035=0,0,ROUNDDOWN(J3035*H3035,1))</f>
        <v>0</v>
      </c>
      <c r="E3035" s="506">
        <f>IF(H3035=0,0,ROUNDDOWN(K3035*H3035,1))</f>
        <v>15000</v>
      </c>
      <c r="F3035" s="506">
        <f>IF(H3035=0,0,ROUNDDOWN(L3035*H3035,1))</f>
        <v>0</v>
      </c>
      <c r="G3035" s="451" t="s">
        <v>3591</v>
      </c>
      <c r="H3035" s="507">
        <f>ROUNDUP(AC3035,14-LEN(ABS(INT(AC3035))))</f>
        <v>30</v>
      </c>
      <c r="I3035" s="508">
        <f>K3035+J3035+L3035</f>
        <v>500</v>
      </c>
      <c r="K3035" s="509">
        <f>재료비목록표!E78</f>
        <v>500</v>
      </c>
      <c r="M3035" s="501" t="s">
        <v>3506</v>
      </c>
      <c r="N3035" s="501" t="s">
        <v>3416</v>
      </c>
      <c r="X3035" s="510" t="str">
        <f>재료비목록표!B78&amp;" / "&amp;재료비목록표!C78</f>
        <v>유기질비료 / 수목이식·식재용</v>
      </c>
      <c r="Y3035" s="433" t="str">
        <f ca="1">HYPERLINK("#"&amp;재료비목록표!G2&amp;"!A"&amp;ROW(재료비목록표!A78),"M01159 →")</f>
        <v>M01159 →</v>
      </c>
      <c r="Z3035" s="501" t="s">
        <v>3500</v>
      </c>
      <c r="AA3035" s="515">
        <v>30</v>
      </c>
      <c r="AB3035" s="501" t="s">
        <v>3418</v>
      </c>
      <c r="AC3035" s="512">
        <f>1*AA3035</f>
        <v>30</v>
      </c>
      <c r="AD3035" s="500"/>
      <c r="AE3035" s="500"/>
      <c r="AF3035" s="500"/>
      <c r="AG3035" s="500"/>
      <c r="AH3035" s="500"/>
      <c r="AI3035" s="500"/>
      <c r="AJ3035" s="500"/>
      <c r="AK3035" s="500"/>
      <c r="AL3035" s="500"/>
      <c r="AM3035" s="500"/>
      <c r="AN3035" s="500"/>
      <c r="AO3035" s="500"/>
      <c r="AP3035" s="500"/>
    </row>
    <row r="3036" spans="1:42" ht="16.5" customHeight="1">
      <c r="A3036" s="439"/>
      <c r="B3036" s="439"/>
      <c r="C3036" s="439"/>
      <c r="D3036" s="439"/>
      <c r="E3036" s="439"/>
      <c r="F3036" s="439"/>
      <c r="G3036" s="451" t="s">
        <v>3406</v>
      </c>
      <c r="Z3036" s="500"/>
      <c r="AA3036" s="500"/>
      <c r="AB3036" s="500"/>
      <c r="AC3036" s="500"/>
      <c r="AD3036" s="500"/>
      <c r="AE3036" s="500"/>
      <c r="AF3036" s="500"/>
      <c r="AG3036" s="500"/>
      <c r="AH3036" s="500"/>
      <c r="AI3036" s="500"/>
      <c r="AJ3036" s="500"/>
      <c r="AK3036" s="500"/>
      <c r="AL3036" s="500"/>
      <c r="AM3036" s="500"/>
      <c r="AN3036" s="500"/>
      <c r="AO3036" s="500"/>
      <c r="AP3036" s="500"/>
    </row>
    <row r="3037" spans="1:42" ht="16.5" customHeight="1">
      <c r="A3037" s="434"/>
      <c r="B3037" s="437" t="s">
        <v>3419</v>
      </c>
      <c r="C3037" s="513">
        <f>E3037+D3037+F3037</f>
        <v>28400</v>
      </c>
      <c r="D3037" s="513">
        <f>SUMIF(N3027:N3036,M3037,D3027:D3036)</f>
        <v>0</v>
      </c>
      <c r="E3037" s="513">
        <f>SUMIF(N3027:N3036,M3037,E3027:E3036)</f>
        <v>28400</v>
      </c>
      <c r="F3037" s="513">
        <f>SUMIF(N3027:N3036,M3037,F3027:F3036)</f>
        <v>0</v>
      </c>
      <c r="G3037" s="451" t="s">
        <v>3439</v>
      </c>
      <c r="M3037" s="501" t="s">
        <v>3416</v>
      </c>
      <c r="N3037" s="501" t="s">
        <v>3421</v>
      </c>
      <c r="Z3037" s="500"/>
      <c r="AA3037" s="500"/>
      <c r="AB3037" s="500"/>
      <c r="AC3037" s="500"/>
      <c r="AD3037" s="500"/>
      <c r="AE3037" s="500"/>
      <c r="AF3037" s="500"/>
      <c r="AG3037" s="500"/>
      <c r="AH3037" s="500"/>
      <c r="AI3037" s="500"/>
      <c r="AJ3037" s="500"/>
      <c r="AK3037" s="500"/>
      <c r="AL3037" s="500"/>
      <c r="AM3037" s="500"/>
      <c r="AN3037" s="500"/>
      <c r="AO3037" s="500"/>
      <c r="AP3037" s="500"/>
    </row>
    <row r="3038" spans="1:42" ht="16.5" customHeight="1">
      <c r="A3038" s="439"/>
      <c r="B3038" s="439"/>
      <c r="C3038" s="504"/>
      <c r="D3038" s="504"/>
      <c r="E3038" s="504"/>
      <c r="F3038" s="504"/>
      <c r="G3038" s="451" t="s">
        <v>3406</v>
      </c>
      <c r="Z3038" s="500"/>
      <c r="AA3038" s="500"/>
      <c r="AB3038" s="500"/>
      <c r="AC3038" s="500"/>
      <c r="AD3038" s="500"/>
      <c r="AE3038" s="500"/>
      <c r="AF3038" s="500"/>
      <c r="AG3038" s="500"/>
      <c r="AH3038" s="500"/>
      <c r="AI3038" s="500"/>
      <c r="AJ3038" s="500"/>
      <c r="AK3038" s="500"/>
      <c r="AL3038" s="500"/>
      <c r="AM3038" s="500"/>
      <c r="AN3038" s="500"/>
      <c r="AO3038" s="500"/>
      <c r="AP3038" s="500"/>
    </row>
    <row r="3039" spans="1:42" ht="16.5" customHeight="1">
      <c r="A3039" s="434"/>
      <c r="B3039" s="505" t="str">
        <f>"  산지할증 : "&amp;TEXT(I3039,"#,##0.0")&amp;" * "&amp;AA3039&amp;" %  = "&amp;TEXT(C3039,"#,##0.0")&amp;""</f>
        <v xml:space="preserve">  산지할증 : 107,079.3 * 25 %  = 26,769.8</v>
      </c>
      <c r="C3039" s="506">
        <f>E3039+D3039+F3039</f>
        <v>26769.8</v>
      </c>
      <c r="D3039" s="506">
        <f>IF(H3039=0,0,ROUNDDOWN(J3039*H3039/100,1))</f>
        <v>26769.8</v>
      </c>
      <c r="E3039" s="506">
        <f>IF(H3039=0,0,ROUNDDOWN(K3039*H3039/100,1))</f>
        <v>0</v>
      </c>
      <c r="F3039" s="506">
        <f>IF(H3039=0,0,ROUNDDOWN(L3039*H3039/100,1))</f>
        <v>0</v>
      </c>
      <c r="G3039" s="451" t="s">
        <v>5592</v>
      </c>
      <c r="H3039" s="507">
        <f>ROUNDUP(AC3039,14-LEN(ABS(INT(AC3039))))</f>
        <v>25</v>
      </c>
      <c r="I3039" s="508">
        <f>K3039+J3039+L3039</f>
        <v>107079.3</v>
      </c>
      <c r="J3039" s="508">
        <f>D3026+D3037+SUMIF(N3038:N3038,N3039,D3038:D3038)</f>
        <v>107079.3</v>
      </c>
      <c r="K3039" s="456">
        <v>0</v>
      </c>
      <c r="L3039" s="456">
        <v>0</v>
      </c>
      <c r="M3039" s="501" t="s">
        <v>5605</v>
      </c>
      <c r="N3039" s="501" t="s">
        <v>3416</v>
      </c>
      <c r="Z3039" s="501" t="s">
        <v>3500</v>
      </c>
      <c r="AA3039" s="515">
        <v>25</v>
      </c>
      <c r="AB3039" s="501" t="s">
        <v>3418</v>
      </c>
      <c r="AC3039" s="512">
        <f>1*AA3039</f>
        <v>25</v>
      </c>
      <c r="AD3039" s="500"/>
      <c r="AE3039" s="500"/>
      <c r="AF3039" s="500"/>
      <c r="AG3039" s="500"/>
      <c r="AH3039" s="500"/>
      <c r="AI3039" s="500"/>
      <c r="AJ3039" s="500"/>
      <c r="AK3039" s="500"/>
      <c r="AL3039" s="500"/>
      <c r="AM3039" s="500"/>
      <c r="AN3039" s="500"/>
      <c r="AO3039" s="500"/>
      <c r="AP3039" s="500"/>
    </row>
    <row r="3040" spans="1:42" ht="16.5" customHeight="1">
      <c r="A3040" s="439"/>
      <c r="B3040" s="439"/>
      <c r="C3040" s="439"/>
      <c r="D3040" s="439"/>
      <c r="E3040" s="439"/>
      <c r="F3040" s="439"/>
      <c r="G3040" s="451" t="s">
        <v>3406</v>
      </c>
      <c r="Z3040" s="500"/>
      <c r="AA3040" s="500"/>
      <c r="AB3040" s="500"/>
      <c r="AC3040" s="500"/>
      <c r="AD3040" s="500"/>
      <c r="AE3040" s="500"/>
      <c r="AF3040" s="500"/>
      <c r="AG3040" s="500"/>
      <c r="AH3040" s="500"/>
      <c r="AI3040" s="500"/>
      <c r="AJ3040" s="500"/>
      <c r="AK3040" s="500"/>
      <c r="AL3040" s="500"/>
      <c r="AM3040" s="500"/>
      <c r="AN3040" s="500"/>
      <c r="AO3040" s="500"/>
      <c r="AP3040" s="500"/>
    </row>
    <row r="3041" spans="1:42" ht="16.5" customHeight="1">
      <c r="A3041" s="434"/>
      <c r="B3041" s="437" t="s">
        <v>3419</v>
      </c>
      <c r="C3041" s="513">
        <f>E3041+D3041+F3041</f>
        <v>26769.8</v>
      </c>
      <c r="D3041" s="513">
        <f>SUMIF(N3038:N3040,M3041,D3038:D3040)</f>
        <v>26769.8</v>
      </c>
      <c r="E3041" s="513">
        <f>SUMIF(N3038:N3040,M3041,E3038:E3040)</f>
        <v>0</v>
      </c>
      <c r="F3041" s="513">
        <f>SUMIF(N3038:N3040,M3041,F3038:F3040)</f>
        <v>0</v>
      </c>
      <c r="G3041" s="451" t="s">
        <v>3439</v>
      </c>
      <c r="M3041" s="501" t="s">
        <v>3416</v>
      </c>
      <c r="N3041" s="501" t="s">
        <v>3421</v>
      </c>
      <c r="Z3041" s="500"/>
      <c r="AA3041" s="500"/>
      <c r="AB3041" s="500"/>
      <c r="AC3041" s="500"/>
      <c r="AD3041" s="500"/>
      <c r="AE3041" s="500"/>
      <c r="AF3041" s="500"/>
      <c r="AG3041" s="500"/>
      <c r="AH3041" s="500"/>
      <c r="AI3041" s="500"/>
      <c r="AJ3041" s="500"/>
      <c r="AK3041" s="500"/>
      <c r="AL3041" s="500"/>
      <c r="AM3041" s="500"/>
      <c r="AN3041" s="500"/>
      <c r="AO3041" s="500"/>
      <c r="AP3041" s="500"/>
    </row>
    <row r="3042" spans="1:42" ht="16.5" customHeight="1">
      <c r="A3042" s="439"/>
      <c r="B3042" s="439"/>
      <c r="C3042" s="504"/>
      <c r="D3042" s="504"/>
      <c r="E3042" s="504"/>
      <c r="F3042" s="504"/>
      <c r="G3042" s="451" t="s">
        <v>3406</v>
      </c>
      <c r="Z3042" s="500"/>
      <c r="AA3042" s="500"/>
      <c r="AB3042" s="500"/>
      <c r="AC3042" s="500"/>
      <c r="AD3042" s="500"/>
      <c r="AE3042" s="500"/>
      <c r="AF3042" s="500"/>
      <c r="AG3042" s="500"/>
      <c r="AH3042" s="500"/>
      <c r="AI3042" s="500"/>
      <c r="AJ3042" s="500"/>
      <c r="AK3042" s="500"/>
      <c r="AL3042" s="500"/>
      <c r="AM3042" s="500"/>
      <c r="AN3042" s="500"/>
      <c r="AO3042" s="500"/>
      <c r="AP3042" s="500"/>
    </row>
    <row r="3043" spans="1:42" ht="16.5" customHeight="1">
      <c r="A3043" s="434"/>
      <c r="B3043" s="437" t="s">
        <v>3440</v>
      </c>
      <c r="C3043" s="513">
        <f>E3043+D3043+F3043</f>
        <v>162249.1</v>
      </c>
      <c r="D3043" s="513">
        <f>SUMIF(N3007:N3042,M3043,D3007:D3042)</f>
        <v>133849.1</v>
      </c>
      <c r="E3043" s="513">
        <f>SUMIF(N3007:N3042,M3043,E3007:E3042)</f>
        <v>28400</v>
      </c>
      <c r="F3043" s="513">
        <f>SUMIF(N3007:N3042,M3043,F3007:F3042)</f>
        <v>0</v>
      </c>
      <c r="G3043" s="451" t="s">
        <v>3441</v>
      </c>
      <c r="M3043" s="501" t="s">
        <v>3421</v>
      </c>
      <c r="N3043" s="501" t="s">
        <v>2354</v>
      </c>
      <c r="Z3043" s="500"/>
      <c r="AA3043" s="500"/>
      <c r="AB3043" s="500"/>
      <c r="AC3043" s="500"/>
      <c r="AD3043" s="500"/>
      <c r="AE3043" s="500"/>
      <c r="AF3043" s="500"/>
      <c r="AG3043" s="500"/>
      <c r="AH3043" s="500"/>
      <c r="AI3043" s="500"/>
      <c r="AJ3043" s="500"/>
      <c r="AK3043" s="500"/>
      <c r="AL3043" s="500"/>
      <c r="AM3043" s="500"/>
      <c r="AN3043" s="500"/>
      <c r="AO3043" s="500"/>
      <c r="AP3043" s="500"/>
    </row>
    <row r="3044" spans="1:42" ht="16.5" customHeight="1">
      <c r="A3044" s="439"/>
      <c r="B3044" s="439"/>
      <c r="C3044" s="504"/>
      <c r="D3044" s="504"/>
      <c r="E3044" s="504"/>
      <c r="F3044" s="504"/>
      <c r="G3044" s="451" t="s">
        <v>3413</v>
      </c>
      <c r="Z3044" s="500"/>
      <c r="AA3044" s="500"/>
      <c r="AB3044" s="500"/>
      <c r="AC3044" s="500"/>
      <c r="AD3044" s="500"/>
      <c r="AE3044" s="500"/>
      <c r="AF3044" s="500"/>
      <c r="AG3044" s="500"/>
      <c r="AH3044" s="500"/>
      <c r="AI3044" s="500"/>
      <c r="AJ3044" s="500"/>
      <c r="AK3044" s="500"/>
      <c r="AL3044" s="500"/>
      <c r="AM3044" s="500"/>
      <c r="AN3044" s="500"/>
      <c r="AO3044" s="500"/>
      <c r="AP3044" s="500"/>
    </row>
    <row r="3045" spans="1:42" ht="16.5" customHeight="1">
      <c r="A3045" s="439"/>
      <c r="B3045" s="439"/>
      <c r="C3045" s="439"/>
      <c r="D3045" s="439"/>
      <c r="E3045" s="439"/>
      <c r="F3045" s="439"/>
      <c r="Z3045" s="500"/>
      <c r="AA3045" s="500"/>
      <c r="AB3045" s="500"/>
      <c r="AC3045" s="500"/>
      <c r="AD3045" s="500"/>
      <c r="AE3045" s="500"/>
      <c r="AF3045" s="500"/>
      <c r="AG3045" s="500"/>
      <c r="AH3045" s="500"/>
      <c r="AI3045" s="500"/>
      <c r="AJ3045" s="500"/>
      <c r="AK3045" s="500"/>
      <c r="AL3045" s="500"/>
      <c r="AM3045" s="500"/>
      <c r="AN3045" s="500"/>
      <c r="AO3045" s="500"/>
      <c r="AP3045" s="500"/>
    </row>
    <row r="3046" spans="1:42" ht="16.5" customHeight="1">
      <c r="A3046" s="439"/>
      <c r="B3046" s="439"/>
      <c r="C3046" s="439"/>
      <c r="D3046" s="439"/>
      <c r="E3046" s="439"/>
      <c r="F3046" s="439"/>
      <c r="Z3046" s="500"/>
      <c r="AA3046" s="500"/>
      <c r="AB3046" s="500"/>
      <c r="AC3046" s="500"/>
      <c r="AD3046" s="500"/>
      <c r="AE3046" s="500"/>
      <c r="AF3046" s="500"/>
      <c r="AG3046" s="500"/>
      <c r="AH3046" s="500"/>
      <c r="AI3046" s="500"/>
      <c r="AJ3046" s="500"/>
      <c r="AK3046" s="500"/>
      <c r="AL3046" s="500"/>
      <c r="AM3046" s="500"/>
      <c r="AN3046" s="500"/>
      <c r="AO3046" s="500"/>
      <c r="AP3046" s="500"/>
    </row>
    <row r="3047" spans="1:42" ht="16.5" customHeight="1">
      <c r="A3047" s="439"/>
      <c r="B3047" s="439"/>
      <c r="C3047" s="439"/>
      <c r="D3047" s="439"/>
      <c r="E3047" s="439"/>
      <c r="F3047" s="439"/>
      <c r="Z3047" s="500"/>
      <c r="AA3047" s="500"/>
      <c r="AB3047" s="500"/>
      <c r="AC3047" s="500"/>
      <c r="AD3047" s="500"/>
      <c r="AE3047" s="500"/>
      <c r="AF3047" s="500"/>
      <c r="AG3047" s="500"/>
      <c r="AH3047" s="500"/>
      <c r="AI3047" s="500"/>
      <c r="AJ3047" s="500"/>
      <c r="AK3047" s="500"/>
      <c r="AL3047" s="500"/>
      <c r="AM3047" s="500"/>
      <c r="AN3047" s="500"/>
      <c r="AO3047" s="500"/>
      <c r="AP3047" s="500"/>
    </row>
    <row r="3048" spans="1:42" ht="16.5" customHeight="1">
      <c r="A3048" s="439"/>
      <c r="B3048" s="439"/>
      <c r="C3048" s="439"/>
      <c r="D3048" s="439"/>
      <c r="E3048" s="439"/>
      <c r="F3048" s="439"/>
      <c r="Z3048" s="500"/>
      <c r="AA3048" s="500"/>
      <c r="AB3048" s="500"/>
      <c r="AC3048" s="500"/>
      <c r="AD3048" s="500"/>
      <c r="AE3048" s="500"/>
      <c r="AF3048" s="500"/>
      <c r="AG3048" s="500"/>
      <c r="AH3048" s="500"/>
      <c r="AI3048" s="500"/>
      <c r="AJ3048" s="500"/>
      <c r="AK3048" s="500"/>
      <c r="AL3048" s="500"/>
      <c r="AM3048" s="500"/>
      <c r="AN3048" s="500"/>
      <c r="AO3048" s="500"/>
      <c r="AP3048" s="500"/>
    </row>
    <row r="3049" spans="1:42" ht="16.5" customHeight="1">
      <c r="A3049" s="439"/>
      <c r="B3049" s="439"/>
      <c r="C3049" s="439"/>
      <c r="D3049" s="439"/>
      <c r="E3049" s="439"/>
      <c r="F3049" s="439"/>
      <c r="Z3049" s="500"/>
      <c r="AA3049" s="500"/>
      <c r="AB3049" s="500"/>
      <c r="AC3049" s="500"/>
      <c r="AD3049" s="500"/>
      <c r="AE3049" s="500"/>
      <c r="AF3049" s="500"/>
      <c r="AG3049" s="500"/>
      <c r="AH3049" s="500"/>
      <c r="AI3049" s="500"/>
      <c r="AJ3049" s="500"/>
      <c r="AK3049" s="500"/>
      <c r="AL3049" s="500"/>
      <c r="AM3049" s="500"/>
      <c r="AN3049" s="500"/>
      <c r="AO3049" s="500"/>
      <c r="AP3049" s="500"/>
    </row>
    <row r="3050" spans="1:42" ht="16.5" customHeight="1">
      <c r="A3050" s="439"/>
      <c r="B3050" s="439"/>
      <c r="C3050" s="439"/>
      <c r="D3050" s="439"/>
      <c r="E3050" s="439"/>
      <c r="F3050" s="439"/>
      <c r="Z3050" s="500"/>
      <c r="AA3050" s="500"/>
      <c r="AB3050" s="500"/>
      <c r="AC3050" s="500"/>
      <c r="AD3050" s="500"/>
      <c r="AE3050" s="500"/>
      <c r="AF3050" s="500"/>
      <c r="AG3050" s="500"/>
      <c r="AH3050" s="500"/>
      <c r="AI3050" s="500"/>
      <c r="AJ3050" s="500"/>
      <c r="AK3050" s="500"/>
      <c r="AL3050" s="500"/>
      <c r="AM3050" s="500"/>
      <c r="AN3050" s="500"/>
      <c r="AO3050" s="500"/>
      <c r="AP3050" s="500"/>
    </row>
    <row r="3051" spans="1:42" ht="16.5" customHeight="1">
      <c r="A3051" s="439"/>
      <c r="B3051" s="439"/>
      <c r="C3051" s="439"/>
      <c r="D3051" s="439"/>
      <c r="E3051" s="439"/>
      <c r="F3051" s="439"/>
      <c r="Z3051" s="500"/>
      <c r="AA3051" s="500"/>
      <c r="AB3051" s="500"/>
      <c r="AC3051" s="500"/>
      <c r="AD3051" s="500"/>
      <c r="AE3051" s="500"/>
      <c r="AF3051" s="500"/>
      <c r="AG3051" s="500"/>
      <c r="AH3051" s="500"/>
      <c r="AI3051" s="500"/>
      <c r="AJ3051" s="500"/>
      <c r="AK3051" s="500"/>
      <c r="AL3051" s="500"/>
      <c r="AM3051" s="500"/>
      <c r="AN3051" s="500"/>
      <c r="AO3051" s="500"/>
      <c r="AP3051" s="500"/>
    </row>
    <row r="3052" spans="1:42" ht="16.5" customHeight="1">
      <c r="A3052" s="439"/>
      <c r="B3052" s="439"/>
      <c r="C3052" s="439"/>
      <c r="D3052" s="439"/>
      <c r="E3052" s="439"/>
      <c r="F3052" s="439"/>
      <c r="Z3052" s="500"/>
      <c r="AA3052" s="500"/>
      <c r="AB3052" s="500"/>
      <c r="AC3052" s="500"/>
      <c r="AD3052" s="500"/>
      <c r="AE3052" s="500"/>
      <c r="AF3052" s="500"/>
      <c r="AG3052" s="500"/>
      <c r="AH3052" s="500"/>
      <c r="AI3052" s="500"/>
      <c r="AJ3052" s="500"/>
      <c r="AK3052" s="500"/>
      <c r="AL3052" s="500"/>
      <c r="AM3052" s="500"/>
      <c r="AN3052" s="500"/>
      <c r="AO3052" s="500"/>
      <c r="AP3052" s="500"/>
    </row>
    <row r="3053" spans="1:42" ht="16.5" customHeight="1">
      <c r="A3053" s="497"/>
      <c r="B3053" s="497"/>
      <c r="C3053" s="497"/>
      <c r="D3053" s="497"/>
      <c r="E3053" s="497"/>
      <c r="F3053" s="497"/>
      <c r="Z3053" s="500"/>
      <c r="AA3053" s="500"/>
      <c r="AB3053" s="500"/>
      <c r="AC3053" s="500"/>
      <c r="AD3053" s="500"/>
      <c r="AE3053" s="500"/>
      <c r="AF3053" s="500"/>
      <c r="AG3053" s="500"/>
      <c r="AH3053" s="500"/>
      <c r="AI3053" s="500"/>
      <c r="AJ3053" s="500"/>
      <c r="AK3053" s="500"/>
      <c r="AL3053" s="500"/>
      <c r="AM3053" s="500"/>
      <c r="AN3053" s="500"/>
      <c r="AO3053" s="500"/>
      <c r="AP3053" s="500"/>
    </row>
    <row r="3054" spans="1:42" ht="16.5" customHeight="1">
      <c r="A3054" s="616" t="s">
        <v>3487</v>
      </c>
      <c r="B3054" s="605"/>
      <c r="C3054" s="446">
        <f>E3054+D3054+F3054</f>
        <v>162249</v>
      </c>
      <c r="D3054" s="453">
        <f>ROUNDDOWN(SUMIF(N3007:N3044,M3054,D3007:D3044),0)</f>
        <v>133849</v>
      </c>
      <c r="E3054" s="454">
        <f>ROUNDDOWN(SUMIF(N3007:N3044,M3054,E3007:E3044),0)</f>
        <v>28400</v>
      </c>
      <c r="F3054" s="446">
        <f>ROUNDDOWN(SUMIF(N3007:N3044,M3054,F3007:F3044),0)</f>
        <v>0</v>
      </c>
      <c r="M3054" s="501" t="s">
        <v>2354</v>
      </c>
      <c r="Z3054" s="500"/>
      <c r="AA3054" s="500"/>
      <c r="AB3054" s="500"/>
      <c r="AC3054" s="500"/>
      <c r="AD3054" s="500"/>
      <c r="AE3054" s="500"/>
      <c r="AF3054" s="500"/>
      <c r="AG3054" s="500"/>
      <c r="AH3054" s="500"/>
      <c r="AI3054" s="500"/>
      <c r="AJ3054" s="500"/>
      <c r="AK3054" s="500"/>
      <c r="AL3054" s="500"/>
      <c r="AM3054" s="500"/>
      <c r="AN3054" s="500"/>
      <c r="AO3054" s="500"/>
      <c r="AP3054" s="500"/>
    </row>
    <row r="3055" spans="1:42" ht="16.5" customHeight="1">
      <c r="A3055" s="502" t="s">
        <v>3353</v>
      </c>
      <c r="B3055" s="503" t="s">
        <v>3352</v>
      </c>
      <c r="C3055" s="615">
        <f>C3154</f>
        <v>12430</v>
      </c>
      <c r="D3055" s="615">
        <f>D3154</f>
        <v>11169</v>
      </c>
      <c r="E3055" s="615">
        <f>E3154</f>
        <v>725</v>
      </c>
      <c r="F3055" s="615">
        <f>F3154</f>
        <v>536</v>
      </c>
      <c r="G3055" s="486" t="str">
        <f>HYPERLINK("#G"&amp;ROW(G3112),"_x0005_`BDCOD|D00784_x0007_`POSS|"&amp;ROW(G3057)&amp;"_x0007_`POSE|"&amp;ROW(G3112)&amp;"_x0007_`")</f>
        <v>_x0005_`BDCOD|D00784_x0007_`POSS|3057_x0007_`POSE|3112_x0007_`</v>
      </c>
      <c r="Z3055" s="500"/>
      <c r="AA3055" s="500"/>
      <c r="AB3055" s="500"/>
      <c r="AC3055" s="500"/>
      <c r="AD3055" s="500"/>
      <c r="AE3055" s="500"/>
      <c r="AF3055" s="500"/>
      <c r="AG3055" s="500"/>
      <c r="AH3055" s="500"/>
      <c r="AI3055" s="500"/>
      <c r="AJ3055" s="500"/>
      <c r="AK3055" s="500"/>
      <c r="AL3055" s="500"/>
      <c r="AM3055" s="500"/>
      <c r="AN3055" s="500"/>
      <c r="AO3055" s="500"/>
      <c r="AP3055" s="500"/>
    </row>
    <row r="3056" spans="1:42" ht="16.5" customHeight="1">
      <c r="A3056" s="485"/>
      <c r="B3056" s="503" t="s">
        <v>3662</v>
      </c>
      <c r="C3056" s="593"/>
      <c r="D3056" s="593"/>
      <c r="E3056" s="593"/>
      <c r="F3056" s="593"/>
      <c r="M3056" s="501" t="s">
        <v>3352</v>
      </c>
      <c r="Z3056" s="500"/>
      <c r="AA3056" s="500"/>
      <c r="AB3056" s="500"/>
      <c r="AC3056" s="500"/>
      <c r="AD3056" s="500"/>
      <c r="AE3056" s="500"/>
      <c r="AF3056" s="500"/>
      <c r="AG3056" s="500"/>
      <c r="AH3056" s="500"/>
      <c r="AI3056" s="500"/>
      <c r="AJ3056" s="500"/>
      <c r="AK3056" s="500"/>
      <c r="AL3056" s="500"/>
      <c r="AM3056" s="500"/>
      <c r="AN3056" s="500"/>
      <c r="AO3056" s="500"/>
      <c r="AP3056" s="500"/>
    </row>
    <row r="3057" spans="1:42" ht="16.5" customHeight="1">
      <c r="A3057" s="439"/>
      <c r="B3057" s="439"/>
      <c r="C3057" s="504"/>
      <c r="D3057" s="504"/>
      <c r="E3057" s="504"/>
      <c r="F3057" s="504"/>
      <c r="G3057" s="451" t="s">
        <v>3406</v>
      </c>
      <c r="Z3057" s="500"/>
      <c r="AA3057" s="500"/>
      <c r="AB3057" s="500"/>
      <c r="AC3057" s="500"/>
      <c r="AD3057" s="500"/>
      <c r="AE3057" s="500"/>
      <c r="AF3057" s="500"/>
      <c r="AG3057" s="500"/>
      <c r="AH3057" s="500"/>
      <c r="AI3057" s="500"/>
      <c r="AJ3057" s="500"/>
      <c r="AK3057" s="500"/>
      <c r="AL3057" s="500"/>
      <c r="AM3057" s="500"/>
      <c r="AN3057" s="500"/>
      <c r="AO3057" s="500"/>
      <c r="AP3057" s="500"/>
    </row>
    <row r="3058" spans="1:42" ht="16.5" customHeight="1">
      <c r="A3058" s="434"/>
      <c r="B3058" s="437" t="s">
        <v>3663</v>
      </c>
      <c r="C3058" s="439"/>
      <c r="D3058" s="439"/>
      <c r="E3058" s="439"/>
      <c r="F3058" s="439"/>
      <c r="G3058" s="451" t="s">
        <v>3664</v>
      </c>
      <c r="Z3058" s="500"/>
      <c r="AA3058" s="500"/>
      <c r="AB3058" s="500"/>
      <c r="AC3058" s="500"/>
      <c r="AD3058" s="500"/>
      <c r="AE3058" s="500"/>
      <c r="AF3058" s="500"/>
      <c r="AG3058" s="500"/>
      <c r="AH3058" s="500"/>
      <c r="AI3058" s="500"/>
      <c r="AJ3058" s="500"/>
      <c r="AK3058" s="500"/>
      <c r="AL3058" s="500"/>
      <c r="AM3058" s="500"/>
      <c r="AN3058" s="500"/>
      <c r="AO3058" s="500"/>
      <c r="AP3058" s="500"/>
    </row>
    <row r="3059" spans="1:42" ht="16.5" customHeight="1">
      <c r="A3059" s="439"/>
      <c r="B3059" s="439"/>
      <c r="C3059" s="439"/>
      <c r="D3059" s="439"/>
      <c r="E3059" s="439"/>
      <c r="F3059" s="439"/>
      <c r="G3059" s="451" t="s">
        <v>3406</v>
      </c>
      <c r="Z3059" s="500"/>
      <c r="AA3059" s="500"/>
      <c r="AB3059" s="500"/>
      <c r="AC3059" s="500"/>
      <c r="AD3059" s="500"/>
      <c r="AE3059" s="500"/>
      <c r="AF3059" s="500"/>
      <c r="AG3059" s="500"/>
      <c r="AH3059" s="500"/>
      <c r="AI3059" s="500"/>
      <c r="AJ3059" s="500"/>
      <c r="AK3059" s="500"/>
      <c r="AL3059" s="500"/>
      <c r="AM3059" s="500"/>
      <c r="AN3059" s="500"/>
      <c r="AO3059" s="500"/>
      <c r="AP3059" s="500"/>
    </row>
    <row r="3060" spans="1:42" ht="16.5" customHeight="1">
      <c r="A3060" s="434"/>
      <c r="B3060" s="437" t="s">
        <v>3665</v>
      </c>
      <c r="C3060" s="439"/>
      <c r="D3060" s="439"/>
      <c r="E3060" s="439"/>
      <c r="F3060" s="439"/>
      <c r="G3060" s="451" t="s">
        <v>3666</v>
      </c>
      <c r="Z3060" s="500"/>
      <c r="AA3060" s="500"/>
      <c r="AB3060" s="500"/>
      <c r="AC3060" s="500"/>
      <c r="AD3060" s="500"/>
      <c r="AE3060" s="500"/>
      <c r="AF3060" s="500"/>
      <c r="AG3060" s="500"/>
      <c r="AH3060" s="500"/>
      <c r="AI3060" s="500"/>
      <c r="AJ3060" s="500"/>
      <c r="AK3060" s="500"/>
      <c r="AL3060" s="500"/>
      <c r="AM3060" s="500"/>
      <c r="AN3060" s="500"/>
      <c r="AO3060" s="500"/>
      <c r="AP3060" s="500"/>
    </row>
    <row r="3061" spans="1:42" ht="16.5" customHeight="1">
      <c r="A3061" s="439"/>
      <c r="B3061" s="439"/>
      <c r="C3061" s="439"/>
      <c r="D3061" s="439"/>
      <c r="E3061" s="439"/>
      <c r="F3061" s="439"/>
      <c r="G3061" s="451" t="s">
        <v>3406</v>
      </c>
      <c r="Z3061" s="500"/>
      <c r="AA3061" s="500"/>
      <c r="AB3061" s="500"/>
      <c r="AC3061" s="500"/>
      <c r="AD3061" s="500"/>
      <c r="AE3061" s="500"/>
      <c r="AF3061" s="500"/>
      <c r="AG3061" s="500"/>
      <c r="AH3061" s="500"/>
      <c r="AI3061" s="500"/>
      <c r="AJ3061" s="500"/>
      <c r="AK3061" s="500"/>
      <c r="AL3061" s="500"/>
      <c r="AM3061" s="500"/>
      <c r="AN3061" s="500"/>
      <c r="AO3061" s="500"/>
      <c r="AP3061" s="500"/>
    </row>
    <row r="3062" spans="1:42" ht="16.5" customHeight="1">
      <c r="A3062" s="439"/>
      <c r="B3062" s="439"/>
      <c r="C3062" s="439"/>
      <c r="D3062" s="439"/>
      <c r="E3062" s="439"/>
      <c r="F3062" s="439"/>
      <c r="G3062" s="451" t="s">
        <v>3406</v>
      </c>
      <c r="Z3062" s="500"/>
      <c r="AA3062" s="500"/>
      <c r="AB3062" s="500"/>
      <c r="AC3062" s="500"/>
      <c r="AD3062" s="500"/>
      <c r="AE3062" s="500"/>
      <c r="AF3062" s="500"/>
      <c r="AG3062" s="500"/>
      <c r="AH3062" s="500"/>
      <c r="AI3062" s="500"/>
      <c r="AJ3062" s="500"/>
      <c r="AK3062" s="500"/>
      <c r="AL3062" s="500"/>
      <c r="AM3062" s="500"/>
      <c r="AN3062" s="500"/>
      <c r="AO3062" s="500"/>
      <c r="AP3062" s="500"/>
    </row>
    <row r="3063" spans="1:42" ht="16.5" customHeight="1">
      <c r="A3063" s="434"/>
      <c r="B3063" s="437" t="s">
        <v>3667</v>
      </c>
      <c r="C3063" s="439"/>
      <c r="D3063" s="439"/>
      <c r="E3063" s="439"/>
      <c r="F3063" s="439"/>
      <c r="G3063" s="451" t="s">
        <v>3668</v>
      </c>
      <c r="Z3063" s="500"/>
      <c r="AA3063" s="500"/>
      <c r="AB3063" s="500"/>
      <c r="AC3063" s="500"/>
      <c r="AD3063" s="500"/>
      <c r="AE3063" s="500"/>
      <c r="AF3063" s="500"/>
      <c r="AG3063" s="500"/>
      <c r="AH3063" s="500"/>
      <c r="AI3063" s="500"/>
      <c r="AJ3063" s="500"/>
      <c r="AK3063" s="500"/>
      <c r="AL3063" s="500"/>
      <c r="AM3063" s="500"/>
      <c r="AN3063" s="500"/>
      <c r="AO3063" s="500"/>
      <c r="AP3063" s="500"/>
    </row>
    <row r="3064" spans="1:42" ht="16.5" customHeight="1">
      <c r="A3064" s="439"/>
      <c r="B3064" s="439"/>
      <c r="C3064" s="439"/>
      <c r="D3064" s="439"/>
      <c r="E3064" s="439"/>
      <c r="F3064" s="439"/>
      <c r="G3064" s="451" t="s">
        <v>3406</v>
      </c>
      <c r="Z3064" s="500"/>
      <c r="AA3064" s="500"/>
      <c r="AB3064" s="500"/>
      <c r="AC3064" s="500"/>
      <c r="AD3064" s="500"/>
      <c r="AE3064" s="500"/>
      <c r="AF3064" s="500"/>
      <c r="AG3064" s="500"/>
      <c r="AH3064" s="500"/>
      <c r="AI3064" s="500"/>
      <c r="AJ3064" s="500"/>
      <c r="AK3064" s="500"/>
      <c r="AL3064" s="500"/>
      <c r="AM3064" s="500"/>
      <c r="AN3064" s="500"/>
      <c r="AO3064" s="500"/>
      <c r="AP3064" s="500"/>
    </row>
    <row r="3065" spans="1:42" ht="16.5" customHeight="1">
      <c r="A3065" s="439"/>
      <c r="B3065" s="439"/>
      <c r="C3065" s="439"/>
      <c r="D3065" s="439"/>
      <c r="E3065" s="439"/>
      <c r="F3065" s="439"/>
      <c r="G3065" s="451" t="s">
        <v>3406</v>
      </c>
      <c r="Z3065" s="500"/>
      <c r="AA3065" s="500"/>
      <c r="AB3065" s="500"/>
      <c r="AC3065" s="500"/>
      <c r="AD3065" s="500"/>
      <c r="AE3065" s="500"/>
      <c r="AF3065" s="500"/>
      <c r="AG3065" s="500"/>
      <c r="AH3065" s="500"/>
      <c r="AI3065" s="500"/>
      <c r="AJ3065" s="500"/>
      <c r="AK3065" s="500"/>
      <c r="AL3065" s="500"/>
      <c r="AM3065" s="500"/>
      <c r="AN3065" s="500"/>
      <c r="AO3065" s="500"/>
      <c r="AP3065" s="500"/>
    </row>
    <row r="3066" spans="1:42" ht="16.5" customHeight="1">
      <c r="A3066" s="434"/>
      <c r="B3066" s="437" t="s">
        <v>3669</v>
      </c>
      <c r="C3066" s="439"/>
      <c r="D3066" s="439"/>
      <c r="E3066" s="439"/>
      <c r="F3066" s="439"/>
      <c r="G3066" s="451" t="s">
        <v>3670</v>
      </c>
      <c r="Z3066" s="500"/>
      <c r="AA3066" s="500"/>
      <c r="AB3066" s="500"/>
      <c r="AC3066" s="500"/>
      <c r="AD3066" s="500"/>
      <c r="AE3066" s="500"/>
      <c r="AF3066" s="500"/>
      <c r="AG3066" s="500"/>
      <c r="AH3066" s="500"/>
      <c r="AI3066" s="500"/>
      <c r="AJ3066" s="500"/>
      <c r="AK3066" s="500"/>
      <c r="AL3066" s="500"/>
      <c r="AM3066" s="500"/>
      <c r="AN3066" s="500"/>
      <c r="AO3066" s="500"/>
      <c r="AP3066" s="500"/>
    </row>
    <row r="3067" spans="1:42" ht="16.5" customHeight="1">
      <c r="A3067" s="439"/>
      <c r="B3067" s="439"/>
      <c r="C3067" s="439"/>
      <c r="D3067" s="439"/>
      <c r="E3067" s="439"/>
      <c r="F3067" s="439"/>
      <c r="G3067" s="451" t="s">
        <v>3406</v>
      </c>
      <c r="Z3067" s="500"/>
      <c r="AA3067" s="500"/>
      <c r="AB3067" s="500"/>
      <c r="AC3067" s="500"/>
      <c r="AD3067" s="500"/>
      <c r="AE3067" s="500"/>
      <c r="AF3067" s="500"/>
      <c r="AG3067" s="500"/>
      <c r="AH3067" s="500"/>
      <c r="AI3067" s="500"/>
      <c r="AJ3067" s="500"/>
      <c r="AK3067" s="500"/>
      <c r="AL3067" s="500"/>
      <c r="AM3067" s="500"/>
      <c r="AN3067" s="500"/>
      <c r="AO3067" s="500"/>
      <c r="AP3067" s="500"/>
    </row>
    <row r="3068" spans="1:42" ht="16.5" customHeight="1">
      <c r="A3068" s="434"/>
      <c r="B3068" s="437" t="str">
        <f>" q = "&amp;Z3068&amp;" , f = "&amp;AD3068&amp;"/"&amp;AF3068&amp;" = "&amp;AH3068&amp;" , K = "&amp;AJ3068&amp;""</f>
        <v xml:space="preserve"> q = 0.7 , f = 0.9/1.3 = 0.69 , K = 0.9</v>
      </c>
      <c r="C3068" s="439"/>
      <c r="D3068" s="439"/>
      <c r="E3068" s="439"/>
      <c r="F3068" s="439"/>
      <c r="G3068" s="451" t="s">
        <v>3671</v>
      </c>
      <c r="Z3068" s="511">
        <v>0.7</v>
      </c>
      <c r="AA3068" s="501" t="s">
        <v>3418</v>
      </c>
      <c r="AB3068" s="512">
        <f>Z3068</f>
        <v>0.7</v>
      </c>
      <c r="AC3068" s="514" t="s">
        <v>3427</v>
      </c>
      <c r="AD3068" s="511">
        <v>0.9</v>
      </c>
      <c r="AE3068" s="501" t="s">
        <v>3428</v>
      </c>
      <c r="AF3068" s="511">
        <v>1.3</v>
      </c>
      <c r="AG3068" s="501" t="s">
        <v>3418</v>
      </c>
      <c r="AH3068" s="512" t="str">
        <f>TEXT(ROUND(AD3068/AF3068,2),"#,0.00")</f>
        <v>0.69</v>
      </c>
      <c r="AI3068" s="514" t="s">
        <v>3427</v>
      </c>
      <c r="AJ3068" s="511">
        <v>0.9</v>
      </c>
      <c r="AK3068" s="501" t="s">
        <v>3418</v>
      </c>
      <c r="AL3068" s="512">
        <f>AJ3068</f>
        <v>0.9</v>
      </c>
      <c r="AM3068" s="500"/>
      <c r="AN3068" s="500"/>
      <c r="AO3068" s="500"/>
      <c r="AP3068" s="500"/>
    </row>
    <row r="3069" spans="1:42" ht="16.5" customHeight="1">
      <c r="A3069" s="439"/>
      <c r="B3069" s="439"/>
      <c r="C3069" s="439"/>
      <c r="D3069" s="439"/>
      <c r="E3069" s="439"/>
      <c r="F3069" s="439"/>
      <c r="G3069" s="451" t="s">
        <v>3406</v>
      </c>
      <c r="Z3069" s="500"/>
      <c r="AA3069" s="500"/>
      <c r="AB3069" s="500"/>
      <c r="AC3069" s="500"/>
      <c r="AD3069" s="500"/>
      <c r="AE3069" s="500"/>
      <c r="AF3069" s="500"/>
      <c r="AG3069" s="500"/>
      <c r="AH3069" s="500"/>
      <c r="AI3069" s="500"/>
      <c r="AJ3069" s="500"/>
      <c r="AK3069" s="500"/>
      <c r="AL3069" s="500"/>
      <c r="AM3069" s="500"/>
      <c r="AN3069" s="500"/>
      <c r="AO3069" s="500"/>
      <c r="AP3069" s="500"/>
    </row>
    <row r="3070" spans="1:42" ht="16.5" customHeight="1">
      <c r="A3070" s="434"/>
      <c r="B3070" s="437" t="str">
        <f>" Cm = "&amp;Z3070&amp;" sec(90˚) ,E="&amp;AD3070&amp;""</f>
        <v xml:space="preserve"> Cm = 18 sec(90˚) ,E=0.65</v>
      </c>
      <c r="C3070" s="439"/>
      <c r="D3070" s="439"/>
      <c r="E3070" s="439"/>
      <c r="F3070" s="439"/>
      <c r="G3070" s="451" t="s">
        <v>3672</v>
      </c>
      <c r="Z3070" s="515">
        <v>18</v>
      </c>
      <c r="AA3070" s="501" t="s">
        <v>3418</v>
      </c>
      <c r="AB3070" s="512">
        <f>Z3070</f>
        <v>18</v>
      </c>
      <c r="AC3070" s="514" t="s">
        <v>3427</v>
      </c>
      <c r="AD3070" s="511">
        <v>0.65</v>
      </c>
      <c r="AE3070" s="501" t="s">
        <v>3418</v>
      </c>
      <c r="AF3070" s="512">
        <f>AD3070</f>
        <v>0.65</v>
      </c>
      <c r="AG3070" s="500"/>
      <c r="AH3070" s="500"/>
      <c r="AI3070" s="500"/>
      <c r="AJ3070" s="500"/>
      <c r="AK3070" s="500"/>
      <c r="AL3070" s="500"/>
      <c r="AM3070" s="500"/>
      <c r="AN3070" s="500"/>
      <c r="AO3070" s="500"/>
      <c r="AP3070" s="500"/>
    </row>
    <row r="3071" spans="1:42" ht="16.5" customHeight="1">
      <c r="A3071" s="439"/>
      <c r="B3071" s="439"/>
      <c r="C3071" s="439"/>
      <c r="D3071" s="439"/>
      <c r="E3071" s="439"/>
      <c r="F3071" s="439"/>
      <c r="G3071" s="451" t="s">
        <v>3406</v>
      </c>
      <c r="Z3071" s="500"/>
      <c r="AA3071" s="500"/>
      <c r="AB3071" s="500"/>
      <c r="AC3071" s="500"/>
      <c r="AD3071" s="500"/>
      <c r="AE3071" s="500"/>
      <c r="AF3071" s="500"/>
      <c r="AG3071" s="500"/>
      <c r="AH3071" s="500"/>
      <c r="AI3071" s="500"/>
      <c r="AJ3071" s="500"/>
      <c r="AK3071" s="500"/>
      <c r="AL3071" s="500"/>
      <c r="AM3071" s="500"/>
      <c r="AN3071" s="500"/>
      <c r="AO3071" s="500"/>
      <c r="AP3071" s="500"/>
    </row>
    <row r="3072" spans="1:42" ht="16.5" customHeight="1">
      <c r="A3072" s="434"/>
      <c r="B3072" s="437" t="str">
        <f>" Q = "&amp;Z3072&amp;"*q*K*f*E/Cm = "&amp;AL3072&amp;" ㎥/hr "</f>
        <v xml:space="preserve"> Q = 3600*q*K*f*E/Cm = 56.51 ㎥/hr </v>
      </c>
      <c r="C3072" s="439"/>
      <c r="D3072" s="439"/>
      <c r="E3072" s="439"/>
      <c r="F3072" s="439"/>
      <c r="G3072" s="451" t="s">
        <v>3673</v>
      </c>
      <c r="Z3072" s="515">
        <v>3600</v>
      </c>
      <c r="AA3072" s="501" t="s">
        <v>3368</v>
      </c>
      <c r="AB3072" s="512">
        <f>AB3068</f>
        <v>0.7</v>
      </c>
      <c r="AC3072" s="501" t="s">
        <v>3368</v>
      </c>
      <c r="AD3072" s="512">
        <f>AL3068</f>
        <v>0.9</v>
      </c>
      <c r="AE3072" s="501" t="s">
        <v>3368</v>
      </c>
      <c r="AF3072" s="512" t="str">
        <f>AH3068</f>
        <v>0.69</v>
      </c>
      <c r="AG3072" s="501" t="s">
        <v>3368</v>
      </c>
      <c r="AH3072" s="512">
        <f>AF3070</f>
        <v>0.65</v>
      </c>
      <c r="AI3072" s="501" t="s">
        <v>3428</v>
      </c>
      <c r="AJ3072" s="512">
        <f>AB3070</f>
        <v>18</v>
      </c>
      <c r="AK3072" s="501" t="s">
        <v>3418</v>
      </c>
      <c r="AL3072" s="512" t="str">
        <f>TEXT(ROUND(Z3072*AB3068*AL3068*AH3068*AF3070/AB3070,2),"#,0.00")</f>
        <v>56.51</v>
      </c>
      <c r="AM3072" s="500"/>
      <c r="AN3072" s="500"/>
      <c r="AO3072" s="500"/>
      <c r="AP3072" s="500"/>
    </row>
    <row r="3073" spans="1:42" ht="16.5" customHeight="1">
      <c r="A3073" s="439"/>
      <c r="B3073" s="439"/>
      <c r="C3073" s="439"/>
      <c r="D3073" s="439"/>
      <c r="E3073" s="439"/>
      <c r="F3073" s="439"/>
      <c r="G3073" s="451" t="s">
        <v>3406</v>
      </c>
      <c r="Z3073" s="500"/>
      <c r="AA3073" s="500"/>
      <c r="AB3073" s="500"/>
      <c r="AC3073" s="500"/>
      <c r="AD3073" s="500"/>
      <c r="AE3073" s="500"/>
      <c r="AF3073" s="500"/>
      <c r="AG3073" s="500"/>
      <c r="AH3073" s="500"/>
      <c r="AI3073" s="500"/>
      <c r="AJ3073" s="500"/>
      <c r="AK3073" s="500"/>
      <c r="AL3073" s="500"/>
      <c r="AM3073" s="500"/>
      <c r="AN3073" s="500"/>
      <c r="AO3073" s="500"/>
      <c r="AP3073" s="500"/>
    </row>
    <row r="3074" spans="1:42" ht="16.5" customHeight="1">
      <c r="A3074" s="434" t="s">
        <v>3450</v>
      </c>
      <c r="B3074" s="505" t="str">
        <f>" 노 무 비  : "&amp;TEXT(I3074,"#,##0"&amp;IF(I3074&lt;&gt;INT(I3074),".###",""))&amp;" / Q * "&amp;AC3074&amp;" = "&amp;TEXT(C3074,"#,##0.0")&amp;""</f>
        <v xml:space="preserve"> 노 무 비  : 59,020 / Q * 0.9 = 939.9</v>
      </c>
      <c r="C3074" s="506">
        <f>E3074+D3074+F3074</f>
        <v>939.9</v>
      </c>
      <c r="D3074" s="506">
        <f>IF(H3074=0,0,ROUNDDOWN(J3074*H3074,1))</f>
        <v>939.9</v>
      </c>
      <c r="E3074" s="506">
        <f>IF(H3074=0,0,ROUNDDOWN(K3074*H3074,1))</f>
        <v>0</v>
      </c>
      <c r="F3074" s="506">
        <f>IF(H3074=0,0,ROUNDDOWN(L3074*H3074,1))</f>
        <v>0</v>
      </c>
      <c r="G3074" s="451" t="s">
        <v>3674</v>
      </c>
      <c r="H3074" s="507">
        <f>ROUNDUP(AE3074,14-LEN(ABS(INT(AE3074))))</f>
        <v>1.5926384710700001E-2</v>
      </c>
      <c r="I3074" s="508">
        <f>K3074+J3074+L3074</f>
        <v>59020</v>
      </c>
      <c r="J3074" s="509">
        <f>중기목록표!F10</f>
        <v>59020</v>
      </c>
      <c r="M3074" s="501" t="s">
        <v>3164</v>
      </c>
      <c r="N3074" s="501" t="s">
        <v>3416</v>
      </c>
      <c r="X3074" s="510" t="str">
        <f>중기목록표!B10&amp;" / "&amp;중기목록표!C10</f>
        <v>굴착기(무한궤도) / 0.7㎥</v>
      </c>
      <c r="Y3074" s="433" t="str">
        <f ca="1">HYPERLINK("#"&amp;중기목록표!J2&amp;"!A"&amp;ROW(중기목록표!A10),"X00262 →")</f>
        <v>X00262 →</v>
      </c>
      <c r="Z3074" s="501" t="s">
        <v>3434</v>
      </c>
      <c r="AA3074" s="512" t="str">
        <f>AL3072</f>
        <v>56.51</v>
      </c>
      <c r="AB3074" s="501" t="s">
        <v>3368</v>
      </c>
      <c r="AC3074" s="511">
        <v>0.9</v>
      </c>
      <c r="AD3074" s="501" t="s">
        <v>3418</v>
      </c>
      <c r="AE3074" s="512">
        <f>1/AL3072*AC3074</f>
        <v>1.592638471067068E-2</v>
      </c>
      <c r="AF3074" s="500"/>
      <c r="AG3074" s="500"/>
      <c r="AH3074" s="500"/>
      <c r="AI3074" s="500"/>
      <c r="AJ3074" s="500"/>
      <c r="AK3074" s="500"/>
      <c r="AL3074" s="500"/>
      <c r="AM3074" s="500"/>
      <c r="AN3074" s="500"/>
      <c r="AO3074" s="500"/>
      <c r="AP3074" s="500"/>
    </row>
    <row r="3075" spans="1:42" ht="16.5" customHeight="1">
      <c r="A3075" s="439"/>
      <c r="B3075" s="439"/>
      <c r="C3075" s="439"/>
      <c r="D3075" s="439"/>
      <c r="E3075" s="439"/>
      <c r="F3075" s="439"/>
      <c r="G3075" s="451" t="s">
        <v>3406</v>
      </c>
      <c r="Z3075" s="500"/>
      <c r="AA3075" s="500"/>
      <c r="AB3075" s="500"/>
      <c r="AC3075" s="500"/>
      <c r="AD3075" s="500"/>
      <c r="AE3075" s="500"/>
      <c r="AF3075" s="500"/>
      <c r="AG3075" s="500"/>
      <c r="AH3075" s="500"/>
      <c r="AI3075" s="500"/>
      <c r="AJ3075" s="500"/>
      <c r="AK3075" s="500"/>
      <c r="AL3075" s="500"/>
      <c r="AM3075" s="500"/>
      <c r="AN3075" s="500"/>
      <c r="AO3075" s="500"/>
      <c r="AP3075" s="500"/>
    </row>
    <row r="3076" spans="1:42" ht="16.5" customHeight="1">
      <c r="A3076" s="434" t="s">
        <v>3452</v>
      </c>
      <c r="B3076" s="505" t="str">
        <f>" 재 료 비  : "&amp;TEXT(I3076,"#,##0"&amp;IF(I3076&lt;&gt;INT(I3076),".###",""))&amp;" / Q * "&amp;AC3076&amp;" = "&amp;TEXT(C3076,"#,##0.0")&amp;""</f>
        <v xml:space="preserve"> 재 료 비  : 19,515 / Q * 0.9 = 310.8</v>
      </c>
      <c r="C3076" s="506">
        <f>E3076+D3076+F3076</f>
        <v>310.8</v>
      </c>
      <c r="D3076" s="506">
        <f>IF(H3076=0,0,ROUNDDOWN(J3076*H3076,1))</f>
        <v>0</v>
      </c>
      <c r="E3076" s="506">
        <f>IF(H3076=0,0,ROUNDDOWN(K3076*H3076,1))</f>
        <v>310.8</v>
      </c>
      <c r="F3076" s="506">
        <f>IF(H3076=0,0,ROUNDDOWN(L3076*H3076,1))</f>
        <v>0</v>
      </c>
      <c r="G3076" s="451" t="s">
        <v>3675</v>
      </c>
      <c r="H3076" s="507">
        <f>ROUNDUP(AE3076,14-LEN(ABS(INT(AE3076))))</f>
        <v>1.5926384710700001E-2</v>
      </c>
      <c r="I3076" s="508">
        <f>K3076+J3076+L3076</f>
        <v>19515</v>
      </c>
      <c r="K3076" s="509">
        <f>중기목록표!G10</f>
        <v>19515</v>
      </c>
      <c r="M3076" s="501" t="s">
        <v>3164</v>
      </c>
      <c r="N3076" s="501" t="s">
        <v>3416</v>
      </c>
      <c r="X3076" s="510" t="str">
        <f>중기목록표!B10&amp;" / "&amp;중기목록표!C10</f>
        <v>굴착기(무한궤도) / 0.7㎥</v>
      </c>
      <c r="Y3076" s="433" t="str">
        <f ca="1">HYPERLINK("#"&amp;중기목록표!J2&amp;"!A"&amp;ROW(중기목록표!A10),"X00262 →")</f>
        <v>X00262 →</v>
      </c>
      <c r="Z3076" s="501" t="s">
        <v>3434</v>
      </c>
      <c r="AA3076" s="512" t="str">
        <f>AL3072</f>
        <v>56.51</v>
      </c>
      <c r="AB3076" s="501" t="s">
        <v>3368</v>
      </c>
      <c r="AC3076" s="511">
        <v>0.9</v>
      </c>
      <c r="AD3076" s="501" t="s">
        <v>3418</v>
      </c>
      <c r="AE3076" s="512">
        <f>1/AL3072*AC3076</f>
        <v>1.592638471067068E-2</v>
      </c>
      <c r="AF3076" s="500"/>
      <c r="AG3076" s="500"/>
      <c r="AH3076" s="500"/>
      <c r="AI3076" s="500"/>
      <c r="AJ3076" s="500"/>
      <c r="AK3076" s="500"/>
      <c r="AL3076" s="500"/>
      <c r="AM3076" s="500"/>
      <c r="AN3076" s="500"/>
      <c r="AO3076" s="500"/>
      <c r="AP3076" s="500"/>
    </row>
    <row r="3077" spans="1:42" ht="16.5" customHeight="1">
      <c r="A3077" s="439"/>
      <c r="B3077" s="439"/>
      <c r="C3077" s="439"/>
      <c r="D3077" s="439"/>
      <c r="E3077" s="439"/>
      <c r="F3077" s="439"/>
      <c r="G3077" s="451" t="s">
        <v>3406</v>
      </c>
      <c r="Z3077" s="500"/>
      <c r="AA3077" s="500"/>
      <c r="AB3077" s="500"/>
      <c r="AC3077" s="500"/>
      <c r="AD3077" s="500"/>
      <c r="AE3077" s="500"/>
      <c r="AF3077" s="500"/>
      <c r="AG3077" s="500"/>
      <c r="AH3077" s="500"/>
      <c r="AI3077" s="500"/>
      <c r="AJ3077" s="500"/>
      <c r="AK3077" s="500"/>
      <c r="AL3077" s="500"/>
      <c r="AM3077" s="500"/>
      <c r="AN3077" s="500"/>
      <c r="AO3077" s="500"/>
      <c r="AP3077" s="500"/>
    </row>
    <row r="3078" spans="1:42" ht="16.5" customHeight="1">
      <c r="A3078" s="434" t="s">
        <v>3454</v>
      </c>
      <c r="B3078" s="505" t="str">
        <f>" 경    비  : "&amp;TEXT(I3078,"#,##0"&amp;IF(I3078&lt;&gt;INT(I3078),".###",""))&amp;" / Q * "&amp;AC3078&amp;" = "&amp;TEXT(C3078,"#,##0.0")&amp;""</f>
        <v xml:space="preserve"> 경    비  : 24,554 / Q * 0.9 = 391.0</v>
      </c>
      <c r="C3078" s="506">
        <f>E3078+D3078+F3078</f>
        <v>391</v>
      </c>
      <c r="D3078" s="506">
        <f>IF(H3078=0,0,ROUNDDOWN(J3078*H3078,1))</f>
        <v>0</v>
      </c>
      <c r="E3078" s="506">
        <f>IF(H3078=0,0,ROUNDDOWN(K3078*H3078,1))</f>
        <v>0</v>
      </c>
      <c r="F3078" s="506">
        <f>IF(H3078=0,0,ROUNDDOWN(L3078*H3078,1))</f>
        <v>391</v>
      </c>
      <c r="G3078" s="451" t="s">
        <v>3676</v>
      </c>
      <c r="H3078" s="507">
        <f>ROUNDUP(AE3078,14-LEN(ABS(INT(AE3078))))</f>
        <v>1.5926384710700001E-2</v>
      </c>
      <c r="I3078" s="508">
        <f>K3078+J3078+L3078</f>
        <v>24554</v>
      </c>
      <c r="L3078" s="509">
        <f>중기목록표!H10</f>
        <v>24554</v>
      </c>
      <c r="M3078" s="501" t="s">
        <v>3164</v>
      </c>
      <c r="N3078" s="501" t="s">
        <v>3416</v>
      </c>
      <c r="X3078" s="510" t="str">
        <f>중기목록표!B10&amp;" / "&amp;중기목록표!C10</f>
        <v>굴착기(무한궤도) / 0.7㎥</v>
      </c>
      <c r="Y3078" s="433" t="str">
        <f ca="1">HYPERLINK("#"&amp;중기목록표!J2&amp;"!A"&amp;ROW(중기목록표!A10),"X00262 →")</f>
        <v>X00262 →</v>
      </c>
      <c r="Z3078" s="501" t="s">
        <v>3434</v>
      </c>
      <c r="AA3078" s="512" t="str">
        <f>AL3072</f>
        <v>56.51</v>
      </c>
      <c r="AB3078" s="501" t="s">
        <v>3368</v>
      </c>
      <c r="AC3078" s="511">
        <v>0.9</v>
      </c>
      <c r="AD3078" s="501" t="s">
        <v>3418</v>
      </c>
      <c r="AE3078" s="512">
        <f>1/AL3072*AC3078</f>
        <v>1.592638471067068E-2</v>
      </c>
      <c r="AF3078" s="500"/>
      <c r="AG3078" s="500"/>
      <c r="AH3078" s="500"/>
      <c r="AI3078" s="500"/>
      <c r="AJ3078" s="500"/>
      <c r="AK3078" s="500"/>
      <c r="AL3078" s="500"/>
      <c r="AM3078" s="500"/>
      <c r="AN3078" s="500"/>
      <c r="AO3078" s="500"/>
      <c r="AP3078" s="500"/>
    </row>
    <row r="3079" spans="1:42" ht="16.5" customHeight="1">
      <c r="A3079" s="439"/>
      <c r="B3079" s="439"/>
      <c r="C3079" s="439"/>
      <c r="D3079" s="439"/>
      <c r="E3079" s="439"/>
      <c r="F3079" s="439"/>
      <c r="G3079" s="451" t="s">
        <v>3406</v>
      </c>
      <c r="Z3079" s="500"/>
      <c r="AA3079" s="500"/>
      <c r="AB3079" s="500"/>
      <c r="AC3079" s="500"/>
      <c r="AD3079" s="500"/>
      <c r="AE3079" s="500"/>
      <c r="AF3079" s="500"/>
      <c r="AG3079" s="500"/>
      <c r="AH3079" s="500"/>
      <c r="AI3079" s="500"/>
      <c r="AJ3079" s="500"/>
      <c r="AK3079" s="500"/>
      <c r="AL3079" s="500"/>
      <c r="AM3079" s="500"/>
      <c r="AN3079" s="500"/>
      <c r="AO3079" s="500"/>
      <c r="AP3079" s="500"/>
    </row>
    <row r="3080" spans="1:42" ht="16.5" customHeight="1">
      <c r="A3080" s="434"/>
      <c r="B3080" s="437" t="s">
        <v>3419</v>
      </c>
      <c r="C3080" s="513">
        <f>E3080+D3080+F3080</f>
        <v>1641.7</v>
      </c>
      <c r="D3080" s="513">
        <f>SUMIF(N3057:N3079,M3080,D3057:D3079)</f>
        <v>939.9</v>
      </c>
      <c r="E3080" s="513">
        <f>SUMIF(N3057:N3079,M3080,E3057:E3079)</f>
        <v>310.8</v>
      </c>
      <c r="F3080" s="513">
        <f>SUMIF(N3057:N3079,M3080,F3057:F3079)</f>
        <v>391</v>
      </c>
      <c r="G3080" s="451" t="s">
        <v>3420</v>
      </c>
      <c r="M3080" s="501" t="s">
        <v>3416</v>
      </c>
      <c r="N3080" s="501" t="s">
        <v>3421</v>
      </c>
      <c r="Z3080" s="500"/>
      <c r="AA3080" s="500"/>
      <c r="AB3080" s="500"/>
      <c r="AC3080" s="500"/>
      <c r="AD3080" s="500"/>
      <c r="AE3080" s="500"/>
      <c r="AF3080" s="500"/>
      <c r="AG3080" s="500"/>
      <c r="AH3080" s="500"/>
      <c r="AI3080" s="500"/>
      <c r="AJ3080" s="500"/>
      <c r="AK3080" s="500"/>
      <c r="AL3080" s="500"/>
      <c r="AM3080" s="500"/>
      <c r="AN3080" s="500"/>
      <c r="AO3080" s="500"/>
      <c r="AP3080" s="500"/>
    </row>
    <row r="3081" spans="1:42" ht="16.5" customHeight="1">
      <c r="A3081" s="439"/>
      <c r="B3081" s="439"/>
      <c r="C3081" s="504"/>
      <c r="D3081" s="504"/>
      <c r="E3081" s="504"/>
      <c r="F3081" s="504"/>
      <c r="G3081" s="451" t="s">
        <v>3406</v>
      </c>
      <c r="Z3081" s="500"/>
      <c r="AA3081" s="500"/>
      <c r="AB3081" s="500"/>
      <c r="AC3081" s="500"/>
      <c r="AD3081" s="500"/>
      <c r="AE3081" s="500"/>
      <c r="AF3081" s="500"/>
      <c r="AG3081" s="500"/>
      <c r="AH3081" s="500"/>
      <c r="AI3081" s="500"/>
      <c r="AJ3081" s="500"/>
      <c r="AK3081" s="500"/>
      <c r="AL3081" s="500"/>
      <c r="AM3081" s="500"/>
      <c r="AN3081" s="500"/>
      <c r="AO3081" s="500"/>
      <c r="AP3081" s="500"/>
    </row>
    <row r="3082" spans="1:42" ht="16.5" customHeight="1">
      <c r="A3082" s="439"/>
      <c r="B3082" s="439"/>
      <c r="C3082" s="439"/>
      <c r="D3082" s="439"/>
      <c r="E3082" s="439"/>
      <c r="F3082" s="439"/>
      <c r="G3082" s="451" t="s">
        <v>3406</v>
      </c>
      <c r="Z3082" s="500"/>
      <c r="AA3082" s="500"/>
      <c r="AB3082" s="500"/>
      <c r="AC3082" s="500"/>
      <c r="AD3082" s="500"/>
      <c r="AE3082" s="500"/>
      <c r="AF3082" s="500"/>
      <c r="AG3082" s="500"/>
      <c r="AH3082" s="500"/>
      <c r="AI3082" s="500"/>
      <c r="AJ3082" s="500"/>
      <c r="AK3082" s="500"/>
      <c r="AL3082" s="500"/>
      <c r="AM3082" s="500"/>
      <c r="AN3082" s="500"/>
      <c r="AO3082" s="500"/>
      <c r="AP3082" s="500"/>
    </row>
    <row r="3083" spans="1:42" ht="16.5" customHeight="1">
      <c r="A3083" s="439"/>
      <c r="B3083" s="439"/>
      <c r="C3083" s="439"/>
      <c r="D3083" s="439"/>
      <c r="E3083" s="439"/>
      <c r="F3083" s="439"/>
      <c r="G3083" s="451" t="s">
        <v>3406</v>
      </c>
      <c r="Z3083" s="500"/>
      <c r="AA3083" s="500"/>
      <c r="AB3083" s="500"/>
      <c r="AC3083" s="500"/>
      <c r="AD3083" s="500"/>
      <c r="AE3083" s="500"/>
      <c r="AF3083" s="500"/>
      <c r="AG3083" s="500"/>
      <c r="AH3083" s="500"/>
      <c r="AI3083" s="500"/>
      <c r="AJ3083" s="500"/>
      <c r="AK3083" s="500"/>
      <c r="AL3083" s="500"/>
      <c r="AM3083" s="500"/>
      <c r="AN3083" s="500"/>
      <c r="AO3083" s="500"/>
      <c r="AP3083" s="500"/>
    </row>
    <row r="3084" spans="1:42" ht="16.5" customHeight="1">
      <c r="A3084" s="434"/>
      <c r="B3084" s="437" t="s">
        <v>3677</v>
      </c>
      <c r="C3084" s="439"/>
      <c r="D3084" s="439"/>
      <c r="E3084" s="439"/>
      <c r="F3084" s="439"/>
      <c r="G3084" s="451" t="s">
        <v>3678</v>
      </c>
      <c r="Z3084" s="500"/>
      <c r="AA3084" s="500"/>
      <c r="AB3084" s="500"/>
      <c r="AC3084" s="500"/>
      <c r="AD3084" s="500"/>
      <c r="AE3084" s="500"/>
      <c r="AF3084" s="500"/>
      <c r="AG3084" s="500"/>
      <c r="AH3084" s="500"/>
      <c r="AI3084" s="500"/>
      <c r="AJ3084" s="500"/>
      <c r="AK3084" s="500"/>
      <c r="AL3084" s="500"/>
      <c r="AM3084" s="500"/>
      <c r="AN3084" s="500"/>
      <c r="AO3084" s="500"/>
      <c r="AP3084" s="500"/>
    </row>
    <row r="3085" spans="1:42" ht="16.5" customHeight="1">
      <c r="A3085" s="439"/>
      <c r="B3085" s="439"/>
      <c r="C3085" s="439"/>
      <c r="D3085" s="439"/>
      <c r="E3085" s="439"/>
      <c r="F3085" s="439"/>
      <c r="G3085" s="451" t="s">
        <v>3406</v>
      </c>
      <c r="Z3085" s="500"/>
      <c r="AA3085" s="500"/>
      <c r="AB3085" s="500"/>
      <c r="AC3085" s="500"/>
      <c r="AD3085" s="500"/>
      <c r="AE3085" s="500"/>
      <c r="AF3085" s="500"/>
      <c r="AG3085" s="500"/>
      <c r="AH3085" s="500"/>
      <c r="AI3085" s="500"/>
      <c r="AJ3085" s="500"/>
      <c r="AK3085" s="500"/>
      <c r="AL3085" s="500"/>
      <c r="AM3085" s="500"/>
      <c r="AN3085" s="500"/>
      <c r="AO3085" s="500"/>
      <c r="AP3085" s="500"/>
    </row>
    <row r="3086" spans="1:42" ht="16.5" customHeight="1">
      <c r="A3086" s="434" t="s">
        <v>3414</v>
      </c>
      <c r="B3086" s="505" t="str">
        <f>" ○ 보통인부 :  "&amp;TEXT(I3086,"#,##0"&amp;IF(I3086&lt;&gt;INT(I3086),".###",""))&amp;" * "&amp;AA3086&amp;" * "&amp;AC3086&amp;" = "&amp;TEXT(C3086,"#,##0.0")&amp;""</f>
        <v xml:space="preserve"> ○ 보통인부 :  172,068 * 0.1 * 0.1 = 1,720.6</v>
      </c>
      <c r="C3086" s="506">
        <f>E3086+D3086+F3086</f>
        <v>1720.6</v>
      </c>
      <c r="D3086" s="506">
        <f>IF(H3086=0,0,ROUNDDOWN(J3086*H3086,1))</f>
        <v>1720.6</v>
      </c>
      <c r="E3086" s="506">
        <f>IF(H3086=0,0,ROUNDDOWN(K3086*H3086,1))</f>
        <v>0</v>
      </c>
      <c r="F3086" s="506">
        <f>IF(H3086=0,0,ROUNDDOWN(L3086*H3086,1))</f>
        <v>0</v>
      </c>
      <c r="G3086" s="451" t="s">
        <v>3679</v>
      </c>
      <c r="H3086" s="507">
        <f>ROUNDUP(AE3086,14-LEN(ABS(INT(AE3086))))</f>
        <v>0.01</v>
      </c>
      <c r="I3086" s="508">
        <f>K3086+J3086+L3086</f>
        <v>172068</v>
      </c>
      <c r="J3086" s="509">
        <f>노무비목록표!E10</f>
        <v>172068</v>
      </c>
      <c r="M3086" s="501" t="s">
        <v>2363</v>
      </c>
      <c r="N3086" s="501" t="s">
        <v>3416</v>
      </c>
      <c r="X3086" s="510" t="str">
        <f>노무비목록표!B10&amp;" / "&amp;노무비목록표!C10</f>
        <v xml:space="preserve">보통인부 / </v>
      </c>
      <c r="Y3086" s="433" t="str">
        <f ca="1">HYPERLINK("#"&amp;노무비목록표!G2&amp;"!A"&amp;ROW(노무비목록표!A10),"L00017 →")</f>
        <v>L00017 →</v>
      </c>
      <c r="Z3086" s="501" t="s">
        <v>3500</v>
      </c>
      <c r="AA3086" s="511">
        <v>0.1</v>
      </c>
      <c r="AB3086" s="501" t="s">
        <v>3368</v>
      </c>
      <c r="AC3086" s="511">
        <v>0.1</v>
      </c>
      <c r="AD3086" s="501" t="s">
        <v>3418</v>
      </c>
      <c r="AE3086" s="512">
        <f>1*AA3086*AC3086</f>
        <v>1.0000000000000002E-2</v>
      </c>
      <c r="AF3086" s="500"/>
      <c r="AG3086" s="500"/>
      <c r="AH3086" s="500"/>
      <c r="AI3086" s="500"/>
      <c r="AJ3086" s="500"/>
      <c r="AK3086" s="500"/>
      <c r="AL3086" s="500"/>
      <c r="AM3086" s="500"/>
      <c r="AN3086" s="500"/>
      <c r="AO3086" s="500"/>
      <c r="AP3086" s="500"/>
    </row>
    <row r="3087" spans="1:42" ht="16.5" customHeight="1">
      <c r="A3087" s="439"/>
      <c r="B3087" s="439"/>
      <c r="C3087" s="439"/>
      <c r="D3087" s="439"/>
      <c r="E3087" s="439"/>
      <c r="F3087" s="439"/>
      <c r="G3087" s="451" t="s">
        <v>3406</v>
      </c>
      <c r="Z3087" s="500"/>
      <c r="AA3087" s="500"/>
      <c r="AB3087" s="500"/>
      <c r="AC3087" s="500"/>
      <c r="AD3087" s="500"/>
      <c r="AE3087" s="500"/>
      <c r="AF3087" s="500"/>
      <c r="AG3087" s="500"/>
      <c r="AH3087" s="500"/>
      <c r="AI3087" s="500"/>
      <c r="AJ3087" s="500"/>
      <c r="AK3087" s="500"/>
      <c r="AL3087" s="500"/>
      <c r="AM3087" s="500"/>
      <c r="AN3087" s="500"/>
      <c r="AO3087" s="500"/>
      <c r="AP3087" s="500"/>
    </row>
    <row r="3088" spans="1:42" ht="16.5" customHeight="1">
      <c r="A3088" s="434"/>
      <c r="B3088" s="437" t="s">
        <v>3419</v>
      </c>
      <c r="C3088" s="513">
        <f>E3088+D3088+F3088</f>
        <v>1720.6</v>
      </c>
      <c r="D3088" s="513">
        <f>SUMIF(N3081:N3087,M3088,D3081:D3087)</f>
        <v>1720.6</v>
      </c>
      <c r="E3088" s="513">
        <f>SUMIF(N3081:N3087,M3088,E3081:E3087)</f>
        <v>0</v>
      </c>
      <c r="F3088" s="513">
        <f>SUMIF(N3081:N3087,M3088,F3081:F3087)</f>
        <v>0</v>
      </c>
      <c r="G3088" s="451" t="s">
        <v>3420</v>
      </c>
      <c r="M3088" s="501" t="s">
        <v>3416</v>
      </c>
      <c r="N3088" s="501" t="s">
        <v>3421</v>
      </c>
      <c r="Z3088" s="500"/>
      <c r="AA3088" s="500"/>
      <c r="AB3088" s="500"/>
      <c r="AC3088" s="500"/>
      <c r="AD3088" s="500"/>
      <c r="AE3088" s="500"/>
      <c r="AF3088" s="500"/>
      <c r="AG3088" s="500"/>
      <c r="AH3088" s="500"/>
      <c r="AI3088" s="500"/>
      <c r="AJ3088" s="500"/>
      <c r="AK3088" s="500"/>
      <c r="AL3088" s="500"/>
      <c r="AM3088" s="500"/>
      <c r="AN3088" s="500"/>
      <c r="AO3088" s="500"/>
      <c r="AP3088" s="500"/>
    </row>
    <row r="3089" spans="1:42" ht="16.5" customHeight="1">
      <c r="A3089" s="439"/>
      <c r="B3089" s="439"/>
      <c r="C3089" s="504"/>
      <c r="D3089" s="504"/>
      <c r="E3089" s="504"/>
      <c r="F3089" s="504"/>
      <c r="G3089" s="451" t="s">
        <v>3406</v>
      </c>
      <c r="Z3089" s="500"/>
      <c r="AA3089" s="500"/>
      <c r="AB3089" s="500"/>
      <c r="AC3089" s="500"/>
      <c r="AD3089" s="500"/>
      <c r="AE3089" s="500"/>
      <c r="AF3089" s="500"/>
      <c r="AG3089" s="500"/>
      <c r="AH3089" s="500"/>
      <c r="AI3089" s="500"/>
      <c r="AJ3089" s="500"/>
      <c r="AK3089" s="500"/>
      <c r="AL3089" s="500"/>
      <c r="AM3089" s="500"/>
      <c r="AN3089" s="500"/>
      <c r="AO3089" s="500"/>
      <c r="AP3089" s="500"/>
    </row>
    <row r="3090" spans="1:42" ht="16.5" customHeight="1">
      <c r="A3090" s="439"/>
      <c r="B3090" s="439"/>
      <c r="C3090" s="439"/>
      <c r="D3090" s="439"/>
      <c r="E3090" s="439"/>
      <c r="F3090" s="439"/>
      <c r="G3090" s="451" t="s">
        <v>3406</v>
      </c>
      <c r="Z3090" s="500"/>
      <c r="AA3090" s="500"/>
      <c r="AB3090" s="500"/>
      <c r="AC3090" s="500"/>
      <c r="AD3090" s="500"/>
      <c r="AE3090" s="500"/>
      <c r="AF3090" s="500"/>
      <c r="AG3090" s="500"/>
      <c r="AH3090" s="500"/>
      <c r="AI3090" s="500"/>
      <c r="AJ3090" s="500"/>
      <c r="AK3090" s="500"/>
      <c r="AL3090" s="500"/>
      <c r="AM3090" s="500"/>
      <c r="AN3090" s="500"/>
      <c r="AO3090" s="500"/>
      <c r="AP3090" s="500"/>
    </row>
    <row r="3091" spans="1:42" ht="16.5" customHeight="1">
      <c r="A3091" s="434"/>
      <c r="B3091" s="437" t="s">
        <v>3680</v>
      </c>
      <c r="C3091" s="439"/>
      <c r="D3091" s="439"/>
      <c r="E3091" s="439"/>
      <c r="F3091" s="439"/>
      <c r="G3091" s="451" t="s">
        <v>3681</v>
      </c>
      <c r="Z3091" s="500"/>
      <c r="AA3091" s="500"/>
      <c r="AB3091" s="500"/>
      <c r="AC3091" s="500"/>
      <c r="AD3091" s="500"/>
      <c r="AE3091" s="500"/>
      <c r="AF3091" s="500"/>
      <c r="AG3091" s="500"/>
      <c r="AH3091" s="500"/>
      <c r="AI3091" s="500"/>
      <c r="AJ3091" s="500"/>
      <c r="AK3091" s="500"/>
      <c r="AL3091" s="500"/>
      <c r="AM3091" s="500"/>
      <c r="AN3091" s="500"/>
      <c r="AO3091" s="500"/>
      <c r="AP3091" s="500"/>
    </row>
    <row r="3092" spans="1:42" ht="16.5" customHeight="1">
      <c r="A3092" s="439"/>
      <c r="B3092" s="439"/>
      <c r="C3092" s="439"/>
      <c r="D3092" s="439"/>
      <c r="E3092" s="439"/>
      <c r="F3092" s="439"/>
      <c r="G3092" s="451" t="s">
        <v>3406</v>
      </c>
      <c r="Z3092" s="500"/>
      <c r="AA3092" s="500"/>
      <c r="AB3092" s="500"/>
      <c r="AC3092" s="500"/>
      <c r="AD3092" s="500"/>
      <c r="AE3092" s="500"/>
      <c r="AF3092" s="500"/>
      <c r="AG3092" s="500"/>
      <c r="AH3092" s="500"/>
      <c r="AI3092" s="500"/>
      <c r="AJ3092" s="500"/>
      <c r="AK3092" s="500"/>
      <c r="AL3092" s="500"/>
      <c r="AM3092" s="500"/>
      <c r="AN3092" s="500"/>
      <c r="AO3092" s="500"/>
      <c r="AP3092" s="500"/>
    </row>
    <row r="3093" spans="1:42" ht="16.5" customHeight="1">
      <c r="A3093" s="434"/>
      <c r="B3093" s="437" t="str">
        <f>" A = "&amp;Z3093&amp;" ㎡ , N = "&amp;AD3093&amp;" 회/hr , H = "&amp;AH3093&amp;" m "</f>
        <v xml:space="preserve"> A = 0.09 ㎡ , N = 36000 회/hr , H = 0.15 m </v>
      </c>
      <c r="C3093" s="439"/>
      <c r="D3093" s="439"/>
      <c r="E3093" s="439"/>
      <c r="F3093" s="439"/>
      <c r="G3093" s="451" t="s">
        <v>3682</v>
      </c>
      <c r="Z3093" s="511">
        <v>0.09</v>
      </c>
      <c r="AA3093" s="501" t="s">
        <v>3418</v>
      </c>
      <c r="AB3093" s="512">
        <f>Z3093</f>
        <v>0.09</v>
      </c>
      <c r="AC3093" s="514" t="s">
        <v>3427</v>
      </c>
      <c r="AD3093" s="515">
        <v>36000</v>
      </c>
      <c r="AE3093" s="501" t="s">
        <v>3418</v>
      </c>
      <c r="AF3093" s="512">
        <f>AD3093</f>
        <v>36000</v>
      </c>
      <c r="AG3093" s="514" t="s">
        <v>3427</v>
      </c>
      <c r="AH3093" s="511">
        <v>0.15</v>
      </c>
      <c r="AI3093" s="501" t="s">
        <v>3418</v>
      </c>
      <c r="AJ3093" s="512">
        <f>AH3093</f>
        <v>0.15</v>
      </c>
      <c r="AK3093" s="500"/>
      <c r="AL3093" s="500"/>
      <c r="AM3093" s="500"/>
      <c r="AN3093" s="500"/>
      <c r="AO3093" s="500"/>
      <c r="AP3093" s="500"/>
    </row>
    <row r="3094" spans="1:42" ht="16.5" customHeight="1">
      <c r="A3094" s="439"/>
      <c r="B3094" s="439"/>
      <c r="C3094" s="439"/>
      <c r="D3094" s="439"/>
      <c r="E3094" s="439"/>
      <c r="F3094" s="439"/>
      <c r="G3094" s="451" t="s">
        <v>3406</v>
      </c>
      <c r="Z3094" s="500"/>
      <c r="AA3094" s="500"/>
      <c r="AB3094" s="500"/>
      <c r="AC3094" s="500"/>
      <c r="AD3094" s="500"/>
      <c r="AE3094" s="500"/>
      <c r="AF3094" s="500"/>
      <c r="AG3094" s="500"/>
      <c r="AH3094" s="500"/>
      <c r="AI3094" s="500"/>
      <c r="AJ3094" s="500"/>
      <c r="AK3094" s="500"/>
      <c r="AL3094" s="500"/>
      <c r="AM3094" s="500"/>
      <c r="AN3094" s="500"/>
      <c r="AO3094" s="500"/>
      <c r="AP3094" s="500"/>
    </row>
    <row r="3095" spans="1:42" ht="16.5" customHeight="1">
      <c r="A3095" s="434"/>
      <c r="B3095" s="437" t="str">
        <f>" f = "&amp;Z3095&amp;", E = "&amp;AD3095&amp;", P = "&amp;AH3095&amp;" 회 "</f>
        <v xml:space="preserve"> f = 1, E = 0.5, P = 57 회 </v>
      </c>
      <c r="C3095" s="439"/>
      <c r="D3095" s="439"/>
      <c r="E3095" s="439"/>
      <c r="F3095" s="439"/>
      <c r="G3095" s="451" t="s">
        <v>3683</v>
      </c>
      <c r="Z3095" s="515">
        <v>1</v>
      </c>
      <c r="AA3095" s="501" t="s">
        <v>3418</v>
      </c>
      <c r="AB3095" s="512">
        <f>Z3095</f>
        <v>1</v>
      </c>
      <c r="AC3095" s="514" t="s">
        <v>3427</v>
      </c>
      <c r="AD3095" s="511">
        <v>0.5</v>
      </c>
      <c r="AE3095" s="501" t="s">
        <v>3418</v>
      </c>
      <c r="AF3095" s="512">
        <f>AD3095</f>
        <v>0.5</v>
      </c>
      <c r="AG3095" s="514" t="s">
        <v>3427</v>
      </c>
      <c r="AH3095" s="515">
        <v>57</v>
      </c>
      <c r="AI3095" s="501" t="s">
        <v>3418</v>
      </c>
      <c r="AJ3095" s="512">
        <f>AH3095</f>
        <v>57</v>
      </c>
      <c r="AK3095" s="500"/>
      <c r="AL3095" s="500"/>
      <c r="AM3095" s="500"/>
      <c r="AN3095" s="500"/>
      <c r="AO3095" s="500"/>
      <c r="AP3095" s="500"/>
    </row>
    <row r="3096" spans="1:42" ht="16.5" customHeight="1">
      <c r="A3096" s="439"/>
      <c r="B3096" s="439"/>
      <c r="C3096" s="439"/>
      <c r="D3096" s="439"/>
      <c r="E3096" s="439"/>
      <c r="F3096" s="439"/>
      <c r="G3096" s="451" t="s">
        <v>3406</v>
      </c>
      <c r="Z3096" s="500"/>
      <c r="AA3096" s="500"/>
      <c r="AB3096" s="500"/>
      <c r="AC3096" s="500"/>
      <c r="AD3096" s="500"/>
      <c r="AE3096" s="500"/>
      <c r="AF3096" s="500"/>
      <c r="AG3096" s="500"/>
      <c r="AH3096" s="500"/>
      <c r="AI3096" s="500"/>
      <c r="AJ3096" s="500"/>
      <c r="AK3096" s="500"/>
      <c r="AL3096" s="500"/>
      <c r="AM3096" s="500"/>
      <c r="AN3096" s="500"/>
      <c r="AO3096" s="500"/>
      <c r="AP3096" s="500"/>
    </row>
    <row r="3097" spans="1:42" ht="16.5" customHeight="1">
      <c r="A3097" s="434"/>
      <c r="B3097" s="437" t="str">
        <f>" Q2 = (A*N*H*f*E)/P= "&amp;AM3097&amp;"  ㎥/hr "</f>
        <v xml:space="preserve"> Q2 = (A*N*H*f*E)/P= 4.26  ㎥/hr </v>
      </c>
      <c r="C3097" s="439"/>
      <c r="D3097" s="439"/>
      <c r="E3097" s="439"/>
      <c r="F3097" s="439"/>
      <c r="G3097" s="451" t="s">
        <v>3684</v>
      </c>
      <c r="Z3097" s="501" t="s">
        <v>3467</v>
      </c>
      <c r="AA3097" s="512">
        <f>AB3093</f>
        <v>0.09</v>
      </c>
      <c r="AB3097" s="501" t="s">
        <v>3368</v>
      </c>
      <c r="AC3097" s="512">
        <f>AF3093</f>
        <v>36000</v>
      </c>
      <c r="AD3097" s="501" t="s">
        <v>3368</v>
      </c>
      <c r="AE3097" s="512">
        <f>AJ3093</f>
        <v>0.15</v>
      </c>
      <c r="AF3097" s="501" t="s">
        <v>3368</v>
      </c>
      <c r="AG3097" s="512">
        <f>AB3095</f>
        <v>1</v>
      </c>
      <c r="AH3097" s="501" t="s">
        <v>3368</v>
      </c>
      <c r="AI3097" s="512">
        <f>AF3095</f>
        <v>0.5</v>
      </c>
      <c r="AJ3097" s="501" t="s">
        <v>3475</v>
      </c>
      <c r="AK3097" s="512">
        <f>AJ3095</f>
        <v>57</v>
      </c>
      <c r="AL3097" s="501" t="s">
        <v>3418</v>
      </c>
      <c r="AM3097" s="512" t="str">
        <f>TEXT(ROUND((AB3093*AF3093*AJ3093*AB3095*AF3095)/AJ3095,2),"#,0.00")</f>
        <v>4.26</v>
      </c>
      <c r="AN3097" s="500"/>
      <c r="AO3097" s="500"/>
      <c r="AP3097" s="500"/>
    </row>
    <row r="3098" spans="1:42" ht="16.5" customHeight="1">
      <c r="A3098" s="439"/>
      <c r="B3098" s="439"/>
      <c r="C3098" s="439"/>
      <c r="D3098" s="439"/>
      <c r="E3098" s="439"/>
      <c r="F3098" s="439"/>
      <c r="G3098" s="451" t="s">
        <v>3406</v>
      </c>
      <c r="Z3098" s="500"/>
      <c r="AA3098" s="500"/>
      <c r="AB3098" s="500"/>
      <c r="AC3098" s="500"/>
      <c r="AD3098" s="500"/>
      <c r="AE3098" s="500"/>
      <c r="AF3098" s="500"/>
      <c r="AG3098" s="500"/>
      <c r="AH3098" s="500"/>
      <c r="AI3098" s="500"/>
      <c r="AJ3098" s="500"/>
      <c r="AK3098" s="500"/>
      <c r="AL3098" s="500"/>
      <c r="AM3098" s="500"/>
      <c r="AN3098" s="500"/>
      <c r="AO3098" s="500"/>
      <c r="AP3098" s="500"/>
    </row>
    <row r="3099" spans="1:42" ht="16.5" customHeight="1">
      <c r="A3099" s="434" t="s">
        <v>3685</v>
      </c>
      <c r="B3099" s="505" t="str">
        <f>" 노 무 비 :  "&amp;TEXT(I3099,"#,##0"&amp;IF(I3099&lt;&gt;INT(I3099),".###",""))&amp;" / Q2 = "&amp;TEXT(C3099,"#,##0.0")&amp;""</f>
        <v xml:space="preserve"> 노 무 비 :  36,248 / Q2 = 8,508.9</v>
      </c>
      <c r="C3099" s="506">
        <f>E3099+D3099+F3099</f>
        <v>8508.9</v>
      </c>
      <c r="D3099" s="506">
        <f>IF(H3099=0,0,ROUNDDOWN(J3099*H3099,1))</f>
        <v>8508.9</v>
      </c>
      <c r="E3099" s="506">
        <f>IF(H3099=0,0,ROUNDDOWN(K3099*H3099,1))</f>
        <v>0</v>
      </c>
      <c r="F3099" s="506">
        <f>IF(H3099=0,0,ROUNDDOWN(L3099*H3099,1))</f>
        <v>0</v>
      </c>
      <c r="G3099" s="451" t="s">
        <v>3686</v>
      </c>
      <c r="H3099" s="507">
        <f>ROUNDUP(AC3099,14-LEN(ABS(INT(AC3099))))</f>
        <v>0.23474178403760002</v>
      </c>
      <c r="I3099" s="508">
        <f>K3099+J3099+L3099</f>
        <v>36248</v>
      </c>
      <c r="J3099" s="509">
        <f>중기목록표!F21</f>
        <v>36248</v>
      </c>
      <c r="M3099" s="501" t="s">
        <v>2422</v>
      </c>
      <c r="N3099" s="501" t="s">
        <v>3416</v>
      </c>
      <c r="X3099" s="510" t="str">
        <f>중기목록표!B21&amp;" / "&amp;중기목록표!C21</f>
        <v>플레이트 콤팩터 / 1.5톤</v>
      </c>
      <c r="Y3099" s="433" t="str">
        <f ca="1">HYPERLINK("#"&amp;중기목록표!J2&amp;"!A"&amp;ROW(중기목록표!A21),"X00272 →")</f>
        <v>X00272 →</v>
      </c>
      <c r="Z3099" s="501" t="s">
        <v>3434</v>
      </c>
      <c r="AA3099" s="512" t="str">
        <f>AM3097</f>
        <v>4.26</v>
      </c>
      <c r="AB3099" s="501" t="s">
        <v>3418</v>
      </c>
      <c r="AC3099" s="512">
        <f>1/AM3097</f>
        <v>0.23474178403755869</v>
      </c>
      <c r="AD3099" s="500"/>
      <c r="AE3099" s="500"/>
      <c r="AF3099" s="500"/>
      <c r="AG3099" s="500"/>
      <c r="AH3099" s="500"/>
      <c r="AI3099" s="500"/>
      <c r="AJ3099" s="500"/>
      <c r="AK3099" s="500"/>
      <c r="AL3099" s="500"/>
      <c r="AM3099" s="500"/>
      <c r="AN3099" s="500"/>
      <c r="AO3099" s="500"/>
      <c r="AP3099" s="500"/>
    </row>
    <row r="3100" spans="1:42" ht="16.5" customHeight="1">
      <c r="A3100" s="439"/>
      <c r="B3100" s="439"/>
      <c r="C3100" s="439"/>
      <c r="D3100" s="439"/>
      <c r="E3100" s="439"/>
      <c r="F3100" s="439"/>
      <c r="G3100" s="451" t="s">
        <v>3406</v>
      </c>
      <c r="Z3100" s="500"/>
      <c r="AA3100" s="500"/>
      <c r="AB3100" s="500"/>
      <c r="AC3100" s="500"/>
      <c r="AD3100" s="500"/>
      <c r="AE3100" s="500"/>
      <c r="AF3100" s="500"/>
      <c r="AG3100" s="500"/>
      <c r="AH3100" s="500"/>
      <c r="AI3100" s="500"/>
      <c r="AJ3100" s="500"/>
      <c r="AK3100" s="500"/>
      <c r="AL3100" s="500"/>
      <c r="AM3100" s="500"/>
      <c r="AN3100" s="500"/>
      <c r="AO3100" s="500"/>
      <c r="AP3100" s="500"/>
    </row>
    <row r="3101" spans="1:42" ht="16.5" customHeight="1">
      <c r="A3101" s="434" t="s">
        <v>3687</v>
      </c>
      <c r="B3101" s="505" t="str">
        <f>" 재 료 비 :  "&amp;TEXT(I3101,"#,##0"&amp;IF(I3101&lt;&gt;INT(I3101),".###",""))&amp;" / Q2 = "&amp;TEXT(C3101,"#,##0.0")&amp;""</f>
        <v xml:space="preserve"> 재 료 비 :  1,766 / Q2 = 414.5</v>
      </c>
      <c r="C3101" s="506">
        <f>E3101+D3101+F3101</f>
        <v>414.5</v>
      </c>
      <c r="D3101" s="506">
        <f>IF(H3101=0,0,ROUNDDOWN(J3101*H3101,1))</f>
        <v>0</v>
      </c>
      <c r="E3101" s="506">
        <f>IF(H3101=0,0,ROUNDDOWN(K3101*H3101,1))</f>
        <v>414.5</v>
      </c>
      <c r="F3101" s="506">
        <f>IF(H3101=0,0,ROUNDDOWN(L3101*H3101,1))</f>
        <v>0</v>
      </c>
      <c r="G3101" s="451" t="s">
        <v>3688</v>
      </c>
      <c r="H3101" s="507">
        <f>ROUNDUP(AC3101,14-LEN(ABS(INT(AC3101))))</f>
        <v>0.23474178403760002</v>
      </c>
      <c r="I3101" s="508">
        <f>K3101+J3101+L3101</f>
        <v>1766</v>
      </c>
      <c r="K3101" s="509">
        <f>중기목록표!G21</f>
        <v>1766</v>
      </c>
      <c r="M3101" s="501" t="s">
        <v>2422</v>
      </c>
      <c r="N3101" s="501" t="s">
        <v>3416</v>
      </c>
      <c r="X3101" s="510" t="str">
        <f>중기목록표!B21&amp;" / "&amp;중기목록표!C21</f>
        <v>플레이트 콤팩터 / 1.5톤</v>
      </c>
      <c r="Y3101" s="433" t="str">
        <f ca="1">HYPERLINK("#"&amp;중기목록표!J2&amp;"!A"&amp;ROW(중기목록표!A21),"X00272 →")</f>
        <v>X00272 →</v>
      </c>
      <c r="Z3101" s="501" t="s">
        <v>3434</v>
      </c>
      <c r="AA3101" s="512" t="str">
        <f>AM3097</f>
        <v>4.26</v>
      </c>
      <c r="AB3101" s="501" t="s">
        <v>3418</v>
      </c>
      <c r="AC3101" s="512">
        <f>1/AM3097</f>
        <v>0.23474178403755869</v>
      </c>
      <c r="AD3101" s="500"/>
      <c r="AE3101" s="500"/>
      <c r="AF3101" s="500"/>
      <c r="AG3101" s="500"/>
      <c r="AH3101" s="500"/>
      <c r="AI3101" s="500"/>
      <c r="AJ3101" s="500"/>
      <c r="AK3101" s="500"/>
      <c r="AL3101" s="500"/>
      <c r="AM3101" s="500"/>
      <c r="AN3101" s="500"/>
      <c r="AO3101" s="500"/>
      <c r="AP3101" s="500"/>
    </row>
    <row r="3102" spans="1:42" ht="16.5" customHeight="1">
      <c r="A3102" s="439"/>
      <c r="B3102" s="439"/>
      <c r="C3102" s="439"/>
      <c r="D3102" s="439"/>
      <c r="E3102" s="439"/>
      <c r="F3102" s="439"/>
      <c r="G3102" s="451" t="s">
        <v>3406</v>
      </c>
      <c r="Z3102" s="500"/>
      <c r="AA3102" s="500"/>
      <c r="AB3102" s="500"/>
      <c r="AC3102" s="500"/>
      <c r="AD3102" s="500"/>
      <c r="AE3102" s="500"/>
      <c r="AF3102" s="500"/>
      <c r="AG3102" s="500"/>
      <c r="AH3102" s="500"/>
      <c r="AI3102" s="500"/>
      <c r="AJ3102" s="500"/>
      <c r="AK3102" s="500"/>
      <c r="AL3102" s="500"/>
      <c r="AM3102" s="500"/>
      <c r="AN3102" s="500"/>
      <c r="AO3102" s="500"/>
      <c r="AP3102" s="500"/>
    </row>
    <row r="3103" spans="1:42" ht="16.5" customHeight="1">
      <c r="A3103" s="434" t="s">
        <v>3689</v>
      </c>
      <c r="B3103" s="505" t="str">
        <f>" 경    비 :  "&amp;TEXT(I3103,"#,##0"&amp;IF(I3103&lt;&gt;INT(I3103),".###",""))&amp;" / Q2 = "&amp;TEXT(C3103,"#,##0.0")&amp;""</f>
        <v xml:space="preserve"> 경    비 :  620 / Q2 = 145.5</v>
      </c>
      <c r="C3103" s="506">
        <f>E3103+D3103+F3103</f>
        <v>145.5</v>
      </c>
      <c r="D3103" s="506">
        <f>IF(H3103=0,0,ROUNDDOWN(J3103*H3103,1))</f>
        <v>0</v>
      </c>
      <c r="E3103" s="506">
        <f>IF(H3103=0,0,ROUNDDOWN(K3103*H3103,1))</f>
        <v>0</v>
      </c>
      <c r="F3103" s="506">
        <f>IF(H3103=0,0,ROUNDDOWN(L3103*H3103,1))</f>
        <v>145.5</v>
      </c>
      <c r="G3103" s="451" t="s">
        <v>3690</v>
      </c>
      <c r="H3103" s="507">
        <f>ROUNDUP(AC3103,14-LEN(ABS(INT(AC3103))))</f>
        <v>0.23474178403760002</v>
      </c>
      <c r="I3103" s="508">
        <f>K3103+J3103+L3103</f>
        <v>620</v>
      </c>
      <c r="L3103" s="509">
        <f>중기목록표!H21</f>
        <v>620</v>
      </c>
      <c r="M3103" s="501" t="s">
        <v>2422</v>
      </c>
      <c r="N3103" s="501" t="s">
        <v>3416</v>
      </c>
      <c r="X3103" s="510" t="str">
        <f>중기목록표!B21&amp;" / "&amp;중기목록표!C21</f>
        <v>플레이트 콤팩터 / 1.5톤</v>
      </c>
      <c r="Y3103" s="433" t="str">
        <f ca="1">HYPERLINK("#"&amp;중기목록표!J2&amp;"!A"&amp;ROW(중기목록표!A21),"X00272 →")</f>
        <v>X00272 →</v>
      </c>
      <c r="Z3103" s="501" t="s">
        <v>3434</v>
      </c>
      <c r="AA3103" s="512" t="str">
        <f>AM3097</f>
        <v>4.26</v>
      </c>
      <c r="AB3103" s="501" t="s">
        <v>3418</v>
      </c>
      <c r="AC3103" s="512">
        <f>1/AM3097</f>
        <v>0.23474178403755869</v>
      </c>
      <c r="AD3103" s="500"/>
      <c r="AE3103" s="500"/>
      <c r="AF3103" s="500"/>
      <c r="AG3103" s="500"/>
      <c r="AH3103" s="500"/>
      <c r="AI3103" s="500"/>
      <c r="AJ3103" s="500"/>
      <c r="AK3103" s="500"/>
      <c r="AL3103" s="500"/>
      <c r="AM3103" s="500"/>
      <c r="AN3103" s="500"/>
      <c r="AO3103" s="500"/>
      <c r="AP3103" s="500"/>
    </row>
    <row r="3104" spans="1:42" ht="16.5" customHeight="1">
      <c r="A3104" s="439"/>
      <c r="B3104" s="439"/>
      <c r="C3104" s="439"/>
      <c r="D3104" s="439"/>
      <c r="E3104" s="439"/>
      <c r="F3104" s="439"/>
      <c r="G3104" s="451" t="s">
        <v>3406</v>
      </c>
      <c r="Z3104" s="500"/>
      <c r="AA3104" s="500"/>
      <c r="AB3104" s="500"/>
      <c r="AC3104" s="500"/>
      <c r="AD3104" s="500"/>
      <c r="AE3104" s="500"/>
      <c r="AF3104" s="500"/>
      <c r="AG3104" s="500"/>
      <c r="AH3104" s="500"/>
      <c r="AI3104" s="500"/>
      <c r="AJ3104" s="500"/>
      <c r="AK3104" s="500"/>
      <c r="AL3104" s="500"/>
      <c r="AM3104" s="500"/>
      <c r="AN3104" s="500"/>
      <c r="AO3104" s="500"/>
      <c r="AP3104" s="500"/>
    </row>
    <row r="3105" spans="1:42" ht="16.5" customHeight="1">
      <c r="A3105" s="439"/>
      <c r="B3105" s="439"/>
      <c r="C3105" s="439"/>
      <c r="D3105" s="439"/>
      <c r="E3105" s="439"/>
      <c r="F3105" s="439"/>
      <c r="G3105" s="451" t="s">
        <v>3406</v>
      </c>
      <c r="Z3105" s="500"/>
      <c r="AA3105" s="500"/>
      <c r="AB3105" s="500"/>
      <c r="AC3105" s="500"/>
      <c r="AD3105" s="500"/>
      <c r="AE3105" s="500"/>
      <c r="AF3105" s="500"/>
      <c r="AG3105" s="500"/>
      <c r="AH3105" s="500"/>
      <c r="AI3105" s="500"/>
      <c r="AJ3105" s="500"/>
      <c r="AK3105" s="500"/>
      <c r="AL3105" s="500"/>
      <c r="AM3105" s="500"/>
      <c r="AN3105" s="500"/>
      <c r="AO3105" s="500"/>
      <c r="AP3105" s="500"/>
    </row>
    <row r="3106" spans="1:42" ht="16.5" customHeight="1">
      <c r="A3106" s="439"/>
      <c r="B3106" s="439"/>
      <c r="C3106" s="439"/>
      <c r="D3106" s="439"/>
      <c r="E3106" s="439"/>
      <c r="F3106" s="439"/>
      <c r="G3106" s="451" t="s">
        <v>3406</v>
      </c>
      <c r="Z3106" s="500"/>
      <c r="AA3106" s="500"/>
      <c r="AB3106" s="500"/>
      <c r="AC3106" s="500"/>
      <c r="AD3106" s="500"/>
      <c r="AE3106" s="500"/>
      <c r="AF3106" s="500"/>
      <c r="AG3106" s="500"/>
      <c r="AH3106" s="500"/>
      <c r="AI3106" s="500"/>
      <c r="AJ3106" s="500"/>
      <c r="AK3106" s="500"/>
      <c r="AL3106" s="500"/>
      <c r="AM3106" s="500"/>
      <c r="AN3106" s="500"/>
      <c r="AO3106" s="500"/>
      <c r="AP3106" s="500"/>
    </row>
    <row r="3107" spans="1:42" ht="16.5" customHeight="1">
      <c r="A3107" s="434"/>
      <c r="B3107" s="437" t="s">
        <v>3419</v>
      </c>
      <c r="C3107" s="513">
        <f>E3107+D3107+F3107</f>
        <v>9068.9</v>
      </c>
      <c r="D3107" s="513">
        <f>SUMIF(N3089:N3106,M3107,D3089:D3106)</f>
        <v>8508.9</v>
      </c>
      <c r="E3107" s="513">
        <f>SUMIF(N3089:N3106,M3107,E3089:E3106)</f>
        <v>414.5</v>
      </c>
      <c r="F3107" s="513">
        <f>SUMIF(N3089:N3106,M3107,F3089:F3106)</f>
        <v>145.5</v>
      </c>
      <c r="G3107" s="451" t="s">
        <v>3420</v>
      </c>
      <c r="M3107" s="501" t="s">
        <v>3416</v>
      </c>
      <c r="N3107" s="501" t="s">
        <v>3421</v>
      </c>
      <c r="Z3107" s="500"/>
      <c r="AA3107" s="500"/>
      <c r="AB3107" s="500"/>
      <c r="AC3107" s="500"/>
      <c r="AD3107" s="500"/>
      <c r="AE3107" s="500"/>
      <c r="AF3107" s="500"/>
      <c r="AG3107" s="500"/>
      <c r="AH3107" s="500"/>
      <c r="AI3107" s="500"/>
      <c r="AJ3107" s="500"/>
      <c r="AK3107" s="500"/>
      <c r="AL3107" s="500"/>
      <c r="AM3107" s="500"/>
      <c r="AN3107" s="500"/>
      <c r="AO3107" s="500"/>
      <c r="AP3107" s="500"/>
    </row>
    <row r="3108" spans="1:42" ht="16.5" customHeight="1">
      <c r="A3108" s="439"/>
      <c r="B3108" s="439"/>
      <c r="C3108" s="504"/>
      <c r="D3108" s="504"/>
      <c r="E3108" s="504"/>
      <c r="F3108" s="504"/>
      <c r="G3108" s="451" t="s">
        <v>3406</v>
      </c>
      <c r="Z3108" s="500"/>
      <c r="AA3108" s="500"/>
      <c r="AB3108" s="500"/>
      <c r="AC3108" s="500"/>
      <c r="AD3108" s="500"/>
      <c r="AE3108" s="500"/>
      <c r="AF3108" s="500"/>
      <c r="AG3108" s="500"/>
      <c r="AH3108" s="500"/>
      <c r="AI3108" s="500"/>
      <c r="AJ3108" s="500"/>
      <c r="AK3108" s="500"/>
      <c r="AL3108" s="500"/>
      <c r="AM3108" s="500"/>
      <c r="AN3108" s="500"/>
      <c r="AO3108" s="500"/>
      <c r="AP3108" s="500"/>
    </row>
    <row r="3109" spans="1:42" ht="16.5" customHeight="1">
      <c r="A3109" s="439"/>
      <c r="B3109" s="439"/>
      <c r="C3109" s="439"/>
      <c r="D3109" s="439"/>
      <c r="E3109" s="439"/>
      <c r="F3109" s="439"/>
      <c r="G3109" s="451" t="s">
        <v>3406</v>
      </c>
      <c r="Z3109" s="500"/>
      <c r="AA3109" s="500"/>
      <c r="AB3109" s="500"/>
      <c r="AC3109" s="500"/>
      <c r="AD3109" s="500"/>
      <c r="AE3109" s="500"/>
      <c r="AF3109" s="500"/>
      <c r="AG3109" s="500"/>
      <c r="AH3109" s="500"/>
      <c r="AI3109" s="500"/>
      <c r="AJ3109" s="500"/>
      <c r="AK3109" s="500"/>
      <c r="AL3109" s="500"/>
      <c r="AM3109" s="500"/>
      <c r="AN3109" s="500"/>
      <c r="AO3109" s="500"/>
      <c r="AP3109" s="500"/>
    </row>
    <row r="3110" spans="1:42" ht="16.5" customHeight="1">
      <c r="A3110" s="439"/>
      <c r="B3110" s="439"/>
      <c r="C3110" s="439"/>
      <c r="D3110" s="439"/>
      <c r="E3110" s="439"/>
      <c r="F3110" s="439"/>
      <c r="G3110" s="451" t="s">
        <v>3406</v>
      </c>
      <c r="Z3110" s="500"/>
      <c r="AA3110" s="500"/>
      <c r="AB3110" s="500"/>
      <c r="AC3110" s="500"/>
      <c r="AD3110" s="500"/>
      <c r="AE3110" s="500"/>
      <c r="AF3110" s="500"/>
      <c r="AG3110" s="500"/>
      <c r="AH3110" s="500"/>
      <c r="AI3110" s="500"/>
      <c r="AJ3110" s="500"/>
      <c r="AK3110" s="500"/>
      <c r="AL3110" s="500"/>
      <c r="AM3110" s="500"/>
      <c r="AN3110" s="500"/>
      <c r="AO3110" s="500"/>
      <c r="AP3110" s="500"/>
    </row>
    <row r="3111" spans="1:42" ht="16.5" customHeight="1">
      <c r="A3111" s="439"/>
      <c r="B3111" s="439"/>
      <c r="C3111" s="439"/>
      <c r="D3111" s="439"/>
      <c r="E3111" s="439"/>
      <c r="F3111" s="439"/>
      <c r="G3111" s="451" t="s">
        <v>3406</v>
      </c>
      <c r="Z3111" s="500"/>
      <c r="AA3111" s="500"/>
      <c r="AB3111" s="500"/>
      <c r="AC3111" s="500"/>
      <c r="AD3111" s="500"/>
      <c r="AE3111" s="500"/>
      <c r="AF3111" s="500"/>
      <c r="AG3111" s="500"/>
      <c r="AH3111" s="500"/>
      <c r="AI3111" s="500"/>
      <c r="AJ3111" s="500"/>
      <c r="AK3111" s="500"/>
      <c r="AL3111" s="500"/>
      <c r="AM3111" s="500"/>
      <c r="AN3111" s="500"/>
      <c r="AO3111" s="500"/>
      <c r="AP3111" s="500"/>
    </row>
    <row r="3112" spans="1:42" ht="16.5" customHeight="1">
      <c r="A3112" s="434"/>
      <c r="B3112" s="437" t="s">
        <v>3440</v>
      </c>
      <c r="C3112" s="513">
        <f>E3112+D3112+F3112</f>
        <v>12431.199999999999</v>
      </c>
      <c r="D3112" s="513">
        <f>SUMIF(N3057:N3111,M3112,D3057:D3111)</f>
        <v>11169.4</v>
      </c>
      <c r="E3112" s="513">
        <f>SUMIF(N3057:N3111,M3112,E3057:E3111)</f>
        <v>725.3</v>
      </c>
      <c r="F3112" s="513">
        <f>SUMIF(N3057:N3111,M3112,F3057:F3111)</f>
        <v>536.5</v>
      </c>
      <c r="G3112" s="451" t="s">
        <v>3484</v>
      </c>
      <c r="M3112" s="501" t="s">
        <v>3421</v>
      </c>
      <c r="N3112" s="501" t="s">
        <v>2354</v>
      </c>
      <c r="Z3112" s="500"/>
      <c r="AA3112" s="500"/>
      <c r="AB3112" s="500"/>
      <c r="AC3112" s="500"/>
      <c r="AD3112" s="500"/>
      <c r="AE3112" s="500"/>
      <c r="AF3112" s="500"/>
      <c r="AG3112" s="500"/>
      <c r="AH3112" s="500"/>
      <c r="AI3112" s="500"/>
      <c r="AJ3112" s="500"/>
      <c r="AK3112" s="500"/>
      <c r="AL3112" s="500"/>
      <c r="AM3112" s="500"/>
      <c r="AN3112" s="500"/>
      <c r="AO3112" s="500"/>
      <c r="AP3112" s="500"/>
    </row>
    <row r="3113" spans="1:42" ht="16.5" customHeight="1">
      <c r="A3113" s="439"/>
      <c r="B3113" s="439"/>
      <c r="C3113" s="504"/>
      <c r="D3113" s="504"/>
      <c r="E3113" s="504"/>
      <c r="F3113" s="504"/>
      <c r="Z3113" s="500"/>
      <c r="AA3113" s="500"/>
      <c r="AB3113" s="500"/>
      <c r="AC3113" s="500"/>
      <c r="AD3113" s="500"/>
      <c r="AE3113" s="500"/>
      <c r="AF3113" s="500"/>
      <c r="AG3113" s="500"/>
      <c r="AH3113" s="500"/>
      <c r="AI3113" s="500"/>
      <c r="AJ3113" s="500"/>
      <c r="AK3113" s="500"/>
      <c r="AL3113" s="500"/>
      <c r="AM3113" s="500"/>
      <c r="AN3113" s="500"/>
      <c r="AO3113" s="500"/>
      <c r="AP3113" s="500"/>
    </row>
    <row r="3114" spans="1:42" ht="16.5" customHeight="1">
      <c r="A3114" s="439"/>
      <c r="B3114" s="439"/>
      <c r="C3114" s="439"/>
      <c r="D3114" s="439"/>
      <c r="E3114" s="439"/>
      <c r="F3114" s="439"/>
      <c r="Z3114" s="500"/>
      <c r="AA3114" s="500"/>
      <c r="AB3114" s="500"/>
      <c r="AC3114" s="500"/>
      <c r="AD3114" s="500"/>
      <c r="AE3114" s="500"/>
      <c r="AF3114" s="500"/>
      <c r="AG3114" s="500"/>
      <c r="AH3114" s="500"/>
      <c r="AI3114" s="500"/>
      <c r="AJ3114" s="500"/>
      <c r="AK3114" s="500"/>
      <c r="AL3114" s="500"/>
      <c r="AM3114" s="500"/>
      <c r="AN3114" s="500"/>
      <c r="AO3114" s="500"/>
      <c r="AP3114" s="500"/>
    </row>
    <row r="3115" spans="1:42" ht="16.5" customHeight="1">
      <c r="A3115" s="439"/>
      <c r="B3115" s="439"/>
      <c r="C3115" s="439"/>
      <c r="D3115" s="439"/>
      <c r="E3115" s="439"/>
      <c r="F3115" s="439"/>
      <c r="Z3115" s="500"/>
      <c r="AA3115" s="500"/>
      <c r="AB3115" s="500"/>
      <c r="AC3115" s="500"/>
      <c r="AD3115" s="500"/>
      <c r="AE3115" s="500"/>
      <c r="AF3115" s="500"/>
      <c r="AG3115" s="500"/>
      <c r="AH3115" s="500"/>
      <c r="AI3115" s="500"/>
      <c r="AJ3115" s="500"/>
      <c r="AK3115" s="500"/>
      <c r="AL3115" s="500"/>
      <c r="AM3115" s="500"/>
      <c r="AN3115" s="500"/>
      <c r="AO3115" s="500"/>
      <c r="AP3115" s="500"/>
    </row>
    <row r="3116" spans="1:42" ht="16.5" customHeight="1">
      <c r="A3116" s="439"/>
      <c r="B3116" s="439"/>
      <c r="C3116" s="439"/>
      <c r="D3116" s="439"/>
      <c r="E3116" s="439"/>
      <c r="F3116" s="439"/>
      <c r="Z3116" s="500"/>
      <c r="AA3116" s="500"/>
      <c r="AB3116" s="500"/>
      <c r="AC3116" s="500"/>
      <c r="AD3116" s="500"/>
      <c r="AE3116" s="500"/>
      <c r="AF3116" s="500"/>
      <c r="AG3116" s="500"/>
      <c r="AH3116" s="500"/>
      <c r="AI3116" s="500"/>
      <c r="AJ3116" s="500"/>
      <c r="AK3116" s="500"/>
      <c r="AL3116" s="500"/>
      <c r="AM3116" s="500"/>
      <c r="AN3116" s="500"/>
      <c r="AO3116" s="500"/>
      <c r="AP3116" s="500"/>
    </row>
    <row r="3117" spans="1:42" ht="16.5" customHeight="1">
      <c r="A3117" s="439"/>
      <c r="B3117" s="439"/>
      <c r="C3117" s="439"/>
      <c r="D3117" s="439"/>
      <c r="E3117" s="439"/>
      <c r="F3117" s="439"/>
      <c r="Z3117" s="500"/>
      <c r="AA3117" s="500"/>
      <c r="AB3117" s="500"/>
      <c r="AC3117" s="500"/>
      <c r="AD3117" s="500"/>
      <c r="AE3117" s="500"/>
      <c r="AF3117" s="500"/>
      <c r="AG3117" s="500"/>
      <c r="AH3117" s="500"/>
      <c r="AI3117" s="500"/>
      <c r="AJ3117" s="500"/>
      <c r="AK3117" s="500"/>
      <c r="AL3117" s="500"/>
      <c r="AM3117" s="500"/>
      <c r="AN3117" s="500"/>
      <c r="AO3117" s="500"/>
      <c r="AP3117" s="500"/>
    </row>
    <row r="3118" spans="1:42" ht="16.5" customHeight="1">
      <c r="A3118" s="439"/>
      <c r="B3118" s="439"/>
      <c r="C3118" s="439"/>
      <c r="D3118" s="439"/>
      <c r="E3118" s="439"/>
      <c r="F3118" s="439"/>
      <c r="Z3118" s="500"/>
      <c r="AA3118" s="500"/>
      <c r="AB3118" s="500"/>
      <c r="AC3118" s="500"/>
      <c r="AD3118" s="500"/>
      <c r="AE3118" s="500"/>
      <c r="AF3118" s="500"/>
      <c r="AG3118" s="500"/>
      <c r="AH3118" s="500"/>
      <c r="AI3118" s="500"/>
      <c r="AJ3118" s="500"/>
      <c r="AK3118" s="500"/>
      <c r="AL3118" s="500"/>
      <c r="AM3118" s="500"/>
      <c r="AN3118" s="500"/>
      <c r="AO3118" s="500"/>
      <c r="AP3118" s="500"/>
    </row>
    <row r="3119" spans="1:42" ht="16.5" customHeight="1">
      <c r="A3119" s="439"/>
      <c r="B3119" s="439"/>
      <c r="C3119" s="439"/>
      <c r="D3119" s="439"/>
      <c r="E3119" s="439"/>
      <c r="F3119" s="439"/>
      <c r="Z3119" s="500"/>
      <c r="AA3119" s="500"/>
      <c r="AB3119" s="500"/>
      <c r="AC3119" s="500"/>
      <c r="AD3119" s="500"/>
      <c r="AE3119" s="500"/>
      <c r="AF3119" s="500"/>
      <c r="AG3119" s="500"/>
      <c r="AH3119" s="500"/>
      <c r="AI3119" s="500"/>
      <c r="AJ3119" s="500"/>
      <c r="AK3119" s="500"/>
      <c r="AL3119" s="500"/>
      <c r="AM3119" s="500"/>
      <c r="AN3119" s="500"/>
      <c r="AO3119" s="500"/>
      <c r="AP3119" s="500"/>
    </row>
    <row r="3120" spans="1:42" ht="16.5" customHeight="1">
      <c r="A3120" s="439"/>
      <c r="B3120" s="439"/>
      <c r="C3120" s="439"/>
      <c r="D3120" s="439"/>
      <c r="E3120" s="439"/>
      <c r="F3120" s="439"/>
      <c r="Z3120" s="500"/>
      <c r="AA3120" s="500"/>
      <c r="AB3120" s="500"/>
      <c r="AC3120" s="500"/>
      <c r="AD3120" s="500"/>
      <c r="AE3120" s="500"/>
      <c r="AF3120" s="500"/>
      <c r="AG3120" s="500"/>
      <c r="AH3120" s="500"/>
      <c r="AI3120" s="500"/>
      <c r="AJ3120" s="500"/>
      <c r="AK3120" s="500"/>
      <c r="AL3120" s="500"/>
      <c r="AM3120" s="500"/>
      <c r="AN3120" s="500"/>
      <c r="AO3120" s="500"/>
      <c r="AP3120" s="500"/>
    </row>
    <row r="3121" spans="1:42" ht="16.5" customHeight="1">
      <c r="A3121" s="439"/>
      <c r="B3121" s="439"/>
      <c r="C3121" s="439"/>
      <c r="D3121" s="439"/>
      <c r="E3121" s="439"/>
      <c r="F3121" s="439"/>
      <c r="Z3121" s="500"/>
      <c r="AA3121" s="500"/>
      <c r="AB3121" s="500"/>
      <c r="AC3121" s="500"/>
      <c r="AD3121" s="500"/>
      <c r="AE3121" s="500"/>
      <c r="AF3121" s="500"/>
      <c r="AG3121" s="500"/>
      <c r="AH3121" s="500"/>
      <c r="AI3121" s="500"/>
      <c r="AJ3121" s="500"/>
      <c r="AK3121" s="500"/>
      <c r="AL3121" s="500"/>
      <c r="AM3121" s="500"/>
      <c r="AN3121" s="500"/>
      <c r="AO3121" s="500"/>
      <c r="AP3121" s="500"/>
    </row>
    <row r="3122" spans="1:42" ht="16.5" customHeight="1">
      <c r="A3122" s="439"/>
      <c r="B3122" s="439"/>
      <c r="C3122" s="439"/>
      <c r="D3122" s="439"/>
      <c r="E3122" s="439"/>
      <c r="F3122" s="439"/>
      <c r="Z3122" s="500"/>
      <c r="AA3122" s="500"/>
      <c r="AB3122" s="500"/>
      <c r="AC3122" s="500"/>
      <c r="AD3122" s="500"/>
      <c r="AE3122" s="500"/>
      <c r="AF3122" s="500"/>
      <c r="AG3122" s="500"/>
      <c r="AH3122" s="500"/>
      <c r="AI3122" s="500"/>
      <c r="AJ3122" s="500"/>
      <c r="AK3122" s="500"/>
      <c r="AL3122" s="500"/>
      <c r="AM3122" s="500"/>
      <c r="AN3122" s="500"/>
      <c r="AO3122" s="500"/>
      <c r="AP3122" s="500"/>
    </row>
    <row r="3123" spans="1:42" ht="16.5" customHeight="1">
      <c r="A3123" s="439"/>
      <c r="B3123" s="439"/>
      <c r="C3123" s="439"/>
      <c r="D3123" s="439"/>
      <c r="E3123" s="439"/>
      <c r="F3123" s="439"/>
      <c r="Z3123" s="500"/>
      <c r="AA3123" s="500"/>
      <c r="AB3123" s="500"/>
      <c r="AC3123" s="500"/>
      <c r="AD3123" s="500"/>
      <c r="AE3123" s="500"/>
      <c r="AF3123" s="500"/>
      <c r="AG3123" s="500"/>
      <c r="AH3123" s="500"/>
      <c r="AI3123" s="500"/>
      <c r="AJ3123" s="500"/>
      <c r="AK3123" s="500"/>
      <c r="AL3123" s="500"/>
      <c r="AM3123" s="500"/>
      <c r="AN3123" s="500"/>
      <c r="AO3123" s="500"/>
      <c r="AP3123" s="500"/>
    </row>
    <row r="3124" spans="1:42" ht="16.5" customHeight="1">
      <c r="A3124" s="439"/>
      <c r="B3124" s="439"/>
      <c r="C3124" s="439"/>
      <c r="D3124" s="439"/>
      <c r="E3124" s="439"/>
      <c r="F3124" s="439"/>
      <c r="Z3124" s="500"/>
      <c r="AA3124" s="500"/>
      <c r="AB3124" s="500"/>
      <c r="AC3124" s="500"/>
      <c r="AD3124" s="500"/>
      <c r="AE3124" s="500"/>
      <c r="AF3124" s="500"/>
      <c r="AG3124" s="500"/>
      <c r="AH3124" s="500"/>
      <c r="AI3124" s="500"/>
      <c r="AJ3124" s="500"/>
      <c r="AK3124" s="500"/>
      <c r="AL3124" s="500"/>
      <c r="AM3124" s="500"/>
      <c r="AN3124" s="500"/>
      <c r="AO3124" s="500"/>
      <c r="AP3124" s="500"/>
    </row>
    <row r="3125" spans="1:42" ht="16.5" customHeight="1">
      <c r="A3125" s="439"/>
      <c r="B3125" s="439"/>
      <c r="C3125" s="439"/>
      <c r="D3125" s="439"/>
      <c r="E3125" s="439"/>
      <c r="F3125" s="439"/>
      <c r="Z3125" s="500"/>
      <c r="AA3125" s="500"/>
      <c r="AB3125" s="500"/>
      <c r="AC3125" s="500"/>
      <c r="AD3125" s="500"/>
      <c r="AE3125" s="500"/>
      <c r="AF3125" s="500"/>
      <c r="AG3125" s="500"/>
      <c r="AH3125" s="500"/>
      <c r="AI3125" s="500"/>
      <c r="AJ3125" s="500"/>
      <c r="AK3125" s="500"/>
      <c r="AL3125" s="500"/>
      <c r="AM3125" s="500"/>
      <c r="AN3125" s="500"/>
      <c r="AO3125" s="500"/>
      <c r="AP3125" s="500"/>
    </row>
    <row r="3126" spans="1:42" ht="16.5" customHeight="1">
      <c r="A3126" s="439"/>
      <c r="B3126" s="439"/>
      <c r="C3126" s="439"/>
      <c r="D3126" s="439"/>
      <c r="E3126" s="439"/>
      <c r="F3126" s="439"/>
      <c r="Z3126" s="500"/>
      <c r="AA3126" s="500"/>
      <c r="AB3126" s="500"/>
      <c r="AC3126" s="500"/>
      <c r="AD3126" s="500"/>
      <c r="AE3126" s="500"/>
      <c r="AF3126" s="500"/>
      <c r="AG3126" s="500"/>
      <c r="AH3126" s="500"/>
      <c r="AI3126" s="500"/>
      <c r="AJ3126" s="500"/>
      <c r="AK3126" s="500"/>
      <c r="AL3126" s="500"/>
      <c r="AM3126" s="500"/>
      <c r="AN3126" s="500"/>
      <c r="AO3126" s="500"/>
      <c r="AP3126" s="500"/>
    </row>
    <row r="3127" spans="1:42" ht="16.5" customHeight="1">
      <c r="A3127" s="439"/>
      <c r="B3127" s="439"/>
      <c r="C3127" s="439"/>
      <c r="D3127" s="439"/>
      <c r="E3127" s="439"/>
      <c r="F3127" s="439"/>
      <c r="Z3127" s="500"/>
      <c r="AA3127" s="500"/>
      <c r="AB3127" s="500"/>
      <c r="AC3127" s="500"/>
      <c r="AD3127" s="500"/>
      <c r="AE3127" s="500"/>
      <c r="AF3127" s="500"/>
      <c r="AG3127" s="500"/>
      <c r="AH3127" s="500"/>
      <c r="AI3127" s="500"/>
      <c r="AJ3127" s="500"/>
      <c r="AK3127" s="500"/>
      <c r="AL3127" s="500"/>
      <c r="AM3127" s="500"/>
      <c r="AN3127" s="500"/>
      <c r="AO3127" s="500"/>
      <c r="AP3127" s="500"/>
    </row>
    <row r="3128" spans="1:42" ht="16.5" customHeight="1">
      <c r="A3128" s="439"/>
      <c r="B3128" s="439"/>
      <c r="C3128" s="439"/>
      <c r="D3128" s="439"/>
      <c r="E3128" s="439"/>
      <c r="F3128" s="439"/>
      <c r="Z3128" s="500"/>
      <c r="AA3128" s="500"/>
      <c r="AB3128" s="500"/>
      <c r="AC3128" s="500"/>
      <c r="AD3128" s="500"/>
      <c r="AE3128" s="500"/>
      <c r="AF3128" s="500"/>
      <c r="AG3128" s="500"/>
      <c r="AH3128" s="500"/>
      <c r="AI3128" s="500"/>
      <c r="AJ3128" s="500"/>
      <c r="AK3128" s="500"/>
      <c r="AL3128" s="500"/>
      <c r="AM3128" s="500"/>
      <c r="AN3128" s="500"/>
      <c r="AO3128" s="500"/>
      <c r="AP3128" s="500"/>
    </row>
    <row r="3129" spans="1:42" ht="16.5" customHeight="1">
      <c r="A3129" s="439"/>
      <c r="B3129" s="439"/>
      <c r="C3129" s="439"/>
      <c r="D3129" s="439"/>
      <c r="E3129" s="439"/>
      <c r="F3129" s="439"/>
      <c r="Z3129" s="500"/>
      <c r="AA3129" s="500"/>
      <c r="AB3129" s="500"/>
      <c r="AC3129" s="500"/>
      <c r="AD3129" s="500"/>
      <c r="AE3129" s="500"/>
      <c r="AF3129" s="500"/>
      <c r="AG3129" s="500"/>
      <c r="AH3129" s="500"/>
      <c r="AI3129" s="500"/>
      <c r="AJ3129" s="500"/>
      <c r="AK3129" s="500"/>
      <c r="AL3129" s="500"/>
      <c r="AM3129" s="500"/>
      <c r="AN3129" s="500"/>
      <c r="AO3129" s="500"/>
      <c r="AP3129" s="500"/>
    </row>
    <row r="3130" spans="1:42" ht="16.5" customHeight="1">
      <c r="A3130" s="439"/>
      <c r="B3130" s="439"/>
      <c r="C3130" s="439"/>
      <c r="D3130" s="439"/>
      <c r="E3130" s="439"/>
      <c r="F3130" s="439"/>
      <c r="Z3130" s="500"/>
      <c r="AA3130" s="500"/>
      <c r="AB3130" s="500"/>
      <c r="AC3130" s="500"/>
      <c r="AD3130" s="500"/>
      <c r="AE3130" s="500"/>
      <c r="AF3130" s="500"/>
      <c r="AG3130" s="500"/>
      <c r="AH3130" s="500"/>
      <c r="AI3130" s="500"/>
      <c r="AJ3130" s="500"/>
      <c r="AK3130" s="500"/>
      <c r="AL3130" s="500"/>
      <c r="AM3130" s="500"/>
      <c r="AN3130" s="500"/>
      <c r="AO3130" s="500"/>
      <c r="AP3130" s="500"/>
    </row>
    <row r="3131" spans="1:42" ht="16.5" customHeight="1">
      <c r="A3131" s="439"/>
      <c r="B3131" s="439"/>
      <c r="C3131" s="439"/>
      <c r="D3131" s="439"/>
      <c r="E3131" s="439"/>
      <c r="F3131" s="439"/>
      <c r="Z3131" s="500"/>
      <c r="AA3131" s="500"/>
      <c r="AB3131" s="500"/>
      <c r="AC3131" s="500"/>
      <c r="AD3131" s="500"/>
      <c r="AE3131" s="500"/>
      <c r="AF3131" s="500"/>
      <c r="AG3131" s="500"/>
      <c r="AH3131" s="500"/>
      <c r="AI3131" s="500"/>
      <c r="AJ3131" s="500"/>
      <c r="AK3131" s="500"/>
      <c r="AL3131" s="500"/>
      <c r="AM3131" s="500"/>
      <c r="AN3131" s="500"/>
      <c r="AO3131" s="500"/>
      <c r="AP3131" s="500"/>
    </row>
    <row r="3132" spans="1:42" ht="16.5" customHeight="1">
      <c r="A3132" s="439"/>
      <c r="B3132" s="439"/>
      <c r="C3132" s="439"/>
      <c r="D3132" s="439"/>
      <c r="E3132" s="439"/>
      <c r="F3132" s="439"/>
      <c r="Z3132" s="500"/>
      <c r="AA3132" s="500"/>
      <c r="AB3132" s="500"/>
      <c r="AC3132" s="500"/>
      <c r="AD3132" s="500"/>
      <c r="AE3132" s="500"/>
      <c r="AF3132" s="500"/>
      <c r="AG3132" s="500"/>
      <c r="AH3132" s="500"/>
      <c r="AI3132" s="500"/>
      <c r="AJ3132" s="500"/>
      <c r="AK3132" s="500"/>
      <c r="AL3132" s="500"/>
      <c r="AM3132" s="500"/>
      <c r="AN3132" s="500"/>
      <c r="AO3132" s="500"/>
      <c r="AP3132" s="500"/>
    </row>
    <row r="3133" spans="1:42" ht="16.5" customHeight="1">
      <c r="A3133" s="439"/>
      <c r="B3133" s="439"/>
      <c r="C3133" s="439"/>
      <c r="D3133" s="439"/>
      <c r="E3133" s="439"/>
      <c r="F3133" s="439"/>
      <c r="Z3133" s="500"/>
      <c r="AA3133" s="500"/>
      <c r="AB3133" s="500"/>
      <c r="AC3133" s="500"/>
      <c r="AD3133" s="500"/>
      <c r="AE3133" s="500"/>
      <c r="AF3133" s="500"/>
      <c r="AG3133" s="500"/>
      <c r="AH3133" s="500"/>
      <c r="AI3133" s="500"/>
      <c r="AJ3133" s="500"/>
      <c r="AK3133" s="500"/>
      <c r="AL3133" s="500"/>
      <c r="AM3133" s="500"/>
      <c r="AN3133" s="500"/>
      <c r="AO3133" s="500"/>
      <c r="AP3133" s="500"/>
    </row>
    <row r="3134" spans="1:42" ht="16.5" customHeight="1">
      <c r="A3134" s="439"/>
      <c r="B3134" s="439"/>
      <c r="C3134" s="439"/>
      <c r="D3134" s="439"/>
      <c r="E3134" s="439"/>
      <c r="F3134" s="439"/>
      <c r="Z3134" s="500"/>
      <c r="AA3134" s="500"/>
      <c r="AB3134" s="500"/>
      <c r="AC3134" s="500"/>
      <c r="AD3134" s="500"/>
      <c r="AE3134" s="500"/>
      <c r="AF3134" s="500"/>
      <c r="AG3134" s="500"/>
      <c r="AH3134" s="500"/>
      <c r="AI3134" s="500"/>
      <c r="AJ3134" s="500"/>
      <c r="AK3134" s="500"/>
      <c r="AL3134" s="500"/>
      <c r="AM3134" s="500"/>
      <c r="AN3134" s="500"/>
      <c r="AO3134" s="500"/>
      <c r="AP3134" s="500"/>
    </row>
    <row r="3135" spans="1:42" ht="16.5" customHeight="1">
      <c r="A3135" s="439"/>
      <c r="B3135" s="439"/>
      <c r="C3135" s="439"/>
      <c r="D3135" s="439"/>
      <c r="E3135" s="439"/>
      <c r="F3135" s="439"/>
      <c r="Z3135" s="500"/>
      <c r="AA3135" s="500"/>
      <c r="AB3135" s="500"/>
      <c r="AC3135" s="500"/>
      <c r="AD3135" s="500"/>
      <c r="AE3135" s="500"/>
      <c r="AF3135" s="500"/>
      <c r="AG3135" s="500"/>
      <c r="AH3135" s="500"/>
      <c r="AI3135" s="500"/>
      <c r="AJ3135" s="500"/>
      <c r="AK3135" s="500"/>
      <c r="AL3135" s="500"/>
      <c r="AM3135" s="500"/>
      <c r="AN3135" s="500"/>
      <c r="AO3135" s="500"/>
      <c r="AP3135" s="500"/>
    </row>
    <row r="3136" spans="1:42" ht="16.5" customHeight="1">
      <c r="A3136" s="439"/>
      <c r="B3136" s="439"/>
      <c r="C3136" s="439"/>
      <c r="D3136" s="439"/>
      <c r="E3136" s="439"/>
      <c r="F3136" s="439"/>
      <c r="Z3136" s="500"/>
      <c r="AA3136" s="500"/>
      <c r="AB3136" s="500"/>
      <c r="AC3136" s="500"/>
      <c r="AD3136" s="500"/>
      <c r="AE3136" s="500"/>
      <c r="AF3136" s="500"/>
      <c r="AG3136" s="500"/>
      <c r="AH3136" s="500"/>
      <c r="AI3136" s="500"/>
      <c r="AJ3136" s="500"/>
      <c r="AK3136" s="500"/>
      <c r="AL3136" s="500"/>
      <c r="AM3136" s="500"/>
      <c r="AN3136" s="500"/>
      <c r="AO3136" s="500"/>
      <c r="AP3136" s="500"/>
    </row>
    <row r="3137" spans="1:42" ht="16.5" customHeight="1">
      <c r="A3137" s="439"/>
      <c r="B3137" s="439"/>
      <c r="C3137" s="439"/>
      <c r="D3137" s="439"/>
      <c r="E3137" s="439"/>
      <c r="F3137" s="439"/>
      <c r="Z3137" s="500"/>
      <c r="AA3137" s="500"/>
      <c r="AB3137" s="500"/>
      <c r="AC3137" s="500"/>
      <c r="AD3137" s="500"/>
      <c r="AE3137" s="500"/>
      <c r="AF3137" s="500"/>
      <c r="AG3137" s="500"/>
      <c r="AH3137" s="500"/>
      <c r="AI3137" s="500"/>
      <c r="AJ3137" s="500"/>
      <c r="AK3137" s="500"/>
      <c r="AL3137" s="500"/>
      <c r="AM3137" s="500"/>
      <c r="AN3137" s="500"/>
      <c r="AO3137" s="500"/>
      <c r="AP3137" s="500"/>
    </row>
    <row r="3138" spans="1:42" ht="16.5" customHeight="1">
      <c r="A3138" s="439"/>
      <c r="B3138" s="439"/>
      <c r="C3138" s="439"/>
      <c r="D3138" s="439"/>
      <c r="E3138" s="439"/>
      <c r="F3138" s="439"/>
      <c r="Z3138" s="500"/>
      <c r="AA3138" s="500"/>
      <c r="AB3138" s="500"/>
      <c r="AC3138" s="500"/>
      <c r="AD3138" s="500"/>
      <c r="AE3138" s="500"/>
      <c r="AF3138" s="500"/>
      <c r="AG3138" s="500"/>
      <c r="AH3138" s="500"/>
      <c r="AI3138" s="500"/>
      <c r="AJ3138" s="500"/>
      <c r="AK3138" s="500"/>
      <c r="AL3138" s="500"/>
      <c r="AM3138" s="500"/>
      <c r="AN3138" s="500"/>
      <c r="AO3138" s="500"/>
      <c r="AP3138" s="500"/>
    </row>
    <row r="3139" spans="1:42" ht="16.5" customHeight="1">
      <c r="A3139" s="439"/>
      <c r="B3139" s="439"/>
      <c r="C3139" s="439"/>
      <c r="D3139" s="439"/>
      <c r="E3139" s="439"/>
      <c r="F3139" s="439"/>
      <c r="Z3139" s="500"/>
      <c r="AA3139" s="500"/>
      <c r="AB3139" s="500"/>
      <c r="AC3139" s="500"/>
      <c r="AD3139" s="500"/>
      <c r="AE3139" s="500"/>
      <c r="AF3139" s="500"/>
      <c r="AG3139" s="500"/>
      <c r="AH3139" s="500"/>
      <c r="AI3139" s="500"/>
      <c r="AJ3139" s="500"/>
      <c r="AK3139" s="500"/>
      <c r="AL3139" s="500"/>
      <c r="AM3139" s="500"/>
      <c r="AN3139" s="500"/>
      <c r="AO3139" s="500"/>
      <c r="AP3139" s="500"/>
    </row>
    <row r="3140" spans="1:42" ht="16.5" customHeight="1">
      <c r="A3140" s="439"/>
      <c r="B3140" s="439"/>
      <c r="C3140" s="439"/>
      <c r="D3140" s="439"/>
      <c r="E3140" s="439"/>
      <c r="F3140" s="439"/>
      <c r="Z3140" s="500"/>
      <c r="AA3140" s="500"/>
      <c r="AB3140" s="500"/>
      <c r="AC3140" s="500"/>
      <c r="AD3140" s="500"/>
      <c r="AE3140" s="500"/>
      <c r="AF3140" s="500"/>
      <c r="AG3140" s="500"/>
      <c r="AH3140" s="500"/>
      <c r="AI3140" s="500"/>
      <c r="AJ3140" s="500"/>
      <c r="AK3140" s="500"/>
      <c r="AL3140" s="500"/>
      <c r="AM3140" s="500"/>
      <c r="AN3140" s="500"/>
      <c r="AO3140" s="500"/>
      <c r="AP3140" s="500"/>
    </row>
    <row r="3141" spans="1:42" ht="16.5" customHeight="1">
      <c r="A3141" s="439"/>
      <c r="B3141" s="439"/>
      <c r="C3141" s="439"/>
      <c r="D3141" s="439"/>
      <c r="E3141" s="439"/>
      <c r="F3141" s="439"/>
      <c r="Z3141" s="500"/>
      <c r="AA3141" s="500"/>
      <c r="AB3141" s="500"/>
      <c r="AC3141" s="500"/>
      <c r="AD3141" s="500"/>
      <c r="AE3141" s="500"/>
      <c r="AF3141" s="500"/>
      <c r="AG3141" s="500"/>
      <c r="AH3141" s="500"/>
      <c r="AI3141" s="500"/>
      <c r="AJ3141" s="500"/>
      <c r="AK3141" s="500"/>
      <c r="AL3141" s="500"/>
      <c r="AM3141" s="500"/>
      <c r="AN3141" s="500"/>
      <c r="AO3141" s="500"/>
      <c r="AP3141" s="500"/>
    </row>
    <row r="3142" spans="1:42" ht="16.5" customHeight="1">
      <c r="A3142" s="439"/>
      <c r="B3142" s="439"/>
      <c r="C3142" s="439"/>
      <c r="D3142" s="439"/>
      <c r="E3142" s="439"/>
      <c r="F3142" s="439"/>
      <c r="Z3142" s="500"/>
      <c r="AA3142" s="500"/>
      <c r="AB3142" s="500"/>
      <c r="AC3142" s="500"/>
      <c r="AD3142" s="500"/>
      <c r="AE3142" s="500"/>
      <c r="AF3142" s="500"/>
      <c r="AG3142" s="500"/>
      <c r="AH3142" s="500"/>
      <c r="AI3142" s="500"/>
      <c r="AJ3142" s="500"/>
      <c r="AK3142" s="500"/>
      <c r="AL3142" s="500"/>
      <c r="AM3142" s="500"/>
      <c r="AN3142" s="500"/>
      <c r="AO3142" s="500"/>
      <c r="AP3142" s="500"/>
    </row>
    <row r="3143" spans="1:42" ht="16.5" customHeight="1">
      <c r="A3143" s="439"/>
      <c r="B3143" s="439"/>
      <c r="C3143" s="439"/>
      <c r="D3143" s="439"/>
      <c r="E3143" s="439"/>
      <c r="F3143" s="439"/>
      <c r="Z3143" s="500"/>
      <c r="AA3143" s="500"/>
      <c r="AB3143" s="500"/>
      <c r="AC3143" s="500"/>
      <c r="AD3143" s="500"/>
      <c r="AE3143" s="500"/>
      <c r="AF3143" s="500"/>
      <c r="AG3143" s="500"/>
      <c r="AH3143" s="500"/>
      <c r="AI3143" s="500"/>
      <c r="AJ3143" s="500"/>
      <c r="AK3143" s="500"/>
      <c r="AL3143" s="500"/>
      <c r="AM3143" s="500"/>
      <c r="AN3143" s="500"/>
      <c r="AO3143" s="500"/>
      <c r="AP3143" s="500"/>
    </row>
    <row r="3144" spans="1:42" ht="16.5" customHeight="1">
      <c r="A3144" s="439"/>
      <c r="B3144" s="439"/>
      <c r="C3144" s="439"/>
      <c r="D3144" s="439"/>
      <c r="E3144" s="439"/>
      <c r="F3144" s="439"/>
      <c r="Z3144" s="500"/>
      <c r="AA3144" s="500"/>
      <c r="AB3144" s="500"/>
      <c r="AC3144" s="500"/>
      <c r="AD3144" s="500"/>
      <c r="AE3144" s="500"/>
      <c r="AF3144" s="500"/>
      <c r="AG3144" s="500"/>
      <c r="AH3144" s="500"/>
      <c r="AI3144" s="500"/>
      <c r="AJ3144" s="500"/>
      <c r="AK3144" s="500"/>
      <c r="AL3144" s="500"/>
      <c r="AM3144" s="500"/>
      <c r="AN3144" s="500"/>
      <c r="AO3144" s="500"/>
      <c r="AP3144" s="500"/>
    </row>
    <row r="3145" spans="1:42" ht="16.5" customHeight="1">
      <c r="A3145" s="439"/>
      <c r="B3145" s="439"/>
      <c r="C3145" s="439"/>
      <c r="D3145" s="439"/>
      <c r="E3145" s="439"/>
      <c r="F3145" s="439"/>
      <c r="Z3145" s="500"/>
      <c r="AA3145" s="500"/>
      <c r="AB3145" s="500"/>
      <c r="AC3145" s="500"/>
      <c r="AD3145" s="500"/>
      <c r="AE3145" s="500"/>
      <c r="AF3145" s="500"/>
      <c r="AG3145" s="500"/>
      <c r="AH3145" s="500"/>
      <c r="AI3145" s="500"/>
      <c r="AJ3145" s="500"/>
      <c r="AK3145" s="500"/>
      <c r="AL3145" s="500"/>
      <c r="AM3145" s="500"/>
      <c r="AN3145" s="500"/>
      <c r="AO3145" s="500"/>
      <c r="AP3145" s="500"/>
    </row>
    <row r="3146" spans="1:42" ht="16.5" customHeight="1">
      <c r="A3146" s="439"/>
      <c r="B3146" s="439"/>
      <c r="C3146" s="439"/>
      <c r="D3146" s="439"/>
      <c r="E3146" s="439"/>
      <c r="F3146" s="439"/>
      <c r="Z3146" s="500"/>
      <c r="AA3146" s="500"/>
      <c r="AB3146" s="500"/>
      <c r="AC3146" s="500"/>
      <c r="AD3146" s="500"/>
      <c r="AE3146" s="500"/>
      <c r="AF3146" s="500"/>
      <c r="AG3146" s="500"/>
      <c r="AH3146" s="500"/>
      <c r="AI3146" s="500"/>
      <c r="AJ3146" s="500"/>
      <c r="AK3146" s="500"/>
      <c r="AL3146" s="500"/>
      <c r="AM3146" s="500"/>
      <c r="AN3146" s="500"/>
      <c r="AO3146" s="500"/>
      <c r="AP3146" s="500"/>
    </row>
    <row r="3147" spans="1:42" ht="16.5" customHeight="1">
      <c r="A3147" s="439"/>
      <c r="B3147" s="439"/>
      <c r="C3147" s="439"/>
      <c r="D3147" s="439"/>
      <c r="E3147" s="439"/>
      <c r="F3147" s="439"/>
      <c r="Z3147" s="500"/>
      <c r="AA3147" s="500"/>
      <c r="AB3147" s="500"/>
      <c r="AC3147" s="500"/>
      <c r="AD3147" s="500"/>
      <c r="AE3147" s="500"/>
      <c r="AF3147" s="500"/>
      <c r="AG3147" s="500"/>
      <c r="AH3147" s="500"/>
      <c r="AI3147" s="500"/>
      <c r="AJ3147" s="500"/>
      <c r="AK3147" s="500"/>
      <c r="AL3147" s="500"/>
      <c r="AM3147" s="500"/>
      <c r="AN3147" s="500"/>
      <c r="AO3147" s="500"/>
      <c r="AP3147" s="500"/>
    </row>
    <row r="3148" spans="1:42" ht="16.5" customHeight="1">
      <c r="A3148" s="439"/>
      <c r="B3148" s="439"/>
      <c r="C3148" s="439"/>
      <c r="D3148" s="439"/>
      <c r="E3148" s="439"/>
      <c r="F3148" s="439"/>
      <c r="Z3148" s="500"/>
      <c r="AA3148" s="500"/>
      <c r="AB3148" s="500"/>
      <c r="AC3148" s="500"/>
      <c r="AD3148" s="500"/>
      <c r="AE3148" s="500"/>
      <c r="AF3148" s="500"/>
      <c r="AG3148" s="500"/>
      <c r="AH3148" s="500"/>
      <c r="AI3148" s="500"/>
      <c r="AJ3148" s="500"/>
      <c r="AK3148" s="500"/>
      <c r="AL3148" s="500"/>
      <c r="AM3148" s="500"/>
      <c r="AN3148" s="500"/>
      <c r="AO3148" s="500"/>
      <c r="AP3148" s="500"/>
    </row>
    <row r="3149" spans="1:42" ht="16.5" customHeight="1">
      <c r="A3149" s="439"/>
      <c r="B3149" s="439"/>
      <c r="C3149" s="439"/>
      <c r="D3149" s="439"/>
      <c r="E3149" s="439"/>
      <c r="F3149" s="439"/>
      <c r="Z3149" s="500"/>
      <c r="AA3149" s="500"/>
      <c r="AB3149" s="500"/>
      <c r="AC3149" s="500"/>
      <c r="AD3149" s="500"/>
      <c r="AE3149" s="500"/>
      <c r="AF3149" s="500"/>
      <c r="AG3149" s="500"/>
      <c r="AH3149" s="500"/>
      <c r="AI3149" s="500"/>
      <c r="AJ3149" s="500"/>
      <c r="AK3149" s="500"/>
      <c r="AL3149" s="500"/>
      <c r="AM3149" s="500"/>
      <c r="AN3149" s="500"/>
      <c r="AO3149" s="500"/>
      <c r="AP3149" s="500"/>
    </row>
    <row r="3150" spans="1:42" ht="16.5" customHeight="1">
      <c r="A3150" s="439"/>
      <c r="B3150" s="439"/>
      <c r="C3150" s="439"/>
      <c r="D3150" s="439"/>
      <c r="E3150" s="439"/>
      <c r="F3150" s="439"/>
      <c r="Z3150" s="500"/>
      <c r="AA3150" s="500"/>
      <c r="AB3150" s="500"/>
      <c r="AC3150" s="500"/>
      <c r="AD3150" s="500"/>
      <c r="AE3150" s="500"/>
      <c r="AF3150" s="500"/>
      <c r="AG3150" s="500"/>
      <c r="AH3150" s="500"/>
      <c r="AI3150" s="500"/>
      <c r="AJ3150" s="500"/>
      <c r="AK3150" s="500"/>
      <c r="AL3150" s="500"/>
      <c r="AM3150" s="500"/>
      <c r="AN3150" s="500"/>
      <c r="AO3150" s="500"/>
      <c r="AP3150" s="500"/>
    </row>
    <row r="3151" spans="1:42" ht="16.5" customHeight="1">
      <c r="A3151" s="439"/>
      <c r="B3151" s="439"/>
      <c r="C3151" s="439"/>
      <c r="D3151" s="439"/>
      <c r="E3151" s="439"/>
      <c r="F3151" s="439"/>
      <c r="Z3151" s="500"/>
      <c r="AA3151" s="500"/>
      <c r="AB3151" s="500"/>
      <c r="AC3151" s="500"/>
      <c r="AD3151" s="500"/>
      <c r="AE3151" s="500"/>
      <c r="AF3151" s="500"/>
      <c r="AG3151" s="500"/>
      <c r="AH3151" s="500"/>
      <c r="AI3151" s="500"/>
      <c r="AJ3151" s="500"/>
      <c r="AK3151" s="500"/>
      <c r="AL3151" s="500"/>
      <c r="AM3151" s="500"/>
      <c r="AN3151" s="500"/>
      <c r="AO3151" s="500"/>
      <c r="AP3151" s="500"/>
    </row>
    <row r="3152" spans="1:42" ht="16.5" customHeight="1">
      <c r="A3152" s="439"/>
      <c r="B3152" s="439"/>
      <c r="C3152" s="439"/>
      <c r="D3152" s="439"/>
      <c r="E3152" s="439"/>
      <c r="F3152" s="439"/>
      <c r="Z3152" s="500"/>
      <c r="AA3152" s="500"/>
      <c r="AB3152" s="500"/>
      <c r="AC3152" s="500"/>
      <c r="AD3152" s="500"/>
      <c r="AE3152" s="500"/>
      <c r="AF3152" s="500"/>
      <c r="AG3152" s="500"/>
      <c r="AH3152" s="500"/>
      <c r="AI3152" s="500"/>
      <c r="AJ3152" s="500"/>
      <c r="AK3152" s="500"/>
      <c r="AL3152" s="500"/>
      <c r="AM3152" s="500"/>
      <c r="AN3152" s="500"/>
      <c r="AO3152" s="500"/>
      <c r="AP3152" s="500"/>
    </row>
    <row r="3153" spans="1:42" ht="16.5" customHeight="1">
      <c r="A3153" s="497"/>
      <c r="B3153" s="497"/>
      <c r="C3153" s="497"/>
      <c r="D3153" s="497"/>
      <c r="E3153" s="497"/>
      <c r="F3153" s="497"/>
      <c r="Z3153" s="500"/>
      <c r="AA3153" s="500"/>
      <c r="AB3153" s="500"/>
      <c r="AC3153" s="500"/>
      <c r="AD3153" s="500"/>
      <c r="AE3153" s="500"/>
      <c r="AF3153" s="500"/>
      <c r="AG3153" s="500"/>
      <c r="AH3153" s="500"/>
      <c r="AI3153" s="500"/>
      <c r="AJ3153" s="500"/>
      <c r="AK3153" s="500"/>
      <c r="AL3153" s="500"/>
      <c r="AM3153" s="500"/>
      <c r="AN3153" s="500"/>
      <c r="AO3153" s="500"/>
      <c r="AP3153" s="500"/>
    </row>
    <row r="3154" spans="1:42" ht="16.5" customHeight="1">
      <c r="A3154" s="616" t="s">
        <v>3487</v>
      </c>
      <c r="B3154" s="605"/>
      <c r="C3154" s="446">
        <f>E3154+D3154+F3154</f>
        <v>12430</v>
      </c>
      <c r="D3154" s="453">
        <f>ROUNDDOWN(SUMIF(N3057:N3112,M3154,D3057:D3112),0)</f>
        <v>11169</v>
      </c>
      <c r="E3154" s="454">
        <f>ROUNDDOWN(SUMIF(N3057:N3112,M3154,E3057:E3112),0)</f>
        <v>725</v>
      </c>
      <c r="F3154" s="446">
        <f>ROUNDDOWN(SUMIF(N3057:N3112,M3154,F3057:F3112),0)</f>
        <v>536</v>
      </c>
      <c r="M3154" s="501" t="s">
        <v>2354</v>
      </c>
      <c r="Z3154" s="500"/>
      <c r="AA3154" s="500"/>
      <c r="AB3154" s="500"/>
      <c r="AC3154" s="500"/>
      <c r="AD3154" s="500"/>
      <c r="AE3154" s="500"/>
      <c r="AF3154" s="500"/>
      <c r="AG3154" s="500"/>
      <c r="AH3154" s="500"/>
      <c r="AI3154" s="500"/>
      <c r="AJ3154" s="500"/>
      <c r="AK3154" s="500"/>
      <c r="AL3154" s="500"/>
      <c r="AM3154" s="500"/>
      <c r="AN3154" s="500"/>
      <c r="AO3154" s="500"/>
      <c r="AP3154" s="500"/>
    </row>
    <row r="3155" spans="1:42" ht="16.5" customHeight="1">
      <c r="A3155" s="502"/>
      <c r="B3155" s="503" t="s">
        <v>3354</v>
      </c>
      <c r="C3155" s="615">
        <f>C3204</f>
        <v>1814</v>
      </c>
      <c r="D3155" s="615">
        <f>D3204</f>
        <v>1039</v>
      </c>
      <c r="E3155" s="615">
        <f>E3204</f>
        <v>343</v>
      </c>
      <c r="F3155" s="615">
        <f>F3204</f>
        <v>432</v>
      </c>
      <c r="G3155" s="486" t="str">
        <f>HYPERLINK("#G"&amp;ROW(G3179),"_x0005_`BDCOD|D00787_x0007_`POSS|"&amp;ROW(G3157)&amp;"_x0007_`POSE|"&amp;ROW(G3179)&amp;"_x0007_`")</f>
        <v>_x0005_`BDCOD|D00787_x0007_`POSS|3157_x0007_`POSE|3179_x0007_`</v>
      </c>
      <c r="Z3155" s="500"/>
      <c r="AA3155" s="500"/>
      <c r="AB3155" s="500"/>
      <c r="AC3155" s="500"/>
      <c r="AD3155" s="500"/>
      <c r="AE3155" s="500"/>
      <c r="AF3155" s="500"/>
      <c r="AG3155" s="500"/>
      <c r="AH3155" s="500"/>
      <c r="AI3155" s="500"/>
      <c r="AJ3155" s="500"/>
      <c r="AK3155" s="500"/>
      <c r="AL3155" s="500"/>
      <c r="AM3155" s="500"/>
      <c r="AN3155" s="500"/>
      <c r="AO3155" s="500"/>
      <c r="AP3155" s="500"/>
    </row>
    <row r="3156" spans="1:42" ht="16.5" customHeight="1">
      <c r="A3156" s="485"/>
      <c r="B3156" s="503" t="s">
        <v>3691</v>
      </c>
      <c r="C3156" s="593"/>
      <c r="D3156" s="593"/>
      <c r="E3156" s="593"/>
      <c r="F3156" s="593"/>
      <c r="M3156" s="501" t="s">
        <v>3354</v>
      </c>
      <c r="Z3156" s="500"/>
      <c r="AA3156" s="500"/>
      <c r="AB3156" s="500"/>
      <c r="AC3156" s="500"/>
      <c r="AD3156" s="500"/>
      <c r="AE3156" s="500"/>
      <c r="AF3156" s="500"/>
      <c r="AG3156" s="500"/>
      <c r="AH3156" s="500"/>
      <c r="AI3156" s="500"/>
      <c r="AJ3156" s="500"/>
      <c r="AK3156" s="500"/>
      <c r="AL3156" s="500"/>
      <c r="AM3156" s="500"/>
      <c r="AN3156" s="500"/>
      <c r="AO3156" s="500"/>
      <c r="AP3156" s="500"/>
    </row>
    <row r="3157" spans="1:42" ht="16.5" customHeight="1">
      <c r="A3157" s="439"/>
      <c r="B3157" s="439"/>
      <c r="C3157" s="504"/>
      <c r="D3157" s="504"/>
      <c r="E3157" s="504"/>
      <c r="F3157" s="504"/>
      <c r="G3157" s="451" t="s">
        <v>3406</v>
      </c>
      <c r="Z3157" s="500"/>
      <c r="AA3157" s="500"/>
      <c r="AB3157" s="500"/>
      <c r="AC3157" s="500"/>
      <c r="AD3157" s="500"/>
      <c r="AE3157" s="500"/>
      <c r="AF3157" s="500"/>
      <c r="AG3157" s="500"/>
      <c r="AH3157" s="500"/>
      <c r="AI3157" s="500"/>
      <c r="AJ3157" s="500"/>
      <c r="AK3157" s="500"/>
      <c r="AL3157" s="500"/>
      <c r="AM3157" s="500"/>
      <c r="AN3157" s="500"/>
      <c r="AO3157" s="500"/>
      <c r="AP3157" s="500"/>
    </row>
    <row r="3158" spans="1:42" ht="16.5" customHeight="1">
      <c r="A3158" s="434"/>
      <c r="B3158" s="437" t="s">
        <v>3692</v>
      </c>
      <c r="C3158" s="439"/>
      <c r="D3158" s="439"/>
      <c r="E3158" s="439"/>
      <c r="F3158" s="439"/>
      <c r="G3158" s="451" t="s">
        <v>3693</v>
      </c>
      <c r="Z3158" s="500"/>
      <c r="AA3158" s="500"/>
      <c r="AB3158" s="500"/>
      <c r="AC3158" s="500"/>
      <c r="AD3158" s="500"/>
      <c r="AE3158" s="500"/>
      <c r="AF3158" s="500"/>
      <c r="AG3158" s="500"/>
      <c r="AH3158" s="500"/>
      <c r="AI3158" s="500"/>
      <c r="AJ3158" s="500"/>
      <c r="AK3158" s="500"/>
      <c r="AL3158" s="500"/>
      <c r="AM3158" s="500"/>
      <c r="AN3158" s="500"/>
      <c r="AO3158" s="500"/>
      <c r="AP3158" s="500"/>
    </row>
    <row r="3159" spans="1:42" ht="16.5" customHeight="1">
      <c r="A3159" s="439"/>
      <c r="B3159" s="439"/>
      <c r="C3159" s="439"/>
      <c r="D3159" s="439"/>
      <c r="E3159" s="439"/>
      <c r="F3159" s="439"/>
      <c r="G3159" s="451" t="s">
        <v>3406</v>
      </c>
      <c r="Z3159" s="500"/>
      <c r="AA3159" s="500"/>
      <c r="AB3159" s="500"/>
      <c r="AC3159" s="500"/>
      <c r="AD3159" s="500"/>
      <c r="AE3159" s="500"/>
      <c r="AF3159" s="500"/>
      <c r="AG3159" s="500"/>
      <c r="AH3159" s="500"/>
      <c r="AI3159" s="500"/>
      <c r="AJ3159" s="500"/>
      <c r="AK3159" s="500"/>
      <c r="AL3159" s="500"/>
      <c r="AM3159" s="500"/>
      <c r="AN3159" s="500"/>
      <c r="AO3159" s="500"/>
      <c r="AP3159" s="500"/>
    </row>
    <row r="3160" spans="1:42" ht="16.5" customHeight="1">
      <c r="A3160" s="439"/>
      <c r="B3160" s="439"/>
      <c r="C3160" s="439"/>
      <c r="D3160" s="439"/>
      <c r="E3160" s="439"/>
      <c r="F3160" s="439"/>
      <c r="G3160" s="451" t="s">
        <v>3406</v>
      </c>
      <c r="Z3160" s="500"/>
      <c r="AA3160" s="500"/>
      <c r="AB3160" s="500"/>
      <c r="AC3160" s="500"/>
      <c r="AD3160" s="500"/>
      <c r="AE3160" s="500"/>
      <c r="AF3160" s="500"/>
      <c r="AG3160" s="500"/>
      <c r="AH3160" s="500"/>
      <c r="AI3160" s="500"/>
      <c r="AJ3160" s="500"/>
      <c r="AK3160" s="500"/>
      <c r="AL3160" s="500"/>
      <c r="AM3160" s="500"/>
      <c r="AN3160" s="500"/>
      <c r="AO3160" s="500"/>
      <c r="AP3160" s="500"/>
    </row>
    <row r="3161" spans="1:42" ht="16.5" customHeight="1">
      <c r="A3161" s="434"/>
      <c r="B3161" s="437" t="s">
        <v>3694</v>
      </c>
      <c r="C3161" s="439"/>
      <c r="D3161" s="439"/>
      <c r="E3161" s="439"/>
      <c r="F3161" s="439"/>
      <c r="G3161" s="451" t="s">
        <v>3695</v>
      </c>
      <c r="Z3161" s="500"/>
      <c r="AA3161" s="500"/>
      <c r="AB3161" s="500"/>
      <c r="AC3161" s="500"/>
      <c r="AD3161" s="500"/>
      <c r="AE3161" s="500"/>
      <c r="AF3161" s="500"/>
      <c r="AG3161" s="500"/>
      <c r="AH3161" s="500"/>
      <c r="AI3161" s="500"/>
      <c r="AJ3161" s="500"/>
      <c r="AK3161" s="500"/>
      <c r="AL3161" s="500"/>
      <c r="AM3161" s="500"/>
      <c r="AN3161" s="500"/>
      <c r="AO3161" s="500"/>
      <c r="AP3161" s="500"/>
    </row>
    <row r="3162" spans="1:42" ht="16.5" customHeight="1">
      <c r="A3162" s="439"/>
      <c r="B3162" s="439"/>
      <c r="C3162" s="439"/>
      <c r="D3162" s="439"/>
      <c r="E3162" s="439"/>
      <c r="F3162" s="439"/>
      <c r="G3162" s="451" t="s">
        <v>3406</v>
      </c>
      <c r="Z3162" s="500"/>
      <c r="AA3162" s="500"/>
      <c r="AB3162" s="500"/>
      <c r="AC3162" s="500"/>
      <c r="AD3162" s="500"/>
      <c r="AE3162" s="500"/>
      <c r="AF3162" s="500"/>
      <c r="AG3162" s="500"/>
      <c r="AH3162" s="500"/>
      <c r="AI3162" s="500"/>
      <c r="AJ3162" s="500"/>
      <c r="AK3162" s="500"/>
      <c r="AL3162" s="500"/>
      <c r="AM3162" s="500"/>
      <c r="AN3162" s="500"/>
      <c r="AO3162" s="500"/>
      <c r="AP3162" s="500"/>
    </row>
    <row r="3163" spans="1:42" ht="16.5" customHeight="1">
      <c r="A3163" s="439"/>
      <c r="B3163" s="439"/>
      <c r="C3163" s="439"/>
      <c r="D3163" s="439"/>
      <c r="E3163" s="439"/>
      <c r="F3163" s="439"/>
      <c r="G3163" s="451" t="s">
        <v>3406</v>
      </c>
      <c r="Z3163" s="500"/>
      <c r="AA3163" s="500"/>
      <c r="AB3163" s="500"/>
      <c r="AC3163" s="500"/>
      <c r="AD3163" s="500"/>
      <c r="AE3163" s="500"/>
      <c r="AF3163" s="500"/>
      <c r="AG3163" s="500"/>
      <c r="AH3163" s="500"/>
      <c r="AI3163" s="500"/>
      <c r="AJ3163" s="500"/>
      <c r="AK3163" s="500"/>
      <c r="AL3163" s="500"/>
      <c r="AM3163" s="500"/>
      <c r="AN3163" s="500"/>
      <c r="AO3163" s="500"/>
      <c r="AP3163" s="500"/>
    </row>
    <row r="3164" spans="1:42" ht="16.5" customHeight="1">
      <c r="A3164" s="434"/>
      <c r="B3164" s="437" t="s">
        <v>3669</v>
      </c>
      <c r="C3164" s="439"/>
      <c r="D3164" s="439"/>
      <c r="E3164" s="439"/>
      <c r="F3164" s="439"/>
      <c r="G3164" s="451" t="s">
        <v>3670</v>
      </c>
      <c r="Z3164" s="500"/>
      <c r="AA3164" s="500"/>
      <c r="AB3164" s="500"/>
      <c r="AC3164" s="500"/>
      <c r="AD3164" s="500"/>
      <c r="AE3164" s="500"/>
      <c r="AF3164" s="500"/>
      <c r="AG3164" s="500"/>
      <c r="AH3164" s="500"/>
      <c r="AI3164" s="500"/>
      <c r="AJ3164" s="500"/>
      <c r="AK3164" s="500"/>
      <c r="AL3164" s="500"/>
      <c r="AM3164" s="500"/>
      <c r="AN3164" s="500"/>
      <c r="AO3164" s="500"/>
      <c r="AP3164" s="500"/>
    </row>
    <row r="3165" spans="1:42" ht="16.5" customHeight="1">
      <c r="A3165" s="439"/>
      <c r="B3165" s="439"/>
      <c r="C3165" s="439"/>
      <c r="D3165" s="439"/>
      <c r="E3165" s="439"/>
      <c r="F3165" s="439"/>
      <c r="G3165" s="451" t="s">
        <v>3406</v>
      </c>
      <c r="Z3165" s="500"/>
      <c r="AA3165" s="500"/>
      <c r="AB3165" s="500"/>
      <c r="AC3165" s="500"/>
      <c r="AD3165" s="500"/>
      <c r="AE3165" s="500"/>
      <c r="AF3165" s="500"/>
      <c r="AG3165" s="500"/>
      <c r="AH3165" s="500"/>
      <c r="AI3165" s="500"/>
      <c r="AJ3165" s="500"/>
      <c r="AK3165" s="500"/>
      <c r="AL3165" s="500"/>
      <c r="AM3165" s="500"/>
      <c r="AN3165" s="500"/>
      <c r="AO3165" s="500"/>
      <c r="AP3165" s="500"/>
    </row>
    <row r="3166" spans="1:42" ht="16.5" customHeight="1">
      <c r="A3166" s="434"/>
      <c r="B3166" s="437" t="str">
        <f>" q = "&amp;Z3166&amp;" , f = "&amp;AD3166&amp;"/"&amp;AF3166&amp;" = "&amp;AH3166&amp;", K = "&amp;AJ3166&amp;""</f>
        <v xml:space="preserve"> q = 0.7 , f = 1/1.3 = 0.77, K = 0.9</v>
      </c>
      <c r="C3166" s="439"/>
      <c r="D3166" s="439"/>
      <c r="E3166" s="439"/>
      <c r="F3166" s="439"/>
      <c r="G3166" s="451" t="s">
        <v>3696</v>
      </c>
      <c r="Z3166" s="511">
        <v>0.7</v>
      </c>
      <c r="AA3166" s="501" t="s">
        <v>3418</v>
      </c>
      <c r="AB3166" s="512">
        <f>Z3166</f>
        <v>0.7</v>
      </c>
      <c r="AC3166" s="514" t="s">
        <v>3427</v>
      </c>
      <c r="AD3166" s="515">
        <v>1</v>
      </c>
      <c r="AE3166" s="501" t="s">
        <v>3428</v>
      </c>
      <c r="AF3166" s="511">
        <v>1.3</v>
      </c>
      <c r="AG3166" s="501" t="s">
        <v>3418</v>
      </c>
      <c r="AH3166" s="512" t="str">
        <f>TEXT(ROUND(AD3166/AF3166,2),"#,0.00")</f>
        <v>0.77</v>
      </c>
      <c r="AI3166" s="514" t="s">
        <v>3427</v>
      </c>
      <c r="AJ3166" s="511">
        <v>0.9</v>
      </c>
      <c r="AK3166" s="501" t="s">
        <v>3418</v>
      </c>
      <c r="AL3166" s="512">
        <f>AJ3166</f>
        <v>0.9</v>
      </c>
      <c r="AM3166" s="500"/>
      <c r="AN3166" s="500"/>
      <c r="AO3166" s="500"/>
      <c r="AP3166" s="500"/>
    </row>
    <row r="3167" spans="1:42" ht="16.5" customHeight="1">
      <c r="A3167" s="439"/>
      <c r="B3167" s="439"/>
      <c r="C3167" s="439"/>
      <c r="D3167" s="439"/>
      <c r="E3167" s="439"/>
      <c r="F3167" s="439"/>
      <c r="G3167" s="451" t="s">
        <v>3406</v>
      </c>
      <c r="Z3167" s="500"/>
      <c r="AA3167" s="500"/>
      <c r="AB3167" s="500"/>
      <c r="AC3167" s="500"/>
      <c r="AD3167" s="500"/>
      <c r="AE3167" s="500"/>
      <c r="AF3167" s="500"/>
      <c r="AG3167" s="500"/>
      <c r="AH3167" s="500"/>
      <c r="AI3167" s="500"/>
      <c r="AJ3167" s="500"/>
      <c r="AK3167" s="500"/>
      <c r="AL3167" s="500"/>
      <c r="AM3167" s="500"/>
      <c r="AN3167" s="500"/>
      <c r="AO3167" s="500"/>
      <c r="AP3167" s="500"/>
    </row>
    <row r="3168" spans="1:42" ht="16.5" customHeight="1">
      <c r="A3168" s="434"/>
      <c r="B3168" s="437" t="str">
        <f>" Cm = "&amp;Z3168&amp;" sec(135˚) ,E = "&amp;AD3168&amp;""</f>
        <v xml:space="preserve"> Cm = 20 sec(135˚) ,E = 0.65</v>
      </c>
      <c r="C3168" s="439"/>
      <c r="D3168" s="439"/>
      <c r="E3168" s="439"/>
      <c r="F3168" s="439"/>
      <c r="G3168" s="451" t="s">
        <v>3697</v>
      </c>
      <c r="Z3168" s="515">
        <v>20</v>
      </c>
      <c r="AA3168" s="501" t="s">
        <v>3418</v>
      </c>
      <c r="AB3168" s="512">
        <f>Z3168</f>
        <v>20</v>
      </c>
      <c r="AC3168" s="514" t="s">
        <v>3427</v>
      </c>
      <c r="AD3168" s="511">
        <v>0.65</v>
      </c>
      <c r="AE3168" s="501" t="s">
        <v>3418</v>
      </c>
      <c r="AF3168" s="512">
        <f>AD3168</f>
        <v>0.65</v>
      </c>
      <c r="AG3168" s="500"/>
      <c r="AH3168" s="500"/>
      <c r="AI3168" s="500"/>
      <c r="AJ3168" s="500"/>
      <c r="AK3168" s="500"/>
      <c r="AL3168" s="500"/>
      <c r="AM3168" s="500"/>
      <c r="AN3168" s="500"/>
      <c r="AO3168" s="500"/>
      <c r="AP3168" s="500"/>
    </row>
    <row r="3169" spans="1:42" ht="16.5" customHeight="1">
      <c r="A3169" s="439"/>
      <c r="B3169" s="439"/>
      <c r="C3169" s="439"/>
      <c r="D3169" s="439"/>
      <c r="E3169" s="439"/>
      <c r="F3169" s="439"/>
      <c r="G3169" s="451" t="s">
        <v>3406</v>
      </c>
      <c r="Z3169" s="500"/>
      <c r="AA3169" s="500"/>
      <c r="AB3169" s="500"/>
      <c r="AC3169" s="500"/>
      <c r="AD3169" s="500"/>
      <c r="AE3169" s="500"/>
      <c r="AF3169" s="500"/>
      <c r="AG3169" s="500"/>
      <c r="AH3169" s="500"/>
      <c r="AI3169" s="500"/>
      <c r="AJ3169" s="500"/>
      <c r="AK3169" s="500"/>
      <c r="AL3169" s="500"/>
      <c r="AM3169" s="500"/>
      <c r="AN3169" s="500"/>
      <c r="AO3169" s="500"/>
      <c r="AP3169" s="500"/>
    </row>
    <row r="3170" spans="1:42" ht="16.5" customHeight="1">
      <c r="A3170" s="434"/>
      <c r="B3170" s="437" t="str">
        <f>" Q = "&amp;Z3170&amp;"*q*K*f*E/Cm = "&amp;AL3170&amp;" ㎥/hr "</f>
        <v xml:space="preserve"> Q = 3600*q*K*f*E/Cm = 56.76 ㎥/hr </v>
      </c>
      <c r="C3170" s="439"/>
      <c r="D3170" s="439"/>
      <c r="E3170" s="439"/>
      <c r="F3170" s="439"/>
      <c r="G3170" s="451" t="s">
        <v>3673</v>
      </c>
      <c r="Z3170" s="515">
        <v>3600</v>
      </c>
      <c r="AA3170" s="501" t="s">
        <v>3368</v>
      </c>
      <c r="AB3170" s="512">
        <f>AB3166</f>
        <v>0.7</v>
      </c>
      <c r="AC3170" s="501" t="s">
        <v>3368</v>
      </c>
      <c r="AD3170" s="512">
        <f>AL3166</f>
        <v>0.9</v>
      </c>
      <c r="AE3170" s="501" t="s">
        <v>3368</v>
      </c>
      <c r="AF3170" s="512" t="str">
        <f>AH3166</f>
        <v>0.77</v>
      </c>
      <c r="AG3170" s="501" t="s">
        <v>3368</v>
      </c>
      <c r="AH3170" s="512">
        <f>AF3168</f>
        <v>0.65</v>
      </c>
      <c r="AI3170" s="501" t="s">
        <v>3428</v>
      </c>
      <c r="AJ3170" s="512">
        <f>AB3168</f>
        <v>20</v>
      </c>
      <c r="AK3170" s="501" t="s">
        <v>3418</v>
      </c>
      <c r="AL3170" s="512" t="str">
        <f>TEXT(ROUND(Z3170*AB3166*AL3166*AH3166*AF3168/AB3168,2),"#,0.00")</f>
        <v>56.76</v>
      </c>
      <c r="AM3170" s="500"/>
      <c r="AN3170" s="500"/>
      <c r="AO3170" s="500"/>
      <c r="AP3170" s="500"/>
    </row>
    <row r="3171" spans="1:42" ht="16.5" customHeight="1">
      <c r="A3171" s="439"/>
      <c r="B3171" s="439"/>
      <c r="C3171" s="439"/>
      <c r="D3171" s="439"/>
      <c r="E3171" s="439"/>
      <c r="F3171" s="439"/>
      <c r="G3171" s="451" t="s">
        <v>3406</v>
      </c>
      <c r="Z3171" s="500"/>
      <c r="AA3171" s="500"/>
      <c r="AB3171" s="500"/>
      <c r="AC3171" s="500"/>
      <c r="AD3171" s="500"/>
      <c r="AE3171" s="500"/>
      <c r="AF3171" s="500"/>
      <c r="AG3171" s="500"/>
      <c r="AH3171" s="500"/>
      <c r="AI3171" s="500"/>
      <c r="AJ3171" s="500"/>
      <c r="AK3171" s="500"/>
      <c r="AL3171" s="500"/>
      <c r="AM3171" s="500"/>
      <c r="AN3171" s="500"/>
      <c r="AO3171" s="500"/>
      <c r="AP3171" s="500"/>
    </row>
    <row r="3172" spans="1:42" ht="16.5" customHeight="1">
      <c r="A3172" s="439"/>
      <c r="B3172" s="439"/>
      <c r="C3172" s="439"/>
      <c r="D3172" s="439"/>
      <c r="E3172" s="439"/>
      <c r="F3172" s="439"/>
      <c r="G3172" s="451" t="s">
        <v>3406</v>
      </c>
      <c r="Z3172" s="500"/>
      <c r="AA3172" s="500"/>
      <c r="AB3172" s="500"/>
      <c r="AC3172" s="500"/>
      <c r="AD3172" s="500"/>
      <c r="AE3172" s="500"/>
      <c r="AF3172" s="500"/>
      <c r="AG3172" s="500"/>
      <c r="AH3172" s="500"/>
      <c r="AI3172" s="500"/>
      <c r="AJ3172" s="500"/>
      <c r="AK3172" s="500"/>
      <c r="AL3172" s="500"/>
      <c r="AM3172" s="500"/>
      <c r="AN3172" s="500"/>
      <c r="AO3172" s="500"/>
      <c r="AP3172" s="500"/>
    </row>
    <row r="3173" spans="1:42" ht="16.5" customHeight="1">
      <c r="A3173" s="434" t="s">
        <v>3450</v>
      </c>
      <c r="B3173" s="505" t="str">
        <f>" 노 무 비  : "&amp;TEXT(I3173,"#,##0"&amp;IF(I3173&lt;&gt;INT(I3173),".###",""))&amp;" / Q  = "&amp;TEXT(C3173,"#,##0.0")&amp;""</f>
        <v xml:space="preserve"> 노 무 비  : 59,020 / Q  = 1,039.8</v>
      </c>
      <c r="C3173" s="506">
        <f>E3173+D3173+F3173</f>
        <v>1039.8</v>
      </c>
      <c r="D3173" s="506">
        <f>IF(H3173=0,0,ROUNDDOWN(J3173*H3173,1))</f>
        <v>1039.8</v>
      </c>
      <c r="E3173" s="506">
        <f>IF(H3173=0,0,ROUNDDOWN(K3173*H3173,1))</f>
        <v>0</v>
      </c>
      <c r="F3173" s="506">
        <f>IF(H3173=0,0,ROUNDDOWN(L3173*H3173,1))</f>
        <v>0</v>
      </c>
      <c r="G3173" s="451" t="s">
        <v>3698</v>
      </c>
      <c r="H3173" s="507">
        <f>ROUNDUP(AC3173,14-LEN(ABS(INT(AC3173))))</f>
        <v>1.7618040873899999E-2</v>
      </c>
      <c r="I3173" s="508">
        <f>K3173+J3173+L3173</f>
        <v>59020</v>
      </c>
      <c r="J3173" s="509">
        <f>중기목록표!F10</f>
        <v>59020</v>
      </c>
      <c r="M3173" s="501" t="s">
        <v>3164</v>
      </c>
      <c r="N3173" s="501" t="s">
        <v>3416</v>
      </c>
      <c r="X3173" s="510" t="str">
        <f>중기목록표!B10&amp;" / "&amp;중기목록표!C10</f>
        <v>굴착기(무한궤도) / 0.7㎥</v>
      </c>
      <c r="Y3173" s="433" t="str">
        <f ca="1">HYPERLINK("#"&amp;중기목록표!J2&amp;"!A"&amp;ROW(중기목록표!A10),"X00262 →")</f>
        <v>X00262 →</v>
      </c>
      <c r="Z3173" s="501" t="s">
        <v>3434</v>
      </c>
      <c r="AA3173" s="512" t="str">
        <f>AL3170</f>
        <v>56.76</v>
      </c>
      <c r="AB3173" s="501" t="s">
        <v>3418</v>
      </c>
      <c r="AC3173" s="512">
        <f>1/AL3170</f>
        <v>1.7618040873854827E-2</v>
      </c>
      <c r="AD3173" s="500"/>
      <c r="AE3173" s="500"/>
      <c r="AF3173" s="500"/>
      <c r="AG3173" s="500"/>
      <c r="AH3173" s="500"/>
      <c r="AI3173" s="500"/>
      <c r="AJ3173" s="500"/>
      <c r="AK3173" s="500"/>
      <c r="AL3173" s="500"/>
      <c r="AM3173" s="500"/>
      <c r="AN3173" s="500"/>
      <c r="AO3173" s="500"/>
      <c r="AP3173" s="500"/>
    </row>
    <row r="3174" spans="1:42" ht="16.5" customHeight="1">
      <c r="A3174" s="439"/>
      <c r="B3174" s="439"/>
      <c r="C3174" s="439"/>
      <c r="D3174" s="439"/>
      <c r="E3174" s="439"/>
      <c r="F3174" s="439"/>
      <c r="G3174" s="451" t="s">
        <v>3406</v>
      </c>
      <c r="Z3174" s="500"/>
      <c r="AA3174" s="500"/>
      <c r="AB3174" s="500"/>
      <c r="AC3174" s="500"/>
      <c r="AD3174" s="500"/>
      <c r="AE3174" s="500"/>
      <c r="AF3174" s="500"/>
      <c r="AG3174" s="500"/>
      <c r="AH3174" s="500"/>
      <c r="AI3174" s="500"/>
      <c r="AJ3174" s="500"/>
      <c r="AK3174" s="500"/>
      <c r="AL3174" s="500"/>
      <c r="AM3174" s="500"/>
      <c r="AN3174" s="500"/>
      <c r="AO3174" s="500"/>
      <c r="AP3174" s="500"/>
    </row>
    <row r="3175" spans="1:42" ht="16.5" customHeight="1">
      <c r="A3175" s="434" t="s">
        <v>3452</v>
      </c>
      <c r="B3175" s="505" t="str">
        <f>" 재 료 비  : "&amp;TEXT(I3175,"#,##0"&amp;IF(I3175&lt;&gt;INT(I3175),".###",""))&amp;" / Q   = "&amp;TEXT(C3175,"#,##0.0")&amp;""</f>
        <v xml:space="preserve"> 재 료 비  : 19,515 / Q   = 343.8</v>
      </c>
      <c r="C3175" s="506">
        <f>E3175+D3175+F3175</f>
        <v>343.8</v>
      </c>
      <c r="D3175" s="506">
        <f>IF(H3175=0,0,ROUNDDOWN(J3175*H3175,1))</f>
        <v>0</v>
      </c>
      <c r="E3175" s="506">
        <f>IF(H3175=0,0,ROUNDDOWN(K3175*H3175,1))</f>
        <v>343.8</v>
      </c>
      <c r="F3175" s="506">
        <f>IF(H3175=0,0,ROUNDDOWN(L3175*H3175,1))</f>
        <v>0</v>
      </c>
      <c r="G3175" s="451" t="s">
        <v>3699</v>
      </c>
      <c r="H3175" s="507">
        <f>ROUNDUP(AC3175,14-LEN(ABS(INT(AC3175))))</f>
        <v>1.7618040873899999E-2</v>
      </c>
      <c r="I3175" s="508">
        <f>K3175+J3175+L3175</f>
        <v>19515</v>
      </c>
      <c r="K3175" s="509">
        <f>중기목록표!G10</f>
        <v>19515</v>
      </c>
      <c r="M3175" s="501" t="s">
        <v>3164</v>
      </c>
      <c r="N3175" s="501" t="s">
        <v>3416</v>
      </c>
      <c r="X3175" s="510" t="str">
        <f>중기목록표!B10&amp;" / "&amp;중기목록표!C10</f>
        <v>굴착기(무한궤도) / 0.7㎥</v>
      </c>
      <c r="Y3175" s="433" t="str">
        <f ca="1">HYPERLINK("#"&amp;중기목록표!J2&amp;"!A"&amp;ROW(중기목록표!A10),"X00262 →")</f>
        <v>X00262 →</v>
      </c>
      <c r="Z3175" s="501" t="s">
        <v>3434</v>
      </c>
      <c r="AA3175" s="512" t="str">
        <f>AL3170</f>
        <v>56.76</v>
      </c>
      <c r="AB3175" s="501" t="s">
        <v>3418</v>
      </c>
      <c r="AC3175" s="512">
        <f>1/AL3170</f>
        <v>1.7618040873854827E-2</v>
      </c>
      <c r="AD3175" s="500"/>
      <c r="AE3175" s="500"/>
      <c r="AF3175" s="500"/>
      <c r="AG3175" s="500"/>
      <c r="AH3175" s="500"/>
      <c r="AI3175" s="500"/>
      <c r="AJ3175" s="500"/>
      <c r="AK3175" s="500"/>
      <c r="AL3175" s="500"/>
      <c r="AM3175" s="500"/>
      <c r="AN3175" s="500"/>
      <c r="AO3175" s="500"/>
      <c r="AP3175" s="500"/>
    </row>
    <row r="3176" spans="1:42" ht="16.5" customHeight="1">
      <c r="A3176" s="439"/>
      <c r="B3176" s="439"/>
      <c r="C3176" s="439"/>
      <c r="D3176" s="439"/>
      <c r="E3176" s="439"/>
      <c r="F3176" s="439"/>
      <c r="G3176" s="451" t="s">
        <v>3406</v>
      </c>
      <c r="Z3176" s="500"/>
      <c r="AA3176" s="500"/>
      <c r="AB3176" s="500"/>
      <c r="AC3176" s="500"/>
      <c r="AD3176" s="500"/>
      <c r="AE3176" s="500"/>
      <c r="AF3176" s="500"/>
      <c r="AG3176" s="500"/>
      <c r="AH3176" s="500"/>
      <c r="AI3176" s="500"/>
      <c r="AJ3176" s="500"/>
      <c r="AK3176" s="500"/>
      <c r="AL3176" s="500"/>
      <c r="AM3176" s="500"/>
      <c r="AN3176" s="500"/>
      <c r="AO3176" s="500"/>
      <c r="AP3176" s="500"/>
    </row>
    <row r="3177" spans="1:42" ht="16.5" customHeight="1">
      <c r="A3177" s="434" t="s">
        <v>3454</v>
      </c>
      <c r="B3177" s="505" t="str">
        <f>" 경    비  : "&amp;TEXT(I3177,"#,##0"&amp;IF(I3177&lt;&gt;INT(I3177),".###",""))&amp;" / Q   = "&amp;TEXT(C3177,"#,##0.0")&amp;""</f>
        <v xml:space="preserve"> 경    비  : 24,554 / Q   = 432.5</v>
      </c>
      <c r="C3177" s="506">
        <f>E3177+D3177+F3177</f>
        <v>432.5</v>
      </c>
      <c r="D3177" s="506">
        <f>IF(H3177=0,0,ROUNDDOWN(J3177*H3177,1))</f>
        <v>0</v>
      </c>
      <c r="E3177" s="506">
        <f>IF(H3177=0,0,ROUNDDOWN(K3177*H3177,1))</f>
        <v>0</v>
      </c>
      <c r="F3177" s="506">
        <f>IF(H3177=0,0,ROUNDDOWN(L3177*H3177,1))</f>
        <v>432.5</v>
      </c>
      <c r="G3177" s="451" t="s">
        <v>3700</v>
      </c>
      <c r="H3177" s="507">
        <f>ROUNDUP(AC3177,14-LEN(ABS(INT(AC3177))))</f>
        <v>1.7618040873899999E-2</v>
      </c>
      <c r="I3177" s="508">
        <f>K3177+J3177+L3177</f>
        <v>24554</v>
      </c>
      <c r="L3177" s="509">
        <f>중기목록표!H10</f>
        <v>24554</v>
      </c>
      <c r="M3177" s="501" t="s">
        <v>3164</v>
      </c>
      <c r="N3177" s="501" t="s">
        <v>3416</v>
      </c>
      <c r="X3177" s="510" t="str">
        <f>중기목록표!B10&amp;" / "&amp;중기목록표!C10</f>
        <v>굴착기(무한궤도) / 0.7㎥</v>
      </c>
      <c r="Y3177" s="433" t="str">
        <f ca="1">HYPERLINK("#"&amp;중기목록표!J2&amp;"!A"&amp;ROW(중기목록표!A10),"X00262 →")</f>
        <v>X00262 →</v>
      </c>
      <c r="Z3177" s="501" t="s">
        <v>3434</v>
      </c>
      <c r="AA3177" s="512" t="str">
        <f>AL3170</f>
        <v>56.76</v>
      </c>
      <c r="AB3177" s="501" t="s">
        <v>3418</v>
      </c>
      <c r="AC3177" s="512">
        <f>1/AL3170</f>
        <v>1.7618040873854827E-2</v>
      </c>
      <c r="AD3177" s="500"/>
      <c r="AE3177" s="500"/>
      <c r="AF3177" s="500"/>
      <c r="AG3177" s="500"/>
      <c r="AH3177" s="500"/>
      <c r="AI3177" s="500"/>
      <c r="AJ3177" s="500"/>
      <c r="AK3177" s="500"/>
      <c r="AL3177" s="500"/>
      <c r="AM3177" s="500"/>
      <c r="AN3177" s="500"/>
      <c r="AO3177" s="500"/>
      <c r="AP3177" s="500"/>
    </row>
    <row r="3178" spans="1:42" ht="16.5" customHeight="1">
      <c r="A3178" s="439"/>
      <c r="B3178" s="439"/>
      <c r="C3178" s="439"/>
      <c r="D3178" s="439"/>
      <c r="E3178" s="439"/>
      <c r="F3178" s="439"/>
      <c r="G3178" s="451" t="s">
        <v>3406</v>
      </c>
      <c r="Z3178" s="500"/>
      <c r="AA3178" s="500"/>
      <c r="AB3178" s="500"/>
      <c r="AC3178" s="500"/>
      <c r="AD3178" s="500"/>
      <c r="AE3178" s="500"/>
      <c r="AF3178" s="500"/>
      <c r="AG3178" s="500"/>
      <c r="AH3178" s="500"/>
      <c r="AI3178" s="500"/>
      <c r="AJ3178" s="500"/>
      <c r="AK3178" s="500"/>
      <c r="AL3178" s="500"/>
      <c r="AM3178" s="500"/>
      <c r="AN3178" s="500"/>
      <c r="AO3178" s="500"/>
      <c r="AP3178" s="500"/>
    </row>
    <row r="3179" spans="1:42" ht="16.5" customHeight="1">
      <c r="A3179" s="434"/>
      <c r="B3179" s="437" t="s">
        <v>3419</v>
      </c>
      <c r="C3179" s="513">
        <f>E3179+D3179+F3179</f>
        <v>1816.1</v>
      </c>
      <c r="D3179" s="513">
        <f>SUMIF(N3157:N3178,M3179,D3157:D3178)</f>
        <v>1039.8</v>
      </c>
      <c r="E3179" s="513">
        <f>SUMIF(N3157:N3178,M3179,E3157:E3178)</f>
        <v>343.8</v>
      </c>
      <c r="F3179" s="513">
        <f>SUMIF(N3157:N3178,M3179,F3157:F3178)</f>
        <v>432.5</v>
      </c>
      <c r="G3179" s="451" t="s">
        <v>3420</v>
      </c>
      <c r="M3179" s="501" t="s">
        <v>3416</v>
      </c>
      <c r="N3179" s="501" t="s">
        <v>2354</v>
      </c>
      <c r="Z3179" s="500"/>
      <c r="AA3179" s="500"/>
      <c r="AB3179" s="500"/>
      <c r="AC3179" s="500"/>
      <c r="AD3179" s="500"/>
      <c r="AE3179" s="500"/>
      <c r="AF3179" s="500"/>
      <c r="AG3179" s="500"/>
      <c r="AH3179" s="500"/>
      <c r="AI3179" s="500"/>
      <c r="AJ3179" s="500"/>
      <c r="AK3179" s="500"/>
      <c r="AL3179" s="500"/>
      <c r="AM3179" s="500"/>
      <c r="AN3179" s="500"/>
      <c r="AO3179" s="500"/>
      <c r="AP3179" s="500"/>
    </row>
    <row r="3180" spans="1:42" ht="16.5" customHeight="1">
      <c r="A3180" s="439"/>
      <c r="B3180" s="439"/>
      <c r="C3180" s="504"/>
      <c r="D3180" s="504"/>
      <c r="E3180" s="504"/>
      <c r="F3180" s="504"/>
      <c r="Z3180" s="500"/>
      <c r="AA3180" s="500"/>
      <c r="AB3180" s="500"/>
      <c r="AC3180" s="500"/>
      <c r="AD3180" s="500"/>
      <c r="AE3180" s="500"/>
      <c r="AF3180" s="500"/>
      <c r="AG3180" s="500"/>
      <c r="AH3180" s="500"/>
      <c r="AI3180" s="500"/>
      <c r="AJ3180" s="500"/>
      <c r="AK3180" s="500"/>
      <c r="AL3180" s="500"/>
      <c r="AM3180" s="500"/>
      <c r="AN3180" s="500"/>
      <c r="AO3180" s="500"/>
      <c r="AP3180" s="500"/>
    </row>
    <row r="3181" spans="1:42" ht="16.5" customHeight="1">
      <c r="A3181" s="439"/>
      <c r="B3181" s="439"/>
      <c r="C3181" s="439"/>
      <c r="D3181" s="439"/>
      <c r="E3181" s="439"/>
      <c r="F3181" s="439"/>
      <c r="Z3181" s="500"/>
      <c r="AA3181" s="500"/>
      <c r="AB3181" s="500"/>
      <c r="AC3181" s="500"/>
      <c r="AD3181" s="500"/>
      <c r="AE3181" s="500"/>
      <c r="AF3181" s="500"/>
      <c r="AG3181" s="500"/>
      <c r="AH3181" s="500"/>
      <c r="AI3181" s="500"/>
      <c r="AJ3181" s="500"/>
      <c r="AK3181" s="500"/>
      <c r="AL3181" s="500"/>
      <c r="AM3181" s="500"/>
      <c r="AN3181" s="500"/>
      <c r="AO3181" s="500"/>
      <c r="AP3181" s="500"/>
    </row>
    <row r="3182" spans="1:42" ht="16.5" customHeight="1">
      <c r="A3182" s="439"/>
      <c r="B3182" s="439"/>
      <c r="C3182" s="439"/>
      <c r="D3182" s="439"/>
      <c r="E3182" s="439"/>
      <c r="F3182" s="439"/>
      <c r="Z3182" s="500"/>
      <c r="AA3182" s="500"/>
      <c r="AB3182" s="500"/>
      <c r="AC3182" s="500"/>
      <c r="AD3182" s="500"/>
      <c r="AE3182" s="500"/>
      <c r="AF3182" s="500"/>
      <c r="AG3182" s="500"/>
      <c r="AH3182" s="500"/>
      <c r="AI3182" s="500"/>
      <c r="AJ3182" s="500"/>
      <c r="AK3182" s="500"/>
      <c r="AL3182" s="500"/>
      <c r="AM3182" s="500"/>
      <c r="AN3182" s="500"/>
      <c r="AO3182" s="500"/>
      <c r="AP3182" s="500"/>
    </row>
    <row r="3183" spans="1:42" ht="16.5" customHeight="1">
      <c r="A3183" s="439"/>
      <c r="B3183" s="439"/>
      <c r="C3183" s="439"/>
      <c r="D3183" s="439"/>
      <c r="E3183" s="439"/>
      <c r="F3183" s="439"/>
      <c r="Z3183" s="500"/>
      <c r="AA3183" s="500"/>
      <c r="AB3183" s="500"/>
      <c r="AC3183" s="500"/>
      <c r="AD3183" s="500"/>
      <c r="AE3183" s="500"/>
      <c r="AF3183" s="500"/>
      <c r="AG3183" s="500"/>
      <c r="AH3183" s="500"/>
      <c r="AI3183" s="500"/>
      <c r="AJ3183" s="500"/>
      <c r="AK3183" s="500"/>
      <c r="AL3183" s="500"/>
      <c r="AM3183" s="500"/>
      <c r="AN3183" s="500"/>
      <c r="AO3183" s="500"/>
      <c r="AP3183" s="500"/>
    </row>
    <row r="3184" spans="1:42" ht="16.5" customHeight="1">
      <c r="A3184" s="439"/>
      <c r="B3184" s="439"/>
      <c r="C3184" s="439"/>
      <c r="D3184" s="439"/>
      <c r="E3184" s="439"/>
      <c r="F3184" s="439"/>
      <c r="Z3184" s="500"/>
      <c r="AA3184" s="500"/>
      <c r="AB3184" s="500"/>
      <c r="AC3184" s="500"/>
      <c r="AD3184" s="500"/>
      <c r="AE3184" s="500"/>
      <c r="AF3184" s="500"/>
      <c r="AG3184" s="500"/>
      <c r="AH3184" s="500"/>
      <c r="AI3184" s="500"/>
      <c r="AJ3184" s="500"/>
      <c r="AK3184" s="500"/>
      <c r="AL3184" s="500"/>
      <c r="AM3184" s="500"/>
      <c r="AN3184" s="500"/>
      <c r="AO3184" s="500"/>
      <c r="AP3184" s="500"/>
    </row>
    <row r="3185" spans="1:42" ht="16.5" customHeight="1">
      <c r="A3185" s="439"/>
      <c r="B3185" s="439"/>
      <c r="C3185" s="439"/>
      <c r="D3185" s="439"/>
      <c r="E3185" s="439"/>
      <c r="F3185" s="439"/>
      <c r="Z3185" s="500"/>
      <c r="AA3185" s="500"/>
      <c r="AB3185" s="500"/>
      <c r="AC3185" s="500"/>
      <c r="AD3185" s="500"/>
      <c r="AE3185" s="500"/>
      <c r="AF3185" s="500"/>
      <c r="AG3185" s="500"/>
      <c r="AH3185" s="500"/>
      <c r="AI3185" s="500"/>
      <c r="AJ3185" s="500"/>
      <c r="AK3185" s="500"/>
      <c r="AL3185" s="500"/>
      <c r="AM3185" s="500"/>
      <c r="AN3185" s="500"/>
      <c r="AO3185" s="500"/>
      <c r="AP3185" s="500"/>
    </row>
    <row r="3186" spans="1:42" ht="16.5" customHeight="1">
      <c r="A3186" s="439"/>
      <c r="B3186" s="439"/>
      <c r="C3186" s="439"/>
      <c r="D3186" s="439"/>
      <c r="E3186" s="439"/>
      <c r="F3186" s="439"/>
      <c r="Z3186" s="500"/>
      <c r="AA3186" s="500"/>
      <c r="AB3186" s="500"/>
      <c r="AC3186" s="500"/>
      <c r="AD3186" s="500"/>
      <c r="AE3186" s="500"/>
      <c r="AF3186" s="500"/>
      <c r="AG3186" s="500"/>
      <c r="AH3186" s="500"/>
      <c r="AI3186" s="500"/>
      <c r="AJ3186" s="500"/>
      <c r="AK3186" s="500"/>
      <c r="AL3186" s="500"/>
      <c r="AM3186" s="500"/>
      <c r="AN3186" s="500"/>
      <c r="AO3186" s="500"/>
      <c r="AP3186" s="500"/>
    </row>
    <row r="3187" spans="1:42" ht="16.5" customHeight="1">
      <c r="A3187" s="439"/>
      <c r="B3187" s="439"/>
      <c r="C3187" s="439"/>
      <c r="D3187" s="439"/>
      <c r="E3187" s="439"/>
      <c r="F3187" s="439"/>
      <c r="Z3187" s="500"/>
      <c r="AA3187" s="500"/>
      <c r="AB3187" s="500"/>
      <c r="AC3187" s="500"/>
      <c r="AD3187" s="500"/>
      <c r="AE3187" s="500"/>
      <c r="AF3187" s="500"/>
      <c r="AG3187" s="500"/>
      <c r="AH3187" s="500"/>
      <c r="AI3187" s="500"/>
      <c r="AJ3187" s="500"/>
      <c r="AK3187" s="500"/>
      <c r="AL3187" s="500"/>
      <c r="AM3187" s="500"/>
      <c r="AN3187" s="500"/>
      <c r="AO3187" s="500"/>
      <c r="AP3187" s="500"/>
    </row>
    <row r="3188" spans="1:42" ht="16.5" customHeight="1">
      <c r="A3188" s="439"/>
      <c r="B3188" s="439"/>
      <c r="C3188" s="439"/>
      <c r="D3188" s="439"/>
      <c r="E3188" s="439"/>
      <c r="F3188" s="439"/>
      <c r="Z3188" s="500"/>
      <c r="AA3188" s="500"/>
      <c r="AB3188" s="500"/>
      <c r="AC3188" s="500"/>
      <c r="AD3188" s="500"/>
      <c r="AE3188" s="500"/>
      <c r="AF3188" s="500"/>
      <c r="AG3188" s="500"/>
      <c r="AH3188" s="500"/>
      <c r="AI3188" s="500"/>
      <c r="AJ3188" s="500"/>
      <c r="AK3188" s="500"/>
      <c r="AL3188" s="500"/>
      <c r="AM3188" s="500"/>
      <c r="AN3188" s="500"/>
      <c r="AO3188" s="500"/>
      <c r="AP3188" s="500"/>
    </row>
    <row r="3189" spans="1:42" ht="16.5" customHeight="1">
      <c r="A3189" s="439"/>
      <c r="B3189" s="439"/>
      <c r="C3189" s="439"/>
      <c r="D3189" s="439"/>
      <c r="E3189" s="439"/>
      <c r="F3189" s="439"/>
      <c r="Z3189" s="500"/>
      <c r="AA3189" s="500"/>
      <c r="AB3189" s="500"/>
      <c r="AC3189" s="500"/>
      <c r="AD3189" s="500"/>
      <c r="AE3189" s="500"/>
      <c r="AF3189" s="500"/>
      <c r="AG3189" s="500"/>
      <c r="AH3189" s="500"/>
      <c r="AI3189" s="500"/>
      <c r="AJ3189" s="500"/>
      <c r="AK3189" s="500"/>
      <c r="AL3189" s="500"/>
      <c r="AM3189" s="500"/>
      <c r="AN3189" s="500"/>
      <c r="AO3189" s="500"/>
      <c r="AP3189" s="500"/>
    </row>
    <row r="3190" spans="1:42" ht="16.5" customHeight="1">
      <c r="A3190" s="439"/>
      <c r="B3190" s="439"/>
      <c r="C3190" s="439"/>
      <c r="D3190" s="439"/>
      <c r="E3190" s="439"/>
      <c r="F3190" s="439"/>
      <c r="Z3190" s="500"/>
      <c r="AA3190" s="500"/>
      <c r="AB3190" s="500"/>
      <c r="AC3190" s="500"/>
      <c r="AD3190" s="500"/>
      <c r="AE3190" s="500"/>
      <c r="AF3190" s="500"/>
      <c r="AG3190" s="500"/>
      <c r="AH3190" s="500"/>
      <c r="AI3190" s="500"/>
      <c r="AJ3190" s="500"/>
      <c r="AK3190" s="500"/>
      <c r="AL3190" s="500"/>
      <c r="AM3190" s="500"/>
      <c r="AN3190" s="500"/>
      <c r="AO3190" s="500"/>
      <c r="AP3190" s="500"/>
    </row>
    <row r="3191" spans="1:42" ht="16.5" customHeight="1">
      <c r="A3191" s="439"/>
      <c r="B3191" s="439"/>
      <c r="C3191" s="439"/>
      <c r="D3191" s="439"/>
      <c r="E3191" s="439"/>
      <c r="F3191" s="439"/>
      <c r="Z3191" s="500"/>
      <c r="AA3191" s="500"/>
      <c r="AB3191" s="500"/>
      <c r="AC3191" s="500"/>
      <c r="AD3191" s="500"/>
      <c r="AE3191" s="500"/>
      <c r="AF3191" s="500"/>
      <c r="AG3191" s="500"/>
      <c r="AH3191" s="500"/>
      <c r="AI3191" s="500"/>
      <c r="AJ3191" s="500"/>
      <c r="AK3191" s="500"/>
      <c r="AL3191" s="500"/>
      <c r="AM3191" s="500"/>
      <c r="AN3191" s="500"/>
      <c r="AO3191" s="500"/>
      <c r="AP3191" s="500"/>
    </row>
    <row r="3192" spans="1:42" ht="16.5" customHeight="1">
      <c r="A3192" s="439"/>
      <c r="B3192" s="439"/>
      <c r="C3192" s="439"/>
      <c r="D3192" s="439"/>
      <c r="E3192" s="439"/>
      <c r="F3192" s="439"/>
      <c r="Z3192" s="500"/>
      <c r="AA3192" s="500"/>
      <c r="AB3192" s="500"/>
      <c r="AC3192" s="500"/>
      <c r="AD3192" s="500"/>
      <c r="AE3192" s="500"/>
      <c r="AF3192" s="500"/>
      <c r="AG3192" s="500"/>
      <c r="AH3192" s="500"/>
      <c r="AI3192" s="500"/>
      <c r="AJ3192" s="500"/>
      <c r="AK3192" s="500"/>
      <c r="AL3192" s="500"/>
      <c r="AM3192" s="500"/>
      <c r="AN3192" s="500"/>
      <c r="AO3192" s="500"/>
      <c r="AP3192" s="500"/>
    </row>
    <row r="3193" spans="1:42" ht="16.5" customHeight="1">
      <c r="A3193" s="439"/>
      <c r="B3193" s="439"/>
      <c r="C3193" s="439"/>
      <c r="D3193" s="439"/>
      <c r="E3193" s="439"/>
      <c r="F3193" s="439"/>
      <c r="Z3193" s="500"/>
      <c r="AA3193" s="500"/>
      <c r="AB3193" s="500"/>
      <c r="AC3193" s="500"/>
      <c r="AD3193" s="500"/>
      <c r="AE3193" s="500"/>
      <c r="AF3193" s="500"/>
      <c r="AG3193" s="500"/>
      <c r="AH3193" s="500"/>
      <c r="AI3193" s="500"/>
      <c r="AJ3193" s="500"/>
      <c r="AK3193" s="500"/>
      <c r="AL3193" s="500"/>
      <c r="AM3193" s="500"/>
      <c r="AN3193" s="500"/>
      <c r="AO3193" s="500"/>
      <c r="AP3193" s="500"/>
    </row>
    <row r="3194" spans="1:42" ht="16.5" customHeight="1">
      <c r="A3194" s="439"/>
      <c r="B3194" s="439"/>
      <c r="C3194" s="439"/>
      <c r="D3194" s="439"/>
      <c r="E3194" s="439"/>
      <c r="F3194" s="439"/>
      <c r="Z3194" s="500"/>
      <c r="AA3194" s="500"/>
      <c r="AB3194" s="500"/>
      <c r="AC3194" s="500"/>
      <c r="AD3194" s="500"/>
      <c r="AE3194" s="500"/>
      <c r="AF3194" s="500"/>
      <c r="AG3194" s="500"/>
      <c r="AH3194" s="500"/>
      <c r="AI3194" s="500"/>
      <c r="AJ3194" s="500"/>
      <c r="AK3194" s="500"/>
      <c r="AL3194" s="500"/>
      <c r="AM3194" s="500"/>
      <c r="AN3194" s="500"/>
      <c r="AO3194" s="500"/>
      <c r="AP3194" s="500"/>
    </row>
    <row r="3195" spans="1:42" ht="16.5" customHeight="1">
      <c r="A3195" s="439"/>
      <c r="B3195" s="439"/>
      <c r="C3195" s="439"/>
      <c r="D3195" s="439"/>
      <c r="E3195" s="439"/>
      <c r="F3195" s="439"/>
      <c r="Z3195" s="500"/>
      <c r="AA3195" s="500"/>
      <c r="AB3195" s="500"/>
      <c r="AC3195" s="500"/>
      <c r="AD3195" s="500"/>
      <c r="AE3195" s="500"/>
      <c r="AF3195" s="500"/>
      <c r="AG3195" s="500"/>
      <c r="AH3195" s="500"/>
      <c r="AI3195" s="500"/>
      <c r="AJ3195" s="500"/>
      <c r="AK3195" s="500"/>
      <c r="AL3195" s="500"/>
      <c r="AM3195" s="500"/>
      <c r="AN3195" s="500"/>
      <c r="AO3195" s="500"/>
      <c r="AP3195" s="500"/>
    </row>
    <row r="3196" spans="1:42" ht="16.5" customHeight="1">
      <c r="A3196" s="439"/>
      <c r="B3196" s="439"/>
      <c r="C3196" s="439"/>
      <c r="D3196" s="439"/>
      <c r="E3196" s="439"/>
      <c r="F3196" s="439"/>
      <c r="Z3196" s="500"/>
      <c r="AA3196" s="500"/>
      <c r="AB3196" s="500"/>
      <c r="AC3196" s="500"/>
      <c r="AD3196" s="500"/>
      <c r="AE3196" s="500"/>
      <c r="AF3196" s="500"/>
      <c r="AG3196" s="500"/>
      <c r="AH3196" s="500"/>
      <c r="AI3196" s="500"/>
      <c r="AJ3196" s="500"/>
      <c r="AK3196" s="500"/>
      <c r="AL3196" s="500"/>
      <c r="AM3196" s="500"/>
      <c r="AN3196" s="500"/>
      <c r="AO3196" s="500"/>
      <c r="AP3196" s="500"/>
    </row>
    <row r="3197" spans="1:42" ht="16.5" customHeight="1">
      <c r="A3197" s="439"/>
      <c r="B3197" s="439"/>
      <c r="C3197" s="439"/>
      <c r="D3197" s="439"/>
      <c r="E3197" s="439"/>
      <c r="F3197" s="439"/>
      <c r="Z3197" s="500"/>
      <c r="AA3197" s="500"/>
      <c r="AB3197" s="500"/>
      <c r="AC3197" s="500"/>
      <c r="AD3197" s="500"/>
      <c r="AE3197" s="500"/>
      <c r="AF3197" s="500"/>
      <c r="AG3197" s="500"/>
      <c r="AH3197" s="500"/>
      <c r="AI3197" s="500"/>
      <c r="AJ3197" s="500"/>
      <c r="AK3197" s="500"/>
      <c r="AL3197" s="500"/>
      <c r="AM3197" s="500"/>
      <c r="AN3197" s="500"/>
      <c r="AO3197" s="500"/>
      <c r="AP3197" s="500"/>
    </row>
    <row r="3198" spans="1:42" ht="16.5" customHeight="1">
      <c r="A3198" s="439"/>
      <c r="B3198" s="439"/>
      <c r="C3198" s="439"/>
      <c r="D3198" s="439"/>
      <c r="E3198" s="439"/>
      <c r="F3198" s="439"/>
      <c r="Z3198" s="500"/>
      <c r="AA3198" s="500"/>
      <c r="AB3198" s="500"/>
      <c r="AC3198" s="500"/>
      <c r="AD3198" s="500"/>
      <c r="AE3198" s="500"/>
      <c r="AF3198" s="500"/>
      <c r="AG3198" s="500"/>
      <c r="AH3198" s="500"/>
      <c r="AI3198" s="500"/>
      <c r="AJ3198" s="500"/>
      <c r="AK3198" s="500"/>
      <c r="AL3198" s="500"/>
      <c r="AM3198" s="500"/>
      <c r="AN3198" s="500"/>
      <c r="AO3198" s="500"/>
      <c r="AP3198" s="500"/>
    </row>
    <row r="3199" spans="1:42" ht="16.5" customHeight="1">
      <c r="A3199" s="439"/>
      <c r="B3199" s="439"/>
      <c r="C3199" s="439"/>
      <c r="D3199" s="439"/>
      <c r="E3199" s="439"/>
      <c r="F3199" s="439"/>
      <c r="Z3199" s="500"/>
      <c r="AA3199" s="500"/>
      <c r="AB3199" s="500"/>
      <c r="AC3199" s="500"/>
      <c r="AD3199" s="500"/>
      <c r="AE3199" s="500"/>
      <c r="AF3199" s="500"/>
      <c r="AG3199" s="500"/>
      <c r="AH3199" s="500"/>
      <c r="AI3199" s="500"/>
      <c r="AJ3199" s="500"/>
      <c r="AK3199" s="500"/>
      <c r="AL3199" s="500"/>
      <c r="AM3199" s="500"/>
      <c r="AN3199" s="500"/>
      <c r="AO3199" s="500"/>
      <c r="AP3199" s="500"/>
    </row>
    <row r="3200" spans="1:42" ht="16.5" customHeight="1">
      <c r="A3200" s="439"/>
      <c r="B3200" s="439"/>
      <c r="C3200" s="439"/>
      <c r="D3200" s="439"/>
      <c r="E3200" s="439"/>
      <c r="F3200" s="439"/>
      <c r="Z3200" s="500"/>
      <c r="AA3200" s="500"/>
      <c r="AB3200" s="500"/>
      <c r="AC3200" s="500"/>
      <c r="AD3200" s="500"/>
      <c r="AE3200" s="500"/>
      <c r="AF3200" s="500"/>
      <c r="AG3200" s="500"/>
      <c r="AH3200" s="500"/>
      <c r="AI3200" s="500"/>
      <c r="AJ3200" s="500"/>
      <c r="AK3200" s="500"/>
      <c r="AL3200" s="500"/>
      <c r="AM3200" s="500"/>
      <c r="AN3200" s="500"/>
      <c r="AO3200" s="500"/>
      <c r="AP3200" s="500"/>
    </row>
    <row r="3201" spans="1:42" ht="16.5" customHeight="1">
      <c r="A3201" s="439"/>
      <c r="B3201" s="439"/>
      <c r="C3201" s="439"/>
      <c r="D3201" s="439"/>
      <c r="E3201" s="439"/>
      <c r="F3201" s="439"/>
      <c r="Z3201" s="500"/>
      <c r="AA3201" s="500"/>
      <c r="AB3201" s="500"/>
      <c r="AC3201" s="500"/>
      <c r="AD3201" s="500"/>
      <c r="AE3201" s="500"/>
      <c r="AF3201" s="500"/>
      <c r="AG3201" s="500"/>
      <c r="AH3201" s="500"/>
      <c r="AI3201" s="500"/>
      <c r="AJ3201" s="500"/>
      <c r="AK3201" s="500"/>
      <c r="AL3201" s="500"/>
      <c r="AM3201" s="500"/>
      <c r="AN3201" s="500"/>
      <c r="AO3201" s="500"/>
      <c r="AP3201" s="500"/>
    </row>
    <row r="3202" spans="1:42" ht="16.5" customHeight="1">
      <c r="A3202" s="439"/>
      <c r="B3202" s="439"/>
      <c r="C3202" s="439"/>
      <c r="D3202" s="439"/>
      <c r="E3202" s="439"/>
      <c r="F3202" s="439"/>
      <c r="Z3202" s="500"/>
      <c r="AA3202" s="500"/>
      <c r="AB3202" s="500"/>
      <c r="AC3202" s="500"/>
      <c r="AD3202" s="500"/>
      <c r="AE3202" s="500"/>
      <c r="AF3202" s="500"/>
      <c r="AG3202" s="500"/>
      <c r="AH3202" s="500"/>
      <c r="AI3202" s="500"/>
      <c r="AJ3202" s="500"/>
      <c r="AK3202" s="500"/>
      <c r="AL3202" s="500"/>
      <c r="AM3202" s="500"/>
      <c r="AN3202" s="500"/>
      <c r="AO3202" s="500"/>
      <c r="AP3202" s="500"/>
    </row>
    <row r="3203" spans="1:42" ht="16.5" customHeight="1">
      <c r="A3203" s="497"/>
      <c r="B3203" s="497"/>
      <c r="C3203" s="497"/>
      <c r="D3203" s="497"/>
      <c r="E3203" s="497"/>
      <c r="F3203" s="497"/>
      <c r="Z3203" s="500"/>
      <c r="AA3203" s="500"/>
      <c r="AB3203" s="500"/>
      <c r="AC3203" s="500"/>
      <c r="AD3203" s="500"/>
      <c r="AE3203" s="500"/>
      <c r="AF3203" s="500"/>
      <c r="AG3203" s="500"/>
      <c r="AH3203" s="500"/>
      <c r="AI3203" s="500"/>
      <c r="AJ3203" s="500"/>
      <c r="AK3203" s="500"/>
      <c r="AL3203" s="500"/>
      <c r="AM3203" s="500"/>
      <c r="AN3203" s="500"/>
      <c r="AO3203" s="500"/>
      <c r="AP3203" s="500"/>
    </row>
    <row r="3204" spans="1:42" ht="16.5" customHeight="1">
      <c r="A3204" s="616" t="s">
        <v>3487</v>
      </c>
      <c r="B3204" s="605"/>
      <c r="C3204" s="446">
        <f>E3204+D3204+F3204</f>
        <v>1814</v>
      </c>
      <c r="D3204" s="453">
        <f>ROUNDDOWN(SUMIF(N3157:N3179,M3204,D3157:D3179),0)</f>
        <v>1039</v>
      </c>
      <c r="E3204" s="454">
        <f>ROUNDDOWN(SUMIF(N3157:N3179,M3204,E3157:E3179),0)</f>
        <v>343</v>
      </c>
      <c r="F3204" s="446">
        <f>ROUNDDOWN(SUMIF(N3157:N3179,M3204,F3157:F3179),0)</f>
        <v>432</v>
      </c>
      <c r="M3204" s="501" t="s">
        <v>2354</v>
      </c>
      <c r="Z3204" s="500"/>
      <c r="AA3204" s="500"/>
      <c r="AB3204" s="500"/>
      <c r="AC3204" s="500"/>
      <c r="AD3204" s="500"/>
      <c r="AE3204" s="500"/>
      <c r="AF3204" s="500"/>
      <c r="AG3204" s="500"/>
      <c r="AH3204" s="500"/>
      <c r="AI3204" s="500"/>
      <c r="AJ3204" s="500"/>
      <c r="AK3204" s="500"/>
      <c r="AL3204" s="500"/>
      <c r="AM3204" s="500"/>
      <c r="AN3204" s="500"/>
      <c r="AO3204" s="500"/>
      <c r="AP3204" s="500"/>
    </row>
    <row r="3205" spans="1:42" ht="16.5" customHeight="1">
      <c r="A3205" s="502" t="s">
        <v>3356</v>
      </c>
      <c r="B3205" s="503" t="s">
        <v>3355</v>
      </c>
      <c r="C3205" s="615">
        <f>C3254</f>
        <v>5311</v>
      </c>
      <c r="D3205" s="615">
        <f>D3254</f>
        <v>3147</v>
      </c>
      <c r="E3205" s="615">
        <f>E3254</f>
        <v>915</v>
      </c>
      <c r="F3205" s="615">
        <f>F3254</f>
        <v>1249</v>
      </c>
      <c r="G3205" s="486" t="str">
        <f>HYPERLINK("#G"&amp;ROW(G3225),"_x0005_`BDCOD|D01302_x0007_`POSS|"&amp;ROW(G3207)&amp;"_x0007_`POSE|"&amp;ROW(G3225)&amp;"_x0007_`")</f>
        <v>_x0005_`BDCOD|D01302_x0007_`POSS|3207_x0007_`POSE|3225_x0007_`</v>
      </c>
      <c r="Z3205" s="500"/>
      <c r="AA3205" s="500"/>
      <c r="AB3205" s="500"/>
      <c r="AC3205" s="500"/>
      <c r="AD3205" s="500"/>
      <c r="AE3205" s="500"/>
      <c r="AF3205" s="500"/>
      <c r="AG3205" s="500"/>
      <c r="AH3205" s="500"/>
      <c r="AI3205" s="500"/>
      <c r="AJ3205" s="500"/>
      <c r="AK3205" s="500"/>
      <c r="AL3205" s="500"/>
      <c r="AM3205" s="500"/>
      <c r="AN3205" s="500"/>
      <c r="AO3205" s="500"/>
      <c r="AP3205" s="500"/>
    </row>
    <row r="3206" spans="1:42" ht="16.5" customHeight="1">
      <c r="A3206" s="485"/>
      <c r="B3206" s="503" t="s">
        <v>3701</v>
      </c>
      <c r="C3206" s="593"/>
      <c r="D3206" s="593"/>
      <c r="E3206" s="593"/>
      <c r="F3206" s="593"/>
      <c r="M3206" s="501" t="s">
        <v>3355</v>
      </c>
      <c r="Z3206" s="500"/>
      <c r="AA3206" s="500"/>
      <c r="AB3206" s="500"/>
      <c r="AC3206" s="500"/>
      <c r="AD3206" s="500"/>
      <c r="AE3206" s="500"/>
      <c r="AF3206" s="500"/>
      <c r="AG3206" s="500"/>
      <c r="AH3206" s="500"/>
      <c r="AI3206" s="500"/>
      <c r="AJ3206" s="500"/>
      <c r="AK3206" s="500"/>
      <c r="AL3206" s="500"/>
      <c r="AM3206" s="500"/>
      <c r="AN3206" s="500"/>
      <c r="AO3206" s="500"/>
      <c r="AP3206" s="500"/>
    </row>
    <row r="3207" spans="1:42" ht="16.5" customHeight="1">
      <c r="A3207" s="439"/>
      <c r="B3207" s="439"/>
      <c r="C3207" s="504"/>
      <c r="D3207" s="504"/>
      <c r="E3207" s="504"/>
      <c r="F3207" s="504"/>
      <c r="G3207" s="451" t="s">
        <v>3406</v>
      </c>
      <c r="Z3207" s="500"/>
      <c r="AA3207" s="500"/>
      <c r="AB3207" s="500"/>
      <c r="AC3207" s="500"/>
      <c r="AD3207" s="500"/>
      <c r="AE3207" s="500"/>
      <c r="AF3207" s="500"/>
      <c r="AG3207" s="500"/>
      <c r="AH3207" s="500"/>
      <c r="AI3207" s="500"/>
      <c r="AJ3207" s="500"/>
      <c r="AK3207" s="500"/>
      <c r="AL3207" s="500"/>
      <c r="AM3207" s="500"/>
      <c r="AN3207" s="500"/>
      <c r="AO3207" s="500"/>
      <c r="AP3207" s="500"/>
    </row>
    <row r="3208" spans="1:42" ht="16.5" customHeight="1">
      <c r="A3208" s="434"/>
      <c r="B3208" s="437" t="s">
        <v>3702</v>
      </c>
      <c r="C3208" s="439"/>
      <c r="D3208" s="439"/>
      <c r="E3208" s="439"/>
      <c r="F3208" s="439"/>
      <c r="G3208" s="451" t="s">
        <v>3703</v>
      </c>
      <c r="Z3208" s="500"/>
      <c r="AA3208" s="500"/>
      <c r="AB3208" s="500"/>
      <c r="AC3208" s="500"/>
      <c r="AD3208" s="500"/>
      <c r="AE3208" s="500"/>
      <c r="AF3208" s="500"/>
      <c r="AG3208" s="500"/>
      <c r="AH3208" s="500"/>
      <c r="AI3208" s="500"/>
      <c r="AJ3208" s="500"/>
      <c r="AK3208" s="500"/>
      <c r="AL3208" s="500"/>
      <c r="AM3208" s="500"/>
      <c r="AN3208" s="500"/>
      <c r="AO3208" s="500"/>
      <c r="AP3208" s="500"/>
    </row>
    <row r="3209" spans="1:42" ht="16.5" customHeight="1">
      <c r="A3209" s="439"/>
      <c r="B3209" s="439"/>
      <c r="C3209" s="439"/>
      <c r="D3209" s="439"/>
      <c r="E3209" s="439"/>
      <c r="F3209" s="439"/>
      <c r="G3209" s="451" t="s">
        <v>3406</v>
      </c>
      <c r="Z3209" s="500"/>
      <c r="AA3209" s="500"/>
      <c r="AB3209" s="500"/>
      <c r="AC3209" s="500"/>
      <c r="AD3209" s="500"/>
      <c r="AE3209" s="500"/>
      <c r="AF3209" s="500"/>
      <c r="AG3209" s="500"/>
      <c r="AH3209" s="500"/>
      <c r="AI3209" s="500"/>
      <c r="AJ3209" s="500"/>
      <c r="AK3209" s="500"/>
      <c r="AL3209" s="500"/>
      <c r="AM3209" s="500"/>
      <c r="AN3209" s="500"/>
      <c r="AO3209" s="500"/>
      <c r="AP3209" s="500"/>
    </row>
    <row r="3210" spans="1:42" ht="16.5" customHeight="1">
      <c r="A3210" s="434"/>
      <c r="B3210" s="437" t="s">
        <v>3704</v>
      </c>
      <c r="C3210" s="439"/>
      <c r="D3210" s="439"/>
      <c r="E3210" s="439"/>
      <c r="F3210" s="439"/>
      <c r="G3210" s="451" t="s">
        <v>3705</v>
      </c>
      <c r="Z3210" s="500"/>
      <c r="AA3210" s="500"/>
      <c r="AB3210" s="500"/>
      <c r="AC3210" s="500"/>
      <c r="AD3210" s="500"/>
      <c r="AE3210" s="500"/>
      <c r="AF3210" s="500"/>
      <c r="AG3210" s="500"/>
      <c r="AH3210" s="500"/>
      <c r="AI3210" s="500"/>
      <c r="AJ3210" s="500"/>
      <c r="AK3210" s="500"/>
      <c r="AL3210" s="500"/>
      <c r="AM3210" s="500"/>
      <c r="AN3210" s="500"/>
      <c r="AO3210" s="500"/>
      <c r="AP3210" s="500"/>
    </row>
    <row r="3211" spans="1:42" ht="16.5" customHeight="1">
      <c r="A3211" s="439"/>
      <c r="B3211" s="439"/>
      <c r="C3211" s="439"/>
      <c r="D3211" s="439"/>
      <c r="E3211" s="439"/>
      <c r="F3211" s="439"/>
      <c r="G3211" s="451" t="s">
        <v>3406</v>
      </c>
      <c r="Z3211" s="500"/>
      <c r="AA3211" s="500"/>
      <c r="AB3211" s="500"/>
      <c r="AC3211" s="500"/>
      <c r="AD3211" s="500"/>
      <c r="AE3211" s="500"/>
      <c r="AF3211" s="500"/>
      <c r="AG3211" s="500"/>
      <c r="AH3211" s="500"/>
      <c r="AI3211" s="500"/>
      <c r="AJ3211" s="500"/>
      <c r="AK3211" s="500"/>
      <c r="AL3211" s="500"/>
      <c r="AM3211" s="500"/>
      <c r="AN3211" s="500"/>
      <c r="AO3211" s="500"/>
      <c r="AP3211" s="500"/>
    </row>
    <row r="3212" spans="1:42" ht="16.5" customHeight="1">
      <c r="A3212" s="434"/>
      <c r="B3212" s="437" t="str">
        <f>" 일당 작업량 :  Q1 = "&amp;Z3212&amp;" ㎥ "</f>
        <v xml:space="preserve"> 일당 작업량 :  Q1 = 150 ㎥ </v>
      </c>
      <c r="C3212" s="439"/>
      <c r="D3212" s="439"/>
      <c r="E3212" s="439"/>
      <c r="F3212" s="439"/>
      <c r="G3212" s="451" t="s">
        <v>3706</v>
      </c>
      <c r="Z3212" s="515">
        <v>150</v>
      </c>
      <c r="AA3212" s="501" t="s">
        <v>3418</v>
      </c>
      <c r="AB3212" s="512">
        <f>Z3212</f>
        <v>150</v>
      </c>
      <c r="AC3212" s="500"/>
      <c r="AD3212" s="500"/>
      <c r="AE3212" s="500"/>
      <c r="AF3212" s="500"/>
      <c r="AG3212" s="500"/>
      <c r="AH3212" s="500"/>
      <c r="AI3212" s="500"/>
      <c r="AJ3212" s="500"/>
      <c r="AK3212" s="500"/>
      <c r="AL3212" s="500"/>
      <c r="AM3212" s="500"/>
      <c r="AN3212" s="500"/>
      <c r="AO3212" s="500"/>
      <c r="AP3212" s="500"/>
    </row>
    <row r="3213" spans="1:42" ht="16.5" customHeight="1">
      <c r="A3213" s="439"/>
      <c r="B3213" s="439"/>
      <c r="C3213" s="439"/>
      <c r="D3213" s="439"/>
      <c r="E3213" s="439"/>
      <c r="F3213" s="439"/>
      <c r="G3213" s="451" t="s">
        <v>3406</v>
      </c>
      <c r="Z3213" s="500"/>
      <c r="AA3213" s="500"/>
      <c r="AB3213" s="500"/>
      <c r="AC3213" s="500"/>
      <c r="AD3213" s="500"/>
      <c r="AE3213" s="500"/>
      <c r="AF3213" s="500"/>
      <c r="AG3213" s="500"/>
      <c r="AH3213" s="500"/>
      <c r="AI3213" s="500"/>
      <c r="AJ3213" s="500"/>
      <c r="AK3213" s="500"/>
      <c r="AL3213" s="500"/>
      <c r="AM3213" s="500"/>
      <c r="AN3213" s="500"/>
      <c r="AO3213" s="500"/>
      <c r="AP3213" s="500"/>
    </row>
    <row r="3214" spans="1:42" ht="16.5" customHeight="1">
      <c r="A3214" s="434"/>
      <c r="B3214" s="437" t="s">
        <v>3707</v>
      </c>
      <c r="C3214" s="439"/>
      <c r="D3214" s="439"/>
      <c r="E3214" s="439"/>
      <c r="F3214" s="439"/>
      <c r="G3214" s="451" t="s">
        <v>3708</v>
      </c>
      <c r="Z3214" s="500"/>
      <c r="AA3214" s="500"/>
      <c r="AB3214" s="500"/>
      <c r="AC3214" s="500"/>
      <c r="AD3214" s="500"/>
      <c r="AE3214" s="500"/>
      <c r="AF3214" s="500"/>
      <c r="AG3214" s="500"/>
      <c r="AH3214" s="500"/>
      <c r="AI3214" s="500"/>
      <c r="AJ3214" s="500"/>
      <c r="AK3214" s="500"/>
      <c r="AL3214" s="500"/>
      <c r="AM3214" s="500"/>
      <c r="AN3214" s="500"/>
      <c r="AO3214" s="500"/>
      <c r="AP3214" s="500"/>
    </row>
    <row r="3215" spans="1:42" ht="16.5" customHeight="1">
      <c r="A3215" s="439"/>
      <c r="B3215" s="439"/>
      <c r="C3215" s="439"/>
      <c r="D3215" s="439"/>
      <c r="E3215" s="439"/>
      <c r="F3215" s="439"/>
      <c r="G3215" s="451" t="s">
        <v>3406</v>
      </c>
      <c r="Z3215" s="500"/>
      <c r="AA3215" s="500"/>
      <c r="AB3215" s="500"/>
      <c r="AC3215" s="500"/>
      <c r="AD3215" s="500"/>
      <c r="AE3215" s="500"/>
      <c r="AF3215" s="500"/>
      <c r="AG3215" s="500"/>
      <c r="AH3215" s="500"/>
      <c r="AI3215" s="500"/>
      <c r="AJ3215" s="500"/>
      <c r="AK3215" s="500"/>
      <c r="AL3215" s="500"/>
      <c r="AM3215" s="500"/>
      <c r="AN3215" s="500"/>
      <c r="AO3215" s="500"/>
      <c r="AP3215" s="500"/>
    </row>
    <row r="3216" spans="1:42" ht="16.5" customHeight="1">
      <c r="A3216" s="439"/>
      <c r="B3216" s="439"/>
      <c r="C3216" s="439"/>
      <c r="D3216" s="439"/>
      <c r="E3216" s="439"/>
      <c r="F3216" s="439"/>
      <c r="G3216" s="451" t="s">
        <v>3406</v>
      </c>
      <c r="Z3216" s="500"/>
      <c r="AA3216" s="500"/>
      <c r="AB3216" s="500"/>
      <c r="AC3216" s="500"/>
      <c r="AD3216" s="500"/>
      <c r="AE3216" s="500"/>
      <c r="AF3216" s="500"/>
      <c r="AG3216" s="500"/>
      <c r="AH3216" s="500"/>
      <c r="AI3216" s="500"/>
      <c r="AJ3216" s="500"/>
      <c r="AK3216" s="500"/>
      <c r="AL3216" s="500"/>
      <c r="AM3216" s="500"/>
      <c r="AN3216" s="500"/>
      <c r="AO3216" s="500"/>
      <c r="AP3216" s="500"/>
    </row>
    <row r="3217" spans="1:42" ht="16.5" customHeight="1">
      <c r="A3217" s="434"/>
      <c r="B3217" s="437" t="s">
        <v>3709</v>
      </c>
      <c r="C3217" s="439"/>
      <c r="D3217" s="439"/>
      <c r="E3217" s="439"/>
      <c r="F3217" s="439"/>
      <c r="G3217" s="451" t="s">
        <v>3710</v>
      </c>
      <c r="Z3217" s="500"/>
      <c r="AA3217" s="500"/>
      <c r="AB3217" s="500"/>
      <c r="AC3217" s="500"/>
      <c r="AD3217" s="500"/>
      <c r="AE3217" s="500"/>
      <c r="AF3217" s="500"/>
      <c r="AG3217" s="500"/>
      <c r="AH3217" s="500"/>
      <c r="AI3217" s="500"/>
      <c r="AJ3217" s="500"/>
      <c r="AK3217" s="500"/>
      <c r="AL3217" s="500"/>
      <c r="AM3217" s="500"/>
      <c r="AN3217" s="500"/>
      <c r="AO3217" s="500"/>
      <c r="AP3217" s="500"/>
    </row>
    <row r="3218" spans="1:42" ht="16.5" customHeight="1">
      <c r="A3218" s="439"/>
      <c r="B3218" s="439"/>
      <c r="C3218" s="439"/>
      <c r="D3218" s="439"/>
      <c r="E3218" s="439"/>
      <c r="F3218" s="439"/>
      <c r="G3218" s="451" t="s">
        <v>3406</v>
      </c>
      <c r="Z3218" s="500"/>
      <c r="AA3218" s="500"/>
      <c r="AB3218" s="500"/>
      <c r="AC3218" s="500"/>
      <c r="AD3218" s="500"/>
      <c r="AE3218" s="500"/>
      <c r="AF3218" s="500"/>
      <c r="AG3218" s="500"/>
      <c r="AH3218" s="500"/>
      <c r="AI3218" s="500"/>
      <c r="AJ3218" s="500"/>
      <c r="AK3218" s="500"/>
      <c r="AL3218" s="500"/>
      <c r="AM3218" s="500"/>
      <c r="AN3218" s="500"/>
      <c r="AO3218" s="500"/>
      <c r="AP3218" s="500"/>
    </row>
    <row r="3219" spans="1:42" ht="16.5" customHeight="1">
      <c r="A3219" s="434" t="s">
        <v>3576</v>
      </c>
      <c r="B3219" s="505" t="str">
        <f>" 노 무 비  : "&amp;TEXT(I3219,"#,##0"&amp;IF(I3219&lt;&gt;INT(I3219),".###",""))&amp;" / (Q1/"&amp;AC3219&amp;") = "&amp;TEXT(C3219,"#,##0.0")&amp;""</f>
        <v xml:space="preserve"> 노 무 비  : 59,020 / (Q1/8) = 3,147.7</v>
      </c>
      <c r="C3219" s="506">
        <f>E3219+D3219+F3219</f>
        <v>3147.7</v>
      </c>
      <c r="D3219" s="506">
        <f>IF(H3219=0,0,ROUNDDOWN(J3219*H3219,1))</f>
        <v>3147.7</v>
      </c>
      <c r="E3219" s="506">
        <f>IF(H3219=0,0,ROUNDDOWN(K3219*H3219,1))</f>
        <v>0</v>
      </c>
      <c r="F3219" s="506">
        <f>IF(H3219=0,0,ROUNDDOWN(L3219*H3219,1))</f>
        <v>0</v>
      </c>
      <c r="G3219" s="451" t="s">
        <v>3711</v>
      </c>
      <c r="H3219" s="507">
        <f>ROUNDUP(AF3219,14-LEN(ABS(INT(AF3219))))</f>
        <v>5.3333333333400006E-2</v>
      </c>
      <c r="I3219" s="508">
        <f>K3219+J3219+L3219</f>
        <v>59020</v>
      </c>
      <c r="J3219" s="509">
        <f>중기목록표!F8</f>
        <v>59020</v>
      </c>
      <c r="M3219" s="501" t="s">
        <v>3159</v>
      </c>
      <c r="N3219" s="501" t="s">
        <v>3416</v>
      </c>
      <c r="X3219" s="510" t="str">
        <f>중기목록표!B8&amp;" / "&amp;중기목록표!C8</f>
        <v>굴착기(무한궤도) / 0.6㎥</v>
      </c>
      <c r="Y3219" s="433" t="str">
        <f ca="1">HYPERLINK("#"&amp;중기목록표!J2&amp;"!A"&amp;ROW(중기목록표!A8),"X00269 →")</f>
        <v>X00269 →</v>
      </c>
      <c r="Z3219" s="501" t="s">
        <v>3712</v>
      </c>
      <c r="AA3219" s="512">
        <f>AB3212</f>
        <v>150</v>
      </c>
      <c r="AB3219" s="501" t="s">
        <v>3428</v>
      </c>
      <c r="AC3219" s="515">
        <v>8</v>
      </c>
      <c r="AD3219" s="501" t="s">
        <v>3464</v>
      </c>
      <c r="AE3219" s="501" t="s">
        <v>3418</v>
      </c>
      <c r="AF3219" s="512">
        <f>1/(AB3212/AC3219)</f>
        <v>5.3333333333333337E-2</v>
      </c>
      <c r="AG3219" s="500"/>
      <c r="AH3219" s="500"/>
      <c r="AI3219" s="500"/>
      <c r="AJ3219" s="500"/>
      <c r="AK3219" s="500"/>
      <c r="AL3219" s="500"/>
      <c r="AM3219" s="500"/>
      <c r="AN3219" s="500"/>
      <c r="AO3219" s="500"/>
      <c r="AP3219" s="500"/>
    </row>
    <row r="3220" spans="1:42" ht="16.5" customHeight="1">
      <c r="A3220" s="439"/>
      <c r="B3220" s="439"/>
      <c r="C3220" s="439"/>
      <c r="D3220" s="439"/>
      <c r="E3220" s="439"/>
      <c r="F3220" s="439"/>
      <c r="G3220" s="451" t="s">
        <v>3406</v>
      </c>
      <c r="Z3220" s="500"/>
      <c r="AA3220" s="500"/>
      <c r="AB3220" s="500"/>
      <c r="AC3220" s="500"/>
      <c r="AD3220" s="500"/>
      <c r="AE3220" s="500"/>
      <c r="AF3220" s="500"/>
      <c r="AG3220" s="500"/>
      <c r="AH3220" s="500"/>
      <c r="AI3220" s="500"/>
      <c r="AJ3220" s="500"/>
      <c r="AK3220" s="500"/>
      <c r="AL3220" s="500"/>
      <c r="AM3220" s="500"/>
      <c r="AN3220" s="500"/>
      <c r="AO3220" s="500"/>
      <c r="AP3220" s="500"/>
    </row>
    <row r="3221" spans="1:42" ht="16.5" customHeight="1">
      <c r="A3221" s="434" t="s">
        <v>3578</v>
      </c>
      <c r="B3221" s="505" t="str">
        <f>" 재 료 비  : "&amp;TEXT(I3221,"#,##0"&amp;IF(I3221&lt;&gt;INT(I3221),".###",""))&amp;" / (Q1/"&amp;AC3221&amp;") = "&amp;TEXT(C3221,"#,##0.0")&amp;""</f>
        <v xml:space="preserve"> 재 료 비  : 17,160 / (Q1/8) = 915.2</v>
      </c>
      <c r="C3221" s="506">
        <f>E3221+D3221+F3221</f>
        <v>915.2</v>
      </c>
      <c r="D3221" s="506">
        <f>IF(H3221=0,0,ROUNDDOWN(J3221*H3221,1))</f>
        <v>0</v>
      </c>
      <c r="E3221" s="506">
        <f>IF(H3221=0,0,ROUNDDOWN(K3221*H3221,1))</f>
        <v>915.2</v>
      </c>
      <c r="F3221" s="506">
        <f>IF(H3221=0,0,ROUNDDOWN(L3221*H3221,1))</f>
        <v>0</v>
      </c>
      <c r="G3221" s="451" t="s">
        <v>3713</v>
      </c>
      <c r="H3221" s="507">
        <f>ROUNDUP(AF3221,14-LEN(ABS(INT(AF3221))))</f>
        <v>5.3333333333400006E-2</v>
      </c>
      <c r="I3221" s="508">
        <f>K3221+J3221+L3221</f>
        <v>17160</v>
      </c>
      <c r="K3221" s="509">
        <f>중기목록표!G8</f>
        <v>17160</v>
      </c>
      <c r="M3221" s="501" t="s">
        <v>3159</v>
      </c>
      <c r="N3221" s="501" t="s">
        <v>3416</v>
      </c>
      <c r="X3221" s="510" t="str">
        <f>중기목록표!B8&amp;" / "&amp;중기목록표!C8</f>
        <v>굴착기(무한궤도) / 0.6㎥</v>
      </c>
      <c r="Y3221" s="433" t="str">
        <f ca="1">HYPERLINK("#"&amp;중기목록표!J2&amp;"!A"&amp;ROW(중기목록표!A8),"X00269 →")</f>
        <v>X00269 →</v>
      </c>
      <c r="Z3221" s="501" t="s">
        <v>3712</v>
      </c>
      <c r="AA3221" s="512">
        <f>AB3212</f>
        <v>150</v>
      </c>
      <c r="AB3221" s="501" t="s">
        <v>3428</v>
      </c>
      <c r="AC3221" s="515">
        <v>8</v>
      </c>
      <c r="AD3221" s="501" t="s">
        <v>3464</v>
      </c>
      <c r="AE3221" s="501" t="s">
        <v>3418</v>
      </c>
      <c r="AF3221" s="512">
        <f>1/(AB3212/AC3221)</f>
        <v>5.3333333333333337E-2</v>
      </c>
      <c r="AG3221" s="500"/>
      <c r="AH3221" s="500"/>
      <c r="AI3221" s="500"/>
      <c r="AJ3221" s="500"/>
      <c r="AK3221" s="500"/>
      <c r="AL3221" s="500"/>
      <c r="AM3221" s="500"/>
      <c r="AN3221" s="500"/>
      <c r="AO3221" s="500"/>
      <c r="AP3221" s="500"/>
    </row>
    <row r="3222" spans="1:42" ht="16.5" customHeight="1">
      <c r="A3222" s="439"/>
      <c r="B3222" s="439"/>
      <c r="C3222" s="439"/>
      <c r="D3222" s="439"/>
      <c r="E3222" s="439"/>
      <c r="F3222" s="439"/>
      <c r="G3222" s="451" t="s">
        <v>3406</v>
      </c>
      <c r="Z3222" s="500"/>
      <c r="AA3222" s="500"/>
      <c r="AB3222" s="500"/>
      <c r="AC3222" s="500"/>
      <c r="AD3222" s="500"/>
      <c r="AE3222" s="500"/>
      <c r="AF3222" s="500"/>
      <c r="AG3222" s="500"/>
      <c r="AH3222" s="500"/>
      <c r="AI3222" s="500"/>
      <c r="AJ3222" s="500"/>
      <c r="AK3222" s="500"/>
      <c r="AL3222" s="500"/>
      <c r="AM3222" s="500"/>
      <c r="AN3222" s="500"/>
      <c r="AO3222" s="500"/>
      <c r="AP3222" s="500"/>
    </row>
    <row r="3223" spans="1:42" ht="16.5" customHeight="1">
      <c r="A3223" s="434" t="s">
        <v>3580</v>
      </c>
      <c r="B3223" s="505" t="str">
        <f>" 경    비  : "&amp;TEXT(I3223,"#,##0"&amp;IF(I3223&lt;&gt;INT(I3223),".###",""))&amp;" / (Q1/"&amp;AC3223&amp;") = "&amp;TEXT(C3223,"#,##0.0")&amp;""</f>
        <v xml:space="preserve"> 경    비  : 23,423 / (Q1/8) = 1,249.2</v>
      </c>
      <c r="C3223" s="506">
        <f>E3223+D3223+F3223</f>
        <v>1249.2</v>
      </c>
      <c r="D3223" s="506">
        <f>IF(H3223=0,0,ROUNDDOWN(J3223*H3223,1))</f>
        <v>0</v>
      </c>
      <c r="E3223" s="506">
        <f>IF(H3223=0,0,ROUNDDOWN(K3223*H3223,1))</f>
        <v>0</v>
      </c>
      <c r="F3223" s="506">
        <f>IF(H3223=0,0,ROUNDDOWN(L3223*H3223,1))</f>
        <v>1249.2</v>
      </c>
      <c r="G3223" s="451" t="s">
        <v>3714</v>
      </c>
      <c r="H3223" s="507">
        <f>ROUNDUP(AF3223,14-LEN(ABS(INT(AF3223))))</f>
        <v>5.3333333333400006E-2</v>
      </c>
      <c r="I3223" s="508">
        <f>K3223+J3223+L3223</f>
        <v>23423</v>
      </c>
      <c r="L3223" s="509">
        <f>중기목록표!H8</f>
        <v>23423</v>
      </c>
      <c r="M3223" s="501" t="s">
        <v>3159</v>
      </c>
      <c r="N3223" s="501" t="s">
        <v>3416</v>
      </c>
      <c r="X3223" s="510" t="str">
        <f>중기목록표!B8&amp;" / "&amp;중기목록표!C8</f>
        <v>굴착기(무한궤도) / 0.6㎥</v>
      </c>
      <c r="Y3223" s="433" t="str">
        <f ca="1">HYPERLINK("#"&amp;중기목록표!J2&amp;"!A"&amp;ROW(중기목록표!A8),"X00269 →")</f>
        <v>X00269 →</v>
      </c>
      <c r="Z3223" s="501" t="s">
        <v>3712</v>
      </c>
      <c r="AA3223" s="512">
        <f>AB3212</f>
        <v>150</v>
      </c>
      <c r="AB3223" s="501" t="s">
        <v>3428</v>
      </c>
      <c r="AC3223" s="515">
        <v>8</v>
      </c>
      <c r="AD3223" s="501" t="s">
        <v>3464</v>
      </c>
      <c r="AE3223" s="501" t="s">
        <v>3418</v>
      </c>
      <c r="AF3223" s="512">
        <f>1/(AB3212/AC3223)</f>
        <v>5.3333333333333337E-2</v>
      </c>
      <c r="AG3223" s="500"/>
      <c r="AH3223" s="500"/>
      <c r="AI3223" s="500"/>
      <c r="AJ3223" s="500"/>
      <c r="AK3223" s="500"/>
      <c r="AL3223" s="500"/>
      <c r="AM3223" s="500"/>
      <c r="AN3223" s="500"/>
      <c r="AO3223" s="500"/>
      <c r="AP3223" s="500"/>
    </row>
    <row r="3224" spans="1:42" ht="16.5" customHeight="1">
      <c r="A3224" s="439"/>
      <c r="B3224" s="439"/>
      <c r="C3224" s="439"/>
      <c r="D3224" s="439"/>
      <c r="E3224" s="439"/>
      <c r="F3224" s="439"/>
      <c r="G3224" s="451" t="s">
        <v>3406</v>
      </c>
      <c r="Z3224" s="500"/>
      <c r="AA3224" s="500"/>
      <c r="AB3224" s="500"/>
      <c r="AC3224" s="500"/>
      <c r="AD3224" s="500"/>
      <c r="AE3224" s="500"/>
      <c r="AF3224" s="500"/>
      <c r="AG3224" s="500"/>
      <c r="AH3224" s="500"/>
      <c r="AI3224" s="500"/>
      <c r="AJ3224" s="500"/>
      <c r="AK3224" s="500"/>
      <c r="AL3224" s="500"/>
      <c r="AM3224" s="500"/>
      <c r="AN3224" s="500"/>
      <c r="AO3224" s="500"/>
      <c r="AP3224" s="500"/>
    </row>
    <row r="3225" spans="1:42" ht="16.5" customHeight="1">
      <c r="A3225" s="434"/>
      <c r="B3225" s="437" t="s">
        <v>3419</v>
      </c>
      <c r="C3225" s="513">
        <f>E3225+D3225+F3225</f>
        <v>5312.0999999999995</v>
      </c>
      <c r="D3225" s="513">
        <f>SUMIF(N3207:N3224,M3225,D3207:D3224)</f>
        <v>3147.7</v>
      </c>
      <c r="E3225" s="513">
        <f>SUMIF(N3207:N3224,M3225,E3207:E3224)</f>
        <v>915.2</v>
      </c>
      <c r="F3225" s="513">
        <f>SUMIF(N3207:N3224,M3225,F3207:F3224)</f>
        <v>1249.2</v>
      </c>
      <c r="G3225" s="451" t="s">
        <v>3420</v>
      </c>
      <c r="M3225" s="501" t="s">
        <v>3416</v>
      </c>
      <c r="N3225" s="501" t="s">
        <v>2354</v>
      </c>
      <c r="Z3225" s="500"/>
      <c r="AA3225" s="500"/>
      <c r="AB3225" s="500"/>
      <c r="AC3225" s="500"/>
      <c r="AD3225" s="500"/>
      <c r="AE3225" s="500"/>
      <c r="AF3225" s="500"/>
      <c r="AG3225" s="500"/>
      <c r="AH3225" s="500"/>
      <c r="AI3225" s="500"/>
      <c r="AJ3225" s="500"/>
      <c r="AK3225" s="500"/>
      <c r="AL3225" s="500"/>
      <c r="AM3225" s="500"/>
      <c r="AN3225" s="500"/>
      <c r="AO3225" s="500"/>
      <c r="AP3225" s="500"/>
    </row>
    <row r="3226" spans="1:42" ht="16.5" customHeight="1">
      <c r="A3226" s="439"/>
      <c r="B3226" s="439"/>
      <c r="C3226" s="504"/>
      <c r="D3226" s="504"/>
      <c r="E3226" s="504"/>
      <c r="F3226" s="504"/>
      <c r="Z3226" s="500"/>
      <c r="AA3226" s="500"/>
      <c r="AB3226" s="500"/>
      <c r="AC3226" s="500"/>
      <c r="AD3226" s="500"/>
      <c r="AE3226" s="500"/>
      <c r="AF3226" s="500"/>
      <c r="AG3226" s="500"/>
      <c r="AH3226" s="500"/>
      <c r="AI3226" s="500"/>
      <c r="AJ3226" s="500"/>
      <c r="AK3226" s="500"/>
      <c r="AL3226" s="500"/>
      <c r="AM3226" s="500"/>
      <c r="AN3226" s="500"/>
      <c r="AO3226" s="500"/>
      <c r="AP3226" s="500"/>
    </row>
    <row r="3227" spans="1:42" ht="16.5" customHeight="1">
      <c r="A3227" s="439"/>
      <c r="B3227" s="439"/>
      <c r="C3227" s="439"/>
      <c r="D3227" s="439"/>
      <c r="E3227" s="439"/>
      <c r="F3227" s="439"/>
      <c r="Z3227" s="500"/>
      <c r="AA3227" s="500"/>
      <c r="AB3227" s="500"/>
      <c r="AC3227" s="500"/>
      <c r="AD3227" s="500"/>
      <c r="AE3227" s="500"/>
      <c r="AF3227" s="500"/>
      <c r="AG3227" s="500"/>
      <c r="AH3227" s="500"/>
      <c r="AI3227" s="500"/>
      <c r="AJ3227" s="500"/>
      <c r="AK3227" s="500"/>
      <c r="AL3227" s="500"/>
      <c r="AM3227" s="500"/>
      <c r="AN3227" s="500"/>
      <c r="AO3227" s="500"/>
      <c r="AP3227" s="500"/>
    </row>
    <row r="3228" spans="1:42" ht="16.5" customHeight="1">
      <c r="A3228" s="439"/>
      <c r="B3228" s="439"/>
      <c r="C3228" s="439"/>
      <c r="D3228" s="439"/>
      <c r="E3228" s="439"/>
      <c r="F3228" s="439"/>
      <c r="Z3228" s="500"/>
      <c r="AA3228" s="500"/>
      <c r="AB3228" s="500"/>
      <c r="AC3228" s="500"/>
      <c r="AD3228" s="500"/>
      <c r="AE3228" s="500"/>
      <c r="AF3228" s="500"/>
      <c r="AG3228" s="500"/>
      <c r="AH3228" s="500"/>
      <c r="AI3228" s="500"/>
      <c r="AJ3228" s="500"/>
      <c r="AK3228" s="500"/>
      <c r="AL3228" s="500"/>
      <c r="AM3228" s="500"/>
      <c r="AN3228" s="500"/>
      <c r="AO3228" s="500"/>
      <c r="AP3228" s="500"/>
    </row>
    <row r="3229" spans="1:42" ht="16.5" customHeight="1">
      <c r="A3229" s="439"/>
      <c r="B3229" s="439"/>
      <c r="C3229" s="439"/>
      <c r="D3229" s="439"/>
      <c r="E3229" s="439"/>
      <c r="F3229" s="439"/>
      <c r="Z3229" s="500"/>
      <c r="AA3229" s="500"/>
      <c r="AB3229" s="500"/>
      <c r="AC3229" s="500"/>
      <c r="AD3229" s="500"/>
      <c r="AE3229" s="500"/>
      <c r="AF3229" s="500"/>
      <c r="AG3229" s="500"/>
      <c r="AH3229" s="500"/>
      <c r="AI3229" s="500"/>
      <c r="AJ3229" s="500"/>
      <c r="AK3229" s="500"/>
      <c r="AL3229" s="500"/>
      <c r="AM3229" s="500"/>
      <c r="AN3229" s="500"/>
      <c r="AO3229" s="500"/>
      <c r="AP3229" s="500"/>
    </row>
    <row r="3230" spans="1:42" ht="16.5" customHeight="1">
      <c r="A3230" s="439"/>
      <c r="B3230" s="439"/>
      <c r="C3230" s="439"/>
      <c r="D3230" s="439"/>
      <c r="E3230" s="439"/>
      <c r="F3230" s="439"/>
      <c r="Z3230" s="500"/>
      <c r="AA3230" s="500"/>
      <c r="AB3230" s="500"/>
      <c r="AC3230" s="500"/>
      <c r="AD3230" s="500"/>
      <c r="AE3230" s="500"/>
      <c r="AF3230" s="500"/>
      <c r="AG3230" s="500"/>
      <c r="AH3230" s="500"/>
      <c r="AI3230" s="500"/>
      <c r="AJ3230" s="500"/>
      <c r="AK3230" s="500"/>
      <c r="AL3230" s="500"/>
      <c r="AM3230" s="500"/>
      <c r="AN3230" s="500"/>
      <c r="AO3230" s="500"/>
      <c r="AP3230" s="500"/>
    </row>
    <row r="3231" spans="1:42" ht="16.5" customHeight="1">
      <c r="A3231" s="439"/>
      <c r="B3231" s="439"/>
      <c r="C3231" s="439"/>
      <c r="D3231" s="439"/>
      <c r="E3231" s="439"/>
      <c r="F3231" s="439"/>
      <c r="Z3231" s="500"/>
      <c r="AA3231" s="500"/>
      <c r="AB3231" s="500"/>
      <c r="AC3231" s="500"/>
      <c r="AD3231" s="500"/>
      <c r="AE3231" s="500"/>
      <c r="AF3231" s="500"/>
      <c r="AG3231" s="500"/>
      <c r="AH3231" s="500"/>
      <c r="AI3231" s="500"/>
      <c r="AJ3231" s="500"/>
      <c r="AK3231" s="500"/>
      <c r="AL3231" s="500"/>
      <c r="AM3231" s="500"/>
      <c r="AN3231" s="500"/>
      <c r="AO3231" s="500"/>
      <c r="AP3231" s="500"/>
    </row>
    <row r="3232" spans="1:42" ht="16.5" customHeight="1">
      <c r="A3232" s="439"/>
      <c r="B3232" s="439"/>
      <c r="C3232" s="439"/>
      <c r="D3232" s="439"/>
      <c r="E3232" s="439"/>
      <c r="F3232" s="439"/>
      <c r="Z3232" s="500"/>
      <c r="AA3232" s="500"/>
      <c r="AB3232" s="500"/>
      <c r="AC3232" s="500"/>
      <c r="AD3232" s="500"/>
      <c r="AE3232" s="500"/>
      <c r="AF3232" s="500"/>
      <c r="AG3232" s="500"/>
      <c r="AH3232" s="500"/>
      <c r="AI3232" s="500"/>
      <c r="AJ3232" s="500"/>
      <c r="AK3232" s="500"/>
      <c r="AL3232" s="500"/>
      <c r="AM3232" s="500"/>
      <c r="AN3232" s="500"/>
      <c r="AO3232" s="500"/>
      <c r="AP3232" s="500"/>
    </row>
    <row r="3233" spans="1:42" ht="16.5" customHeight="1">
      <c r="A3233" s="439"/>
      <c r="B3233" s="439"/>
      <c r="C3233" s="439"/>
      <c r="D3233" s="439"/>
      <c r="E3233" s="439"/>
      <c r="F3233" s="439"/>
      <c r="Z3233" s="500"/>
      <c r="AA3233" s="500"/>
      <c r="AB3233" s="500"/>
      <c r="AC3233" s="500"/>
      <c r="AD3233" s="500"/>
      <c r="AE3233" s="500"/>
      <c r="AF3233" s="500"/>
      <c r="AG3233" s="500"/>
      <c r="AH3233" s="500"/>
      <c r="AI3233" s="500"/>
      <c r="AJ3233" s="500"/>
      <c r="AK3233" s="500"/>
      <c r="AL3233" s="500"/>
      <c r="AM3233" s="500"/>
      <c r="AN3233" s="500"/>
      <c r="AO3233" s="500"/>
      <c r="AP3233" s="500"/>
    </row>
    <row r="3234" spans="1:42" ht="16.5" customHeight="1">
      <c r="A3234" s="439"/>
      <c r="B3234" s="439"/>
      <c r="C3234" s="439"/>
      <c r="D3234" s="439"/>
      <c r="E3234" s="439"/>
      <c r="F3234" s="439"/>
      <c r="Z3234" s="500"/>
      <c r="AA3234" s="500"/>
      <c r="AB3234" s="500"/>
      <c r="AC3234" s="500"/>
      <c r="AD3234" s="500"/>
      <c r="AE3234" s="500"/>
      <c r="AF3234" s="500"/>
      <c r="AG3234" s="500"/>
      <c r="AH3234" s="500"/>
      <c r="AI3234" s="500"/>
      <c r="AJ3234" s="500"/>
      <c r="AK3234" s="500"/>
      <c r="AL3234" s="500"/>
      <c r="AM3234" s="500"/>
      <c r="AN3234" s="500"/>
      <c r="AO3234" s="500"/>
      <c r="AP3234" s="500"/>
    </row>
    <row r="3235" spans="1:42" ht="16.5" customHeight="1">
      <c r="A3235" s="439"/>
      <c r="B3235" s="439"/>
      <c r="C3235" s="439"/>
      <c r="D3235" s="439"/>
      <c r="E3235" s="439"/>
      <c r="F3235" s="439"/>
      <c r="Z3235" s="500"/>
      <c r="AA3235" s="500"/>
      <c r="AB3235" s="500"/>
      <c r="AC3235" s="500"/>
      <c r="AD3235" s="500"/>
      <c r="AE3235" s="500"/>
      <c r="AF3235" s="500"/>
      <c r="AG3235" s="500"/>
      <c r="AH3235" s="500"/>
      <c r="AI3235" s="500"/>
      <c r="AJ3235" s="500"/>
      <c r="AK3235" s="500"/>
      <c r="AL3235" s="500"/>
      <c r="AM3235" s="500"/>
      <c r="AN3235" s="500"/>
      <c r="AO3235" s="500"/>
      <c r="AP3235" s="500"/>
    </row>
    <row r="3236" spans="1:42" ht="16.5" customHeight="1">
      <c r="A3236" s="439"/>
      <c r="B3236" s="439"/>
      <c r="C3236" s="439"/>
      <c r="D3236" s="439"/>
      <c r="E3236" s="439"/>
      <c r="F3236" s="439"/>
      <c r="Z3236" s="500"/>
      <c r="AA3236" s="500"/>
      <c r="AB3236" s="500"/>
      <c r="AC3236" s="500"/>
      <c r="AD3236" s="500"/>
      <c r="AE3236" s="500"/>
      <c r="AF3236" s="500"/>
      <c r="AG3236" s="500"/>
      <c r="AH3236" s="500"/>
      <c r="AI3236" s="500"/>
      <c r="AJ3236" s="500"/>
      <c r="AK3236" s="500"/>
      <c r="AL3236" s="500"/>
      <c r="AM3236" s="500"/>
      <c r="AN3236" s="500"/>
      <c r="AO3236" s="500"/>
      <c r="AP3236" s="500"/>
    </row>
    <row r="3237" spans="1:42" ht="16.5" customHeight="1">
      <c r="A3237" s="439"/>
      <c r="B3237" s="439"/>
      <c r="C3237" s="439"/>
      <c r="D3237" s="439"/>
      <c r="E3237" s="439"/>
      <c r="F3237" s="439"/>
      <c r="Z3237" s="500"/>
      <c r="AA3237" s="500"/>
      <c r="AB3237" s="500"/>
      <c r="AC3237" s="500"/>
      <c r="AD3237" s="500"/>
      <c r="AE3237" s="500"/>
      <c r="AF3237" s="500"/>
      <c r="AG3237" s="500"/>
      <c r="AH3237" s="500"/>
      <c r="AI3237" s="500"/>
      <c r="AJ3237" s="500"/>
      <c r="AK3237" s="500"/>
      <c r="AL3237" s="500"/>
      <c r="AM3237" s="500"/>
      <c r="AN3237" s="500"/>
      <c r="AO3237" s="500"/>
      <c r="AP3237" s="500"/>
    </row>
    <row r="3238" spans="1:42" ht="16.5" customHeight="1">
      <c r="A3238" s="439"/>
      <c r="B3238" s="439"/>
      <c r="C3238" s="439"/>
      <c r="D3238" s="439"/>
      <c r="E3238" s="439"/>
      <c r="F3238" s="439"/>
      <c r="Z3238" s="500"/>
      <c r="AA3238" s="500"/>
      <c r="AB3238" s="500"/>
      <c r="AC3238" s="500"/>
      <c r="AD3238" s="500"/>
      <c r="AE3238" s="500"/>
      <c r="AF3238" s="500"/>
      <c r="AG3238" s="500"/>
      <c r="AH3238" s="500"/>
      <c r="AI3238" s="500"/>
      <c r="AJ3238" s="500"/>
      <c r="AK3238" s="500"/>
      <c r="AL3238" s="500"/>
      <c r="AM3238" s="500"/>
      <c r="AN3238" s="500"/>
      <c r="AO3238" s="500"/>
      <c r="AP3238" s="500"/>
    </row>
    <row r="3239" spans="1:42" ht="16.5" customHeight="1">
      <c r="A3239" s="439"/>
      <c r="B3239" s="439"/>
      <c r="C3239" s="439"/>
      <c r="D3239" s="439"/>
      <c r="E3239" s="439"/>
      <c r="F3239" s="439"/>
      <c r="Z3239" s="500"/>
      <c r="AA3239" s="500"/>
      <c r="AB3239" s="500"/>
      <c r="AC3239" s="500"/>
      <c r="AD3239" s="500"/>
      <c r="AE3239" s="500"/>
      <c r="AF3239" s="500"/>
      <c r="AG3239" s="500"/>
      <c r="AH3239" s="500"/>
      <c r="AI3239" s="500"/>
      <c r="AJ3239" s="500"/>
      <c r="AK3239" s="500"/>
      <c r="AL3239" s="500"/>
      <c r="AM3239" s="500"/>
      <c r="AN3239" s="500"/>
      <c r="AO3239" s="500"/>
      <c r="AP3239" s="500"/>
    </row>
    <row r="3240" spans="1:42" ht="16.5" customHeight="1">
      <c r="A3240" s="439"/>
      <c r="B3240" s="439"/>
      <c r="C3240" s="439"/>
      <c r="D3240" s="439"/>
      <c r="E3240" s="439"/>
      <c r="F3240" s="439"/>
      <c r="Z3240" s="500"/>
      <c r="AA3240" s="500"/>
      <c r="AB3240" s="500"/>
      <c r="AC3240" s="500"/>
      <c r="AD3240" s="500"/>
      <c r="AE3240" s="500"/>
      <c r="AF3240" s="500"/>
      <c r="AG3240" s="500"/>
      <c r="AH3240" s="500"/>
      <c r="AI3240" s="500"/>
      <c r="AJ3240" s="500"/>
      <c r="AK3240" s="500"/>
      <c r="AL3240" s="500"/>
      <c r="AM3240" s="500"/>
      <c r="AN3240" s="500"/>
      <c r="AO3240" s="500"/>
      <c r="AP3240" s="500"/>
    </row>
    <row r="3241" spans="1:42" ht="16.5" customHeight="1">
      <c r="A3241" s="439"/>
      <c r="B3241" s="439"/>
      <c r="C3241" s="439"/>
      <c r="D3241" s="439"/>
      <c r="E3241" s="439"/>
      <c r="F3241" s="439"/>
      <c r="Z3241" s="500"/>
      <c r="AA3241" s="500"/>
      <c r="AB3241" s="500"/>
      <c r="AC3241" s="500"/>
      <c r="AD3241" s="500"/>
      <c r="AE3241" s="500"/>
      <c r="AF3241" s="500"/>
      <c r="AG3241" s="500"/>
      <c r="AH3241" s="500"/>
      <c r="AI3241" s="500"/>
      <c r="AJ3241" s="500"/>
      <c r="AK3241" s="500"/>
      <c r="AL3241" s="500"/>
      <c r="AM3241" s="500"/>
      <c r="AN3241" s="500"/>
      <c r="AO3241" s="500"/>
      <c r="AP3241" s="500"/>
    </row>
    <row r="3242" spans="1:42" ht="16.5" customHeight="1">
      <c r="A3242" s="439"/>
      <c r="B3242" s="439"/>
      <c r="C3242" s="439"/>
      <c r="D3242" s="439"/>
      <c r="E3242" s="439"/>
      <c r="F3242" s="439"/>
      <c r="Z3242" s="500"/>
      <c r="AA3242" s="500"/>
      <c r="AB3242" s="500"/>
      <c r="AC3242" s="500"/>
      <c r="AD3242" s="500"/>
      <c r="AE3242" s="500"/>
      <c r="AF3242" s="500"/>
      <c r="AG3242" s="500"/>
      <c r="AH3242" s="500"/>
      <c r="AI3242" s="500"/>
      <c r="AJ3242" s="500"/>
      <c r="AK3242" s="500"/>
      <c r="AL3242" s="500"/>
      <c r="AM3242" s="500"/>
      <c r="AN3242" s="500"/>
      <c r="AO3242" s="500"/>
      <c r="AP3242" s="500"/>
    </row>
    <row r="3243" spans="1:42" ht="16.5" customHeight="1">
      <c r="A3243" s="439"/>
      <c r="B3243" s="439"/>
      <c r="C3243" s="439"/>
      <c r="D3243" s="439"/>
      <c r="E3243" s="439"/>
      <c r="F3243" s="439"/>
      <c r="Z3243" s="500"/>
      <c r="AA3243" s="500"/>
      <c r="AB3243" s="500"/>
      <c r="AC3243" s="500"/>
      <c r="AD3243" s="500"/>
      <c r="AE3243" s="500"/>
      <c r="AF3243" s="500"/>
      <c r="AG3243" s="500"/>
      <c r="AH3243" s="500"/>
      <c r="AI3243" s="500"/>
      <c r="AJ3243" s="500"/>
      <c r="AK3243" s="500"/>
      <c r="AL3243" s="500"/>
      <c r="AM3243" s="500"/>
      <c r="AN3243" s="500"/>
      <c r="AO3243" s="500"/>
      <c r="AP3243" s="500"/>
    </row>
    <row r="3244" spans="1:42" ht="16.5" customHeight="1">
      <c r="A3244" s="439"/>
      <c r="B3244" s="439"/>
      <c r="C3244" s="439"/>
      <c r="D3244" s="439"/>
      <c r="E3244" s="439"/>
      <c r="F3244" s="439"/>
      <c r="Z3244" s="500"/>
      <c r="AA3244" s="500"/>
      <c r="AB3244" s="500"/>
      <c r="AC3244" s="500"/>
      <c r="AD3244" s="500"/>
      <c r="AE3244" s="500"/>
      <c r="AF3244" s="500"/>
      <c r="AG3244" s="500"/>
      <c r="AH3244" s="500"/>
      <c r="AI3244" s="500"/>
      <c r="AJ3244" s="500"/>
      <c r="AK3244" s="500"/>
      <c r="AL3244" s="500"/>
      <c r="AM3244" s="500"/>
      <c r="AN3244" s="500"/>
      <c r="AO3244" s="500"/>
      <c r="AP3244" s="500"/>
    </row>
    <row r="3245" spans="1:42" ht="16.5" customHeight="1">
      <c r="A3245" s="439"/>
      <c r="B3245" s="439"/>
      <c r="C3245" s="439"/>
      <c r="D3245" s="439"/>
      <c r="E3245" s="439"/>
      <c r="F3245" s="439"/>
      <c r="Z3245" s="500"/>
      <c r="AA3245" s="500"/>
      <c r="AB3245" s="500"/>
      <c r="AC3245" s="500"/>
      <c r="AD3245" s="500"/>
      <c r="AE3245" s="500"/>
      <c r="AF3245" s="500"/>
      <c r="AG3245" s="500"/>
      <c r="AH3245" s="500"/>
      <c r="AI3245" s="500"/>
      <c r="AJ3245" s="500"/>
      <c r="AK3245" s="500"/>
      <c r="AL3245" s="500"/>
      <c r="AM3245" s="500"/>
      <c r="AN3245" s="500"/>
      <c r="AO3245" s="500"/>
      <c r="AP3245" s="500"/>
    </row>
    <row r="3246" spans="1:42" ht="16.5" customHeight="1">
      <c r="A3246" s="439"/>
      <c r="B3246" s="439"/>
      <c r="C3246" s="439"/>
      <c r="D3246" s="439"/>
      <c r="E3246" s="439"/>
      <c r="F3246" s="439"/>
      <c r="Z3246" s="500"/>
      <c r="AA3246" s="500"/>
      <c r="AB3246" s="500"/>
      <c r="AC3246" s="500"/>
      <c r="AD3246" s="500"/>
      <c r="AE3246" s="500"/>
      <c r="AF3246" s="500"/>
      <c r="AG3246" s="500"/>
      <c r="AH3246" s="500"/>
      <c r="AI3246" s="500"/>
      <c r="AJ3246" s="500"/>
      <c r="AK3246" s="500"/>
      <c r="AL3246" s="500"/>
      <c r="AM3246" s="500"/>
      <c r="AN3246" s="500"/>
      <c r="AO3246" s="500"/>
      <c r="AP3246" s="500"/>
    </row>
    <row r="3247" spans="1:42" ht="16.5" customHeight="1">
      <c r="A3247" s="439"/>
      <c r="B3247" s="439"/>
      <c r="C3247" s="439"/>
      <c r="D3247" s="439"/>
      <c r="E3247" s="439"/>
      <c r="F3247" s="439"/>
      <c r="Z3247" s="500"/>
      <c r="AA3247" s="500"/>
      <c r="AB3247" s="500"/>
      <c r="AC3247" s="500"/>
      <c r="AD3247" s="500"/>
      <c r="AE3247" s="500"/>
      <c r="AF3247" s="500"/>
      <c r="AG3247" s="500"/>
      <c r="AH3247" s="500"/>
      <c r="AI3247" s="500"/>
      <c r="AJ3247" s="500"/>
      <c r="AK3247" s="500"/>
      <c r="AL3247" s="500"/>
      <c r="AM3247" s="500"/>
      <c r="AN3247" s="500"/>
      <c r="AO3247" s="500"/>
      <c r="AP3247" s="500"/>
    </row>
    <row r="3248" spans="1:42" ht="16.5" customHeight="1">
      <c r="A3248" s="439"/>
      <c r="B3248" s="439"/>
      <c r="C3248" s="439"/>
      <c r="D3248" s="439"/>
      <c r="E3248" s="439"/>
      <c r="F3248" s="439"/>
      <c r="Z3248" s="500"/>
      <c r="AA3248" s="500"/>
      <c r="AB3248" s="500"/>
      <c r="AC3248" s="500"/>
      <c r="AD3248" s="500"/>
      <c r="AE3248" s="500"/>
      <c r="AF3248" s="500"/>
      <c r="AG3248" s="500"/>
      <c r="AH3248" s="500"/>
      <c r="AI3248" s="500"/>
      <c r="AJ3248" s="500"/>
      <c r="AK3248" s="500"/>
      <c r="AL3248" s="500"/>
      <c r="AM3248" s="500"/>
      <c r="AN3248" s="500"/>
      <c r="AO3248" s="500"/>
      <c r="AP3248" s="500"/>
    </row>
    <row r="3249" spans="1:42" ht="16.5" customHeight="1">
      <c r="A3249" s="439"/>
      <c r="B3249" s="439"/>
      <c r="C3249" s="439"/>
      <c r="D3249" s="439"/>
      <c r="E3249" s="439"/>
      <c r="F3249" s="439"/>
      <c r="Z3249" s="500"/>
      <c r="AA3249" s="500"/>
      <c r="AB3249" s="500"/>
      <c r="AC3249" s="500"/>
      <c r="AD3249" s="500"/>
      <c r="AE3249" s="500"/>
      <c r="AF3249" s="500"/>
      <c r="AG3249" s="500"/>
      <c r="AH3249" s="500"/>
      <c r="AI3249" s="500"/>
      <c r="AJ3249" s="500"/>
      <c r="AK3249" s="500"/>
      <c r="AL3249" s="500"/>
      <c r="AM3249" s="500"/>
      <c r="AN3249" s="500"/>
      <c r="AO3249" s="500"/>
      <c r="AP3249" s="500"/>
    </row>
    <row r="3250" spans="1:42" ht="16.5" customHeight="1">
      <c r="A3250" s="439"/>
      <c r="B3250" s="439"/>
      <c r="C3250" s="439"/>
      <c r="D3250" s="439"/>
      <c r="E3250" s="439"/>
      <c r="F3250" s="439"/>
      <c r="Z3250" s="500"/>
      <c r="AA3250" s="500"/>
      <c r="AB3250" s="500"/>
      <c r="AC3250" s="500"/>
      <c r="AD3250" s="500"/>
      <c r="AE3250" s="500"/>
      <c r="AF3250" s="500"/>
      <c r="AG3250" s="500"/>
      <c r="AH3250" s="500"/>
      <c r="AI3250" s="500"/>
      <c r="AJ3250" s="500"/>
      <c r="AK3250" s="500"/>
      <c r="AL3250" s="500"/>
      <c r="AM3250" s="500"/>
      <c r="AN3250" s="500"/>
      <c r="AO3250" s="500"/>
      <c r="AP3250" s="500"/>
    </row>
    <row r="3251" spans="1:42" ht="16.5" customHeight="1">
      <c r="A3251" s="439"/>
      <c r="B3251" s="439"/>
      <c r="C3251" s="439"/>
      <c r="D3251" s="439"/>
      <c r="E3251" s="439"/>
      <c r="F3251" s="439"/>
      <c r="Z3251" s="500"/>
      <c r="AA3251" s="500"/>
      <c r="AB3251" s="500"/>
      <c r="AC3251" s="500"/>
      <c r="AD3251" s="500"/>
      <c r="AE3251" s="500"/>
      <c r="AF3251" s="500"/>
      <c r="AG3251" s="500"/>
      <c r="AH3251" s="500"/>
      <c r="AI3251" s="500"/>
      <c r="AJ3251" s="500"/>
      <c r="AK3251" s="500"/>
      <c r="AL3251" s="500"/>
      <c r="AM3251" s="500"/>
      <c r="AN3251" s="500"/>
      <c r="AO3251" s="500"/>
      <c r="AP3251" s="500"/>
    </row>
    <row r="3252" spans="1:42" ht="16.5" customHeight="1">
      <c r="A3252" s="439"/>
      <c r="B3252" s="439"/>
      <c r="C3252" s="439"/>
      <c r="D3252" s="439"/>
      <c r="E3252" s="439"/>
      <c r="F3252" s="439"/>
      <c r="Z3252" s="500"/>
      <c r="AA3252" s="500"/>
      <c r="AB3252" s="500"/>
      <c r="AC3252" s="500"/>
      <c r="AD3252" s="500"/>
      <c r="AE3252" s="500"/>
      <c r="AF3252" s="500"/>
      <c r="AG3252" s="500"/>
      <c r="AH3252" s="500"/>
      <c r="AI3252" s="500"/>
      <c r="AJ3252" s="500"/>
      <c r="AK3252" s="500"/>
      <c r="AL3252" s="500"/>
      <c r="AM3252" s="500"/>
      <c r="AN3252" s="500"/>
      <c r="AO3252" s="500"/>
      <c r="AP3252" s="500"/>
    </row>
    <row r="3253" spans="1:42" ht="16.5" customHeight="1">
      <c r="A3253" s="497"/>
      <c r="B3253" s="497"/>
      <c r="C3253" s="497"/>
      <c r="D3253" s="497"/>
      <c r="E3253" s="497"/>
      <c r="F3253" s="497"/>
      <c r="Z3253" s="500"/>
      <c r="AA3253" s="500"/>
      <c r="AB3253" s="500"/>
      <c r="AC3253" s="500"/>
      <c r="AD3253" s="500"/>
      <c r="AE3253" s="500"/>
      <c r="AF3253" s="500"/>
      <c r="AG3253" s="500"/>
      <c r="AH3253" s="500"/>
      <c r="AI3253" s="500"/>
      <c r="AJ3253" s="500"/>
      <c r="AK3253" s="500"/>
      <c r="AL3253" s="500"/>
      <c r="AM3253" s="500"/>
      <c r="AN3253" s="500"/>
      <c r="AO3253" s="500"/>
      <c r="AP3253" s="500"/>
    </row>
    <row r="3254" spans="1:42" ht="16.5" customHeight="1">
      <c r="A3254" s="616" t="s">
        <v>3487</v>
      </c>
      <c r="B3254" s="605"/>
      <c r="C3254" s="446">
        <f>E3254+D3254+F3254</f>
        <v>5311</v>
      </c>
      <c r="D3254" s="453">
        <f>ROUNDDOWN(SUMIF(N3207:N3225,M3254,D3207:D3225),0)</f>
        <v>3147</v>
      </c>
      <c r="E3254" s="454">
        <f>ROUNDDOWN(SUMIF(N3207:N3225,M3254,E3207:E3225),0)</f>
        <v>915</v>
      </c>
      <c r="F3254" s="446">
        <f>ROUNDDOWN(SUMIF(N3207:N3225,M3254,F3207:F3225),0)</f>
        <v>1249</v>
      </c>
      <c r="M3254" s="501" t="s">
        <v>2354</v>
      </c>
      <c r="Z3254" s="500"/>
      <c r="AA3254" s="500"/>
      <c r="AB3254" s="500"/>
      <c r="AC3254" s="500"/>
      <c r="AD3254" s="500"/>
      <c r="AE3254" s="500"/>
      <c r="AF3254" s="500"/>
      <c r="AG3254" s="500"/>
      <c r="AH3254" s="500"/>
      <c r="AI3254" s="500"/>
      <c r="AJ3254" s="500"/>
      <c r="AK3254" s="500"/>
      <c r="AL3254" s="500"/>
      <c r="AM3254" s="500"/>
      <c r="AN3254" s="500"/>
      <c r="AO3254" s="500"/>
      <c r="AP3254" s="500"/>
    </row>
    <row r="3255" spans="1:42" ht="16.5" customHeight="1">
      <c r="A3255" s="502" t="s">
        <v>3358</v>
      </c>
      <c r="B3255" s="503" t="s">
        <v>3357</v>
      </c>
      <c r="C3255" s="615">
        <f>C3304</f>
        <v>6415</v>
      </c>
      <c r="D3255" s="615">
        <f>D3304</f>
        <v>5659</v>
      </c>
      <c r="E3255" s="615">
        <f>E3304</f>
        <v>335</v>
      </c>
      <c r="F3255" s="615">
        <f>F3304</f>
        <v>421</v>
      </c>
      <c r="G3255" s="486" t="str">
        <f>HYPERLINK("#G"&amp;ROW(G3289),"_x0005_`BDCOD|D00783_x0007_`POSS|"&amp;ROW(G3257)&amp;"_x0007_`POSE|"&amp;ROW(G3289)&amp;"_x0007_`")</f>
        <v>_x0005_`BDCOD|D00783_x0007_`POSS|3257_x0007_`POSE|3289_x0007_`</v>
      </c>
      <c r="Z3255" s="500"/>
      <c r="AA3255" s="500"/>
      <c r="AB3255" s="500"/>
      <c r="AC3255" s="500"/>
      <c r="AD3255" s="500"/>
      <c r="AE3255" s="500"/>
      <c r="AF3255" s="500"/>
      <c r="AG3255" s="500"/>
      <c r="AH3255" s="500"/>
      <c r="AI3255" s="500"/>
      <c r="AJ3255" s="500"/>
      <c r="AK3255" s="500"/>
      <c r="AL3255" s="500"/>
      <c r="AM3255" s="500"/>
      <c r="AN3255" s="500"/>
      <c r="AO3255" s="500"/>
      <c r="AP3255" s="500"/>
    </row>
    <row r="3256" spans="1:42" ht="16.5" customHeight="1">
      <c r="A3256" s="485"/>
      <c r="B3256" s="503" t="s">
        <v>3715</v>
      </c>
      <c r="C3256" s="593"/>
      <c r="D3256" s="593"/>
      <c r="E3256" s="593"/>
      <c r="F3256" s="593"/>
      <c r="M3256" s="501" t="s">
        <v>3357</v>
      </c>
      <c r="Z3256" s="500"/>
      <c r="AA3256" s="500"/>
      <c r="AB3256" s="500"/>
      <c r="AC3256" s="500"/>
      <c r="AD3256" s="500"/>
      <c r="AE3256" s="500"/>
      <c r="AF3256" s="500"/>
      <c r="AG3256" s="500"/>
      <c r="AH3256" s="500"/>
      <c r="AI3256" s="500"/>
      <c r="AJ3256" s="500"/>
      <c r="AK3256" s="500"/>
      <c r="AL3256" s="500"/>
      <c r="AM3256" s="500"/>
      <c r="AN3256" s="500"/>
      <c r="AO3256" s="500"/>
      <c r="AP3256" s="500"/>
    </row>
    <row r="3257" spans="1:42" ht="16.5" customHeight="1">
      <c r="A3257" s="439"/>
      <c r="B3257" s="439"/>
      <c r="C3257" s="504"/>
      <c r="D3257" s="504"/>
      <c r="E3257" s="504"/>
      <c r="F3257" s="504"/>
      <c r="G3257" s="451" t="s">
        <v>3406</v>
      </c>
      <c r="Z3257" s="500"/>
      <c r="AA3257" s="500"/>
      <c r="AB3257" s="500"/>
      <c r="AC3257" s="500"/>
      <c r="AD3257" s="500"/>
      <c r="AE3257" s="500"/>
      <c r="AF3257" s="500"/>
      <c r="AG3257" s="500"/>
      <c r="AH3257" s="500"/>
      <c r="AI3257" s="500"/>
      <c r="AJ3257" s="500"/>
      <c r="AK3257" s="500"/>
      <c r="AL3257" s="500"/>
      <c r="AM3257" s="500"/>
      <c r="AN3257" s="500"/>
      <c r="AO3257" s="500"/>
      <c r="AP3257" s="500"/>
    </row>
    <row r="3258" spans="1:42" ht="16.5" customHeight="1">
      <c r="A3258" s="434"/>
      <c r="B3258" s="437" t="s">
        <v>3716</v>
      </c>
      <c r="C3258" s="439"/>
      <c r="D3258" s="439"/>
      <c r="E3258" s="439"/>
      <c r="F3258" s="439"/>
      <c r="G3258" s="451" t="s">
        <v>3717</v>
      </c>
      <c r="Z3258" s="500"/>
      <c r="AA3258" s="500"/>
      <c r="AB3258" s="500"/>
      <c r="AC3258" s="500"/>
      <c r="AD3258" s="500"/>
      <c r="AE3258" s="500"/>
      <c r="AF3258" s="500"/>
      <c r="AG3258" s="500"/>
      <c r="AH3258" s="500"/>
      <c r="AI3258" s="500"/>
      <c r="AJ3258" s="500"/>
      <c r="AK3258" s="500"/>
      <c r="AL3258" s="500"/>
      <c r="AM3258" s="500"/>
      <c r="AN3258" s="500"/>
      <c r="AO3258" s="500"/>
      <c r="AP3258" s="500"/>
    </row>
    <row r="3259" spans="1:42" ht="16.5" customHeight="1">
      <c r="A3259" s="439"/>
      <c r="B3259" s="439"/>
      <c r="C3259" s="439"/>
      <c r="D3259" s="439"/>
      <c r="E3259" s="439"/>
      <c r="F3259" s="439"/>
      <c r="G3259" s="451" t="s">
        <v>3406</v>
      </c>
      <c r="Z3259" s="500"/>
      <c r="AA3259" s="500"/>
      <c r="AB3259" s="500"/>
      <c r="AC3259" s="500"/>
      <c r="AD3259" s="500"/>
      <c r="AE3259" s="500"/>
      <c r="AF3259" s="500"/>
      <c r="AG3259" s="500"/>
      <c r="AH3259" s="500"/>
      <c r="AI3259" s="500"/>
      <c r="AJ3259" s="500"/>
      <c r="AK3259" s="500"/>
      <c r="AL3259" s="500"/>
      <c r="AM3259" s="500"/>
      <c r="AN3259" s="500"/>
      <c r="AO3259" s="500"/>
      <c r="AP3259" s="500"/>
    </row>
    <row r="3260" spans="1:42" ht="16.5" customHeight="1">
      <c r="A3260" s="439"/>
      <c r="B3260" s="439"/>
      <c r="C3260" s="439"/>
      <c r="D3260" s="439"/>
      <c r="E3260" s="439"/>
      <c r="F3260" s="439"/>
      <c r="G3260" s="451" t="s">
        <v>3406</v>
      </c>
      <c r="Z3260" s="500"/>
      <c r="AA3260" s="500"/>
      <c r="AB3260" s="500"/>
      <c r="AC3260" s="500"/>
      <c r="AD3260" s="500"/>
      <c r="AE3260" s="500"/>
      <c r="AF3260" s="500"/>
      <c r="AG3260" s="500"/>
      <c r="AH3260" s="500"/>
      <c r="AI3260" s="500"/>
      <c r="AJ3260" s="500"/>
      <c r="AK3260" s="500"/>
      <c r="AL3260" s="500"/>
      <c r="AM3260" s="500"/>
      <c r="AN3260" s="500"/>
      <c r="AO3260" s="500"/>
      <c r="AP3260" s="500"/>
    </row>
    <row r="3261" spans="1:42" ht="16.5" customHeight="1">
      <c r="A3261" s="434"/>
      <c r="B3261" s="437" t="s">
        <v>3718</v>
      </c>
      <c r="C3261" s="439"/>
      <c r="D3261" s="439"/>
      <c r="E3261" s="439"/>
      <c r="F3261" s="439"/>
      <c r="G3261" s="451" t="s">
        <v>3719</v>
      </c>
      <c r="Z3261" s="500"/>
      <c r="AA3261" s="500"/>
      <c r="AB3261" s="500"/>
      <c r="AC3261" s="500"/>
      <c r="AD3261" s="500"/>
      <c r="AE3261" s="500"/>
      <c r="AF3261" s="500"/>
      <c r="AG3261" s="500"/>
      <c r="AH3261" s="500"/>
      <c r="AI3261" s="500"/>
      <c r="AJ3261" s="500"/>
      <c r="AK3261" s="500"/>
      <c r="AL3261" s="500"/>
      <c r="AM3261" s="500"/>
      <c r="AN3261" s="500"/>
      <c r="AO3261" s="500"/>
      <c r="AP3261" s="500"/>
    </row>
    <row r="3262" spans="1:42" ht="16.5" customHeight="1">
      <c r="A3262" s="439"/>
      <c r="B3262" s="439"/>
      <c r="C3262" s="439"/>
      <c r="D3262" s="439"/>
      <c r="E3262" s="439"/>
      <c r="F3262" s="439"/>
      <c r="G3262" s="451" t="s">
        <v>3406</v>
      </c>
      <c r="Z3262" s="500"/>
      <c r="AA3262" s="500"/>
      <c r="AB3262" s="500"/>
      <c r="AC3262" s="500"/>
      <c r="AD3262" s="500"/>
      <c r="AE3262" s="500"/>
      <c r="AF3262" s="500"/>
      <c r="AG3262" s="500"/>
      <c r="AH3262" s="500"/>
      <c r="AI3262" s="500"/>
      <c r="AJ3262" s="500"/>
      <c r="AK3262" s="500"/>
      <c r="AL3262" s="500"/>
      <c r="AM3262" s="500"/>
      <c r="AN3262" s="500"/>
      <c r="AO3262" s="500"/>
      <c r="AP3262" s="500"/>
    </row>
    <row r="3263" spans="1:42" ht="16.5" customHeight="1">
      <c r="A3263" s="439"/>
      <c r="B3263" s="439"/>
      <c r="C3263" s="439"/>
      <c r="D3263" s="439"/>
      <c r="E3263" s="439"/>
      <c r="F3263" s="439"/>
      <c r="G3263" s="451" t="s">
        <v>3406</v>
      </c>
      <c r="Z3263" s="500"/>
      <c r="AA3263" s="500"/>
      <c r="AB3263" s="500"/>
      <c r="AC3263" s="500"/>
      <c r="AD3263" s="500"/>
      <c r="AE3263" s="500"/>
      <c r="AF3263" s="500"/>
      <c r="AG3263" s="500"/>
      <c r="AH3263" s="500"/>
      <c r="AI3263" s="500"/>
      <c r="AJ3263" s="500"/>
      <c r="AK3263" s="500"/>
      <c r="AL3263" s="500"/>
      <c r="AM3263" s="500"/>
      <c r="AN3263" s="500"/>
      <c r="AO3263" s="500"/>
      <c r="AP3263" s="500"/>
    </row>
    <row r="3264" spans="1:42" ht="16.5" customHeight="1">
      <c r="A3264" s="434"/>
      <c r="B3264" s="437" t="s">
        <v>3720</v>
      </c>
      <c r="C3264" s="439"/>
      <c r="D3264" s="439"/>
      <c r="E3264" s="439"/>
      <c r="F3264" s="439"/>
      <c r="G3264" s="451" t="s">
        <v>3721</v>
      </c>
      <c r="Z3264" s="500"/>
      <c r="AA3264" s="500"/>
      <c r="AB3264" s="500"/>
      <c r="AC3264" s="500"/>
      <c r="AD3264" s="500"/>
      <c r="AE3264" s="500"/>
      <c r="AF3264" s="500"/>
      <c r="AG3264" s="500"/>
      <c r="AH3264" s="500"/>
      <c r="AI3264" s="500"/>
      <c r="AJ3264" s="500"/>
      <c r="AK3264" s="500"/>
      <c r="AL3264" s="500"/>
      <c r="AM3264" s="500"/>
      <c r="AN3264" s="500"/>
      <c r="AO3264" s="500"/>
      <c r="AP3264" s="500"/>
    </row>
    <row r="3265" spans="1:42" ht="16.5" customHeight="1">
      <c r="A3265" s="439"/>
      <c r="B3265" s="439"/>
      <c r="C3265" s="439"/>
      <c r="D3265" s="439"/>
      <c r="E3265" s="439"/>
      <c r="F3265" s="439"/>
      <c r="G3265" s="451" t="s">
        <v>3406</v>
      </c>
      <c r="Z3265" s="500"/>
      <c r="AA3265" s="500"/>
      <c r="AB3265" s="500"/>
      <c r="AC3265" s="500"/>
      <c r="AD3265" s="500"/>
      <c r="AE3265" s="500"/>
      <c r="AF3265" s="500"/>
      <c r="AG3265" s="500"/>
      <c r="AH3265" s="500"/>
      <c r="AI3265" s="500"/>
      <c r="AJ3265" s="500"/>
      <c r="AK3265" s="500"/>
      <c r="AL3265" s="500"/>
      <c r="AM3265" s="500"/>
      <c r="AN3265" s="500"/>
      <c r="AO3265" s="500"/>
      <c r="AP3265" s="500"/>
    </row>
    <row r="3266" spans="1:42" ht="16.5" customHeight="1">
      <c r="A3266" s="434"/>
      <c r="B3266" s="437" t="str">
        <f>" q = "&amp;Z3266&amp;" , f = "&amp;AD3266&amp;"/"&amp;AF3266&amp;" = "&amp;AH3266&amp;", K = "&amp;AJ3266&amp;""</f>
        <v xml:space="preserve"> q = 0.7 , f = 1/1.3 = 0.77, K = 0.9</v>
      </c>
      <c r="C3266" s="439"/>
      <c r="D3266" s="439"/>
      <c r="E3266" s="439"/>
      <c r="F3266" s="439"/>
      <c r="G3266" s="451" t="s">
        <v>3696</v>
      </c>
      <c r="Z3266" s="511">
        <v>0.7</v>
      </c>
      <c r="AA3266" s="501" t="s">
        <v>3418</v>
      </c>
      <c r="AB3266" s="512">
        <f>Z3266</f>
        <v>0.7</v>
      </c>
      <c r="AC3266" s="514" t="s">
        <v>3427</v>
      </c>
      <c r="AD3266" s="515">
        <v>1</v>
      </c>
      <c r="AE3266" s="501" t="s">
        <v>3428</v>
      </c>
      <c r="AF3266" s="511">
        <v>1.3</v>
      </c>
      <c r="AG3266" s="501" t="s">
        <v>3418</v>
      </c>
      <c r="AH3266" s="512" t="str">
        <f>TEXT(ROUND(AD3266/AF3266,2),"#,0.00")</f>
        <v>0.77</v>
      </c>
      <c r="AI3266" s="514" t="s">
        <v>3427</v>
      </c>
      <c r="AJ3266" s="511">
        <v>0.9</v>
      </c>
      <c r="AK3266" s="501" t="s">
        <v>3418</v>
      </c>
      <c r="AL3266" s="512">
        <f>AJ3266</f>
        <v>0.9</v>
      </c>
      <c r="AM3266" s="500"/>
      <c r="AN3266" s="500"/>
      <c r="AO3266" s="500"/>
      <c r="AP3266" s="500"/>
    </row>
    <row r="3267" spans="1:42" ht="16.5" customHeight="1">
      <c r="A3267" s="439"/>
      <c r="B3267" s="439"/>
      <c r="C3267" s="439"/>
      <c r="D3267" s="439"/>
      <c r="E3267" s="439"/>
      <c r="F3267" s="439"/>
      <c r="G3267" s="451" t="s">
        <v>3406</v>
      </c>
      <c r="Z3267" s="500"/>
      <c r="AA3267" s="500"/>
      <c r="AB3267" s="500"/>
      <c r="AC3267" s="500"/>
      <c r="AD3267" s="500"/>
      <c r="AE3267" s="500"/>
      <c r="AF3267" s="500"/>
      <c r="AG3267" s="500"/>
      <c r="AH3267" s="500"/>
      <c r="AI3267" s="500"/>
      <c r="AJ3267" s="500"/>
      <c r="AK3267" s="500"/>
      <c r="AL3267" s="500"/>
      <c r="AM3267" s="500"/>
      <c r="AN3267" s="500"/>
      <c r="AO3267" s="500"/>
      <c r="AP3267" s="500"/>
    </row>
    <row r="3268" spans="1:42" ht="16.5" customHeight="1">
      <c r="A3268" s="434"/>
      <c r="B3268" s="437" t="str">
        <f>" Cm = "&amp;Z3268&amp;" sec(135˚) ,E = "&amp;AD3268&amp;" = "&amp;AF3268&amp;""</f>
        <v xml:space="preserve"> Cm = 20 sec(135˚) ,E = 0.6 = 0.60</v>
      </c>
      <c r="C3268" s="439"/>
      <c r="D3268" s="439"/>
      <c r="E3268" s="439"/>
      <c r="F3268" s="439"/>
      <c r="G3268" s="451" t="s">
        <v>3722</v>
      </c>
      <c r="Z3268" s="515">
        <v>20</v>
      </c>
      <c r="AA3268" s="501" t="s">
        <v>3418</v>
      </c>
      <c r="AB3268" s="512">
        <f>Z3268</f>
        <v>20</v>
      </c>
      <c r="AC3268" s="514" t="s">
        <v>3427</v>
      </c>
      <c r="AD3268" s="511">
        <v>0.6</v>
      </c>
      <c r="AE3268" s="501" t="s">
        <v>3418</v>
      </c>
      <c r="AF3268" s="512" t="str">
        <f>TEXT(ROUND(AD3268,2),"#,0.00")</f>
        <v>0.60</v>
      </c>
      <c r="AG3268" s="500"/>
      <c r="AH3268" s="500"/>
      <c r="AI3268" s="500"/>
      <c r="AJ3268" s="500"/>
      <c r="AK3268" s="500"/>
      <c r="AL3268" s="500"/>
      <c r="AM3268" s="500"/>
      <c r="AN3268" s="500"/>
      <c r="AO3268" s="500"/>
      <c r="AP3268" s="500"/>
    </row>
    <row r="3269" spans="1:42" ht="16.5" customHeight="1">
      <c r="A3269" s="439"/>
      <c r="B3269" s="439"/>
      <c r="C3269" s="439"/>
      <c r="D3269" s="439"/>
      <c r="E3269" s="439"/>
      <c r="F3269" s="439"/>
      <c r="G3269" s="451" t="s">
        <v>3406</v>
      </c>
      <c r="Z3269" s="500"/>
      <c r="AA3269" s="500"/>
      <c r="AB3269" s="500"/>
      <c r="AC3269" s="500"/>
      <c r="AD3269" s="500"/>
      <c r="AE3269" s="500"/>
      <c r="AF3269" s="500"/>
      <c r="AG3269" s="500"/>
      <c r="AH3269" s="500"/>
      <c r="AI3269" s="500"/>
      <c r="AJ3269" s="500"/>
      <c r="AK3269" s="500"/>
      <c r="AL3269" s="500"/>
      <c r="AM3269" s="500"/>
      <c r="AN3269" s="500"/>
      <c r="AO3269" s="500"/>
      <c r="AP3269" s="500"/>
    </row>
    <row r="3270" spans="1:42" ht="16.5" customHeight="1">
      <c r="A3270" s="434"/>
      <c r="B3270" s="437" t="str">
        <f>" Q = "&amp;Z3270&amp;"*q*K*f*E/Cm = "&amp;AL3270&amp;" ㎥/hr "</f>
        <v xml:space="preserve"> Q = 3600*q*K*f*E/Cm = 52.39 ㎥/hr </v>
      </c>
      <c r="C3270" s="439"/>
      <c r="D3270" s="439"/>
      <c r="E3270" s="439"/>
      <c r="F3270" s="439"/>
      <c r="G3270" s="451" t="s">
        <v>3673</v>
      </c>
      <c r="Z3270" s="515">
        <v>3600</v>
      </c>
      <c r="AA3270" s="501" t="s">
        <v>3368</v>
      </c>
      <c r="AB3270" s="512">
        <f>AB3266</f>
        <v>0.7</v>
      </c>
      <c r="AC3270" s="501" t="s">
        <v>3368</v>
      </c>
      <c r="AD3270" s="512">
        <f>AL3266</f>
        <v>0.9</v>
      </c>
      <c r="AE3270" s="501" t="s">
        <v>3368</v>
      </c>
      <c r="AF3270" s="512" t="str">
        <f>AH3266</f>
        <v>0.77</v>
      </c>
      <c r="AG3270" s="501" t="s">
        <v>3368</v>
      </c>
      <c r="AH3270" s="512" t="str">
        <f>AF3268</f>
        <v>0.60</v>
      </c>
      <c r="AI3270" s="501" t="s">
        <v>3428</v>
      </c>
      <c r="AJ3270" s="512">
        <f>AB3268</f>
        <v>20</v>
      </c>
      <c r="AK3270" s="501" t="s">
        <v>3418</v>
      </c>
      <c r="AL3270" s="512" t="str">
        <f>TEXT(ROUND(Z3270*AB3266*AL3266*AH3266*AF3268/AB3268,2),"#,0.00")</f>
        <v>52.39</v>
      </c>
      <c r="AM3270" s="500"/>
      <c r="AN3270" s="500"/>
      <c r="AO3270" s="500"/>
      <c r="AP3270" s="500"/>
    </row>
    <row r="3271" spans="1:42" ht="16.5" customHeight="1">
      <c r="A3271" s="439"/>
      <c r="B3271" s="439"/>
      <c r="C3271" s="439"/>
      <c r="D3271" s="439"/>
      <c r="E3271" s="439"/>
      <c r="F3271" s="439"/>
      <c r="G3271" s="451" t="s">
        <v>3406</v>
      </c>
      <c r="Z3271" s="500"/>
      <c r="AA3271" s="500"/>
      <c r="AB3271" s="500"/>
      <c r="AC3271" s="500"/>
      <c r="AD3271" s="500"/>
      <c r="AE3271" s="500"/>
      <c r="AF3271" s="500"/>
      <c r="AG3271" s="500"/>
      <c r="AH3271" s="500"/>
      <c r="AI3271" s="500"/>
      <c r="AJ3271" s="500"/>
      <c r="AK3271" s="500"/>
      <c r="AL3271" s="500"/>
      <c r="AM3271" s="500"/>
      <c r="AN3271" s="500"/>
      <c r="AO3271" s="500"/>
      <c r="AP3271" s="500"/>
    </row>
    <row r="3272" spans="1:42" ht="16.5" customHeight="1">
      <c r="A3272" s="434" t="s">
        <v>3450</v>
      </c>
      <c r="B3272" s="505" t="str">
        <f>" 노 무 비  : "&amp;TEXT(I3272,"#,##0"&amp;IF(I3272&lt;&gt;INT(I3272),".###",""))&amp;" / Q * "&amp;AC3272&amp;" = "&amp;TEXT(C3272,"#,##0.0")&amp;""</f>
        <v xml:space="preserve"> 노 무 비  : 59,020 / Q * 0.9 = 1,013.8</v>
      </c>
      <c r="C3272" s="506">
        <f>E3272+D3272+F3272</f>
        <v>1013.8</v>
      </c>
      <c r="D3272" s="506">
        <f>IF(H3272=0,0,ROUNDDOWN(J3272*H3272,1))</f>
        <v>1013.8</v>
      </c>
      <c r="E3272" s="506">
        <f>IF(H3272=0,0,ROUNDDOWN(K3272*H3272,1))</f>
        <v>0</v>
      </c>
      <c r="F3272" s="506">
        <f>IF(H3272=0,0,ROUNDDOWN(L3272*H3272,1))</f>
        <v>0</v>
      </c>
      <c r="G3272" s="451" t="s">
        <v>3674</v>
      </c>
      <c r="H3272" s="507">
        <f>ROUNDUP(AE3272,14-LEN(ABS(INT(AE3272))))</f>
        <v>1.7178850925799998E-2</v>
      </c>
      <c r="I3272" s="508">
        <f>K3272+J3272+L3272</f>
        <v>59020</v>
      </c>
      <c r="J3272" s="509">
        <f>중기목록표!F10</f>
        <v>59020</v>
      </c>
      <c r="M3272" s="501" t="s">
        <v>3164</v>
      </c>
      <c r="N3272" s="501" t="s">
        <v>3416</v>
      </c>
      <c r="X3272" s="510" t="str">
        <f>중기목록표!B10&amp;" / "&amp;중기목록표!C10</f>
        <v>굴착기(무한궤도) / 0.7㎥</v>
      </c>
      <c r="Y3272" s="433" t="str">
        <f ca="1">HYPERLINK("#"&amp;중기목록표!J2&amp;"!A"&amp;ROW(중기목록표!A10),"X00262 →")</f>
        <v>X00262 →</v>
      </c>
      <c r="Z3272" s="501" t="s">
        <v>3434</v>
      </c>
      <c r="AA3272" s="512" t="str">
        <f>AL3270</f>
        <v>52.39</v>
      </c>
      <c r="AB3272" s="501" t="s">
        <v>3368</v>
      </c>
      <c r="AC3272" s="511">
        <v>0.9</v>
      </c>
      <c r="AD3272" s="501" t="s">
        <v>3418</v>
      </c>
      <c r="AE3272" s="512">
        <f>1/AL3270*AC3272</f>
        <v>1.7178850925749192E-2</v>
      </c>
      <c r="AF3272" s="500"/>
      <c r="AG3272" s="500"/>
      <c r="AH3272" s="500"/>
      <c r="AI3272" s="500"/>
      <c r="AJ3272" s="500"/>
      <c r="AK3272" s="500"/>
      <c r="AL3272" s="500"/>
      <c r="AM3272" s="500"/>
      <c r="AN3272" s="500"/>
      <c r="AO3272" s="500"/>
      <c r="AP3272" s="500"/>
    </row>
    <row r="3273" spans="1:42" ht="16.5" customHeight="1">
      <c r="A3273" s="439"/>
      <c r="B3273" s="439"/>
      <c r="C3273" s="439"/>
      <c r="D3273" s="439"/>
      <c r="E3273" s="439"/>
      <c r="F3273" s="439"/>
      <c r="G3273" s="451" t="s">
        <v>3406</v>
      </c>
      <c r="Z3273" s="500"/>
      <c r="AA3273" s="500"/>
      <c r="AB3273" s="500"/>
      <c r="AC3273" s="500"/>
      <c r="AD3273" s="500"/>
      <c r="AE3273" s="500"/>
      <c r="AF3273" s="500"/>
      <c r="AG3273" s="500"/>
      <c r="AH3273" s="500"/>
      <c r="AI3273" s="500"/>
      <c r="AJ3273" s="500"/>
      <c r="AK3273" s="500"/>
      <c r="AL3273" s="500"/>
      <c r="AM3273" s="500"/>
      <c r="AN3273" s="500"/>
      <c r="AO3273" s="500"/>
      <c r="AP3273" s="500"/>
    </row>
    <row r="3274" spans="1:42" ht="16.5" customHeight="1">
      <c r="A3274" s="434" t="s">
        <v>3452</v>
      </c>
      <c r="B3274" s="505" t="str">
        <f>" 재 료 비  : "&amp;TEXT(I3274,"#,##0"&amp;IF(I3274&lt;&gt;INT(I3274),".###",""))&amp;" / Q * "&amp;AC3274&amp;" = "&amp;TEXT(C3274,"#,##0.0")&amp;""</f>
        <v xml:space="preserve"> 재 료 비  : 19,515 / Q * 0.9 = 335.2</v>
      </c>
      <c r="C3274" s="506">
        <f>E3274+D3274+F3274</f>
        <v>335.2</v>
      </c>
      <c r="D3274" s="506">
        <f>IF(H3274=0,0,ROUNDDOWN(J3274*H3274,1))</f>
        <v>0</v>
      </c>
      <c r="E3274" s="506">
        <f>IF(H3274=0,0,ROUNDDOWN(K3274*H3274,1))</f>
        <v>335.2</v>
      </c>
      <c r="F3274" s="506">
        <f>IF(H3274=0,0,ROUNDDOWN(L3274*H3274,1))</f>
        <v>0</v>
      </c>
      <c r="G3274" s="451" t="s">
        <v>3675</v>
      </c>
      <c r="H3274" s="507">
        <f>ROUNDUP(AE3274,14-LEN(ABS(INT(AE3274))))</f>
        <v>1.7178850925799998E-2</v>
      </c>
      <c r="I3274" s="508">
        <f>K3274+J3274+L3274</f>
        <v>19515</v>
      </c>
      <c r="K3274" s="509">
        <f>중기목록표!G10</f>
        <v>19515</v>
      </c>
      <c r="M3274" s="501" t="s">
        <v>3164</v>
      </c>
      <c r="N3274" s="501" t="s">
        <v>3416</v>
      </c>
      <c r="X3274" s="510" t="str">
        <f>중기목록표!B10&amp;" / "&amp;중기목록표!C10</f>
        <v>굴착기(무한궤도) / 0.7㎥</v>
      </c>
      <c r="Y3274" s="433" t="str">
        <f ca="1">HYPERLINK("#"&amp;중기목록표!J2&amp;"!A"&amp;ROW(중기목록표!A10),"X00262 →")</f>
        <v>X00262 →</v>
      </c>
      <c r="Z3274" s="501" t="s">
        <v>3434</v>
      </c>
      <c r="AA3274" s="512" t="str">
        <f>AL3270</f>
        <v>52.39</v>
      </c>
      <c r="AB3274" s="501" t="s">
        <v>3368</v>
      </c>
      <c r="AC3274" s="511">
        <v>0.9</v>
      </c>
      <c r="AD3274" s="501" t="s">
        <v>3418</v>
      </c>
      <c r="AE3274" s="512">
        <f>1/AL3270*AC3274</f>
        <v>1.7178850925749192E-2</v>
      </c>
      <c r="AF3274" s="500"/>
      <c r="AG3274" s="500"/>
      <c r="AH3274" s="500"/>
      <c r="AI3274" s="500"/>
      <c r="AJ3274" s="500"/>
      <c r="AK3274" s="500"/>
      <c r="AL3274" s="500"/>
      <c r="AM3274" s="500"/>
      <c r="AN3274" s="500"/>
      <c r="AO3274" s="500"/>
      <c r="AP3274" s="500"/>
    </row>
    <row r="3275" spans="1:42" ht="16.5" customHeight="1">
      <c r="A3275" s="439"/>
      <c r="B3275" s="439"/>
      <c r="C3275" s="439"/>
      <c r="D3275" s="439"/>
      <c r="E3275" s="439"/>
      <c r="F3275" s="439"/>
      <c r="G3275" s="451" t="s">
        <v>3406</v>
      </c>
      <c r="Z3275" s="500"/>
      <c r="AA3275" s="500"/>
      <c r="AB3275" s="500"/>
      <c r="AC3275" s="500"/>
      <c r="AD3275" s="500"/>
      <c r="AE3275" s="500"/>
      <c r="AF3275" s="500"/>
      <c r="AG3275" s="500"/>
      <c r="AH3275" s="500"/>
      <c r="AI3275" s="500"/>
      <c r="AJ3275" s="500"/>
      <c r="AK3275" s="500"/>
      <c r="AL3275" s="500"/>
      <c r="AM3275" s="500"/>
      <c r="AN3275" s="500"/>
      <c r="AO3275" s="500"/>
      <c r="AP3275" s="500"/>
    </row>
    <row r="3276" spans="1:42" ht="16.5" customHeight="1">
      <c r="A3276" s="434" t="s">
        <v>3454</v>
      </c>
      <c r="B3276" s="505" t="str">
        <f>" 경    비  : "&amp;TEXT(I3276,"#,##0"&amp;IF(I3276&lt;&gt;INT(I3276),".###",""))&amp;" / Q * "&amp;AC3276&amp;" = "&amp;TEXT(C3276,"#,##0.0")&amp;""</f>
        <v xml:space="preserve"> 경    비  : 24,554 / Q * 0.9 = 421.8</v>
      </c>
      <c r="C3276" s="506">
        <f>E3276+D3276+F3276</f>
        <v>421.8</v>
      </c>
      <c r="D3276" s="506">
        <f>IF(H3276=0,0,ROUNDDOWN(J3276*H3276,1))</f>
        <v>0</v>
      </c>
      <c r="E3276" s="506">
        <f>IF(H3276=0,0,ROUNDDOWN(K3276*H3276,1))</f>
        <v>0</v>
      </c>
      <c r="F3276" s="506">
        <f>IF(H3276=0,0,ROUNDDOWN(L3276*H3276,1))</f>
        <v>421.8</v>
      </c>
      <c r="G3276" s="451" t="s">
        <v>3676</v>
      </c>
      <c r="H3276" s="507">
        <f>ROUNDUP(AE3276,14-LEN(ABS(INT(AE3276))))</f>
        <v>1.7178850925799998E-2</v>
      </c>
      <c r="I3276" s="508">
        <f>K3276+J3276+L3276</f>
        <v>24554</v>
      </c>
      <c r="L3276" s="509">
        <f>중기목록표!H10</f>
        <v>24554</v>
      </c>
      <c r="M3276" s="501" t="s">
        <v>3164</v>
      </c>
      <c r="N3276" s="501" t="s">
        <v>3416</v>
      </c>
      <c r="X3276" s="510" t="str">
        <f>중기목록표!B10&amp;" / "&amp;중기목록표!C10</f>
        <v>굴착기(무한궤도) / 0.7㎥</v>
      </c>
      <c r="Y3276" s="433" t="str">
        <f ca="1">HYPERLINK("#"&amp;중기목록표!J2&amp;"!A"&amp;ROW(중기목록표!A10),"X00262 →")</f>
        <v>X00262 →</v>
      </c>
      <c r="Z3276" s="501" t="s">
        <v>3434</v>
      </c>
      <c r="AA3276" s="512" t="str">
        <f>AL3270</f>
        <v>52.39</v>
      </c>
      <c r="AB3276" s="501" t="s">
        <v>3368</v>
      </c>
      <c r="AC3276" s="511">
        <v>0.9</v>
      </c>
      <c r="AD3276" s="501" t="s">
        <v>3418</v>
      </c>
      <c r="AE3276" s="512">
        <f>1/AL3270*AC3276</f>
        <v>1.7178850925749192E-2</v>
      </c>
      <c r="AF3276" s="500"/>
      <c r="AG3276" s="500"/>
      <c r="AH3276" s="500"/>
      <c r="AI3276" s="500"/>
      <c r="AJ3276" s="500"/>
      <c r="AK3276" s="500"/>
      <c r="AL3276" s="500"/>
      <c r="AM3276" s="500"/>
      <c r="AN3276" s="500"/>
      <c r="AO3276" s="500"/>
      <c r="AP3276" s="500"/>
    </row>
    <row r="3277" spans="1:42" ht="16.5" customHeight="1">
      <c r="A3277" s="439"/>
      <c r="B3277" s="439"/>
      <c r="C3277" s="439"/>
      <c r="D3277" s="439"/>
      <c r="E3277" s="439"/>
      <c r="F3277" s="439"/>
      <c r="G3277" s="451" t="s">
        <v>3406</v>
      </c>
      <c r="Z3277" s="500"/>
      <c r="AA3277" s="500"/>
      <c r="AB3277" s="500"/>
      <c r="AC3277" s="500"/>
      <c r="AD3277" s="500"/>
      <c r="AE3277" s="500"/>
      <c r="AF3277" s="500"/>
      <c r="AG3277" s="500"/>
      <c r="AH3277" s="500"/>
      <c r="AI3277" s="500"/>
      <c r="AJ3277" s="500"/>
      <c r="AK3277" s="500"/>
      <c r="AL3277" s="500"/>
      <c r="AM3277" s="500"/>
      <c r="AN3277" s="500"/>
      <c r="AO3277" s="500"/>
      <c r="AP3277" s="500"/>
    </row>
    <row r="3278" spans="1:42" ht="16.5" customHeight="1">
      <c r="A3278" s="434"/>
      <c r="B3278" s="437" t="s">
        <v>3419</v>
      </c>
      <c r="C3278" s="513">
        <f>E3278+D3278+F3278</f>
        <v>1770.8</v>
      </c>
      <c r="D3278" s="513">
        <f>SUMIF(N3257:N3277,M3278,D3257:D3277)</f>
        <v>1013.8</v>
      </c>
      <c r="E3278" s="513">
        <f>SUMIF(N3257:N3277,M3278,E3257:E3277)</f>
        <v>335.2</v>
      </c>
      <c r="F3278" s="513">
        <f>SUMIF(N3257:N3277,M3278,F3257:F3277)</f>
        <v>421.8</v>
      </c>
      <c r="G3278" s="451" t="s">
        <v>3420</v>
      </c>
      <c r="M3278" s="501" t="s">
        <v>3416</v>
      </c>
      <c r="N3278" s="501" t="s">
        <v>3421</v>
      </c>
      <c r="Z3278" s="500"/>
      <c r="AA3278" s="500"/>
      <c r="AB3278" s="500"/>
      <c r="AC3278" s="500"/>
      <c r="AD3278" s="500"/>
      <c r="AE3278" s="500"/>
      <c r="AF3278" s="500"/>
      <c r="AG3278" s="500"/>
      <c r="AH3278" s="500"/>
      <c r="AI3278" s="500"/>
      <c r="AJ3278" s="500"/>
      <c r="AK3278" s="500"/>
      <c r="AL3278" s="500"/>
      <c r="AM3278" s="500"/>
      <c r="AN3278" s="500"/>
      <c r="AO3278" s="500"/>
      <c r="AP3278" s="500"/>
    </row>
    <row r="3279" spans="1:42" ht="16.5" customHeight="1">
      <c r="A3279" s="439"/>
      <c r="B3279" s="439"/>
      <c r="C3279" s="504"/>
      <c r="D3279" s="504"/>
      <c r="E3279" s="504"/>
      <c r="F3279" s="504"/>
      <c r="G3279" s="451" t="s">
        <v>3406</v>
      </c>
      <c r="Z3279" s="500"/>
      <c r="AA3279" s="500"/>
      <c r="AB3279" s="500"/>
      <c r="AC3279" s="500"/>
      <c r="AD3279" s="500"/>
      <c r="AE3279" s="500"/>
      <c r="AF3279" s="500"/>
      <c r="AG3279" s="500"/>
      <c r="AH3279" s="500"/>
      <c r="AI3279" s="500"/>
      <c r="AJ3279" s="500"/>
      <c r="AK3279" s="500"/>
      <c r="AL3279" s="500"/>
      <c r="AM3279" s="500"/>
      <c r="AN3279" s="500"/>
      <c r="AO3279" s="500"/>
      <c r="AP3279" s="500"/>
    </row>
    <row r="3280" spans="1:42" ht="16.5" customHeight="1">
      <c r="A3280" s="439"/>
      <c r="B3280" s="439"/>
      <c r="C3280" s="439"/>
      <c r="D3280" s="439"/>
      <c r="E3280" s="439"/>
      <c r="F3280" s="439"/>
      <c r="G3280" s="451" t="s">
        <v>3406</v>
      </c>
      <c r="Z3280" s="500"/>
      <c r="AA3280" s="500"/>
      <c r="AB3280" s="500"/>
      <c r="AC3280" s="500"/>
      <c r="AD3280" s="500"/>
      <c r="AE3280" s="500"/>
      <c r="AF3280" s="500"/>
      <c r="AG3280" s="500"/>
      <c r="AH3280" s="500"/>
      <c r="AI3280" s="500"/>
      <c r="AJ3280" s="500"/>
      <c r="AK3280" s="500"/>
      <c r="AL3280" s="500"/>
      <c r="AM3280" s="500"/>
      <c r="AN3280" s="500"/>
      <c r="AO3280" s="500"/>
      <c r="AP3280" s="500"/>
    </row>
    <row r="3281" spans="1:42" ht="16.5" customHeight="1">
      <c r="A3281" s="439"/>
      <c r="B3281" s="439"/>
      <c r="C3281" s="439"/>
      <c r="D3281" s="439"/>
      <c r="E3281" s="439"/>
      <c r="F3281" s="439"/>
      <c r="G3281" s="451" t="s">
        <v>3406</v>
      </c>
      <c r="Z3281" s="500"/>
      <c r="AA3281" s="500"/>
      <c r="AB3281" s="500"/>
      <c r="AC3281" s="500"/>
      <c r="AD3281" s="500"/>
      <c r="AE3281" s="500"/>
      <c r="AF3281" s="500"/>
      <c r="AG3281" s="500"/>
      <c r="AH3281" s="500"/>
      <c r="AI3281" s="500"/>
      <c r="AJ3281" s="500"/>
      <c r="AK3281" s="500"/>
      <c r="AL3281" s="500"/>
      <c r="AM3281" s="500"/>
      <c r="AN3281" s="500"/>
      <c r="AO3281" s="500"/>
      <c r="AP3281" s="500"/>
    </row>
    <row r="3282" spans="1:42" ht="16.5" customHeight="1">
      <c r="A3282" s="434"/>
      <c r="B3282" s="437" t="s">
        <v>3723</v>
      </c>
      <c r="C3282" s="439"/>
      <c r="D3282" s="439"/>
      <c r="E3282" s="439"/>
      <c r="F3282" s="439"/>
      <c r="G3282" s="451" t="s">
        <v>3724</v>
      </c>
      <c r="Z3282" s="500"/>
      <c r="AA3282" s="500"/>
      <c r="AB3282" s="500"/>
      <c r="AC3282" s="500"/>
      <c r="AD3282" s="500"/>
      <c r="AE3282" s="500"/>
      <c r="AF3282" s="500"/>
      <c r="AG3282" s="500"/>
      <c r="AH3282" s="500"/>
      <c r="AI3282" s="500"/>
      <c r="AJ3282" s="500"/>
      <c r="AK3282" s="500"/>
      <c r="AL3282" s="500"/>
      <c r="AM3282" s="500"/>
      <c r="AN3282" s="500"/>
      <c r="AO3282" s="500"/>
      <c r="AP3282" s="500"/>
    </row>
    <row r="3283" spans="1:42" ht="16.5" customHeight="1">
      <c r="A3283" s="439"/>
      <c r="B3283" s="439"/>
      <c r="C3283" s="439"/>
      <c r="D3283" s="439"/>
      <c r="E3283" s="439"/>
      <c r="F3283" s="439"/>
      <c r="G3283" s="451" t="s">
        <v>3406</v>
      </c>
      <c r="Z3283" s="500"/>
      <c r="AA3283" s="500"/>
      <c r="AB3283" s="500"/>
      <c r="AC3283" s="500"/>
      <c r="AD3283" s="500"/>
      <c r="AE3283" s="500"/>
      <c r="AF3283" s="500"/>
      <c r="AG3283" s="500"/>
      <c r="AH3283" s="500"/>
      <c r="AI3283" s="500"/>
      <c r="AJ3283" s="500"/>
      <c r="AK3283" s="500"/>
      <c r="AL3283" s="500"/>
      <c r="AM3283" s="500"/>
      <c r="AN3283" s="500"/>
      <c r="AO3283" s="500"/>
      <c r="AP3283" s="500"/>
    </row>
    <row r="3284" spans="1:42" ht="16.5" customHeight="1">
      <c r="A3284" s="434" t="s">
        <v>3414</v>
      </c>
      <c r="B3284" s="505" t="str">
        <f>" ○ 보통인부 : "&amp;TEXT(I3284,"#,##0"&amp;IF(I3284&lt;&gt;INT(I3284),".###",""))&amp;" * ("&amp;AA3284&amp;"+"&amp;AC3284&amp;")/"&amp;AE3284&amp;" * "&amp;AG3284&amp;" = "&amp;TEXT(C3284,"#,##0.0")&amp;""</f>
        <v xml:space="preserve"> ○ 보통인부 : 172,068 * (0.23+0.31)/2 * 0.1 = 4,645.8</v>
      </c>
      <c r="C3284" s="506">
        <f>E3284+D3284+F3284</f>
        <v>4645.8</v>
      </c>
      <c r="D3284" s="506">
        <f>IF(H3284=0,0,ROUNDDOWN(J3284*H3284,1))</f>
        <v>4645.8</v>
      </c>
      <c r="E3284" s="506">
        <f>IF(H3284=0,0,ROUNDDOWN(K3284*H3284,1))</f>
        <v>0</v>
      </c>
      <c r="F3284" s="506">
        <f>IF(H3284=0,0,ROUNDDOWN(L3284*H3284,1))</f>
        <v>0</v>
      </c>
      <c r="G3284" s="451" t="s">
        <v>3725</v>
      </c>
      <c r="H3284" s="507">
        <f>ROUNDUP(AI3284,14-LEN(ABS(INT(AI3284))))</f>
        <v>2.7E-2</v>
      </c>
      <c r="I3284" s="508">
        <f>K3284+J3284+L3284</f>
        <v>172068</v>
      </c>
      <c r="J3284" s="509">
        <f>노무비목록표!E10</f>
        <v>172068</v>
      </c>
      <c r="M3284" s="501" t="s">
        <v>2363</v>
      </c>
      <c r="N3284" s="501" t="s">
        <v>3416</v>
      </c>
      <c r="X3284" s="510" t="str">
        <f>노무비목록표!B10&amp;" / "&amp;노무비목록표!C10</f>
        <v xml:space="preserve">보통인부 / </v>
      </c>
      <c r="Y3284" s="433" t="str">
        <f ca="1">HYPERLINK("#"&amp;노무비목록표!G2&amp;"!A"&amp;ROW(노무비목록표!A10),"L00017 →")</f>
        <v>L00017 →</v>
      </c>
      <c r="Z3284" s="501" t="s">
        <v>3726</v>
      </c>
      <c r="AA3284" s="511">
        <v>0.23</v>
      </c>
      <c r="AB3284" s="501" t="s">
        <v>3468</v>
      </c>
      <c r="AC3284" s="511">
        <v>0.31</v>
      </c>
      <c r="AD3284" s="501" t="s">
        <v>3475</v>
      </c>
      <c r="AE3284" s="515">
        <v>2</v>
      </c>
      <c r="AF3284" s="501" t="s">
        <v>3368</v>
      </c>
      <c r="AG3284" s="511">
        <v>0.1</v>
      </c>
      <c r="AH3284" s="501" t="s">
        <v>3418</v>
      </c>
      <c r="AI3284" s="512">
        <f>1*(AA3284+AC3284)/AE3284*AG3284</f>
        <v>2.7000000000000003E-2</v>
      </c>
      <c r="AJ3284" s="500"/>
      <c r="AK3284" s="500"/>
      <c r="AL3284" s="500"/>
      <c r="AM3284" s="500"/>
      <c r="AN3284" s="500"/>
      <c r="AO3284" s="500"/>
      <c r="AP3284" s="500"/>
    </row>
    <row r="3285" spans="1:42" ht="16.5" customHeight="1">
      <c r="A3285" s="439"/>
      <c r="B3285" s="439"/>
      <c r="C3285" s="439"/>
      <c r="D3285" s="439"/>
      <c r="E3285" s="439"/>
      <c r="F3285" s="439"/>
      <c r="G3285" s="451" t="s">
        <v>3406</v>
      </c>
      <c r="Z3285" s="500"/>
      <c r="AA3285" s="500"/>
      <c r="AB3285" s="500"/>
      <c r="AC3285" s="500"/>
      <c r="AD3285" s="500"/>
      <c r="AE3285" s="500"/>
      <c r="AF3285" s="500"/>
      <c r="AG3285" s="500"/>
      <c r="AH3285" s="500"/>
      <c r="AI3285" s="500"/>
      <c r="AJ3285" s="500"/>
      <c r="AK3285" s="500"/>
      <c r="AL3285" s="500"/>
      <c r="AM3285" s="500"/>
      <c r="AN3285" s="500"/>
      <c r="AO3285" s="500"/>
      <c r="AP3285" s="500"/>
    </row>
    <row r="3286" spans="1:42" ht="16.5" customHeight="1">
      <c r="A3286" s="434"/>
      <c r="B3286" s="437" t="s">
        <v>3419</v>
      </c>
      <c r="C3286" s="513">
        <f>E3286+D3286+F3286</f>
        <v>4645.8</v>
      </c>
      <c r="D3286" s="513">
        <f>SUMIF(N3279:N3285,M3286,D3279:D3285)</f>
        <v>4645.8</v>
      </c>
      <c r="E3286" s="513">
        <f>SUMIF(N3279:N3285,M3286,E3279:E3285)</f>
        <v>0</v>
      </c>
      <c r="F3286" s="513">
        <f>SUMIF(N3279:N3285,M3286,F3279:F3285)</f>
        <v>0</v>
      </c>
      <c r="G3286" s="451" t="s">
        <v>3420</v>
      </c>
      <c r="M3286" s="501" t="s">
        <v>3416</v>
      </c>
      <c r="N3286" s="501" t="s">
        <v>3421</v>
      </c>
      <c r="Z3286" s="500"/>
      <c r="AA3286" s="500"/>
      <c r="AB3286" s="500"/>
      <c r="AC3286" s="500"/>
      <c r="AD3286" s="500"/>
      <c r="AE3286" s="500"/>
      <c r="AF3286" s="500"/>
      <c r="AG3286" s="500"/>
      <c r="AH3286" s="500"/>
      <c r="AI3286" s="500"/>
      <c r="AJ3286" s="500"/>
      <c r="AK3286" s="500"/>
      <c r="AL3286" s="500"/>
      <c r="AM3286" s="500"/>
      <c r="AN3286" s="500"/>
      <c r="AO3286" s="500"/>
      <c r="AP3286" s="500"/>
    </row>
    <row r="3287" spans="1:42" ht="16.5" customHeight="1">
      <c r="A3287" s="439"/>
      <c r="B3287" s="439"/>
      <c r="C3287" s="504"/>
      <c r="D3287" s="504"/>
      <c r="E3287" s="504"/>
      <c r="F3287" s="504"/>
      <c r="G3287" s="451" t="s">
        <v>3406</v>
      </c>
      <c r="Z3287" s="500"/>
      <c r="AA3287" s="500"/>
      <c r="AB3287" s="500"/>
      <c r="AC3287" s="500"/>
      <c r="AD3287" s="500"/>
      <c r="AE3287" s="500"/>
      <c r="AF3287" s="500"/>
      <c r="AG3287" s="500"/>
      <c r="AH3287" s="500"/>
      <c r="AI3287" s="500"/>
      <c r="AJ3287" s="500"/>
      <c r="AK3287" s="500"/>
      <c r="AL3287" s="500"/>
      <c r="AM3287" s="500"/>
      <c r="AN3287" s="500"/>
      <c r="AO3287" s="500"/>
      <c r="AP3287" s="500"/>
    </row>
    <row r="3288" spans="1:42" ht="16.5" customHeight="1">
      <c r="A3288" s="439"/>
      <c r="B3288" s="439"/>
      <c r="C3288" s="439"/>
      <c r="D3288" s="439"/>
      <c r="E3288" s="439"/>
      <c r="F3288" s="439"/>
      <c r="G3288" s="451" t="s">
        <v>3406</v>
      </c>
      <c r="Z3288" s="500"/>
      <c r="AA3288" s="500"/>
      <c r="AB3288" s="500"/>
      <c r="AC3288" s="500"/>
      <c r="AD3288" s="500"/>
      <c r="AE3288" s="500"/>
      <c r="AF3288" s="500"/>
      <c r="AG3288" s="500"/>
      <c r="AH3288" s="500"/>
      <c r="AI3288" s="500"/>
      <c r="AJ3288" s="500"/>
      <c r="AK3288" s="500"/>
      <c r="AL3288" s="500"/>
      <c r="AM3288" s="500"/>
      <c r="AN3288" s="500"/>
      <c r="AO3288" s="500"/>
      <c r="AP3288" s="500"/>
    </row>
    <row r="3289" spans="1:42" ht="16.5" customHeight="1">
      <c r="A3289" s="434"/>
      <c r="B3289" s="437" t="s">
        <v>3440</v>
      </c>
      <c r="C3289" s="513">
        <f>E3289+D3289+F3289</f>
        <v>6416.6</v>
      </c>
      <c r="D3289" s="513">
        <f>SUMIF(N3257:N3288,M3289,D3257:D3288)</f>
        <v>5659.6</v>
      </c>
      <c r="E3289" s="513">
        <f>SUMIF(N3257:N3288,M3289,E3257:E3288)</f>
        <v>335.2</v>
      </c>
      <c r="F3289" s="513">
        <f>SUMIF(N3257:N3288,M3289,F3257:F3288)</f>
        <v>421.8</v>
      </c>
      <c r="G3289" s="451" t="s">
        <v>3484</v>
      </c>
      <c r="M3289" s="501" t="s">
        <v>3421</v>
      </c>
      <c r="N3289" s="501" t="s">
        <v>2354</v>
      </c>
      <c r="Z3289" s="500"/>
      <c r="AA3289" s="500"/>
      <c r="AB3289" s="500"/>
      <c r="AC3289" s="500"/>
      <c r="AD3289" s="500"/>
      <c r="AE3289" s="500"/>
      <c r="AF3289" s="500"/>
      <c r="AG3289" s="500"/>
      <c r="AH3289" s="500"/>
      <c r="AI3289" s="500"/>
      <c r="AJ3289" s="500"/>
      <c r="AK3289" s="500"/>
      <c r="AL3289" s="500"/>
      <c r="AM3289" s="500"/>
      <c r="AN3289" s="500"/>
      <c r="AO3289" s="500"/>
      <c r="AP3289" s="500"/>
    </row>
    <row r="3290" spans="1:42" ht="16.5" customHeight="1">
      <c r="A3290" s="439"/>
      <c r="B3290" s="439"/>
      <c r="C3290" s="504"/>
      <c r="D3290" s="504"/>
      <c r="E3290" s="504"/>
      <c r="F3290" s="504"/>
      <c r="Z3290" s="500"/>
      <c r="AA3290" s="500"/>
      <c r="AB3290" s="500"/>
      <c r="AC3290" s="500"/>
      <c r="AD3290" s="500"/>
      <c r="AE3290" s="500"/>
      <c r="AF3290" s="500"/>
      <c r="AG3290" s="500"/>
      <c r="AH3290" s="500"/>
      <c r="AI3290" s="500"/>
      <c r="AJ3290" s="500"/>
      <c r="AK3290" s="500"/>
      <c r="AL3290" s="500"/>
      <c r="AM3290" s="500"/>
      <c r="AN3290" s="500"/>
      <c r="AO3290" s="500"/>
      <c r="AP3290" s="500"/>
    </row>
    <row r="3291" spans="1:42" ht="16.5" customHeight="1">
      <c r="A3291" s="439"/>
      <c r="B3291" s="439"/>
      <c r="C3291" s="439"/>
      <c r="D3291" s="439"/>
      <c r="E3291" s="439"/>
      <c r="F3291" s="439"/>
      <c r="Z3291" s="500"/>
      <c r="AA3291" s="500"/>
      <c r="AB3291" s="500"/>
      <c r="AC3291" s="500"/>
      <c r="AD3291" s="500"/>
      <c r="AE3291" s="500"/>
      <c r="AF3291" s="500"/>
      <c r="AG3291" s="500"/>
      <c r="AH3291" s="500"/>
      <c r="AI3291" s="500"/>
      <c r="AJ3291" s="500"/>
      <c r="AK3291" s="500"/>
      <c r="AL3291" s="500"/>
      <c r="AM3291" s="500"/>
      <c r="AN3291" s="500"/>
      <c r="AO3291" s="500"/>
      <c r="AP3291" s="500"/>
    </row>
    <row r="3292" spans="1:42" ht="16.5" customHeight="1">
      <c r="A3292" s="439"/>
      <c r="B3292" s="439"/>
      <c r="C3292" s="439"/>
      <c r="D3292" s="439"/>
      <c r="E3292" s="439"/>
      <c r="F3292" s="439"/>
      <c r="Z3292" s="500"/>
      <c r="AA3292" s="500"/>
      <c r="AB3292" s="500"/>
      <c r="AC3292" s="500"/>
      <c r="AD3292" s="500"/>
      <c r="AE3292" s="500"/>
      <c r="AF3292" s="500"/>
      <c r="AG3292" s="500"/>
      <c r="AH3292" s="500"/>
      <c r="AI3292" s="500"/>
      <c r="AJ3292" s="500"/>
      <c r="AK3292" s="500"/>
      <c r="AL3292" s="500"/>
      <c r="AM3292" s="500"/>
      <c r="AN3292" s="500"/>
      <c r="AO3292" s="500"/>
      <c r="AP3292" s="500"/>
    </row>
    <row r="3293" spans="1:42" ht="16.5" customHeight="1">
      <c r="A3293" s="439"/>
      <c r="B3293" s="439"/>
      <c r="C3293" s="439"/>
      <c r="D3293" s="439"/>
      <c r="E3293" s="439"/>
      <c r="F3293" s="439"/>
      <c r="Z3293" s="500"/>
      <c r="AA3293" s="500"/>
      <c r="AB3293" s="500"/>
      <c r="AC3293" s="500"/>
      <c r="AD3293" s="500"/>
      <c r="AE3293" s="500"/>
      <c r="AF3293" s="500"/>
      <c r="AG3293" s="500"/>
      <c r="AH3293" s="500"/>
      <c r="AI3293" s="500"/>
      <c r="AJ3293" s="500"/>
      <c r="AK3293" s="500"/>
      <c r="AL3293" s="500"/>
      <c r="AM3293" s="500"/>
      <c r="AN3293" s="500"/>
      <c r="AO3293" s="500"/>
      <c r="AP3293" s="500"/>
    </row>
    <row r="3294" spans="1:42" ht="16.5" customHeight="1">
      <c r="A3294" s="439"/>
      <c r="B3294" s="439"/>
      <c r="C3294" s="439"/>
      <c r="D3294" s="439"/>
      <c r="E3294" s="439"/>
      <c r="F3294" s="439"/>
      <c r="Z3294" s="500"/>
      <c r="AA3294" s="500"/>
      <c r="AB3294" s="500"/>
      <c r="AC3294" s="500"/>
      <c r="AD3294" s="500"/>
      <c r="AE3294" s="500"/>
      <c r="AF3294" s="500"/>
      <c r="AG3294" s="500"/>
      <c r="AH3294" s="500"/>
      <c r="AI3294" s="500"/>
      <c r="AJ3294" s="500"/>
      <c r="AK3294" s="500"/>
      <c r="AL3294" s="500"/>
      <c r="AM3294" s="500"/>
      <c r="AN3294" s="500"/>
      <c r="AO3294" s="500"/>
      <c r="AP3294" s="500"/>
    </row>
    <row r="3295" spans="1:42" ht="16.5" customHeight="1">
      <c r="A3295" s="439"/>
      <c r="B3295" s="439"/>
      <c r="C3295" s="439"/>
      <c r="D3295" s="439"/>
      <c r="E3295" s="439"/>
      <c r="F3295" s="439"/>
      <c r="Z3295" s="500"/>
      <c r="AA3295" s="500"/>
      <c r="AB3295" s="500"/>
      <c r="AC3295" s="500"/>
      <c r="AD3295" s="500"/>
      <c r="AE3295" s="500"/>
      <c r="AF3295" s="500"/>
      <c r="AG3295" s="500"/>
      <c r="AH3295" s="500"/>
      <c r="AI3295" s="500"/>
      <c r="AJ3295" s="500"/>
      <c r="AK3295" s="500"/>
      <c r="AL3295" s="500"/>
      <c r="AM3295" s="500"/>
      <c r="AN3295" s="500"/>
      <c r="AO3295" s="500"/>
      <c r="AP3295" s="500"/>
    </row>
    <row r="3296" spans="1:42" ht="16.5" customHeight="1">
      <c r="A3296" s="439"/>
      <c r="B3296" s="439"/>
      <c r="C3296" s="439"/>
      <c r="D3296" s="439"/>
      <c r="E3296" s="439"/>
      <c r="F3296" s="439"/>
      <c r="Z3296" s="500"/>
      <c r="AA3296" s="500"/>
      <c r="AB3296" s="500"/>
      <c r="AC3296" s="500"/>
      <c r="AD3296" s="500"/>
      <c r="AE3296" s="500"/>
      <c r="AF3296" s="500"/>
      <c r="AG3296" s="500"/>
      <c r="AH3296" s="500"/>
      <c r="AI3296" s="500"/>
      <c r="AJ3296" s="500"/>
      <c r="AK3296" s="500"/>
      <c r="AL3296" s="500"/>
      <c r="AM3296" s="500"/>
      <c r="AN3296" s="500"/>
      <c r="AO3296" s="500"/>
      <c r="AP3296" s="500"/>
    </row>
    <row r="3297" spans="1:42" ht="16.5" customHeight="1">
      <c r="A3297" s="439"/>
      <c r="B3297" s="439"/>
      <c r="C3297" s="439"/>
      <c r="D3297" s="439"/>
      <c r="E3297" s="439"/>
      <c r="F3297" s="439"/>
      <c r="Z3297" s="500"/>
      <c r="AA3297" s="500"/>
      <c r="AB3297" s="500"/>
      <c r="AC3297" s="500"/>
      <c r="AD3297" s="500"/>
      <c r="AE3297" s="500"/>
      <c r="AF3297" s="500"/>
      <c r="AG3297" s="500"/>
      <c r="AH3297" s="500"/>
      <c r="AI3297" s="500"/>
      <c r="AJ3297" s="500"/>
      <c r="AK3297" s="500"/>
      <c r="AL3297" s="500"/>
      <c r="AM3297" s="500"/>
      <c r="AN3297" s="500"/>
      <c r="AO3297" s="500"/>
      <c r="AP3297" s="500"/>
    </row>
    <row r="3298" spans="1:42" ht="16.5" customHeight="1">
      <c r="A3298" s="439"/>
      <c r="B3298" s="439"/>
      <c r="C3298" s="439"/>
      <c r="D3298" s="439"/>
      <c r="E3298" s="439"/>
      <c r="F3298" s="439"/>
      <c r="Z3298" s="500"/>
      <c r="AA3298" s="500"/>
      <c r="AB3298" s="500"/>
      <c r="AC3298" s="500"/>
      <c r="AD3298" s="500"/>
      <c r="AE3298" s="500"/>
      <c r="AF3298" s="500"/>
      <c r="AG3298" s="500"/>
      <c r="AH3298" s="500"/>
      <c r="AI3298" s="500"/>
      <c r="AJ3298" s="500"/>
      <c r="AK3298" s="500"/>
      <c r="AL3298" s="500"/>
      <c r="AM3298" s="500"/>
      <c r="AN3298" s="500"/>
      <c r="AO3298" s="500"/>
      <c r="AP3298" s="500"/>
    </row>
    <row r="3299" spans="1:42" ht="16.5" customHeight="1">
      <c r="A3299" s="439"/>
      <c r="B3299" s="439"/>
      <c r="C3299" s="439"/>
      <c r="D3299" s="439"/>
      <c r="E3299" s="439"/>
      <c r="F3299" s="439"/>
      <c r="Z3299" s="500"/>
      <c r="AA3299" s="500"/>
      <c r="AB3299" s="500"/>
      <c r="AC3299" s="500"/>
      <c r="AD3299" s="500"/>
      <c r="AE3299" s="500"/>
      <c r="AF3299" s="500"/>
      <c r="AG3299" s="500"/>
      <c r="AH3299" s="500"/>
      <c r="AI3299" s="500"/>
      <c r="AJ3299" s="500"/>
      <c r="AK3299" s="500"/>
      <c r="AL3299" s="500"/>
      <c r="AM3299" s="500"/>
      <c r="AN3299" s="500"/>
      <c r="AO3299" s="500"/>
      <c r="AP3299" s="500"/>
    </row>
    <row r="3300" spans="1:42" ht="16.5" customHeight="1">
      <c r="A3300" s="439"/>
      <c r="B3300" s="439"/>
      <c r="C3300" s="439"/>
      <c r="D3300" s="439"/>
      <c r="E3300" s="439"/>
      <c r="F3300" s="439"/>
      <c r="Z3300" s="500"/>
      <c r="AA3300" s="500"/>
      <c r="AB3300" s="500"/>
      <c r="AC3300" s="500"/>
      <c r="AD3300" s="500"/>
      <c r="AE3300" s="500"/>
      <c r="AF3300" s="500"/>
      <c r="AG3300" s="500"/>
      <c r="AH3300" s="500"/>
      <c r="AI3300" s="500"/>
      <c r="AJ3300" s="500"/>
      <c r="AK3300" s="500"/>
      <c r="AL3300" s="500"/>
      <c r="AM3300" s="500"/>
      <c r="AN3300" s="500"/>
      <c r="AO3300" s="500"/>
      <c r="AP3300" s="500"/>
    </row>
    <row r="3301" spans="1:42" ht="16.5" customHeight="1">
      <c r="A3301" s="439"/>
      <c r="B3301" s="439"/>
      <c r="C3301" s="439"/>
      <c r="D3301" s="439"/>
      <c r="E3301" s="439"/>
      <c r="F3301" s="439"/>
      <c r="Z3301" s="500"/>
      <c r="AA3301" s="500"/>
      <c r="AB3301" s="500"/>
      <c r="AC3301" s="500"/>
      <c r="AD3301" s="500"/>
      <c r="AE3301" s="500"/>
      <c r="AF3301" s="500"/>
      <c r="AG3301" s="500"/>
      <c r="AH3301" s="500"/>
      <c r="AI3301" s="500"/>
      <c r="AJ3301" s="500"/>
      <c r="AK3301" s="500"/>
      <c r="AL3301" s="500"/>
      <c r="AM3301" s="500"/>
      <c r="AN3301" s="500"/>
      <c r="AO3301" s="500"/>
      <c r="AP3301" s="500"/>
    </row>
    <row r="3302" spans="1:42" ht="16.5" customHeight="1">
      <c r="A3302" s="439"/>
      <c r="B3302" s="439"/>
      <c r="C3302" s="439"/>
      <c r="D3302" s="439"/>
      <c r="E3302" s="439"/>
      <c r="F3302" s="439"/>
      <c r="Z3302" s="500"/>
      <c r="AA3302" s="500"/>
      <c r="AB3302" s="500"/>
      <c r="AC3302" s="500"/>
      <c r="AD3302" s="500"/>
      <c r="AE3302" s="500"/>
      <c r="AF3302" s="500"/>
      <c r="AG3302" s="500"/>
      <c r="AH3302" s="500"/>
      <c r="AI3302" s="500"/>
      <c r="AJ3302" s="500"/>
      <c r="AK3302" s="500"/>
      <c r="AL3302" s="500"/>
      <c r="AM3302" s="500"/>
      <c r="AN3302" s="500"/>
      <c r="AO3302" s="500"/>
      <c r="AP3302" s="500"/>
    </row>
    <row r="3303" spans="1:42" ht="16.5" customHeight="1">
      <c r="A3303" s="497"/>
      <c r="B3303" s="497"/>
      <c r="C3303" s="497"/>
      <c r="D3303" s="497"/>
      <c r="E3303" s="497"/>
      <c r="F3303" s="497"/>
      <c r="Z3303" s="500"/>
      <c r="AA3303" s="500"/>
      <c r="AB3303" s="500"/>
      <c r="AC3303" s="500"/>
      <c r="AD3303" s="500"/>
      <c r="AE3303" s="500"/>
      <c r="AF3303" s="500"/>
      <c r="AG3303" s="500"/>
      <c r="AH3303" s="500"/>
      <c r="AI3303" s="500"/>
      <c r="AJ3303" s="500"/>
      <c r="AK3303" s="500"/>
      <c r="AL3303" s="500"/>
      <c r="AM3303" s="500"/>
      <c r="AN3303" s="500"/>
      <c r="AO3303" s="500"/>
      <c r="AP3303" s="500"/>
    </row>
    <row r="3304" spans="1:42" ht="16.5" customHeight="1">
      <c r="A3304" s="616" t="s">
        <v>3487</v>
      </c>
      <c r="B3304" s="605"/>
      <c r="C3304" s="446">
        <f>E3304+D3304+F3304</f>
        <v>6415</v>
      </c>
      <c r="D3304" s="453">
        <f>ROUNDDOWN(SUMIF(N3257:N3289,M3304,D3257:D3289),0)</f>
        <v>5659</v>
      </c>
      <c r="E3304" s="454">
        <f>ROUNDDOWN(SUMIF(N3257:N3289,M3304,E3257:E3289),0)</f>
        <v>335</v>
      </c>
      <c r="F3304" s="446">
        <f>ROUNDDOWN(SUMIF(N3257:N3289,M3304,F3257:F3289),0)</f>
        <v>421</v>
      </c>
      <c r="M3304" s="501" t="s">
        <v>2354</v>
      </c>
      <c r="Z3304" s="500"/>
      <c r="AA3304" s="500"/>
      <c r="AB3304" s="500"/>
      <c r="AC3304" s="500"/>
      <c r="AD3304" s="500"/>
      <c r="AE3304" s="500"/>
      <c r="AF3304" s="500"/>
      <c r="AG3304" s="500"/>
      <c r="AH3304" s="500"/>
      <c r="AI3304" s="500"/>
      <c r="AJ3304" s="500"/>
      <c r="AK3304" s="500"/>
      <c r="AL3304" s="500"/>
      <c r="AM3304" s="500"/>
      <c r="AN3304" s="500"/>
      <c r="AO3304" s="500"/>
      <c r="AP3304" s="500"/>
    </row>
    <row r="3305" spans="1:42" ht="16.5" customHeight="1">
      <c r="A3305" s="502" t="s">
        <v>3358</v>
      </c>
      <c r="B3305" s="503" t="s">
        <v>3359</v>
      </c>
      <c r="C3305" s="615">
        <f>C3354</f>
        <v>7809</v>
      </c>
      <c r="D3305" s="615">
        <f>D3354</f>
        <v>7053</v>
      </c>
      <c r="E3305" s="615">
        <f>E3354</f>
        <v>335</v>
      </c>
      <c r="F3305" s="615">
        <f>F3354</f>
        <v>421</v>
      </c>
      <c r="G3305" s="486" t="str">
        <f>HYPERLINK("#G"&amp;ROW(G3339),"_x0005_`BDCOD|D01272_x0007_`POSS|"&amp;ROW(G3307)&amp;"_x0007_`POSE|"&amp;ROW(G3339)&amp;"_x0007_`")</f>
        <v>_x0005_`BDCOD|D01272_x0007_`POSS|3307_x0007_`POSE|3339_x0007_`</v>
      </c>
      <c r="Z3305" s="500"/>
      <c r="AA3305" s="500"/>
      <c r="AB3305" s="500"/>
      <c r="AC3305" s="500"/>
      <c r="AD3305" s="500"/>
      <c r="AE3305" s="500"/>
      <c r="AF3305" s="500"/>
      <c r="AG3305" s="500"/>
      <c r="AH3305" s="500"/>
      <c r="AI3305" s="500"/>
      <c r="AJ3305" s="500"/>
      <c r="AK3305" s="500"/>
      <c r="AL3305" s="500"/>
      <c r="AM3305" s="500"/>
      <c r="AN3305" s="500"/>
      <c r="AO3305" s="500"/>
      <c r="AP3305" s="500"/>
    </row>
    <row r="3306" spans="1:42" ht="16.5" customHeight="1">
      <c r="A3306" s="485"/>
      <c r="B3306" s="503" t="s">
        <v>3727</v>
      </c>
      <c r="C3306" s="593"/>
      <c r="D3306" s="593"/>
      <c r="E3306" s="593"/>
      <c r="F3306" s="593"/>
      <c r="M3306" s="501" t="s">
        <v>3359</v>
      </c>
      <c r="Z3306" s="500"/>
      <c r="AA3306" s="500"/>
      <c r="AB3306" s="500"/>
      <c r="AC3306" s="500"/>
      <c r="AD3306" s="500"/>
      <c r="AE3306" s="500"/>
      <c r="AF3306" s="500"/>
      <c r="AG3306" s="500"/>
      <c r="AH3306" s="500"/>
      <c r="AI3306" s="500"/>
      <c r="AJ3306" s="500"/>
      <c r="AK3306" s="500"/>
      <c r="AL3306" s="500"/>
      <c r="AM3306" s="500"/>
      <c r="AN3306" s="500"/>
      <c r="AO3306" s="500"/>
      <c r="AP3306" s="500"/>
    </row>
    <row r="3307" spans="1:42" ht="16.5" customHeight="1">
      <c r="A3307" s="439"/>
      <c r="B3307" s="439"/>
      <c r="C3307" s="504"/>
      <c r="D3307" s="504"/>
      <c r="E3307" s="504"/>
      <c r="F3307" s="504"/>
      <c r="G3307" s="451" t="s">
        <v>3406</v>
      </c>
      <c r="Z3307" s="500"/>
      <c r="AA3307" s="500"/>
      <c r="AB3307" s="500"/>
      <c r="AC3307" s="500"/>
      <c r="AD3307" s="500"/>
      <c r="AE3307" s="500"/>
      <c r="AF3307" s="500"/>
      <c r="AG3307" s="500"/>
      <c r="AH3307" s="500"/>
      <c r="AI3307" s="500"/>
      <c r="AJ3307" s="500"/>
      <c r="AK3307" s="500"/>
      <c r="AL3307" s="500"/>
      <c r="AM3307" s="500"/>
      <c r="AN3307" s="500"/>
      <c r="AO3307" s="500"/>
      <c r="AP3307" s="500"/>
    </row>
    <row r="3308" spans="1:42" ht="16.5" customHeight="1">
      <c r="A3308" s="434"/>
      <c r="B3308" s="437" t="s">
        <v>3728</v>
      </c>
      <c r="C3308" s="439"/>
      <c r="D3308" s="439"/>
      <c r="E3308" s="439"/>
      <c r="F3308" s="439"/>
      <c r="G3308" s="451" t="s">
        <v>3729</v>
      </c>
      <c r="Z3308" s="500"/>
      <c r="AA3308" s="500"/>
      <c r="AB3308" s="500"/>
      <c r="AC3308" s="500"/>
      <c r="AD3308" s="500"/>
      <c r="AE3308" s="500"/>
      <c r="AF3308" s="500"/>
      <c r="AG3308" s="500"/>
      <c r="AH3308" s="500"/>
      <c r="AI3308" s="500"/>
      <c r="AJ3308" s="500"/>
      <c r="AK3308" s="500"/>
      <c r="AL3308" s="500"/>
      <c r="AM3308" s="500"/>
      <c r="AN3308" s="500"/>
      <c r="AO3308" s="500"/>
      <c r="AP3308" s="500"/>
    </row>
    <row r="3309" spans="1:42" ht="16.5" customHeight="1">
      <c r="A3309" s="439"/>
      <c r="B3309" s="439"/>
      <c r="C3309" s="439"/>
      <c r="D3309" s="439"/>
      <c r="E3309" s="439"/>
      <c r="F3309" s="439"/>
      <c r="G3309" s="451" t="s">
        <v>3406</v>
      </c>
      <c r="Z3309" s="500"/>
      <c r="AA3309" s="500"/>
      <c r="AB3309" s="500"/>
      <c r="AC3309" s="500"/>
      <c r="AD3309" s="500"/>
      <c r="AE3309" s="500"/>
      <c r="AF3309" s="500"/>
      <c r="AG3309" s="500"/>
      <c r="AH3309" s="500"/>
      <c r="AI3309" s="500"/>
      <c r="AJ3309" s="500"/>
      <c r="AK3309" s="500"/>
      <c r="AL3309" s="500"/>
      <c r="AM3309" s="500"/>
      <c r="AN3309" s="500"/>
      <c r="AO3309" s="500"/>
      <c r="AP3309" s="500"/>
    </row>
    <row r="3310" spans="1:42" ht="16.5" customHeight="1">
      <c r="A3310" s="439"/>
      <c r="B3310" s="439"/>
      <c r="C3310" s="439"/>
      <c r="D3310" s="439"/>
      <c r="E3310" s="439"/>
      <c r="F3310" s="439"/>
      <c r="G3310" s="451" t="s">
        <v>3406</v>
      </c>
      <c r="Z3310" s="500"/>
      <c r="AA3310" s="500"/>
      <c r="AB3310" s="500"/>
      <c r="AC3310" s="500"/>
      <c r="AD3310" s="500"/>
      <c r="AE3310" s="500"/>
      <c r="AF3310" s="500"/>
      <c r="AG3310" s="500"/>
      <c r="AH3310" s="500"/>
      <c r="AI3310" s="500"/>
      <c r="AJ3310" s="500"/>
      <c r="AK3310" s="500"/>
      <c r="AL3310" s="500"/>
      <c r="AM3310" s="500"/>
      <c r="AN3310" s="500"/>
      <c r="AO3310" s="500"/>
      <c r="AP3310" s="500"/>
    </row>
    <row r="3311" spans="1:42" ht="16.5" customHeight="1">
      <c r="A3311" s="434"/>
      <c r="B3311" s="437" t="s">
        <v>3718</v>
      </c>
      <c r="C3311" s="439"/>
      <c r="D3311" s="439"/>
      <c r="E3311" s="439"/>
      <c r="F3311" s="439"/>
      <c r="G3311" s="451" t="s">
        <v>3719</v>
      </c>
      <c r="Z3311" s="500"/>
      <c r="AA3311" s="500"/>
      <c r="AB3311" s="500"/>
      <c r="AC3311" s="500"/>
      <c r="AD3311" s="500"/>
      <c r="AE3311" s="500"/>
      <c r="AF3311" s="500"/>
      <c r="AG3311" s="500"/>
      <c r="AH3311" s="500"/>
      <c r="AI3311" s="500"/>
      <c r="AJ3311" s="500"/>
      <c r="AK3311" s="500"/>
      <c r="AL3311" s="500"/>
      <c r="AM3311" s="500"/>
      <c r="AN3311" s="500"/>
      <c r="AO3311" s="500"/>
      <c r="AP3311" s="500"/>
    </row>
    <row r="3312" spans="1:42" ht="16.5" customHeight="1">
      <c r="A3312" s="439"/>
      <c r="B3312" s="439"/>
      <c r="C3312" s="439"/>
      <c r="D3312" s="439"/>
      <c r="E3312" s="439"/>
      <c r="F3312" s="439"/>
      <c r="G3312" s="451" t="s">
        <v>3406</v>
      </c>
      <c r="Z3312" s="500"/>
      <c r="AA3312" s="500"/>
      <c r="AB3312" s="500"/>
      <c r="AC3312" s="500"/>
      <c r="AD3312" s="500"/>
      <c r="AE3312" s="500"/>
      <c r="AF3312" s="500"/>
      <c r="AG3312" s="500"/>
      <c r="AH3312" s="500"/>
      <c r="AI3312" s="500"/>
      <c r="AJ3312" s="500"/>
      <c r="AK3312" s="500"/>
      <c r="AL3312" s="500"/>
      <c r="AM3312" s="500"/>
      <c r="AN3312" s="500"/>
      <c r="AO3312" s="500"/>
      <c r="AP3312" s="500"/>
    </row>
    <row r="3313" spans="1:42" ht="16.5" customHeight="1">
      <c r="A3313" s="439"/>
      <c r="B3313" s="439"/>
      <c r="C3313" s="439"/>
      <c r="D3313" s="439"/>
      <c r="E3313" s="439"/>
      <c r="F3313" s="439"/>
      <c r="G3313" s="451" t="s">
        <v>3406</v>
      </c>
      <c r="Z3313" s="500"/>
      <c r="AA3313" s="500"/>
      <c r="AB3313" s="500"/>
      <c r="AC3313" s="500"/>
      <c r="AD3313" s="500"/>
      <c r="AE3313" s="500"/>
      <c r="AF3313" s="500"/>
      <c r="AG3313" s="500"/>
      <c r="AH3313" s="500"/>
      <c r="AI3313" s="500"/>
      <c r="AJ3313" s="500"/>
      <c r="AK3313" s="500"/>
      <c r="AL3313" s="500"/>
      <c r="AM3313" s="500"/>
      <c r="AN3313" s="500"/>
      <c r="AO3313" s="500"/>
      <c r="AP3313" s="500"/>
    </row>
    <row r="3314" spans="1:42" ht="16.5" customHeight="1">
      <c r="A3314" s="434"/>
      <c r="B3314" s="437" t="s">
        <v>3720</v>
      </c>
      <c r="C3314" s="439"/>
      <c r="D3314" s="439"/>
      <c r="E3314" s="439"/>
      <c r="F3314" s="439"/>
      <c r="G3314" s="451" t="s">
        <v>3721</v>
      </c>
      <c r="Z3314" s="500"/>
      <c r="AA3314" s="500"/>
      <c r="AB3314" s="500"/>
      <c r="AC3314" s="500"/>
      <c r="AD3314" s="500"/>
      <c r="AE3314" s="500"/>
      <c r="AF3314" s="500"/>
      <c r="AG3314" s="500"/>
      <c r="AH3314" s="500"/>
      <c r="AI3314" s="500"/>
      <c r="AJ3314" s="500"/>
      <c r="AK3314" s="500"/>
      <c r="AL3314" s="500"/>
      <c r="AM3314" s="500"/>
      <c r="AN3314" s="500"/>
      <c r="AO3314" s="500"/>
      <c r="AP3314" s="500"/>
    </row>
    <row r="3315" spans="1:42" ht="16.5" customHeight="1">
      <c r="A3315" s="439"/>
      <c r="B3315" s="439"/>
      <c r="C3315" s="439"/>
      <c r="D3315" s="439"/>
      <c r="E3315" s="439"/>
      <c r="F3315" s="439"/>
      <c r="G3315" s="451" t="s">
        <v>3406</v>
      </c>
      <c r="Z3315" s="500"/>
      <c r="AA3315" s="500"/>
      <c r="AB3315" s="500"/>
      <c r="AC3315" s="500"/>
      <c r="AD3315" s="500"/>
      <c r="AE3315" s="500"/>
      <c r="AF3315" s="500"/>
      <c r="AG3315" s="500"/>
      <c r="AH3315" s="500"/>
      <c r="AI3315" s="500"/>
      <c r="AJ3315" s="500"/>
      <c r="AK3315" s="500"/>
      <c r="AL3315" s="500"/>
      <c r="AM3315" s="500"/>
      <c r="AN3315" s="500"/>
      <c r="AO3315" s="500"/>
      <c r="AP3315" s="500"/>
    </row>
    <row r="3316" spans="1:42" ht="16.5" customHeight="1">
      <c r="A3316" s="434"/>
      <c r="B3316" s="437" t="str">
        <f>" q = "&amp;Z3316&amp;" , f = "&amp;AD3316&amp;"/"&amp;AF3316&amp;" = "&amp;AH3316&amp;", K = "&amp;AJ3316&amp;""</f>
        <v xml:space="preserve"> q = 0.7 , f = 1/1.3 = 0.77, K = 0.9</v>
      </c>
      <c r="C3316" s="439"/>
      <c r="D3316" s="439"/>
      <c r="E3316" s="439"/>
      <c r="F3316" s="439"/>
      <c r="G3316" s="451" t="s">
        <v>3696</v>
      </c>
      <c r="Z3316" s="511">
        <v>0.7</v>
      </c>
      <c r="AA3316" s="501" t="s">
        <v>3418</v>
      </c>
      <c r="AB3316" s="512">
        <f>Z3316</f>
        <v>0.7</v>
      </c>
      <c r="AC3316" s="514" t="s">
        <v>3427</v>
      </c>
      <c r="AD3316" s="515">
        <v>1</v>
      </c>
      <c r="AE3316" s="501" t="s">
        <v>3428</v>
      </c>
      <c r="AF3316" s="511">
        <v>1.3</v>
      </c>
      <c r="AG3316" s="501" t="s">
        <v>3418</v>
      </c>
      <c r="AH3316" s="512" t="str">
        <f>TEXT(ROUND(AD3316/AF3316,2),"#,0.00")</f>
        <v>0.77</v>
      </c>
      <c r="AI3316" s="514" t="s">
        <v>3427</v>
      </c>
      <c r="AJ3316" s="511">
        <v>0.9</v>
      </c>
      <c r="AK3316" s="501" t="s">
        <v>3418</v>
      </c>
      <c r="AL3316" s="512">
        <f>AJ3316</f>
        <v>0.9</v>
      </c>
      <c r="AM3316" s="500"/>
      <c r="AN3316" s="500"/>
      <c r="AO3316" s="500"/>
      <c r="AP3316" s="500"/>
    </row>
    <row r="3317" spans="1:42" ht="16.5" customHeight="1">
      <c r="A3317" s="439"/>
      <c r="B3317" s="439"/>
      <c r="C3317" s="439"/>
      <c r="D3317" s="439"/>
      <c r="E3317" s="439"/>
      <c r="F3317" s="439"/>
      <c r="G3317" s="451" t="s">
        <v>3406</v>
      </c>
      <c r="Z3317" s="500"/>
      <c r="AA3317" s="500"/>
      <c r="AB3317" s="500"/>
      <c r="AC3317" s="500"/>
      <c r="AD3317" s="500"/>
      <c r="AE3317" s="500"/>
      <c r="AF3317" s="500"/>
      <c r="AG3317" s="500"/>
      <c r="AH3317" s="500"/>
      <c r="AI3317" s="500"/>
      <c r="AJ3317" s="500"/>
      <c r="AK3317" s="500"/>
      <c r="AL3317" s="500"/>
      <c r="AM3317" s="500"/>
      <c r="AN3317" s="500"/>
      <c r="AO3317" s="500"/>
      <c r="AP3317" s="500"/>
    </row>
    <row r="3318" spans="1:42" ht="16.5" customHeight="1">
      <c r="A3318" s="434"/>
      <c r="B3318" s="437" t="str">
        <f>" Cm = "&amp;Z3318&amp;" sec(135˚) ,E = "&amp;AD3318&amp;" = "&amp;AF3318&amp;""</f>
        <v xml:space="preserve"> Cm = 20 sec(135˚) ,E = 0.6 = 0.60</v>
      </c>
      <c r="C3318" s="439"/>
      <c r="D3318" s="439"/>
      <c r="E3318" s="439"/>
      <c r="F3318" s="439"/>
      <c r="G3318" s="451" t="s">
        <v>3722</v>
      </c>
      <c r="Z3318" s="515">
        <v>20</v>
      </c>
      <c r="AA3318" s="501" t="s">
        <v>3418</v>
      </c>
      <c r="AB3318" s="512">
        <f>Z3318</f>
        <v>20</v>
      </c>
      <c r="AC3318" s="514" t="s">
        <v>3427</v>
      </c>
      <c r="AD3318" s="511">
        <v>0.6</v>
      </c>
      <c r="AE3318" s="501" t="s">
        <v>3418</v>
      </c>
      <c r="AF3318" s="512" t="str">
        <f>TEXT(ROUND(AD3318,2),"#,0.00")</f>
        <v>0.60</v>
      </c>
      <c r="AG3318" s="500"/>
      <c r="AH3318" s="500"/>
      <c r="AI3318" s="500"/>
      <c r="AJ3318" s="500"/>
      <c r="AK3318" s="500"/>
      <c r="AL3318" s="500"/>
      <c r="AM3318" s="500"/>
      <c r="AN3318" s="500"/>
      <c r="AO3318" s="500"/>
      <c r="AP3318" s="500"/>
    </row>
    <row r="3319" spans="1:42" ht="16.5" customHeight="1">
      <c r="A3319" s="439"/>
      <c r="B3319" s="439"/>
      <c r="C3319" s="439"/>
      <c r="D3319" s="439"/>
      <c r="E3319" s="439"/>
      <c r="F3319" s="439"/>
      <c r="G3319" s="451" t="s">
        <v>3406</v>
      </c>
      <c r="Z3319" s="500"/>
      <c r="AA3319" s="500"/>
      <c r="AB3319" s="500"/>
      <c r="AC3319" s="500"/>
      <c r="AD3319" s="500"/>
      <c r="AE3319" s="500"/>
      <c r="AF3319" s="500"/>
      <c r="AG3319" s="500"/>
      <c r="AH3319" s="500"/>
      <c r="AI3319" s="500"/>
      <c r="AJ3319" s="500"/>
      <c r="AK3319" s="500"/>
      <c r="AL3319" s="500"/>
      <c r="AM3319" s="500"/>
      <c r="AN3319" s="500"/>
      <c r="AO3319" s="500"/>
      <c r="AP3319" s="500"/>
    </row>
    <row r="3320" spans="1:42" ht="16.5" customHeight="1">
      <c r="A3320" s="434"/>
      <c r="B3320" s="437" t="str">
        <f>" Q = "&amp;Z3320&amp;"*q*K*f*E/Cm = "&amp;AL3320&amp;" ㎥/hr "</f>
        <v xml:space="preserve"> Q = 3600*q*K*f*E/Cm = 52.39 ㎥/hr </v>
      </c>
      <c r="C3320" s="439"/>
      <c r="D3320" s="439"/>
      <c r="E3320" s="439"/>
      <c r="F3320" s="439"/>
      <c r="G3320" s="451" t="s">
        <v>3673</v>
      </c>
      <c r="Z3320" s="515">
        <v>3600</v>
      </c>
      <c r="AA3320" s="501" t="s">
        <v>3368</v>
      </c>
      <c r="AB3320" s="512">
        <f>AB3316</f>
        <v>0.7</v>
      </c>
      <c r="AC3320" s="501" t="s">
        <v>3368</v>
      </c>
      <c r="AD3320" s="512">
        <f>AL3316</f>
        <v>0.9</v>
      </c>
      <c r="AE3320" s="501" t="s">
        <v>3368</v>
      </c>
      <c r="AF3320" s="512" t="str">
        <f>AH3316</f>
        <v>0.77</v>
      </c>
      <c r="AG3320" s="501" t="s">
        <v>3368</v>
      </c>
      <c r="AH3320" s="512" t="str">
        <f>AF3318</f>
        <v>0.60</v>
      </c>
      <c r="AI3320" s="501" t="s">
        <v>3428</v>
      </c>
      <c r="AJ3320" s="512">
        <f>AB3318</f>
        <v>20</v>
      </c>
      <c r="AK3320" s="501" t="s">
        <v>3418</v>
      </c>
      <c r="AL3320" s="512" t="str">
        <f>TEXT(ROUND(Z3320*AB3316*AL3316*AH3316*AF3318/AB3318,2),"#,0.00")</f>
        <v>52.39</v>
      </c>
      <c r="AM3320" s="500"/>
      <c r="AN3320" s="500"/>
      <c r="AO3320" s="500"/>
      <c r="AP3320" s="500"/>
    </row>
    <row r="3321" spans="1:42" ht="16.5" customHeight="1">
      <c r="A3321" s="439"/>
      <c r="B3321" s="439"/>
      <c r="C3321" s="439"/>
      <c r="D3321" s="439"/>
      <c r="E3321" s="439"/>
      <c r="F3321" s="439"/>
      <c r="G3321" s="451" t="s">
        <v>3406</v>
      </c>
      <c r="Z3321" s="500"/>
      <c r="AA3321" s="500"/>
      <c r="AB3321" s="500"/>
      <c r="AC3321" s="500"/>
      <c r="AD3321" s="500"/>
      <c r="AE3321" s="500"/>
      <c r="AF3321" s="500"/>
      <c r="AG3321" s="500"/>
      <c r="AH3321" s="500"/>
      <c r="AI3321" s="500"/>
      <c r="AJ3321" s="500"/>
      <c r="AK3321" s="500"/>
      <c r="AL3321" s="500"/>
      <c r="AM3321" s="500"/>
      <c r="AN3321" s="500"/>
      <c r="AO3321" s="500"/>
      <c r="AP3321" s="500"/>
    </row>
    <row r="3322" spans="1:42" ht="16.5" customHeight="1">
      <c r="A3322" s="434" t="s">
        <v>3450</v>
      </c>
      <c r="B3322" s="505" t="str">
        <f>" 노 무 비  : "&amp;TEXT(I3322,"#,##0"&amp;IF(I3322&lt;&gt;INT(I3322),".###",""))&amp;" / Q * "&amp;AC3322&amp;" = "&amp;TEXT(C3322,"#,##0.0")&amp;""</f>
        <v xml:space="preserve"> 노 무 비  : 59,020 / Q * 0.9 = 1,013.8</v>
      </c>
      <c r="C3322" s="506">
        <f>E3322+D3322+F3322</f>
        <v>1013.8</v>
      </c>
      <c r="D3322" s="506">
        <f>IF(H3322=0,0,ROUNDDOWN(J3322*H3322,1))</f>
        <v>1013.8</v>
      </c>
      <c r="E3322" s="506">
        <f>IF(H3322=0,0,ROUNDDOWN(K3322*H3322,1))</f>
        <v>0</v>
      </c>
      <c r="F3322" s="506">
        <f>IF(H3322=0,0,ROUNDDOWN(L3322*H3322,1))</f>
        <v>0</v>
      </c>
      <c r="G3322" s="451" t="s">
        <v>3674</v>
      </c>
      <c r="H3322" s="507">
        <f>ROUNDUP(AE3322,14-LEN(ABS(INT(AE3322))))</f>
        <v>1.7178850925799998E-2</v>
      </c>
      <c r="I3322" s="508">
        <f>K3322+J3322+L3322</f>
        <v>59020</v>
      </c>
      <c r="J3322" s="509">
        <f>중기목록표!F10</f>
        <v>59020</v>
      </c>
      <c r="M3322" s="501" t="s">
        <v>3164</v>
      </c>
      <c r="N3322" s="501" t="s">
        <v>3416</v>
      </c>
      <c r="X3322" s="510" t="str">
        <f>중기목록표!B10&amp;" / "&amp;중기목록표!C10</f>
        <v>굴착기(무한궤도) / 0.7㎥</v>
      </c>
      <c r="Y3322" s="433" t="str">
        <f ca="1">HYPERLINK("#"&amp;중기목록표!J2&amp;"!A"&amp;ROW(중기목록표!A10),"X00262 →")</f>
        <v>X00262 →</v>
      </c>
      <c r="Z3322" s="501" t="s">
        <v>3434</v>
      </c>
      <c r="AA3322" s="512" t="str">
        <f>AL3320</f>
        <v>52.39</v>
      </c>
      <c r="AB3322" s="501" t="s">
        <v>3368</v>
      </c>
      <c r="AC3322" s="511">
        <v>0.9</v>
      </c>
      <c r="AD3322" s="501" t="s">
        <v>3418</v>
      </c>
      <c r="AE3322" s="512">
        <f>1/AL3320*AC3322</f>
        <v>1.7178850925749192E-2</v>
      </c>
      <c r="AF3322" s="500"/>
      <c r="AG3322" s="500"/>
      <c r="AH3322" s="500"/>
      <c r="AI3322" s="500"/>
      <c r="AJ3322" s="500"/>
      <c r="AK3322" s="500"/>
      <c r="AL3322" s="500"/>
      <c r="AM3322" s="500"/>
      <c r="AN3322" s="500"/>
      <c r="AO3322" s="500"/>
      <c r="AP3322" s="500"/>
    </row>
    <row r="3323" spans="1:42" ht="16.5" customHeight="1">
      <c r="A3323" s="439"/>
      <c r="B3323" s="439"/>
      <c r="C3323" s="439"/>
      <c r="D3323" s="439"/>
      <c r="E3323" s="439"/>
      <c r="F3323" s="439"/>
      <c r="G3323" s="451" t="s">
        <v>3406</v>
      </c>
      <c r="Z3323" s="500"/>
      <c r="AA3323" s="500"/>
      <c r="AB3323" s="500"/>
      <c r="AC3323" s="500"/>
      <c r="AD3323" s="500"/>
      <c r="AE3323" s="500"/>
      <c r="AF3323" s="500"/>
      <c r="AG3323" s="500"/>
      <c r="AH3323" s="500"/>
      <c r="AI3323" s="500"/>
      <c r="AJ3323" s="500"/>
      <c r="AK3323" s="500"/>
      <c r="AL3323" s="500"/>
      <c r="AM3323" s="500"/>
      <c r="AN3323" s="500"/>
      <c r="AO3323" s="500"/>
      <c r="AP3323" s="500"/>
    </row>
    <row r="3324" spans="1:42" ht="16.5" customHeight="1">
      <c r="A3324" s="434" t="s">
        <v>3452</v>
      </c>
      <c r="B3324" s="505" t="str">
        <f>" 재 료 비  : "&amp;TEXT(I3324,"#,##0"&amp;IF(I3324&lt;&gt;INT(I3324),".###",""))&amp;" / Q * "&amp;AC3324&amp;" = "&amp;TEXT(C3324,"#,##0.0")&amp;""</f>
        <v xml:space="preserve"> 재 료 비  : 19,515 / Q * 0.9 = 335.2</v>
      </c>
      <c r="C3324" s="506">
        <f>E3324+D3324+F3324</f>
        <v>335.2</v>
      </c>
      <c r="D3324" s="506">
        <f>IF(H3324=0,0,ROUNDDOWN(J3324*H3324,1))</f>
        <v>0</v>
      </c>
      <c r="E3324" s="506">
        <f>IF(H3324=0,0,ROUNDDOWN(K3324*H3324,1))</f>
        <v>335.2</v>
      </c>
      <c r="F3324" s="506">
        <f>IF(H3324=0,0,ROUNDDOWN(L3324*H3324,1))</f>
        <v>0</v>
      </c>
      <c r="G3324" s="451" t="s">
        <v>3675</v>
      </c>
      <c r="H3324" s="507">
        <f>ROUNDUP(AE3324,14-LEN(ABS(INT(AE3324))))</f>
        <v>1.7178850925799998E-2</v>
      </c>
      <c r="I3324" s="508">
        <f>K3324+J3324+L3324</f>
        <v>19515</v>
      </c>
      <c r="K3324" s="509">
        <f>중기목록표!G10</f>
        <v>19515</v>
      </c>
      <c r="M3324" s="501" t="s">
        <v>3164</v>
      </c>
      <c r="N3324" s="501" t="s">
        <v>3416</v>
      </c>
      <c r="X3324" s="510" t="str">
        <f>중기목록표!B10&amp;" / "&amp;중기목록표!C10</f>
        <v>굴착기(무한궤도) / 0.7㎥</v>
      </c>
      <c r="Y3324" s="433" t="str">
        <f ca="1">HYPERLINK("#"&amp;중기목록표!J2&amp;"!A"&amp;ROW(중기목록표!A10),"X00262 →")</f>
        <v>X00262 →</v>
      </c>
      <c r="Z3324" s="501" t="s">
        <v>3434</v>
      </c>
      <c r="AA3324" s="512" t="str">
        <f>AL3320</f>
        <v>52.39</v>
      </c>
      <c r="AB3324" s="501" t="s">
        <v>3368</v>
      </c>
      <c r="AC3324" s="511">
        <v>0.9</v>
      </c>
      <c r="AD3324" s="501" t="s">
        <v>3418</v>
      </c>
      <c r="AE3324" s="512">
        <f>1/AL3320*AC3324</f>
        <v>1.7178850925749192E-2</v>
      </c>
      <c r="AF3324" s="500"/>
      <c r="AG3324" s="500"/>
      <c r="AH3324" s="500"/>
      <c r="AI3324" s="500"/>
      <c r="AJ3324" s="500"/>
      <c r="AK3324" s="500"/>
      <c r="AL3324" s="500"/>
      <c r="AM3324" s="500"/>
      <c r="AN3324" s="500"/>
      <c r="AO3324" s="500"/>
      <c r="AP3324" s="500"/>
    </row>
    <row r="3325" spans="1:42" ht="16.5" customHeight="1">
      <c r="A3325" s="439"/>
      <c r="B3325" s="439"/>
      <c r="C3325" s="439"/>
      <c r="D3325" s="439"/>
      <c r="E3325" s="439"/>
      <c r="F3325" s="439"/>
      <c r="G3325" s="451" t="s">
        <v>3406</v>
      </c>
      <c r="Z3325" s="500"/>
      <c r="AA3325" s="500"/>
      <c r="AB3325" s="500"/>
      <c r="AC3325" s="500"/>
      <c r="AD3325" s="500"/>
      <c r="AE3325" s="500"/>
      <c r="AF3325" s="500"/>
      <c r="AG3325" s="500"/>
      <c r="AH3325" s="500"/>
      <c r="AI3325" s="500"/>
      <c r="AJ3325" s="500"/>
      <c r="AK3325" s="500"/>
      <c r="AL3325" s="500"/>
      <c r="AM3325" s="500"/>
      <c r="AN3325" s="500"/>
      <c r="AO3325" s="500"/>
      <c r="AP3325" s="500"/>
    </row>
    <row r="3326" spans="1:42" ht="16.5" customHeight="1">
      <c r="A3326" s="434" t="s">
        <v>3454</v>
      </c>
      <c r="B3326" s="505" t="str">
        <f>" 경    비  : "&amp;TEXT(I3326,"#,##0"&amp;IF(I3326&lt;&gt;INT(I3326),".###",""))&amp;" / Q * "&amp;AC3326&amp;" = "&amp;TEXT(C3326,"#,##0.0")&amp;""</f>
        <v xml:space="preserve"> 경    비  : 24,554 / Q * 0.9 = 421.8</v>
      </c>
      <c r="C3326" s="506">
        <f>E3326+D3326+F3326</f>
        <v>421.8</v>
      </c>
      <c r="D3326" s="506">
        <f>IF(H3326=0,0,ROUNDDOWN(J3326*H3326,1))</f>
        <v>0</v>
      </c>
      <c r="E3326" s="506">
        <f>IF(H3326=0,0,ROUNDDOWN(K3326*H3326,1))</f>
        <v>0</v>
      </c>
      <c r="F3326" s="506">
        <f>IF(H3326=0,0,ROUNDDOWN(L3326*H3326,1))</f>
        <v>421.8</v>
      </c>
      <c r="G3326" s="451" t="s">
        <v>3676</v>
      </c>
      <c r="H3326" s="507">
        <f>ROUNDUP(AE3326,14-LEN(ABS(INT(AE3326))))</f>
        <v>1.7178850925799998E-2</v>
      </c>
      <c r="I3326" s="508">
        <f>K3326+J3326+L3326</f>
        <v>24554</v>
      </c>
      <c r="L3326" s="509">
        <f>중기목록표!H10</f>
        <v>24554</v>
      </c>
      <c r="M3326" s="501" t="s">
        <v>3164</v>
      </c>
      <c r="N3326" s="501" t="s">
        <v>3416</v>
      </c>
      <c r="X3326" s="510" t="str">
        <f>중기목록표!B10&amp;" / "&amp;중기목록표!C10</f>
        <v>굴착기(무한궤도) / 0.7㎥</v>
      </c>
      <c r="Y3326" s="433" t="str">
        <f ca="1">HYPERLINK("#"&amp;중기목록표!J2&amp;"!A"&amp;ROW(중기목록표!A10),"X00262 →")</f>
        <v>X00262 →</v>
      </c>
      <c r="Z3326" s="501" t="s">
        <v>3434</v>
      </c>
      <c r="AA3326" s="512" t="str">
        <f>AL3320</f>
        <v>52.39</v>
      </c>
      <c r="AB3326" s="501" t="s">
        <v>3368</v>
      </c>
      <c r="AC3326" s="511">
        <v>0.9</v>
      </c>
      <c r="AD3326" s="501" t="s">
        <v>3418</v>
      </c>
      <c r="AE3326" s="512">
        <f>1/AL3320*AC3326</f>
        <v>1.7178850925749192E-2</v>
      </c>
      <c r="AF3326" s="500"/>
      <c r="AG3326" s="500"/>
      <c r="AH3326" s="500"/>
      <c r="AI3326" s="500"/>
      <c r="AJ3326" s="500"/>
      <c r="AK3326" s="500"/>
      <c r="AL3326" s="500"/>
      <c r="AM3326" s="500"/>
      <c r="AN3326" s="500"/>
      <c r="AO3326" s="500"/>
      <c r="AP3326" s="500"/>
    </row>
    <row r="3327" spans="1:42" ht="16.5" customHeight="1">
      <c r="A3327" s="439"/>
      <c r="B3327" s="439"/>
      <c r="C3327" s="439"/>
      <c r="D3327" s="439"/>
      <c r="E3327" s="439"/>
      <c r="F3327" s="439"/>
      <c r="G3327" s="451" t="s">
        <v>3406</v>
      </c>
      <c r="Z3327" s="500"/>
      <c r="AA3327" s="500"/>
      <c r="AB3327" s="500"/>
      <c r="AC3327" s="500"/>
      <c r="AD3327" s="500"/>
      <c r="AE3327" s="500"/>
      <c r="AF3327" s="500"/>
      <c r="AG3327" s="500"/>
      <c r="AH3327" s="500"/>
      <c r="AI3327" s="500"/>
      <c r="AJ3327" s="500"/>
      <c r="AK3327" s="500"/>
      <c r="AL3327" s="500"/>
      <c r="AM3327" s="500"/>
      <c r="AN3327" s="500"/>
      <c r="AO3327" s="500"/>
      <c r="AP3327" s="500"/>
    </row>
    <row r="3328" spans="1:42" ht="16.5" customHeight="1">
      <c r="A3328" s="434"/>
      <c r="B3328" s="437" t="s">
        <v>3419</v>
      </c>
      <c r="C3328" s="513">
        <f>E3328+D3328+F3328</f>
        <v>1770.8</v>
      </c>
      <c r="D3328" s="513">
        <f>SUMIF(N3307:N3327,M3328,D3307:D3327)</f>
        <v>1013.8</v>
      </c>
      <c r="E3328" s="513">
        <f>SUMIF(N3307:N3327,M3328,E3307:E3327)</f>
        <v>335.2</v>
      </c>
      <c r="F3328" s="513">
        <f>SUMIF(N3307:N3327,M3328,F3307:F3327)</f>
        <v>421.8</v>
      </c>
      <c r="G3328" s="451" t="s">
        <v>3420</v>
      </c>
      <c r="M3328" s="501" t="s">
        <v>3416</v>
      </c>
      <c r="N3328" s="501" t="s">
        <v>3421</v>
      </c>
      <c r="Z3328" s="500"/>
      <c r="AA3328" s="500"/>
      <c r="AB3328" s="500"/>
      <c r="AC3328" s="500"/>
      <c r="AD3328" s="500"/>
      <c r="AE3328" s="500"/>
      <c r="AF3328" s="500"/>
      <c r="AG3328" s="500"/>
      <c r="AH3328" s="500"/>
      <c r="AI3328" s="500"/>
      <c r="AJ3328" s="500"/>
      <c r="AK3328" s="500"/>
      <c r="AL3328" s="500"/>
      <c r="AM3328" s="500"/>
      <c r="AN3328" s="500"/>
      <c r="AO3328" s="500"/>
      <c r="AP3328" s="500"/>
    </row>
    <row r="3329" spans="1:42" ht="16.5" customHeight="1">
      <c r="A3329" s="439"/>
      <c r="B3329" s="439"/>
      <c r="C3329" s="504"/>
      <c r="D3329" s="504"/>
      <c r="E3329" s="504"/>
      <c r="F3329" s="504"/>
      <c r="G3329" s="451" t="s">
        <v>3406</v>
      </c>
      <c r="Z3329" s="500"/>
      <c r="AA3329" s="500"/>
      <c r="AB3329" s="500"/>
      <c r="AC3329" s="500"/>
      <c r="AD3329" s="500"/>
      <c r="AE3329" s="500"/>
      <c r="AF3329" s="500"/>
      <c r="AG3329" s="500"/>
      <c r="AH3329" s="500"/>
      <c r="AI3329" s="500"/>
      <c r="AJ3329" s="500"/>
      <c r="AK3329" s="500"/>
      <c r="AL3329" s="500"/>
      <c r="AM3329" s="500"/>
      <c r="AN3329" s="500"/>
      <c r="AO3329" s="500"/>
      <c r="AP3329" s="500"/>
    </row>
    <row r="3330" spans="1:42" ht="16.5" customHeight="1">
      <c r="A3330" s="439"/>
      <c r="B3330" s="439"/>
      <c r="C3330" s="439"/>
      <c r="D3330" s="439"/>
      <c r="E3330" s="439"/>
      <c r="F3330" s="439"/>
      <c r="G3330" s="451" t="s">
        <v>3406</v>
      </c>
      <c r="Z3330" s="500"/>
      <c r="AA3330" s="500"/>
      <c r="AB3330" s="500"/>
      <c r="AC3330" s="500"/>
      <c r="AD3330" s="500"/>
      <c r="AE3330" s="500"/>
      <c r="AF3330" s="500"/>
      <c r="AG3330" s="500"/>
      <c r="AH3330" s="500"/>
      <c r="AI3330" s="500"/>
      <c r="AJ3330" s="500"/>
      <c r="AK3330" s="500"/>
      <c r="AL3330" s="500"/>
      <c r="AM3330" s="500"/>
      <c r="AN3330" s="500"/>
      <c r="AO3330" s="500"/>
      <c r="AP3330" s="500"/>
    </row>
    <row r="3331" spans="1:42" ht="16.5" customHeight="1">
      <c r="A3331" s="439"/>
      <c r="B3331" s="439"/>
      <c r="C3331" s="439"/>
      <c r="D3331" s="439"/>
      <c r="E3331" s="439"/>
      <c r="F3331" s="439"/>
      <c r="G3331" s="451" t="s">
        <v>3406</v>
      </c>
      <c r="Z3331" s="500"/>
      <c r="AA3331" s="500"/>
      <c r="AB3331" s="500"/>
      <c r="AC3331" s="500"/>
      <c r="AD3331" s="500"/>
      <c r="AE3331" s="500"/>
      <c r="AF3331" s="500"/>
      <c r="AG3331" s="500"/>
      <c r="AH3331" s="500"/>
      <c r="AI3331" s="500"/>
      <c r="AJ3331" s="500"/>
      <c r="AK3331" s="500"/>
      <c r="AL3331" s="500"/>
      <c r="AM3331" s="500"/>
      <c r="AN3331" s="500"/>
      <c r="AO3331" s="500"/>
      <c r="AP3331" s="500"/>
    </row>
    <row r="3332" spans="1:42" ht="16.5" customHeight="1">
      <c r="A3332" s="434"/>
      <c r="B3332" s="437" t="s">
        <v>3723</v>
      </c>
      <c r="C3332" s="439"/>
      <c r="D3332" s="439"/>
      <c r="E3332" s="439"/>
      <c r="F3332" s="439"/>
      <c r="G3332" s="451" t="s">
        <v>3724</v>
      </c>
      <c r="Z3332" s="500"/>
      <c r="AA3332" s="500"/>
      <c r="AB3332" s="500"/>
      <c r="AC3332" s="500"/>
      <c r="AD3332" s="500"/>
      <c r="AE3332" s="500"/>
      <c r="AF3332" s="500"/>
      <c r="AG3332" s="500"/>
      <c r="AH3332" s="500"/>
      <c r="AI3332" s="500"/>
      <c r="AJ3332" s="500"/>
      <c r="AK3332" s="500"/>
      <c r="AL3332" s="500"/>
      <c r="AM3332" s="500"/>
      <c r="AN3332" s="500"/>
      <c r="AO3332" s="500"/>
      <c r="AP3332" s="500"/>
    </row>
    <row r="3333" spans="1:42" ht="16.5" customHeight="1">
      <c r="A3333" s="439"/>
      <c r="B3333" s="439"/>
      <c r="C3333" s="439"/>
      <c r="D3333" s="439"/>
      <c r="E3333" s="439"/>
      <c r="F3333" s="439"/>
      <c r="G3333" s="451" t="s">
        <v>3406</v>
      </c>
      <c r="Z3333" s="500"/>
      <c r="AA3333" s="500"/>
      <c r="AB3333" s="500"/>
      <c r="AC3333" s="500"/>
      <c r="AD3333" s="500"/>
      <c r="AE3333" s="500"/>
      <c r="AF3333" s="500"/>
      <c r="AG3333" s="500"/>
      <c r="AH3333" s="500"/>
      <c r="AI3333" s="500"/>
      <c r="AJ3333" s="500"/>
      <c r="AK3333" s="500"/>
      <c r="AL3333" s="500"/>
      <c r="AM3333" s="500"/>
      <c r="AN3333" s="500"/>
      <c r="AO3333" s="500"/>
      <c r="AP3333" s="500"/>
    </row>
    <row r="3334" spans="1:42" ht="16.5" customHeight="1">
      <c r="A3334" s="434" t="s">
        <v>3414</v>
      </c>
      <c r="B3334" s="505" t="str">
        <f>" ○ 보통인부 : "&amp;TEXT(I3334,"#,##0"&amp;IF(I3334&lt;&gt;INT(I3334),".###",""))&amp;" * ("&amp;AA3334&amp;"+"&amp;AC3334&amp;")/"&amp;AE3334&amp;" *"&amp;AG3334&amp;" * "&amp;AI3334&amp;" = "&amp;TEXT(C3334,"#,##0.0")&amp;""</f>
        <v xml:space="preserve"> ○ 보통인부 : 172,068 * (0.23+0.31)/2 *1.3 * 0.1 = 6,039.5</v>
      </c>
      <c r="C3334" s="506">
        <f>E3334+D3334+F3334</f>
        <v>6039.5</v>
      </c>
      <c r="D3334" s="506">
        <f>IF(H3334=0,0,ROUNDDOWN(J3334*H3334,1))</f>
        <v>6039.5</v>
      </c>
      <c r="E3334" s="506">
        <f>IF(H3334=0,0,ROUNDDOWN(K3334*H3334,1))</f>
        <v>0</v>
      </c>
      <c r="F3334" s="506">
        <f>IF(H3334=0,0,ROUNDDOWN(L3334*H3334,1))</f>
        <v>0</v>
      </c>
      <c r="G3334" s="451" t="s">
        <v>3730</v>
      </c>
      <c r="H3334" s="507">
        <f>ROUNDUP(AK3334,14-LEN(ABS(INT(AK3334))))</f>
        <v>3.5099999999999999E-2</v>
      </c>
      <c r="I3334" s="508">
        <f>K3334+J3334+L3334</f>
        <v>172068</v>
      </c>
      <c r="J3334" s="509">
        <f>노무비목록표!E10</f>
        <v>172068</v>
      </c>
      <c r="M3334" s="501" t="s">
        <v>2363</v>
      </c>
      <c r="N3334" s="501" t="s">
        <v>3416</v>
      </c>
      <c r="X3334" s="510" t="str">
        <f>노무비목록표!B10&amp;" / "&amp;노무비목록표!C10</f>
        <v xml:space="preserve">보통인부 / </v>
      </c>
      <c r="Y3334" s="433" t="str">
        <f ca="1">HYPERLINK("#"&amp;노무비목록표!G2&amp;"!A"&amp;ROW(노무비목록표!A10),"L00017 →")</f>
        <v>L00017 →</v>
      </c>
      <c r="Z3334" s="501" t="s">
        <v>3726</v>
      </c>
      <c r="AA3334" s="511">
        <v>0.23</v>
      </c>
      <c r="AB3334" s="501" t="s">
        <v>3468</v>
      </c>
      <c r="AC3334" s="511">
        <v>0.31</v>
      </c>
      <c r="AD3334" s="501" t="s">
        <v>3475</v>
      </c>
      <c r="AE3334" s="515">
        <v>2</v>
      </c>
      <c r="AF3334" s="501" t="s">
        <v>3368</v>
      </c>
      <c r="AG3334" s="511">
        <v>1.3</v>
      </c>
      <c r="AH3334" s="501" t="s">
        <v>3368</v>
      </c>
      <c r="AI3334" s="511">
        <v>0.1</v>
      </c>
      <c r="AJ3334" s="501" t="s">
        <v>3418</v>
      </c>
      <c r="AK3334" s="512">
        <f>1*(AA3334+AC3334)/AE3334*AG3334*AI3334</f>
        <v>3.5100000000000006E-2</v>
      </c>
      <c r="AL3334" s="500"/>
      <c r="AM3334" s="500"/>
      <c r="AN3334" s="500"/>
      <c r="AO3334" s="500"/>
      <c r="AP3334" s="500"/>
    </row>
    <row r="3335" spans="1:42" ht="16.5" customHeight="1">
      <c r="A3335" s="439"/>
      <c r="B3335" s="439"/>
      <c r="C3335" s="439"/>
      <c r="D3335" s="439"/>
      <c r="E3335" s="439"/>
      <c r="F3335" s="439"/>
      <c r="G3335" s="451" t="s">
        <v>3406</v>
      </c>
      <c r="Z3335" s="500"/>
      <c r="AA3335" s="500"/>
      <c r="AB3335" s="500"/>
      <c r="AC3335" s="500"/>
      <c r="AD3335" s="500"/>
      <c r="AE3335" s="500"/>
      <c r="AF3335" s="500"/>
      <c r="AG3335" s="500"/>
      <c r="AH3335" s="500"/>
      <c r="AI3335" s="500"/>
      <c r="AJ3335" s="500"/>
      <c r="AK3335" s="500"/>
      <c r="AL3335" s="500"/>
      <c r="AM3335" s="500"/>
      <c r="AN3335" s="500"/>
      <c r="AO3335" s="500"/>
      <c r="AP3335" s="500"/>
    </row>
    <row r="3336" spans="1:42" ht="16.5" customHeight="1">
      <c r="A3336" s="434"/>
      <c r="B3336" s="437" t="s">
        <v>3419</v>
      </c>
      <c r="C3336" s="513">
        <f>E3336+D3336+F3336</f>
        <v>6039.5</v>
      </c>
      <c r="D3336" s="513">
        <f>SUMIF(N3329:N3335,M3336,D3329:D3335)</f>
        <v>6039.5</v>
      </c>
      <c r="E3336" s="513">
        <f>SUMIF(N3329:N3335,M3336,E3329:E3335)</f>
        <v>0</v>
      </c>
      <c r="F3336" s="513">
        <f>SUMIF(N3329:N3335,M3336,F3329:F3335)</f>
        <v>0</v>
      </c>
      <c r="G3336" s="451" t="s">
        <v>3420</v>
      </c>
      <c r="M3336" s="501" t="s">
        <v>3416</v>
      </c>
      <c r="N3336" s="501" t="s">
        <v>3421</v>
      </c>
      <c r="Z3336" s="500"/>
      <c r="AA3336" s="500"/>
      <c r="AB3336" s="500"/>
      <c r="AC3336" s="500"/>
      <c r="AD3336" s="500"/>
      <c r="AE3336" s="500"/>
      <c r="AF3336" s="500"/>
      <c r="AG3336" s="500"/>
      <c r="AH3336" s="500"/>
      <c r="AI3336" s="500"/>
      <c r="AJ3336" s="500"/>
      <c r="AK3336" s="500"/>
      <c r="AL3336" s="500"/>
      <c r="AM3336" s="500"/>
      <c r="AN3336" s="500"/>
      <c r="AO3336" s="500"/>
      <c r="AP3336" s="500"/>
    </row>
    <row r="3337" spans="1:42" ht="16.5" customHeight="1">
      <c r="A3337" s="439"/>
      <c r="B3337" s="439"/>
      <c r="C3337" s="504"/>
      <c r="D3337" s="504"/>
      <c r="E3337" s="504"/>
      <c r="F3337" s="504"/>
      <c r="G3337" s="451" t="s">
        <v>3406</v>
      </c>
      <c r="Z3337" s="500"/>
      <c r="AA3337" s="500"/>
      <c r="AB3337" s="500"/>
      <c r="AC3337" s="500"/>
      <c r="AD3337" s="500"/>
      <c r="AE3337" s="500"/>
      <c r="AF3337" s="500"/>
      <c r="AG3337" s="500"/>
      <c r="AH3337" s="500"/>
      <c r="AI3337" s="500"/>
      <c r="AJ3337" s="500"/>
      <c r="AK3337" s="500"/>
      <c r="AL3337" s="500"/>
      <c r="AM3337" s="500"/>
      <c r="AN3337" s="500"/>
      <c r="AO3337" s="500"/>
      <c r="AP3337" s="500"/>
    </row>
    <row r="3338" spans="1:42" ht="16.5" customHeight="1">
      <c r="A3338" s="439"/>
      <c r="B3338" s="439"/>
      <c r="C3338" s="439"/>
      <c r="D3338" s="439"/>
      <c r="E3338" s="439"/>
      <c r="F3338" s="439"/>
      <c r="G3338" s="451" t="s">
        <v>3406</v>
      </c>
      <c r="Z3338" s="500"/>
      <c r="AA3338" s="500"/>
      <c r="AB3338" s="500"/>
      <c r="AC3338" s="500"/>
      <c r="AD3338" s="500"/>
      <c r="AE3338" s="500"/>
      <c r="AF3338" s="500"/>
      <c r="AG3338" s="500"/>
      <c r="AH3338" s="500"/>
      <c r="AI3338" s="500"/>
      <c r="AJ3338" s="500"/>
      <c r="AK3338" s="500"/>
      <c r="AL3338" s="500"/>
      <c r="AM3338" s="500"/>
      <c r="AN3338" s="500"/>
      <c r="AO3338" s="500"/>
      <c r="AP3338" s="500"/>
    </row>
    <row r="3339" spans="1:42" ht="16.5" customHeight="1">
      <c r="A3339" s="434"/>
      <c r="B3339" s="437" t="s">
        <v>3440</v>
      </c>
      <c r="C3339" s="513">
        <f>E3339+D3339+F3339</f>
        <v>7810.3</v>
      </c>
      <c r="D3339" s="513">
        <f>SUMIF(N3307:N3338,M3339,D3307:D3338)</f>
        <v>7053.3</v>
      </c>
      <c r="E3339" s="513">
        <f>SUMIF(N3307:N3338,M3339,E3307:E3338)</f>
        <v>335.2</v>
      </c>
      <c r="F3339" s="513">
        <f>SUMIF(N3307:N3338,M3339,F3307:F3338)</f>
        <v>421.8</v>
      </c>
      <c r="G3339" s="451" t="s">
        <v>3484</v>
      </c>
      <c r="M3339" s="501" t="s">
        <v>3421</v>
      </c>
      <c r="N3339" s="501" t="s">
        <v>2354</v>
      </c>
      <c r="Z3339" s="500"/>
      <c r="AA3339" s="500"/>
      <c r="AB3339" s="500"/>
      <c r="AC3339" s="500"/>
      <c r="AD3339" s="500"/>
      <c r="AE3339" s="500"/>
      <c r="AF3339" s="500"/>
      <c r="AG3339" s="500"/>
      <c r="AH3339" s="500"/>
      <c r="AI3339" s="500"/>
      <c r="AJ3339" s="500"/>
      <c r="AK3339" s="500"/>
      <c r="AL3339" s="500"/>
      <c r="AM3339" s="500"/>
      <c r="AN3339" s="500"/>
      <c r="AO3339" s="500"/>
      <c r="AP3339" s="500"/>
    </row>
    <row r="3340" spans="1:42" ht="16.5" customHeight="1">
      <c r="A3340" s="439"/>
      <c r="B3340" s="439"/>
      <c r="C3340" s="504"/>
      <c r="D3340" s="504"/>
      <c r="E3340" s="504"/>
      <c r="F3340" s="504"/>
      <c r="Z3340" s="500"/>
      <c r="AA3340" s="500"/>
      <c r="AB3340" s="500"/>
      <c r="AC3340" s="500"/>
      <c r="AD3340" s="500"/>
      <c r="AE3340" s="500"/>
      <c r="AF3340" s="500"/>
      <c r="AG3340" s="500"/>
      <c r="AH3340" s="500"/>
      <c r="AI3340" s="500"/>
      <c r="AJ3340" s="500"/>
      <c r="AK3340" s="500"/>
      <c r="AL3340" s="500"/>
      <c r="AM3340" s="500"/>
      <c r="AN3340" s="500"/>
      <c r="AO3340" s="500"/>
      <c r="AP3340" s="500"/>
    </row>
    <row r="3341" spans="1:42" ht="16.5" customHeight="1">
      <c r="A3341" s="439"/>
      <c r="B3341" s="439"/>
      <c r="C3341" s="439"/>
      <c r="D3341" s="439"/>
      <c r="E3341" s="439"/>
      <c r="F3341" s="439"/>
      <c r="Z3341" s="500"/>
      <c r="AA3341" s="500"/>
      <c r="AB3341" s="500"/>
      <c r="AC3341" s="500"/>
      <c r="AD3341" s="500"/>
      <c r="AE3341" s="500"/>
      <c r="AF3341" s="500"/>
      <c r="AG3341" s="500"/>
      <c r="AH3341" s="500"/>
      <c r="AI3341" s="500"/>
      <c r="AJ3341" s="500"/>
      <c r="AK3341" s="500"/>
      <c r="AL3341" s="500"/>
      <c r="AM3341" s="500"/>
      <c r="AN3341" s="500"/>
      <c r="AO3341" s="500"/>
      <c r="AP3341" s="500"/>
    </row>
    <row r="3342" spans="1:42" ht="16.5" customHeight="1">
      <c r="A3342" s="439"/>
      <c r="B3342" s="439"/>
      <c r="C3342" s="439"/>
      <c r="D3342" s="439"/>
      <c r="E3342" s="439"/>
      <c r="F3342" s="439"/>
      <c r="Z3342" s="500"/>
      <c r="AA3342" s="500"/>
      <c r="AB3342" s="500"/>
      <c r="AC3342" s="500"/>
      <c r="AD3342" s="500"/>
      <c r="AE3342" s="500"/>
      <c r="AF3342" s="500"/>
      <c r="AG3342" s="500"/>
      <c r="AH3342" s="500"/>
      <c r="AI3342" s="500"/>
      <c r="AJ3342" s="500"/>
      <c r="AK3342" s="500"/>
      <c r="AL3342" s="500"/>
      <c r="AM3342" s="500"/>
      <c r="AN3342" s="500"/>
      <c r="AO3342" s="500"/>
      <c r="AP3342" s="500"/>
    </row>
    <row r="3343" spans="1:42" ht="16.5" customHeight="1">
      <c r="A3343" s="439"/>
      <c r="B3343" s="439"/>
      <c r="C3343" s="439"/>
      <c r="D3343" s="439"/>
      <c r="E3343" s="439"/>
      <c r="F3343" s="439"/>
      <c r="Z3343" s="500"/>
      <c r="AA3343" s="500"/>
      <c r="AB3343" s="500"/>
      <c r="AC3343" s="500"/>
      <c r="AD3343" s="500"/>
      <c r="AE3343" s="500"/>
      <c r="AF3343" s="500"/>
      <c r="AG3343" s="500"/>
      <c r="AH3343" s="500"/>
      <c r="AI3343" s="500"/>
      <c r="AJ3343" s="500"/>
      <c r="AK3343" s="500"/>
      <c r="AL3343" s="500"/>
      <c r="AM3343" s="500"/>
      <c r="AN3343" s="500"/>
      <c r="AO3343" s="500"/>
      <c r="AP3343" s="500"/>
    </row>
    <row r="3344" spans="1:42" ht="16.5" customHeight="1">
      <c r="A3344" s="439"/>
      <c r="B3344" s="439"/>
      <c r="C3344" s="439"/>
      <c r="D3344" s="439"/>
      <c r="E3344" s="439"/>
      <c r="F3344" s="439"/>
      <c r="Z3344" s="500"/>
      <c r="AA3344" s="500"/>
      <c r="AB3344" s="500"/>
      <c r="AC3344" s="500"/>
      <c r="AD3344" s="500"/>
      <c r="AE3344" s="500"/>
      <c r="AF3344" s="500"/>
      <c r="AG3344" s="500"/>
      <c r="AH3344" s="500"/>
      <c r="AI3344" s="500"/>
      <c r="AJ3344" s="500"/>
      <c r="AK3344" s="500"/>
      <c r="AL3344" s="500"/>
      <c r="AM3344" s="500"/>
      <c r="AN3344" s="500"/>
      <c r="AO3344" s="500"/>
      <c r="AP3344" s="500"/>
    </row>
    <row r="3345" spans="1:42" ht="16.5" customHeight="1">
      <c r="A3345" s="439"/>
      <c r="B3345" s="439"/>
      <c r="C3345" s="439"/>
      <c r="D3345" s="439"/>
      <c r="E3345" s="439"/>
      <c r="F3345" s="439"/>
      <c r="Z3345" s="500"/>
      <c r="AA3345" s="500"/>
      <c r="AB3345" s="500"/>
      <c r="AC3345" s="500"/>
      <c r="AD3345" s="500"/>
      <c r="AE3345" s="500"/>
      <c r="AF3345" s="500"/>
      <c r="AG3345" s="500"/>
      <c r="AH3345" s="500"/>
      <c r="AI3345" s="500"/>
      <c r="AJ3345" s="500"/>
      <c r="AK3345" s="500"/>
      <c r="AL3345" s="500"/>
      <c r="AM3345" s="500"/>
      <c r="AN3345" s="500"/>
      <c r="AO3345" s="500"/>
      <c r="AP3345" s="500"/>
    </row>
    <row r="3346" spans="1:42" ht="16.5" customHeight="1">
      <c r="A3346" s="439"/>
      <c r="B3346" s="439"/>
      <c r="C3346" s="439"/>
      <c r="D3346" s="439"/>
      <c r="E3346" s="439"/>
      <c r="F3346" s="439"/>
      <c r="Z3346" s="500"/>
      <c r="AA3346" s="500"/>
      <c r="AB3346" s="500"/>
      <c r="AC3346" s="500"/>
      <c r="AD3346" s="500"/>
      <c r="AE3346" s="500"/>
      <c r="AF3346" s="500"/>
      <c r="AG3346" s="500"/>
      <c r="AH3346" s="500"/>
      <c r="AI3346" s="500"/>
      <c r="AJ3346" s="500"/>
      <c r="AK3346" s="500"/>
      <c r="AL3346" s="500"/>
      <c r="AM3346" s="500"/>
      <c r="AN3346" s="500"/>
      <c r="AO3346" s="500"/>
      <c r="AP3346" s="500"/>
    </row>
    <row r="3347" spans="1:42" ht="16.5" customHeight="1">
      <c r="A3347" s="439"/>
      <c r="B3347" s="439"/>
      <c r="C3347" s="439"/>
      <c r="D3347" s="439"/>
      <c r="E3347" s="439"/>
      <c r="F3347" s="439"/>
      <c r="Z3347" s="500"/>
      <c r="AA3347" s="500"/>
      <c r="AB3347" s="500"/>
      <c r="AC3347" s="500"/>
      <c r="AD3347" s="500"/>
      <c r="AE3347" s="500"/>
      <c r="AF3347" s="500"/>
      <c r="AG3347" s="500"/>
      <c r="AH3347" s="500"/>
      <c r="AI3347" s="500"/>
      <c r="AJ3347" s="500"/>
      <c r="AK3347" s="500"/>
      <c r="AL3347" s="500"/>
      <c r="AM3347" s="500"/>
      <c r="AN3347" s="500"/>
      <c r="AO3347" s="500"/>
      <c r="AP3347" s="500"/>
    </row>
    <row r="3348" spans="1:42" ht="16.5" customHeight="1">
      <c r="A3348" s="439"/>
      <c r="B3348" s="439"/>
      <c r="C3348" s="439"/>
      <c r="D3348" s="439"/>
      <c r="E3348" s="439"/>
      <c r="F3348" s="439"/>
      <c r="Z3348" s="500"/>
      <c r="AA3348" s="500"/>
      <c r="AB3348" s="500"/>
      <c r="AC3348" s="500"/>
      <c r="AD3348" s="500"/>
      <c r="AE3348" s="500"/>
      <c r="AF3348" s="500"/>
      <c r="AG3348" s="500"/>
      <c r="AH3348" s="500"/>
      <c r="AI3348" s="500"/>
      <c r="AJ3348" s="500"/>
      <c r="AK3348" s="500"/>
      <c r="AL3348" s="500"/>
      <c r="AM3348" s="500"/>
      <c r="AN3348" s="500"/>
      <c r="AO3348" s="500"/>
      <c r="AP3348" s="500"/>
    </row>
    <row r="3349" spans="1:42" ht="16.5" customHeight="1">
      <c r="A3349" s="439"/>
      <c r="B3349" s="439"/>
      <c r="C3349" s="439"/>
      <c r="D3349" s="439"/>
      <c r="E3349" s="439"/>
      <c r="F3349" s="439"/>
      <c r="Z3349" s="500"/>
      <c r="AA3349" s="500"/>
      <c r="AB3349" s="500"/>
      <c r="AC3349" s="500"/>
      <c r="AD3349" s="500"/>
      <c r="AE3349" s="500"/>
      <c r="AF3349" s="500"/>
      <c r="AG3349" s="500"/>
      <c r="AH3349" s="500"/>
      <c r="AI3349" s="500"/>
      <c r="AJ3349" s="500"/>
      <c r="AK3349" s="500"/>
      <c r="AL3349" s="500"/>
      <c r="AM3349" s="500"/>
      <c r="AN3349" s="500"/>
      <c r="AO3349" s="500"/>
      <c r="AP3349" s="500"/>
    </row>
    <row r="3350" spans="1:42" ht="16.5" customHeight="1">
      <c r="A3350" s="439"/>
      <c r="B3350" s="439"/>
      <c r="C3350" s="439"/>
      <c r="D3350" s="439"/>
      <c r="E3350" s="439"/>
      <c r="F3350" s="439"/>
      <c r="Z3350" s="500"/>
      <c r="AA3350" s="500"/>
      <c r="AB3350" s="500"/>
      <c r="AC3350" s="500"/>
      <c r="AD3350" s="500"/>
      <c r="AE3350" s="500"/>
      <c r="AF3350" s="500"/>
      <c r="AG3350" s="500"/>
      <c r="AH3350" s="500"/>
      <c r="AI3350" s="500"/>
      <c r="AJ3350" s="500"/>
      <c r="AK3350" s="500"/>
      <c r="AL3350" s="500"/>
      <c r="AM3350" s="500"/>
      <c r="AN3350" s="500"/>
      <c r="AO3350" s="500"/>
      <c r="AP3350" s="500"/>
    </row>
    <row r="3351" spans="1:42" ht="16.5" customHeight="1">
      <c r="A3351" s="439"/>
      <c r="B3351" s="439"/>
      <c r="C3351" s="439"/>
      <c r="D3351" s="439"/>
      <c r="E3351" s="439"/>
      <c r="F3351" s="439"/>
      <c r="Z3351" s="500"/>
      <c r="AA3351" s="500"/>
      <c r="AB3351" s="500"/>
      <c r="AC3351" s="500"/>
      <c r="AD3351" s="500"/>
      <c r="AE3351" s="500"/>
      <c r="AF3351" s="500"/>
      <c r="AG3351" s="500"/>
      <c r="AH3351" s="500"/>
      <c r="AI3351" s="500"/>
      <c r="AJ3351" s="500"/>
      <c r="AK3351" s="500"/>
      <c r="AL3351" s="500"/>
      <c r="AM3351" s="500"/>
      <c r="AN3351" s="500"/>
      <c r="AO3351" s="500"/>
      <c r="AP3351" s="500"/>
    </row>
    <row r="3352" spans="1:42" ht="16.5" customHeight="1">
      <c r="A3352" s="439"/>
      <c r="B3352" s="439"/>
      <c r="C3352" s="439"/>
      <c r="D3352" s="439"/>
      <c r="E3352" s="439"/>
      <c r="F3352" s="439"/>
      <c r="Z3352" s="500"/>
      <c r="AA3352" s="500"/>
      <c r="AB3352" s="500"/>
      <c r="AC3352" s="500"/>
      <c r="AD3352" s="500"/>
      <c r="AE3352" s="500"/>
      <c r="AF3352" s="500"/>
      <c r="AG3352" s="500"/>
      <c r="AH3352" s="500"/>
      <c r="AI3352" s="500"/>
      <c r="AJ3352" s="500"/>
      <c r="AK3352" s="500"/>
      <c r="AL3352" s="500"/>
      <c r="AM3352" s="500"/>
      <c r="AN3352" s="500"/>
      <c r="AO3352" s="500"/>
      <c r="AP3352" s="500"/>
    </row>
    <row r="3353" spans="1:42" ht="16.5" customHeight="1">
      <c r="A3353" s="497"/>
      <c r="B3353" s="497"/>
      <c r="C3353" s="497"/>
      <c r="D3353" s="497"/>
      <c r="E3353" s="497"/>
      <c r="F3353" s="497"/>
      <c r="Z3353" s="500"/>
      <c r="AA3353" s="500"/>
      <c r="AB3353" s="500"/>
      <c r="AC3353" s="500"/>
      <c r="AD3353" s="500"/>
      <c r="AE3353" s="500"/>
      <c r="AF3353" s="500"/>
      <c r="AG3353" s="500"/>
      <c r="AH3353" s="500"/>
      <c r="AI3353" s="500"/>
      <c r="AJ3353" s="500"/>
      <c r="AK3353" s="500"/>
      <c r="AL3353" s="500"/>
      <c r="AM3353" s="500"/>
      <c r="AN3353" s="500"/>
      <c r="AO3353" s="500"/>
      <c r="AP3353" s="500"/>
    </row>
    <row r="3354" spans="1:42" ht="16.5" customHeight="1">
      <c r="A3354" s="616" t="s">
        <v>3487</v>
      </c>
      <c r="B3354" s="605"/>
      <c r="C3354" s="446">
        <f>E3354+D3354+F3354</f>
        <v>7809</v>
      </c>
      <c r="D3354" s="453">
        <f>ROUNDDOWN(SUMIF(N3307:N3339,M3354,D3307:D3339),0)</f>
        <v>7053</v>
      </c>
      <c r="E3354" s="454">
        <f>ROUNDDOWN(SUMIF(N3307:N3339,M3354,E3307:E3339),0)</f>
        <v>335</v>
      </c>
      <c r="F3354" s="446">
        <f>ROUNDDOWN(SUMIF(N3307:N3339,M3354,F3307:F3339),0)</f>
        <v>421</v>
      </c>
      <c r="M3354" s="501" t="s">
        <v>2354</v>
      </c>
      <c r="Z3354" s="500"/>
      <c r="AA3354" s="500"/>
      <c r="AB3354" s="500"/>
      <c r="AC3354" s="500"/>
      <c r="AD3354" s="500"/>
      <c r="AE3354" s="500"/>
      <c r="AF3354" s="500"/>
      <c r="AG3354" s="500"/>
      <c r="AH3354" s="500"/>
      <c r="AI3354" s="500"/>
      <c r="AJ3354" s="500"/>
      <c r="AK3354" s="500"/>
      <c r="AL3354" s="500"/>
      <c r="AM3354" s="500"/>
      <c r="AN3354" s="500"/>
      <c r="AO3354" s="500"/>
      <c r="AP3354" s="500"/>
    </row>
    <row r="3355" spans="1:42" ht="16.5" customHeight="1">
      <c r="A3355" s="502"/>
      <c r="B3355" s="503" t="s">
        <v>1473</v>
      </c>
      <c r="C3355" s="615">
        <f>C3404</f>
        <v>65145</v>
      </c>
      <c r="D3355" s="615">
        <f>D3404</f>
        <v>55832</v>
      </c>
      <c r="E3355" s="615">
        <f>E3404</f>
        <v>8197</v>
      </c>
      <c r="F3355" s="615">
        <f>F3404</f>
        <v>1116</v>
      </c>
      <c r="G3355" s="486" t="str">
        <f>HYPERLINK("#G"&amp;ROW(G3396),"_x0005_`BDCOD|D01264_x0007_`POSS|"&amp;ROW(G3357)&amp;"_x0007_`POSE|"&amp;ROW(G3396)&amp;"_x0007_`")</f>
        <v>_x0005_`BDCOD|D01264_x0007_`POSS|3357_x0007_`POSE|3396_x0007_`</v>
      </c>
      <c r="Z3355" s="500"/>
      <c r="AA3355" s="500"/>
      <c r="AB3355" s="500"/>
      <c r="AC3355" s="500"/>
      <c r="AD3355" s="500"/>
      <c r="AE3355" s="500"/>
      <c r="AF3355" s="500"/>
      <c r="AG3355" s="500"/>
      <c r="AH3355" s="500"/>
      <c r="AI3355" s="500"/>
      <c r="AJ3355" s="500"/>
      <c r="AK3355" s="500"/>
      <c r="AL3355" s="500"/>
      <c r="AM3355" s="500"/>
      <c r="AN3355" s="500"/>
      <c r="AO3355" s="500"/>
      <c r="AP3355" s="500"/>
    </row>
    <row r="3356" spans="1:42" ht="16.5" customHeight="1">
      <c r="A3356" s="485"/>
      <c r="B3356" s="503" t="s">
        <v>3731</v>
      </c>
      <c r="C3356" s="593"/>
      <c r="D3356" s="593"/>
      <c r="E3356" s="593"/>
      <c r="F3356" s="593"/>
      <c r="M3356" s="501" t="s">
        <v>1473</v>
      </c>
      <c r="Z3356" s="500"/>
      <c r="AA3356" s="500"/>
      <c r="AB3356" s="500"/>
      <c r="AC3356" s="500"/>
      <c r="AD3356" s="500"/>
      <c r="AE3356" s="500"/>
      <c r="AF3356" s="500"/>
      <c r="AG3356" s="500"/>
      <c r="AH3356" s="500"/>
      <c r="AI3356" s="500"/>
      <c r="AJ3356" s="500"/>
      <c r="AK3356" s="500"/>
      <c r="AL3356" s="500"/>
      <c r="AM3356" s="500"/>
      <c r="AN3356" s="500"/>
      <c r="AO3356" s="500"/>
      <c r="AP3356" s="500"/>
    </row>
    <row r="3357" spans="1:42" ht="16.5" customHeight="1">
      <c r="A3357" s="439"/>
      <c r="B3357" s="439"/>
      <c r="C3357" s="504"/>
      <c r="D3357" s="504"/>
      <c r="E3357" s="504"/>
      <c r="F3357" s="504"/>
      <c r="G3357" s="451" t="s">
        <v>3406</v>
      </c>
      <c r="Z3357" s="500"/>
      <c r="AA3357" s="500"/>
      <c r="AB3357" s="500"/>
      <c r="AC3357" s="500"/>
      <c r="AD3357" s="500"/>
      <c r="AE3357" s="500"/>
      <c r="AF3357" s="500"/>
      <c r="AG3357" s="500"/>
      <c r="AH3357" s="500"/>
      <c r="AI3357" s="500"/>
      <c r="AJ3357" s="500"/>
      <c r="AK3357" s="500"/>
      <c r="AL3357" s="500"/>
      <c r="AM3357" s="500"/>
      <c r="AN3357" s="500"/>
      <c r="AO3357" s="500"/>
      <c r="AP3357" s="500"/>
    </row>
    <row r="3358" spans="1:42" ht="16.5" customHeight="1">
      <c r="A3358" s="434"/>
      <c r="B3358" s="437" t="s">
        <v>3732</v>
      </c>
      <c r="C3358" s="439"/>
      <c r="D3358" s="439"/>
      <c r="E3358" s="439"/>
      <c r="F3358" s="439"/>
      <c r="G3358" s="451" t="s">
        <v>3733</v>
      </c>
      <c r="Z3358" s="500"/>
      <c r="AA3358" s="500"/>
      <c r="AB3358" s="500"/>
      <c r="AC3358" s="500"/>
      <c r="AD3358" s="500"/>
      <c r="AE3358" s="500"/>
      <c r="AF3358" s="500"/>
      <c r="AG3358" s="500"/>
      <c r="AH3358" s="500"/>
      <c r="AI3358" s="500"/>
      <c r="AJ3358" s="500"/>
      <c r="AK3358" s="500"/>
      <c r="AL3358" s="500"/>
      <c r="AM3358" s="500"/>
      <c r="AN3358" s="500"/>
      <c r="AO3358" s="500"/>
      <c r="AP3358" s="500"/>
    </row>
    <row r="3359" spans="1:42" ht="16.5" customHeight="1">
      <c r="A3359" s="439"/>
      <c r="B3359" s="439"/>
      <c r="C3359" s="439"/>
      <c r="D3359" s="439"/>
      <c r="E3359" s="439"/>
      <c r="F3359" s="439"/>
      <c r="G3359" s="451" t="s">
        <v>3406</v>
      </c>
      <c r="Z3359" s="500"/>
      <c r="AA3359" s="500"/>
      <c r="AB3359" s="500"/>
      <c r="AC3359" s="500"/>
      <c r="AD3359" s="500"/>
      <c r="AE3359" s="500"/>
      <c r="AF3359" s="500"/>
      <c r="AG3359" s="500"/>
      <c r="AH3359" s="500"/>
      <c r="AI3359" s="500"/>
      <c r="AJ3359" s="500"/>
      <c r="AK3359" s="500"/>
      <c r="AL3359" s="500"/>
      <c r="AM3359" s="500"/>
      <c r="AN3359" s="500"/>
      <c r="AO3359" s="500"/>
      <c r="AP3359" s="500"/>
    </row>
    <row r="3360" spans="1:42" ht="16.5" customHeight="1">
      <c r="A3360" s="434"/>
      <c r="B3360" s="437" t="s">
        <v>3734</v>
      </c>
      <c r="C3360" s="439"/>
      <c r="D3360" s="439"/>
      <c r="E3360" s="439"/>
      <c r="F3360" s="439"/>
      <c r="G3360" s="451" t="s">
        <v>3735</v>
      </c>
      <c r="Z3360" s="500"/>
      <c r="AA3360" s="500"/>
      <c r="AB3360" s="500"/>
      <c r="AC3360" s="500"/>
      <c r="AD3360" s="500"/>
      <c r="AE3360" s="500"/>
      <c r="AF3360" s="500"/>
      <c r="AG3360" s="500"/>
      <c r="AH3360" s="500"/>
      <c r="AI3360" s="500"/>
      <c r="AJ3360" s="500"/>
      <c r="AK3360" s="500"/>
      <c r="AL3360" s="500"/>
      <c r="AM3360" s="500"/>
      <c r="AN3360" s="500"/>
      <c r="AO3360" s="500"/>
      <c r="AP3360" s="500"/>
    </row>
    <row r="3361" spans="1:42" ht="16.5" customHeight="1">
      <c r="A3361" s="439"/>
      <c r="B3361" s="439"/>
      <c r="C3361" s="439"/>
      <c r="D3361" s="439"/>
      <c r="E3361" s="439"/>
      <c r="F3361" s="439"/>
      <c r="G3361" s="451" t="s">
        <v>3406</v>
      </c>
      <c r="Z3361" s="500"/>
      <c r="AA3361" s="500"/>
      <c r="AB3361" s="500"/>
      <c r="AC3361" s="500"/>
      <c r="AD3361" s="500"/>
      <c r="AE3361" s="500"/>
      <c r="AF3361" s="500"/>
      <c r="AG3361" s="500"/>
      <c r="AH3361" s="500"/>
      <c r="AI3361" s="500"/>
      <c r="AJ3361" s="500"/>
      <c r="AK3361" s="500"/>
      <c r="AL3361" s="500"/>
      <c r="AM3361" s="500"/>
      <c r="AN3361" s="500"/>
      <c r="AO3361" s="500"/>
      <c r="AP3361" s="500"/>
    </row>
    <row r="3362" spans="1:42" ht="16.5" customHeight="1">
      <c r="A3362" s="434"/>
      <c r="B3362" s="437" t="s">
        <v>3736</v>
      </c>
      <c r="C3362" s="439"/>
      <c r="D3362" s="439"/>
      <c r="E3362" s="439"/>
      <c r="F3362" s="439"/>
      <c r="G3362" s="451" t="s">
        <v>3737</v>
      </c>
      <c r="Z3362" s="500"/>
      <c r="AA3362" s="500"/>
      <c r="AB3362" s="500"/>
      <c r="AC3362" s="500"/>
      <c r="AD3362" s="500"/>
      <c r="AE3362" s="500"/>
      <c r="AF3362" s="500"/>
      <c r="AG3362" s="500"/>
      <c r="AH3362" s="500"/>
      <c r="AI3362" s="500"/>
      <c r="AJ3362" s="500"/>
      <c r="AK3362" s="500"/>
      <c r="AL3362" s="500"/>
      <c r="AM3362" s="500"/>
      <c r="AN3362" s="500"/>
      <c r="AO3362" s="500"/>
      <c r="AP3362" s="500"/>
    </row>
    <row r="3363" spans="1:42" ht="16.5" customHeight="1">
      <c r="A3363" s="439"/>
      <c r="B3363" s="439"/>
      <c r="C3363" s="439"/>
      <c r="D3363" s="439"/>
      <c r="E3363" s="439"/>
      <c r="F3363" s="439"/>
      <c r="G3363" s="451" t="s">
        <v>3406</v>
      </c>
      <c r="Z3363" s="500"/>
      <c r="AA3363" s="500"/>
      <c r="AB3363" s="500"/>
      <c r="AC3363" s="500"/>
      <c r="AD3363" s="500"/>
      <c r="AE3363" s="500"/>
      <c r="AF3363" s="500"/>
      <c r="AG3363" s="500"/>
      <c r="AH3363" s="500"/>
      <c r="AI3363" s="500"/>
      <c r="AJ3363" s="500"/>
      <c r="AK3363" s="500"/>
      <c r="AL3363" s="500"/>
      <c r="AM3363" s="500"/>
      <c r="AN3363" s="500"/>
      <c r="AO3363" s="500"/>
      <c r="AP3363" s="500"/>
    </row>
    <row r="3364" spans="1:42" ht="16.5" customHeight="1">
      <c r="A3364" s="434" t="s">
        <v>3738</v>
      </c>
      <c r="B3364" s="505" t="str">
        <f>"  목재덱 : "&amp;TEXT(I3364,"#,##0"&amp;IF(I3364&lt;&gt;INT(I3364),".###",""))&amp;" * "&amp;AA3364&amp;" = "&amp;TEXT(C3364,"#,##0.0")&amp;"  "</f>
        <v xml:space="preserve">  목재덱 : 124,200 * 1.1 = 136,620.0  </v>
      </c>
      <c r="C3364" s="506">
        <f>E3364+D3364+F3364</f>
        <v>136620</v>
      </c>
      <c r="D3364" s="506">
        <f>IF(H3364=0,0,ROUNDDOWN(J3364*H3364,1))</f>
        <v>0</v>
      </c>
      <c r="E3364" s="506">
        <f>IF(H3364=0,0,ROUNDDOWN(K3364*H3364,1))</f>
        <v>136620</v>
      </c>
      <c r="F3364" s="506">
        <f>IF(H3364=0,0,ROUNDDOWN(L3364*H3364,1))</f>
        <v>0</v>
      </c>
      <c r="G3364" s="451" t="s">
        <v>3739</v>
      </c>
      <c r="H3364" s="507">
        <f>ROUNDUP(AC3364,14-LEN(ABS(INT(AC3364))))</f>
        <v>1.1000000000000001</v>
      </c>
      <c r="I3364" s="508">
        <f>K3364+J3364+L3364</f>
        <v>124200</v>
      </c>
      <c r="K3364" s="509">
        <f>재료비목록표!E34</f>
        <v>124200</v>
      </c>
      <c r="M3364" s="501" t="s">
        <v>3740</v>
      </c>
      <c r="N3364" s="501" t="s">
        <v>3741</v>
      </c>
      <c r="O3364" s="501" t="s">
        <v>2355</v>
      </c>
      <c r="X3364" s="510" t="str">
        <f>재료비목록표!B34&amp;" / "&amp;재료비목록표!C34</f>
        <v>목재덱 / 90*21T, 카스</v>
      </c>
      <c r="Y3364" s="433" t="str">
        <f ca="1">HYPERLINK("#"&amp;재료비목록표!G2&amp;"!A"&amp;ROW(재료비목록표!A34),"M08816 →")</f>
        <v>M08816 →</v>
      </c>
      <c r="Z3364" s="501" t="s">
        <v>3500</v>
      </c>
      <c r="AA3364" s="511">
        <v>1.1000000000000001</v>
      </c>
      <c r="AB3364" s="501" t="s">
        <v>3418</v>
      </c>
      <c r="AC3364" s="512">
        <f>1*AA3364</f>
        <v>1.1000000000000001</v>
      </c>
      <c r="AD3364" s="500"/>
      <c r="AE3364" s="500"/>
      <c r="AF3364" s="500"/>
      <c r="AG3364" s="500"/>
      <c r="AH3364" s="500"/>
      <c r="AI3364" s="500"/>
      <c r="AJ3364" s="500"/>
      <c r="AK3364" s="500"/>
      <c r="AL3364" s="500"/>
      <c r="AM3364" s="500"/>
      <c r="AN3364" s="500"/>
      <c r="AO3364" s="500"/>
      <c r="AP3364" s="500"/>
    </row>
    <row r="3365" spans="1:42" ht="16.5" customHeight="1">
      <c r="A3365" s="439"/>
      <c r="B3365" s="439"/>
      <c r="C3365" s="439"/>
      <c r="D3365" s="439"/>
      <c r="E3365" s="439"/>
      <c r="F3365" s="439"/>
      <c r="G3365" s="451" t="s">
        <v>3406</v>
      </c>
      <c r="Z3365" s="500"/>
      <c r="AA3365" s="500"/>
      <c r="AB3365" s="500"/>
      <c r="AC3365" s="500"/>
      <c r="AD3365" s="500"/>
      <c r="AE3365" s="500"/>
      <c r="AF3365" s="500"/>
      <c r="AG3365" s="500"/>
      <c r="AH3365" s="500"/>
      <c r="AI3365" s="500"/>
      <c r="AJ3365" s="500"/>
      <c r="AK3365" s="500"/>
      <c r="AL3365" s="500"/>
      <c r="AM3365" s="500"/>
      <c r="AN3365" s="500"/>
      <c r="AO3365" s="500"/>
      <c r="AP3365" s="500"/>
    </row>
    <row r="3366" spans="1:42" ht="16.5" customHeight="1">
      <c r="A3366" s="434"/>
      <c r="B3366" s="437" t="s">
        <v>3419</v>
      </c>
      <c r="C3366" s="513">
        <f>E3366+D3366+F3366</f>
        <v>0</v>
      </c>
      <c r="D3366" s="513">
        <f>SUMIF(N3357:N3365,M3366,D3357:D3365)</f>
        <v>0</v>
      </c>
      <c r="E3366" s="513">
        <f>SUMIF(N3357:N3365,M3366,E3357:E3365)</f>
        <v>0</v>
      </c>
      <c r="F3366" s="513">
        <f>SUMIF(N3357:N3365,M3366,F3357:F3365)</f>
        <v>0</v>
      </c>
      <c r="G3366" s="451" t="s">
        <v>3420</v>
      </c>
      <c r="M3366" s="501" t="s">
        <v>3416</v>
      </c>
      <c r="N3366" s="501" t="s">
        <v>3421</v>
      </c>
      <c r="Z3366" s="500"/>
      <c r="AA3366" s="500"/>
      <c r="AB3366" s="500"/>
      <c r="AC3366" s="500"/>
      <c r="AD3366" s="500"/>
      <c r="AE3366" s="500"/>
      <c r="AF3366" s="500"/>
      <c r="AG3366" s="500"/>
      <c r="AH3366" s="500"/>
      <c r="AI3366" s="500"/>
      <c r="AJ3366" s="500"/>
      <c r="AK3366" s="500"/>
      <c r="AL3366" s="500"/>
      <c r="AM3366" s="500"/>
      <c r="AN3366" s="500"/>
      <c r="AO3366" s="500"/>
      <c r="AP3366" s="500"/>
    </row>
    <row r="3367" spans="1:42" ht="16.5" customHeight="1">
      <c r="A3367" s="439"/>
      <c r="B3367" s="439"/>
      <c r="C3367" s="504"/>
      <c r="D3367" s="504"/>
      <c r="E3367" s="504"/>
      <c r="F3367" s="504"/>
      <c r="G3367" s="451" t="s">
        <v>3406</v>
      </c>
      <c r="Z3367" s="500"/>
      <c r="AA3367" s="500"/>
      <c r="AB3367" s="500"/>
      <c r="AC3367" s="500"/>
      <c r="AD3367" s="500"/>
      <c r="AE3367" s="500"/>
      <c r="AF3367" s="500"/>
      <c r="AG3367" s="500"/>
      <c r="AH3367" s="500"/>
      <c r="AI3367" s="500"/>
      <c r="AJ3367" s="500"/>
      <c r="AK3367" s="500"/>
      <c r="AL3367" s="500"/>
      <c r="AM3367" s="500"/>
      <c r="AN3367" s="500"/>
      <c r="AO3367" s="500"/>
      <c r="AP3367" s="500"/>
    </row>
    <row r="3368" spans="1:42" ht="16.5" customHeight="1">
      <c r="A3368" s="434"/>
      <c r="B3368" s="505" t="str">
        <f>"  잡재료 및 소모재료 : "&amp;TEXT(I3368,"#,##0.0")&amp;" *  주재료비의 "&amp;AA3368&amp;" %  = "&amp;TEXT(C3368,"#,##0.0")&amp;""</f>
        <v xml:space="preserve">  잡재료 및 소모재료 : 136,620.0 *  주재료비의 6 %  = 8,197.2</v>
      </c>
      <c r="C3368" s="506">
        <f>E3368+D3368+F3368</f>
        <v>8197.2000000000007</v>
      </c>
      <c r="D3368" s="506">
        <f>IF(H3368=0,0,ROUNDDOWN(J3368*H3368/100,1))</f>
        <v>0</v>
      </c>
      <c r="E3368" s="506">
        <f>IF(H3368=0,0,ROUNDDOWN(K3368*H3368/100,1))</f>
        <v>8197.2000000000007</v>
      </c>
      <c r="F3368" s="506">
        <f>IF(H3368=0,0,ROUNDDOWN(L3368*H3368/100,1))</f>
        <v>0</v>
      </c>
      <c r="G3368" s="451" t="s">
        <v>3742</v>
      </c>
      <c r="H3368" s="507">
        <f>ROUNDUP(AC3368,14-LEN(ABS(INT(AC3368))))</f>
        <v>6</v>
      </c>
      <c r="I3368" s="508">
        <f>K3368+J3368+L3368</f>
        <v>136620</v>
      </c>
      <c r="J3368" s="456">
        <v>0</v>
      </c>
      <c r="K3368" s="509">
        <f>E3364</f>
        <v>136620</v>
      </c>
      <c r="L3368" s="456">
        <v>0</v>
      </c>
      <c r="M3368" s="501" t="s">
        <v>3743</v>
      </c>
      <c r="N3368" s="501" t="s">
        <v>3416</v>
      </c>
      <c r="Z3368" s="501" t="s">
        <v>3500</v>
      </c>
      <c r="AA3368" s="515">
        <v>6</v>
      </c>
      <c r="AB3368" s="501" t="s">
        <v>3418</v>
      </c>
      <c r="AC3368" s="512">
        <f>1*AA3368</f>
        <v>6</v>
      </c>
      <c r="AD3368" s="500"/>
      <c r="AE3368" s="500"/>
      <c r="AF3368" s="500"/>
      <c r="AG3368" s="500"/>
      <c r="AH3368" s="500"/>
      <c r="AI3368" s="500"/>
      <c r="AJ3368" s="500"/>
      <c r="AK3368" s="500"/>
      <c r="AL3368" s="500"/>
      <c r="AM3368" s="500"/>
      <c r="AN3368" s="500"/>
      <c r="AO3368" s="500"/>
      <c r="AP3368" s="500"/>
    </row>
    <row r="3369" spans="1:42" ht="16.5" customHeight="1">
      <c r="A3369" s="439"/>
      <c r="B3369" s="439"/>
      <c r="C3369" s="439"/>
      <c r="D3369" s="439"/>
      <c r="E3369" s="439"/>
      <c r="F3369" s="439"/>
      <c r="G3369" s="451" t="s">
        <v>3406</v>
      </c>
      <c r="Z3369" s="500"/>
      <c r="AA3369" s="500"/>
      <c r="AB3369" s="500"/>
      <c r="AC3369" s="500"/>
      <c r="AD3369" s="500"/>
      <c r="AE3369" s="500"/>
      <c r="AF3369" s="500"/>
      <c r="AG3369" s="500"/>
      <c r="AH3369" s="500"/>
      <c r="AI3369" s="500"/>
      <c r="AJ3369" s="500"/>
      <c r="AK3369" s="500"/>
      <c r="AL3369" s="500"/>
      <c r="AM3369" s="500"/>
      <c r="AN3369" s="500"/>
      <c r="AO3369" s="500"/>
      <c r="AP3369" s="500"/>
    </row>
    <row r="3370" spans="1:42" ht="16.5" customHeight="1">
      <c r="A3370" s="434"/>
      <c r="B3370" s="437" t="s">
        <v>3419</v>
      </c>
      <c r="C3370" s="513">
        <f>E3370+D3370+F3370</f>
        <v>8197.2000000000007</v>
      </c>
      <c r="D3370" s="513">
        <f>SUMIF(N3367:N3369,M3370,D3367:D3369)</f>
        <v>0</v>
      </c>
      <c r="E3370" s="513">
        <f>SUMIF(N3367:N3369,M3370,E3367:E3369)</f>
        <v>8197.2000000000007</v>
      </c>
      <c r="F3370" s="513">
        <f>SUMIF(N3367:N3369,M3370,F3367:F3369)</f>
        <v>0</v>
      </c>
      <c r="G3370" s="451" t="s">
        <v>3420</v>
      </c>
      <c r="M3370" s="501" t="s">
        <v>3416</v>
      </c>
      <c r="N3370" s="501" t="s">
        <v>3421</v>
      </c>
      <c r="Z3370" s="500"/>
      <c r="AA3370" s="500"/>
      <c r="AB3370" s="500"/>
      <c r="AC3370" s="500"/>
      <c r="AD3370" s="500"/>
      <c r="AE3370" s="500"/>
      <c r="AF3370" s="500"/>
      <c r="AG3370" s="500"/>
      <c r="AH3370" s="500"/>
      <c r="AI3370" s="500"/>
      <c r="AJ3370" s="500"/>
      <c r="AK3370" s="500"/>
      <c r="AL3370" s="500"/>
      <c r="AM3370" s="500"/>
      <c r="AN3370" s="500"/>
      <c r="AO3370" s="500"/>
      <c r="AP3370" s="500"/>
    </row>
    <row r="3371" spans="1:42" ht="16.5" customHeight="1">
      <c r="A3371" s="439"/>
      <c r="B3371" s="439"/>
      <c r="C3371" s="504"/>
      <c r="D3371" s="504"/>
      <c r="E3371" s="504"/>
      <c r="F3371" s="504"/>
      <c r="G3371" s="451" t="s">
        <v>3406</v>
      </c>
      <c r="Z3371" s="500"/>
      <c r="AA3371" s="500"/>
      <c r="AB3371" s="500"/>
      <c r="AC3371" s="500"/>
      <c r="AD3371" s="500"/>
      <c r="AE3371" s="500"/>
      <c r="AF3371" s="500"/>
      <c r="AG3371" s="500"/>
      <c r="AH3371" s="500"/>
      <c r="AI3371" s="500"/>
      <c r="AJ3371" s="500"/>
      <c r="AK3371" s="500"/>
      <c r="AL3371" s="500"/>
      <c r="AM3371" s="500"/>
      <c r="AN3371" s="500"/>
      <c r="AO3371" s="500"/>
      <c r="AP3371" s="500"/>
    </row>
    <row r="3372" spans="1:42" ht="16.5" customHeight="1">
      <c r="A3372" s="434"/>
      <c r="B3372" s="437" t="s">
        <v>3440</v>
      </c>
      <c r="C3372" s="513">
        <f>E3372+D3372+F3372</f>
        <v>8197.2000000000007</v>
      </c>
      <c r="D3372" s="513">
        <f>SUMIF(N3357:N3371,M3372,D3357:D3371)</f>
        <v>0</v>
      </c>
      <c r="E3372" s="513">
        <f>SUMIF(N3357:N3371,M3372,E3357:E3371)</f>
        <v>8197.2000000000007</v>
      </c>
      <c r="F3372" s="513">
        <f>SUMIF(N3357:N3371,M3372,F3357:F3371)</f>
        <v>0</v>
      </c>
      <c r="G3372" s="451" t="s">
        <v>3484</v>
      </c>
      <c r="M3372" s="501" t="s">
        <v>3421</v>
      </c>
      <c r="N3372" s="501" t="s">
        <v>3442</v>
      </c>
      <c r="Z3372" s="500"/>
      <c r="AA3372" s="500"/>
      <c r="AB3372" s="500"/>
      <c r="AC3372" s="500"/>
      <c r="AD3372" s="500"/>
      <c r="AE3372" s="500"/>
      <c r="AF3372" s="500"/>
      <c r="AG3372" s="500"/>
      <c r="AH3372" s="500"/>
      <c r="AI3372" s="500"/>
      <c r="AJ3372" s="500"/>
      <c r="AK3372" s="500"/>
      <c r="AL3372" s="500"/>
      <c r="AM3372" s="500"/>
      <c r="AN3372" s="500"/>
      <c r="AO3372" s="500"/>
      <c r="AP3372" s="500"/>
    </row>
    <row r="3373" spans="1:42" ht="16.5" customHeight="1">
      <c r="A3373" s="439"/>
      <c r="B3373" s="439"/>
      <c r="C3373" s="504"/>
      <c r="D3373" s="504"/>
      <c r="E3373" s="504"/>
      <c r="F3373" s="504"/>
      <c r="G3373" s="451" t="s">
        <v>3406</v>
      </c>
      <c r="Z3373" s="500"/>
      <c r="AA3373" s="500"/>
      <c r="AB3373" s="500"/>
      <c r="AC3373" s="500"/>
      <c r="AD3373" s="500"/>
      <c r="AE3373" s="500"/>
      <c r="AF3373" s="500"/>
      <c r="AG3373" s="500"/>
      <c r="AH3373" s="500"/>
      <c r="AI3373" s="500"/>
      <c r="AJ3373" s="500"/>
      <c r="AK3373" s="500"/>
      <c r="AL3373" s="500"/>
      <c r="AM3373" s="500"/>
      <c r="AN3373" s="500"/>
      <c r="AO3373" s="500"/>
      <c r="AP3373" s="500"/>
    </row>
    <row r="3374" spans="1:42" ht="16.5" customHeight="1">
      <c r="A3374" s="439"/>
      <c r="B3374" s="439"/>
      <c r="C3374" s="439"/>
      <c r="D3374" s="439"/>
      <c r="E3374" s="439"/>
      <c r="F3374" s="439"/>
      <c r="G3374" s="451" t="s">
        <v>3406</v>
      </c>
      <c r="Z3374" s="500"/>
      <c r="AA3374" s="500"/>
      <c r="AB3374" s="500"/>
      <c r="AC3374" s="500"/>
      <c r="AD3374" s="500"/>
      <c r="AE3374" s="500"/>
      <c r="AF3374" s="500"/>
      <c r="AG3374" s="500"/>
      <c r="AH3374" s="500"/>
      <c r="AI3374" s="500"/>
      <c r="AJ3374" s="500"/>
      <c r="AK3374" s="500"/>
      <c r="AL3374" s="500"/>
      <c r="AM3374" s="500"/>
      <c r="AN3374" s="500"/>
      <c r="AO3374" s="500"/>
      <c r="AP3374" s="500"/>
    </row>
    <row r="3375" spans="1:42" ht="16.5" customHeight="1">
      <c r="A3375" s="439"/>
      <c r="B3375" s="439"/>
      <c r="C3375" s="439"/>
      <c r="D3375" s="439"/>
      <c r="E3375" s="439"/>
      <c r="F3375" s="439"/>
      <c r="G3375" s="451" t="s">
        <v>3406</v>
      </c>
      <c r="Z3375" s="500"/>
      <c r="AA3375" s="500"/>
      <c r="AB3375" s="500"/>
      <c r="AC3375" s="500"/>
      <c r="AD3375" s="500"/>
      <c r="AE3375" s="500"/>
      <c r="AF3375" s="500"/>
      <c r="AG3375" s="500"/>
      <c r="AH3375" s="500"/>
      <c r="AI3375" s="500"/>
      <c r="AJ3375" s="500"/>
      <c r="AK3375" s="500"/>
      <c r="AL3375" s="500"/>
      <c r="AM3375" s="500"/>
      <c r="AN3375" s="500"/>
      <c r="AO3375" s="500"/>
      <c r="AP3375" s="500"/>
    </row>
    <row r="3376" spans="1:42" ht="16.5" customHeight="1">
      <c r="A3376" s="439"/>
      <c r="B3376" s="439"/>
      <c r="C3376" s="439"/>
      <c r="D3376" s="439"/>
      <c r="E3376" s="439"/>
      <c r="F3376" s="439"/>
      <c r="G3376" s="451" t="s">
        <v>3406</v>
      </c>
      <c r="Z3376" s="500"/>
      <c r="AA3376" s="500"/>
      <c r="AB3376" s="500"/>
      <c r="AC3376" s="500"/>
      <c r="AD3376" s="500"/>
      <c r="AE3376" s="500"/>
      <c r="AF3376" s="500"/>
      <c r="AG3376" s="500"/>
      <c r="AH3376" s="500"/>
      <c r="AI3376" s="500"/>
      <c r="AJ3376" s="500"/>
      <c r="AK3376" s="500"/>
      <c r="AL3376" s="500"/>
      <c r="AM3376" s="500"/>
      <c r="AN3376" s="500"/>
      <c r="AO3376" s="500"/>
      <c r="AP3376" s="500"/>
    </row>
    <row r="3377" spans="1:42" ht="16.5" customHeight="1">
      <c r="A3377" s="434"/>
      <c r="B3377" s="437" t="s">
        <v>3744</v>
      </c>
      <c r="C3377" s="439"/>
      <c r="D3377" s="439"/>
      <c r="E3377" s="439"/>
      <c r="F3377" s="439"/>
      <c r="G3377" s="451" t="s">
        <v>3745</v>
      </c>
      <c r="Z3377" s="500"/>
      <c r="AA3377" s="500"/>
      <c r="AB3377" s="500"/>
      <c r="AC3377" s="500"/>
      <c r="AD3377" s="500"/>
      <c r="AE3377" s="500"/>
      <c r="AF3377" s="500"/>
      <c r="AG3377" s="500"/>
      <c r="AH3377" s="500"/>
      <c r="AI3377" s="500"/>
      <c r="AJ3377" s="500"/>
      <c r="AK3377" s="500"/>
      <c r="AL3377" s="500"/>
      <c r="AM3377" s="500"/>
      <c r="AN3377" s="500"/>
      <c r="AO3377" s="500"/>
      <c r="AP3377" s="500"/>
    </row>
    <row r="3378" spans="1:42" ht="16.5" customHeight="1">
      <c r="A3378" s="439"/>
      <c r="B3378" s="439"/>
      <c r="C3378" s="439"/>
      <c r="D3378" s="439"/>
      <c r="E3378" s="439"/>
      <c r="F3378" s="439"/>
      <c r="G3378" s="451" t="s">
        <v>3406</v>
      </c>
      <c r="Z3378" s="500"/>
      <c r="AA3378" s="500"/>
      <c r="AB3378" s="500"/>
      <c r="AC3378" s="500"/>
      <c r="AD3378" s="500"/>
      <c r="AE3378" s="500"/>
      <c r="AF3378" s="500"/>
      <c r="AG3378" s="500"/>
      <c r="AH3378" s="500"/>
      <c r="AI3378" s="500"/>
      <c r="AJ3378" s="500"/>
      <c r="AK3378" s="500"/>
      <c r="AL3378" s="500"/>
      <c r="AM3378" s="500"/>
      <c r="AN3378" s="500"/>
      <c r="AO3378" s="500"/>
      <c r="AP3378" s="500"/>
    </row>
    <row r="3379" spans="1:42" ht="16.5" customHeight="1">
      <c r="A3379" s="434"/>
      <c r="B3379" s="437" t="s">
        <v>3746</v>
      </c>
      <c r="C3379" s="439"/>
      <c r="D3379" s="439"/>
      <c r="E3379" s="439"/>
      <c r="F3379" s="439"/>
      <c r="G3379" s="451" t="s">
        <v>3747</v>
      </c>
      <c r="Z3379" s="500"/>
      <c r="AA3379" s="500"/>
      <c r="AB3379" s="500"/>
      <c r="AC3379" s="500"/>
      <c r="AD3379" s="500"/>
      <c r="AE3379" s="500"/>
      <c r="AF3379" s="500"/>
      <c r="AG3379" s="500"/>
      <c r="AH3379" s="500"/>
      <c r="AI3379" s="500"/>
      <c r="AJ3379" s="500"/>
      <c r="AK3379" s="500"/>
      <c r="AL3379" s="500"/>
      <c r="AM3379" s="500"/>
      <c r="AN3379" s="500"/>
      <c r="AO3379" s="500"/>
      <c r="AP3379" s="500"/>
    </row>
    <row r="3380" spans="1:42" ht="16.5" customHeight="1">
      <c r="A3380" s="439"/>
      <c r="B3380" s="439"/>
      <c r="C3380" s="439"/>
      <c r="D3380" s="439"/>
      <c r="E3380" s="439"/>
      <c r="F3380" s="439"/>
      <c r="G3380" s="451" t="s">
        <v>3406</v>
      </c>
      <c r="Z3380" s="500"/>
      <c r="AA3380" s="500"/>
      <c r="AB3380" s="500"/>
      <c r="AC3380" s="500"/>
      <c r="AD3380" s="500"/>
      <c r="AE3380" s="500"/>
      <c r="AF3380" s="500"/>
      <c r="AG3380" s="500"/>
      <c r="AH3380" s="500"/>
      <c r="AI3380" s="500"/>
      <c r="AJ3380" s="500"/>
      <c r="AK3380" s="500"/>
      <c r="AL3380" s="500"/>
      <c r="AM3380" s="500"/>
      <c r="AN3380" s="500"/>
      <c r="AO3380" s="500"/>
      <c r="AP3380" s="500"/>
    </row>
    <row r="3381" spans="1:42" ht="16.5" customHeight="1">
      <c r="A3381" s="434"/>
      <c r="B3381" s="437" t="s">
        <v>3748</v>
      </c>
      <c r="C3381" s="439"/>
      <c r="D3381" s="439"/>
      <c r="E3381" s="439"/>
      <c r="F3381" s="439"/>
      <c r="G3381" s="451" t="s">
        <v>3749</v>
      </c>
      <c r="Z3381" s="500"/>
      <c r="AA3381" s="500"/>
      <c r="AB3381" s="500"/>
      <c r="AC3381" s="500"/>
      <c r="AD3381" s="500"/>
      <c r="AE3381" s="500"/>
      <c r="AF3381" s="500"/>
      <c r="AG3381" s="500"/>
      <c r="AH3381" s="500"/>
      <c r="AI3381" s="500"/>
      <c r="AJ3381" s="500"/>
      <c r="AK3381" s="500"/>
      <c r="AL3381" s="500"/>
      <c r="AM3381" s="500"/>
      <c r="AN3381" s="500"/>
      <c r="AO3381" s="500"/>
      <c r="AP3381" s="500"/>
    </row>
    <row r="3382" spans="1:42" ht="16.5" customHeight="1">
      <c r="A3382" s="439"/>
      <c r="B3382" s="439"/>
      <c r="C3382" s="439"/>
      <c r="D3382" s="439"/>
      <c r="E3382" s="439"/>
      <c r="F3382" s="439"/>
      <c r="G3382" s="451" t="s">
        <v>3406</v>
      </c>
      <c r="Z3382" s="500"/>
      <c r="AA3382" s="500"/>
      <c r="AB3382" s="500"/>
      <c r="AC3382" s="500"/>
      <c r="AD3382" s="500"/>
      <c r="AE3382" s="500"/>
      <c r="AF3382" s="500"/>
      <c r="AG3382" s="500"/>
      <c r="AH3382" s="500"/>
      <c r="AI3382" s="500"/>
      <c r="AJ3382" s="500"/>
      <c r="AK3382" s="500"/>
      <c r="AL3382" s="500"/>
      <c r="AM3382" s="500"/>
      <c r="AN3382" s="500"/>
      <c r="AO3382" s="500"/>
      <c r="AP3382" s="500"/>
    </row>
    <row r="3383" spans="1:42" ht="16.5" customHeight="1">
      <c r="A3383" s="434" t="s">
        <v>3750</v>
      </c>
      <c r="B3383" s="505" t="str">
        <f>"   "&amp;Z3383&amp;" 인  / "&amp;AB3383&amp;" ㎡  *  건축목공 : "&amp;TEXT(I3383,"#,##0"&amp;IF(I3383&lt;&gt;INT(I3383),".###",""))&amp;" = "&amp;TEXT(C3383,"#,##0.0")&amp;" "</f>
        <v xml:space="preserve">   3 인  / 18 ㎡  *  건축목공 : 277,642 = 46,273.6 </v>
      </c>
      <c r="C3383" s="506">
        <f>E3383+D3383+F3383</f>
        <v>46273.599999999999</v>
      </c>
      <c r="D3383" s="506">
        <f>IF(H3383=0,0,ROUNDDOWN(J3383*H3383,1))</f>
        <v>46273.599999999999</v>
      </c>
      <c r="E3383" s="506">
        <f>IF(H3383=0,0,ROUNDDOWN(K3383*H3383,1))</f>
        <v>0</v>
      </c>
      <c r="F3383" s="506">
        <f>IF(H3383=0,0,ROUNDDOWN(L3383*H3383,1))</f>
        <v>0</v>
      </c>
      <c r="G3383" s="451" t="s">
        <v>3751</v>
      </c>
      <c r="H3383" s="507">
        <f>ROUNDUP(AE3383,14-LEN(ABS(INT(AE3383))))</f>
        <v>0.16666666666669999</v>
      </c>
      <c r="I3383" s="508">
        <f>K3383+J3383+L3383</f>
        <v>277642</v>
      </c>
      <c r="J3383" s="509">
        <f>노무비목록표!E5</f>
        <v>277642</v>
      </c>
      <c r="M3383" s="501" t="s">
        <v>2624</v>
      </c>
      <c r="N3383" s="501" t="s">
        <v>3421</v>
      </c>
      <c r="O3383" s="501" t="s">
        <v>3752</v>
      </c>
      <c r="X3383" s="510" t="str">
        <f>노무비목록표!B5&amp;" / "&amp;노무비목록표!C5</f>
        <v xml:space="preserve">건축목공 / </v>
      </c>
      <c r="Y3383" s="433" t="str">
        <f ca="1">HYPERLINK("#"&amp;노무비목록표!G2&amp;"!A"&amp;ROW(노무비목록표!A5),"L00182 →")</f>
        <v>L00182 →</v>
      </c>
      <c r="Z3383" s="515">
        <v>3</v>
      </c>
      <c r="AA3383" s="501" t="s">
        <v>3428</v>
      </c>
      <c r="AB3383" s="515">
        <v>18</v>
      </c>
      <c r="AC3383" s="501" t="s">
        <v>3753</v>
      </c>
      <c r="AD3383" s="501" t="s">
        <v>3418</v>
      </c>
      <c r="AE3383" s="512">
        <f>Z3383/AB3383*1</f>
        <v>0.16666666666666666</v>
      </c>
      <c r="AF3383" s="500"/>
      <c r="AG3383" s="500"/>
      <c r="AH3383" s="500"/>
      <c r="AI3383" s="500"/>
      <c r="AJ3383" s="500"/>
      <c r="AK3383" s="500"/>
      <c r="AL3383" s="500"/>
      <c r="AM3383" s="500"/>
      <c r="AN3383" s="500"/>
      <c r="AO3383" s="500"/>
      <c r="AP3383" s="500"/>
    </row>
    <row r="3384" spans="1:42" ht="16.5" customHeight="1">
      <c r="A3384" s="439"/>
      <c r="B3384" s="439"/>
      <c r="C3384" s="439"/>
      <c r="D3384" s="439"/>
      <c r="E3384" s="439"/>
      <c r="F3384" s="439"/>
      <c r="G3384" s="451" t="s">
        <v>3406</v>
      </c>
      <c r="Z3384" s="500"/>
      <c r="AA3384" s="500"/>
      <c r="AB3384" s="500"/>
      <c r="AC3384" s="500"/>
      <c r="AD3384" s="500"/>
      <c r="AE3384" s="500"/>
      <c r="AF3384" s="500"/>
      <c r="AG3384" s="500"/>
      <c r="AH3384" s="500"/>
      <c r="AI3384" s="500"/>
      <c r="AJ3384" s="500"/>
      <c r="AK3384" s="500"/>
      <c r="AL3384" s="500"/>
      <c r="AM3384" s="500"/>
      <c r="AN3384" s="500"/>
      <c r="AO3384" s="500"/>
      <c r="AP3384" s="500"/>
    </row>
    <row r="3385" spans="1:42" ht="16.5" customHeight="1">
      <c r="A3385" s="439"/>
      <c r="B3385" s="439"/>
      <c r="C3385" s="439"/>
      <c r="D3385" s="439"/>
      <c r="E3385" s="439"/>
      <c r="F3385" s="439"/>
      <c r="G3385" s="451" t="s">
        <v>3406</v>
      </c>
      <c r="Z3385" s="500"/>
      <c r="AA3385" s="500"/>
      <c r="AB3385" s="500"/>
      <c r="AC3385" s="500"/>
      <c r="AD3385" s="500"/>
      <c r="AE3385" s="500"/>
      <c r="AF3385" s="500"/>
      <c r="AG3385" s="500"/>
      <c r="AH3385" s="500"/>
      <c r="AI3385" s="500"/>
      <c r="AJ3385" s="500"/>
      <c r="AK3385" s="500"/>
      <c r="AL3385" s="500"/>
      <c r="AM3385" s="500"/>
      <c r="AN3385" s="500"/>
      <c r="AO3385" s="500"/>
      <c r="AP3385" s="500"/>
    </row>
    <row r="3386" spans="1:42" ht="16.5" customHeight="1">
      <c r="A3386" s="434"/>
      <c r="B3386" s="437" t="s">
        <v>3754</v>
      </c>
      <c r="C3386" s="439"/>
      <c r="D3386" s="439"/>
      <c r="E3386" s="439"/>
      <c r="F3386" s="439"/>
      <c r="G3386" s="451" t="s">
        <v>3755</v>
      </c>
      <c r="Z3386" s="500"/>
      <c r="AA3386" s="500"/>
      <c r="AB3386" s="500"/>
      <c r="AC3386" s="500"/>
      <c r="AD3386" s="500"/>
      <c r="AE3386" s="500"/>
      <c r="AF3386" s="500"/>
      <c r="AG3386" s="500"/>
      <c r="AH3386" s="500"/>
      <c r="AI3386" s="500"/>
      <c r="AJ3386" s="500"/>
      <c r="AK3386" s="500"/>
      <c r="AL3386" s="500"/>
      <c r="AM3386" s="500"/>
      <c r="AN3386" s="500"/>
      <c r="AO3386" s="500"/>
      <c r="AP3386" s="500"/>
    </row>
    <row r="3387" spans="1:42" ht="16.5" customHeight="1">
      <c r="A3387" s="439"/>
      <c r="B3387" s="439"/>
      <c r="C3387" s="439"/>
      <c r="D3387" s="439"/>
      <c r="E3387" s="439"/>
      <c r="F3387" s="439"/>
      <c r="G3387" s="451" t="s">
        <v>3406</v>
      </c>
      <c r="Z3387" s="500"/>
      <c r="AA3387" s="500"/>
      <c r="AB3387" s="500"/>
      <c r="AC3387" s="500"/>
      <c r="AD3387" s="500"/>
      <c r="AE3387" s="500"/>
      <c r="AF3387" s="500"/>
      <c r="AG3387" s="500"/>
      <c r="AH3387" s="500"/>
      <c r="AI3387" s="500"/>
      <c r="AJ3387" s="500"/>
      <c r="AK3387" s="500"/>
      <c r="AL3387" s="500"/>
      <c r="AM3387" s="500"/>
      <c r="AN3387" s="500"/>
      <c r="AO3387" s="500"/>
      <c r="AP3387" s="500"/>
    </row>
    <row r="3388" spans="1:42" ht="16.5" customHeight="1">
      <c r="A3388" s="434" t="s">
        <v>3414</v>
      </c>
      <c r="B3388" s="505" t="str">
        <f>"   "&amp;Z3388&amp;" 인  / "&amp;AB3388&amp;" ㎡  *  보통인부 : "&amp;TEXT(I3388,"#,##0"&amp;IF(I3388&lt;&gt;INT(I3388),".###",""))&amp;" = "&amp;TEXT(C3388,"#,##0.0")&amp;" "</f>
        <v xml:space="preserve">   1 인  / 18 ㎡  *  보통인부 : 172,068 = 9,559.3 </v>
      </c>
      <c r="C3388" s="506">
        <f>E3388+D3388+F3388</f>
        <v>9559.2999999999993</v>
      </c>
      <c r="D3388" s="506">
        <f>IF(H3388=0,0,ROUNDDOWN(J3388*H3388,1))</f>
        <v>9559.2999999999993</v>
      </c>
      <c r="E3388" s="506">
        <f>IF(H3388=0,0,ROUNDDOWN(K3388*H3388,1))</f>
        <v>0</v>
      </c>
      <c r="F3388" s="506">
        <f>IF(H3388=0,0,ROUNDDOWN(L3388*H3388,1))</f>
        <v>0</v>
      </c>
      <c r="G3388" s="451" t="s">
        <v>3756</v>
      </c>
      <c r="H3388" s="507">
        <f>ROUNDUP(AE3388,14-LEN(ABS(INT(AE3388))))</f>
        <v>5.5555555555600003E-2</v>
      </c>
      <c r="I3388" s="508">
        <f>K3388+J3388+L3388</f>
        <v>172068</v>
      </c>
      <c r="J3388" s="509">
        <f>노무비목록표!E10</f>
        <v>172068</v>
      </c>
      <c r="M3388" s="501" t="s">
        <v>2363</v>
      </c>
      <c r="N3388" s="501" t="s">
        <v>3421</v>
      </c>
      <c r="O3388" s="501" t="s">
        <v>3752</v>
      </c>
      <c r="X3388" s="510" t="str">
        <f>노무비목록표!B10&amp;" / "&amp;노무비목록표!C10</f>
        <v xml:space="preserve">보통인부 / </v>
      </c>
      <c r="Y3388" s="433" t="str">
        <f ca="1">HYPERLINK("#"&amp;노무비목록표!G2&amp;"!A"&amp;ROW(노무비목록표!A10),"L00017 →")</f>
        <v>L00017 →</v>
      </c>
      <c r="Z3388" s="515">
        <v>1</v>
      </c>
      <c r="AA3388" s="501" t="s">
        <v>3428</v>
      </c>
      <c r="AB3388" s="515">
        <v>18</v>
      </c>
      <c r="AC3388" s="501" t="s">
        <v>3753</v>
      </c>
      <c r="AD3388" s="501" t="s">
        <v>3418</v>
      </c>
      <c r="AE3388" s="512">
        <f>Z3388/AB3388*1</f>
        <v>5.5555555555555552E-2</v>
      </c>
      <c r="AF3388" s="500"/>
      <c r="AG3388" s="500"/>
      <c r="AH3388" s="500"/>
      <c r="AI3388" s="500"/>
      <c r="AJ3388" s="500"/>
      <c r="AK3388" s="500"/>
      <c r="AL3388" s="500"/>
      <c r="AM3388" s="500"/>
      <c r="AN3388" s="500"/>
      <c r="AO3388" s="500"/>
      <c r="AP3388" s="500"/>
    </row>
    <row r="3389" spans="1:42" ht="16.5" customHeight="1">
      <c r="A3389" s="439"/>
      <c r="B3389" s="439"/>
      <c r="C3389" s="439"/>
      <c r="D3389" s="439"/>
      <c r="E3389" s="439"/>
      <c r="F3389" s="439"/>
      <c r="G3389" s="451" t="s">
        <v>3406</v>
      </c>
      <c r="Z3389" s="500"/>
      <c r="AA3389" s="500"/>
      <c r="AB3389" s="500"/>
      <c r="AC3389" s="500"/>
      <c r="AD3389" s="500"/>
      <c r="AE3389" s="500"/>
      <c r="AF3389" s="500"/>
      <c r="AG3389" s="500"/>
      <c r="AH3389" s="500"/>
      <c r="AI3389" s="500"/>
      <c r="AJ3389" s="500"/>
      <c r="AK3389" s="500"/>
      <c r="AL3389" s="500"/>
      <c r="AM3389" s="500"/>
      <c r="AN3389" s="500"/>
      <c r="AO3389" s="500"/>
      <c r="AP3389" s="500"/>
    </row>
    <row r="3390" spans="1:42" ht="16.5" customHeight="1">
      <c r="A3390" s="439"/>
      <c r="B3390" s="439"/>
      <c r="C3390" s="439"/>
      <c r="D3390" s="439"/>
      <c r="E3390" s="439"/>
      <c r="F3390" s="439"/>
      <c r="G3390" s="451" t="s">
        <v>3406</v>
      </c>
      <c r="Z3390" s="500"/>
      <c r="AA3390" s="500"/>
      <c r="AB3390" s="500"/>
      <c r="AC3390" s="500"/>
      <c r="AD3390" s="500"/>
      <c r="AE3390" s="500"/>
      <c r="AF3390" s="500"/>
      <c r="AG3390" s="500"/>
      <c r="AH3390" s="500"/>
      <c r="AI3390" s="500"/>
      <c r="AJ3390" s="500"/>
      <c r="AK3390" s="500"/>
      <c r="AL3390" s="500"/>
      <c r="AM3390" s="500"/>
      <c r="AN3390" s="500"/>
      <c r="AO3390" s="500"/>
      <c r="AP3390" s="500"/>
    </row>
    <row r="3391" spans="1:42" ht="16.5" customHeight="1">
      <c r="A3391" s="434"/>
      <c r="B3391" s="505" t="str">
        <f>"  기계경비 : "&amp;TEXT(I3391,"#,##0.0")&amp;" *  인력품의 "&amp;AA3391&amp;" %  = "&amp;TEXT(C3391,"#,##0.0")&amp;""</f>
        <v xml:space="preserve">  기계경비 : 55,832.9 *  인력품의 2 %  = 1,116.6</v>
      </c>
      <c r="C3391" s="506">
        <f>E3391+D3391+F3391</f>
        <v>1116.5999999999999</v>
      </c>
      <c r="D3391" s="506">
        <f>IF(H3391=0,0,ROUNDDOWN(J3391*H3391/100,1))</f>
        <v>0</v>
      </c>
      <c r="E3391" s="506">
        <f>IF(H3391=0,0,ROUNDDOWN(K3391*H3391/100,1))</f>
        <v>0</v>
      </c>
      <c r="F3391" s="506">
        <f>IF(H3391=0,0,ROUNDDOWN(L3391*H3391/100,1))</f>
        <v>1116.5999999999999</v>
      </c>
      <c r="G3391" s="451" t="s">
        <v>3757</v>
      </c>
      <c r="H3391" s="507">
        <f>ROUNDUP(AC3391,14-LEN(ABS(INT(AC3391))))</f>
        <v>2</v>
      </c>
      <c r="I3391" s="508">
        <f>K3391+J3391+L3391</f>
        <v>55832.899999999994</v>
      </c>
      <c r="J3391" s="456">
        <v>0</v>
      </c>
      <c r="K3391" s="456">
        <v>0</v>
      </c>
      <c r="L3391" s="509">
        <f>D3383+D3388</f>
        <v>55832.899999999994</v>
      </c>
      <c r="M3391" s="501" t="s">
        <v>3743</v>
      </c>
      <c r="N3391" s="501" t="s">
        <v>3421</v>
      </c>
      <c r="Z3391" s="501" t="s">
        <v>3500</v>
      </c>
      <c r="AA3391" s="515">
        <v>2</v>
      </c>
      <c r="AB3391" s="501" t="s">
        <v>3418</v>
      </c>
      <c r="AC3391" s="512">
        <f>1*AA3391</f>
        <v>2</v>
      </c>
      <c r="AD3391" s="500"/>
      <c r="AE3391" s="500"/>
      <c r="AF3391" s="500"/>
      <c r="AG3391" s="500"/>
      <c r="AH3391" s="500"/>
      <c r="AI3391" s="500"/>
      <c r="AJ3391" s="500"/>
      <c r="AK3391" s="500"/>
      <c r="AL3391" s="500"/>
      <c r="AM3391" s="500"/>
      <c r="AN3391" s="500"/>
      <c r="AO3391" s="500"/>
      <c r="AP3391" s="500"/>
    </row>
    <row r="3392" spans="1:42" ht="16.5" customHeight="1">
      <c r="A3392" s="439"/>
      <c r="B3392" s="439"/>
      <c r="C3392" s="439"/>
      <c r="D3392" s="439"/>
      <c r="E3392" s="439"/>
      <c r="F3392" s="439"/>
      <c r="G3392" s="451" t="s">
        <v>3406</v>
      </c>
      <c r="Z3392" s="500"/>
      <c r="AA3392" s="500"/>
      <c r="AB3392" s="500"/>
      <c r="AC3392" s="500"/>
      <c r="AD3392" s="500"/>
      <c r="AE3392" s="500"/>
      <c r="AF3392" s="500"/>
      <c r="AG3392" s="500"/>
      <c r="AH3392" s="500"/>
      <c r="AI3392" s="500"/>
      <c r="AJ3392" s="500"/>
      <c r="AK3392" s="500"/>
      <c r="AL3392" s="500"/>
      <c r="AM3392" s="500"/>
      <c r="AN3392" s="500"/>
      <c r="AO3392" s="500"/>
      <c r="AP3392" s="500"/>
    </row>
    <row r="3393" spans="1:42" ht="16.5" customHeight="1">
      <c r="A3393" s="434"/>
      <c r="B3393" s="437" t="s">
        <v>3440</v>
      </c>
      <c r="C3393" s="513">
        <f>E3393+D3393+F3393</f>
        <v>56949.499999999993</v>
      </c>
      <c r="D3393" s="513">
        <f>SUMIF(N3373:N3392,M3393,D3373:D3392)</f>
        <v>55832.899999999994</v>
      </c>
      <c r="E3393" s="513">
        <f>SUMIF(N3373:N3392,M3393,E3373:E3392)</f>
        <v>0</v>
      </c>
      <c r="F3393" s="513">
        <f>SUMIF(N3373:N3392,M3393,F3373:F3392)</f>
        <v>1116.5999999999999</v>
      </c>
      <c r="G3393" s="451" t="s">
        <v>3484</v>
      </c>
      <c r="M3393" s="501" t="s">
        <v>3421</v>
      </c>
      <c r="N3393" s="501" t="s">
        <v>3442</v>
      </c>
      <c r="Z3393" s="500"/>
      <c r="AA3393" s="500"/>
      <c r="AB3393" s="500"/>
      <c r="AC3393" s="500"/>
      <c r="AD3393" s="500"/>
      <c r="AE3393" s="500"/>
      <c r="AF3393" s="500"/>
      <c r="AG3393" s="500"/>
      <c r="AH3393" s="500"/>
      <c r="AI3393" s="500"/>
      <c r="AJ3393" s="500"/>
      <c r="AK3393" s="500"/>
      <c r="AL3393" s="500"/>
      <c r="AM3393" s="500"/>
      <c r="AN3393" s="500"/>
      <c r="AO3393" s="500"/>
      <c r="AP3393" s="500"/>
    </row>
    <row r="3394" spans="1:42" ht="16.5" customHeight="1">
      <c r="A3394" s="439"/>
      <c r="B3394" s="439"/>
      <c r="C3394" s="504"/>
      <c r="D3394" s="504"/>
      <c r="E3394" s="504"/>
      <c r="F3394" s="504"/>
      <c r="G3394" s="451" t="s">
        <v>3406</v>
      </c>
      <c r="Z3394" s="500"/>
      <c r="AA3394" s="500"/>
      <c r="AB3394" s="500"/>
      <c r="AC3394" s="500"/>
      <c r="AD3394" s="500"/>
      <c r="AE3394" s="500"/>
      <c r="AF3394" s="500"/>
      <c r="AG3394" s="500"/>
      <c r="AH3394" s="500"/>
      <c r="AI3394" s="500"/>
      <c r="AJ3394" s="500"/>
      <c r="AK3394" s="500"/>
      <c r="AL3394" s="500"/>
      <c r="AM3394" s="500"/>
      <c r="AN3394" s="500"/>
      <c r="AO3394" s="500"/>
      <c r="AP3394" s="500"/>
    </row>
    <row r="3395" spans="1:42" ht="16.5" customHeight="1">
      <c r="A3395" s="439"/>
      <c r="B3395" s="439"/>
      <c r="C3395" s="439"/>
      <c r="D3395" s="439"/>
      <c r="E3395" s="439"/>
      <c r="F3395" s="439"/>
      <c r="G3395" s="451" t="s">
        <v>3406</v>
      </c>
      <c r="Z3395" s="500"/>
      <c r="AA3395" s="500"/>
      <c r="AB3395" s="500"/>
      <c r="AC3395" s="500"/>
      <c r="AD3395" s="500"/>
      <c r="AE3395" s="500"/>
      <c r="AF3395" s="500"/>
      <c r="AG3395" s="500"/>
      <c r="AH3395" s="500"/>
      <c r="AI3395" s="500"/>
      <c r="AJ3395" s="500"/>
      <c r="AK3395" s="500"/>
      <c r="AL3395" s="500"/>
      <c r="AM3395" s="500"/>
      <c r="AN3395" s="500"/>
      <c r="AO3395" s="500"/>
      <c r="AP3395" s="500"/>
    </row>
    <row r="3396" spans="1:42" ht="16.5" customHeight="1">
      <c r="A3396" s="434"/>
      <c r="B3396" s="437" t="s">
        <v>3485</v>
      </c>
      <c r="C3396" s="513">
        <f>E3396+D3396+F3396</f>
        <v>65146.69999999999</v>
      </c>
      <c r="D3396" s="513">
        <f>SUMIF(N3357:N3395,M3396,D3357:D3395)</f>
        <v>55832.899999999994</v>
      </c>
      <c r="E3396" s="513">
        <f>SUMIF(N3357:N3395,M3396,E3357:E3395)</f>
        <v>8197.2000000000007</v>
      </c>
      <c r="F3396" s="513">
        <f>SUMIF(N3357:N3395,M3396,F3357:F3395)</f>
        <v>1116.5999999999999</v>
      </c>
      <c r="G3396" s="451" t="s">
        <v>3758</v>
      </c>
      <c r="M3396" s="501" t="s">
        <v>3442</v>
      </c>
      <c r="N3396" s="501" t="s">
        <v>2354</v>
      </c>
      <c r="Z3396" s="500"/>
      <c r="AA3396" s="500"/>
      <c r="AB3396" s="500"/>
      <c r="AC3396" s="500"/>
      <c r="AD3396" s="500"/>
      <c r="AE3396" s="500"/>
      <c r="AF3396" s="500"/>
      <c r="AG3396" s="500"/>
      <c r="AH3396" s="500"/>
      <c r="AI3396" s="500"/>
      <c r="AJ3396" s="500"/>
      <c r="AK3396" s="500"/>
      <c r="AL3396" s="500"/>
      <c r="AM3396" s="500"/>
      <c r="AN3396" s="500"/>
      <c r="AO3396" s="500"/>
      <c r="AP3396" s="500"/>
    </row>
    <row r="3397" spans="1:42" ht="16.5" customHeight="1">
      <c r="A3397" s="439"/>
      <c r="B3397" s="439"/>
      <c r="C3397" s="504"/>
      <c r="D3397" s="504"/>
      <c r="E3397" s="504"/>
      <c r="F3397" s="504"/>
      <c r="Z3397" s="500"/>
      <c r="AA3397" s="500"/>
      <c r="AB3397" s="500"/>
      <c r="AC3397" s="500"/>
      <c r="AD3397" s="500"/>
      <c r="AE3397" s="500"/>
      <c r="AF3397" s="500"/>
      <c r="AG3397" s="500"/>
      <c r="AH3397" s="500"/>
      <c r="AI3397" s="500"/>
      <c r="AJ3397" s="500"/>
      <c r="AK3397" s="500"/>
      <c r="AL3397" s="500"/>
      <c r="AM3397" s="500"/>
      <c r="AN3397" s="500"/>
      <c r="AO3397" s="500"/>
      <c r="AP3397" s="500"/>
    </row>
    <row r="3398" spans="1:42" ht="16.5" customHeight="1">
      <c r="A3398" s="439"/>
      <c r="B3398" s="439"/>
      <c r="C3398" s="439"/>
      <c r="D3398" s="439"/>
      <c r="E3398" s="439"/>
      <c r="F3398" s="439"/>
      <c r="Z3398" s="500"/>
      <c r="AA3398" s="500"/>
      <c r="AB3398" s="500"/>
      <c r="AC3398" s="500"/>
      <c r="AD3398" s="500"/>
      <c r="AE3398" s="500"/>
      <c r="AF3398" s="500"/>
      <c r="AG3398" s="500"/>
      <c r="AH3398" s="500"/>
      <c r="AI3398" s="500"/>
      <c r="AJ3398" s="500"/>
      <c r="AK3398" s="500"/>
      <c r="AL3398" s="500"/>
      <c r="AM3398" s="500"/>
      <c r="AN3398" s="500"/>
      <c r="AO3398" s="500"/>
      <c r="AP3398" s="500"/>
    </row>
    <row r="3399" spans="1:42" ht="16.5" customHeight="1">
      <c r="A3399" s="439"/>
      <c r="B3399" s="439"/>
      <c r="C3399" s="439"/>
      <c r="D3399" s="439"/>
      <c r="E3399" s="439"/>
      <c r="F3399" s="439"/>
      <c r="Z3399" s="500"/>
      <c r="AA3399" s="500"/>
      <c r="AB3399" s="500"/>
      <c r="AC3399" s="500"/>
      <c r="AD3399" s="500"/>
      <c r="AE3399" s="500"/>
      <c r="AF3399" s="500"/>
      <c r="AG3399" s="500"/>
      <c r="AH3399" s="500"/>
      <c r="AI3399" s="500"/>
      <c r="AJ3399" s="500"/>
      <c r="AK3399" s="500"/>
      <c r="AL3399" s="500"/>
      <c r="AM3399" s="500"/>
      <c r="AN3399" s="500"/>
      <c r="AO3399" s="500"/>
      <c r="AP3399" s="500"/>
    </row>
    <row r="3400" spans="1:42" ht="16.5" customHeight="1">
      <c r="A3400" s="439"/>
      <c r="B3400" s="439"/>
      <c r="C3400" s="439"/>
      <c r="D3400" s="439"/>
      <c r="E3400" s="439"/>
      <c r="F3400" s="439"/>
      <c r="Z3400" s="500"/>
      <c r="AA3400" s="500"/>
      <c r="AB3400" s="500"/>
      <c r="AC3400" s="500"/>
      <c r="AD3400" s="500"/>
      <c r="AE3400" s="500"/>
      <c r="AF3400" s="500"/>
      <c r="AG3400" s="500"/>
      <c r="AH3400" s="500"/>
      <c r="AI3400" s="500"/>
      <c r="AJ3400" s="500"/>
      <c r="AK3400" s="500"/>
      <c r="AL3400" s="500"/>
      <c r="AM3400" s="500"/>
      <c r="AN3400" s="500"/>
      <c r="AO3400" s="500"/>
      <c r="AP3400" s="500"/>
    </row>
    <row r="3401" spans="1:42" ht="16.5" customHeight="1">
      <c r="A3401" s="439"/>
      <c r="B3401" s="439"/>
      <c r="C3401" s="439"/>
      <c r="D3401" s="439"/>
      <c r="E3401" s="439"/>
      <c r="F3401" s="439"/>
      <c r="Z3401" s="500"/>
      <c r="AA3401" s="500"/>
      <c r="AB3401" s="500"/>
      <c r="AC3401" s="500"/>
      <c r="AD3401" s="500"/>
      <c r="AE3401" s="500"/>
      <c r="AF3401" s="500"/>
      <c r="AG3401" s="500"/>
      <c r="AH3401" s="500"/>
      <c r="AI3401" s="500"/>
      <c r="AJ3401" s="500"/>
      <c r="AK3401" s="500"/>
      <c r="AL3401" s="500"/>
      <c r="AM3401" s="500"/>
      <c r="AN3401" s="500"/>
      <c r="AO3401" s="500"/>
      <c r="AP3401" s="500"/>
    </row>
    <row r="3402" spans="1:42" ht="16.5" customHeight="1">
      <c r="A3402" s="439"/>
      <c r="B3402" s="439"/>
      <c r="C3402" s="439"/>
      <c r="D3402" s="439"/>
      <c r="E3402" s="439"/>
      <c r="F3402" s="439"/>
      <c r="Z3402" s="500"/>
      <c r="AA3402" s="500"/>
      <c r="AB3402" s="500"/>
      <c r="AC3402" s="500"/>
      <c r="AD3402" s="500"/>
      <c r="AE3402" s="500"/>
      <c r="AF3402" s="500"/>
      <c r="AG3402" s="500"/>
      <c r="AH3402" s="500"/>
      <c r="AI3402" s="500"/>
      <c r="AJ3402" s="500"/>
      <c r="AK3402" s="500"/>
      <c r="AL3402" s="500"/>
      <c r="AM3402" s="500"/>
      <c r="AN3402" s="500"/>
      <c r="AO3402" s="500"/>
      <c r="AP3402" s="500"/>
    </row>
    <row r="3403" spans="1:42" ht="16.5" customHeight="1">
      <c r="A3403" s="497"/>
      <c r="B3403" s="497"/>
      <c r="C3403" s="497"/>
      <c r="D3403" s="497"/>
      <c r="E3403" s="497"/>
      <c r="F3403" s="497"/>
      <c r="Z3403" s="500"/>
      <c r="AA3403" s="500"/>
      <c r="AB3403" s="500"/>
      <c r="AC3403" s="500"/>
      <c r="AD3403" s="500"/>
      <c r="AE3403" s="500"/>
      <c r="AF3403" s="500"/>
      <c r="AG3403" s="500"/>
      <c r="AH3403" s="500"/>
      <c r="AI3403" s="500"/>
      <c r="AJ3403" s="500"/>
      <c r="AK3403" s="500"/>
      <c r="AL3403" s="500"/>
      <c r="AM3403" s="500"/>
      <c r="AN3403" s="500"/>
      <c r="AO3403" s="500"/>
      <c r="AP3403" s="500"/>
    </row>
    <row r="3404" spans="1:42" ht="16.5" customHeight="1">
      <c r="A3404" s="616" t="s">
        <v>3487</v>
      </c>
      <c r="B3404" s="605"/>
      <c r="C3404" s="446">
        <f>E3404+D3404+F3404</f>
        <v>65145</v>
      </c>
      <c r="D3404" s="453">
        <f>ROUNDDOWN(SUMIF(N3357:N3396,M3404,D3357:D3396),0)</f>
        <v>55832</v>
      </c>
      <c r="E3404" s="454">
        <f>ROUNDDOWN(SUMIF(N3357:N3396,M3404,E3357:E3396),0)</f>
        <v>8197</v>
      </c>
      <c r="F3404" s="446">
        <f>ROUNDDOWN(SUMIF(N3357:N3396,M3404,F3357:F3396),0)</f>
        <v>1116</v>
      </c>
      <c r="M3404" s="501" t="s">
        <v>2354</v>
      </c>
      <c r="Z3404" s="500"/>
      <c r="AA3404" s="500"/>
      <c r="AB3404" s="500"/>
      <c r="AC3404" s="500"/>
      <c r="AD3404" s="500"/>
      <c r="AE3404" s="500"/>
      <c r="AF3404" s="500"/>
      <c r="AG3404" s="500"/>
      <c r="AH3404" s="500"/>
      <c r="AI3404" s="500"/>
      <c r="AJ3404" s="500"/>
      <c r="AK3404" s="500"/>
      <c r="AL3404" s="500"/>
      <c r="AM3404" s="500"/>
      <c r="AN3404" s="500"/>
      <c r="AO3404" s="500"/>
      <c r="AP3404" s="500"/>
    </row>
    <row r="3405" spans="1:42" ht="16.5" customHeight="1">
      <c r="A3405" s="502"/>
      <c r="B3405" s="503" t="s">
        <v>3360</v>
      </c>
      <c r="C3405" s="615">
        <f>C3454</f>
        <v>3113</v>
      </c>
      <c r="D3405" s="615">
        <f>D3454</f>
        <v>2546</v>
      </c>
      <c r="E3405" s="615">
        <f>E3454</f>
        <v>240</v>
      </c>
      <c r="F3405" s="615">
        <f>F3454</f>
        <v>327</v>
      </c>
      <c r="G3405" s="486" t="str">
        <f>HYPERLINK("#G"&amp;ROW(G3441),"_x0005_`BDCOD|D01303_x0007_`POSS|"&amp;ROW(G3407)&amp;"_x0007_`POSE|"&amp;ROW(G3441)&amp;"_x0007_`")</f>
        <v>_x0005_`BDCOD|D01303_x0007_`POSS|3407_x0007_`POSE|3441_x0007_`</v>
      </c>
      <c r="Z3405" s="500"/>
      <c r="AA3405" s="500"/>
      <c r="AB3405" s="500"/>
      <c r="AC3405" s="500"/>
      <c r="AD3405" s="500"/>
      <c r="AE3405" s="500"/>
      <c r="AF3405" s="500"/>
      <c r="AG3405" s="500"/>
      <c r="AH3405" s="500"/>
      <c r="AI3405" s="500"/>
      <c r="AJ3405" s="500"/>
      <c r="AK3405" s="500"/>
      <c r="AL3405" s="500"/>
      <c r="AM3405" s="500"/>
      <c r="AN3405" s="500"/>
      <c r="AO3405" s="500"/>
      <c r="AP3405" s="500"/>
    </row>
    <row r="3406" spans="1:42" ht="16.5" customHeight="1">
      <c r="A3406" s="485"/>
      <c r="B3406" s="503" t="s">
        <v>3759</v>
      </c>
      <c r="C3406" s="593"/>
      <c r="D3406" s="593"/>
      <c r="E3406" s="593"/>
      <c r="F3406" s="593"/>
      <c r="M3406" s="501" t="s">
        <v>3360</v>
      </c>
      <c r="Z3406" s="500"/>
      <c r="AA3406" s="500"/>
      <c r="AB3406" s="500"/>
      <c r="AC3406" s="500"/>
      <c r="AD3406" s="500"/>
      <c r="AE3406" s="500"/>
      <c r="AF3406" s="500"/>
      <c r="AG3406" s="500"/>
      <c r="AH3406" s="500"/>
      <c r="AI3406" s="500"/>
      <c r="AJ3406" s="500"/>
      <c r="AK3406" s="500"/>
      <c r="AL3406" s="500"/>
      <c r="AM3406" s="500"/>
      <c r="AN3406" s="500"/>
      <c r="AO3406" s="500"/>
      <c r="AP3406" s="500"/>
    </row>
    <row r="3407" spans="1:42" ht="16.5" customHeight="1">
      <c r="A3407" s="439"/>
      <c r="B3407" s="439"/>
      <c r="C3407" s="504"/>
      <c r="D3407" s="504"/>
      <c r="E3407" s="504"/>
      <c r="F3407" s="504"/>
      <c r="G3407" s="451" t="s">
        <v>3406</v>
      </c>
      <c r="Z3407" s="500"/>
      <c r="AA3407" s="500"/>
      <c r="AB3407" s="500"/>
      <c r="AC3407" s="500"/>
      <c r="AD3407" s="500"/>
      <c r="AE3407" s="500"/>
      <c r="AF3407" s="500"/>
      <c r="AG3407" s="500"/>
      <c r="AH3407" s="500"/>
      <c r="AI3407" s="500"/>
      <c r="AJ3407" s="500"/>
      <c r="AK3407" s="500"/>
      <c r="AL3407" s="500"/>
      <c r="AM3407" s="500"/>
      <c r="AN3407" s="500"/>
      <c r="AO3407" s="500"/>
      <c r="AP3407" s="500"/>
    </row>
    <row r="3408" spans="1:42" ht="16.5" customHeight="1">
      <c r="A3408" s="434"/>
      <c r="B3408" s="437" t="s">
        <v>3760</v>
      </c>
      <c r="C3408" s="439"/>
      <c r="D3408" s="439"/>
      <c r="E3408" s="439"/>
      <c r="F3408" s="439"/>
      <c r="G3408" s="451" t="s">
        <v>3761</v>
      </c>
      <c r="Z3408" s="500"/>
      <c r="AA3408" s="500"/>
      <c r="AB3408" s="500"/>
      <c r="AC3408" s="500"/>
      <c r="AD3408" s="500"/>
      <c r="AE3408" s="500"/>
      <c r="AF3408" s="500"/>
      <c r="AG3408" s="500"/>
      <c r="AH3408" s="500"/>
      <c r="AI3408" s="500"/>
      <c r="AJ3408" s="500"/>
      <c r="AK3408" s="500"/>
      <c r="AL3408" s="500"/>
      <c r="AM3408" s="500"/>
      <c r="AN3408" s="500"/>
      <c r="AO3408" s="500"/>
      <c r="AP3408" s="500"/>
    </row>
    <row r="3409" spans="1:42" ht="16.5" customHeight="1">
      <c r="A3409" s="439"/>
      <c r="B3409" s="439"/>
      <c r="C3409" s="439"/>
      <c r="D3409" s="439"/>
      <c r="E3409" s="439"/>
      <c r="F3409" s="439"/>
      <c r="G3409" s="451" t="s">
        <v>3406</v>
      </c>
      <c r="Z3409" s="500"/>
      <c r="AA3409" s="500"/>
      <c r="AB3409" s="500"/>
      <c r="AC3409" s="500"/>
      <c r="AD3409" s="500"/>
      <c r="AE3409" s="500"/>
      <c r="AF3409" s="500"/>
      <c r="AG3409" s="500"/>
      <c r="AH3409" s="500"/>
      <c r="AI3409" s="500"/>
      <c r="AJ3409" s="500"/>
      <c r="AK3409" s="500"/>
      <c r="AL3409" s="500"/>
      <c r="AM3409" s="500"/>
      <c r="AN3409" s="500"/>
      <c r="AO3409" s="500"/>
      <c r="AP3409" s="500"/>
    </row>
    <row r="3410" spans="1:42" ht="16.5" customHeight="1">
      <c r="A3410" s="439"/>
      <c r="B3410" s="439"/>
      <c r="C3410" s="439"/>
      <c r="D3410" s="439"/>
      <c r="E3410" s="439"/>
      <c r="F3410" s="439"/>
      <c r="G3410" s="451" t="s">
        <v>3406</v>
      </c>
      <c r="Z3410" s="500"/>
      <c r="AA3410" s="500"/>
      <c r="AB3410" s="500"/>
      <c r="AC3410" s="500"/>
      <c r="AD3410" s="500"/>
      <c r="AE3410" s="500"/>
      <c r="AF3410" s="500"/>
      <c r="AG3410" s="500"/>
      <c r="AH3410" s="500"/>
      <c r="AI3410" s="500"/>
      <c r="AJ3410" s="500"/>
      <c r="AK3410" s="500"/>
      <c r="AL3410" s="500"/>
      <c r="AM3410" s="500"/>
      <c r="AN3410" s="500"/>
      <c r="AO3410" s="500"/>
      <c r="AP3410" s="500"/>
    </row>
    <row r="3411" spans="1:42" ht="16.5" customHeight="1">
      <c r="A3411" s="439"/>
      <c r="B3411" s="439"/>
      <c r="C3411" s="439"/>
      <c r="D3411" s="439"/>
      <c r="E3411" s="439"/>
      <c r="F3411" s="439"/>
      <c r="G3411" s="451" t="s">
        <v>3406</v>
      </c>
      <c r="Z3411" s="500"/>
      <c r="AA3411" s="500"/>
      <c r="AB3411" s="500"/>
      <c r="AC3411" s="500"/>
      <c r="AD3411" s="500"/>
      <c r="AE3411" s="500"/>
      <c r="AF3411" s="500"/>
      <c r="AG3411" s="500"/>
      <c r="AH3411" s="500"/>
      <c r="AI3411" s="500"/>
      <c r="AJ3411" s="500"/>
      <c r="AK3411" s="500"/>
      <c r="AL3411" s="500"/>
      <c r="AM3411" s="500"/>
      <c r="AN3411" s="500"/>
      <c r="AO3411" s="500"/>
      <c r="AP3411" s="500"/>
    </row>
    <row r="3412" spans="1:42" ht="16.5" customHeight="1">
      <c r="A3412" s="434"/>
      <c r="B3412" s="437" t="s">
        <v>3718</v>
      </c>
      <c r="C3412" s="439"/>
      <c r="D3412" s="439"/>
      <c r="E3412" s="439"/>
      <c r="F3412" s="439"/>
      <c r="G3412" s="451" t="s">
        <v>3719</v>
      </c>
      <c r="Z3412" s="500"/>
      <c r="AA3412" s="500"/>
      <c r="AB3412" s="500"/>
      <c r="AC3412" s="500"/>
      <c r="AD3412" s="500"/>
      <c r="AE3412" s="500"/>
      <c r="AF3412" s="500"/>
      <c r="AG3412" s="500"/>
      <c r="AH3412" s="500"/>
      <c r="AI3412" s="500"/>
      <c r="AJ3412" s="500"/>
      <c r="AK3412" s="500"/>
      <c r="AL3412" s="500"/>
      <c r="AM3412" s="500"/>
      <c r="AN3412" s="500"/>
      <c r="AO3412" s="500"/>
      <c r="AP3412" s="500"/>
    </row>
    <row r="3413" spans="1:42" ht="16.5" customHeight="1">
      <c r="A3413" s="439"/>
      <c r="B3413" s="439"/>
      <c r="C3413" s="439"/>
      <c r="D3413" s="439"/>
      <c r="E3413" s="439"/>
      <c r="F3413" s="439"/>
      <c r="G3413" s="451" t="s">
        <v>3406</v>
      </c>
      <c r="Z3413" s="500"/>
      <c r="AA3413" s="500"/>
      <c r="AB3413" s="500"/>
      <c r="AC3413" s="500"/>
      <c r="AD3413" s="500"/>
      <c r="AE3413" s="500"/>
      <c r="AF3413" s="500"/>
      <c r="AG3413" s="500"/>
      <c r="AH3413" s="500"/>
      <c r="AI3413" s="500"/>
      <c r="AJ3413" s="500"/>
      <c r="AK3413" s="500"/>
      <c r="AL3413" s="500"/>
      <c r="AM3413" s="500"/>
      <c r="AN3413" s="500"/>
      <c r="AO3413" s="500"/>
      <c r="AP3413" s="500"/>
    </row>
    <row r="3414" spans="1:42" ht="16.5" customHeight="1">
      <c r="A3414" s="439"/>
      <c r="B3414" s="439"/>
      <c r="C3414" s="439"/>
      <c r="D3414" s="439"/>
      <c r="E3414" s="439"/>
      <c r="F3414" s="439"/>
      <c r="G3414" s="451" t="s">
        <v>3406</v>
      </c>
      <c r="Z3414" s="500"/>
      <c r="AA3414" s="500"/>
      <c r="AB3414" s="500"/>
      <c r="AC3414" s="500"/>
      <c r="AD3414" s="500"/>
      <c r="AE3414" s="500"/>
      <c r="AF3414" s="500"/>
      <c r="AG3414" s="500"/>
      <c r="AH3414" s="500"/>
      <c r="AI3414" s="500"/>
      <c r="AJ3414" s="500"/>
      <c r="AK3414" s="500"/>
      <c r="AL3414" s="500"/>
      <c r="AM3414" s="500"/>
      <c r="AN3414" s="500"/>
      <c r="AO3414" s="500"/>
      <c r="AP3414" s="500"/>
    </row>
    <row r="3415" spans="1:42" ht="16.5" customHeight="1">
      <c r="A3415" s="434"/>
      <c r="B3415" s="437" t="s">
        <v>3762</v>
      </c>
      <c r="C3415" s="439"/>
      <c r="D3415" s="439"/>
      <c r="E3415" s="439"/>
      <c r="F3415" s="439"/>
      <c r="G3415" s="451" t="s">
        <v>3763</v>
      </c>
      <c r="Z3415" s="500"/>
      <c r="AA3415" s="500"/>
      <c r="AB3415" s="500"/>
      <c r="AC3415" s="500"/>
      <c r="AD3415" s="500"/>
      <c r="AE3415" s="500"/>
      <c r="AF3415" s="500"/>
      <c r="AG3415" s="500"/>
      <c r="AH3415" s="500"/>
      <c r="AI3415" s="500"/>
      <c r="AJ3415" s="500"/>
      <c r="AK3415" s="500"/>
      <c r="AL3415" s="500"/>
      <c r="AM3415" s="500"/>
      <c r="AN3415" s="500"/>
      <c r="AO3415" s="500"/>
      <c r="AP3415" s="500"/>
    </row>
    <row r="3416" spans="1:42" ht="16.5" customHeight="1">
      <c r="A3416" s="439"/>
      <c r="B3416" s="439"/>
      <c r="C3416" s="439"/>
      <c r="D3416" s="439"/>
      <c r="E3416" s="439"/>
      <c r="F3416" s="439"/>
      <c r="G3416" s="451" t="s">
        <v>3406</v>
      </c>
      <c r="Z3416" s="500"/>
      <c r="AA3416" s="500"/>
      <c r="AB3416" s="500"/>
      <c r="AC3416" s="500"/>
      <c r="AD3416" s="500"/>
      <c r="AE3416" s="500"/>
      <c r="AF3416" s="500"/>
      <c r="AG3416" s="500"/>
      <c r="AH3416" s="500"/>
      <c r="AI3416" s="500"/>
      <c r="AJ3416" s="500"/>
      <c r="AK3416" s="500"/>
      <c r="AL3416" s="500"/>
      <c r="AM3416" s="500"/>
      <c r="AN3416" s="500"/>
      <c r="AO3416" s="500"/>
      <c r="AP3416" s="500"/>
    </row>
    <row r="3417" spans="1:42" ht="16.5" customHeight="1">
      <c r="A3417" s="434"/>
      <c r="B3417" s="437" t="str">
        <f>" q = "&amp;Z3417&amp;" , f = "&amp;AD3417&amp;"/"&amp;AF3417&amp;" = "&amp;AH3417&amp;" , K = "&amp;AJ3417&amp;""</f>
        <v xml:space="preserve"> q = 0.6 , f = 1/1.325 = 0.75 , K = 1.1</v>
      </c>
      <c r="C3417" s="439"/>
      <c r="D3417" s="439"/>
      <c r="E3417" s="439"/>
      <c r="F3417" s="439"/>
      <c r="G3417" s="451" t="s">
        <v>3764</v>
      </c>
      <c r="Z3417" s="511">
        <v>0.6</v>
      </c>
      <c r="AA3417" s="501" t="s">
        <v>3418</v>
      </c>
      <c r="AB3417" s="512">
        <f>Z3417</f>
        <v>0.6</v>
      </c>
      <c r="AC3417" s="514" t="s">
        <v>3427</v>
      </c>
      <c r="AD3417" s="515">
        <v>1</v>
      </c>
      <c r="AE3417" s="501" t="s">
        <v>3428</v>
      </c>
      <c r="AF3417" s="511">
        <v>1.325</v>
      </c>
      <c r="AG3417" s="501" t="s">
        <v>3418</v>
      </c>
      <c r="AH3417" s="512" t="str">
        <f>TEXT(ROUND(AD3417/AF3417,2),"#,0.00")</f>
        <v>0.75</v>
      </c>
      <c r="AI3417" s="514" t="s">
        <v>3427</v>
      </c>
      <c r="AJ3417" s="511">
        <v>1.1000000000000001</v>
      </c>
      <c r="AK3417" s="501" t="s">
        <v>3418</v>
      </c>
      <c r="AL3417" s="512">
        <f>AJ3417</f>
        <v>1.1000000000000001</v>
      </c>
      <c r="AM3417" s="500"/>
      <c r="AN3417" s="500"/>
      <c r="AO3417" s="500"/>
      <c r="AP3417" s="500"/>
    </row>
    <row r="3418" spans="1:42" ht="16.5" customHeight="1">
      <c r="A3418" s="439"/>
      <c r="B3418" s="439"/>
      <c r="C3418" s="439"/>
      <c r="D3418" s="439"/>
      <c r="E3418" s="439"/>
      <c r="F3418" s="439"/>
      <c r="G3418" s="451" t="s">
        <v>3406</v>
      </c>
      <c r="Z3418" s="500"/>
      <c r="AA3418" s="500"/>
      <c r="AB3418" s="500"/>
      <c r="AC3418" s="500"/>
      <c r="AD3418" s="500"/>
      <c r="AE3418" s="500"/>
      <c r="AF3418" s="500"/>
      <c r="AG3418" s="500"/>
      <c r="AH3418" s="500"/>
      <c r="AI3418" s="500"/>
      <c r="AJ3418" s="500"/>
      <c r="AK3418" s="500"/>
      <c r="AL3418" s="500"/>
      <c r="AM3418" s="500"/>
      <c r="AN3418" s="500"/>
      <c r="AO3418" s="500"/>
      <c r="AP3418" s="500"/>
    </row>
    <row r="3419" spans="1:42" ht="16.5" customHeight="1">
      <c r="A3419" s="434"/>
      <c r="B3419" s="437" t="str">
        <f>" Cm = "&amp;Z3419&amp;" sec(90˚) ,E="&amp;AD3419&amp;""</f>
        <v xml:space="preserve"> Cm = 18 sec(90˚) ,E=0.65</v>
      </c>
      <c r="C3419" s="439"/>
      <c r="D3419" s="439"/>
      <c r="E3419" s="439"/>
      <c r="F3419" s="439"/>
      <c r="G3419" s="451" t="s">
        <v>3672</v>
      </c>
      <c r="Z3419" s="515">
        <v>18</v>
      </c>
      <c r="AA3419" s="501" t="s">
        <v>3418</v>
      </c>
      <c r="AB3419" s="512">
        <f>Z3419</f>
        <v>18</v>
      </c>
      <c r="AC3419" s="514" t="s">
        <v>3427</v>
      </c>
      <c r="AD3419" s="511">
        <v>0.65</v>
      </c>
      <c r="AE3419" s="501" t="s">
        <v>3418</v>
      </c>
      <c r="AF3419" s="512">
        <f>AD3419</f>
        <v>0.65</v>
      </c>
      <c r="AG3419" s="500"/>
      <c r="AH3419" s="500"/>
      <c r="AI3419" s="500"/>
      <c r="AJ3419" s="500"/>
      <c r="AK3419" s="500"/>
      <c r="AL3419" s="500"/>
      <c r="AM3419" s="500"/>
      <c r="AN3419" s="500"/>
      <c r="AO3419" s="500"/>
      <c r="AP3419" s="500"/>
    </row>
    <row r="3420" spans="1:42" ht="16.5" customHeight="1">
      <c r="A3420" s="439"/>
      <c r="B3420" s="439"/>
      <c r="C3420" s="439"/>
      <c r="D3420" s="439"/>
      <c r="E3420" s="439"/>
      <c r="F3420" s="439"/>
      <c r="G3420" s="451" t="s">
        <v>3406</v>
      </c>
      <c r="Z3420" s="500"/>
      <c r="AA3420" s="500"/>
      <c r="AB3420" s="500"/>
      <c r="AC3420" s="500"/>
      <c r="AD3420" s="500"/>
      <c r="AE3420" s="500"/>
      <c r="AF3420" s="500"/>
      <c r="AG3420" s="500"/>
      <c r="AH3420" s="500"/>
      <c r="AI3420" s="500"/>
      <c r="AJ3420" s="500"/>
      <c r="AK3420" s="500"/>
      <c r="AL3420" s="500"/>
      <c r="AM3420" s="500"/>
      <c r="AN3420" s="500"/>
      <c r="AO3420" s="500"/>
      <c r="AP3420" s="500"/>
    </row>
    <row r="3421" spans="1:42" ht="16.5" customHeight="1">
      <c r="A3421" s="434"/>
      <c r="B3421" s="437" t="str">
        <f>" Q = "&amp;Z3421&amp;"*q*K*f*E/Cm = "&amp;AL3421&amp;" ㎥/hr "</f>
        <v xml:space="preserve"> Q = 3600*q*K*f*E/Cm = 64.35 ㎥/hr </v>
      </c>
      <c r="C3421" s="439"/>
      <c r="D3421" s="439"/>
      <c r="E3421" s="439"/>
      <c r="F3421" s="439"/>
      <c r="G3421" s="451" t="s">
        <v>3673</v>
      </c>
      <c r="Z3421" s="515">
        <v>3600</v>
      </c>
      <c r="AA3421" s="501" t="s">
        <v>3368</v>
      </c>
      <c r="AB3421" s="512">
        <f>AB3417</f>
        <v>0.6</v>
      </c>
      <c r="AC3421" s="501" t="s">
        <v>3368</v>
      </c>
      <c r="AD3421" s="512">
        <f>AL3417</f>
        <v>1.1000000000000001</v>
      </c>
      <c r="AE3421" s="501" t="s">
        <v>3368</v>
      </c>
      <c r="AF3421" s="512" t="str">
        <f>AH3417</f>
        <v>0.75</v>
      </c>
      <c r="AG3421" s="501" t="s">
        <v>3368</v>
      </c>
      <c r="AH3421" s="512">
        <f>AF3419</f>
        <v>0.65</v>
      </c>
      <c r="AI3421" s="501" t="s">
        <v>3428</v>
      </c>
      <c r="AJ3421" s="512">
        <f>AB3419</f>
        <v>18</v>
      </c>
      <c r="AK3421" s="501" t="s">
        <v>3418</v>
      </c>
      <c r="AL3421" s="512" t="str">
        <f>TEXT(ROUND(Z3421*AB3417*AL3417*AH3417*AF3419/AB3419,2),"#,0.00")</f>
        <v>64.35</v>
      </c>
      <c r="AM3421" s="500"/>
      <c r="AN3421" s="500"/>
      <c r="AO3421" s="500"/>
      <c r="AP3421" s="500"/>
    </row>
    <row r="3422" spans="1:42" ht="16.5" customHeight="1">
      <c r="A3422" s="439"/>
      <c r="B3422" s="439"/>
      <c r="C3422" s="439"/>
      <c r="D3422" s="439"/>
      <c r="E3422" s="439"/>
      <c r="F3422" s="439"/>
      <c r="G3422" s="451" t="s">
        <v>3406</v>
      </c>
      <c r="Z3422" s="500"/>
      <c r="AA3422" s="500"/>
      <c r="AB3422" s="500"/>
      <c r="AC3422" s="500"/>
      <c r="AD3422" s="500"/>
      <c r="AE3422" s="500"/>
      <c r="AF3422" s="500"/>
      <c r="AG3422" s="500"/>
      <c r="AH3422" s="500"/>
      <c r="AI3422" s="500"/>
      <c r="AJ3422" s="500"/>
      <c r="AK3422" s="500"/>
      <c r="AL3422" s="500"/>
      <c r="AM3422" s="500"/>
      <c r="AN3422" s="500"/>
      <c r="AO3422" s="500"/>
      <c r="AP3422" s="500"/>
    </row>
    <row r="3423" spans="1:42" ht="16.5" customHeight="1">
      <c r="A3423" s="434" t="s">
        <v>3576</v>
      </c>
      <c r="B3423" s="505" t="str">
        <f>" 노 무 비  : "&amp;TEXT(I3423,"#,##0"&amp;IF(I3423&lt;&gt;INT(I3423),".###",""))&amp;" / Q * "&amp;AC3423&amp;" = "&amp;TEXT(C3423,"#,##0.0")&amp;""</f>
        <v xml:space="preserve"> 노 무 비  : 59,020 / Q * 0.9 = 825.4</v>
      </c>
      <c r="C3423" s="506">
        <f>E3423+D3423+F3423</f>
        <v>825.4</v>
      </c>
      <c r="D3423" s="506">
        <f>IF(H3423=0,0,ROUNDDOWN(J3423*H3423,1))</f>
        <v>825.4</v>
      </c>
      <c r="E3423" s="506">
        <f>IF(H3423=0,0,ROUNDDOWN(K3423*H3423,1))</f>
        <v>0</v>
      </c>
      <c r="F3423" s="506">
        <f>IF(H3423=0,0,ROUNDDOWN(L3423*H3423,1))</f>
        <v>0</v>
      </c>
      <c r="G3423" s="451" t="s">
        <v>3765</v>
      </c>
      <c r="H3423" s="507">
        <f>ROUNDUP(AE3423,14-LEN(ABS(INT(AE3423))))</f>
        <v>1.3986013986100001E-2</v>
      </c>
      <c r="I3423" s="508">
        <f>K3423+J3423+L3423</f>
        <v>59020</v>
      </c>
      <c r="J3423" s="509">
        <f>중기목록표!F8</f>
        <v>59020</v>
      </c>
      <c r="M3423" s="501" t="s">
        <v>3159</v>
      </c>
      <c r="N3423" s="501" t="s">
        <v>3416</v>
      </c>
      <c r="X3423" s="510" t="str">
        <f>중기목록표!B8&amp;" / "&amp;중기목록표!C8</f>
        <v>굴착기(무한궤도) / 0.6㎥</v>
      </c>
      <c r="Y3423" s="433" t="str">
        <f ca="1">HYPERLINK("#"&amp;중기목록표!J2&amp;"!A"&amp;ROW(중기목록표!A8),"X00269 →")</f>
        <v>X00269 →</v>
      </c>
      <c r="Z3423" s="501" t="s">
        <v>3434</v>
      </c>
      <c r="AA3423" s="512" t="str">
        <f>AL3421</f>
        <v>64.35</v>
      </c>
      <c r="AB3423" s="501" t="s">
        <v>3368</v>
      </c>
      <c r="AC3423" s="511">
        <v>0.9</v>
      </c>
      <c r="AD3423" s="501" t="s">
        <v>3418</v>
      </c>
      <c r="AE3423" s="512">
        <f>1/AL3421*AC3423</f>
        <v>1.3986013986013988E-2</v>
      </c>
      <c r="AF3423" s="500"/>
      <c r="AG3423" s="500"/>
      <c r="AH3423" s="500"/>
      <c r="AI3423" s="500"/>
      <c r="AJ3423" s="500"/>
      <c r="AK3423" s="500"/>
      <c r="AL3423" s="500"/>
      <c r="AM3423" s="500"/>
      <c r="AN3423" s="500"/>
      <c r="AO3423" s="500"/>
      <c r="AP3423" s="500"/>
    </row>
    <row r="3424" spans="1:42" ht="16.5" customHeight="1">
      <c r="A3424" s="439"/>
      <c r="B3424" s="439"/>
      <c r="C3424" s="439"/>
      <c r="D3424" s="439"/>
      <c r="E3424" s="439"/>
      <c r="F3424" s="439"/>
      <c r="G3424" s="451" t="s">
        <v>3406</v>
      </c>
      <c r="Z3424" s="500"/>
      <c r="AA3424" s="500"/>
      <c r="AB3424" s="500"/>
      <c r="AC3424" s="500"/>
      <c r="AD3424" s="500"/>
      <c r="AE3424" s="500"/>
      <c r="AF3424" s="500"/>
      <c r="AG3424" s="500"/>
      <c r="AH3424" s="500"/>
      <c r="AI3424" s="500"/>
      <c r="AJ3424" s="500"/>
      <c r="AK3424" s="500"/>
      <c r="AL3424" s="500"/>
      <c r="AM3424" s="500"/>
      <c r="AN3424" s="500"/>
      <c r="AO3424" s="500"/>
      <c r="AP3424" s="500"/>
    </row>
    <row r="3425" spans="1:42" ht="16.5" customHeight="1">
      <c r="A3425" s="434" t="s">
        <v>3578</v>
      </c>
      <c r="B3425" s="505" t="str">
        <f>" 재 료 비  : "&amp;TEXT(I3425,"#,##0"&amp;IF(I3425&lt;&gt;INT(I3425),".###",""))&amp;" / Q * "&amp;AC3425&amp;" = "&amp;TEXT(C3425,"#,##0.0")&amp;""</f>
        <v xml:space="preserve"> 재 료 비  : 17,160 / Q * 0.9 = 240.0</v>
      </c>
      <c r="C3425" s="506">
        <f>E3425+D3425+F3425</f>
        <v>240</v>
      </c>
      <c r="D3425" s="506">
        <f>IF(H3425=0,0,ROUNDDOWN(J3425*H3425,1))</f>
        <v>0</v>
      </c>
      <c r="E3425" s="506">
        <f>IF(H3425=0,0,ROUNDDOWN(K3425*H3425,1))</f>
        <v>240</v>
      </c>
      <c r="F3425" s="506">
        <f>IF(H3425=0,0,ROUNDDOWN(L3425*H3425,1))</f>
        <v>0</v>
      </c>
      <c r="G3425" s="451" t="s">
        <v>3766</v>
      </c>
      <c r="H3425" s="507">
        <f>ROUNDUP(AE3425,14-LEN(ABS(INT(AE3425))))</f>
        <v>1.3986013986100001E-2</v>
      </c>
      <c r="I3425" s="508">
        <f>K3425+J3425+L3425</f>
        <v>17160</v>
      </c>
      <c r="K3425" s="509">
        <f>중기목록표!G8</f>
        <v>17160</v>
      </c>
      <c r="M3425" s="501" t="s">
        <v>3159</v>
      </c>
      <c r="N3425" s="501" t="s">
        <v>3416</v>
      </c>
      <c r="X3425" s="510" t="str">
        <f>중기목록표!B8&amp;" / "&amp;중기목록표!C8</f>
        <v>굴착기(무한궤도) / 0.6㎥</v>
      </c>
      <c r="Y3425" s="433" t="str">
        <f ca="1">HYPERLINK("#"&amp;중기목록표!J2&amp;"!A"&amp;ROW(중기목록표!A8),"X00269 →")</f>
        <v>X00269 →</v>
      </c>
      <c r="Z3425" s="501" t="s">
        <v>3434</v>
      </c>
      <c r="AA3425" s="512" t="str">
        <f>AL3421</f>
        <v>64.35</v>
      </c>
      <c r="AB3425" s="501" t="s">
        <v>3368</v>
      </c>
      <c r="AC3425" s="511">
        <v>0.9</v>
      </c>
      <c r="AD3425" s="501" t="s">
        <v>3418</v>
      </c>
      <c r="AE3425" s="512">
        <f>1/AL3421*AC3425</f>
        <v>1.3986013986013988E-2</v>
      </c>
      <c r="AF3425" s="500"/>
      <c r="AG3425" s="500"/>
      <c r="AH3425" s="500"/>
      <c r="AI3425" s="500"/>
      <c r="AJ3425" s="500"/>
      <c r="AK3425" s="500"/>
      <c r="AL3425" s="500"/>
      <c r="AM3425" s="500"/>
      <c r="AN3425" s="500"/>
      <c r="AO3425" s="500"/>
      <c r="AP3425" s="500"/>
    </row>
    <row r="3426" spans="1:42" ht="16.5" customHeight="1">
      <c r="A3426" s="439"/>
      <c r="B3426" s="439"/>
      <c r="C3426" s="439"/>
      <c r="D3426" s="439"/>
      <c r="E3426" s="439"/>
      <c r="F3426" s="439"/>
      <c r="G3426" s="451" t="s">
        <v>3406</v>
      </c>
      <c r="Z3426" s="500"/>
      <c r="AA3426" s="500"/>
      <c r="AB3426" s="500"/>
      <c r="AC3426" s="500"/>
      <c r="AD3426" s="500"/>
      <c r="AE3426" s="500"/>
      <c r="AF3426" s="500"/>
      <c r="AG3426" s="500"/>
      <c r="AH3426" s="500"/>
      <c r="AI3426" s="500"/>
      <c r="AJ3426" s="500"/>
      <c r="AK3426" s="500"/>
      <c r="AL3426" s="500"/>
      <c r="AM3426" s="500"/>
      <c r="AN3426" s="500"/>
      <c r="AO3426" s="500"/>
      <c r="AP3426" s="500"/>
    </row>
    <row r="3427" spans="1:42" ht="16.5" customHeight="1">
      <c r="A3427" s="434" t="s">
        <v>3580</v>
      </c>
      <c r="B3427" s="505" t="str">
        <f>" 경    비  : "&amp;TEXT(I3427,"#,##0"&amp;IF(I3427&lt;&gt;INT(I3427),".###",""))&amp;" / Q * "&amp;AC3427&amp;" = "&amp;TEXT(C3427,"#,##0.0")&amp;""</f>
        <v xml:space="preserve"> 경    비  : 23,423 / Q * 0.9 = 327.5</v>
      </c>
      <c r="C3427" s="506">
        <f>E3427+D3427+F3427</f>
        <v>327.5</v>
      </c>
      <c r="D3427" s="506">
        <f>IF(H3427=0,0,ROUNDDOWN(J3427*H3427,1))</f>
        <v>0</v>
      </c>
      <c r="E3427" s="506">
        <f>IF(H3427=0,0,ROUNDDOWN(K3427*H3427,1))</f>
        <v>0</v>
      </c>
      <c r="F3427" s="506">
        <f>IF(H3427=0,0,ROUNDDOWN(L3427*H3427,1))</f>
        <v>327.5</v>
      </c>
      <c r="G3427" s="451" t="s">
        <v>3767</v>
      </c>
      <c r="H3427" s="507">
        <f>ROUNDUP(AE3427,14-LEN(ABS(INT(AE3427))))</f>
        <v>1.3986013986100001E-2</v>
      </c>
      <c r="I3427" s="508">
        <f>K3427+J3427+L3427</f>
        <v>23423</v>
      </c>
      <c r="L3427" s="509">
        <f>중기목록표!H8</f>
        <v>23423</v>
      </c>
      <c r="M3427" s="501" t="s">
        <v>3159</v>
      </c>
      <c r="N3427" s="501" t="s">
        <v>3416</v>
      </c>
      <c r="X3427" s="510" t="str">
        <f>중기목록표!B8&amp;" / "&amp;중기목록표!C8</f>
        <v>굴착기(무한궤도) / 0.6㎥</v>
      </c>
      <c r="Y3427" s="433" t="str">
        <f ca="1">HYPERLINK("#"&amp;중기목록표!J2&amp;"!A"&amp;ROW(중기목록표!A8),"X00269 →")</f>
        <v>X00269 →</v>
      </c>
      <c r="Z3427" s="501" t="s">
        <v>3434</v>
      </c>
      <c r="AA3427" s="512" t="str">
        <f>AL3421</f>
        <v>64.35</v>
      </c>
      <c r="AB3427" s="501" t="s">
        <v>3368</v>
      </c>
      <c r="AC3427" s="511">
        <v>0.9</v>
      </c>
      <c r="AD3427" s="501" t="s">
        <v>3418</v>
      </c>
      <c r="AE3427" s="512">
        <f>1/AL3421*AC3427</f>
        <v>1.3986013986013988E-2</v>
      </c>
      <c r="AF3427" s="500"/>
      <c r="AG3427" s="500"/>
      <c r="AH3427" s="500"/>
      <c r="AI3427" s="500"/>
      <c r="AJ3427" s="500"/>
      <c r="AK3427" s="500"/>
      <c r="AL3427" s="500"/>
      <c r="AM3427" s="500"/>
      <c r="AN3427" s="500"/>
      <c r="AO3427" s="500"/>
      <c r="AP3427" s="500"/>
    </row>
    <row r="3428" spans="1:42" ht="16.5" customHeight="1">
      <c r="A3428" s="439"/>
      <c r="B3428" s="439"/>
      <c r="C3428" s="439"/>
      <c r="D3428" s="439"/>
      <c r="E3428" s="439"/>
      <c r="F3428" s="439"/>
      <c r="G3428" s="451" t="s">
        <v>3406</v>
      </c>
      <c r="Z3428" s="500"/>
      <c r="AA3428" s="500"/>
      <c r="AB3428" s="500"/>
      <c r="AC3428" s="500"/>
      <c r="AD3428" s="500"/>
      <c r="AE3428" s="500"/>
      <c r="AF3428" s="500"/>
      <c r="AG3428" s="500"/>
      <c r="AH3428" s="500"/>
      <c r="AI3428" s="500"/>
      <c r="AJ3428" s="500"/>
      <c r="AK3428" s="500"/>
      <c r="AL3428" s="500"/>
      <c r="AM3428" s="500"/>
      <c r="AN3428" s="500"/>
      <c r="AO3428" s="500"/>
      <c r="AP3428" s="500"/>
    </row>
    <row r="3429" spans="1:42" ht="16.5" customHeight="1">
      <c r="A3429" s="434"/>
      <c r="B3429" s="437" t="s">
        <v>3419</v>
      </c>
      <c r="C3429" s="513">
        <f>E3429+D3429+F3429</f>
        <v>1392.9</v>
      </c>
      <c r="D3429" s="513">
        <f>SUMIF(N3407:N3428,M3429,D3407:D3428)</f>
        <v>825.4</v>
      </c>
      <c r="E3429" s="513">
        <f>SUMIF(N3407:N3428,M3429,E3407:E3428)</f>
        <v>240</v>
      </c>
      <c r="F3429" s="513">
        <f>SUMIF(N3407:N3428,M3429,F3407:F3428)</f>
        <v>327.5</v>
      </c>
      <c r="G3429" s="451" t="s">
        <v>3420</v>
      </c>
      <c r="M3429" s="501" t="s">
        <v>3416</v>
      </c>
      <c r="N3429" s="501" t="s">
        <v>3421</v>
      </c>
      <c r="Z3429" s="500"/>
      <c r="AA3429" s="500"/>
      <c r="AB3429" s="500"/>
      <c r="AC3429" s="500"/>
      <c r="AD3429" s="500"/>
      <c r="AE3429" s="500"/>
      <c r="AF3429" s="500"/>
      <c r="AG3429" s="500"/>
      <c r="AH3429" s="500"/>
      <c r="AI3429" s="500"/>
      <c r="AJ3429" s="500"/>
      <c r="AK3429" s="500"/>
      <c r="AL3429" s="500"/>
      <c r="AM3429" s="500"/>
      <c r="AN3429" s="500"/>
      <c r="AO3429" s="500"/>
      <c r="AP3429" s="500"/>
    </row>
    <row r="3430" spans="1:42" ht="16.5" customHeight="1">
      <c r="A3430" s="439"/>
      <c r="B3430" s="439"/>
      <c r="C3430" s="504"/>
      <c r="D3430" s="504"/>
      <c r="E3430" s="504"/>
      <c r="F3430" s="504"/>
      <c r="G3430" s="451" t="s">
        <v>3406</v>
      </c>
      <c r="Z3430" s="500"/>
      <c r="AA3430" s="500"/>
      <c r="AB3430" s="500"/>
      <c r="AC3430" s="500"/>
      <c r="AD3430" s="500"/>
      <c r="AE3430" s="500"/>
      <c r="AF3430" s="500"/>
      <c r="AG3430" s="500"/>
      <c r="AH3430" s="500"/>
      <c r="AI3430" s="500"/>
      <c r="AJ3430" s="500"/>
      <c r="AK3430" s="500"/>
      <c r="AL3430" s="500"/>
      <c r="AM3430" s="500"/>
      <c r="AN3430" s="500"/>
      <c r="AO3430" s="500"/>
      <c r="AP3430" s="500"/>
    </row>
    <row r="3431" spans="1:42" ht="16.5" customHeight="1">
      <c r="A3431" s="439"/>
      <c r="B3431" s="439"/>
      <c r="C3431" s="439"/>
      <c r="D3431" s="439"/>
      <c r="E3431" s="439"/>
      <c r="F3431" s="439"/>
      <c r="G3431" s="451" t="s">
        <v>3406</v>
      </c>
      <c r="Z3431" s="500"/>
      <c r="AA3431" s="500"/>
      <c r="AB3431" s="500"/>
      <c r="AC3431" s="500"/>
      <c r="AD3431" s="500"/>
      <c r="AE3431" s="500"/>
      <c r="AF3431" s="500"/>
      <c r="AG3431" s="500"/>
      <c r="AH3431" s="500"/>
      <c r="AI3431" s="500"/>
      <c r="AJ3431" s="500"/>
      <c r="AK3431" s="500"/>
      <c r="AL3431" s="500"/>
      <c r="AM3431" s="500"/>
      <c r="AN3431" s="500"/>
      <c r="AO3431" s="500"/>
      <c r="AP3431" s="500"/>
    </row>
    <row r="3432" spans="1:42" ht="16.5" customHeight="1">
      <c r="A3432" s="439"/>
      <c r="B3432" s="439"/>
      <c r="C3432" s="439"/>
      <c r="D3432" s="439"/>
      <c r="E3432" s="439"/>
      <c r="F3432" s="439"/>
      <c r="G3432" s="451" t="s">
        <v>3406</v>
      </c>
      <c r="Z3432" s="500"/>
      <c r="AA3432" s="500"/>
      <c r="AB3432" s="500"/>
      <c r="AC3432" s="500"/>
      <c r="AD3432" s="500"/>
      <c r="AE3432" s="500"/>
      <c r="AF3432" s="500"/>
      <c r="AG3432" s="500"/>
      <c r="AH3432" s="500"/>
      <c r="AI3432" s="500"/>
      <c r="AJ3432" s="500"/>
      <c r="AK3432" s="500"/>
      <c r="AL3432" s="500"/>
      <c r="AM3432" s="500"/>
      <c r="AN3432" s="500"/>
      <c r="AO3432" s="500"/>
      <c r="AP3432" s="500"/>
    </row>
    <row r="3433" spans="1:42" ht="16.5" customHeight="1">
      <c r="A3433" s="434"/>
      <c r="B3433" s="437" t="s">
        <v>3723</v>
      </c>
      <c r="C3433" s="439"/>
      <c r="D3433" s="439"/>
      <c r="E3433" s="439"/>
      <c r="F3433" s="439"/>
      <c r="G3433" s="451" t="s">
        <v>3724</v>
      </c>
      <c r="Z3433" s="500"/>
      <c r="AA3433" s="500"/>
      <c r="AB3433" s="500"/>
      <c r="AC3433" s="500"/>
      <c r="AD3433" s="500"/>
      <c r="AE3433" s="500"/>
      <c r="AF3433" s="500"/>
      <c r="AG3433" s="500"/>
      <c r="AH3433" s="500"/>
      <c r="AI3433" s="500"/>
      <c r="AJ3433" s="500"/>
      <c r="AK3433" s="500"/>
      <c r="AL3433" s="500"/>
      <c r="AM3433" s="500"/>
      <c r="AN3433" s="500"/>
      <c r="AO3433" s="500"/>
      <c r="AP3433" s="500"/>
    </row>
    <row r="3434" spans="1:42" ht="16.5" customHeight="1">
      <c r="A3434" s="439"/>
      <c r="B3434" s="439"/>
      <c r="C3434" s="439"/>
      <c r="D3434" s="439"/>
      <c r="E3434" s="439"/>
      <c r="F3434" s="439"/>
      <c r="G3434" s="451" t="s">
        <v>3406</v>
      </c>
      <c r="Z3434" s="500"/>
      <c r="AA3434" s="500"/>
      <c r="AB3434" s="500"/>
      <c r="AC3434" s="500"/>
      <c r="AD3434" s="500"/>
      <c r="AE3434" s="500"/>
      <c r="AF3434" s="500"/>
      <c r="AG3434" s="500"/>
      <c r="AH3434" s="500"/>
      <c r="AI3434" s="500"/>
      <c r="AJ3434" s="500"/>
      <c r="AK3434" s="500"/>
      <c r="AL3434" s="500"/>
      <c r="AM3434" s="500"/>
      <c r="AN3434" s="500"/>
      <c r="AO3434" s="500"/>
      <c r="AP3434" s="500"/>
    </row>
    <row r="3435" spans="1:42" ht="16.5" customHeight="1">
      <c r="A3435" s="434" t="s">
        <v>3414</v>
      </c>
      <c r="B3435" s="505" t="str">
        <f>" ○ 보통인부 :  "&amp;TEXT(I3435,"#,##0"&amp;IF(I3435&lt;&gt;INT(I3435),".###",""))&amp;" * "&amp;AA3435&amp;" * "&amp;AC3435&amp;" = "&amp;TEXT(C3435,"#,##0.0")&amp;""</f>
        <v xml:space="preserve"> ○ 보통인부 :  172,068 * 0.1 * 0.1 = 1,720.6</v>
      </c>
      <c r="C3435" s="506">
        <f>E3435+D3435+F3435</f>
        <v>1720.6</v>
      </c>
      <c r="D3435" s="506">
        <f>IF(H3435=0,0,ROUNDDOWN(J3435*H3435,1))</f>
        <v>1720.6</v>
      </c>
      <c r="E3435" s="506">
        <f>IF(H3435=0,0,ROUNDDOWN(K3435*H3435,1))</f>
        <v>0</v>
      </c>
      <c r="F3435" s="506">
        <f>IF(H3435=0,0,ROUNDDOWN(L3435*H3435,1))</f>
        <v>0</v>
      </c>
      <c r="G3435" s="451" t="s">
        <v>3679</v>
      </c>
      <c r="H3435" s="507">
        <f>ROUNDUP(AE3435,14-LEN(ABS(INT(AE3435))))</f>
        <v>0.01</v>
      </c>
      <c r="I3435" s="508">
        <f>K3435+J3435+L3435</f>
        <v>172068</v>
      </c>
      <c r="J3435" s="509">
        <f>노무비목록표!E10</f>
        <v>172068</v>
      </c>
      <c r="M3435" s="501" t="s">
        <v>2363</v>
      </c>
      <c r="N3435" s="501" t="s">
        <v>3416</v>
      </c>
      <c r="X3435" s="510" t="str">
        <f>노무비목록표!B10&amp;" / "&amp;노무비목록표!C10</f>
        <v xml:space="preserve">보통인부 / </v>
      </c>
      <c r="Y3435" s="433" t="str">
        <f ca="1">HYPERLINK("#"&amp;노무비목록표!G2&amp;"!A"&amp;ROW(노무비목록표!A10),"L00017 →")</f>
        <v>L00017 →</v>
      </c>
      <c r="Z3435" s="501" t="s">
        <v>3500</v>
      </c>
      <c r="AA3435" s="511">
        <v>0.1</v>
      </c>
      <c r="AB3435" s="501" t="s">
        <v>3368</v>
      </c>
      <c r="AC3435" s="511">
        <v>0.1</v>
      </c>
      <c r="AD3435" s="501" t="s">
        <v>3418</v>
      </c>
      <c r="AE3435" s="512">
        <f>1*AA3435*AC3435</f>
        <v>1.0000000000000002E-2</v>
      </c>
      <c r="AF3435" s="500"/>
      <c r="AG3435" s="500"/>
      <c r="AH3435" s="500"/>
      <c r="AI3435" s="500"/>
      <c r="AJ3435" s="500"/>
      <c r="AK3435" s="500"/>
      <c r="AL3435" s="500"/>
      <c r="AM3435" s="500"/>
      <c r="AN3435" s="500"/>
      <c r="AO3435" s="500"/>
      <c r="AP3435" s="500"/>
    </row>
    <row r="3436" spans="1:42" ht="16.5" customHeight="1">
      <c r="A3436" s="439"/>
      <c r="B3436" s="439"/>
      <c r="C3436" s="439"/>
      <c r="D3436" s="439"/>
      <c r="E3436" s="439"/>
      <c r="F3436" s="439"/>
      <c r="G3436" s="451" t="s">
        <v>3406</v>
      </c>
      <c r="Z3436" s="500"/>
      <c r="AA3436" s="500"/>
      <c r="AB3436" s="500"/>
      <c r="AC3436" s="500"/>
      <c r="AD3436" s="500"/>
      <c r="AE3436" s="500"/>
      <c r="AF3436" s="500"/>
      <c r="AG3436" s="500"/>
      <c r="AH3436" s="500"/>
      <c r="AI3436" s="500"/>
      <c r="AJ3436" s="500"/>
      <c r="AK3436" s="500"/>
      <c r="AL3436" s="500"/>
      <c r="AM3436" s="500"/>
      <c r="AN3436" s="500"/>
      <c r="AO3436" s="500"/>
      <c r="AP3436" s="500"/>
    </row>
    <row r="3437" spans="1:42" ht="16.5" customHeight="1">
      <c r="A3437" s="434"/>
      <c r="B3437" s="437" t="s">
        <v>3419</v>
      </c>
      <c r="C3437" s="513">
        <f>E3437+D3437+F3437</f>
        <v>1720.6</v>
      </c>
      <c r="D3437" s="513">
        <f>SUMIF(N3430:N3436,M3437,D3430:D3436)</f>
        <v>1720.6</v>
      </c>
      <c r="E3437" s="513">
        <f>SUMIF(N3430:N3436,M3437,E3430:E3436)</f>
        <v>0</v>
      </c>
      <c r="F3437" s="513">
        <f>SUMIF(N3430:N3436,M3437,F3430:F3436)</f>
        <v>0</v>
      </c>
      <c r="G3437" s="451" t="s">
        <v>3420</v>
      </c>
      <c r="M3437" s="501" t="s">
        <v>3416</v>
      </c>
      <c r="N3437" s="501" t="s">
        <v>3421</v>
      </c>
      <c r="Z3437" s="500"/>
      <c r="AA3437" s="500"/>
      <c r="AB3437" s="500"/>
      <c r="AC3437" s="500"/>
      <c r="AD3437" s="500"/>
      <c r="AE3437" s="500"/>
      <c r="AF3437" s="500"/>
      <c r="AG3437" s="500"/>
      <c r="AH3437" s="500"/>
      <c r="AI3437" s="500"/>
      <c r="AJ3437" s="500"/>
      <c r="AK3437" s="500"/>
      <c r="AL3437" s="500"/>
      <c r="AM3437" s="500"/>
      <c r="AN3437" s="500"/>
      <c r="AO3437" s="500"/>
      <c r="AP3437" s="500"/>
    </row>
    <row r="3438" spans="1:42" ht="16.5" customHeight="1">
      <c r="A3438" s="439"/>
      <c r="B3438" s="439"/>
      <c r="C3438" s="504"/>
      <c r="D3438" s="504"/>
      <c r="E3438" s="504"/>
      <c r="F3438" s="504"/>
      <c r="G3438" s="451" t="s">
        <v>3406</v>
      </c>
      <c r="Z3438" s="500"/>
      <c r="AA3438" s="500"/>
      <c r="AB3438" s="500"/>
      <c r="AC3438" s="500"/>
      <c r="AD3438" s="500"/>
      <c r="AE3438" s="500"/>
      <c r="AF3438" s="500"/>
      <c r="AG3438" s="500"/>
      <c r="AH3438" s="500"/>
      <c r="AI3438" s="500"/>
      <c r="AJ3438" s="500"/>
      <c r="AK3438" s="500"/>
      <c r="AL3438" s="500"/>
      <c r="AM3438" s="500"/>
      <c r="AN3438" s="500"/>
      <c r="AO3438" s="500"/>
      <c r="AP3438" s="500"/>
    </row>
    <row r="3439" spans="1:42" ht="16.5" customHeight="1">
      <c r="A3439" s="439"/>
      <c r="B3439" s="439"/>
      <c r="C3439" s="439"/>
      <c r="D3439" s="439"/>
      <c r="E3439" s="439"/>
      <c r="F3439" s="439"/>
      <c r="G3439" s="451" t="s">
        <v>3406</v>
      </c>
      <c r="Z3439" s="500"/>
      <c r="AA3439" s="500"/>
      <c r="AB3439" s="500"/>
      <c r="AC3439" s="500"/>
      <c r="AD3439" s="500"/>
      <c r="AE3439" s="500"/>
      <c r="AF3439" s="500"/>
      <c r="AG3439" s="500"/>
      <c r="AH3439" s="500"/>
      <c r="AI3439" s="500"/>
      <c r="AJ3439" s="500"/>
      <c r="AK3439" s="500"/>
      <c r="AL3439" s="500"/>
      <c r="AM3439" s="500"/>
      <c r="AN3439" s="500"/>
      <c r="AO3439" s="500"/>
      <c r="AP3439" s="500"/>
    </row>
    <row r="3440" spans="1:42" ht="16.5" customHeight="1">
      <c r="A3440" s="439"/>
      <c r="B3440" s="439"/>
      <c r="C3440" s="439"/>
      <c r="D3440" s="439"/>
      <c r="E3440" s="439"/>
      <c r="F3440" s="439"/>
      <c r="G3440" s="451" t="s">
        <v>3406</v>
      </c>
      <c r="Z3440" s="500"/>
      <c r="AA3440" s="500"/>
      <c r="AB3440" s="500"/>
      <c r="AC3440" s="500"/>
      <c r="AD3440" s="500"/>
      <c r="AE3440" s="500"/>
      <c r="AF3440" s="500"/>
      <c r="AG3440" s="500"/>
      <c r="AH3440" s="500"/>
      <c r="AI3440" s="500"/>
      <c r="AJ3440" s="500"/>
      <c r="AK3440" s="500"/>
      <c r="AL3440" s="500"/>
      <c r="AM3440" s="500"/>
      <c r="AN3440" s="500"/>
      <c r="AO3440" s="500"/>
      <c r="AP3440" s="500"/>
    </row>
    <row r="3441" spans="1:42" ht="16.5" customHeight="1">
      <c r="A3441" s="434"/>
      <c r="B3441" s="437" t="s">
        <v>3440</v>
      </c>
      <c r="C3441" s="513">
        <f>E3441+D3441+F3441</f>
        <v>3113.5</v>
      </c>
      <c r="D3441" s="513">
        <f>SUMIF(N3407:N3440,M3441,D3407:D3440)</f>
        <v>2546</v>
      </c>
      <c r="E3441" s="513">
        <f>SUMIF(N3407:N3440,M3441,E3407:E3440)</f>
        <v>240</v>
      </c>
      <c r="F3441" s="513">
        <f>SUMIF(N3407:N3440,M3441,F3407:F3440)</f>
        <v>327.5</v>
      </c>
      <c r="G3441" s="451" t="s">
        <v>3484</v>
      </c>
      <c r="M3441" s="501" t="s">
        <v>3421</v>
      </c>
      <c r="N3441" s="501" t="s">
        <v>2354</v>
      </c>
      <c r="Z3441" s="500"/>
      <c r="AA3441" s="500"/>
      <c r="AB3441" s="500"/>
      <c r="AC3441" s="500"/>
      <c r="AD3441" s="500"/>
      <c r="AE3441" s="500"/>
      <c r="AF3441" s="500"/>
      <c r="AG3441" s="500"/>
      <c r="AH3441" s="500"/>
      <c r="AI3441" s="500"/>
      <c r="AJ3441" s="500"/>
      <c r="AK3441" s="500"/>
      <c r="AL3441" s="500"/>
      <c r="AM3441" s="500"/>
      <c r="AN3441" s="500"/>
      <c r="AO3441" s="500"/>
      <c r="AP3441" s="500"/>
    </row>
    <row r="3442" spans="1:42" ht="16.5" customHeight="1">
      <c r="A3442" s="439"/>
      <c r="B3442" s="439"/>
      <c r="C3442" s="504"/>
      <c r="D3442" s="504"/>
      <c r="E3442" s="504"/>
      <c r="F3442" s="504"/>
      <c r="Z3442" s="500"/>
      <c r="AA3442" s="500"/>
      <c r="AB3442" s="500"/>
      <c r="AC3442" s="500"/>
      <c r="AD3442" s="500"/>
      <c r="AE3442" s="500"/>
      <c r="AF3442" s="500"/>
      <c r="AG3442" s="500"/>
      <c r="AH3442" s="500"/>
      <c r="AI3442" s="500"/>
      <c r="AJ3442" s="500"/>
      <c r="AK3442" s="500"/>
      <c r="AL3442" s="500"/>
      <c r="AM3442" s="500"/>
      <c r="AN3442" s="500"/>
      <c r="AO3442" s="500"/>
      <c r="AP3442" s="500"/>
    </row>
    <row r="3443" spans="1:42" ht="16.5" customHeight="1">
      <c r="A3443" s="439"/>
      <c r="B3443" s="439"/>
      <c r="C3443" s="439"/>
      <c r="D3443" s="439"/>
      <c r="E3443" s="439"/>
      <c r="F3443" s="439"/>
      <c r="Z3443" s="500"/>
      <c r="AA3443" s="500"/>
      <c r="AB3443" s="500"/>
      <c r="AC3443" s="500"/>
      <c r="AD3443" s="500"/>
      <c r="AE3443" s="500"/>
      <c r="AF3443" s="500"/>
      <c r="AG3443" s="500"/>
      <c r="AH3443" s="500"/>
      <c r="AI3443" s="500"/>
      <c r="AJ3443" s="500"/>
      <c r="AK3443" s="500"/>
      <c r="AL3443" s="500"/>
      <c r="AM3443" s="500"/>
      <c r="AN3443" s="500"/>
      <c r="AO3443" s="500"/>
      <c r="AP3443" s="500"/>
    </row>
    <row r="3444" spans="1:42" ht="16.5" customHeight="1">
      <c r="A3444" s="439"/>
      <c r="B3444" s="439"/>
      <c r="C3444" s="439"/>
      <c r="D3444" s="439"/>
      <c r="E3444" s="439"/>
      <c r="F3444" s="439"/>
      <c r="Z3444" s="500"/>
      <c r="AA3444" s="500"/>
      <c r="AB3444" s="500"/>
      <c r="AC3444" s="500"/>
      <c r="AD3444" s="500"/>
      <c r="AE3444" s="500"/>
      <c r="AF3444" s="500"/>
      <c r="AG3444" s="500"/>
      <c r="AH3444" s="500"/>
      <c r="AI3444" s="500"/>
      <c r="AJ3444" s="500"/>
      <c r="AK3444" s="500"/>
      <c r="AL3444" s="500"/>
      <c r="AM3444" s="500"/>
      <c r="AN3444" s="500"/>
      <c r="AO3444" s="500"/>
      <c r="AP3444" s="500"/>
    </row>
    <row r="3445" spans="1:42" ht="16.5" customHeight="1">
      <c r="A3445" s="439"/>
      <c r="B3445" s="439"/>
      <c r="C3445" s="439"/>
      <c r="D3445" s="439"/>
      <c r="E3445" s="439"/>
      <c r="F3445" s="439"/>
      <c r="Z3445" s="500"/>
      <c r="AA3445" s="500"/>
      <c r="AB3445" s="500"/>
      <c r="AC3445" s="500"/>
      <c r="AD3445" s="500"/>
      <c r="AE3445" s="500"/>
      <c r="AF3445" s="500"/>
      <c r="AG3445" s="500"/>
      <c r="AH3445" s="500"/>
      <c r="AI3445" s="500"/>
      <c r="AJ3445" s="500"/>
      <c r="AK3445" s="500"/>
      <c r="AL3445" s="500"/>
      <c r="AM3445" s="500"/>
      <c r="AN3445" s="500"/>
      <c r="AO3445" s="500"/>
      <c r="AP3445" s="500"/>
    </row>
    <row r="3446" spans="1:42" ht="16.5" customHeight="1">
      <c r="A3446" s="439"/>
      <c r="B3446" s="439"/>
      <c r="C3446" s="439"/>
      <c r="D3446" s="439"/>
      <c r="E3446" s="439"/>
      <c r="F3446" s="439"/>
      <c r="Z3446" s="500"/>
      <c r="AA3446" s="500"/>
      <c r="AB3446" s="500"/>
      <c r="AC3446" s="500"/>
      <c r="AD3446" s="500"/>
      <c r="AE3446" s="500"/>
      <c r="AF3446" s="500"/>
      <c r="AG3446" s="500"/>
      <c r="AH3446" s="500"/>
      <c r="AI3446" s="500"/>
      <c r="AJ3446" s="500"/>
      <c r="AK3446" s="500"/>
      <c r="AL3446" s="500"/>
      <c r="AM3446" s="500"/>
      <c r="AN3446" s="500"/>
      <c r="AO3446" s="500"/>
      <c r="AP3446" s="500"/>
    </row>
    <row r="3447" spans="1:42" ht="16.5" customHeight="1">
      <c r="A3447" s="439"/>
      <c r="B3447" s="439"/>
      <c r="C3447" s="439"/>
      <c r="D3447" s="439"/>
      <c r="E3447" s="439"/>
      <c r="F3447" s="439"/>
      <c r="Z3447" s="500"/>
      <c r="AA3447" s="500"/>
      <c r="AB3447" s="500"/>
      <c r="AC3447" s="500"/>
      <c r="AD3447" s="500"/>
      <c r="AE3447" s="500"/>
      <c r="AF3447" s="500"/>
      <c r="AG3447" s="500"/>
      <c r="AH3447" s="500"/>
      <c r="AI3447" s="500"/>
      <c r="AJ3447" s="500"/>
      <c r="AK3447" s="500"/>
      <c r="AL3447" s="500"/>
      <c r="AM3447" s="500"/>
      <c r="AN3447" s="500"/>
      <c r="AO3447" s="500"/>
      <c r="AP3447" s="500"/>
    </row>
    <row r="3448" spans="1:42" ht="16.5" customHeight="1">
      <c r="A3448" s="439"/>
      <c r="B3448" s="439"/>
      <c r="C3448" s="439"/>
      <c r="D3448" s="439"/>
      <c r="E3448" s="439"/>
      <c r="F3448" s="439"/>
      <c r="Z3448" s="500"/>
      <c r="AA3448" s="500"/>
      <c r="AB3448" s="500"/>
      <c r="AC3448" s="500"/>
      <c r="AD3448" s="500"/>
      <c r="AE3448" s="500"/>
      <c r="AF3448" s="500"/>
      <c r="AG3448" s="500"/>
      <c r="AH3448" s="500"/>
      <c r="AI3448" s="500"/>
      <c r="AJ3448" s="500"/>
      <c r="AK3448" s="500"/>
      <c r="AL3448" s="500"/>
      <c r="AM3448" s="500"/>
      <c r="AN3448" s="500"/>
      <c r="AO3448" s="500"/>
      <c r="AP3448" s="500"/>
    </row>
    <row r="3449" spans="1:42" ht="16.5" customHeight="1">
      <c r="A3449" s="439"/>
      <c r="B3449" s="439"/>
      <c r="C3449" s="439"/>
      <c r="D3449" s="439"/>
      <c r="E3449" s="439"/>
      <c r="F3449" s="439"/>
      <c r="Z3449" s="500"/>
      <c r="AA3449" s="500"/>
      <c r="AB3449" s="500"/>
      <c r="AC3449" s="500"/>
      <c r="AD3449" s="500"/>
      <c r="AE3449" s="500"/>
      <c r="AF3449" s="500"/>
      <c r="AG3449" s="500"/>
      <c r="AH3449" s="500"/>
      <c r="AI3449" s="500"/>
      <c r="AJ3449" s="500"/>
      <c r="AK3449" s="500"/>
      <c r="AL3449" s="500"/>
      <c r="AM3449" s="500"/>
      <c r="AN3449" s="500"/>
      <c r="AO3449" s="500"/>
      <c r="AP3449" s="500"/>
    </row>
    <row r="3450" spans="1:42" ht="16.5" customHeight="1">
      <c r="A3450" s="439"/>
      <c r="B3450" s="439"/>
      <c r="C3450" s="439"/>
      <c r="D3450" s="439"/>
      <c r="E3450" s="439"/>
      <c r="F3450" s="439"/>
      <c r="Z3450" s="500"/>
      <c r="AA3450" s="500"/>
      <c r="AB3450" s="500"/>
      <c r="AC3450" s="500"/>
      <c r="AD3450" s="500"/>
      <c r="AE3450" s="500"/>
      <c r="AF3450" s="500"/>
      <c r="AG3450" s="500"/>
      <c r="AH3450" s="500"/>
      <c r="AI3450" s="500"/>
      <c r="AJ3450" s="500"/>
      <c r="AK3450" s="500"/>
      <c r="AL3450" s="500"/>
      <c r="AM3450" s="500"/>
      <c r="AN3450" s="500"/>
      <c r="AO3450" s="500"/>
      <c r="AP3450" s="500"/>
    </row>
    <row r="3451" spans="1:42" ht="16.5" customHeight="1">
      <c r="A3451" s="439"/>
      <c r="B3451" s="439"/>
      <c r="C3451" s="439"/>
      <c r="D3451" s="439"/>
      <c r="E3451" s="439"/>
      <c r="F3451" s="439"/>
      <c r="Z3451" s="500"/>
      <c r="AA3451" s="500"/>
      <c r="AB3451" s="500"/>
      <c r="AC3451" s="500"/>
      <c r="AD3451" s="500"/>
      <c r="AE3451" s="500"/>
      <c r="AF3451" s="500"/>
      <c r="AG3451" s="500"/>
      <c r="AH3451" s="500"/>
      <c r="AI3451" s="500"/>
      <c r="AJ3451" s="500"/>
      <c r="AK3451" s="500"/>
      <c r="AL3451" s="500"/>
      <c r="AM3451" s="500"/>
      <c r="AN3451" s="500"/>
      <c r="AO3451" s="500"/>
      <c r="AP3451" s="500"/>
    </row>
    <row r="3452" spans="1:42" ht="16.5" customHeight="1">
      <c r="A3452" s="439"/>
      <c r="B3452" s="439"/>
      <c r="C3452" s="439"/>
      <c r="D3452" s="439"/>
      <c r="E3452" s="439"/>
      <c r="F3452" s="439"/>
      <c r="Z3452" s="500"/>
      <c r="AA3452" s="500"/>
      <c r="AB3452" s="500"/>
      <c r="AC3452" s="500"/>
      <c r="AD3452" s="500"/>
      <c r="AE3452" s="500"/>
      <c r="AF3452" s="500"/>
      <c r="AG3452" s="500"/>
      <c r="AH3452" s="500"/>
      <c r="AI3452" s="500"/>
      <c r="AJ3452" s="500"/>
      <c r="AK3452" s="500"/>
      <c r="AL3452" s="500"/>
      <c r="AM3452" s="500"/>
      <c r="AN3452" s="500"/>
      <c r="AO3452" s="500"/>
      <c r="AP3452" s="500"/>
    </row>
    <row r="3453" spans="1:42" ht="16.5" customHeight="1">
      <c r="A3453" s="497"/>
      <c r="B3453" s="497"/>
      <c r="C3453" s="497"/>
      <c r="D3453" s="497"/>
      <c r="E3453" s="497"/>
      <c r="F3453" s="497"/>
      <c r="Z3453" s="500"/>
      <c r="AA3453" s="500"/>
      <c r="AB3453" s="500"/>
      <c r="AC3453" s="500"/>
      <c r="AD3453" s="500"/>
      <c r="AE3453" s="500"/>
      <c r="AF3453" s="500"/>
      <c r="AG3453" s="500"/>
      <c r="AH3453" s="500"/>
      <c r="AI3453" s="500"/>
      <c r="AJ3453" s="500"/>
      <c r="AK3453" s="500"/>
      <c r="AL3453" s="500"/>
      <c r="AM3453" s="500"/>
      <c r="AN3453" s="500"/>
      <c r="AO3453" s="500"/>
      <c r="AP3453" s="500"/>
    </row>
    <row r="3454" spans="1:42" ht="16.5" customHeight="1">
      <c r="A3454" s="616" t="s">
        <v>3487</v>
      </c>
      <c r="B3454" s="605"/>
      <c r="C3454" s="446">
        <f>E3454+D3454+F3454</f>
        <v>3113</v>
      </c>
      <c r="D3454" s="453">
        <f>ROUNDDOWN(SUMIF(N3407:N3441,M3454,D3407:D3441),0)</f>
        <v>2546</v>
      </c>
      <c r="E3454" s="454">
        <f>ROUNDDOWN(SUMIF(N3407:N3441,M3454,E3407:E3441),0)</f>
        <v>240</v>
      </c>
      <c r="F3454" s="446">
        <f>ROUNDDOWN(SUMIF(N3407:N3441,M3454,F3407:F3441),0)</f>
        <v>327</v>
      </c>
      <c r="M3454" s="501" t="s">
        <v>2354</v>
      </c>
      <c r="Z3454" s="500"/>
      <c r="AA3454" s="500"/>
      <c r="AB3454" s="500"/>
      <c r="AC3454" s="500"/>
      <c r="AD3454" s="500"/>
      <c r="AE3454" s="500"/>
      <c r="AF3454" s="500"/>
      <c r="AG3454" s="500"/>
      <c r="AH3454" s="500"/>
      <c r="AI3454" s="500"/>
      <c r="AJ3454" s="500"/>
      <c r="AK3454" s="500"/>
      <c r="AL3454" s="500"/>
      <c r="AM3454" s="500"/>
      <c r="AN3454" s="500"/>
      <c r="AO3454" s="500"/>
      <c r="AP3454" s="500"/>
    </row>
    <row r="3455" spans="1:42" ht="16.5" customHeight="1">
      <c r="A3455" s="502" t="s">
        <v>3361</v>
      </c>
      <c r="B3455" s="503" t="s">
        <v>1302</v>
      </c>
      <c r="C3455" s="615">
        <f>C3504</f>
        <v>722</v>
      </c>
      <c r="D3455" s="615">
        <f>D3504</f>
        <v>722</v>
      </c>
      <c r="E3455" s="615">
        <f>E3504</f>
        <v>0</v>
      </c>
      <c r="F3455" s="615">
        <f>F3504</f>
        <v>0</v>
      </c>
      <c r="G3455" s="486" t="str">
        <f>HYPERLINK("#G"&amp;ROW(G3470),"_x0005_`BDCOD|D01212_x0007_`POSS|"&amp;ROW(G3457)&amp;"_x0007_`POSE|"&amp;ROW(G3470)&amp;"_x0007_`")</f>
        <v>_x0005_`BDCOD|D01212_x0007_`POSS|3457_x0007_`POSE|3470_x0007_`</v>
      </c>
      <c r="Z3455" s="500"/>
      <c r="AA3455" s="500"/>
      <c r="AB3455" s="500"/>
      <c r="AC3455" s="500"/>
      <c r="AD3455" s="500"/>
      <c r="AE3455" s="500"/>
      <c r="AF3455" s="500"/>
      <c r="AG3455" s="500"/>
      <c r="AH3455" s="500"/>
      <c r="AI3455" s="500"/>
      <c r="AJ3455" s="500"/>
      <c r="AK3455" s="500"/>
      <c r="AL3455" s="500"/>
      <c r="AM3455" s="500"/>
      <c r="AN3455" s="500"/>
      <c r="AO3455" s="500"/>
      <c r="AP3455" s="500"/>
    </row>
    <row r="3456" spans="1:42" ht="16.5" customHeight="1">
      <c r="A3456" s="485"/>
      <c r="B3456" s="503" t="s">
        <v>3768</v>
      </c>
      <c r="C3456" s="593"/>
      <c r="D3456" s="593"/>
      <c r="E3456" s="593"/>
      <c r="F3456" s="593"/>
      <c r="M3456" s="501" t="s">
        <v>1302</v>
      </c>
      <c r="Z3456" s="500"/>
      <c r="AA3456" s="500"/>
      <c r="AB3456" s="500"/>
      <c r="AC3456" s="500"/>
      <c r="AD3456" s="500"/>
      <c r="AE3456" s="500"/>
      <c r="AF3456" s="500"/>
      <c r="AG3456" s="500"/>
      <c r="AH3456" s="500"/>
      <c r="AI3456" s="500"/>
      <c r="AJ3456" s="500"/>
      <c r="AK3456" s="500"/>
      <c r="AL3456" s="500"/>
      <c r="AM3456" s="500"/>
      <c r="AN3456" s="500"/>
      <c r="AO3456" s="500"/>
      <c r="AP3456" s="500"/>
    </row>
    <row r="3457" spans="1:42" ht="16.5" customHeight="1">
      <c r="A3457" s="434"/>
      <c r="B3457" s="437" t="s">
        <v>3769</v>
      </c>
      <c r="C3457" s="504"/>
      <c r="D3457" s="504"/>
      <c r="E3457" s="504"/>
      <c r="F3457" s="504"/>
      <c r="G3457" s="451" t="s">
        <v>3770</v>
      </c>
      <c r="Z3457" s="500"/>
      <c r="AA3457" s="500"/>
      <c r="AB3457" s="500"/>
      <c r="AC3457" s="500"/>
      <c r="AD3457" s="500"/>
      <c r="AE3457" s="500"/>
      <c r="AF3457" s="500"/>
      <c r="AG3457" s="500"/>
      <c r="AH3457" s="500"/>
      <c r="AI3457" s="500"/>
      <c r="AJ3457" s="500"/>
      <c r="AK3457" s="500"/>
      <c r="AL3457" s="500"/>
      <c r="AM3457" s="500"/>
      <c r="AN3457" s="500"/>
      <c r="AO3457" s="500"/>
      <c r="AP3457" s="500"/>
    </row>
    <row r="3458" spans="1:42" ht="16.5" customHeight="1">
      <c r="A3458" s="439"/>
      <c r="B3458" s="439"/>
      <c r="C3458" s="439"/>
      <c r="D3458" s="439"/>
      <c r="E3458" s="439"/>
      <c r="F3458" s="439"/>
      <c r="G3458" s="451" t="s">
        <v>3406</v>
      </c>
      <c r="Z3458" s="500"/>
      <c r="AA3458" s="500"/>
      <c r="AB3458" s="500"/>
      <c r="AC3458" s="500"/>
      <c r="AD3458" s="500"/>
      <c r="AE3458" s="500"/>
      <c r="AF3458" s="500"/>
      <c r="AG3458" s="500"/>
      <c r="AH3458" s="500"/>
      <c r="AI3458" s="500"/>
      <c r="AJ3458" s="500"/>
      <c r="AK3458" s="500"/>
      <c r="AL3458" s="500"/>
      <c r="AM3458" s="500"/>
      <c r="AN3458" s="500"/>
      <c r="AO3458" s="500"/>
      <c r="AP3458" s="500"/>
    </row>
    <row r="3459" spans="1:42" ht="16.5" customHeight="1">
      <c r="A3459" s="434"/>
      <c r="B3459" s="437" t="s">
        <v>3771</v>
      </c>
      <c r="C3459" s="439"/>
      <c r="D3459" s="439"/>
      <c r="E3459" s="439"/>
      <c r="F3459" s="439"/>
      <c r="G3459" s="451" t="s">
        <v>3772</v>
      </c>
      <c r="Z3459" s="500"/>
      <c r="AA3459" s="500"/>
      <c r="AB3459" s="500"/>
      <c r="AC3459" s="500"/>
      <c r="AD3459" s="500"/>
      <c r="AE3459" s="500"/>
      <c r="AF3459" s="500"/>
      <c r="AG3459" s="500"/>
      <c r="AH3459" s="500"/>
      <c r="AI3459" s="500"/>
      <c r="AJ3459" s="500"/>
      <c r="AK3459" s="500"/>
      <c r="AL3459" s="500"/>
      <c r="AM3459" s="500"/>
      <c r="AN3459" s="500"/>
      <c r="AO3459" s="500"/>
      <c r="AP3459" s="500"/>
    </row>
    <row r="3460" spans="1:42" ht="16.5" customHeight="1">
      <c r="A3460" s="439"/>
      <c r="B3460" s="439"/>
      <c r="C3460" s="439"/>
      <c r="D3460" s="439"/>
      <c r="E3460" s="439"/>
      <c r="F3460" s="439"/>
      <c r="G3460" s="451" t="s">
        <v>3406</v>
      </c>
      <c r="Z3460" s="500"/>
      <c r="AA3460" s="500"/>
      <c r="AB3460" s="500"/>
      <c r="AC3460" s="500"/>
      <c r="AD3460" s="500"/>
      <c r="AE3460" s="500"/>
      <c r="AF3460" s="500"/>
      <c r="AG3460" s="500"/>
      <c r="AH3460" s="500"/>
      <c r="AI3460" s="500"/>
      <c r="AJ3460" s="500"/>
      <c r="AK3460" s="500"/>
      <c r="AL3460" s="500"/>
      <c r="AM3460" s="500"/>
      <c r="AN3460" s="500"/>
      <c r="AO3460" s="500"/>
      <c r="AP3460" s="500"/>
    </row>
    <row r="3461" spans="1:42" ht="16.5" customHeight="1">
      <c r="A3461" s="439"/>
      <c r="B3461" s="439"/>
      <c r="C3461" s="439"/>
      <c r="D3461" s="439"/>
      <c r="E3461" s="439"/>
      <c r="F3461" s="439"/>
      <c r="G3461" s="451" t="s">
        <v>3406</v>
      </c>
      <c r="Z3461" s="500"/>
      <c r="AA3461" s="500"/>
      <c r="AB3461" s="500"/>
      <c r="AC3461" s="500"/>
      <c r="AD3461" s="500"/>
      <c r="AE3461" s="500"/>
      <c r="AF3461" s="500"/>
      <c r="AG3461" s="500"/>
      <c r="AH3461" s="500"/>
      <c r="AI3461" s="500"/>
      <c r="AJ3461" s="500"/>
      <c r="AK3461" s="500"/>
      <c r="AL3461" s="500"/>
      <c r="AM3461" s="500"/>
      <c r="AN3461" s="500"/>
      <c r="AO3461" s="500"/>
      <c r="AP3461" s="500"/>
    </row>
    <row r="3462" spans="1:42" ht="16.5" customHeight="1">
      <c r="A3462" s="434"/>
      <c r="B3462" s="437" t="s">
        <v>3773</v>
      </c>
      <c r="C3462" s="439"/>
      <c r="D3462" s="439"/>
      <c r="E3462" s="439"/>
      <c r="F3462" s="439"/>
      <c r="G3462" s="451" t="s">
        <v>3774</v>
      </c>
      <c r="Z3462" s="500"/>
      <c r="AA3462" s="500"/>
      <c r="AB3462" s="500"/>
      <c r="AC3462" s="500"/>
      <c r="AD3462" s="500"/>
      <c r="AE3462" s="500"/>
      <c r="AF3462" s="500"/>
      <c r="AG3462" s="500"/>
      <c r="AH3462" s="500"/>
      <c r="AI3462" s="500"/>
      <c r="AJ3462" s="500"/>
      <c r="AK3462" s="500"/>
      <c r="AL3462" s="500"/>
      <c r="AM3462" s="500"/>
      <c r="AN3462" s="500"/>
      <c r="AO3462" s="500"/>
      <c r="AP3462" s="500"/>
    </row>
    <row r="3463" spans="1:42" ht="16.5" customHeight="1">
      <c r="A3463" s="439"/>
      <c r="B3463" s="439"/>
      <c r="C3463" s="439"/>
      <c r="D3463" s="439"/>
      <c r="E3463" s="439"/>
      <c r="F3463" s="439"/>
      <c r="G3463" s="451" t="s">
        <v>3406</v>
      </c>
      <c r="Z3463" s="500"/>
      <c r="AA3463" s="500"/>
      <c r="AB3463" s="500"/>
      <c r="AC3463" s="500"/>
      <c r="AD3463" s="500"/>
      <c r="AE3463" s="500"/>
      <c r="AF3463" s="500"/>
      <c r="AG3463" s="500"/>
      <c r="AH3463" s="500"/>
      <c r="AI3463" s="500"/>
      <c r="AJ3463" s="500"/>
      <c r="AK3463" s="500"/>
      <c r="AL3463" s="500"/>
      <c r="AM3463" s="500"/>
      <c r="AN3463" s="500"/>
      <c r="AO3463" s="500"/>
      <c r="AP3463" s="500"/>
    </row>
    <row r="3464" spans="1:42" ht="16.5" customHeight="1">
      <c r="A3464" s="434"/>
      <c r="B3464" s="437" t="str">
        <f>"  P = "&amp;Z3464&amp;"   인 "</f>
        <v xml:space="preserve">  P = 0.42   인 </v>
      </c>
      <c r="C3464" s="439"/>
      <c r="D3464" s="439"/>
      <c r="E3464" s="439"/>
      <c r="F3464" s="439"/>
      <c r="G3464" s="451" t="s">
        <v>3775</v>
      </c>
      <c r="Z3464" s="511">
        <v>0.42</v>
      </c>
      <c r="AA3464" s="501" t="s">
        <v>3418</v>
      </c>
      <c r="AB3464" s="512">
        <f>Z3464</f>
        <v>0.42</v>
      </c>
      <c r="AC3464" s="500"/>
      <c r="AD3464" s="500"/>
      <c r="AE3464" s="500"/>
      <c r="AF3464" s="500"/>
      <c r="AG3464" s="500"/>
      <c r="AH3464" s="500"/>
      <c r="AI3464" s="500"/>
      <c r="AJ3464" s="500"/>
      <c r="AK3464" s="500"/>
      <c r="AL3464" s="500"/>
      <c r="AM3464" s="500"/>
      <c r="AN3464" s="500"/>
      <c r="AO3464" s="500"/>
      <c r="AP3464" s="500"/>
    </row>
    <row r="3465" spans="1:42" ht="16.5" customHeight="1">
      <c r="A3465" s="439"/>
      <c r="B3465" s="439"/>
      <c r="C3465" s="439"/>
      <c r="D3465" s="439"/>
      <c r="E3465" s="439"/>
      <c r="F3465" s="439"/>
      <c r="G3465" s="451" t="s">
        <v>3406</v>
      </c>
      <c r="Z3465" s="500"/>
      <c r="AA3465" s="500"/>
      <c r="AB3465" s="500"/>
      <c r="AC3465" s="500"/>
      <c r="AD3465" s="500"/>
      <c r="AE3465" s="500"/>
      <c r="AF3465" s="500"/>
      <c r="AG3465" s="500"/>
      <c r="AH3465" s="500"/>
      <c r="AI3465" s="500"/>
      <c r="AJ3465" s="500"/>
      <c r="AK3465" s="500"/>
      <c r="AL3465" s="500"/>
      <c r="AM3465" s="500"/>
      <c r="AN3465" s="500"/>
      <c r="AO3465" s="500"/>
      <c r="AP3465" s="500"/>
    </row>
    <row r="3466" spans="1:42" ht="16.5" customHeight="1">
      <c r="A3466" s="439"/>
      <c r="B3466" s="439"/>
      <c r="C3466" s="439"/>
      <c r="D3466" s="439"/>
      <c r="E3466" s="439"/>
      <c r="F3466" s="439"/>
      <c r="G3466" s="451" t="s">
        <v>3406</v>
      </c>
      <c r="Z3466" s="500"/>
      <c r="AA3466" s="500"/>
      <c r="AB3466" s="500"/>
      <c r="AC3466" s="500"/>
      <c r="AD3466" s="500"/>
      <c r="AE3466" s="500"/>
      <c r="AF3466" s="500"/>
      <c r="AG3466" s="500"/>
      <c r="AH3466" s="500"/>
      <c r="AI3466" s="500"/>
      <c r="AJ3466" s="500"/>
      <c r="AK3466" s="500"/>
      <c r="AL3466" s="500"/>
      <c r="AM3466" s="500"/>
      <c r="AN3466" s="500"/>
      <c r="AO3466" s="500"/>
      <c r="AP3466" s="500"/>
    </row>
    <row r="3467" spans="1:42" ht="16.5" customHeight="1">
      <c r="A3467" s="434" t="s">
        <v>3414</v>
      </c>
      <c r="B3467" s="505" t="str">
        <f>" 노 무 비  :  P*"&amp;TEXT(I3467,"#,##0"&amp;IF(I3467&lt;&gt;INT(I3467),".###",""))&amp;"/"&amp;AB3467&amp;" = "&amp;TEXT(C3467,"#,##0.0")&amp;""</f>
        <v xml:space="preserve"> 노 무 비  :  P*172,068/100 = 722.6</v>
      </c>
      <c r="C3467" s="506">
        <f>E3467+D3467+F3467</f>
        <v>722.6</v>
      </c>
      <c r="D3467" s="506">
        <f>IF(H3467=0,0,ROUNDDOWN(J3467*H3467,1))</f>
        <v>722.6</v>
      </c>
      <c r="E3467" s="506">
        <f>IF(H3467=0,0,ROUNDDOWN(K3467*H3467,1))</f>
        <v>0</v>
      </c>
      <c r="F3467" s="506">
        <f>IF(H3467=0,0,ROUNDDOWN(L3467*H3467,1))</f>
        <v>0</v>
      </c>
      <c r="G3467" s="451" t="s">
        <v>3776</v>
      </c>
      <c r="H3467" s="507">
        <f>ROUNDUP(AD3467,14-LEN(ABS(INT(AD3467))))</f>
        <v>4.1999999999999997E-3</v>
      </c>
      <c r="I3467" s="508">
        <f>K3467+J3467+L3467</f>
        <v>172068</v>
      </c>
      <c r="J3467" s="509">
        <f>노무비목록표!E10</f>
        <v>172068</v>
      </c>
      <c r="M3467" s="501" t="s">
        <v>2363</v>
      </c>
      <c r="N3467" s="501" t="s">
        <v>3416</v>
      </c>
      <c r="X3467" s="510" t="str">
        <f>노무비목록표!B10&amp;" / "&amp;노무비목록표!C10</f>
        <v xml:space="preserve">보통인부 / </v>
      </c>
      <c r="Y3467" s="433" t="str">
        <f ca="1">HYPERLINK("#"&amp;노무비목록표!G2&amp;"!A"&amp;ROW(노무비목록표!A10),"L00017 →")</f>
        <v>L00017 →</v>
      </c>
      <c r="Z3467" s="512">
        <f>AB3464</f>
        <v>0.42</v>
      </c>
      <c r="AA3467" s="501" t="s">
        <v>3777</v>
      </c>
      <c r="AB3467" s="515">
        <v>100</v>
      </c>
      <c r="AC3467" s="501" t="s">
        <v>3418</v>
      </c>
      <c r="AD3467" s="512">
        <f>AB3464*1/AB3467</f>
        <v>4.1999999999999997E-3</v>
      </c>
      <c r="AE3467" s="500"/>
      <c r="AF3467" s="500"/>
      <c r="AG3467" s="500"/>
      <c r="AH3467" s="500"/>
      <c r="AI3467" s="500"/>
      <c r="AJ3467" s="500"/>
      <c r="AK3467" s="500"/>
      <c r="AL3467" s="500"/>
      <c r="AM3467" s="500"/>
      <c r="AN3467" s="500"/>
      <c r="AO3467" s="500"/>
      <c r="AP3467" s="500"/>
    </row>
    <row r="3468" spans="1:42" ht="16.5" customHeight="1">
      <c r="A3468" s="439"/>
      <c r="B3468" s="439"/>
      <c r="C3468" s="439"/>
      <c r="D3468" s="439"/>
      <c r="E3468" s="439"/>
      <c r="F3468" s="439"/>
      <c r="G3468" s="451" t="s">
        <v>3406</v>
      </c>
      <c r="Z3468" s="500"/>
      <c r="AA3468" s="500"/>
      <c r="AB3468" s="500"/>
      <c r="AC3468" s="500"/>
      <c r="AD3468" s="500"/>
      <c r="AE3468" s="500"/>
      <c r="AF3468" s="500"/>
      <c r="AG3468" s="500"/>
      <c r="AH3468" s="500"/>
      <c r="AI3468" s="500"/>
      <c r="AJ3468" s="500"/>
      <c r="AK3468" s="500"/>
      <c r="AL3468" s="500"/>
      <c r="AM3468" s="500"/>
      <c r="AN3468" s="500"/>
      <c r="AO3468" s="500"/>
      <c r="AP3468" s="500"/>
    </row>
    <row r="3469" spans="1:42" ht="16.5" customHeight="1">
      <c r="A3469" s="439"/>
      <c r="B3469" s="439"/>
      <c r="C3469" s="439"/>
      <c r="D3469" s="439"/>
      <c r="E3469" s="439"/>
      <c r="F3469" s="439"/>
      <c r="G3469" s="451" t="s">
        <v>3406</v>
      </c>
      <c r="Z3469" s="500"/>
      <c r="AA3469" s="500"/>
      <c r="AB3469" s="500"/>
      <c r="AC3469" s="500"/>
      <c r="AD3469" s="500"/>
      <c r="AE3469" s="500"/>
      <c r="AF3469" s="500"/>
      <c r="AG3469" s="500"/>
      <c r="AH3469" s="500"/>
      <c r="AI3469" s="500"/>
      <c r="AJ3469" s="500"/>
      <c r="AK3469" s="500"/>
      <c r="AL3469" s="500"/>
      <c r="AM3469" s="500"/>
      <c r="AN3469" s="500"/>
      <c r="AO3469" s="500"/>
      <c r="AP3469" s="500"/>
    </row>
    <row r="3470" spans="1:42" ht="16.5" customHeight="1">
      <c r="A3470" s="434"/>
      <c r="B3470" s="437" t="s">
        <v>3419</v>
      </c>
      <c r="C3470" s="513">
        <f>E3470+D3470+F3470</f>
        <v>722.6</v>
      </c>
      <c r="D3470" s="513">
        <f>SUMIF(N3457:N3469,M3470,D3457:D3469)</f>
        <v>722.6</v>
      </c>
      <c r="E3470" s="513">
        <f>SUMIF(N3457:N3469,M3470,E3457:E3469)</f>
        <v>0</v>
      </c>
      <c r="F3470" s="513">
        <f>SUMIF(N3457:N3469,M3470,F3457:F3469)</f>
        <v>0</v>
      </c>
      <c r="G3470" s="451" t="s">
        <v>3420</v>
      </c>
      <c r="M3470" s="501" t="s">
        <v>3416</v>
      </c>
      <c r="N3470" s="501" t="s">
        <v>2354</v>
      </c>
      <c r="Z3470" s="500"/>
      <c r="AA3470" s="500"/>
      <c r="AB3470" s="500"/>
      <c r="AC3470" s="500"/>
      <c r="AD3470" s="500"/>
      <c r="AE3470" s="500"/>
      <c r="AF3470" s="500"/>
      <c r="AG3470" s="500"/>
      <c r="AH3470" s="500"/>
      <c r="AI3470" s="500"/>
      <c r="AJ3470" s="500"/>
      <c r="AK3470" s="500"/>
      <c r="AL3470" s="500"/>
      <c r="AM3470" s="500"/>
      <c r="AN3470" s="500"/>
      <c r="AO3470" s="500"/>
      <c r="AP3470" s="500"/>
    </row>
    <row r="3471" spans="1:42" ht="16.5" customHeight="1">
      <c r="A3471" s="439"/>
      <c r="B3471" s="439"/>
      <c r="C3471" s="504"/>
      <c r="D3471" s="504"/>
      <c r="E3471" s="504"/>
      <c r="F3471" s="504"/>
      <c r="Z3471" s="500"/>
      <c r="AA3471" s="500"/>
      <c r="AB3471" s="500"/>
      <c r="AC3471" s="500"/>
      <c r="AD3471" s="500"/>
      <c r="AE3471" s="500"/>
      <c r="AF3471" s="500"/>
      <c r="AG3471" s="500"/>
      <c r="AH3471" s="500"/>
      <c r="AI3471" s="500"/>
      <c r="AJ3471" s="500"/>
      <c r="AK3471" s="500"/>
      <c r="AL3471" s="500"/>
      <c r="AM3471" s="500"/>
      <c r="AN3471" s="500"/>
      <c r="AO3471" s="500"/>
      <c r="AP3471" s="500"/>
    </row>
    <row r="3472" spans="1:42" ht="16.5" customHeight="1">
      <c r="A3472" s="439"/>
      <c r="B3472" s="439"/>
      <c r="C3472" s="439"/>
      <c r="D3472" s="439"/>
      <c r="E3472" s="439"/>
      <c r="F3472" s="439"/>
      <c r="Z3472" s="500"/>
      <c r="AA3472" s="500"/>
      <c r="AB3472" s="500"/>
      <c r="AC3472" s="500"/>
      <c r="AD3472" s="500"/>
      <c r="AE3472" s="500"/>
      <c r="AF3472" s="500"/>
      <c r="AG3472" s="500"/>
      <c r="AH3472" s="500"/>
      <c r="AI3472" s="500"/>
      <c r="AJ3472" s="500"/>
      <c r="AK3472" s="500"/>
      <c r="AL3472" s="500"/>
      <c r="AM3472" s="500"/>
      <c r="AN3472" s="500"/>
      <c r="AO3472" s="500"/>
      <c r="AP3472" s="500"/>
    </row>
    <row r="3473" spans="1:42" ht="16.5" customHeight="1">
      <c r="A3473" s="439"/>
      <c r="B3473" s="439"/>
      <c r="C3473" s="439"/>
      <c r="D3473" s="439"/>
      <c r="E3473" s="439"/>
      <c r="F3473" s="439"/>
      <c r="Z3473" s="500"/>
      <c r="AA3473" s="500"/>
      <c r="AB3473" s="500"/>
      <c r="AC3473" s="500"/>
      <c r="AD3473" s="500"/>
      <c r="AE3473" s="500"/>
      <c r="AF3473" s="500"/>
      <c r="AG3473" s="500"/>
      <c r="AH3473" s="500"/>
      <c r="AI3473" s="500"/>
      <c r="AJ3473" s="500"/>
      <c r="AK3473" s="500"/>
      <c r="AL3473" s="500"/>
      <c r="AM3473" s="500"/>
      <c r="AN3473" s="500"/>
      <c r="AO3473" s="500"/>
      <c r="AP3473" s="500"/>
    </row>
    <row r="3474" spans="1:42" ht="16.5" customHeight="1">
      <c r="A3474" s="439"/>
      <c r="B3474" s="439"/>
      <c r="C3474" s="439"/>
      <c r="D3474" s="439"/>
      <c r="E3474" s="439"/>
      <c r="F3474" s="439"/>
      <c r="Z3474" s="500"/>
      <c r="AA3474" s="500"/>
      <c r="AB3474" s="500"/>
      <c r="AC3474" s="500"/>
      <c r="AD3474" s="500"/>
      <c r="AE3474" s="500"/>
      <c r="AF3474" s="500"/>
      <c r="AG3474" s="500"/>
      <c r="AH3474" s="500"/>
      <c r="AI3474" s="500"/>
      <c r="AJ3474" s="500"/>
      <c r="AK3474" s="500"/>
      <c r="AL3474" s="500"/>
      <c r="AM3474" s="500"/>
      <c r="AN3474" s="500"/>
      <c r="AO3474" s="500"/>
      <c r="AP3474" s="500"/>
    </row>
    <row r="3475" spans="1:42" ht="16.5" customHeight="1">
      <c r="A3475" s="439"/>
      <c r="B3475" s="439"/>
      <c r="C3475" s="439"/>
      <c r="D3475" s="439"/>
      <c r="E3475" s="439"/>
      <c r="F3475" s="439"/>
      <c r="Z3475" s="500"/>
      <c r="AA3475" s="500"/>
      <c r="AB3475" s="500"/>
      <c r="AC3475" s="500"/>
      <c r="AD3475" s="500"/>
      <c r="AE3475" s="500"/>
      <c r="AF3475" s="500"/>
      <c r="AG3475" s="500"/>
      <c r="AH3475" s="500"/>
      <c r="AI3475" s="500"/>
      <c r="AJ3475" s="500"/>
      <c r="AK3475" s="500"/>
      <c r="AL3475" s="500"/>
      <c r="AM3475" s="500"/>
      <c r="AN3475" s="500"/>
      <c r="AO3475" s="500"/>
      <c r="AP3475" s="500"/>
    </row>
    <row r="3476" spans="1:42" ht="16.5" customHeight="1">
      <c r="A3476" s="439"/>
      <c r="B3476" s="439"/>
      <c r="C3476" s="439"/>
      <c r="D3476" s="439"/>
      <c r="E3476" s="439"/>
      <c r="F3476" s="439"/>
      <c r="Z3476" s="500"/>
      <c r="AA3476" s="500"/>
      <c r="AB3476" s="500"/>
      <c r="AC3476" s="500"/>
      <c r="AD3476" s="500"/>
      <c r="AE3476" s="500"/>
      <c r="AF3476" s="500"/>
      <c r="AG3476" s="500"/>
      <c r="AH3476" s="500"/>
      <c r="AI3476" s="500"/>
      <c r="AJ3476" s="500"/>
      <c r="AK3476" s="500"/>
      <c r="AL3476" s="500"/>
      <c r="AM3476" s="500"/>
      <c r="AN3476" s="500"/>
      <c r="AO3476" s="500"/>
      <c r="AP3476" s="500"/>
    </row>
    <row r="3477" spans="1:42" ht="16.5" customHeight="1">
      <c r="A3477" s="439"/>
      <c r="B3477" s="439"/>
      <c r="C3477" s="439"/>
      <c r="D3477" s="439"/>
      <c r="E3477" s="439"/>
      <c r="F3477" s="439"/>
      <c r="Z3477" s="500"/>
      <c r="AA3477" s="500"/>
      <c r="AB3477" s="500"/>
      <c r="AC3477" s="500"/>
      <c r="AD3477" s="500"/>
      <c r="AE3477" s="500"/>
      <c r="AF3477" s="500"/>
      <c r="AG3477" s="500"/>
      <c r="AH3477" s="500"/>
      <c r="AI3477" s="500"/>
      <c r="AJ3477" s="500"/>
      <c r="AK3477" s="500"/>
      <c r="AL3477" s="500"/>
      <c r="AM3477" s="500"/>
      <c r="AN3477" s="500"/>
      <c r="AO3477" s="500"/>
      <c r="AP3477" s="500"/>
    </row>
    <row r="3478" spans="1:42" ht="16.5" customHeight="1">
      <c r="A3478" s="439"/>
      <c r="B3478" s="439"/>
      <c r="C3478" s="439"/>
      <c r="D3478" s="439"/>
      <c r="E3478" s="439"/>
      <c r="F3478" s="439"/>
      <c r="Z3478" s="500"/>
      <c r="AA3478" s="500"/>
      <c r="AB3478" s="500"/>
      <c r="AC3478" s="500"/>
      <c r="AD3478" s="500"/>
      <c r="AE3478" s="500"/>
      <c r="AF3478" s="500"/>
      <c r="AG3478" s="500"/>
      <c r="AH3478" s="500"/>
      <c r="AI3478" s="500"/>
      <c r="AJ3478" s="500"/>
      <c r="AK3478" s="500"/>
      <c r="AL3478" s="500"/>
      <c r="AM3478" s="500"/>
      <c r="AN3478" s="500"/>
      <c r="AO3478" s="500"/>
      <c r="AP3478" s="500"/>
    </row>
    <row r="3479" spans="1:42" ht="16.5" customHeight="1">
      <c r="A3479" s="439"/>
      <c r="B3479" s="439"/>
      <c r="C3479" s="439"/>
      <c r="D3479" s="439"/>
      <c r="E3479" s="439"/>
      <c r="F3479" s="439"/>
      <c r="Z3479" s="500"/>
      <c r="AA3479" s="500"/>
      <c r="AB3479" s="500"/>
      <c r="AC3479" s="500"/>
      <c r="AD3479" s="500"/>
      <c r="AE3479" s="500"/>
      <c r="AF3479" s="500"/>
      <c r="AG3479" s="500"/>
      <c r="AH3479" s="500"/>
      <c r="AI3479" s="500"/>
      <c r="AJ3479" s="500"/>
      <c r="AK3479" s="500"/>
      <c r="AL3479" s="500"/>
      <c r="AM3479" s="500"/>
      <c r="AN3479" s="500"/>
      <c r="AO3479" s="500"/>
      <c r="AP3479" s="500"/>
    </row>
    <row r="3480" spans="1:42" ht="16.5" customHeight="1">
      <c r="A3480" s="439"/>
      <c r="B3480" s="439"/>
      <c r="C3480" s="439"/>
      <c r="D3480" s="439"/>
      <c r="E3480" s="439"/>
      <c r="F3480" s="439"/>
      <c r="Z3480" s="500"/>
      <c r="AA3480" s="500"/>
      <c r="AB3480" s="500"/>
      <c r="AC3480" s="500"/>
      <c r="AD3480" s="500"/>
      <c r="AE3480" s="500"/>
      <c r="AF3480" s="500"/>
      <c r="AG3480" s="500"/>
      <c r="AH3480" s="500"/>
      <c r="AI3480" s="500"/>
      <c r="AJ3480" s="500"/>
      <c r="AK3480" s="500"/>
      <c r="AL3480" s="500"/>
      <c r="AM3480" s="500"/>
      <c r="AN3480" s="500"/>
      <c r="AO3480" s="500"/>
      <c r="AP3480" s="500"/>
    </row>
    <row r="3481" spans="1:42" ht="16.5" customHeight="1">
      <c r="A3481" s="439"/>
      <c r="B3481" s="439"/>
      <c r="C3481" s="439"/>
      <c r="D3481" s="439"/>
      <c r="E3481" s="439"/>
      <c r="F3481" s="439"/>
      <c r="Z3481" s="500"/>
      <c r="AA3481" s="500"/>
      <c r="AB3481" s="500"/>
      <c r="AC3481" s="500"/>
      <c r="AD3481" s="500"/>
      <c r="AE3481" s="500"/>
      <c r="AF3481" s="500"/>
      <c r="AG3481" s="500"/>
      <c r="AH3481" s="500"/>
      <c r="AI3481" s="500"/>
      <c r="AJ3481" s="500"/>
      <c r="AK3481" s="500"/>
      <c r="AL3481" s="500"/>
      <c r="AM3481" s="500"/>
      <c r="AN3481" s="500"/>
      <c r="AO3481" s="500"/>
      <c r="AP3481" s="500"/>
    </row>
    <row r="3482" spans="1:42" ht="16.5" customHeight="1">
      <c r="A3482" s="439"/>
      <c r="B3482" s="439"/>
      <c r="C3482" s="439"/>
      <c r="D3482" s="439"/>
      <c r="E3482" s="439"/>
      <c r="F3482" s="439"/>
      <c r="Z3482" s="500"/>
      <c r="AA3482" s="500"/>
      <c r="AB3482" s="500"/>
      <c r="AC3482" s="500"/>
      <c r="AD3482" s="500"/>
      <c r="AE3482" s="500"/>
      <c r="AF3482" s="500"/>
      <c r="AG3482" s="500"/>
      <c r="AH3482" s="500"/>
      <c r="AI3482" s="500"/>
      <c r="AJ3482" s="500"/>
      <c r="AK3482" s="500"/>
      <c r="AL3482" s="500"/>
      <c r="AM3482" s="500"/>
      <c r="AN3482" s="500"/>
      <c r="AO3482" s="500"/>
      <c r="AP3482" s="500"/>
    </row>
    <row r="3483" spans="1:42" ht="16.5" customHeight="1">
      <c r="A3483" s="439"/>
      <c r="B3483" s="439"/>
      <c r="C3483" s="439"/>
      <c r="D3483" s="439"/>
      <c r="E3483" s="439"/>
      <c r="F3483" s="439"/>
      <c r="Z3483" s="500"/>
      <c r="AA3483" s="500"/>
      <c r="AB3483" s="500"/>
      <c r="AC3483" s="500"/>
      <c r="AD3483" s="500"/>
      <c r="AE3483" s="500"/>
      <c r="AF3483" s="500"/>
      <c r="AG3483" s="500"/>
      <c r="AH3483" s="500"/>
      <c r="AI3483" s="500"/>
      <c r="AJ3483" s="500"/>
      <c r="AK3483" s="500"/>
      <c r="AL3483" s="500"/>
      <c r="AM3483" s="500"/>
      <c r="AN3483" s="500"/>
      <c r="AO3483" s="500"/>
      <c r="AP3483" s="500"/>
    </row>
    <row r="3484" spans="1:42" ht="16.5" customHeight="1">
      <c r="A3484" s="439"/>
      <c r="B3484" s="439"/>
      <c r="C3484" s="439"/>
      <c r="D3484" s="439"/>
      <c r="E3484" s="439"/>
      <c r="F3484" s="439"/>
      <c r="Z3484" s="500"/>
      <c r="AA3484" s="500"/>
      <c r="AB3484" s="500"/>
      <c r="AC3484" s="500"/>
      <c r="AD3484" s="500"/>
      <c r="AE3484" s="500"/>
      <c r="AF3484" s="500"/>
      <c r="AG3484" s="500"/>
      <c r="AH3484" s="500"/>
      <c r="AI3484" s="500"/>
      <c r="AJ3484" s="500"/>
      <c r="AK3484" s="500"/>
      <c r="AL3484" s="500"/>
      <c r="AM3484" s="500"/>
      <c r="AN3484" s="500"/>
      <c r="AO3484" s="500"/>
      <c r="AP3484" s="500"/>
    </row>
    <row r="3485" spans="1:42" ht="16.5" customHeight="1">
      <c r="A3485" s="439"/>
      <c r="B3485" s="439"/>
      <c r="C3485" s="439"/>
      <c r="D3485" s="439"/>
      <c r="E3485" s="439"/>
      <c r="F3485" s="439"/>
      <c r="Z3485" s="500"/>
      <c r="AA3485" s="500"/>
      <c r="AB3485" s="500"/>
      <c r="AC3485" s="500"/>
      <c r="AD3485" s="500"/>
      <c r="AE3485" s="500"/>
      <c r="AF3485" s="500"/>
      <c r="AG3485" s="500"/>
      <c r="AH3485" s="500"/>
      <c r="AI3485" s="500"/>
      <c r="AJ3485" s="500"/>
      <c r="AK3485" s="500"/>
      <c r="AL3485" s="500"/>
      <c r="AM3485" s="500"/>
      <c r="AN3485" s="500"/>
      <c r="AO3485" s="500"/>
      <c r="AP3485" s="500"/>
    </row>
    <row r="3486" spans="1:42" ht="16.5" customHeight="1">
      <c r="A3486" s="439"/>
      <c r="B3486" s="439"/>
      <c r="C3486" s="439"/>
      <c r="D3486" s="439"/>
      <c r="E3486" s="439"/>
      <c r="F3486" s="439"/>
      <c r="Z3486" s="500"/>
      <c r="AA3486" s="500"/>
      <c r="AB3486" s="500"/>
      <c r="AC3486" s="500"/>
      <c r="AD3486" s="500"/>
      <c r="AE3486" s="500"/>
      <c r="AF3486" s="500"/>
      <c r="AG3486" s="500"/>
      <c r="AH3486" s="500"/>
      <c r="AI3486" s="500"/>
      <c r="AJ3486" s="500"/>
      <c r="AK3486" s="500"/>
      <c r="AL3486" s="500"/>
      <c r="AM3486" s="500"/>
      <c r="AN3486" s="500"/>
      <c r="AO3486" s="500"/>
      <c r="AP3486" s="500"/>
    </row>
    <row r="3487" spans="1:42" ht="16.5" customHeight="1">
      <c r="A3487" s="439"/>
      <c r="B3487" s="439"/>
      <c r="C3487" s="439"/>
      <c r="D3487" s="439"/>
      <c r="E3487" s="439"/>
      <c r="F3487" s="439"/>
      <c r="Z3487" s="500"/>
      <c r="AA3487" s="500"/>
      <c r="AB3487" s="500"/>
      <c r="AC3487" s="500"/>
      <c r="AD3487" s="500"/>
      <c r="AE3487" s="500"/>
      <c r="AF3487" s="500"/>
      <c r="AG3487" s="500"/>
      <c r="AH3487" s="500"/>
      <c r="AI3487" s="500"/>
      <c r="AJ3487" s="500"/>
      <c r="AK3487" s="500"/>
      <c r="AL3487" s="500"/>
      <c r="AM3487" s="500"/>
      <c r="AN3487" s="500"/>
      <c r="AO3487" s="500"/>
      <c r="AP3487" s="500"/>
    </row>
    <row r="3488" spans="1:42" ht="16.5" customHeight="1">
      <c r="A3488" s="439"/>
      <c r="B3488" s="439"/>
      <c r="C3488" s="439"/>
      <c r="D3488" s="439"/>
      <c r="E3488" s="439"/>
      <c r="F3488" s="439"/>
      <c r="Z3488" s="500"/>
      <c r="AA3488" s="500"/>
      <c r="AB3488" s="500"/>
      <c r="AC3488" s="500"/>
      <c r="AD3488" s="500"/>
      <c r="AE3488" s="500"/>
      <c r="AF3488" s="500"/>
      <c r="AG3488" s="500"/>
      <c r="AH3488" s="500"/>
      <c r="AI3488" s="500"/>
      <c r="AJ3488" s="500"/>
      <c r="AK3488" s="500"/>
      <c r="AL3488" s="500"/>
      <c r="AM3488" s="500"/>
      <c r="AN3488" s="500"/>
      <c r="AO3488" s="500"/>
      <c r="AP3488" s="500"/>
    </row>
    <row r="3489" spans="1:42" ht="16.5" customHeight="1">
      <c r="A3489" s="439"/>
      <c r="B3489" s="439"/>
      <c r="C3489" s="439"/>
      <c r="D3489" s="439"/>
      <c r="E3489" s="439"/>
      <c r="F3489" s="439"/>
      <c r="Z3489" s="500"/>
      <c r="AA3489" s="500"/>
      <c r="AB3489" s="500"/>
      <c r="AC3489" s="500"/>
      <c r="AD3489" s="500"/>
      <c r="AE3489" s="500"/>
      <c r="AF3489" s="500"/>
      <c r="AG3489" s="500"/>
      <c r="AH3489" s="500"/>
      <c r="AI3489" s="500"/>
      <c r="AJ3489" s="500"/>
      <c r="AK3489" s="500"/>
      <c r="AL3489" s="500"/>
      <c r="AM3489" s="500"/>
      <c r="AN3489" s="500"/>
      <c r="AO3489" s="500"/>
      <c r="AP3489" s="500"/>
    </row>
    <row r="3490" spans="1:42" ht="16.5" customHeight="1">
      <c r="A3490" s="439"/>
      <c r="B3490" s="439"/>
      <c r="C3490" s="439"/>
      <c r="D3490" s="439"/>
      <c r="E3490" s="439"/>
      <c r="F3490" s="439"/>
      <c r="Z3490" s="500"/>
      <c r="AA3490" s="500"/>
      <c r="AB3490" s="500"/>
      <c r="AC3490" s="500"/>
      <c r="AD3490" s="500"/>
      <c r="AE3490" s="500"/>
      <c r="AF3490" s="500"/>
      <c r="AG3490" s="500"/>
      <c r="AH3490" s="500"/>
      <c r="AI3490" s="500"/>
      <c r="AJ3490" s="500"/>
      <c r="AK3490" s="500"/>
      <c r="AL3490" s="500"/>
      <c r="AM3490" s="500"/>
      <c r="AN3490" s="500"/>
      <c r="AO3490" s="500"/>
      <c r="AP3490" s="500"/>
    </row>
    <row r="3491" spans="1:42" ht="16.5" customHeight="1">
      <c r="A3491" s="439"/>
      <c r="B3491" s="439"/>
      <c r="C3491" s="439"/>
      <c r="D3491" s="439"/>
      <c r="E3491" s="439"/>
      <c r="F3491" s="439"/>
      <c r="Z3491" s="500"/>
      <c r="AA3491" s="500"/>
      <c r="AB3491" s="500"/>
      <c r="AC3491" s="500"/>
      <c r="AD3491" s="500"/>
      <c r="AE3491" s="500"/>
      <c r="AF3491" s="500"/>
      <c r="AG3491" s="500"/>
      <c r="AH3491" s="500"/>
      <c r="AI3491" s="500"/>
      <c r="AJ3491" s="500"/>
      <c r="AK3491" s="500"/>
      <c r="AL3491" s="500"/>
      <c r="AM3491" s="500"/>
      <c r="AN3491" s="500"/>
      <c r="AO3491" s="500"/>
      <c r="AP3491" s="500"/>
    </row>
    <row r="3492" spans="1:42" ht="16.5" customHeight="1">
      <c r="A3492" s="439"/>
      <c r="B3492" s="439"/>
      <c r="C3492" s="439"/>
      <c r="D3492" s="439"/>
      <c r="E3492" s="439"/>
      <c r="F3492" s="439"/>
      <c r="Z3492" s="500"/>
      <c r="AA3492" s="500"/>
      <c r="AB3492" s="500"/>
      <c r="AC3492" s="500"/>
      <c r="AD3492" s="500"/>
      <c r="AE3492" s="500"/>
      <c r="AF3492" s="500"/>
      <c r="AG3492" s="500"/>
      <c r="AH3492" s="500"/>
      <c r="AI3492" s="500"/>
      <c r="AJ3492" s="500"/>
      <c r="AK3492" s="500"/>
      <c r="AL3492" s="500"/>
      <c r="AM3492" s="500"/>
      <c r="AN3492" s="500"/>
      <c r="AO3492" s="500"/>
      <c r="AP3492" s="500"/>
    </row>
    <row r="3493" spans="1:42" ht="16.5" customHeight="1">
      <c r="A3493" s="439"/>
      <c r="B3493" s="439"/>
      <c r="C3493" s="439"/>
      <c r="D3493" s="439"/>
      <c r="E3493" s="439"/>
      <c r="F3493" s="439"/>
      <c r="Z3493" s="500"/>
      <c r="AA3493" s="500"/>
      <c r="AB3493" s="500"/>
      <c r="AC3493" s="500"/>
      <c r="AD3493" s="500"/>
      <c r="AE3493" s="500"/>
      <c r="AF3493" s="500"/>
      <c r="AG3493" s="500"/>
      <c r="AH3493" s="500"/>
      <c r="AI3493" s="500"/>
      <c r="AJ3493" s="500"/>
      <c r="AK3493" s="500"/>
      <c r="AL3493" s="500"/>
      <c r="AM3493" s="500"/>
      <c r="AN3493" s="500"/>
      <c r="AO3493" s="500"/>
      <c r="AP3493" s="500"/>
    </row>
    <row r="3494" spans="1:42" ht="16.5" customHeight="1">
      <c r="A3494" s="439"/>
      <c r="B3494" s="439"/>
      <c r="C3494" s="439"/>
      <c r="D3494" s="439"/>
      <c r="E3494" s="439"/>
      <c r="F3494" s="439"/>
      <c r="Z3494" s="500"/>
      <c r="AA3494" s="500"/>
      <c r="AB3494" s="500"/>
      <c r="AC3494" s="500"/>
      <c r="AD3494" s="500"/>
      <c r="AE3494" s="500"/>
      <c r="AF3494" s="500"/>
      <c r="AG3494" s="500"/>
      <c r="AH3494" s="500"/>
      <c r="AI3494" s="500"/>
      <c r="AJ3494" s="500"/>
      <c r="AK3494" s="500"/>
      <c r="AL3494" s="500"/>
      <c r="AM3494" s="500"/>
      <c r="AN3494" s="500"/>
      <c r="AO3494" s="500"/>
      <c r="AP3494" s="500"/>
    </row>
    <row r="3495" spans="1:42" ht="16.5" customHeight="1">
      <c r="A3495" s="439"/>
      <c r="B3495" s="439"/>
      <c r="C3495" s="439"/>
      <c r="D3495" s="439"/>
      <c r="E3495" s="439"/>
      <c r="F3495" s="439"/>
      <c r="Z3495" s="500"/>
      <c r="AA3495" s="500"/>
      <c r="AB3495" s="500"/>
      <c r="AC3495" s="500"/>
      <c r="AD3495" s="500"/>
      <c r="AE3495" s="500"/>
      <c r="AF3495" s="500"/>
      <c r="AG3495" s="500"/>
      <c r="AH3495" s="500"/>
      <c r="AI3495" s="500"/>
      <c r="AJ3495" s="500"/>
      <c r="AK3495" s="500"/>
      <c r="AL3495" s="500"/>
      <c r="AM3495" s="500"/>
      <c r="AN3495" s="500"/>
      <c r="AO3495" s="500"/>
      <c r="AP3495" s="500"/>
    </row>
    <row r="3496" spans="1:42" ht="16.5" customHeight="1">
      <c r="A3496" s="439"/>
      <c r="B3496" s="439"/>
      <c r="C3496" s="439"/>
      <c r="D3496" s="439"/>
      <c r="E3496" s="439"/>
      <c r="F3496" s="439"/>
      <c r="Z3496" s="500"/>
      <c r="AA3496" s="500"/>
      <c r="AB3496" s="500"/>
      <c r="AC3496" s="500"/>
      <c r="AD3496" s="500"/>
      <c r="AE3496" s="500"/>
      <c r="AF3496" s="500"/>
      <c r="AG3496" s="500"/>
      <c r="AH3496" s="500"/>
      <c r="AI3496" s="500"/>
      <c r="AJ3496" s="500"/>
      <c r="AK3496" s="500"/>
      <c r="AL3496" s="500"/>
      <c r="AM3496" s="500"/>
      <c r="AN3496" s="500"/>
      <c r="AO3496" s="500"/>
      <c r="AP3496" s="500"/>
    </row>
    <row r="3497" spans="1:42" ht="16.5" customHeight="1">
      <c r="A3497" s="439"/>
      <c r="B3497" s="439"/>
      <c r="C3497" s="439"/>
      <c r="D3497" s="439"/>
      <c r="E3497" s="439"/>
      <c r="F3497" s="439"/>
      <c r="Z3497" s="500"/>
      <c r="AA3497" s="500"/>
      <c r="AB3497" s="500"/>
      <c r="AC3497" s="500"/>
      <c r="AD3497" s="500"/>
      <c r="AE3497" s="500"/>
      <c r="AF3497" s="500"/>
      <c r="AG3497" s="500"/>
      <c r="AH3497" s="500"/>
      <c r="AI3497" s="500"/>
      <c r="AJ3497" s="500"/>
      <c r="AK3497" s="500"/>
      <c r="AL3497" s="500"/>
      <c r="AM3497" s="500"/>
      <c r="AN3497" s="500"/>
      <c r="AO3497" s="500"/>
      <c r="AP3497" s="500"/>
    </row>
    <row r="3498" spans="1:42" ht="16.5" customHeight="1">
      <c r="A3498" s="439"/>
      <c r="B3498" s="439"/>
      <c r="C3498" s="439"/>
      <c r="D3498" s="439"/>
      <c r="E3498" s="439"/>
      <c r="F3498" s="439"/>
      <c r="Z3498" s="500"/>
      <c r="AA3498" s="500"/>
      <c r="AB3498" s="500"/>
      <c r="AC3498" s="500"/>
      <c r="AD3498" s="500"/>
      <c r="AE3498" s="500"/>
      <c r="AF3498" s="500"/>
      <c r="AG3498" s="500"/>
      <c r="AH3498" s="500"/>
      <c r="AI3498" s="500"/>
      <c r="AJ3498" s="500"/>
      <c r="AK3498" s="500"/>
      <c r="AL3498" s="500"/>
      <c r="AM3498" s="500"/>
      <c r="AN3498" s="500"/>
      <c r="AO3498" s="500"/>
      <c r="AP3498" s="500"/>
    </row>
    <row r="3499" spans="1:42" ht="16.5" customHeight="1">
      <c r="A3499" s="439"/>
      <c r="B3499" s="439"/>
      <c r="C3499" s="439"/>
      <c r="D3499" s="439"/>
      <c r="E3499" s="439"/>
      <c r="F3499" s="439"/>
      <c r="Z3499" s="500"/>
      <c r="AA3499" s="500"/>
      <c r="AB3499" s="500"/>
      <c r="AC3499" s="500"/>
      <c r="AD3499" s="500"/>
      <c r="AE3499" s="500"/>
      <c r="AF3499" s="500"/>
      <c r="AG3499" s="500"/>
      <c r="AH3499" s="500"/>
      <c r="AI3499" s="500"/>
      <c r="AJ3499" s="500"/>
      <c r="AK3499" s="500"/>
      <c r="AL3499" s="500"/>
      <c r="AM3499" s="500"/>
      <c r="AN3499" s="500"/>
      <c r="AO3499" s="500"/>
      <c r="AP3499" s="500"/>
    </row>
    <row r="3500" spans="1:42" ht="16.5" customHeight="1">
      <c r="A3500" s="439"/>
      <c r="B3500" s="439"/>
      <c r="C3500" s="439"/>
      <c r="D3500" s="439"/>
      <c r="E3500" s="439"/>
      <c r="F3500" s="439"/>
      <c r="Z3500" s="500"/>
      <c r="AA3500" s="500"/>
      <c r="AB3500" s="500"/>
      <c r="AC3500" s="500"/>
      <c r="AD3500" s="500"/>
      <c r="AE3500" s="500"/>
      <c r="AF3500" s="500"/>
      <c r="AG3500" s="500"/>
      <c r="AH3500" s="500"/>
      <c r="AI3500" s="500"/>
      <c r="AJ3500" s="500"/>
      <c r="AK3500" s="500"/>
      <c r="AL3500" s="500"/>
      <c r="AM3500" s="500"/>
      <c r="AN3500" s="500"/>
      <c r="AO3500" s="500"/>
      <c r="AP3500" s="500"/>
    </row>
    <row r="3501" spans="1:42" ht="16.5" customHeight="1">
      <c r="A3501" s="439"/>
      <c r="B3501" s="439"/>
      <c r="C3501" s="439"/>
      <c r="D3501" s="439"/>
      <c r="E3501" s="439"/>
      <c r="F3501" s="439"/>
      <c r="Z3501" s="500"/>
      <c r="AA3501" s="500"/>
      <c r="AB3501" s="500"/>
      <c r="AC3501" s="500"/>
      <c r="AD3501" s="500"/>
      <c r="AE3501" s="500"/>
      <c r="AF3501" s="500"/>
      <c r="AG3501" s="500"/>
      <c r="AH3501" s="500"/>
      <c r="AI3501" s="500"/>
      <c r="AJ3501" s="500"/>
      <c r="AK3501" s="500"/>
      <c r="AL3501" s="500"/>
      <c r="AM3501" s="500"/>
      <c r="AN3501" s="500"/>
      <c r="AO3501" s="500"/>
      <c r="AP3501" s="500"/>
    </row>
    <row r="3502" spans="1:42" ht="16.5" customHeight="1">
      <c r="A3502" s="439"/>
      <c r="B3502" s="439"/>
      <c r="C3502" s="439"/>
      <c r="D3502" s="439"/>
      <c r="E3502" s="439"/>
      <c r="F3502" s="439"/>
      <c r="Z3502" s="500"/>
      <c r="AA3502" s="500"/>
      <c r="AB3502" s="500"/>
      <c r="AC3502" s="500"/>
      <c r="AD3502" s="500"/>
      <c r="AE3502" s="500"/>
      <c r="AF3502" s="500"/>
      <c r="AG3502" s="500"/>
      <c r="AH3502" s="500"/>
      <c r="AI3502" s="500"/>
      <c r="AJ3502" s="500"/>
      <c r="AK3502" s="500"/>
      <c r="AL3502" s="500"/>
      <c r="AM3502" s="500"/>
      <c r="AN3502" s="500"/>
      <c r="AO3502" s="500"/>
      <c r="AP3502" s="500"/>
    </row>
    <row r="3503" spans="1:42" ht="16.5" customHeight="1">
      <c r="A3503" s="497"/>
      <c r="B3503" s="497"/>
      <c r="C3503" s="497"/>
      <c r="D3503" s="497"/>
      <c r="E3503" s="497"/>
      <c r="F3503" s="497"/>
      <c r="Z3503" s="500"/>
      <c r="AA3503" s="500"/>
      <c r="AB3503" s="500"/>
      <c r="AC3503" s="500"/>
      <c r="AD3503" s="500"/>
      <c r="AE3503" s="500"/>
      <c r="AF3503" s="500"/>
      <c r="AG3503" s="500"/>
      <c r="AH3503" s="500"/>
      <c r="AI3503" s="500"/>
      <c r="AJ3503" s="500"/>
      <c r="AK3503" s="500"/>
      <c r="AL3503" s="500"/>
      <c r="AM3503" s="500"/>
      <c r="AN3503" s="500"/>
      <c r="AO3503" s="500"/>
      <c r="AP3503" s="500"/>
    </row>
    <row r="3504" spans="1:42" ht="16.5" customHeight="1">
      <c r="A3504" s="616" t="s">
        <v>3487</v>
      </c>
      <c r="B3504" s="605"/>
      <c r="C3504" s="446">
        <f>E3504+D3504+F3504</f>
        <v>722</v>
      </c>
      <c r="D3504" s="453">
        <f>ROUNDDOWN(SUMIF(N3457:N3470,M3504,D3457:D3470),0)</f>
        <v>722</v>
      </c>
      <c r="E3504" s="454">
        <f>ROUNDDOWN(SUMIF(N3457:N3470,M3504,E3457:E3470),0)</f>
        <v>0</v>
      </c>
      <c r="F3504" s="446">
        <f>ROUNDDOWN(SUMIF(N3457:N3470,M3504,F3457:F3470),0)</f>
        <v>0</v>
      </c>
      <c r="M3504" s="501" t="s">
        <v>2354</v>
      </c>
      <c r="Z3504" s="500"/>
      <c r="AA3504" s="500"/>
      <c r="AB3504" s="500"/>
      <c r="AC3504" s="500"/>
      <c r="AD3504" s="500"/>
      <c r="AE3504" s="500"/>
      <c r="AF3504" s="500"/>
      <c r="AG3504" s="500"/>
      <c r="AH3504" s="500"/>
      <c r="AI3504" s="500"/>
      <c r="AJ3504" s="500"/>
      <c r="AK3504" s="500"/>
      <c r="AL3504" s="500"/>
      <c r="AM3504" s="500"/>
      <c r="AN3504" s="500"/>
      <c r="AO3504" s="500"/>
      <c r="AP3504" s="500"/>
    </row>
    <row r="3505" spans="1:42" ht="16.5" customHeight="1">
      <c r="A3505" s="502" t="s">
        <v>3362</v>
      </c>
      <c r="B3505" s="503" t="s">
        <v>1648</v>
      </c>
      <c r="C3505" s="615">
        <f>C3554</f>
        <v>2141</v>
      </c>
      <c r="D3505" s="615">
        <f>D3554</f>
        <v>2141</v>
      </c>
      <c r="E3505" s="615">
        <f>E3554</f>
        <v>0</v>
      </c>
      <c r="F3505" s="615">
        <f>F3554</f>
        <v>0</v>
      </c>
      <c r="G3505" s="486" t="str">
        <f>HYPERLINK("#G"&amp;ROW(G3527),"_x0005_`BDCOD|D01215_x0007_`POSS|"&amp;ROW(G3507)&amp;"_x0007_`POSE|"&amp;ROW(G3527)&amp;"_x0007_`")</f>
        <v>_x0005_`BDCOD|D01215_x0007_`POSS|3507_x0007_`POSE|3527_x0007_`</v>
      </c>
      <c r="Z3505" s="500"/>
      <c r="AA3505" s="500"/>
      <c r="AB3505" s="500"/>
      <c r="AC3505" s="500"/>
      <c r="AD3505" s="500"/>
      <c r="AE3505" s="500"/>
      <c r="AF3505" s="500"/>
      <c r="AG3505" s="500"/>
      <c r="AH3505" s="500"/>
      <c r="AI3505" s="500"/>
      <c r="AJ3505" s="500"/>
      <c r="AK3505" s="500"/>
      <c r="AL3505" s="500"/>
      <c r="AM3505" s="500"/>
      <c r="AN3505" s="500"/>
      <c r="AO3505" s="500"/>
      <c r="AP3505" s="500"/>
    </row>
    <row r="3506" spans="1:42" ht="16.5" customHeight="1">
      <c r="A3506" s="485"/>
      <c r="B3506" s="503" t="s">
        <v>3778</v>
      </c>
      <c r="C3506" s="593"/>
      <c r="D3506" s="593"/>
      <c r="E3506" s="593"/>
      <c r="F3506" s="593"/>
      <c r="M3506" s="501" t="s">
        <v>1648</v>
      </c>
      <c r="Z3506" s="500"/>
      <c r="AA3506" s="500"/>
      <c r="AB3506" s="500"/>
      <c r="AC3506" s="500"/>
      <c r="AD3506" s="500"/>
      <c r="AE3506" s="500"/>
      <c r="AF3506" s="500"/>
      <c r="AG3506" s="500"/>
      <c r="AH3506" s="500"/>
      <c r="AI3506" s="500"/>
      <c r="AJ3506" s="500"/>
      <c r="AK3506" s="500"/>
      <c r="AL3506" s="500"/>
      <c r="AM3506" s="500"/>
      <c r="AN3506" s="500"/>
      <c r="AO3506" s="500"/>
      <c r="AP3506" s="500"/>
    </row>
    <row r="3507" spans="1:42" ht="16.5" customHeight="1">
      <c r="A3507" s="439"/>
      <c r="B3507" s="439"/>
      <c r="C3507" s="504"/>
      <c r="D3507" s="504"/>
      <c r="E3507" s="504"/>
      <c r="F3507" s="504"/>
      <c r="G3507" s="451" t="s">
        <v>3406</v>
      </c>
      <c r="Z3507" s="500"/>
      <c r="AA3507" s="500"/>
      <c r="AB3507" s="500"/>
      <c r="AC3507" s="500"/>
      <c r="AD3507" s="500"/>
      <c r="AE3507" s="500"/>
      <c r="AF3507" s="500"/>
      <c r="AG3507" s="500"/>
      <c r="AH3507" s="500"/>
      <c r="AI3507" s="500"/>
      <c r="AJ3507" s="500"/>
      <c r="AK3507" s="500"/>
      <c r="AL3507" s="500"/>
      <c r="AM3507" s="500"/>
      <c r="AN3507" s="500"/>
      <c r="AO3507" s="500"/>
      <c r="AP3507" s="500"/>
    </row>
    <row r="3508" spans="1:42" ht="16.5" customHeight="1">
      <c r="A3508" s="434"/>
      <c r="B3508" s="437" t="s">
        <v>3779</v>
      </c>
      <c r="C3508" s="439"/>
      <c r="D3508" s="439"/>
      <c r="E3508" s="439"/>
      <c r="F3508" s="439"/>
      <c r="G3508" s="451" t="s">
        <v>3780</v>
      </c>
      <c r="Z3508" s="500"/>
      <c r="AA3508" s="500"/>
      <c r="AB3508" s="500"/>
      <c r="AC3508" s="500"/>
      <c r="AD3508" s="500"/>
      <c r="AE3508" s="500"/>
      <c r="AF3508" s="500"/>
      <c r="AG3508" s="500"/>
      <c r="AH3508" s="500"/>
      <c r="AI3508" s="500"/>
      <c r="AJ3508" s="500"/>
      <c r="AK3508" s="500"/>
      <c r="AL3508" s="500"/>
      <c r="AM3508" s="500"/>
      <c r="AN3508" s="500"/>
      <c r="AO3508" s="500"/>
      <c r="AP3508" s="500"/>
    </row>
    <row r="3509" spans="1:42" ht="16.5" customHeight="1">
      <c r="A3509" s="439"/>
      <c r="B3509" s="439"/>
      <c r="C3509" s="439"/>
      <c r="D3509" s="439"/>
      <c r="E3509" s="439"/>
      <c r="F3509" s="439"/>
      <c r="G3509" s="451" t="s">
        <v>3406</v>
      </c>
      <c r="Z3509" s="500"/>
      <c r="AA3509" s="500"/>
      <c r="AB3509" s="500"/>
      <c r="AC3509" s="500"/>
      <c r="AD3509" s="500"/>
      <c r="AE3509" s="500"/>
      <c r="AF3509" s="500"/>
      <c r="AG3509" s="500"/>
      <c r="AH3509" s="500"/>
      <c r="AI3509" s="500"/>
      <c r="AJ3509" s="500"/>
      <c r="AK3509" s="500"/>
      <c r="AL3509" s="500"/>
      <c r="AM3509" s="500"/>
      <c r="AN3509" s="500"/>
      <c r="AO3509" s="500"/>
      <c r="AP3509" s="500"/>
    </row>
    <row r="3510" spans="1:42" ht="16.5" customHeight="1">
      <c r="A3510" s="439"/>
      <c r="B3510" s="439"/>
      <c r="C3510" s="439"/>
      <c r="D3510" s="439"/>
      <c r="E3510" s="439"/>
      <c r="F3510" s="439"/>
      <c r="G3510" s="451" t="s">
        <v>3406</v>
      </c>
      <c r="Z3510" s="500"/>
      <c r="AA3510" s="500"/>
      <c r="AB3510" s="500"/>
      <c r="AC3510" s="500"/>
      <c r="AD3510" s="500"/>
      <c r="AE3510" s="500"/>
      <c r="AF3510" s="500"/>
      <c r="AG3510" s="500"/>
      <c r="AH3510" s="500"/>
      <c r="AI3510" s="500"/>
      <c r="AJ3510" s="500"/>
      <c r="AK3510" s="500"/>
      <c r="AL3510" s="500"/>
      <c r="AM3510" s="500"/>
      <c r="AN3510" s="500"/>
      <c r="AO3510" s="500"/>
      <c r="AP3510" s="500"/>
    </row>
    <row r="3511" spans="1:42" ht="16.5" customHeight="1">
      <c r="A3511" s="434"/>
      <c r="B3511" s="437" t="s">
        <v>3781</v>
      </c>
      <c r="C3511" s="439"/>
      <c r="D3511" s="439"/>
      <c r="E3511" s="439"/>
      <c r="F3511" s="439"/>
      <c r="G3511" s="451" t="s">
        <v>3782</v>
      </c>
      <c r="Z3511" s="500"/>
      <c r="AA3511" s="500"/>
      <c r="AB3511" s="500"/>
      <c r="AC3511" s="500"/>
      <c r="AD3511" s="500"/>
      <c r="AE3511" s="500"/>
      <c r="AF3511" s="500"/>
      <c r="AG3511" s="500"/>
      <c r="AH3511" s="500"/>
      <c r="AI3511" s="500"/>
      <c r="AJ3511" s="500"/>
      <c r="AK3511" s="500"/>
      <c r="AL3511" s="500"/>
      <c r="AM3511" s="500"/>
      <c r="AN3511" s="500"/>
      <c r="AO3511" s="500"/>
      <c r="AP3511" s="500"/>
    </row>
    <row r="3512" spans="1:42" ht="16.5" customHeight="1">
      <c r="A3512" s="439"/>
      <c r="B3512" s="439"/>
      <c r="C3512" s="439"/>
      <c r="D3512" s="439"/>
      <c r="E3512" s="439"/>
      <c r="F3512" s="439"/>
      <c r="G3512" s="451" t="s">
        <v>3406</v>
      </c>
      <c r="Z3512" s="500"/>
      <c r="AA3512" s="500"/>
      <c r="AB3512" s="500"/>
      <c r="AC3512" s="500"/>
      <c r="AD3512" s="500"/>
      <c r="AE3512" s="500"/>
      <c r="AF3512" s="500"/>
      <c r="AG3512" s="500"/>
      <c r="AH3512" s="500"/>
      <c r="AI3512" s="500"/>
      <c r="AJ3512" s="500"/>
      <c r="AK3512" s="500"/>
      <c r="AL3512" s="500"/>
      <c r="AM3512" s="500"/>
      <c r="AN3512" s="500"/>
      <c r="AO3512" s="500"/>
      <c r="AP3512" s="500"/>
    </row>
    <row r="3513" spans="1:42" ht="16.5" customHeight="1">
      <c r="A3513" s="439"/>
      <c r="B3513" s="439"/>
      <c r="C3513" s="439"/>
      <c r="D3513" s="439"/>
      <c r="E3513" s="439"/>
      <c r="F3513" s="439"/>
      <c r="G3513" s="451" t="s">
        <v>3406</v>
      </c>
      <c r="Z3513" s="500"/>
      <c r="AA3513" s="500"/>
      <c r="AB3513" s="500"/>
      <c r="AC3513" s="500"/>
      <c r="AD3513" s="500"/>
      <c r="AE3513" s="500"/>
      <c r="AF3513" s="500"/>
      <c r="AG3513" s="500"/>
      <c r="AH3513" s="500"/>
      <c r="AI3513" s="500"/>
      <c r="AJ3513" s="500"/>
      <c r="AK3513" s="500"/>
      <c r="AL3513" s="500"/>
      <c r="AM3513" s="500"/>
      <c r="AN3513" s="500"/>
      <c r="AO3513" s="500"/>
      <c r="AP3513" s="500"/>
    </row>
    <row r="3514" spans="1:42" ht="16.5" customHeight="1">
      <c r="A3514" s="439"/>
      <c r="B3514" s="439"/>
      <c r="C3514" s="439"/>
      <c r="D3514" s="439"/>
      <c r="E3514" s="439"/>
      <c r="F3514" s="439"/>
      <c r="G3514" s="451" t="s">
        <v>3406</v>
      </c>
      <c r="Z3514" s="500"/>
      <c r="AA3514" s="500"/>
      <c r="AB3514" s="500"/>
      <c r="AC3514" s="500"/>
      <c r="AD3514" s="500"/>
      <c r="AE3514" s="500"/>
      <c r="AF3514" s="500"/>
      <c r="AG3514" s="500"/>
      <c r="AH3514" s="500"/>
      <c r="AI3514" s="500"/>
      <c r="AJ3514" s="500"/>
      <c r="AK3514" s="500"/>
      <c r="AL3514" s="500"/>
      <c r="AM3514" s="500"/>
      <c r="AN3514" s="500"/>
      <c r="AO3514" s="500"/>
      <c r="AP3514" s="500"/>
    </row>
    <row r="3515" spans="1:42" ht="16.5" customHeight="1">
      <c r="A3515" s="439"/>
      <c r="B3515" s="439"/>
      <c r="C3515" s="439"/>
      <c r="D3515" s="439"/>
      <c r="E3515" s="439"/>
      <c r="F3515" s="439"/>
      <c r="G3515" s="451" t="s">
        <v>3406</v>
      </c>
      <c r="Z3515" s="500"/>
      <c r="AA3515" s="500"/>
      <c r="AB3515" s="500"/>
      <c r="AC3515" s="500"/>
      <c r="AD3515" s="500"/>
      <c r="AE3515" s="500"/>
      <c r="AF3515" s="500"/>
      <c r="AG3515" s="500"/>
      <c r="AH3515" s="500"/>
      <c r="AI3515" s="500"/>
      <c r="AJ3515" s="500"/>
      <c r="AK3515" s="500"/>
      <c r="AL3515" s="500"/>
      <c r="AM3515" s="500"/>
      <c r="AN3515" s="500"/>
      <c r="AO3515" s="500"/>
      <c r="AP3515" s="500"/>
    </row>
    <row r="3516" spans="1:42" ht="16.5" customHeight="1">
      <c r="A3516" s="439"/>
      <c r="B3516" s="439"/>
      <c r="C3516" s="439"/>
      <c r="D3516" s="439"/>
      <c r="E3516" s="439"/>
      <c r="F3516" s="439"/>
      <c r="G3516" s="451" t="s">
        <v>3783</v>
      </c>
      <c r="Z3516" s="500"/>
      <c r="AA3516" s="500"/>
      <c r="AB3516" s="500"/>
      <c r="AC3516" s="500"/>
      <c r="AD3516" s="500"/>
      <c r="AE3516" s="500"/>
      <c r="AF3516" s="500"/>
      <c r="AG3516" s="500"/>
      <c r="AH3516" s="500"/>
      <c r="AI3516" s="500"/>
      <c r="AJ3516" s="500"/>
      <c r="AK3516" s="500"/>
      <c r="AL3516" s="500"/>
      <c r="AM3516" s="500"/>
      <c r="AN3516" s="500"/>
      <c r="AO3516" s="500"/>
      <c r="AP3516" s="500"/>
    </row>
    <row r="3517" spans="1:42" ht="16.5" customHeight="1">
      <c r="A3517" s="434"/>
      <c r="B3517" s="437" t="s">
        <v>3549</v>
      </c>
      <c r="C3517" s="439"/>
      <c r="D3517" s="439"/>
      <c r="E3517" s="439"/>
      <c r="F3517" s="439"/>
      <c r="G3517" s="451" t="s">
        <v>3550</v>
      </c>
      <c r="Z3517" s="500"/>
      <c r="AA3517" s="500"/>
      <c r="AB3517" s="500"/>
      <c r="AC3517" s="500"/>
      <c r="AD3517" s="500"/>
      <c r="AE3517" s="500"/>
      <c r="AF3517" s="500"/>
      <c r="AG3517" s="500"/>
      <c r="AH3517" s="500"/>
      <c r="AI3517" s="500"/>
      <c r="AJ3517" s="500"/>
      <c r="AK3517" s="500"/>
      <c r="AL3517" s="500"/>
      <c r="AM3517" s="500"/>
      <c r="AN3517" s="500"/>
      <c r="AO3517" s="500"/>
      <c r="AP3517" s="500"/>
    </row>
    <row r="3518" spans="1:42" ht="16.5" customHeight="1">
      <c r="A3518" s="439"/>
      <c r="B3518" s="439"/>
      <c r="C3518" s="439"/>
      <c r="D3518" s="439"/>
      <c r="E3518" s="439"/>
      <c r="F3518" s="439"/>
      <c r="G3518" s="451" t="s">
        <v>3406</v>
      </c>
      <c r="Z3518" s="500"/>
      <c r="AA3518" s="500"/>
      <c r="AB3518" s="500"/>
      <c r="AC3518" s="500"/>
      <c r="AD3518" s="500"/>
      <c r="AE3518" s="500"/>
      <c r="AF3518" s="500"/>
      <c r="AG3518" s="500"/>
      <c r="AH3518" s="500"/>
      <c r="AI3518" s="500"/>
      <c r="AJ3518" s="500"/>
      <c r="AK3518" s="500"/>
      <c r="AL3518" s="500"/>
      <c r="AM3518" s="500"/>
      <c r="AN3518" s="500"/>
      <c r="AO3518" s="500"/>
      <c r="AP3518" s="500"/>
    </row>
    <row r="3519" spans="1:42" ht="16.5" customHeight="1">
      <c r="A3519" s="434" t="s">
        <v>3498</v>
      </c>
      <c r="B3519" s="505" t="str">
        <f>" 조경공 : "&amp;TEXT(I3519,"#,##0"&amp;IF(I3519&lt;&gt;INT(I3519),".###",""))&amp;"  * ("&amp;AA3519&amp;"/"&amp;AC3519&amp;") 인  * "&amp;AE3519&amp;" = "&amp;TEXT(C3519,"#,##0.0")&amp;""</f>
        <v xml:space="preserve"> 조경공 : 235,204  * (2/90) 인  * 0.3 = 1,568.0</v>
      </c>
      <c r="C3519" s="506">
        <f>E3519+D3519+F3519</f>
        <v>1568</v>
      </c>
      <c r="D3519" s="506">
        <f>IF(H3519=0,0,ROUNDDOWN(J3519*H3519,1))</f>
        <v>1568</v>
      </c>
      <c r="E3519" s="506">
        <f>IF(H3519=0,0,ROUNDDOWN(K3519*H3519,1))</f>
        <v>0</v>
      </c>
      <c r="F3519" s="506">
        <f>IF(H3519=0,0,ROUNDDOWN(L3519*H3519,1))</f>
        <v>0</v>
      </c>
      <c r="G3519" s="451" t="s">
        <v>3784</v>
      </c>
      <c r="H3519" s="507">
        <f>ROUNDUP(AG3519,14-LEN(ABS(INT(AG3519))))</f>
        <v>6.6666666666999998E-3</v>
      </c>
      <c r="I3519" s="508">
        <f>K3519+J3519+L3519</f>
        <v>235204</v>
      </c>
      <c r="J3519" s="509">
        <f>노무비목록표!E15</f>
        <v>235204</v>
      </c>
      <c r="M3519" s="501" t="s">
        <v>2359</v>
      </c>
      <c r="N3519" s="501" t="s">
        <v>3416</v>
      </c>
      <c r="X3519" s="510" t="str">
        <f>노무비목록표!B15&amp;" / "&amp;노무비목록표!C15</f>
        <v xml:space="preserve">조경공 / </v>
      </c>
      <c r="Y3519" s="433" t="str">
        <f ca="1">HYPERLINK("#"&amp;노무비목록표!G2&amp;"!A"&amp;ROW(노무비목록표!A15),"L00184 →")</f>
        <v>L00184 →</v>
      </c>
      <c r="Z3519" s="501" t="s">
        <v>3726</v>
      </c>
      <c r="AA3519" s="515">
        <v>2</v>
      </c>
      <c r="AB3519" s="501" t="s">
        <v>3428</v>
      </c>
      <c r="AC3519" s="515">
        <v>90</v>
      </c>
      <c r="AD3519" s="501" t="s">
        <v>3469</v>
      </c>
      <c r="AE3519" s="511">
        <v>0.3</v>
      </c>
      <c r="AF3519" s="501" t="s">
        <v>3418</v>
      </c>
      <c r="AG3519" s="512">
        <f>1*(AA3519/AC3519)*AE3519</f>
        <v>6.6666666666666671E-3</v>
      </c>
      <c r="AH3519" s="500"/>
      <c r="AI3519" s="500"/>
      <c r="AJ3519" s="500"/>
      <c r="AK3519" s="500"/>
      <c r="AL3519" s="500"/>
      <c r="AM3519" s="500"/>
      <c r="AN3519" s="500"/>
      <c r="AO3519" s="500"/>
      <c r="AP3519" s="500"/>
    </row>
    <row r="3520" spans="1:42" ht="16.5" customHeight="1">
      <c r="A3520" s="439"/>
      <c r="B3520" s="439"/>
      <c r="C3520" s="439"/>
      <c r="D3520" s="439"/>
      <c r="E3520" s="439"/>
      <c r="F3520" s="439"/>
      <c r="G3520" s="451" t="s">
        <v>3406</v>
      </c>
      <c r="Z3520" s="500"/>
      <c r="AA3520" s="500"/>
      <c r="AB3520" s="500"/>
      <c r="AC3520" s="500"/>
      <c r="AD3520" s="500"/>
      <c r="AE3520" s="500"/>
      <c r="AF3520" s="500"/>
      <c r="AG3520" s="500"/>
      <c r="AH3520" s="500"/>
      <c r="AI3520" s="500"/>
      <c r="AJ3520" s="500"/>
      <c r="AK3520" s="500"/>
      <c r="AL3520" s="500"/>
      <c r="AM3520" s="500"/>
      <c r="AN3520" s="500"/>
      <c r="AO3520" s="500"/>
      <c r="AP3520" s="500"/>
    </row>
    <row r="3521" spans="1:42" ht="16.5" customHeight="1">
      <c r="A3521" s="434" t="s">
        <v>3414</v>
      </c>
      <c r="B3521" s="505" t="str">
        <f>" 보통인부 : "&amp;TEXT(I3521,"#,##0"&amp;IF(I3521&lt;&gt;INT(I3521),".###",""))&amp;" * ("&amp;AA3521&amp;"/"&amp;AC3521&amp;") 인  * "&amp;AE3521&amp;" = "&amp;TEXT(C3521,"#,##0.0")&amp;""</f>
        <v xml:space="preserve"> 보통인부 : 172,068 * (1/90) 인  * 0.3 = 573.5</v>
      </c>
      <c r="C3521" s="506">
        <f>E3521+D3521+F3521</f>
        <v>573.5</v>
      </c>
      <c r="D3521" s="506">
        <f>IF(H3521=0,0,ROUNDDOWN(J3521*H3521,1))</f>
        <v>573.5</v>
      </c>
      <c r="E3521" s="506">
        <f>IF(H3521=0,0,ROUNDDOWN(K3521*H3521,1))</f>
        <v>0</v>
      </c>
      <c r="F3521" s="506">
        <f>IF(H3521=0,0,ROUNDDOWN(L3521*H3521,1))</f>
        <v>0</v>
      </c>
      <c r="G3521" s="451" t="s">
        <v>3785</v>
      </c>
      <c r="H3521" s="507">
        <f>ROUNDUP(AG3521,14-LEN(ABS(INT(AG3521))))</f>
        <v>3.3333333333999998E-3</v>
      </c>
      <c r="I3521" s="508">
        <f>K3521+J3521+L3521</f>
        <v>172068</v>
      </c>
      <c r="J3521" s="509">
        <f>노무비목록표!E10</f>
        <v>172068</v>
      </c>
      <c r="M3521" s="501" t="s">
        <v>2363</v>
      </c>
      <c r="N3521" s="501" t="s">
        <v>3416</v>
      </c>
      <c r="X3521" s="510" t="str">
        <f>노무비목록표!B10&amp;" / "&amp;노무비목록표!C10</f>
        <v xml:space="preserve">보통인부 / </v>
      </c>
      <c r="Y3521" s="433" t="str">
        <f ca="1">HYPERLINK("#"&amp;노무비목록표!G2&amp;"!A"&amp;ROW(노무비목록표!A10),"L00017 →")</f>
        <v>L00017 →</v>
      </c>
      <c r="Z3521" s="501" t="s">
        <v>3726</v>
      </c>
      <c r="AA3521" s="515">
        <v>1</v>
      </c>
      <c r="AB3521" s="501" t="s">
        <v>3428</v>
      </c>
      <c r="AC3521" s="515">
        <v>90</v>
      </c>
      <c r="AD3521" s="501" t="s">
        <v>3469</v>
      </c>
      <c r="AE3521" s="511">
        <v>0.3</v>
      </c>
      <c r="AF3521" s="501" t="s">
        <v>3418</v>
      </c>
      <c r="AG3521" s="512">
        <f>1*(AA3521/AC3521)*AE3521</f>
        <v>3.3333333333333335E-3</v>
      </c>
      <c r="AH3521" s="500"/>
      <c r="AI3521" s="500"/>
      <c r="AJ3521" s="500"/>
      <c r="AK3521" s="500"/>
      <c r="AL3521" s="500"/>
      <c r="AM3521" s="500"/>
      <c r="AN3521" s="500"/>
      <c r="AO3521" s="500"/>
      <c r="AP3521" s="500"/>
    </row>
    <row r="3522" spans="1:42" ht="16.5" customHeight="1">
      <c r="A3522" s="439"/>
      <c r="B3522" s="439"/>
      <c r="C3522" s="439"/>
      <c r="D3522" s="439"/>
      <c r="E3522" s="439"/>
      <c r="F3522" s="439"/>
      <c r="G3522" s="451" t="s">
        <v>3406</v>
      </c>
      <c r="Z3522" s="500"/>
      <c r="AA3522" s="500"/>
      <c r="AB3522" s="500"/>
      <c r="AC3522" s="500"/>
      <c r="AD3522" s="500"/>
      <c r="AE3522" s="500"/>
      <c r="AF3522" s="500"/>
      <c r="AG3522" s="500"/>
      <c r="AH3522" s="500"/>
      <c r="AI3522" s="500"/>
      <c r="AJ3522" s="500"/>
      <c r="AK3522" s="500"/>
      <c r="AL3522" s="500"/>
      <c r="AM3522" s="500"/>
      <c r="AN3522" s="500"/>
      <c r="AO3522" s="500"/>
      <c r="AP3522" s="500"/>
    </row>
    <row r="3523" spans="1:42" ht="16.5" customHeight="1">
      <c r="A3523" s="439"/>
      <c r="B3523" s="439"/>
      <c r="C3523" s="439"/>
      <c r="D3523" s="439"/>
      <c r="E3523" s="439"/>
      <c r="F3523" s="439"/>
      <c r="G3523" s="451" t="s">
        <v>3406</v>
      </c>
      <c r="Z3523" s="500"/>
      <c r="AA3523" s="500"/>
      <c r="AB3523" s="500"/>
      <c r="AC3523" s="500"/>
      <c r="AD3523" s="500"/>
      <c r="AE3523" s="500"/>
      <c r="AF3523" s="500"/>
      <c r="AG3523" s="500"/>
      <c r="AH3523" s="500"/>
      <c r="AI3523" s="500"/>
      <c r="AJ3523" s="500"/>
      <c r="AK3523" s="500"/>
      <c r="AL3523" s="500"/>
      <c r="AM3523" s="500"/>
      <c r="AN3523" s="500"/>
      <c r="AO3523" s="500"/>
      <c r="AP3523" s="500"/>
    </row>
    <row r="3524" spans="1:42" ht="16.5" customHeight="1">
      <c r="A3524" s="434"/>
      <c r="B3524" s="437" t="s">
        <v>3419</v>
      </c>
      <c r="C3524" s="513">
        <f>E3524+D3524+F3524</f>
        <v>2141.5</v>
      </c>
      <c r="D3524" s="513">
        <f>SUMIF(N3507:N3523,M3524,D3507:D3523)</f>
        <v>2141.5</v>
      </c>
      <c r="E3524" s="513">
        <f>SUMIF(N3507:N3523,M3524,E3507:E3523)</f>
        <v>0</v>
      </c>
      <c r="F3524" s="513">
        <f>SUMIF(N3507:N3523,M3524,F3507:F3523)</f>
        <v>0</v>
      </c>
      <c r="G3524" s="451" t="s">
        <v>3420</v>
      </c>
      <c r="M3524" s="501" t="s">
        <v>3416</v>
      </c>
      <c r="N3524" s="501" t="s">
        <v>3421</v>
      </c>
      <c r="Z3524" s="500"/>
      <c r="AA3524" s="500"/>
      <c r="AB3524" s="500"/>
      <c r="AC3524" s="500"/>
      <c r="AD3524" s="500"/>
      <c r="AE3524" s="500"/>
      <c r="AF3524" s="500"/>
      <c r="AG3524" s="500"/>
      <c r="AH3524" s="500"/>
      <c r="AI3524" s="500"/>
      <c r="AJ3524" s="500"/>
      <c r="AK3524" s="500"/>
      <c r="AL3524" s="500"/>
      <c r="AM3524" s="500"/>
      <c r="AN3524" s="500"/>
      <c r="AO3524" s="500"/>
      <c r="AP3524" s="500"/>
    </row>
    <row r="3525" spans="1:42" ht="16.5" customHeight="1">
      <c r="A3525" s="439"/>
      <c r="B3525" s="439"/>
      <c r="C3525" s="504"/>
      <c r="D3525" s="504"/>
      <c r="E3525" s="504"/>
      <c r="F3525" s="504"/>
      <c r="G3525" s="451" t="s">
        <v>3406</v>
      </c>
      <c r="Z3525" s="500"/>
      <c r="AA3525" s="500"/>
      <c r="AB3525" s="500"/>
      <c r="AC3525" s="500"/>
      <c r="AD3525" s="500"/>
      <c r="AE3525" s="500"/>
      <c r="AF3525" s="500"/>
      <c r="AG3525" s="500"/>
      <c r="AH3525" s="500"/>
      <c r="AI3525" s="500"/>
      <c r="AJ3525" s="500"/>
      <c r="AK3525" s="500"/>
      <c r="AL3525" s="500"/>
      <c r="AM3525" s="500"/>
      <c r="AN3525" s="500"/>
      <c r="AO3525" s="500"/>
      <c r="AP3525" s="500"/>
    </row>
    <row r="3526" spans="1:42" ht="16.5" customHeight="1">
      <c r="A3526" s="439"/>
      <c r="B3526" s="439"/>
      <c r="C3526" s="439"/>
      <c r="D3526" s="439"/>
      <c r="E3526" s="439"/>
      <c r="F3526" s="439"/>
      <c r="G3526" s="451" t="s">
        <v>3406</v>
      </c>
      <c r="Z3526" s="500"/>
      <c r="AA3526" s="500"/>
      <c r="AB3526" s="500"/>
      <c r="AC3526" s="500"/>
      <c r="AD3526" s="500"/>
      <c r="AE3526" s="500"/>
      <c r="AF3526" s="500"/>
      <c r="AG3526" s="500"/>
      <c r="AH3526" s="500"/>
      <c r="AI3526" s="500"/>
      <c r="AJ3526" s="500"/>
      <c r="AK3526" s="500"/>
      <c r="AL3526" s="500"/>
      <c r="AM3526" s="500"/>
      <c r="AN3526" s="500"/>
      <c r="AO3526" s="500"/>
      <c r="AP3526" s="500"/>
    </row>
    <row r="3527" spans="1:42" ht="16.5" customHeight="1">
      <c r="A3527" s="434"/>
      <c r="B3527" s="437" t="s">
        <v>3440</v>
      </c>
      <c r="C3527" s="513">
        <f>E3527+D3527+F3527</f>
        <v>2141.5</v>
      </c>
      <c r="D3527" s="513">
        <f>SUMIF(N3507:N3526,M3527,D3507:D3526)</f>
        <v>2141.5</v>
      </c>
      <c r="E3527" s="513">
        <f>SUMIF(N3507:N3526,M3527,E3507:E3526)</f>
        <v>0</v>
      </c>
      <c r="F3527" s="513">
        <f>SUMIF(N3507:N3526,M3527,F3507:F3526)</f>
        <v>0</v>
      </c>
      <c r="G3527" s="451" t="s">
        <v>3484</v>
      </c>
      <c r="M3527" s="501" t="s">
        <v>3421</v>
      </c>
      <c r="N3527" s="501" t="s">
        <v>2354</v>
      </c>
      <c r="Z3527" s="500"/>
      <c r="AA3527" s="500"/>
      <c r="AB3527" s="500"/>
      <c r="AC3527" s="500"/>
      <c r="AD3527" s="500"/>
      <c r="AE3527" s="500"/>
      <c r="AF3527" s="500"/>
      <c r="AG3527" s="500"/>
      <c r="AH3527" s="500"/>
      <c r="AI3527" s="500"/>
      <c r="AJ3527" s="500"/>
      <c r="AK3527" s="500"/>
      <c r="AL3527" s="500"/>
      <c r="AM3527" s="500"/>
      <c r="AN3527" s="500"/>
      <c r="AO3527" s="500"/>
      <c r="AP3527" s="500"/>
    </row>
    <row r="3528" spans="1:42" ht="16.5" customHeight="1">
      <c r="A3528" s="439"/>
      <c r="B3528" s="439"/>
      <c r="C3528" s="504"/>
      <c r="D3528" s="504"/>
      <c r="E3528" s="504"/>
      <c r="F3528" s="504"/>
      <c r="Z3528" s="500"/>
      <c r="AA3528" s="500"/>
      <c r="AB3528" s="500"/>
      <c r="AC3528" s="500"/>
      <c r="AD3528" s="500"/>
      <c r="AE3528" s="500"/>
      <c r="AF3528" s="500"/>
      <c r="AG3528" s="500"/>
      <c r="AH3528" s="500"/>
      <c r="AI3528" s="500"/>
      <c r="AJ3528" s="500"/>
      <c r="AK3528" s="500"/>
      <c r="AL3528" s="500"/>
      <c r="AM3528" s="500"/>
      <c r="AN3528" s="500"/>
      <c r="AO3528" s="500"/>
      <c r="AP3528" s="500"/>
    </row>
    <row r="3529" spans="1:42" ht="16.5" customHeight="1">
      <c r="A3529" s="439"/>
      <c r="B3529" s="439"/>
      <c r="C3529" s="439"/>
      <c r="D3529" s="439"/>
      <c r="E3529" s="439"/>
      <c r="F3529" s="439"/>
      <c r="Z3529" s="500"/>
      <c r="AA3529" s="500"/>
      <c r="AB3529" s="500"/>
      <c r="AC3529" s="500"/>
      <c r="AD3529" s="500"/>
      <c r="AE3529" s="500"/>
      <c r="AF3529" s="500"/>
      <c r="AG3529" s="500"/>
      <c r="AH3529" s="500"/>
      <c r="AI3529" s="500"/>
      <c r="AJ3529" s="500"/>
      <c r="AK3529" s="500"/>
      <c r="AL3529" s="500"/>
      <c r="AM3529" s="500"/>
      <c r="AN3529" s="500"/>
      <c r="AO3529" s="500"/>
      <c r="AP3529" s="500"/>
    </row>
    <row r="3530" spans="1:42" ht="16.5" customHeight="1">
      <c r="A3530" s="439"/>
      <c r="B3530" s="439"/>
      <c r="C3530" s="439"/>
      <c r="D3530" s="439"/>
      <c r="E3530" s="439"/>
      <c r="F3530" s="439"/>
      <c r="Z3530" s="500"/>
      <c r="AA3530" s="500"/>
      <c r="AB3530" s="500"/>
      <c r="AC3530" s="500"/>
      <c r="AD3530" s="500"/>
      <c r="AE3530" s="500"/>
      <c r="AF3530" s="500"/>
      <c r="AG3530" s="500"/>
      <c r="AH3530" s="500"/>
      <c r="AI3530" s="500"/>
      <c r="AJ3530" s="500"/>
      <c r="AK3530" s="500"/>
      <c r="AL3530" s="500"/>
      <c r="AM3530" s="500"/>
      <c r="AN3530" s="500"/>
      <c r="AO3530" s="500"/>
      <c r="AP3530" s="500"/>
    </row>
    <row r="3531" spans="1:42" ht="16.5" customHeight="1">
      <c r="A3531" s="439"/>
      <c r="B3531" s="439"/>
      <c r="C3531" s="439"/>
      <c r="D3531" s="439"/>
      <c r="E3531" s="439"/>
      <c r="F3531" s="439"/>
      <c r="Z3531" s="500"/>
      <c r="AA3531" s="500"/>
      <c r="AB3531" s="500"/>
      <c r="AC3531" s="500"/>
      <c r="AD3531" s="500"/>
      <c r="AE3531" s="500"/>
      <c r="AF3531" s="500"/>
      <c r="AG3531" s="500"/>
      <c r="AH3531" s="500"/>
      <c r="AI3531" s="500"/>
      <c r="AJ3531" s="500"/>
      <c r="AK3531" s="500"/>
      <c r="AL3531" s="500"/>
      <c r="AM3531" s="500"/>
      <c r="AN3531" s="500"/>
      <c r="AO3531" s="500"/>
      <c r="AP3531" s="500"/>
    </row>
    <row r="3532" spans="1:42" ht="16.5" customHeight="1">
      <c r="A3532" s="439"/>
      <c r="B3532" s="439"/>
      <c r="C3532" s="439"/>
      <c r="D3532" s="439"/>
      <c r="E3532" s="439"/>
      <c r="F3532" s="439"/>
      <c r="Z3532" s="500"/>
      <c r="AA3532" s="500"/>
      <c r="AB3532" s="500"/>
      <c r="AC3532" s="500"/>
      <c r="AD3532" s="500"/>
      <c r="AE3532" s="500"/>
      <c r="AF3532" s="500"/>
      <c r="AG3532" s="500"/>
      <c r="AH3532" s="500"/>
      <c r="AI3532" s="500"/>
      <c r="AJ3532" s="500"/>
      <c r="AK3532" s="500"/>
      <c r="AL3532" s="500"/>
      <c r="AM3532" s="500"/>
      <c r="AN3532" s="500"/>
      <c r="AO3532" s="500"/>
      <c r="AP3532" s="500"/>
    </row>
    <row r="3533" spans="1:42" ht="16.5" customHeight="1">
      <c r="A3533" s="439"/>
      <c r="B3533" s="439"/>
      <c r="C3533" s="439"/>
      <c r="D3533" s="439"/>
      <c r="E3533" s="439"/>
      <c r="F3533" s="439"/>
      <c r="Z3533" s="500"/>
      <c r="AA3533" s="500"/>
      <c r="AB3533" s="500"/>
      <c r="AC3533" s="500"/>
      <c r="AD3533" s="500"/>
      <c r="AE3533" s="500"/>
      <c r="AF3533" s="500"/>
      <c r="AG3533" s="500"/>
      <c r="AH3533" s="500"/>
      <c r="AI3533" s="500"/>
      <c r="AJ3533" s="500"/>
      <c r="AK3533" s="500"/>
      <c r="AL3533" s="500"/>
      <c r="AM3533" s="500"/>
      <c r="AN3533" s="500"/>
      <c r="AO3533" s="500"/>
      <c r="AP3533" s="500"/>
    </row>
    <row r="3534" spans="1:42" ht="16.5" customHeight="1">
      <c r="A3534" s="439"/>
      <c r="B3534" s="439"/>
      <c r="C3534" s="439"/>
      <c r="D3534" s="439"/>
      <c r="E3534" s="439"/>
      <c r="F3534" s="439"/>
      <c r="Z3534" s="500"/>
      <c r="AA3534" s="500"/>
      <c r="AB3534" s="500"/>
      <c r="AC3534" s="500"/>
      <c r="AD3534" s="500"/>
      <c r="AE3534" s="500"/>
      <c r="AF3534" s="500"/>
      <c r="AG3534" s="500"/>
      <c r="AH3534" s="500"/>
      <c r="AI3534" s="500"/>
      <c r="AJ3534" s="500"/>
      <c r="AK3534" s="500"/>
      <c r="AL3534" s="500"/>
      <c r="AM3534" s="500"/>
      <c r="AN3534" s="500"/>
      <c r="AO3534" s="500"/>
      <c r="AP3534" s="500"/>
    </row>
    <row r="3535" spans="1:42" ht="16.5" customHeight="1">
      <c r="A3535" s="439"/>
      <c r="B3535" s="439"/>
      <c r="C3535" s="439"/>
      <c r="D3535" s="439"/>
      <c r="E3535" s="439"/>
      <c r="F3535" s="439"/>
      <c r="Z3535" s="500"/>
      <c r="AA3535" s="500"/>
      <c r="AB3535" s="500"/>
      <c r="AC3535" s="500"/>
      <c r="AD3535" s="500"/>
      <c r="AE3535" s="500"/>
      <c r="AF3535" s="500"/>
      <c r="AG3535" s="500"/>
      <c r="AH3535" s="500"/>
      <c r="AI3535" s="500"/>
      <c r="AJ3535" s="500"/>
      <c r="AK3535" s="500"/>
      <c r="AL3535" s="500"/>
      <c r="AM3535" s="500"/>
      <c r="AN3535" s="500"/>
      <c r="AO3535" s="500"/>
      <c r="AP3535" s="500"/>
    </row>
    <row r="3536" spans="1:42" ht="16.5" customHeight="1">
      <c r="A3536" s="439"/>
      <c r="B3536" s="439"/>
      <c r="C3536" s="439"/>
      <c r="D3536" s="439"/>
      <c r="E3536" s="439"/>
      <c r="F3536" s="439"/>
      <c r="Z3536" s="500"/>
      <c r="AA3536" s="500"/>
      <c r="AB3536" s="500"/>
      <c r="AC3536" s="500"/>
      <c r="AD3536" s="500"/>
      <c r="AE3536" s="500"/>
      <c r="AF3536" s="500"/>
      <c r="AG3536" s="500"/>
      <c r="AH3536" s="500"/>
      <c r="AI3536" s="500"/>
      <c r="AJ3536" s="500"/>
      <c r="AK3536" s="500"/>
      <c r="AL3536" s="500"/>
      <c r="AM3536" s="500"/>
      <c r="AN3536" s="500"/>
      <c r="AO3536" s="500"/>
      <c r="AP3536" s="500"/>
    </row>
    <row r="3537" spans="1:42" ht="16.5" customHeight="1">
      <c r="A3537" s="439"/>
      <c r="B3537" s="439"/>
      <c r="C3537" s="439"/>
      <c r="D3537" s="439"/>
      <c r="E3537" s="439"/>
      <c r="F3537" s="439"/>
      <c r="Z3537" s="500"/>
      <c r="AA3537" s="500"/>
      <c r="AB3537" s="500"/>
      <c r="AC3537" s="500"/>
      <c r="AD3537" s="500"/>
      <c r="AE3537" s="500"/>
      <c r="AF3537" s="500"/>
      <c r="AG3537" s="500"/>
      <c r="AH3537" s="500"/>
      <c r="AI3537" s="500"/>
      <c r="AJ3537" s="500"/>
      <c r="AK3537" s="500"/>
      <c r="AL3537" s="500"/>
      <c r="AM3537" s="500"/>
      <c r="AN3537" s="500"/>
      <c r="AO3537" s="500"/>
      <c r="AP3537" s="500"/>
    </row>
    <row r="3538" spans="1:42" ht="16.5" customHeight="1">
      <c r="A3538" s="439"/>
      <c r="B3538" s="439"/>
      <c r="C3538" s="439"/>
      <c r="D3538" s="439"/>
      <c r="E3538" s="439"/>
      <c r="F3538" s="439"/>
      <c r="Z3538" s="500"/>
      <c r="AA3538" s="500"/>
      <c r="AB3538" s="500"/>
      <c r="AC3538" s="500"/>
      <c r="AD3538" s="500"/>
      <c r="AE3538" s="500"/>
      <c r="AF3538" s="500"/>
      <c r="AG3538" s="500"/>
      <c r="AH3538" s="500"/>
      <c r="AI3538" s="500"/>
      <c r="AJ3538" s="500"/>
      <c r="AK3538" s="500"/>
      <c r="AL3538" s="500"/>
      <c r="AM3538" s="500"/>
      <c r="AN3538" s="500"/>
      <c r="AO3538" s="500"/>
      <c r="AP3538" s="500"/>
    </row>
    <row r="3539" spans="1:42" ht="16.5" customHeight="1">
      <c r="A3539" s="439"/>
      <c r="B3539" s="439"/>
      <c r="C3539" s="439"/>
      <c r="D3539" s="439"/>
      <c r="E3539" s="439"/>
      <c r="F3539" s="439"/>
      <c r="Z3539" s="500"/>
      <c r="AA3539" s="500"/>
      <c r="AB3539" s="500"/>
      <c r="AC3539" s="500"/>
      <c r="AD3539" s="500"/>
      <c r="AE3539" s="500"/>
      <c r="AF3539" s="500"/>
      <c r="AG3539" s="500"/>
      <c r="AH3539" s="500"/>
      <c r="AI3539" s="500"/>
      <c r="AJ3539" s="500"/>
      <c r="AK3539" s="500"/>
      <c r="AL3539" s="500"/>
      <c r="AM3539" s="500"/>
      <c r="AN3539" s="500"/>
      <c r="AO3539" s="500"/>
      <c r="AP3539" s="500"/>
    </row>
    <row r="3540" spans="1:42" ht="16.5" customHeight="1">
      <c r="A3540" s="439"/>
      <c r="B3540" s="439"/>
      <c r="C3540" s="439"/>
      <c r="D3540" s="439"/>
      <c r="E3540" s="439"/>
      <c r="F3540" s="439"/>
      <c r="Z3540" s="500"/>
      <c r="AA3540" s="500"/>
      <c r="AB3540" s="500"/>
      <c r="AC3540" s="500"/>
      <c r="AD3540" s="500"/>
      <c r="AE3540" s="500"/>
      <c r="AF3540" s="500"/>
      <c r="AG3540" s="500"/>
      <c r="AH3540" s="500"/>
      <c r="AI3540" s="500"/>
      <c r="AJ3540" s="500"/>
      <c r="AK3540" s="500"/>
      <c r="AL3540" s="500"/>
      <c r="AM3540" s="500"/>
      <c r="AN3540" s="500"/>
      <c r="AO3540" s="500"/>
      <c r="AP3540" s="500"/>
    </row>
    <row r="3541" spans="1:42" ht="16.5" customHeight="1">
      <c r="A3541" s="439"/>
      <c r="B3541" s="439"/>
      <c r="C3541" s="439"/>
      <c r="D3541" s="439"/>
      <c r="E3541" s="439"/>
      <c r="F3541" s="439"/>
      <c r="Z3541" s="500"/>
      <c r="AA3541" s="500"/>
      <c r="AB3541" s="500"/>
      <c r="AC3541" s="500"/>
      <c r="AD3541" s="500"/>
      <c r="AE3541" s="500"/>
      <c r="AF3541" s="500"/>
      <c r="AG3541" s="500"/>
      <c r="AH3541" s="500"/>
      <c r="AI3541" s="500"/>
      <c r="AJ3541" s="500"/>
      <c r="AK3541" s="500"/>
      <c r="AL3541" s="500"/>
      <c r="AM3541" s="500"/>
      <c r="AN3541" s="500"/>
      <c r="AO3541" s="500"/>
      <c r="AP3541" s="500"/>
    </row>
    <row r="3542" spans="1:42" ht="16.5" customHeight="1">
      <c r="A3542" s="439"/>
      <c r="B3542" s="439"/>
      <c r="C3542" s="439"/>
      <c r="D3542" s="439"/>
      <c r="E3542" s="439"/>
      <c r="F3542" s="439"/>
      <c r="Z3542" s="500"/>
      <c r="AA3542" s="500"/>
      <c r="AB3542" s="500"/>
      <c r="AC3542" s="500"/>
      <c r="AD3542" s="500"/>
      <c r="AE3542" s="500"/>
      <c r="AF3542" s="500"/>
      <c r="AG3542" s="500"/>
      <c r="AH3542" s="500"/>
      <c r="AI3542" s="500"/>
      <c r="AJ3542" s="500"/>
      <c r="AK3542" s="500"/>
      <c r="AL3542" s="500"/>
      <c r="AM3542" s="500"/>
      <c r="AN3542" s="500"/>
      <c r="AO3542" s="500"/>
      <c r="AP3542" s="500"/>
    </row>
    <row r="3543" spans="1:42" ht="16.5" customHeight="1">
      <c r="A3543" s="439"/>
      <c r="B3543" s="439"/>
      <c r="C3543" s="439"/>
      <c r="D3543" s="439"/>
      <c r="E3543" s="439"/>
      <c r="F3543" s="439"/>
      <c r="Z3543" s="500"/>
      <c r="AA3543" s="500"/>
      <c r="AB3543" s="500"/>
      <c r="AC3543" s="500"/>
      <c r="AD3543" s="500"/>
      <c r="AE3543" s="500"/>
      <c r="AF3543" s="500"/>
      <c r="AG3543" s="500"/>
      <c r="AH3543" s="500"/>
      <c r="AI3543" s="500"/>
      <c r="AJ3543" s="500"/>
      <c r="AK3543" s="500"/>
      <c r="AL3543" s="500"/>
      <c r="AM3543" s="500"/>
      <c r="AN3543" s="500"/>
      <c r="AO3543" s="500"/>
      <c r="AP3543" s="500"/>
    </row>
    <row r="3544" spans="1:42" ht="16.5" customHeight="1">
      <c r="A3544" s="439"/>
      <c r="B3544" s="439"/>
      <c r="C3544" s="439"/>
      <c r="D3544" s="439"/>
      <c r="E3544" s="439"/>
      <c r="F3544" s="439"/>
      <c r="Z3544" s="500"/>
      <c r="AA3544" s="500"/>
      <c r="AB3544" s="500"/>
      <c r="AC3544" s="500"/>
      <c r="AD3544" s="500"/>
      <c r="AE3544" s="500"/>
      <c r="AF3544" s="500"/>
      <c r="AG3544" s="500"/>
      <c r="AH3544" s="500"/>
      <c r="AI3544" s="500"/>
      <c r="AJ3544" s="500"/>
      <c r="AK3544" s="500"/>
      <c r="AL3544" s="500"/>
      <c r="AM3544" s="500"/>
      <c r="AN3544" s="500"/>
      <c r="AO3544" s="500"/>
      <c r="AP3544" s="500"/>
    </row>
    <row r="3545" spans="1:42" ht="16.5" customHeight="1">
      <c r="A3545" s="439"/>
      <c r="B3545" s="439"/>
      <c r="C3545" s="439"/>
      <c r="D3545" s="439"/>
      <c r="E3545" s="439"/>
      <c r="F3545" s="439"/>
      <c r="Z3545" s="500"/>
      <c r="AA3545" s="500"/>
      <c r="AB3545" s="500"/>
      <c r="AC3545" s="500"/>
      <c r="AD3545" s="500"/>
      <c r="AE3545" s="500"/>
      <c r="AF3545" s="500"/>
      <c r="AG3545" s="500"/>
      <c r="AH3545" s="500"/>
      <c r="AI3545" s="500"/>
      <c r="AJ3545" s="500"/>
      <c r="AK3545" s="500"/>
      <c r="AL3545" s="500"/>
      <c r="AM3545" s="500"/>
      <c r="AN3545" s="500"/>
      <c r="AO3545" s="500"/>
      <c r="AP3545" s="500"/>
    </row>
    <row r="3546" spans="1:42" ht="16.5" customHeight="1">
      <c r="A3546" s="439"/>
      <c r="B3546" s="439"/>
      <c r="C3546" s="439"/>
      <c r="D3546" s="439"/>
      <c r="E3546" s="439"/>
      <c r="F3546" s="439"/>
      <c r="Z3546" s="500"/>
      <c r="AA3546" s="500"/>
      <c r="AB3546" s="500"/>
      <c r="AC3546" s="500"/>
      <c r="AD3546" s="500"/>
      <c r="AE3546" s="500"/>
      <c r="AF3546" s="500"/>
      <c r="AG3546" s="500"/>
      <c r="AH3546" s="500"/>
      <c r="AI3546" s="500"/>
      <c r="AJ3546" s="500"/>
      <c r="AK3546" s="500"/>
      <c r="AL3546" s="500"/>
      <c r="AM3546" s="500"/>
      <c r="AN3546" s="500"/>
      <c r="AO3546" s="500"/>
      <c r="AP3546" s="500"/>
    </row>
    <row r="3547" spans="1:42" ht="16.5" customHeight="1">
      <c r="A3547" s="439"/>
      <c r="B3547" s="439"/>
      <c r="C3547" s="439"/>
      <c r="D3547" s="439"/>
      <c r="E3547" s="439"/>
      <c r="F3547" s="439"/>
      <c r="Z3547" s="500"/>
      <c r="AA3547" s="500"/>
      <c r="AB3547" s="500"/>
      <c r="AC3547" s="500"/>
      <c r="AD3547" s="500"/>
      <c r="AE3547" s="500"/>
      <c r="AF3547" s="500"/>
      <c r="AG3547" s="500"/>
      <c r="AH3547" s="500"/>
      <c r="AI3547" s="500"/>
      <c r="AJ3547" s="500"/>
      <c r="AK3547" s="500"/>
      <c r="AL3547" s="500"/>
      <c r="AM3547" s="500"/>
      <c r="AN3547" s="500"/>
      <c r="AO3547" s="500"/>
      <c r="AP3547" s="500"/>
    </row>
    <row r="3548" spans="1:42" ht="16.5" customHeight="1">
      <c r="A3548" s="439"/>
      <c r="B3548" s="439"/>
      <c r="C3548" s="439"/>
      <c r="D3548" s="439"/>
      <c r="E3548" s="439"/>
      <c r="F3548" s="439"/>
      <c r="Z3548" s="500"/>
      <c r="AA3548" s="500"/>
      <c r="AB3548" s="500"/>
      <c r="AC3548" s="500"/>
      <c r="AD3548" s="500"/>
      <c r="AE3548" s="500"/>
      <c r="AF3548" s="500"/>
      <c r="AG3548" s="500"/>
      <c r="AH3548" s="500"/>
      <c r="AI3548" s="500"/>
      <c r="AJ3548" s="500"/>
      <c r="AK3548" s="500"/>
      <c r="AL3548" s="500"/>
      <c r="AM3548" s="500"/>
      <c r="AN3548" s="500"/>
      <c r="AO3548" s="500"/>
      <c r="AP3548" s="500"/>
    </row>
    <row r="3549" spans="1:42" ht="16.5" customHeight="1">
      <c r="A3549" s="439"/>
      <c r="B3549" s="439"/>
      <c r="C3549" s="439"/>
      <c r="D3549" s="439"/>
      <c r="E3549" s="439"/>
      <c r="F3549" s="439"/>
      <c r="Z3549" s="500"/>
      <c r="AA3549" s="500"/>
      <c r="AB3549" s="500"/>
      <c r="AC3549" s="500"/>
      <c r="AD3549" s="500"/>
      <c r="AE3549" s="500"/>
      <c r="AF3549" s="500"/>
      <c r="AG3549" s="500"/>
      <c r="AH3549" s="500"/>
      <c r="AI3549" s="500"/>
      <c r="AJ3549" s="500"/>
      <c r="AK3549" s="500"/>
      <c r="AL3549" s="500"/>
      <c r="AM3549" s="500"/>
      <c r="AN3549" s="500"/>
      <c r="AO3549" s="500"/>
      <c r="AP3549" s="500"/>
    </row>
    <row r="3550" spans="1:42" ht="16.5" customHeight="1">
      <c r="A3550" s="439"/>
      <c r="B3550" s="439"/>
      <c r="C3550" s="439"/>
      <c r="D3550" s="439"/>
      <c r="E3550" s="439"/>
      <c r="F3550" s="439"/>
      <c r="Z3550" s="500"/>
      <c r="AA3550" s="500"/>
      <c r="AB3550" s="500"/>
      <c r="AC3550" s="500"/>
      <c r="AD3550" s="500"/>
      <c r="AE3550" s="500"/>
      <c r="AF3550" s="500"/>
      <c r="AG3550" s="500"/>
      <c r="AH3550" s="500"/>
      <c r="AI3550" s="500"/>
      <c r="AJ3550" s="500"/>
      <c r="AK3550" s="500"/>
      <c r="AL3550" s="500"/>
      <c r="AM3550" s="500"/>
      <c r="AN3550" s="500"/>
      <c r="AO3550" s="500"/>
      <c r="AP3550" s="500"/>
    </row>
    <row r="3551" spans="1:42" ht="16.5" customHeight="1">
      <c r="A3551" s="439"/>
      <c r="B3551" s="439"/>
      <c r="C3551" s="439"/>
      <c r="D3551" s="439"/>
      <c r="E3551" s="439"/>
      <c r="F3551" s="439"/>
      <c r="Z3551" s="500"/>
      <c r="AA3551" s="500"/>
      <c r="AB3551" s="500"/>
      <c r="AC3551" s="500"/>
      <c r="AD3551" s="500"/>
      <c r="AE3551" s="500"/>
      <c r="AF3551" s="500"/>
      <c r="AG3551" s="500"/>
      <c r="AH3551" s="500"/>
      <c r="AI3551" s="500"/>
      <c r="AJ3551" s="500"/>
      <c r="AK3551" s="500"/>
      <c r="AL3551" s="500"/>
      <c r="AM3551" s="500"/>
      <c r="AN3551" s="500"/>
      <c r="AO3551" s="500"/>
      <c r="AP3551" s="500"/>
    </row>
    <row r="3552" spans="1:42" ht="16.5" customHeight="1">
      <c r="A3552" s="439"/>
      <c r="B3552" s="439"/>
      <c r="C3552" s="439"/>
      <c r="D3552" s="439"/>
      <c r="E3552" s="439"/>
      <c r="F3552" s="439"/>
      <c r="Z3552" s="500"/>
      <c r="AA3552" s="500"/>
      <c r="AB3552" s="500"/>
      <c r="AC3552" s="500"/>
      <c r="AD3552" s="500"/>
      <c r="AE3552" s="500"/>
      <c r="AF3552" s="500"/>
      <c r="AG3552" s="500"/>
      <c r="AH3552" s="500"/>
      <c r="AI3552" s="500"/>
      <c r="AJ3552" s="500"/>
      <c r="AK3552" s="500"/>
      <c r="AL3552" s="500"/>
      <c r="AM3552" s="500"/>
      <c r="AN3552" s="500"/>
      <c r="AO3552" s="500"/>
      <c r="AP3552" s="500"/>
    </row>
    <row r="3553" spans="1:42" ht="16.5" customHeight="1">
      <c r="A3553" s="497"/>
      <c r="B3553" s="497"/>
      <c r="C3553" s="497"/>
      <c r="D3553" s="497"/>
      <c r="E3553" s="497"/>
      <c r="F3553" s="497"/>
      <c r="Z3553" s="500"/>
      <c r="AA3553" s="500"/>
      <c r="AB3553" s="500"/>
      <c r="AC3553" s="500"/>
      <c r="AD3553" s="500"/>
      <c r="AE3553" s="500"/>
      <c r="AF3553" s="500"/>
      <c r="AG3553" s="500"/>
      <c r="AH3553" s="500"/>
      <c r="AI3553" s="500"/>
      <c r="AJ3553" s="500"/>
      <c r="AK3553" s="500"/>
      <c r="AL3553" s="500"/>
      <c r="AM3553" s="500"/>
      <c r="AN3553" s="500"/>
      <c r="AO3553" s="500"/>
      <c r="AP3553" s="500"/>
    </row>
    <row r="3554" spans="1:42" ht="16.5" customHeight="1">
      <c r="A3554" s="616" t="s">
        <v>3487</v>
      </c>
      <c r="B3554" s="605"/>
      <c r="C3554" s="446">
        <f>E3554+D3554+F3554</f>
        <v>2141</v>
      </c>
      <c r="D3554" s="453">
        <f>ROUNDDOWN(SUMIF(N3507:N3527,M3554,D3507:D3527),0)</f>
        <v>2141</v>
      </c>
      <c r="E3554" s="454">
        <f>ROUNDDOWN(SUMIF(N3507:N3527,M3554,E3507:E3527),0)</f>
        <v>0</v>
      </c>
      <c r="F3554" s="446">
        <f>ROUNDDOWN(SUMIF(N3507:N3527,M3554,F3507:F3527),0)</f>
        <v>0</v>
      </c>
      <c r="M3554" s="501" t="s">
        <v>2354</v>
      </c>
      <c r="Z3554" s="500"/>
      <c r="AA3554" s="500"/>
      <c r="AB3554" s="500"/>
      <c r="AC3554" s="500"/>
      <c r="AD3554" s="500"/>
      <c r="AE3554" s="500"/>
      <c r="AF3554" s="500"/>
      <c r="AG3554" s="500"/>
      <c r="AH3554" s="500"/>
      <c r="AI3554" s="500"/>
      <c r="AJ3554" s="500"/>
      <c r="AK3554" s="500"/>
      <c r="AL3554" s="500"/>
      <c r="AM3554" s="500"/>
      <c r="AN3554" s="500"/>
      <c r="AO3554" s="500"/>
      <c r="AP3554" s="500"/>
    </row>
    <row r="3555" spans="1:42" ht="16.5" customHeight="1">
      <c r="A3555" s="502" t="s">
        <v>3362</v>
      </c>
      <c r="B3555" s="503" t="s">
        <v>1652</v>
      </c>
      <c r="C3555" s="615">
        <f>C3604</f>
        <v>1482</v>
      </c>
      <c r="D3555" s="615">
        <f>D3604</f>
        <v>1482</v>
      </c>
      <c r="E3555" s="615">
        <f>E3604</f>
        <v>0</v>
      </c>
      <c r="F3555" s="615">
        <f>F3604</f>
        <v>0</v>
      </c>
      <c r="G3555" s="486" t="str">
        <f>HYPERLINK("#G"&amp;ROW(G3577),"_x0005_`BDCOD|D01214_x0007_`POSS|"&amp;ROW(G3557)&amp;"_x0007_`POSE|"&amp;ROW(G3577)&amp;"_x0007_`")</f>
        <v>_x0005_`BDCOD|D01214_x0007_`POSS|3557_x0007_`POSE|3577_x0007_`</v>
      </c>
      <c r="Z3555" s="500"/>
      <c r="AA3555" s="500"/>
      <c r="AB3555" s="500"/>
      <c r="AC3555" s="500"/>
      <c r="AD3555" s="500"/>
      <c r="AE3555" s="500"/>
      <c r="AF3555" s="500"/>
      <c r="AG3555" s="500"/>
      <c r="AH3555" s="500"/>
      <c r="AI3555" s="500"/>
      <c r="AJ3555" s="500"/>
      <c r="AK3555" s="500"/>
      <c r="AL3555" s="500"/>
      <c r="AM3555" s="500"/>
      <c r="AN3555" s="500"/>
      <c r="AO3555" s="500"/>
      <c r="AP3555" s="500"/>
    </row>
    <row r="3556" spans="1:42" ht="16.5" customHeight="1">
      <c r="A3556" s="485"/>
      <c r="B3556" s="503" t="s">
        <v>3786</v>
      </c>
      <c r="C3556" s="593"/>
      <c r="D3556" s="593"/>
      <c r="E3556" s="593"/>
      <c r="F3556" s="593"/>
      <c r="M3556" s="501" t="s">
        <v>1652</v>
      </c>
      <c r="Z3556" s="500"/>
      <c r="AA3556" s="500"/>
      <c r="AB3556" s="500"/>
      <c r="AC3556" s="500"/>
      <c r="AD3556" s="500"/>
      <c r="AE3556" s="500"/>
      <c r="AF3556" s="500"/>
      <c r="AG3556" s="500"/>
      <c r="AH3556" s="500"/>
      <c r="AI3556" s="500"/>
      <c r="AJ3556" s="500"/>
      <c r="AK3556" s="500"/>
      <c r="AL3556" s="500"/>
      <c r="AM3556" s="500"/>
      <c r="AN3556" s="500"/>
      <c r="AO3556" s="500"/>
      <c r="AP3556" s="500"/>
    </row>
    <row r="3557" spans="1:42" ht="16.5" customHeight="1">
      <c r="A3557" s="439"/>
      <c r="B3557" s="439"/>
      <c r="C3557" s="504"/>
      <c r="D3557" s="504"/>
      <c r="E3557" s="504"/>
      <c r="F3557" s="504"/>
      <c r="G3557" s="451" t="s">
        <v>3406</v>
      </c>
      <c r="Z3557" s="500"/>
      <c r="AA3557" s="500"/>
      <c r="AB3557" s="500"/>
      <c r="AC3557" s="500"/>
      <c r="AD3557" s="500"/>
      <c r="AE3557" s="500"/>
      <c r="AF3557" s="500"/>
      <c r="AG3557" s="500"/>
      <c r="AH3557" s="500"/>
      <c r="AI3557" s="500"/>
      <c r="AJ3557" s="500"/>
      <c r="AK3557" s="500"/>
      <c r="AL3557" s="500"/>
      <c r="AM3557" s="500"/>
      <c r="AN3557" s="500"/>
      <c r="AO3557" s="500"/>
      <c r="AP3557" s="500"/>
    </row>
    <row r="3558" spans="1:42" ht="16.5" customHeight="1">
      <c r="A3558" s="434"/>
      <c r="B3558" s="437" t="s">
        <v>3779</v>
      </c>
      <c r="C3558" s="439"/>
      <c r="D3558" s="439"/>
      <c r="E3558" s="439"/>
      <c r="F3558" s="439"/>
      <c r="G3558" s="451" t="s">
        <v>3780</v>
      </c>
      <c r="Z3558" s="500"/>
      <c r="AA3558" s="500"/>
      <c r="AB3558" s="500"/>
      <c r="AC3558" s="500"/>
      <c r="AD3558" s="500"/>
      <c r="AE3558" s="500"/>
      <c r="AF3558" s="500"/>
      <c r="AG3558" s="500"/>
      <c r="AH3558" s="500"/>
      <c r="AI3558" s="500"/>
      <c r="AJ3558" s="500"/>
      <c r="AK3558" s="500"/>
      <c r="AL3558" s="500"/>
      <c r="AM3558" s="500"/>
      <c r="AN3558" s="500"/>
      <c r="AO3558" s="500"/>
      <c r="AP3558" s="500"/>
    </row>
    <row r="3559" spans="1:42" ht="16.5" customHeight="1">
      <c r="A3559" s="439"/>
      <c r="B3559" s="439"/>
      <c r="C3559" s="439"/>
      <c r="D3559" s="439"/>
      <c r="E3559" s="439"/>
      <c r="F3559" s="439"/>
      <c r="G3559" s="451" t="s">
        <v>3406</v>
      </c>
      <c r="Z3559" s="500"/>
      <c r="AA3559" s="500"/>
      <c r="AB3559" s="500"/>
      <c r="AC3559" s="500"/>
      <c r="AD3559" s="500"/>
      <c r="AE3559" s="500"/>
      <c r="AF3559" s="500"/>
      <c r="AG3559" s="500"/>
      <c r="AH3559" s="500"/>
      <c r="AI3559" s="500"/>
      <c r="AJ3559" s="500"/>
      <c r="AK3559" s="500"/>
      <c r="AL3559" s="500"/>
      <c r="AM3559" s="500"/>
      <c r="AN3559" s="500"/>
      <c r="AO3559" s="500"/>
      <c r="AP3559" s="500"/>
    </row>
    <row r="3560" spans="1:42" ht="16.5" customHeight="1">
      <c r="A3560" s="439"/>
      <c r="B3560" s="439"/>
      <c r="C3560" s="439"/>
      <c r="D3560" s="439"/>
      <c r="E3560" s="439"/>
      <c r="F3560" s="439"/>
      <c r="G3560" s="451" t="s">
        <v>3406</v>
      </c>
      <c r="Z3560" s="500"/>
      <c r="AA3560" s="500"/>
      <c r="AB3560" s="500"/>
      <c r="AC3560" s="500"/>
      <c r="AD3560" s="500"/>
      <c r="AE3560" s="500"/>
      <c r="AF3560" s="500"/>
      <c r="AG3560" s="500"/>
      <c r="AH3560" s="500"/>
      <c r="AI3560" s="500"/>
      <c r="AJ3560" s="500"/>
      <c r="AK3560" s="500"/>
      <c r="AL3560" s="500"/>
      <c r="AM3560" s="500"/>
      <c r="AN3560" s="500"/>
      <c r="AO3560" s="500"/>
      <c r="AP3560" s="500"/>
    </row>
    <row r="3561" spans="1:42" ht="16.5" customHeight="1">
      <c r="A3561" s="434"/>
      <c r="B3561" s="437" t="s">
        <v>3787</v>
      </c>
      <c r="C3561" s="439"/>
      <c r="D3561" s="439"/>
      <c r="E3561" s="439"/>
      <c r="F3561" s="439"/>
      <c r="G3561" s="451" t="s">
        <v>3788</v>
      </c>
      <c r="Z3561" s="500"/>
      <c r="AA3561" s="500"/>
      <c r="AB3561" s="500"/>
      <c r="AC3561" s="500"/>
      <c r="AD3561" s="500"/>
      <c r="AE3561" s="500"/>
      <c r="AF3561" s="500"/>
      <c r="AG3561" s="500"/>
      <c r="AH3561" s="500"/>
      <c r="AI3561" s="500"/>
      <c r="AJ3561" s="500"/>
      <c r="AK3561" s="500"/>
      <c r="AL3561" s="500"/>
      <c r="AM3561" s="500"/>
      <c r="AN3561" s="500"/>
      <c r="AO3561" s="500"/>
      <c r="AP3561" s="500"/>
    </row>
    <row r="3562" spans="1:42" ht="16.5" customHeight="1">
      <c r="A3562" s="439"/>
      <c r="B3562" s="439"/>
      <c r="C3562" s="439"/>
      <c r="D3562" s="439"/>
      <c r="E3562" s="439"/>
      <c r="F3562" s="439"/>
      <c r="G3562" s="451" t="s">
        <v>3406</v>
      </c>
      <c r="Z3562" s="500"/>
      <c r="AA3562" s="500"/>
      <c r="AB3562" s="500"/>
      <c r="AC3562" s="500"/>
      <c r="AD3562" s="500"/>
      <c r="AE3562" s="500"/>
      <c r="AF3562" s="500"/>
      <c r="AG3562" s="500"/>
      <c r="AH3562" s="500"/>
      <c r="AI3562" s="500"/>
      <c r="AJ3562" s="500"/>
      <c r="AK3562" s="500"/>
      <c r="AL3562" s="500"/>
      <c r="AM3562" s="500"/>
      <c r="AN3562" s="500"/>
      <c r="AO3562" s="500"/>
      <c r="AP3562" s="500"/>
    </row>
    <row r="3563" spans="1:42" ht="16.5" customHeight="1">
      <c r="A3563" s="439"/>
      <c r="B3563" s="439"/>
      <c r="C3563" s="439"/>
      <c r="D3563" s="439"/>
      <c r="E3563" s="439"/>
      <c r="F3563" s="439"/>
      <c r="G3563" s="451" t="s">
        <v>3406</v>
      </c>
      <c r="Z3563" s="500"/>
      <c r="AA3563" s="500"/>
      <c r="AB3563" s="500"/>
      <c r="AC3563" s="500"/>
      <c r="AD3563" s="500"/>
      <c r="AE3563" s="500"/>
      <c r="AF3563" s="500"/>
      <c r="AG3563" s="500"/>
      <c r="AH3563" s="500"/>
      <c r="AI3563" s="500"/>
      <c r="AJ3563" s="500"/>
      <c r="AK3563" s="500"/>
      <c r="AL3563" s="500"/>
      <c r="AM3563" s="500"/>
      <c r="AN3563" s="500"/>
      <c r="AO3563" s="500"/>
      <c r="AP3563" s="500"/>
    </row>
    <row r="3564" spans="1:42" ht="16.5" customHeight="1">
      <c r="A3564" s="439"/>
      <c r="B3564" s="439"/>
      <c r="C3564" s="439"/>
      <c r="D3564" s="439"/>
      <c r="E3564" s="439"/>
      <c r="F3564" s="439"/>
      <c r="G3564" s="451" t="s">
        <v>3406</v>
      </c>
      <c r="Z3564" s="500"/>
      <c r="AA3564" s="500"/>
      <c r="AB3564" s="500"/>
      <c r="AC3564" s="500"/>
      <c r="AD3564" s="500"/>
      <c r="AE3564" s="500"/>
      <c r="AF3564" s="500"/>
      <c r="AG3564" s="500"/>
      <c r="AH3564" s="500"/>
      <c r="AI3564" s="500"/>
      <c r="AJ3564" s="500"/>
      <c r="AK3564" s="500"/>
      <c r="AL3564" s="500"/>
      <c r="AM3564" s="500"/>
      <c r="AN3564" s="500"/>
      <c r="AO3564" s="500"/>
      <c r="AP3564" s="500"/>
    </row>
    <row r="3565" spans="1:42" ht="16.5" customHeight="1">
      <c r="A3565" s="439"/>
      <c r="B3565" s="439"/>
      <c r="C3565" s="439"/>
      <c r="D3565" s="439"/>
      <c r="E3565" s="439"/>
      <c r="F3565" s="439"/>
      <c r="G3565" s="451" t="s">
        <v>3406</v>
      </c>
      <c r="Z3565" s="500"/>
      <c r="AA3565" s="500"/>
      <c r="AB3565" s="500"/>
      <c r="AC3565" s="500"/>
      <c r="AD3565" s="500"/>
      <c r="AE3565" s="500"/>
      <c r="AF3565" s="500"/>
      <c r="AG3565" s="500"/>
      <c r="AH3565" s="500"/>
      <c r="AI3565" s="500"/>
      <c r="AJ3565" s="500"/>
      <c r="AK3565" s="500"/>
      <c r="AL3565" s="500"/>
      <c r="AM3565" s="500"/>
      <c r="AN3565" s="500"/>
      <c r="AO3565" s="500"/>
      <c r="AP3565" s="500"/>
    </row>
    <row r="3566" spans="1:42" ht="16.5" customHeight="1">
      <c r="A3566" s="439"/>
      <c r="B3566" s="439"/>
      <c r="C3566" s="439"/>
      <c r="D3566" s="439"/>
      <c r="E3566" s="439"/>
      <c r="F3566" s="439"/>
      <c r="G3566" s="451" t="s">
        <v>3783</v>
      </c>
      <c r="Z3566" s="500"/>
      <c r="AA3566" s="500"/>
      <c r="AB3566" s="500"/>
      <c r="AC3566" s="500"/>
      <c r="AD3566" s="500"/>
      <c r="AE3566" s="500"/>
      <c r="AF3566" s="500"/>
      <c r="AG3566" s="500"/>
      <c r="AH3566" s="500"/>
      <c r="AI3566" s="500"/>
      <c r="AJ3566" s="500"/>
      <c r="AK3566" s="500"/>
      <c r="AL3566" s="500"/>
      <c r="AM3566" s="500"/>
      <c r="AN3566" s="500"/>
      <c r="AO3566" s="500"/>
      <c r="AP3566" s="500"/>
    </row>
    <row r="3567" spans="1:42" ht="16.5" customHeight="1">
      <c r="A3567" s="434"/>
      <c r="B3567" s="437" t="s">
        <v>3549</v>
      </c>
      <c r="C3567" s="439"/>
      <c r="D3567" s="439"/>
      <c r="E3567" s="439"/>
      <c r="F3567" s="439"/>
      <c r="G3567" s="451" t="s">
        <v>3550</v>
      </c>
      <c r="Z3567" s="500"/>
      <c r="AA3567" s="500"/>
      <c r="AB3567" s="500"/>
      <c r="AC3567" s="500"/>
      <c r="AD3567" s="500"/>
      <c r="AE3567" s="500"/>
      <c r="AF3567" s="500"/>
      <c r="AG3567" s="500"/>
      <c r="AH3567" s="500"/>
      <c r="AI3567" s="500"/>
      <c r="AJ3567" s="500"/>
      <c r="AK3567" s="500"/>
      <c r="AL3567" s="500"/>
      <c r="AM3567" s="500"/>
      <c r="AN3567" s="500"/>
      <c r="AO3567" s="500"/>
      <c r="AP3567" s="500"/>
    </row>
    <row r="3568" spans="1:42" ht="16.5" customHeight="1">
      <c r="A3568" s="439"/>
      <c r="B3568" s="439"/>
      <c r="C3568" s="439"/>
      <c r="D3568" s="439"/>
      <c r="E3568" s="439"/>
      <c r="F3568" s="439"/>
      <c r="G3568" s="451" t="s">
        <v>3406</v>
      </c>
      <c r="Z3568" s="500"/>
      <c r="AA3568" s="500"/>
      <c r="AB3568" s="500"/>
      <c r="AC3568" s="500"/>
      <c r="AD3568" s="500"/>
      <c r="AE3568" s="500"/>
      <c r="AF3568" s="500"/>
      <c r="AG3568" s="500"/>
      <c r="AH3568" s="500"/>
      <c r="AI3568" s="500"/>
      <c r="AJ3568" s="500"/>
      <c r="AK3568" s="500"/>
      <c r="AL3568" s="500"/>
      <c r="AM3568" s="500"/>
      <c r="AN3568" s="500"/>
      <c r="AO3568" s="500"/>
      <c r="AP3568" s="500"/>
    </row>
    <row r="3569" spans="1:42" ht="16.5" customHeight="1">
      <c r="A3569" s="434" t="s">
        <v>3498</v>
      </c>
      <c r="B3569" s="505" t="str">
        <f>" 조경공 : "&amp;TEXT(I3569,"#,##0"&amp;IF(I3569&lt;&gt;INT(I3569),".###",""))&amp;"  * ("&amp;AA3569&amp;"/"&amp;AC3569&amp;") 인  * "&amp;AE3569&amp;" = "&amp;TEXT(C3569,"#,##0.0")&amp;""</f>
        <v xml:space="preserve"> 조경공 : 235,204  * (2/130) 인  * 0.3 = 1,085.5</v>
      </c>
      <c r="C3569" s="506">
        <f>E3569+D3569+F3569</f>
        <v>1085.5</v>
      </c>
      <c r="D3569" s="506">
        <f>IF(H3569=0,0,ROUNDDOWN(J3569*H3569,1))</f>
        <v>1085.5</v>
      </c>
      <c r="E3569" s="506">
        <f>IF(H3569=0,0,ROUNDDOWN(K3569*H3569,1))</f>
        <v>0</v>
      </c>
      <c r="F3569" s="506">
        <f>IF(H3569=0,0,ROUNDDOWN(L3569*H3569,1))</f>
        <v>0</v>
      </c>
      <c r="G3569" s="451" t="s">
        <v>3789</v>
      </c>
      <c r="H3569" s="507">
        <f>ROUNDUP(AG3569,14-LEN(ABS(INT(AG3569))))</f>
        <v>4.6153846154000002E-3</v>
      </c>
      <c r="I3569" s="508">
        <f>K3569+J3569+L3569</f>
        <v>235204</v>
      </c>
      <c r="J3569" s="509">
        <f>노무비목록표!E15</f>
        <v>235204</v>
      </c>
      <c r="M3569" s="501" t="s">
        <v>2359</v>
      </c>
      <c r="N3569" s="501" t="s">
        <v>3416</v>
      </c>
      <c r="X3569" s="510" t="str">
        <f>노무비목록표!B15&amp;" / "&amp;노무비목록표!C15</f>
        <v xml:space="preserve">조경공 / </v>
      </c>
      <c r="Y3569" s="433" t="str">
        <f ca="1">HYPERLINK("#"&amp;노무비목록표!G2&amp;"!A"&amp;ROW(노무비목록표!A15),"L00184 →")</f>
        <v>L00184 →</v>
      </c>
      <c r="Z3569" s="501" t="s">
        <v>3726</v>
      </c>
      <c r="AA3569" s="515">
        <v>2</v>
      </c>
      <c r="AB3569" s="501" t="s">
        <v>3428</v>
      </c>
      <c r="AC3569" s="515">
        <v>130</v>
      </c>
      <c r="AD3569" s="501" t="s">
        <v>3469</v>
      </c>
      <c r="AE3569" s="511">
        <v>0.3</v>
      </c>
      <c r="AF3569" s="501" t="s">
        <v>3418</v>
      </c>
      <c r="AG3569" s="512">
        <f>1*(AA3569/AC3569)*AE3569</f>
        <v>4.6153846153846158E-3</v>
      </c>
      <c r="AH3569" s="500"/>
      <c r="AI3569" s="500"/>
      <c r="AJ3569" s="500"/>
      <c r="AK3569" s="500"/>
      <c r="AL3569" s="500"/>
      <c r="AM3569" s="500"/>
      <c r="AN3569" s="500"/>
      <c r="AO3569" s="500"/>
      <c r="AP3569" s="500"/>
    </row>
    <row r="3570" spans="1:42" ht="16.5" customHeight="1">
      <c r="A3570" s="439"/>
      <c r="B3570" s="439"/>
      <c r="C3570" s="439"/>
      <c r="D3570" s="439"/>
      <c r="E3570" s="439"/>
      <c r="F3570" s="439"/>
      <c r="G3570" s="451" t="s">
        <v>3406</v>
      </c>
      <c r="Z3570" s="500"/>
      <c r="AA3570" s="500"/>
      <c r="AB3570" s="500"/>
      <c r="AC3570" s="500"/>
      <c r="AD3570" s="500"/>
      <c r="AE3570" s="500"/>
      <c r="AF3570" s="500"/>
      <c r="AG3570" s="500"/>
      <c r="AH3570" s="500"/>
      <c r="AI3570" s="500"/>
      <c r="AJ3570" s="500"/>
      <c r="AK3570" s="500"/>
      <c r="AL3570" s="500"/>
      <c r="AM3570" s="500"/>
      <c r="AN3570" s="500"/>
      <c r="AO3570" s="500"/>
      <c r="AP3570" s="500"/>
    </row>
    <row r="3571" spans="1:42" ht="16.5" customHeight="1">
      <c r="A3571" s="434" t="s">
        <v>3414</v>
      </c>
      <c r="B3571" s="505" t="str">
        <f>" 보통인부 : "&amp;TEXT(I3571,"#,##0"&amp;IF(I3571&lt;&gt;INT(I3571),".###",""))&amp;" * ("&amp;AA3571&amp;"/"&amp;AC3571&amp;") 인  * "&amp;AE3571&amp;" = "&amp;TEXT(C3571,"#,##0.0")&amp;""</f>
        <v xml:space="preserve"> 보통인부 : 172,068 * (1/130) 인  * 0.3 = 397.0</v>
      </c>
      <c r="C3571" s="506">
        <f>E3571+D3571+F3571</f>
        <v>397</v>
      </c>
      <c r="D3571" s="506">
        <f>IF(H3571=0,0,ROUNDDOWN(J3571*H3571,1))</f>
        <v>397</v>
      </c>
      <c r="E3571" s="506">
        <f>IF(H3571=0,0,ROUNDDOWN(K3571*H3571,1))</f>
        <v>0</v>
      </c>
      <c r="F3571" s="506">
        <f>IF(H3571=0,0,ROUNDDOWN(L3571*H3571,1))</f>
        <v>0</v>
      </c>
      <c r="G3571" s="451" t="s">
        <v>3790</v>
      </c>
      <c r="H3571" s="507">
        <f>ROUNDUP(AG3571,14-LEN(ABS(INT(AG3571))))</f>
        <v>2.3076923076999997E-3</v>
      </c>
      <c r="I3571" s="508">
        <f>K3571+J3571+L3571</f>
        <v>172068</v>
      </c>
      <c r="J3571" s="509">
        <f>노무비목록표!E10</f>
        <v>172068</v>
      </c>
      <c r="M3571" s="501" t="s">
        <v>2363</v>
      </c>
      <c r="N3571" s="501" t="s">
        <v>3416</v>
      </c>
      <c r="X3571" s="510" t="str">
        <f>노무비목록표!B10&amp;" / "&amp;노무비목록표!C10</f>
        <v xml:space="preserve">보통인부 / </v>
      </c>
      <c r="Y3571" s="433" t="str">
        <f ca="1">HYPERLINK("#"&amp;노무비목록표!G2&amp;"!A"&amp;ROW(노무비목록표!A10),"L00017 →")</f>
        <v>L00017 →</v>
      </c>
      <c r="Z3571" s="501" t="s">
        <v>3726</v>
      </c>
      <c r="AA3571" s="515">
        <v>1</v>
      </c>
      <c r="AB3571" s="501" t="s">
        <v>3428</v>
      </c>
      <c r="AC3571" s="515">
        <v>130</v>
      </c>
      <c r="AD3571" s="501" t="s">
        <v>3469</v>
      </c>
      <c r="AE3571" s="511">
        <v>0.3</v>
      </c>
      <c r="AF3571" s="501" t="s">
        <v>3418</v>
      </c>
      <c r="AG3571" s="512">
        <f>1*(AA3571/AC3571)*AE3571</f>
        <v>2.3076923076923079E-3</v>
      </c>
      <c r="AH3571" s="500"/>
      <c r="AI3571" s="500"/>
      <c r="AJ3571" s="500"/>
      <c r="AK3571" s="500"/>
      <c r="AL3571" s="500"/>
      <c r="AM3571" s="500"/>
      <c r="AN3571" s="500"/>
      <c r="AO3571" s="500"/>
      <c r="AP3571" s="500"/>
    </row>
    <row r="3572" spans="1:42" ht="16.5" customHeight="1">
      <c r="A3572" s="439"/>
      <c r="B3572" s="439"/>
      <c r="C3572" s="439"/>
      <c r="D3572" s="439"/>
      <c r="E3572" s="439"/>
      <c r="F3572" s="439"/>
      <c r="G3572" s="451" t="s">
        <v>3406</v>
      </c>
      <c r="Z3572" s="500"/>
      <c r="AA3572" s="500"/>
      <c r="AB3572" s="500"/>
      <c r="AC3572" s="500"/>
      <c r="AD3572" s="500"/>
      <c r="AE3572" s="500"/>
      <c r="AF3572" s="500"/>
      <c r="AG3572" s="500"/>
      <c r="AH3572" s="500"/>
      <c r="AI3572" s="500"/>
      <c r="AJ3572" s="500"/>
      <c r="AK3572" s="500"/>
      <c r="AL3572" s="500"/>
      <c r="AM3572" s="500"/>
      <c r="AN3572" s="500"/>
      <c r="AO3572" s="500"/>
      <c r="AP3572" s="500"/>
    </row>
    <row r="3573" spans="1:42" ht="16.5" customHeight="1">
      <c r="A3573" s="439"/>
      <c r="B3573" s="439"/>
      <c r="C3573" s="439"/>
      <c r="D3573" s="439"/>
      <c r="E3573" s="439"/>
      <c r="F3573" s="439"/>
      <c r="G3573" s="451" t="s">
        <v>3406</v>
      </c>
      <c r="Z3573" s="500"/>
      <c r="AA3573" s="500"/>
      <c r="AB3573" s="500"/>
      <c r="AC3573" s="500"/>
      <c r="AD3573" s="500"/>
      <c r="AE3573" s="500"/>
      <c r="AF3573" s="500"/>
      <c r="AG3573" s="500"/>
      <c r="AH3573" s="500"/>
      <c r="AI3573" s="500"/>
      <c r="AJ3573" s="500"/>
      <c r="AK3573" s="500"/>
      <c r="AL3573" s="500"/>
      <c r="AM3573" s="500"/>
      <c r="AN3573" s="500"/>
      <c r="AO3573" s="500"/>
      <c r="AP3573" s="500"/>
    </row>
    <row r="3574" spans="1:42" ht="16.5" customHeight="1">
      <c r="A3574" s="434"/>
      <c r="B3574" s="437" t="s">
        <v>3419</v>
      </c>
      <c r="C3574" s="513">
        <f>E3574+D3574+F3574</f>
        <v>1482.5</v>
      </c>
      <c r="D3574" s="513">
        <f>SUMIF(N3557:N3573,M3574,D3557:D3573)</f>
        <v>1482.5</v>
      </c>
      <c r="E3574" s="513">
        <f>SUMIF(N3557:N3573,M3574,E3557:E3573)</f>
        <v>0</v>
      </c>
      <c r="F3574" s="513">
        <f>SUMIF(N3557:N3573,M3574,F3557:F3573)</f>
        <v>0</v>
      </c>
      <c r="G3574" s="451" t="s">
        <v>3420</v>
      </c>
      <c r="M3574" s="501" t="s">
        <v>3416</v>
      </c>
      <c r="N3574" s="501" t="s">
        <v>3421</v>
      </c>
      <c r="Z3574" s="500"/>
      <c r="AA3574" s="500"/>
      <c r="AB3574" s="500"/>
      <c r="AC3574" s="500"/>
      <c r="AD3574" s="500"/>
      <c r="AE3574" s="500"/>
      <c r="AF3574" s="500"/>
      <c r="AG3574" s="500"/>
      <c r="AH3574" s="500"/>
      <c r="AI3574" s="500"/>
      <c r="AJ3574" s="500"/>
      <c r="AK3574" s="500"/>
      <c r="AL3574" s="500"/>
      <c r="AM3574" s="500"/>
      <c r="AN3574" s="500"/>
      <c r="AO3574" s="500"/>
      <c r="AP3574" s="500"/>
    </row>
    <row r="3575" spans="1:42" ht="16.5" customHeight="1">
      <c r="A3575" s="439"/>
      <c r="B3575" s="439"/>
      <c r="C3575" s="504"/>
      <c r="D3575" s="504"/>
      <c r="E3575" s="504"/>
      <c r="F3575" s="504"/>
      <c r="G3575" s="451" t="s">
        <v>3406</v>
      </c>
      <c r="Z3575" s="500"/>
      <c r="AA3575" s="500"/>
      <c r="AB3575" s="500"/>
      <c r="AC3575" s="500"/>
      <c r="AD3575" s="500"/>
      <c r="AE3575" s="500"/>
      <c r="AF3575" s="500"/>
      <c r="AG3575" s="500"/>
      <c r="AH3575" s="500"/>
      <c r="AI3575" s="500"/>
      <c r="AJ3575" s="500"/>
      <c r="AK3575" s="500"/>
      <c r="AL3575" s="500"/>
      <c r="AM3575" s="500"/>
      <c r="AN3575" s="500"/>
      <c r="AO3575" s="500"/>
      <c r="AP3575" s="500"/>
    </row>
    <row r="3576" spans="1:42" ht="16.5" customHeight="1">
      <c r="A3576" s="439"/>
      <c r="B3576" s="439"/>
      <c r="C3576" s="439"/>
      <c r="D3576" s="439"/>
      <c r="E3576" s="439"/>
      <c r="F3576" s="439"/>
      <c r="G3576" s="451" t="s">
        <v>3406</v>
      </c>
      <c r="Z3576" s="500"/>
      <c r="AA3576" s="500"/>
      <c r="AB3576" s="500"/>
      <c r="AC3576" s="500"/>
      <c r="AD3576" s="500"/>
      <c r="AE3576" s="500"/>
      <c r="AF3576" s="500"/>
      <c r="AG3576" s="500"/>
      <c r="AH3576" s="500"/>
      <c r="AI3576" s="500"/>
      <c r="AJ3576" s="500"/>
      <c r="AK3576" s="500"/>
      <c r="AL3576" s="500"/>
      <c r="AM3576" s="500"/>
      <c r="AN3576" s="500"/>
      <c r="AO3576" s="500"/>
      <c r="AP3576" s="500"/>
    </row>
    <row r="3577" spans="1:42" ht="16.5" customHeight="1">
      <c r="A3577" s="434"/>
      <c r="B3577" s="437" t="s">
        <v>3440</v>
      </c>
      <c r="C3577" s="513">
        <f>E3577+D3577+F3577</f>
        <v>1482.5</v>
      </c>
      <c r="D3577" s="513">
        <f>SUMIF(N3557:N3576,M3577,D3557:D3576)</f>
        <v>1482.5</v>
      </c>
      <c r="E3577" s="513">
        <f>SUMIF(N3557:N3576,M3577,E3557:E3576)</f>
        <v>0</v>
      </c>
      <c r="F3577" s="513">
        <f>SUMIF(N3557:N3576,M3577,F3557:F3576)</f>
        <v>0</v>
      </c>
      <c r="G3577" s="451" t="s">
        <v>3484</v>
      </c>
      <c r="M3577" s="501" t="s">
        <v>3421</v>
      </c>
      <c r="N3577" s="501" t="s">
        <v>2354</v>
      </c>
      <c r="Z3577" s="500"/>
      <c r="AA3577" s="500"/>
      <c r="AB3577" s="500"/>
      <c r="AC3577" s="500"/>
      <c r="AD3577" s="500"/>
      <c r="AE3577" s="500"/>
      <c r="AF3577" s="500"/>
      <c r="AG3577" s="500"/>
      <c r="AH3577" s="500"/>
      <c r="AI3577" s="500"/>
      <c r="AJ3577" s="500"/>
      <c r="AK3577" s="500"/>
      <c r="AL3577" s="500"/>
      <c r="AM3577" s="500"/>
      <c r="AN3577" s="500"/>
      <c r="AO3577" s="500"/>
      <c r="AP3577" s="500"/>
    </row>
    <row r="3578" spans="1:42" ht="16.5" customHeight="1">
      <c r="A3578" s="439"/>
      <c r="B3578" s="439"/>
      <c r="C3578" s="504"/>
      <c r="D3578" s="504"/>
      <c r="E3578" s="504"/>
      <c r="F3578" s="504"/>
      <c r="Z3578" s="500"/>
      <c r="AA3578" s="500"/>
      <c r="AB3578" s="500"/>
      <c r="AC3578" s="500"/>
      <c r="AD3578" s="500"/>
      <c r="AE3578" s="500"/>
      <c r="AF3578" s="500"/>
      <c r="AG3578" s="500"/>
      <c r="AH3578" s="500"/>
      <c r="AI3578" s="500"/>
      <c r="AJ3578" s="500"/>
      <c r="AK3578" s="500"/>
      <c r="AL3578" s="500"/>
      <c r="AM3578" s="500"/>
      <c r="AN3578" s="500"/>
      <c r="AO3578" s="500"/>
      <c r="AP3578" s="500"/>
    </row>
    <row r="3579" spans="1:42" ht="16.5" customHeight="1">
      <c r="A3579" s="439"/>
      <c r="B3579" s="439"/>
      <c r="C3579" s="439"/>
      <c r="D3579" s="439"/>
      <c r="E3579" s="439"/>
      <c r="F3579" s="439"/>
      <c r="Z3579" s="500"/>
      <c r="AA3579" s="500"/>
      <c r="AB3579" s="500"/>
      <c r="AC3579" s="500"/>
      <c r="AD3579" s="500"/>
      <c r="AE3579" s="500"/>
      <c r="AF3579" s="500"/>
      <c r="AG3579" s="500"/>
      <c r="AH3579" s="500"/>
      <c r="AI3579" s="500"/>
      <c r="AJ3579" s="500"/>
      <c r="AK3579" s="500"/>
      <c r="AL3579" s="500"/>
      <c r="AM3579" s="500"/>
      <c r="AN3579" s="500"/>
      <c r="AO3579" s="500"/>
      <c r="AP3579" s="500"/>
    </row>
    <row r="3580" spans="1:42" ht="16.5" customHeight="1">
      <c r="A3580" s="439"/>
      <c r="B3580" s="439"/>
      <c r="C3580" s="439"/>
      <c r="D3580" s="439"/>
      <c r="E3580" s="439"/>
      <c r="F3580" s="439"/>
      <c r="Z3580" s="500"/>
      <c r="AA3580" s="500"/>
      <c r="AB3580" s="500"/>
      <c r="AC3580" s="500"/>
      <c r="AD3580" s="500"/>
      <c r="AE3580" s="500"/>
      <c r="AF3580" s="500"/>
      <c r="AG3580" s="500"/>
      <c r="AH3580" s="500"/>
      <c r="AI3580" s="500"/>
      <c r="AJ3580" s="500"/>
      <c r="AK3580" s="500"/>
      <c r="AL3580" s="500"/>
      <c r="AM3580" s="500"/>
      <c r="AN3580" s="500"/>
      <c r="AO3580" s="500"/>
      <c r="AP3580" s="500"/>
    </row>
    <row r="3581" spans="1:42" ht="16.5" customHeight="1">
      <c r="A3581" s="439"/>
      <c r="B3581" s="439"/>
      <c r="C3581" s="439"/>
      <c r="D3581" s="439"/>
      <c r="E3581" s="439"/>
      <c r="F3581" s="439"/>
      <c r="Z3581" s="500"/>
      <c r="AA3581" s="500"/>
      <c r="AB3581" s="500"/>
      <c r="AC3581" s="500"/>
      <c r="AD3581" s="500"/>
      <c r="AE3581" s="500"/>
      <c r="AF3581" s="500"/>
      <c r="AG3581" s="500"/>
      <c r="AH3581" s="500"/>
      <c r="AI3581" s="500"/>
      <c r="AJ3581" s="500"/>
      <c r="AK3581" s="500"/>
      <c r="AL3581" s="500"/>
      <c r="AM3581" s="500"/>
      <c r="AN3581" s="500"/>
      <c r="AO3581" s="500"/>
      <c r="AP3581" s="500"/>
    </row>
    <row r="3582" spans="1:42" ht="16.5" customHeight="1">
      <c r="A3582" s="439"/>
      <c r="B3582" s="439"/>
      <c r="C3582" s="439"/>
      <c r="D3582" s="439"/>
      <c r="E3582" s="439"/>
      <c r="F3582" s="439"/>
      <c r="Z3582" s="500"/>
      <c r="AA3582" s="500"/>
      <c r="AB3582" s="500"/>
      <c r="AC3582" s="500"/>
      <c r="AD3582" s="500"/>
      <c r="AE3582" s="500"/>
      <c r="AF3582" s="500"/>
      <c r="AG3582" s="500"/>
      <c r="AH3582" s="500"/>
      <c r="AI3582" s="500"/>
      <c r="AJ3582" s="500"/>
      <c r="AK3582" s="500"/>
      <c r="AL3582" s="500"/>
      <c r="AM3582" s="500"/>
      <c r="AN3582" s="500"/>
      <c r="AO3582" s="500"/>
      <c r="AP3582" s="500"/>
    </row>
    <row r="3583" spans="1:42" ht="16.5" customHeight="1">
      <c r="A3583" s="439"/>
      <c r="B3583" s="439"/>
      <c r="C3583" s="439"/>
      <c r="D3583" s="439"/>
      <c r="E3583" s="439"/>
      <c r="F3583" s="439"/>
      <c r="Z3583" s="500"/>
      <c r="AA3583" s="500"/>
      <c r="AB3583" s="500"/>
      <c r="AC3583" s="500"/>
      <c r="AD3583" s="500"/>
      <c r="AE3583" s="500"/>
      <c r="AF3583" s="500"/>
      <c r="AG3583" s="500"/>
      <c r="AH3583" s="500"/>
      <c r="AI3583" s="500"/>
      <c r="AJ3583" s="500"/>
      <c r="AK3583" s="500"/>
      <c r="AL3583" s="500"/>
      <c r="AM3583" s="500"/>
      <c r="AN3583" s="500"/>
      <c r="AO3583" s="500"/>
      <c r="AP3583" s="500"/>
    </row>
    <row r="3584" spans="1:42" ht="16.5" customHeight="1">
      <c r="A3584" s="439"/>
      <c r="B3584" s="439"/>
      <c r="C3584" s="439"/>
      <c r="D3584" s="439"/>
      <c r="E3584" s="439"/>
      <c r="F3584" s="439"/>
      <c r="Z3584" s="500"/>
      <c r="AA3584" s="500"/>
      <c r="AB3584" s="500"/>
      <c r="AC3584" s="500"/>
      <c r="AD3584" s="500"/>
      <c r="AE3584" s="500"/>
      <c r="AF3584" s="500"/>
      <c r="AG3584" s="500"/>
      <c r="AH3584" s="500"/>
      <c r="AI3584" s="500"/>
      <c r="AJ3584" s="500"/>
      <c r="AK3584" s="500"/>
      <c r="AL3584" s="500"/>
      <c r="AM3584" s="500"/>
      <c r="AN3584" s="500"/>
      <c r="AO3584" s="500"/>
      <c r="AP3584" s="500"/>
    </row>
    <row r="3585" spans="1:42" ht="16.5" customHeight="1">
      <c r="A3585" s="439"/>
      <c r="B3585" s="439"/>
      <c r="C3585" s="439"/>
      <c r="D3585" s="439"/>
      <c r="E3585" s="439"/>
      <c r="F3585" s="439"/>
      <c r="Z3585" s="500"/>
      <c r="AA3585" s="500"/>
      <c r="AB3585" s="500"/>
      <c r="AC3585" s="500"/>
      <c r="AD3585" s="500"/>
      <c r="AE3585" s="500"/>
      <c r="AF3585" s="500"/>
      <c r="AG3585" s="500"/>
      <c r="AH3585" s="500"/>
      <c r="AI3585" s="500"/>
      <c r="AJ3585" s="500"/>
      <c r="AK3585" s="500"/>
      <c r="AL3585" s="500"/>
      <c r="AM3585" s="500"/>
      <c r="AN3585" s="500"/>
      <c r="AO3585" s="500"/>
      <c r="AP3585" s="500"/>
    </row>
    <row r="3586" spans="1:42" ht="16.5" customHeight="1">
      <c r="A3586" s="439"/>
      <c r="B3586" s="439"/>
      <c r="C3586" s="439"/>
      <c r="D3586" s="439"/>
      <c r="E3586" s="439"/>
      <c r="F3586" s="439"/>
      <c r="Z3586" s="500"/>
      <c r="AA3586" s="500"/>
      <c r="AB3586" s="500"/>
      <c r="AC3586" s="500"/>
      <c r="AD3586" s="500"/>
      <c r="AE3586" s="500"/>
      <c r="AF3586" s="500"/>
      <c r="AG3586" s="500"/>
      <c r="AH3586" s="500"/>
      <c r="AI3586" s="500"/>
      <c r="AJ3586" s="500"/>
      <c r="AK3586" s="500"/>
      <c r="AL3586" s="500"/>
      <c r="AM3586" s="500"/>
      <c r="AN3586" s="500"/>
      <c r="AO3586" s="500"/>
      <c r="AP3586" s="500"/>
    </row>
    <row r="3587" spans="1:42" ht="16.5" customHeight="1">
      <c r="A3587" s="439"/>
      <c r="B3587" s="439"/>
      <c r="C3587" s="439"/>
      <c r="D3587" s="439"/>
      <c r="E3587" s="439"/>
      <c r="F3587" s="439"/>
      <c r="Z3587" s="500"/>
      <c r="AA3587" s="500"/>
      <c r="AB3587" s="500"/>
      <c r="AC3587" s="500"/>
      <c r="AD3587" s="500"/>
      <c r="AE3587" s="500"/>
      <c r="AF3587" s="500"/>
      <c r="AG3587" s="500"/>
      <c r="AH3587" s="500"/>
      <c r="AI3587" s="500"/>
      <c r="AJ3587" s="500"/>
      <c r="AK3587" s="500"/>
      <c r="AL3587" s="500"/>
      <c r="AM3587" s="500"/>
      <c r="AN3587" s="500"/>
      <c r="AO3587" s="500"/>
      <c r="AP3587" s="500"/>
    </row>
    <row r="3588" spans="1:42" ht="16.5" customHeight="1">
      <c r="A3588" s="439"/>
      <c r="B3588" s="439"/>
      <c r="C3588" s="439"/>
      <c r="D3588" s="439"/>
      <c r="E3588" s="439"/>
      <c r="F3588" s="439"/>
      <c r="Z3588" s="500"/>
      <c r="AA3588" s="500"/>
      <c r="AB3588" s="500"/>
      <c r="AC3588" s="500"/>
      <c r="AD3588" s="500"/>
      <c r="AE3588" s="500"/>
      <c r="AF3588" s="500"/>
      <c r="AG3588" s="500"/>
      <c r="AH3588" s="500"/>
      <c r="AI3588" s="500"/>
      <c r="AJ3588" s="500"/>
      <c r="AK3588" s="500"/>
      <c r="AL3588" s="500"/>
      <c r="AM3588" s="500"/>
      <c r="AN3588" s="500"/>
      <c r="AO3588" s="500"/>
      <c r="AP3588" s="500"/>
    </row>
    <row r="3589" spans="1:42" ht="16.5" customHeight="1">
      <c r="A3589" s="439"/>
      <c r="B3589" s="439"/>
      <c r="C3589" s="439"/>
      <c r="D3589" s="439"/>
      <c r="E3589" s="439"/>
      <c r="F3589" s="439"/>
      <c r="Z3589" s="500"/>
      <c r="AA3589" s="500"/>
      <c r="AB3589" s="500"/>
      <c r="AC3589" s="500"/>
      <c r="AD3589" s="500"/>
      <c r="AE3589" s="500"/>
      <c r="AF3589" s="500"/>
      <c r="AG3589" s="500"/>
      <c r="AH3589" s="500"/>
      <c r="AI3589" s="500"/>
      <c r="AJ3589" s="500"/>
      <c r="AK3589" s="500"/>
      <c r="AL3589" s="500"/>
      <c r="AM3589" s="500"/>
      <c r="AN3589" s="500"/>
      <c r="AO3589" s="500"/>
      <c r="AP3589" s="500"/>
    </row>
    <row r="3590" spans="1:42" ht="16.5" customHeight="1">
      <c r="A3590" s="439"/>
      <c r="B3590" s="439"/>
      <c r="C3590" s="439"/>
      <c r="D3590" s="439"/>
      <c r="E3590" s="439"/>
      <c r="F3590" s="439"/>
      <c r="Z3590" s="500"/>
      <c r="AA3590" s="500"/>
      <c r="AB3590" s="500"/>
      <c r="AC3590" s="500"/>
      <c r="AD3590" s="500"/>
      <c r="AE3590" s="500"/>
      <c r="AF3590" s="500"/>
      <c r="AG3590" s="500"/>
      <c r="AH3590" s="500"/>
      <c r="AI3590" s="500"/>
      <c r="AJ3590" s="500"/>
      <c r="AK3590" s="500"/>
      <c r="AL3590" s="500"/>
      <c r="AM3590" s="500"/>
      <c r="AN3590" s="500"/>
      <c r="AO3590" s="500"/>
      <c r="AP3590" s="500"/>
    </row>
    <row r="3591" spans="1:42" ht="16.5" customHeight="1">
      <c r="A3591" s="439"/>
      <c r="B3591" s="439"/>
      <c r="C3591" s="439"/>
      <c r="D3591" s="439"/>
      <c r="E3591" s="439"/>
      <c r="F3591" s="439"/>
      <c r="Z3591" s="500"/>
      <c r="AA3591" s="500"/>
      <c r="AB3591" s="500"/>
      <c r="AC3591" s="500"/>
      <c r="AD3591" s="500"/>
      <c r="AE3591" s="500"/>
      <c r="AF3591" s="500"/>
      <c r="AG3591" s="500"/>
      <c r="AH3591" s="500"/>
      <c r="AI3591" s="500"/>
      <c r="AJ3591" s="500"/>
      <c r="AK3591" s="500"/>
      <c r="AL3591" s="500"/>
      <c r="AM3591" s="500"/>
      <c r="AN3591" s="500"/>
      <c r="AO3591" s="500"/>
      <c r="AP3591" s="500"/>
    </row>
    <row r="3592" spans="1:42" ht="16.5" customHeight="1">
      <c r="A3592" s="439"/>
      <c r="B3592" s="439"/>
      <c r="C3592" s="439"/>
      <c r="D3592" s="439"/>
      <c r="E3592" s="439"/>
      <c r="F3592" s="439"/>
      <c r="Z3592" s="500"/>
      <c r="AA3592" s="500"/>
      <c r="AB3592" s="500"/>
      <c r="AC3592" s="500"/>
      <c r="AD3592" s="500"/>
      <c r="AE3592" s="500"/>
      <c r="AF3592" s="500"/>
      <c r="AG3592" s="500"/>
      <c r="AH3592" s="500"/>
      <c r="AI3592" s="500"/>
      <c r="AJ3592" s="500"/>
      <c r="AK3592" s="500"/>
      <c r="AL3592" s="500"/>
      <c r="AM3592" s="500"/>
      <c r="AN3592" s="500"/>
      <c r="AO3592" s="500"/>
      <c r="AP3592" s="500"/>
    </row>
    <row r="3593" spans="1:42" ht="16.5" customHeight="1">
      <c r="A3593" s="439"/>
      <c r="B3593" s="439"/>
      <c r="C3593" s="439"/>
      <c r="D3593" s="439"/>
      <c r="E3593" s="439"/>
      <c r="F3593" s="439"/>
      <c r="Z3593" s="500"/>
      <c r="AA3593" s="500"/>
      <c r="AB3593" s="500"/>
      <c r="AC3593" s="500"/>
      <c r="AD3593" s="500"/>
      <c r="AE3593" s="500"/>
      <c r="AF3593" s="500"/>
      <c r="AG3593" s="500"/>
      <c r="AH3593" s="500"/>
      <c r="AI3593" s="500"/>
      <c r="AJ3593" s="500"/>
      <c r="AK3593" s="500"/>
      <c r="AL3593" s="500"/>
      <c r="AM3593" s="500"/>
      <c r="AN3593" s="500"/>
      <c r="AO3593" s="500"/>
      <c r="AP3593" s="500"/>
    </row>
    <row r="3594" spans="1:42" ht="16.5" customHeight="1">
      <c r="A3594" s="439"/>
      <c r="B3594" s="439"/>
      <c r="C3594" s="439"/>
      <c r="D3594" s="439"/>
      <c r="E3594" s="439"/>
      <c r="F3594" s="439"/>
      <c r="Z3594" s="500"/>
      <c r="AA3594" s="500"/>
      <c r="AB3594" s="500"/>
      <c r="AC3594" s="500"/>
      <c r="AD3594" s="500"/>
      <c r="AE3594" s="500"/>
      <c r="AF3594" s="500"/>
      <c r="AG3594" s="500"/>
      <c r="AH3594" s="500"/>
      <c r="AI3594" s="500"/>
      <c r="AJ3594" s="500"/>
      <c r="AK3594" s="500"/>
      <c r="AL3594" s="500"/>
      <c r="AM3594" s="500"/>
      <c r="AN3594" s="500"/>
      <c r="AO3594" s="500"/>
      <c r="AP3594" s="500"/>
    </row>
    <row r="3595" spans="1:42" ht="16.5" customHeight="1">
      <c r="A3595" s="439"/>
      <c r="B3595" s="439"/>
      <c r="C3595" s="439"/>
      <c r="D3595" s="439"/>
      <c r="E3595" s="439"/>
      <c r="F3595" s="439"/>
      <c r="Z3595" s="500"/>
      <c r="AA3595" s="500"/>
      <c r="AB3595" s="500"/>
      <c r="AC3595" s="500"/>
      <c r="AD3595" s="500"/>
      <c r="AE3595" s="500"/>
      <c r="AF3595" s="500"/>
      <c r="AG3595" s="500"/>
      <c r="AH3595" s="500"/>
      <c r="AI3595" s="500"/>
      <c r="AJ3595" s="500"/>
      <c r="AK3595" s="500"/>
      <c r="AL3595" s="500"/>
      <c r="AM3595" s="500"/>
      <c r="AN3595" s="500"/>
      <c r="AO3595" s="500"/>
      <c r="AP3595" s="500"/>
    </row>
    <row r="3596" spans="1:42" ht="16.5" customHeight="1">
      <c r="A3596" s="439"/>
      <c r="B3596" s="439"/>
      <c r="C3596" s="439"/>
      <c r="D3596" s="439"/>
      <c r="E3596" s="439"/>
      <c r="F3596" s="439"/>
      <c r="Z3596" s="500"/>
      <c r="AA3596" s="500"/>
      <c r="AB3596" s="500"/>
      <c r="AC3596" s="500"/>
      <c r="AD3596" s="500"/>
      <c r="AE3596" s="500"/>
      <c r="AF3596" s="500"/>
      <c r="AG3596" s="500"/>
      <c r="AH3596" s="500"/>
      <c r="AI3596" s="500"/>
      <c r="AJ3596" s="500"/>
      <c r="AK3596" s="500"/>
      <c r="AL3596" s="500"/>
      <c r="AM3596" s="500"/>
      <c r="AN3596" s="500"/>
      <c r="AO3596" s="500"/>
      <c r="AP3596" s="500"/>
    </row>
    <row r="3597" spans="1:42" ht="16.5" customHeight="1">
      <c r="A3597" s="439"/>
      <c r="B3597" s="439"/>
      <c r="C3597" s="439"/>
      <c r="D3597" s="439"/>
      <c r="E3597" s="439"/>
      <c r="F3597" s="439"/>
      <c r="Z3597" s="500"/>
      <c r="AA3597" s="500"/>
      <c r="AB3597" s="500"/>
      <c r="AC3597" s="500"/>
      <c r="AD3597" s="500"/>
      <c r="AE3597" s="500"/>
      <c r="AF3597" s="500"/>
      <c r="AG3597" s="500"/>
      <c r="AH3597" s="500"/>
      <c r="AI3597" s="500"/>
      <c r="AJ3597" s="500"/>
      <c r="AK3597" s="500"/>
      <c r="AL3597" s="500"/>
      <c r="AM3597" s="500"/>
      <c r="AN3597" s="500"/>
      <c r="AO3597" s="500"/>
      <c r="AP3597" s="500"/>
    </row>
    <row r="3598" spans="1:42" ht="16.5" customHeight="1">
      <c r="A3598" s="439"/>
      <c r="B3598" s="439"/>
      <c r="C3598" s="439"/>
      <c r="D3598" s="439"/>
      <c r="E3598" s="439"/>
      <c r="F3598" s="439"/>
      <c r="Z3598" s="500"/>
      <c r="AA3598" s="500"/>
      <c r="AB3598" s="500"/>
      <c r="AC3598" s="500"/>
      <c r="AD3598" s="500"/>
      <c r="AE3598" s="500"/>
      <c r="AF3598" s="500"/>
      <c r="AG3598" s="500"/>
      <c r="AH3598" s="500"/>
      <c r="AI3598" s="500"/>
      <c r="AJ3598" s="500"/>
      <c r="AK3598" s="500"/>
      <c r="AL3598" s="500"/>
      <c r="AM3598" s="500"/>
      <c r="AN3598" s="500"/>
      <c r="AO3598" s="500"/>
      <c r="AP3598" s="500"/>
    </row>
    <row r="3599" spans="1:42" ht="16.5" customHeight="1">
      <c r="A3599" s="439"/>
      <c r="B3599" s="439"/>
      <c r="C3599" s="439"/>
      <c r="D3599" s="439"/>
      <c r="E3599" s="439"/>
      <c r="F3599" s="439"/>
      <c r="Z3599" s="500"/>
      <c r="AA3599" s="500"/>
      <c r="AB3599" s="500"/>
      <c r="AC3599" s="500"/>
      <c r="AD3599" s="500"/>
      <c r="AE3599" s="500"/>
      <c r="AF3599" s="500"/>
      <c r="AG3599" s="500"/>
      <c r="AH3599" s="500"/>
      <c r="AI3599" s="500"/>
      <c r="AJ3599" s="500"/>
      <c r="AK3599" s="500"/>
      <c r="AL3599" s="500"/>
      <c r="AM3599" s="500"/>
      <c r="AN3599" s="500"/>
      <c r="AO3599" s="500"/>
      <c r="AP3599" s="500"/>
    </row>
    <row r="3600" spans="1:42" ht="16.5" customHeight="1">
      <c r="A3600" s="439"/>
      <c r="B3600" s="439"/>
      <c r="C3600" s="439"/>
      <c r="D3600" s="439"/>
      <c r="E3600" s="439"/>
      <c r="F3600" s="439"/>
      <c r="Z3600" s="500"/>
      <c r="AA3600" s="500"/>
      <c r="AB3600" s="500"/>
      <c r="AC3600" s="500"/>
      <c r="AD3600" s="500"/>
      <c r="AE3600" s="500"/>
      <c r="AF3600" s="500"/>
      <c r="AG3600" s="500"/>
      <c r="AH3600" s="500"/>
      <c r="AI3600" s="500"/>
      <c r="AJ3600" s="500"/>
      <c r="AK3600" s="500"/>
      <c r="AL3600" s="500"/>
      <c r="AM3600" s="500"/>
      <c r="AN3600" s="500"/>
      <c r="AO3600" s="500"/>
      <c r="AP3600" s="500"/>
    </row>
    <row r="3601" spans="1:42" ht="16.5" customHeight="1">
      <c r="A3601" s="439"/>
      <c r="B3601" s="439"/>
      <c r="C3601" s="439"/>
      <c r="D3601" s="439"/>
      <c r="E3601" s="439"/>
      <c r="F3601" s="439"/>
      <c r="Z3601" s="500"/>
      <c r="AA3601" s="500"/>
      <c r="AB3601" s="500"/>
      <c r="AC3601" s="500"/>
      <c r="AD3601" s="500"/>
      <c r="AE3601" s="500"/>
      <c r="AF3601" s="500"/>
      <c r="AG3601" s="500"/>
      <c r="AH3601" s="500"/>
      <c r="AI3601" s="500"/>
      <c r="AJ3601" s="500"/>
      <c r="AK3601" s="500"/>
      <c r="AL3601" s="500"/>
      <c r="AM3601" s="500"/>
      <c r="AN3601" s="500"/>
      <c r="AO3601" s="500"/>
      <c r="AP3601" s="500"/>
    </row>
    <row r="3602" spans="1:42" ht="16.5" customHeight="1">
      <c r="A3602" s="439"/>
      <c r="B3602" s="439"/>
      <c r="C3602" s="439"/>
      <c r="D3602" s="439"/>
      <c r="E3602" s="439"/>
      <c r="F3602" s="439"/>
      <c r="Z3602" s="500"/>
      <c r="AA3602" s="500"/>
      <c r="AB3602" s="500"/>
      <c r="AC3602" s="500"/>
      <c r="AD3602" s="500"/>
      <c r="AE3602" s="500"/>
      <c r="AF3602" s="500"/>
      <c r="AG3602" s="500"/>
      <c r="AH3602" s="500"/>
      <c r="AI3602" s="500"/>
      <c r="AJ3602" s="500"/>
      <c r="AK3602" s="500"/>
      <c r="AL3602" s="500"/>
      <c r="AM3602" s="500"/>
      <c r="AN3602" s="500"/>
      <c r="AO3602" s="500"/>
      <c r="AP3602" s="500"/>
    </row>
    <row r="3603" spans="1:42" ht="16.5" customHeight="1">
      <c r="A3603" s="497"/>
      <c r="B3603" s="497"/>
      <c r="C3603" s="497"/>
      <c r="D3603" s="497"/>
      <c r="E3603" s="497"/>
      <c r="F3603" s="497"/>
      <c r="Z3603" s="500"/>
      <c r="AA3603" s="500"/>
      <c r="AB3603" s="500"/>
      <c r="AC3603" s="500"/>
      <c r="AD3603" s="500"/>
      <c r="AE3603" s="500"/>
      <c r="AF3603" s="500"/>
      <c r="AG3603" s="500"/>
      <c r="AH3603" s="500"/>
      <c r="AI3603" s="500"/>
      <c r="AJ3603" s="500"/>
      <c r="AK3603" s="500"/>
      <c r="AL3603" s="500"/>
      <c r="AM3603" s="500"/>
      <c r="AN3603" s="500"/>
      <c r="AO3603" s="500"/>
      <c r="AP3603" s="500"/>
    </row>
    <row r="3604" spans="1:42" ht="16.5" customHeight="1">
      <c r="A3604" s="616" t="s">
        <v>3487</v>
      </c>
      <c r="B3604" s="605"/>
      <c r="C3604" s="446">
        <f>E3604+D3604+F3604</f>
        <v>1482</v>
      </c>
      <c r="D3604" s="453">
        <f>ROUNDDOWN(SUMIF(N3557:N3577,M3604,D3557:D3577),0)</f>
        <v>1482</v>
      </c>
      <c r="E3604" s="454">
        <f>ROUNDDOWN(SUMIF(N3557:N3577,M3604,E3557:E3577),0)</f>
        <v>0</v>
      </c>
      <c r="F3604" s="446">
        <f>ROUNDDOWN(SUMIF(N3557:N3577,M3604,F3557:F3577),0)</f>
        <v>0</v>
      </c>
      <c r="M3604" s="501" t="s">
        <v>2354</v>
      </c>
      <c r="Z3604" s="500"/>
      <c r="AA3604" s="500"/>
      <c r="AB3604" s="500"/>
      <c r="AC3604" s="500"/>
      <c r="AD3604" s="500"/>
      <c r="AE3604" s="500"/>
      <c r="AF3604" s="500"/>
      <c r="AG3604" s="500"/>
      <c r="AH3604" s="500"/>
      <c r="AI3604" s="500"/>
      <c r="AJ3604" s="500"/>
      <c r="AK3604" s="500"/>
      <c r="AL3604" s="500"/>
      <c r="AM3604" s="500"/>
      <c r="AN3604" s="500"/>
      <c r="AO3604" s="500"/>
      <c r="AP3604" s="500"/>
    </row>
    <row r="3605" spans="1:42" ht="16.5" customHeight="1">
      <c r="A3605" s="502" t="s">
        <v>3363</v>
      </c>
      <c r="B3605" s="503" t="s">
        <v>1279</v>
      </c>
      <c r="C3605" s="615">
        <f>C3654</f>
        <v>915</v>
      </c>
      <c r="D3605" s="615">
        <f>D3654</f>
        <v>445</v>
      </c>
      <c r="E3605" s="615">
        <f>E3654</f>
        <v>247</v>
      </c>
      <c r="F3605" s="615">
        <f>F3654</f>
        <v>223</v>
      </c>
      <c r="G3605" s="486" t="str">
        <f>HYPERLINK("#G"&amp;ROW(G3629),"_x0005_`BDCOD|D01274_x0007_`POSS|"&amp;ROW(G3607)&amp;"_x0007_`POSE|"&amp;ROW(G3629)&amp;"_x0007_`")</f>
        <v>_x0005_`BDCOD|D01274_x0007_`POSS|3607_x0007_`POSE|3629_x0007_`</v>
      </c>
      <c r="Z3605" s="500"/>
      <c r="AA3605" s="500"/>
      <c r="AB3605" s="500"/>
      <c r="AC3605" s="500"/>
      <c r="AD3605" s="500"/>
      <c r="AE3605" s="500"/>
      <c r="AF3605" s="500"/>
      <c r="AG3605" s="500"/>
      <c r="AH3605" s="500"/>
      <c r="AI3605" s="500"/>
      <c r="AJ3605" s="500"/>
      <c r="AK3605" s="500"/>
      <c r="AL3605" s="500"/>
      <c r="AM3605" s="500"/>
      <c r="AN3605" s="500"/>
      <c r="AO3605" s="500"/>
      <c r="AP3605" s="500"/>
    </row>
    <row r="3606" spans="1:42" ht="16.5" customHeight="1">
      <c r="A3606" s="485"/>
      <c r="B3606" s="503" t="s">
        <v>3791</v>
      </c>
      <c r="C3606" s="593"/>
      <c r="D3606" s="593"/>
      <c r="E3606" s="593"/>
      <c r="F3606" s="593"/>
      <c r="M3606" s="501" t="s">
        <v>1279</v>
      </c>
      <c r="Z3606" s="500"/>
      <c r="AA3606" s="500"/>
      <c r="AB3606" s="500"/>
      <c r="AC3606" s="500"/>
      <c r="AD3606" s="500"/>
      <c r="AE3606" s="500"/>
      <c r="AF3606" s="500"/>
      <c r="AG3606" s="500"/>
      <c r="AH3606" s="500"/>
      <c r="AI3606" s="500"/>
      <c r="AJ3606" s="500"/>
      <c r="AK3606" s="500"/>
      <c r="AL3606" s="500"/>
      <c r="AM3606" s="500"/>
      <c r="AN3606" s="500"/>
      <c r="AO3606" s="500"/>
      <c r="AP3606" s="500"/>
    </row>
    <row r="3607" spans="1:42" ht="16.5" customHeight="1">
      <c r="A3607" s="439"/>
      <c r="B3607" s="439"/>
      <c r="C3607" s="504"/>
      <c r="D3607" s="504"/>
      <c r="E3607" s="504"/>
      <c r="F3607" s="504"/>
      <c r="G3607" s="451" t="s">
        <v>3406</v>
      </c>
      <c r="Z3607" s="500"/>
      <c r="AA3607" s="500"/>
      <c r="AB3607" s="500"/>
      <c r="AC3607" s="500"/>
      <c r="AD3607" s="500"/>
      <c r="AE3607" s="500"/>
      <c r="AF3607" s="500"/>
      <c r="AG3607" s="500"/>
      <c r="AH3607" s="500"/>
      <c r="AI3607" s="500"/>
      <c r="AJ3607" s="500"/>
      <c r="AK3607" s="500"/>
      <c r="AL3607" s="500"/>
      <c r="AM3607" s="500"/>
      <c r="AN3607" s="500"/>
      <c r="AO3607" s="500"/>
      <c r="AP3607" s="500"/>
    </row>
    <row r="3608" spans="1:42" ht="16.5" customHeight="1">
      <c r="A3608" s="434"/>
      <c r="B3608" s="437" t="s">
        <v>3792</v>
      </c>
      <c r="C3608" s="439"/>
      <c r="D3608" s="439"/>
      <c r="E3608" s="439"/>
      <c r="F3608" s="439"/>
      <c r="G3608" s="451" t="s">
        <v>3793</v>
      </c>
      <c r="Z3608" s="500"/>
      <c r="AA3608" s="500"/>
      <c r="AB3608" s="500"/>
      <c r="AC3608" s="500"/>
      <c r="AD3608" s="500"/>
      <c r="AE3608" s="500"/>
      <c r="AF3608" s="500"/>
      <c r="AG3608" s="500"/>
      <c r="AH3608" s="500"/>
      <c r="AI3608" s="500"/>
      <c r="AJ3608" s="500"/>
      <c r="AK3608" s="500"/>
      <c r="AL3608" s="500"/>
      <c r="AM3608" s="500"/>
      <c r="AN3608" s="500"/>
      <c r="AO3608" s="500"/>
      <c r="AP3608" s="500"/>
    </row>
    <row r="3609" spans="1:42" ht="16.5" customHeight="1">
      <c r="A3609" s="439"/>
      <c r="B3609" s="439"/>
      <c r="C3609" s="439"/>
      <c r="D3609" s="439"/>
      <c r="E3609" s="439"/>
      <c r="F3609" s="439"/>
      <c r="G3609" s="451" t="s">
        <v>3406</v>
      </c>
      <c r="Z3609" s="500"/>
      <c r="AA3609" s="500"/>
      <c r="AB3609" s="500"/>
      <c r="AC3609" s="500"/>
      <c r="AD3609" s="500"/>
      <c r="AE3609" s="500"/>
      <c r="AF3609" s="500"/>
      <c r="AG3609" s="500"/>
      <c r="AH3609" s="500"/>
      <c r="AI3609" s="500"/>
      <c r="AJ3609" s="500"/>
      <c r="AK3609" s="500"/>
      <c r="AL3609" s="500"/>
      <c r="AM3609" s="500"/>
      <c r="AN3609" s="500"/>
      <c r="AO3609" s="500"/>
      <c r="AP3609" s="500"/>
    </row>
    <row r="3610" spans="1:42" ht="16.5" customHeight="1">
      <c r="A3610" s="434"/>
      <c r="B3610" s="437" t="s">
        <v>3794</v>
      </c>
      <c r="C3610" s="439"/>
      <c r="D3610" s="439"/>
      <c r="E3610" s="439"/>
      <c r="F3610" s="439"/>
      <c r="G3610" s="451" t="s">
        <v>3795</v>
      </c>
      <c r="Z3610" s="500"/>
      <c r="AA3610" s="500"/>
      <c r="AB3610" s="500"/>
      <c r="AC3610" s="500"/>
      <c r="AD3610" s="500"/>
      <c r="AE3610" s="500"/>
      <c r="AF3610" s="500"/>
      <c r="AG3610" s="500"/>
      <c r="AH3610" s="500"/>
      <c r="AI3610" s="500"/>
      <c r="AJ3610" s="500"/>
      <c r="AK3610" s="500"/>
      <c r="AL3610" s="500"/>
      <c r="AM3610" s="500"/>
      <c r="AN3610" s="500"/>
      <c r="AO3610" s="500"/>
      <c r="AP3610" s="500"/>
    </row>
    <row r="3611" spans="1:42" ht="16.5" customHeight="1">
      <c r="A3611" s="439"/>
      <c r="B3611" s="439"/>
      <c r="C3611" s="439"/>
      <c r="D3611" s="439"/>
      <c r="E3611" s="439"/>
      <c r="F3611" s="439"/>
      <c r="G3611" s="451" t="s">
        <v>3406</v>
      </c>
      <c r="Z3611" s="500"/>
      <c r="AA3611" s="500"/>
      <c r="AB3611" s="500"/>
      <c r="AC3611" s="500"/>
      <c r="AD3611" s="500"/>
      <c r="AE3611" s="500"/>
      <c r="AF3611" s="500"/>
      <c r="AG3611" s="500"/>
      <c r="AH3611" s="500"/>
      <c r="AI3611" s="500"/>
      <c r="AJ3611" s="500"/>
      <c r="AK3611" s="500"/>
      <c r="AL3611" s="500"/>
      <c r="AM3611" s="500"/>
      <c r="AN3611" s="500"/>
      <c r="AO3611" s="500"/>
      <c r="AP3611" s="500"/>
    </row>
    <row r="3612" spans="1:42" ht="16.5" customHeight="1">
      <c r="A3612" s="434"/>
      <c r="B3612" s="437" t="s">
        <v>3796</v>
      </c>
      <c r="C3612" s="439"/>
      <c r="D3612" s="439"/>
      <c r="E3612" s="439"/>
      <c r="F3612" s="439"/>
      <c r="G3612" s="451" t="s">
        <v>3797</v>
      </c>
      <c r="Z3612" s="500"/>
      <c r="AA3612" s="500"/>
      <c r="AB3612" s="500"/>
      <c r="AC3612" s="500"/>
      <c r="AD3612" s="500"/>
      <c r="AE3612" s="500"/>
      <c r="AF3612" s="500"/>
      <c r="AG3612" s="500"/>
      <c r="AH3612" s="500"/>
      <c r="AI3612" s="500"/>
      <c r="AJ3612" s="500"/>
      <c r="AK3612" s="500"/>
      <c r="AL3612" s="500"/>
      <c r="AM3612" s="500"/>
      <c r="AN3612" s="500"/>
      <c r="AO3612" s="500"/>
      <c r="AP3612" s="500"/>
    </row>
    <row r="3613" spans="1:42" ht="16.5" customHeight="1">
      <c r="A3613" s="439"/>
      <c r="B3613" s="439"/>
      <c r="C3613" s="439"/>
      <c r="D3613" s="439"/>
      <c r="E3613" s="439"/>
      <c r="F3613" s="439"/>
      <c r="G3613" s="451" t="s">
        <v>3406</v>
      </c>
      <c r="Z3613" s="500"/>
      <c r="AA3613" s="500"/>
      <c r="AB3613" s="500"/>
      <c r="AC3613" s="500"/>
      <c r="AD3613" s="500"/>
      <c r="AE3613" s="500"/>
      <c r="AF3613" s="500"/>
      <c r="AG3613" s="500"/>
      <c r="AH3613" s="500"/>
      <c r="AI3613" s="500"/>
      <c r="AJ3613" s="500"/>
      <c r="AK3613" s="500"/>
      <c r="AL3613" s="500"/>
      <c r="AM3613" s="500"/>
      <c r="AN3613" s="500"/>
      <c r="AO3613" s="500"/>
      <c r="AP3613" s="500"/>
    </row>
    <row r="3614" spans="1:42" ht="16.5" customHeight="1">
      <c r="A3614" s="434"/>
      <c r="B3614" s="437" t="str">
        <f>"  Q = "&amp;Z3614&amp;"  ㎡ "</f>
        <v xml:space="preserve">  Q = 1060  ㎡ </v>
      </c>
      <c r="C3614" s="439"/>
      <c r="D3614" s="439"/>
      <c r="E3614" s="439"/>
      <c r="F3614" s="439"/>
      <c r="G3614" s="451" t="s">
        <v>3798</v>
      </c>
      <c r="Z3614" s="515">
        <v>1060</v>
      </c>
      <c r="AA3614" s="501" t="s">
        <v>3418</v>
      </c>
      <c r="AB3614" s="512">
        <f>Z3614</f>
        <v>1060</v>
      </c>
      <c r="AC3614" s="500"/>
      <c r="AD3614" s="500"/>
      <c r="AE3614" s="500"/>
      <c r="AF3614" s="500"/>
      <c r="AG3614" s="500"/>
      <c r="AH3614" s="500"/>
      <c r="AI3614" s="500"/>
      <c r="AJ3614" s="500"/>
      <c r="AK3614" s="500"/>
      <c r="AL3614" s="500"/>
      <c r="AM3614" s="500"/>
      <c r="AN3614" s="500"/>
      <c r="AO3614" s="500"/>
      <c r="AP3614" s="500"/>
    </row>
    <row r="3615" spans="1:42" ht="16.5" customHeight="1">
      <c r="A3615" s="439"/>
      <c r="B3615" s="439"/>
      <c r="C3615" s="439"/>
      <c r="D3615" s="439"/>
      <c r="E3615" s="439"/>
      <c r="F3615" s="439"/>
      <c r="G3615" s="451" t="s">
        <v>3406</v>
      </c>
      <c r="Z3615" s="500"/>
      <c r="AA3615" s="500"/>
      <c r="AB3615" s="500"/>
      <c r="AC3615" s="500"/>
      <c r="AD3615" s="500"/>
      <c r="AE3615" s="500"/>
      <c r="AF3615" s="500"/>
      <c r="AG3615" s="500"/>
      <c r="AH3615" s="500"/>
      <c r="AI3615" s="500"/>
      <c r="AJ3615" s="500"/>
      <c r="AK3615" s="500"/>
      <c r="AL3615" s="500"/>
      <c r="AM3615" s="500"/>
      <c r="AN3615" s="500"/>
      <c r="AO3615" s="500"/>
      <c r="AP3615" s="500"/>
    </row>
    <row r="3616" spans="1:42" ht="16.5" customHeight="1">
      <c r="A3616" s="439"/>
      <c r="B3616" s="439"/>
      <c r="C3616" s="439"/>
      <c r="D3616" s="439"/>
      <c r="E3616" s="439"/>
      <c r="F3616" s="439"/>
      <c r="G3616" s="451" t="s">
        <v>3406</v>
      </c>
      <c r="Z3616" s="500"/>
      <c r="AA3616" s="500"/>
      <c r="AB3616" s="500"/>
      <c r="AC3616" s="500"/>
      <c r="AD3616" s="500"/>
      <c r="AE3616" s="500"/>
      <c r="AF3616" s="500"/>
      <c r="AG3616" s="500"/>
      <c r="AH3616" s="500"/>
      <c r="AI3616" s="500"/>
      <c r="AJ3616" s="500"/>
      <c r="AK3616" s="500"/>
      <c r="AL3616" s="500"/>
      <c r="AM3616" s="500"/>
      <c r="AN3616" s="500"/>
      <c r="AO3616" s="500"/>
      <c r="AP3616" s="500"/>
    </row>
    <row r="3617" spans="1:42" ht="16.5" customHeight="1">
      <c r="A3617" s="434"/>
      <c r="B3617" s="437" t="s">
        <v>3799</v>
      </c>
      <c r="C3617" s="439"/>
      <c r="D3617" s="439"/>
      <c r="E3617" s="439"/>
      <c r="F3617" s="439"/>
      <c r="G3617" s="451" t="s">
        <v>3800</v>
      </c>
      <c r="Z3617" s="500"/>
      <c r="AA3617" s="500"/>
      <c r="AB3617" s="500"/>
      <c r="AC3617" s="500"/>
      <c r="AD3617" s="500"/>
      <c r="AE3617" s="500"/>
      <c r="AF3617" s="500"/>
      <c r="AG3617" s="500"/>
      <c r="AH3617" s="500"/>
      <c r="AI3617" s="500"/>
      <c r="AJ3617" s="500"/>
      <c r="AK3617" s="500"/>
      <c r="AL3617" s="500"/>
      <c r="AM3617" s="500"/>
      <c r="AN3617" s="500"/>
      <c r="AO3617" s="500"/>
      <c r="AP3617" s="500"/>
    </row>
    <row r="3618" spans="1:42" ht="16.5" customHeight="1">
      <c r="A3618" s="439"/>
      <c r="B3618" s="439"/>
      <c r="C3618" s="439"/>
      <c r="D3618" s="439"/>
      <c r="E3618" s="439"/>
      <c r="F3618" s="439"/>
      <c r="G3618" s="451" t="s">
        <v>3406</v>
      </c>
      <c r="Z3618" s="500"/>
      <c r="AA3618" s="500"/>
      <c r="AB3618" s="500"/>
      <c r="AC3618" s="500"/>
      <c r="AD3618" s="500"/>
      <c r="AE3618" s="500"/>
      <c r="AF3618" s="500"/>
      <c r="AG3618" s="500"/>
      <c r="AH3618" s="500"/>
      <c r="AI3618" s="500"/>
      <c r="AJ3618" s="500"/>
      <c r="AK3618" s="500"/>
      <c r="AL3618" s="500"/>
      <c r="AM3618" s="500"/>
      <c r="AN3618" s="500"/>
      <c r="AO3618" s="500"/>
      <c r="AP3618" s="500"/>
    </row>
    <row r="3619" spans="1:42" ht="16.5" customHeight="1">
      <c r="A3619" s="434" t="s">
        <v>3801</v>
      </c>
      <c r="B3619" s="505" t="str">
        <f>"   노 무 비 :  "&amp;TEXT(I3619,"#,##0"&amp;IF(I3619&lt;&gt;INT(I3619),".###",""))&amp;" / Q * "&amp;AC3619&amp;" = "&amp;TEXT(C3619,"#,##0.0")&amp;""</f>
        <v xml:space="preserve">   노 무 비 :  59,020 / Q * 8 = 445.4</v>
      </c>
      <c r="C3619" s="506">
        <f>E3619+D3619+F3619</f>
        <v>445.4</v>
      </c>
      <c r="D3619" s="506">
        <f>IF(H3619=0,0,ROUNDDOWN(J3619*H3619,1))</f>
        <v>445.4</v>
      </c>
      <c r="E3619" s="506">
        <f>IF(H3619=0,0,ROUNDDOWN(K3619*H3619,1))</f>
        <v>0</v>
      </c>
      <c r="F3619" s="506">
        <f>IF(H3619=0,0,ROUNDDOWN(L3619*H3619,1))</f>
        <v>0</v>
      </c>
      <c r="G3619" s="451" t="s">
        <v>3802</v>
      </c>
      <c r="H3619" s="507">
        <f>ROUNDUP(AE3619,14-LEN(ABS(INT(AE3619))))</f>
        <v>7.5471698113999995E-3</v>
      </c>
      <c r="I3619" s="508">
        <f>K3619+J3619+L3619</f>
        <v>59020</v>
      </c>
      <c r="J3619" s="509">
        <f>중기목록표!F12</f>
        <v>59020</v>
      </c>
      <c r="M3619" s="501" t="s">
        <v>3803</v>
      </c>
      <c r="N3619" s="501" t="s">
        <v>3421</v>
      </c>
      <c r="X3619" s="510" t="str">
        <f>중기목록표!B12&amp;" / "&amp;중기목록표!C12</f>
        <v>굴착기(무한궤도) / 1.0㎥</v>
      </c>
      <c r="Y3619" s="433" t="str">
        <f ca="1">HYPERLINK("#"&amp;중기목록표!J2&amp;"!A"&amp;ROW(중기목록표!A12),"X00280 →")</f>
        <v>X00280 →</v>
      </c>
      <c r="Z3619" s="501" t="s">
        <v>3434</v>
      </c>
      <c r="AA3619" s="512">
        <f>AB3614</f>
        <v>1060</v>
      </c>
      <c r="AB3619" s="501" t="s">
        <v>3368</v>
      </c>
      <c r="AC3619" s="515">
        <v>8</v>
      </c>
      <c r="AD3619" s="501" t="s">
        <v>3418</v>
      </c>
      <c r="AE3619" s="512">
        <f>1/AB3614*AC3619</f>
        <v>7.5471698113207548E-3</v>
      </c>
      <c r="AF3619" s="500"/>
      <c r="AG3619" s="500"/>
      <c r="AH3619" s="500"/>
      <c r="AI3619" s="500"/>
      <c r="AJ3619" s="500"/>
      <c r="AK3619" s="500"/>
      <c r="AL3619" s="500"/>
      <c r="AM3619" s="500"/>
      <c r="AN3619" s="500"/>
      <c r="AO3619" s="500"/>
      <c r="AP3619" s="500"/>
    </row>
    <row r="3620" spans="1:42" ht="16.5" customHeight="1">
      <c r="A3620" s="439"/>
      <c r="B3620" s="439"/>
      <c r="C3620" s="439"/>
      <c r="D3620" s="439"/>
      <c r="E3620" s="439"/>
      <c r="F3620" s="439"/>
      <c r="G3620" s="451" t="s">
        <v>3406</v>
      </c>
      <c r="Z3620" s="500"/>
      <c r="AA3620" s="500"/>
      <c r="AB3620" s="500"/>
      <c r="AC3620" s="500"/>
      <c r="AD3620" s="500"/>
      <c r="AE3620" s="500"/>
      <c r="AF3620" s="500"/>
      <c r="AG3620" s="500"/>
      <c r="AH3620" s="500"/>
      <c r="AI3620" s="500"/>
      <c r="AJ3620" s="500"/>
      <c r="AK3620" s="500"/>
      <c r="AL3620" s="500"/>
      <c r="AM3620" s="500"/>
      <c r="AN3620" s="500"/>
      <c r="AO3620" s="500"/>
      <c r="AP3620" s="500"/>
    </row>
    <row r="3621" spans="1:42" ht="16.5" customHeight="1">
      <c r="A3621" s="434" t="s">
        <v>3804</v>
      </c>
      <c r="B3621" s="505" t="str">
        <f>"   재 료 비 :  "&amp;TEXT(I3621,"#,##0"&amp;IF(I3621&lt;&gt;INT(I3621),".###",""))&amp;" / Q * "&amp;AC3621&amp;"  = "&amp;TEXT(C3621,"#,##0.0")&amp;""</f>
        <v xml:space="preserve">   재 료 비 :  32,806 / Q * 8  = 247.5</v>
      </c>
      <c r="C3621" s="506">
        <f>E3621+D3621+F3621</f>
        <v>247.5</v>
      </c>
      <c r="D3621" s="506">
        <f>IF(H3621=0,0,ROUNDDOWN(J3621*H3621,1))</f>
        <v>0</v>
      </c>
      <c r="E3621" s="506">
        <f>IF(H3621=0,0,ROUNDDOWN(K3621*H3621,1))</f>
        <v>247.5</v>
      </c>
      <c r="F3621" s="506">
        <f>IF(H3621=0,0,ROUNDDOWN(L3621*H3621,1))</f>
        <v>0</v>
      </c>
      <c r="G3621" s="451" t="s">
        <v>3805</v>
      </c>
      <c r="H3621" s="507">
        <f>ROUNDUP(AE3621,14-LEN(ABS(INT(AE3621))))</f>
        <v>7.5471698113999995E-3</v>
      </c>
      <c r="I3621" s="508">
        <f>K3621+J3621+L3621</f>
        <v>32806</v>
      </c>
      <c r="K3621" s="509">
        <f>중기목록표!G12</f>
        <v>32806</v>
      </c>
      <c r="M3621" s="501" t="s">
        <v>3803</v>
      </c>
      <c r="N3621" s="501" t="s">
        <v>3421</v>
      </c>
      <c r="X3621" s="510" t="str">
        <f>중기목록표!B12&amp;" / "&amp;중기목록표!C12</f>
        <v>굴착기(무한궤도) / 1.0㎥</v>
      </c>
      <c r="Y3621" s="433" t="str">
        <f ca="1">HYPERLINK("#"&amp;중기목록표!J2&amp;"!A"&amp;ROW(중기목록표!A12),"X00280 →")</f>
        <v>X00280 →</v>
      </c>
      <c r="Z3621" s="501" t="s">
        <v>3434</v>
      </c>
      <c r="AA3621" s="512">
        <f>AB3614</f>
        <v>1060</v>
      </c>
      <c r="AB3621" s="501" t="s">
        <v>3368</v>
      </c>
      <c r="AC3621" s="515">
        <v>8</v>
      </c>
      <c r="AD3621" s="501" t="s">
        <v>3418</v>
      </c>
      <c r="AE3621" s="512">
        <f>1/AB3614*AC3621</f>
        <v>7.5471698113207548E-3</v>
      </c>
      <c r="AF3621" s="500"/>
      <c r="AG3621" s="500"/>
      <c r="AH3621" s="500"/>
      <c r="AI3621" s="500"/>
      <c r="AJ3621" s="500"/>
      <c r="AK3621" s="500"/>
      <c r="AL3621" s="500"/>
      <c r="AM3621" s="500"/>
      <c r="AN3621" s="500"/>
      <c r="AO3621" s="500"/>
      <c r="AP3621" s="500"/>
    </row>
    <row r="3622" spans="1:42" ht="16.5" customHeight="1">
      <c r="A3622" s="439"/>
      <c r="B3622" s="439"/>
      <c r="C3622" s="439"/>
      <c r="D3622" s="439"/>
      <c r="E3622" s="439"/>
      <c r="F3622" s="439"/>
      <c r="G3622" s="451" t="s">
        <v>3406</v>
      </c>
      <c r="Z3622" s="500"/>
      <c r="AA3622" s="500"/>
      <c r="AB3622" s="500"/>
      <c r="AC3622" s="500"/>
      <c r="AD3622" s="500"/>
      <c r="AE3622" s="500"/>
      <c r="AF3622" s="500"/>
      <c r="AG3622" s="500"/>
      <c r="AH3622" s="500"/>
      <c r="AI3622" s="500"/>
      <c r="AJ3622" s="500"/>
      <c r="AK3622" s="500"/>
      <c r="AL3622" s="500"/>
      <c r="AM3622" s="500"/>
      <c r="AN3622" s="500"/>
      <c r="AO3622" s="500"/>
      <c r="AP3622" s="500"/>
    </row>
    <row r="3623" spans="1:42" ht="16.5" customHeight="1">
      <c r="A3623" s="434" t="s">
        <v>3806</v>
      </c>
      <c r="B3623" s="505" t="str">
        <f>"   경    비 :  "&amp;TEXT(I3623,"#,##0"&amp;IF(I3623&lt;&gt;INT(I3623),".###",""))&amp;" / Q * "&amp;AC3623&amp;"  = "&amp;TEXT(C3623,"#,##0.0")&amp;""</f>
        <v xml:space="preserve">   경    비 :  29,621 / Q * 8  = 223.5</v>
      </c>
      <c r="C3623" s="506">
        <f>E3623+D3623+F3623</f>
        <v>223.5</v>
      </c>
      <c r="D3623" s="506">
        <f>IF(H3623=0,0,ROUNDDOWN(J3623*H3623,1))</f>
        <v>0</v>
      </c>
      <c r="E3623" s="506">
        <f>IF(H3623=0,0,ROUNDDOWN(K3623*H3623,1))</f>
        <v>0</v>
      </c>
      <c r="F3623" s="506">
        <f>IF(H3623=0,0,ROUNDDOWN(L3623*H3623,1))</f>
        <v>223.5</v>
      </c>
      <c r="G3623" s="451" t="s">
        <v>3807</v>
      </c>
      <c r="H3623" s="507">
        <f>ROUNDUP(AE3623,14-LEN(ABS(INT(AE3623))))</f>
        <v>7.5471698113999995E-3</v>
      </c>
      <c r="I3623" s="508">
        <f>K3623+J3623+L3623</f>
        <v>29621</v>
      </c>
      <c r="L3623" s="509">
        <f>중기목록표!H12</f>
        <v>29621</v>
      </c>
      <c r="M3623" s="501" t="s">
        <v>3803</v>
      </c>
      <c r="N3623" s="501" t="s">
        <v>3421</v>
      </c>
      <c r="X3623" s="510" t="str">
        <f>중기목록표!B12&amp;" / "&amp;중기목록표!C12</f>
        <v>굴착기(무한궤도) / 1.0㎥</v>
      </c>
      <c r="Y3623" s="433" t="str">
        <f ca="1">HYPERLINK("#"&amp;중기목록표!J2&amp;"!A"&amp;ROW(중기목록표!A12),"X00280 →")</f>
        <v>X00280 →</v>
      </c>
      <c r="Z3623" s="501" t="s">
        <v>3434</v>
      </c>
      <c r="AA3623" s="512">
        <f>AB3614</f>
        <v>1060</v>
      </c>
      <c r="AB3623" s="501" t="s">
        <v>3368</v>
      </c>
      <c r="AC3623" s="515">
        <v>8</v>
      </c>
      <c r="AD3623" s="501" t="s">
        <v>3418</v>
      </c>
      <c r="AE3623" s="512">
        <f>1/AB3614*AC3623</f>
        <v>7.5471698113207548E-3</v>
      </c>
      <c r="AF3623" s="500"/>
      <c r="AG3623" s="500"/>
      <c r="AH3623" s="500"/>
      <c r="AI3623" s="500"/>
      <c r="AJ3623" s="500"/>
      <c r="AK3623" s="500"/>
      <c r="AL3623" s="500"/>
      <c r="AM3623" s="500"/>
      <c r="AN3623" s="500"/>
      <c r="AO3623" s="500"/>
      <c r="AP3623" s="500"/>
    </row>
    <row r="3624" spans="1:42" ht="16.5" customHeight="1">
      <c r="A3624" s="439"/>
      <c r="B3624" s="439"/>
      <c r="C3624" s="439"/>
      <c r="D3624" s="439"/>
      <c r="E3624" s="439"/>
      <c r="F3624" s="439"/>
      <c r="G3624" s="451" t="s">
        <v>3406</v>
      </c>
      <c r="Z3624" s="500"/>
      <c r="AA3624" s="500"/>
      <c r="AB3624" s="500"/>
      <c r="AC3624" s="500"/>
      <c r="AD3624" s="500"/>
      <c r="AE3624" s="500"/>
      <c r="AF3624" s="500"/>
      <c r="AG3624" s="500"/>
      <c r="AH3624" s="500"/>
      <c r="AI3624" s="500"/>
      <c r="AJ3624" s="500"/>
      <c r="AK3624" s="500"/>
      <c r="AL3624" s="500"/>
      <c r="AM3624" s="500"/>
      <c r="AN3624" s="500"/>
      <c r="AO3624" s="500"/>
      <c r="AP3624" s="500"/>
    </row>
    <row r="3625" spans="1:42" ht="16.5" customHeight="1">
      <c r="A3625" s="439"/>
      <c r="B3625" s="439"/>
      <c r="C3625" s="439"/>
      <c r="D3625" s="439"/>
      <c r="E3625" s="439"/>
      <c r="F3625" s="439"/>
      <c r="G3625" s="451" t="s">
        <v>3406</v>
      </c>
      <c r="Z3625" s="500"/>
      <c r="AA3625" s="500"/>
      <c r="AB3625" s="500"/>
      <c r="AC3625" s="500"/>
      <c r="AD3625" s="500"/>
      <c r="AE3625" s="500"/>
      <c r="AF3625" s="500"/>
      <c r="AG3625" s="500"/>
      <c r="AH3625" s="500"/>
      <c r="AI3625" s="500"/>
      <c r="AJ3625" s="500"/>
      <c r="AK3625" s="500"/>
      <c r="AL3625" s="500"/>
      <c r="AM3625" s="500"/>
      <c r="AN3625" s="500"/>
      <c r="AO3625" s="500"/>
      <c r="AP3625" s="500"/>
    </row>
    <row r="3626" spans="1:42" ht="16.5" customHeight="1">
      <c r="A3626" s="439"/>
      <c r="B3626" s="439"/>
      <c r="C3626" s="439"/>
      <c r="D3626" s="439"/>
      <c r="E3626" s="439"/>
      <c r="F3626" s="439"/>
      <c r="G3626" s="451" t="s">
        <v>3406</v>
      </c>
      <c r="Z3626" s="500"/>
      <c r="AA3626" s="500"/>
      <c r="AB3626" s="500"/>
      <c r="AC3626" s="500"/>
      <c r="AD3626" s="500"/>
      <c r="AE3626" s="500"/>
      <c r="AF3626" s="500"/>
      <c r="AG3626" s="500"/>
      <c r="AH3626" s="500"/>
      <c r="AI3626" s="500"/>
      <c r="AJ3626" s="500"/>
      <c r="AK3626" s="500"/>
      <c r="AL3626" s="500"/>
      <c r="AM3626" s="500"/>
      <c r="AN3626" s="500"/>
      <c r="AO3626" s="500"/>
      <c r="AP3626" s="500"/>
    </row>
    <row r="3627" spans="1:42" ht="16.5" customHeight="1">
      <c r="A3627" s="439"/>
      <c r="B3627" s="439"/>
      <c r="C3627" s="439"/>
      <c r="D3627" s="439"/>
      <c r="E3627" s="439"/>
      <c r="F3627" s="439"/>
      <c r="G3627" s="451" t="s">
        <v>3406</v>
      </c>
      <c r="Z3627" s="500"/>
      <c r="AA3627" s="500"/>
      <c r="AB3627" s="500"/>
      <c r="AC3627" s="500"/>
      <c r="AD3627" s="500"/>
      <c r="AE3627" s="500"/>
      <c r="AF3627" s="500"/>
      <c r="AG3627" s="500"/>
      <c r="AH3627" s="500"/>
      <c r="AI3627" s="500"/>
      <c r="AJ3627" s="500"/>
      <c r="AK3627" s="500"/>
      <c r="AL3627" s="500"/>
      <c r="AM3627" s="500"/>
      <c r="AN3627" s="500"/>
      <c r="AO3627" s="500"/>
      <c r="AP3627" s="500"/>
    </row>
    <row r="3628" spans="1:42" ht="16.5" customHeight="1">
      <c r="A3628" s="439"/>
      <c r="B3628" s="439"/>
      <c r="C3628" s="439"/>
      <c r="D3628" s="439"/>
      <c r="E3628" s="439"/>
      <c r="F3628" s="439"/>
      <c r="G3628" s="451" t="s">
        <v>3406</v>
      </c>
      <c r="Z3628" s="500"/>
      <c r="AA3628" s="500"/>
      <c r="AB3628" s="500"/>
      <c r="AC3628" s="500"/>
      <c r="AD3628" s="500"/>
      <c r="AE3628" s="500"/>
      <c r="AF3628" s="500"/>
      <c r="AG3628" s="500"/>
      <c r="AH3628" s="500"/>
      <c r="AI3628" s="500"/>
      <c r="AJ3628" s="500"/>
      <c r="AK3628" s="500"/>
      <c r="AL3628" s="500"/>
      <c r="AM3628" s="500"/>
      <c r="AN3628" s="500"/>
      <c r="AO3628" s="500"/>
      <c r="AP3628" s="500"/>
    </row>
    <row r="3629" spans="1:42" ht="16.5" customHeight="1">
      <c r="A3629" s="434"/>
      <c r="B3629" s="437" t="s">
        <v>3440</v>
      </c>
      <c r="C3629" s="513">
        <f>E3629+D3629+F3629</f>
        <v>916.4</v>
      </c>
      <c r="D3629" s="513">
        <f>SUMIF(N3607:N3628,M3629,D3607:D3628)</f>
        <v>445.4</v>
      </c>
      <c r="E3629" s="513">
        <f>SUMIF(N3607:N3628,M3629,E3607:E3628)</f>
        <v>247.5</v>
      </c>
      <c r="F3629" s="513">
        <f>SUMIF(N3607:N3628,M3629,F3607:F3628)</f>
        <v>223.5</v>
      </c>
      <c r="G3629" s="451" t="s">
        <v>3484</v>
      </c>
      <c r="M3629" s="501" t="s">
        <v>3421</v>
      </c>
      <c r="N3629" s="501" t="s">
        <v>2354</v>
      </c>
      <c r="Z3629" s="500"/>
      <c r="AA3629" s="500"/>
      <c r="AB3629" s="500"/>
      <c r="AC3629" s="500"/>
      <c r="AD3629" s="500"/>
      <c r="AE3629" s="500"/>
      <c r="AF3629" s="500"/>
      <c r="AG3629" s="500"/>
      <c r="AH3629" s="500"/>
      <c r="AI3629" s="500"/>
      <c r="AJ3629" s="500"/>
      <c r="AK3629" s="500"/>
      <c r="AL3629" s="500"/>
      <c r="AM3629" s="500"/>
      <c r="AN3629" s="500"/>
      <c r="AO3629" s="500"/>
      <c r="AP3629" s="500"/>
    </row>
    <row r="3630" spans="1:42" ht="16.5" customHeight="1">
      <c r="A3630" s="439"/>
      <c r="B3630" s="439"/>
      <c r="C3630" s="504"/>
      <c r="D3630" s="504"/>
      <c r="E3630" s="504"/>
      <c r="F3630" s="504"/>
      <c r="Z3630" s="500"/>
      <c r="AA3630" s="500"/>
      <c r="AB3630" s="500"/>
      <c r="AC3630" s="500"/>
      <c r="AD3630" s="500"/>
      <c r="AE3630" s="500"/>
      <c r="AF3630" s="500"/>
      <c r="AG3630" s="500"/>
      <c r="AH3630" s="500"/>
      <c r="AI3630" s="500"/>
      <c r="AJ3630" s="500"/>
      <c r="AK3630" s="500"/>
      <c r="AL3630" s="500"/>
      <c r="AM3630" s="500"/>
      <c r="AN3630" s="500"/>
      <c r="AO3630" s="500"/>
      <c r="AP3630" s="500"/>
    </row>
    <row r="3631" spans="1:42" ht="16.5" customHeight="1">
      <c r="A3631" s="439"/>
      <c r="B3631" s="439"/>
      <c r="C3631" s="439"/>
      <c r="D3631" s="439"/>
      <c r="E3631" s="439"/>
      <c r="F3631" s="439"/>
      <c r="Z3631" s="500"/>
      <c r="AA3631" s="500"/>
      <c r="AB3631" s="500"/>
      <c r="AC3631" s="500"/>
      <c r="AD3631" s="500"/>
      <c r="AE3631" s="500"/>
      <c r="AF3631" s="500"/>
      <c r="AG3631" s="500"/>
      <c r="AH3631" s="500"/>
      <c r="AI3631" s="500"/>
      <c r="AJ3631" s="500"/>
      <c r="AK3631" s="500"/>
      <c r="AL3631" s="500"/>
      <c r="AM3631" s="500"/>
      <c r="AN3631" s="500"/>
      <c r="AO3631" s="500"/>
      <c r="AP3631" s="500"/>
    </row>
    <row r="3632" spans="1:42" ht="16.5" customHeight="1">
      <c r="A3632" s="439"/>
      <c r="B3632" s="439"/>
      <c r="C3632" s="439"/>
      <c r="D3632" s="439"/>
      <c r="E3632" s="439"/>
      <c r="F3632" s="439"/>
      <c r="Z3632" s="500"/>
      <c r="AA3632" s="500"/>
      <c r="AB3632" s="500"/>
      <c r="AC3632" s="500"/>
      <c r="AD3632" s="500"/>
      <c r="AE3632" s="500"/>
      <c r="AF3632" s="500"/>
      <c r="AG3632" s="500"/>
      <c r="AH3632" s="500"/>
      <c r="AI3632" s="500"/>
      <c r="AJ3632" s="500"/>
      <c r="AK3632" s="500"/>
      <c r="AL3632" s="500"/>
      <c r="AM3632" s="500"/>
      <c r="AN3632" s="500"/>
      <c r="AO3632" s="500"/>
      <c r="AP3632" s="500"/>
    </row>
    <row r="3633" spans="1:42" ht="16.5" customHeight="1">
      <c r="A3633" s="439"/>
      <c r="B3633" s="439"/>
      <c r="C3633" s="439"/>
      <c r="D3633" s="439"/>
      <c r="E3633" s="439"/>
      <c r="F3633" s="439"/>
      <c r="Z3633" s="500"/>
      <c r="AA3633" s="500"/>
      <c r="AB3633" s="500"/>
      <c r="AC3633" s="500"/>
      <c r="AD3633" s="500"/>
      <c r="AE3633" s="500"/>
      <c r="AF3633" s="500"/>
      <c r="AG3633" s="500"/>
      <c r="AH3633" s="500"/>
      <c r="AI3633" s="500"/>
      <c r="AJ3633" s="500"/>
      <c r="AK3633" s="500"/>
      <c r="AL3633" s="500"/>
      <c r="AM3633" s="500"/>
      <c r="AN3633" s="500"/>
      <c r="AO3633" s="500"/>
      <c r="AP3633" s="500"/>
    </row>
    <row r="3634" spans="1:42" ht="16.5" customHeight="1">
      <c r="A3634" s="439"/>
      <c r="B3634" s="439"/>
      <c r="C3634" s="439"/>
      <c r="D3634" s="439"/>
      <c r="E3634" s="439"/>
      <c r="F3634" s="439"/>
      <c r="Z3634" s="500"/>
      <c r="AA3634" s="500"/>
      <c r="AB3634" s="500"/>
      <c r="AC3634" s="500"/>
      <c r="AD3634" s="500"/>
      <c r="AE3634" s="500"/>
      <c r="AF3634" s="500"/>
      <c r="AG3634" s="500"/>
      <c r="AH3634" s="500"/>
      <c r="AI3634" s="500"/>
      <c r="AJ3634" s="500"/>
      <c r="AK3634" s="500"/>
      <c r="AL3634" s="500"/>
      <c r="AM3634" s="500"/>
      <c r="AN3634" s="500"/>
      <c r="AO3634" s="500"/>
      <c r="AP3634" s="500"/>
    </row>
    <row r="3635" spans="1:42" ht="16.5" customHeight="1">
      <c r="A3635" s="439"/>
      <c r="B3635" s="439"/>
      <c r="C3635" s="439"/>
      <c r="D3635" s="439"/>
      <c r="E3635" s="439"/>
      <c r="F3635" s="439"/>
      <c r="Z3635" s="500"/>
      <c r="AA3635" s="500"/>
      <c r="AB3635" s="500"/>
      <c r="AC3635" s="500"/>
      <c r="AD3635" s="500"/>
      <c r="AE3635" s="500"/>
      <c r="AF3635" s="500"/>
      <c r="AG3635" s="500"/>
      <c r="AH3635" s="500"/>
      <c r="AI3635" s="500"/>
      <c r="AJ3635" s="500"/>
      <c r="AK3635" s="500"/>
      <c r="AL3635" s="500"/>
      <c r="AM3635" s="500"/>
      <c r="AN3635" s="500"/>
      <c r="AO3635" s="500"/>
      <c r="AP3635" s="500"/>
    </row>
    <row r="3636" spans="1:42" ht="16.5" customHeight="1">
      <c r="A3636" s="439"/>
      <c r="B3636" s="439"/>
      <c r="C3636" s="439"/>
      <c r="D3636" s="439"/>
      <c r="E3636" s="439"/>
      <c r="F3636" s="439"/>
      <c r="Z3636" s="500"/>
      <c r="AA3636" s="500"/>
      <c r="AB3636" s="500"/>
      <c r="AC3636" s="500"/>
      <c r="AD3636" s="500"/>
      <c r="AE3636" s="500"/>
      <c r="AF3636" s="500"/>
      <c r="AG3636" s="500"/>
      <c r="AH3636" s="500"/>
      <c r="AI3636" s="500"/>
      <c r="AJ3636" s="500"/>
      <c r="AK3636" s="500"/>
      <c r="AL3636" s="500"/>
      <c r="AM3636" s="500"/>
      <c r="AN3636" s="500"/>
      <c r="AO3636" s="500"/>
      <c r="AP3636" s="500"/>
    </row>
    <row r="3637" spans="1:42" ht="16.5" customHeight="1">
      <c r="A3637" s="439"/>
      <c r="B3637" s="439"/>
      <c r="C3637" s="439"/>
      <c r="D3637" s="439"/>
      <c r="E3637" s="439"/>
      <c r="F3637" s="439"/>
      <c r="Z3637" s="500"/>
      <c r="AA3637" s="500"/>
      <c r="AB3637" s="500"/>
      <c r="AC3637" s="500"/>
      <c r="AD3637" s="500"/>
      <c r="AE3637" s="500"/>
      <c r="AF3637" s="500"/>
      <c r="AG3637" s="500"/>
      <c r="AH3637" s="500"/>
      <c r="AI3637" s="500"/>
      <c r="AJ3637" s="500"/>
      <c r="AK3637" s="500"/>
      <c r="AL3637" s="500"/>
      <c r="AM3637" s="500"/>
      <c r="AN3637" s="500"/>
      <c r="AO3637" s="500"/>
      <c r="AP3637" s="500"/>
    </row>
    <row r="3638" spans="1:42" ht="16.5" customHeight="1">
      <c r="A3638" s="439"/>
      <c r="B3638" s="439"/>
      <c r="C3638" s="439"/>
      <c r="D3638" s="439"/>
      <c r="E3638" s="439"/>
      <c r="F3638" s="439"/>
      <c r="Z3638" s="500"/>
      <c r="AA3638" s="500"/>
      <c r="AB3638" s="500"/>
      <c r="AC3638" s="500"/>
      <c r="AD3638" s="500"/>
      <c r="AE3638" s="500"/>
      <c r="AF3638" s="500"/>
      <c r="AG3638" s="500"/>
      <c r="AH3638" s="500"/>
      <c r="AI3638" s="500"/>
      <c r="AJ3638" s="500"/>
      <c r="AK3638" s="500"/>
      <c r="AL3638" s="500"/>
      <c r="AM3638" s="500"/>
      <c r="AN3638" s="500"/>
      <c r="AO3638" s="500"/>
      <c r="AP3638" s="500"/>
    </row>
    <row r="3639" spans="1:42" ht="16.5" customHeight="1">
      <c r="A3639" s="439"/>
      <c r="B3639" s="439"/>
      <c r="C3639" s="439"/>
      <c r="D3639" s="439"/>
      <c r="E3639" s="439"/>
      <c r="F3639" s="439"/>
      <c r="Z3639" s="500"/>
      <c r="AA3639" s="500"/>
      <c r="AB3639" s="500"/>
      <c r="AC3639" s="500"/>
      <c r="AD3639" s="500"/>
      <c r="AE3639" s="500"/>
      <c r="AF3639" s="500"/>
      <c r="AG3639" s="500"/>
      <c r="AH3639" s="500"/>
      <c r="AI3639" s="500"/>
      <c r="AJ3639" s="500"/>
      <c r="AK3639" s="500"/>
      <c r="AL3639" s="500"/>
      <c r="AM3639" s="500"/>
      <c r="AN3639" s="500"/>
      <c r="AO3639" s="500"/>
      <c r="AP3639" s="500"/>
    </row>
    <row r="3640" spans="1:42" ht="16.5" customHeight="1">
      <c r="A3640" s="439"/>
      <c r="B3640" s="439"/>
      <c r="C3640" s="439"/>
      <c r="D3640" s="439"/>
      <c r="E3640" s="439"/>
      <c r="F3640" s="439"/>
      <c r="Z3640" s="500"/>
      <c r="AA3640" s="500"/>
      <c r="AB3640" s="500"/>
      <c r="AC3640" s="500"/>
      <c r="AD3640" s="500"/>
      <c r="AE3640" s="500"/>
      <c r="AF3640" s="500"/>
      <c r="AG3640" s="500"/>
      <c r="AH3640" s="500"/>
      <c r="AI3640" s="500"/>
      <c r="AJ3640" s="500"/>
      <c r="AK3640" s="500"/>
      <c r="AL3640" s="500"/>
      <c r="AM3640" s="500"/>
      <c r="AN3640" s="500"/>
      <c r="AO3640" s="500"/>
      <c r="AP3640" s="500"/>
    </row>
    <row r="3641" spans="1:42" ht="16.5" customHeight="1">
      <c r="A3641" s="439"/>
      <c r="B3641" s="439"/>
      <c r="C3641" s="439"/>
      <c r="D3641" s="439"/>
      <c r="E3641" s="439"/>
      <c r="F3641" s="439"/>
      <c r="Z3641" s="500"/>
      <c r="AA3641" s="500"/>
      <c r="AB3641" s="500"/>
      <c r="AC3641" s="500"/>
      <c r="AD3641" s="500"/>
      <c r="AE3641" s="500"/>
      <c r="AF3641" s="500"/>
      <c r="AG3641" s="500"/>
      <c r="AH3641" s="500"/>
      <c r="AI3641" s="500"/>
      <c r="AJ3641" s="500"/>
      <c r="AK3641" s="500"/>
      <c r="AL3641" s="500"/>
      <c r="AM3641" s="500"/>
      <c r="AN3641" s="500"/>
      <c r="AO3641" s="500"/>
      <c r="AP3641" s="500"/>
    </row>
    <row r="3642" spans="1:42" ht="16.5" customHeight="1">
      <c r="A3642" s="439"/>
      <c r="B3642" s="439"/>
      <c r="C3642" s="439"/>
      <c r="D3642" s="439"/>
      <c r="E3642" s="439"/>
      <c r="F3642" s="439"/>
      <c r="Z3642" s="500"/>
      <c r="AA3642" s="500"/>
      <c r="AB3642" s="500"/>
      <c r="AC3642" s="500"/>
      <c r="AD3642" s="500"/>
      <c r="AE3642" s="500"/>
      <c r="AF3642" s="500"/>
      <c r="AG3642" s="500"/>
      <c r="AH3642" s="500"/>
      <c r="AI3642" s="500"/>
      <c r="AJ3642" s="500"/>
      <c r="AK3642" s="500"/>
      <c r="AL3642" s="500"/>
      <c r="AM3642" s="500"/>
      <c r="AN3642" s="500"/>
      <c r="AO3642" s="500"/>
      <c r="AP3642" s="500"/>
    </row>
    <row r="3643" spans="1:42" ht="16.5" customHeight="1">
      <c r="A3643" s="439"/>
      <c r="B3643" s="439"/>
      <c r="C3643" s="439"/>
      <c r="D3643" s="439"/>
      <c r="E3643" s="439"/>
      <c r="F3643" s="439"/>
      <c r="Z3643" s="500"/>
      <c r="AA3643" s="500"/>
      <c r="AB3643" s="500"/>
      <c r="AC3643" s="500"/>
      <c r="AD3643" s="500"/>
      <c r="AE3643" s="500"/>
      <c r="AF3643" s="500"/>
      <c r="AG3643" s="500"/>
      <c r="AH3643" s="500"/>
      <c r="AI3643" s="500"/>
      <c r="AJ3643" s="500"/>
      <c r="AK3643" s="500"/>
      <c r="AL3643" s="500"/>
      <c r="AM3643" s="500"/>
      <c r="AN3643" s="500"/>
      <c r="AO3643" s="500"/>
      <c r="AP3643" s="500"/>
    </row>
    <row r="3644" spans="1:42" ht="16.5" customHeight="1">
      <c r="A3644" s="439"/>
      <c r="B3644" s="439"/>
      <c r="C3644" s="439"/>
      <c r="D3644" s="439"/>
      <c r="E3644" s="439"/>
      <c r="F3644" s="439"/>
      <c r="Z3644" s="500"/>
      <c r="AA3644" s="500"/>
      <c r="AB3644" s="500"/>
      <c r="AC3644" s="500"/>
      <c r="AD3644" s="500"/>
      <c r="AE3644" s="500"/>
      <c r="AF3644" s="500"/>
      <c r="AG3644" s="500"/>
      <c r="AH3644" s="500"/>
      <c r="AI3644" s="500"/>
      <c r="AJ3644" s="500"/>
      <c r="AK3644" s="500"/>
      <c r="AL3644" s="500"/>
      <c r="AM3644" s="500"/>
      <c r="AN3644" s="500"/>
      <c r="AO3644" s="500"/>
      <c r="AP3644" s="500"/>
    </row>
    <row r="3645" spans="1:42" ht="16.5" customHeight="1">
      <c r="A3645" s="439"/>
      <c r="B3645" s="439"/>
      <c r="C3645" s="439"/>
      <c r="D3645" s="439"/>
      <c r="E3645" s="439"/>
      <c r="F3645" s="439"/>
      <c r="Z3645" s="500"/>
      <c r="AA3645" s="500"/>
      <c r="AB3645" s="500"/>
      <c r="AC3645" s="500"/>
      <c r="AD3645" s="500"/>
      <c r="AE3645" s="500"/>
      <c r="AF3645" s="500"/>
      <c r="AG3645" s="500"/>
      <c r="AH3645" s="500"/>
      <c r="AI3645" s="500"/>
      <c r="AJ3645" s="500"/>
      <c r="AK3645" s="500"/>
      <c r="AL3645" s="500"/>
      <c r="AM3645" s="500"/>
      <c r="AN3645" s="500"/>
      <c r="AO3645" s="500"/>
      <c r="AP3645" s="500"/>
    </row>
    <row r="3646" spans="1:42" ht="16.5" customHeight="1">
      <c r="A3646" s="439"/>
      <c r="B3646" s="439"/>
      <c r="C3646" s="439"/>
      <c r="D3646" s="439"/>
      <c r="E3646" s="439"/>
      <c r="F3646" s="439"/>
      <c r="Z3646" s="500"/>
      <c r="AA3646" s="500"/>
      <c r="AB3646" s="500"/>
      <c r="AC3646" s="500"/>
      <c r="AD3646" s="500"/>
      <c r="AE3646" s="500"/>
      <c r="AF3646" s="500"/>
      <c r="AG3646" s="500"/>
      <c r="AH3646" s="500"/>
      <c r="AI3646" s="500"/>
      <c r="AJ3646" s="500"/>
      <c r="AK3646" s="500"/>
      <c r="AL3646" s="500"/>
      <c r="AM3646" s="500"/>
      <c r="AN3646" s="500"/>
      <c r="AO3646" s="500"/>
      <c r="AP3646" s="500"/>
    </row>
    <row r="3647" spans="1:42" ht="16.5" customHeight="1">
      <c r="A3647" s="439"/>
      <c r="B3647" s="439"/>
      <c r="C3647" s="439"/>
      <c r="D3647" s="439"/>
      <c r="E3647" s="439"/>
      <c r="F3647" s="439"/>
      <c r="Z3647" s="500"/>
      <c r="AA3647" s="500"/>
      <c r="AB3647" s="500"/>
      <c r="AC3647" s="500"/>
      <c r="AD3647" s="500"/>
      <c r="AE3647" s="500"/>
      <c r="AF3647" s="500"/>
      <c r="AG3647" s="500"/>
      <c r="AH3647" s="500"/>
      <c r="AI3647" s="500"/>
      <c r="AJ3647" s="500"/>
      <c r="AK3647" s="500"/>
      <c r="AL3647" s="500"/>
      <c r="AM3647" s="500"/>
      <c r="AN3647" s="500"/>
      <c r="AO3647" s="500"/>
      <c r="AP3647" s="500"/>
    </row>
    <row r="3648" spans="1:42" ht="16.5" customHeight="1">
      <c r="A3648" s="439"/>
      <c r="B3648" s="439"/>
      <c r="C3648" s="439"/>
      <c r="D3648" s="439"/>
      <c r="E3648" s="439"/>
      <c r="F3648" s="439"/>
      <c r="Z3648" s="500"/>
      <c r="AA3648" s="500"/>
      <c r="AB3648" s="500"/>
      <c r="AC3648" s="500"/>
      <c r="AD3648" s="500"/>
      <c r="AE3648" s="500"/>
      <c r="AF3648" s="500"/>
      <c r="AG3648" s="500"/>
      <c r="AH3648" s="500"/>
      <c r="AI3648" s="500"/>
      <c r="AJ3648" s="500"/>
      <c r="AK3648" s="500"/>
      <c r="AL3648" s="500"/>
      <c r="AM3648" s="500"/>
      <c r="AN3648" s="500"/>
      <c r="AO3648" s="500"/>
      <c r="AP3648" s="500"/>
    </row>
    <row r="3649" spans="1:42" ht="16.5" customHeight="1">
      <c r="A3649" s="439"/>
      <c r="B3649" s="439"/>
      <c r="C3649" s="439"/>
      <c r="D3649" s="439"/>
      <c r="E3649" s="439"/>
      <c r="F3649" s="439"/>
      <c r="Z3649" s="500"/>
      <c r="AA3649" s="500"/>
      <c r="AB3649" s="500"/>
      <c r="AC3649" s="500"/>
      <c r="AD3649" s="500"/>
      <c r="AE3649" s="500"/>
      <c r="AF3649" s="500"/>
      <c r="AG3649" s="500"/>
      <c r="AH3649" s="500"/>
      <c r="AI3649" s="500"/>
      <c r="AJ3649" s="500"/>
      <c r="AK3649" s="500"/>
      <c r="AL3649" s="500"/>
      <c r="AM3649" s="500"/>
      <c r="AN3649" s="500"/>
      <c r="AO3649" s="500"/>
      <c r="AP3649" s="500"/>
    </row>
    <row r="3650" spans="1:42" ht="16.5" customHeight="1">
      <c r="A3650" s="439"/>
      <c r="B3650" s="439"/>
      <c r="C3650" s="439"/>
      <c r="D3650" s="439"/>
      <c r="E3650" s="439"/>
      <c r="F3650" s="439"/>
      <c r="Z3650" s="500"/>
      <c r="AA3650" s="500"/>
      <c r="AB3650" s="500"/>
      <c r="AC3650" s="500"/>
      <c r="AD3650" s="500"/>
      <c r="AE3650" s="500"/>
      <c r="AF3650" s="500"/>
      <c r="AG3650" s="500"/>
      <c r="AH3650" s="500"/>
      <c r="AI3650" s="500"/>
      <c r="AJ3650" s="500"/>
      <c r="AK3650" s="500"/>
      <c r="AL3650" s="500"/>
      <c r="AM3650" s="500"/>
      <c r="AN3650" s="500"/>
      <c r="AO3650" s="500"/>
      <c r="AP3650" s="500"/>
    </row>
    <row r="3651" spans="1:42" ht="16.5" customHeight="1">
      <c r="A3651" s="439"/>
      <c r="B3651" s="439"/>
      <c r="C3651" s="439"/>
      <c r="D3651" s="439"/>
      <c r="E3651" s="439"/>
      <c r="F3651" s="439"/>
      <c r="Z3651" s="500"/>
      <c r="AA3651" s="500"/>
      <c r="AB3651" s="500"/>
      <c r="AC3651" s="500"/>
      <c r="AD3651" s="500"/>
      <c r="AE3651" s="500"/>
      <c r="AF3651" s="500"/>
      <c r="AG3651" s="500"/>
      <c r="AH3651" s="500"/>
      <c r="AI3651" s="500"/>
      <c r="AJ3651" s="500"/>
      <c r="AK3651" s="500"/>
      <c r="AL3651" s="500"/>
      <c r="AM3651" s="500"/>
      <c r="AN3651" s="500"/>
      <c r="AO3651" s="500"/>
      <c r="AP3651" s="500"/>
    </row>
    <row r="3652" spans="1:42" ht="16.5" customHeight="1">
      <c r="A3652" s="439"/>
      <c r="B3652" s="439"/>
      <c r="C3652" s="439"/>
      <c r="D3652" s="439"/>
      <c r="E3652" s="439"/>
      <c r="F3652" s="439"/>
      <c r="Z3652" s="500"/>
      <c r="AA3652" s="500"/>
      <c r="AB3652" s="500"/>
      <c r="AC3652" s="500"/>
      <c r="AD3652" s="500"/>
      <c r="AE3652" s="500"/>
      <c r="AF3652" s="500"/>
      <c r="AG3652" s="500"/>
      <c r="AH3652" s="500"/>
      <c r="AI3652" s="500"/>
      <c r="AJ3652" s="500"/>
      <c r="AK3652" s="500"/>
      <c r="AL3652" s="500"/>
      <c r="AM3652" s="500"/>
      <c r="AN3652" s="500"/>
      <c r="AO3652" s="500"/>
      <c r="AP3652" s="500"/>
    </row>
    <row r="3653" spans="1:42" ht="16.5" customHeight="1">
      <c r="A3653" s="497"/>
      <c r="B3653" s="497"/>
      <c r="C3653" s="497"/>
      <c r="D3653" s="497"/>
      <c r="E3653" s="497"/>
      <c r="F3653" s="497"/>
      <c r="Z3653" s="500"/>
      <c r="AA3653" s="500"/>
      <c r="AB3653" s="500"/>
      <c r="AC3653" s="500"/>
      <c r="AD3653" s="500"/>
      <c r="AE3653" s="500"/>
      <c r="AF3653" s="500"/>
      <c r="AG3653" s="500"/>
      <c r="AH3653" s="500"/>
      <c r="AI3653" s="500"/>
      <c r="AJ3653" s="500"/>
      <c r="AK3653" s="500"/>
      <c r="AL3653" s="500"/>
      <c r="AM3653" s="500"/>
      <c r="AN3653" s="500"/>
      <c r="AO3653" s="500"/>
      <c r="AP3653" s="500"/>
    </row>
    <row r="3654" spans="1:42" ht="16.5" customHeight="1">
      <c r="A3654" s="616" t="s">
        <v>3487</v>
      </c>
      <c r="B3654" s="605"/>
      <c r="C3654" s="446">
        <f>E3654+D3654+F3654</f>
        <v>915</v>
      </c>
      <c r="D3654" s="453">
        <f>ROUNDDOWN(SUMIF(N3607:N3629,M3654,D3607:D3629),0)</f>
        <v>445</v>
      </c>
      <c r="E3654" s="454">
        <f>ROUNDDOWN(SUMIF(N3607:N3629,M3654,E3607:E3629),0)</f>
        <v>247</v>
      </c>
      <c r="F3654" s="446">
        <f>ROUNDDOWN(SUMIF(N3607:N3629,M3654,F3607:F3629),0)</f>
        <v>223</v>
      </c>
      <c r="M3654" s="501" t="s">
        <v>2354</v>
      </c>
      <c r="Z3654" s="500"/>
      <c r="AA3654" s="500"/>
      <c r="AB3654" s="500"/>
      <c r="AC3654" s="500"/>
      <c r="AD3654" s="500"/>
      <c r="AE3654" s="500"/>
      <c r="AF3654" s="500"/>
      <c r="AG3654" s="500"/>
      <c r="AH3654" s="500"/>
      <c r="AI3654" s="500"/>
      <c r="AJ3654" s="500"/>
      <c r="AK3654" s="500"/>
      <c r="AL3654" s="500"/>
      <c r="AM3654" s="500"/>
      <c r="AN3654" s="500"/>
      <c r="AO3654" s="500"/>
      <c r="AP3654" s="500"/>
    </row>
    <row r="3655" spans="1:42" ht="16.5" customHeight="1">
      <c r="A3655" s="502" t="s">
        <v>2314</v>
      </c>
      <c r="B3655" s="503" t="s">
        <v>3364</v>
      </c>
      <c r="C3655" s="615">
        <f>C3754</f>
        <v>7628</v>
      </c>
      <c r="D3655" s="615">
        <f>D3754</f>
        <v>6371</v>
      </c>
      <c r="E3655" s="615">
        <f>E3754</f>
        <v>531</v>
      </c>
      <c r="F3655" s="615">
        <f>F3754</f>
        <v>726</v>
      </c>
      <c r="G3655" s="486" t="str">
        <f>HYPERLINK("#G"&amp;ROW(G3704),"_x0005_`BDCOD|D01298_x0007_`POSS|"&amp;ROW(G3657)&amp;"_x0007_`POSE|"&amp;ROW(G3704)&amp;"_x0007_`")</f>
        <v>_x0005_`BDCOD|D01298_x0007_`POSS|3657_x0007_`POSE|3704_x0007_`</v>
      </c>
      <c r="Z3655" s="500"/>
      <c r="AA3655" s="500"/>
      <c r="AB3655" s="500"/>
      <c r="AC3655" s="500"/>
      <c r="AD3655" s="500"/>
      <c r="AE3655" s="500"/>
      <c r="AF3655" s="500"/>
      <c r="AG3655" s="500"/>
      <c r="AH3655" s="500"/>
      <c r="AI3655" s="500"/>
      <c r="AJ3655" s="500"/>
      <c r="AK3655" s="500"/>
      <c r="AL3655" s="500"/>
      <c r="AM3655" s="500"/>
      <c r="AN3655" s="500"/>
      <c r="AO3655" s="500"/>
      <c r="AP3655" s="500"/>
    </row>
    <row r="3656" spans="1:42" ht="16.5" customHeight="1">
      <c r="A3656" s="485"/>
      <c r="B3656" s="503" t="s">
        <v>3808</v>
      </c>
      <c r="C3656" s="593"/>
      <c r="D3656" s="593"/>
      <c r="E3656" s="593"/>
      <c r="F3656" s="593"/>
      <c r="M3656" s="501" t="s">
        <v>3364</v>
      </c>
      <c r="Z3656" s="500"/>
      <c r="AA3656" s="500"/>
      <c r="AB3656" s="500"/>
      <c r="AC3656" s="500"/>
      <c r="AD3656" s="500"/>
      <c r="AE3656" s="500"/>
      <c r="AF3656" s="500"/>
      <c r="AG3656" s="500"/>
      <c r="AH3656" s="500"/>
      <c r="AI3656" s="500"/>
      <c r="AJ3656" s="500"/>
      <c r="AK3656" s="500"/>
      <c r="AL3656" s="500"/>
      <c r="AM3656" s="500"/>
      <c r="AN3656" s="500"/>
      <c r="AO3656" s="500"/>
      <c r="AP3656" s="500"/>
    </row>
    <row r="3657" spans="1:42" ht="16.5" customHeight="1">
      <c r="A3657" s="439"/>
      <c r="B3657" s="439"/>
      <c r="C3657" s="504"/>
      <c r="D3657" s="504"/>
      <c r="E3657" s="504"/>
      <c r="F3657" s="504"/>
      <c r="G3657" s="451" t="s">
        <v>3406</v>
      </c>
      <c r="Z3657" s="500"/>
      <c r="AA3657" s="500"/>
      <c r="AB3657" s="500"/>
      <c r="AC3657" s="500"/>
      <c r="AD3657" s="500"/>
      <c r="AE3657" s="500"/>
      <c r="AF3657" s="500"/>
      <c r="AG3657" s="500"/>
      <c r="AH3657" s="500"/>
      <c r="AI3657" s="500"/>
      <c r="AJ3657" s="500"/>
      <c r="AK3657" s="500"/>
      <c r="AL3657" s="500"/>
      <c r="AM3657" s="500"/>
      <c r="AN3657" s="500"/>
      <c r="AO3657" s="500"/>
      <c r="AP3657" s="500"/>
    </row>
    <row r="3658" spans="1:42" ht="16.5" customHeight="1">
      <c r="A3658" s="434"/>
      <c r="B3658" s="437" t="s">
        <v>3809</v>
      </c>
      <c r="C3658" s="439"/>
      <c r="D3658" s="439"/>
      <c r="E3658" s="439"/>
      <c r="F3658" s="439"/>
      <c r="G3658" s="451" t="s">
        <v>3810</v>
      </c>
      <c r="Z3658" s="500"/>
      <c r="AA3658" s="500"/>
      <c r="AB3658" s="500"/>
      <c r="AC3658" s="500"/>
      <c r="AD3658" s="500"/>
      <c r="AE3658" s="500"/>
      <c r="AF3658" s="500"/>
      <c r="AG3658" s="500"/>
      <c r="AH3658" s="500"/>
      <c r="AI3658" s="500"/>
      <c r="AJ3658" s="500"/>
      <c r="AK3658" s="500"/>
      <c r="AL3658" s="500"/>
      <c r="AM3658" s="500"/>
      <c r="AN3658" s="500"/>
      <c r="AO3658" s="500"/>
      <c r="AP3658" s="500"/>
    </row>
    <row r="3659" spans="1:42" ht="16.5" customHeight="1">
      <c r="A3659" s="439"/>
      <c r="B3659" s="439"/>
      <c r="C3659" s="439"/>
      <c r="D3659" s="439"/>
      <c r="E3659" s="439"/>
      <c r="F3659" s="439"/>
      <c r="G3659" s="451" t="s">
        <v>3406</v>
      </c>
      <c r="Z3659" s="500"/>
      <c r="AA3659" s="500"/>
      <c r="AB3659" s="500"/>
      <c r="AC3659" s="500"/>
      <c r="AD3659" s="500"/>
      <c r="AE3659" s="500"/>
      <c r="AF3659" s="500"/>
      <c r="AG3659" s="500"/>
      <c r="AH3659" s="500"/>
      <c r="AI3659" s="500"/>
      <c r="AJ3659" s="500"/>
      <c r="AK3659" s="500"/>
      <c r="AL3659" s="500"/>
      <c r="AM3659" s="500"/>
      <c r="AN3659" s="500"/>
      <c r="AO3659" s="500"/>
      <c r="AP3659" s="500"/>
    </row>
    <row r="3660" spans="1:42" ht="16.5" customHeight="1">
      <c r="A3660" s="434"/>
      <c r="B3660" s="437" t="s">
        <v>3811</v>
      </c>
      <c r="C3660" s="439"/>
      <c r="D3660" s="439"/>
      <c r="E3660" s="439"/>
      <c r="F3660" s="439"/>
      <c r="G3660" s="451" t="s">
        <v>3812</v>
      </c>
      <c r="Z3660" s="500"/>
      <c r="AA3660" s="500"/>
      <c r="AB3660" s="500"/>
      <c r="AC3660" s="500"/>
      <c r="AD3660" s="500"/>
      <c r="AE3660" s="500"/>
      <c r="AF3660" s="500"/>
      <c r="AG3660" s="500"/>
      <c r="AH3660" s="500"/>
      <c r="AI3660" s="500"/>
      <c r="AJ3660" s="500"/>
      <c r="AK3660" s="500"/>
      <c r="AL3660" s="500"/>
      <c r="AM3660" s="500"/>
      <c r="AN3660" s="500"/>
      <c r="AO3660" s="500"/>
      <c r="AP3660" s="500"/>
    </row>
    <row r="3661" spans="1:42" ht="16.5" customHeight="1">
      <c r="A3661" s="439"/>
      <c r="B3661" s="439"/>
      <c r="C3661" s="439"/>
      <c r="D3661" s="439"/>
      <c r="E3661" s="439"/>
      <c r="F3661" s="439"/>
      <c r="G3661" s="451" t="s">
        <v>3413</v>
      </c>
      <c r="Z3661" s="500"/>
      <c r="AA3661" s="500"/>
      <c r="AB3661" s="500"/>
      <c r="AC3661" s="500"/>
      <c r="AD3661" s="500"/>
      <c r="AE3661" s="500"/>
      <c r="AF3661" s="500"/>
      <c r="AG3661" s="500"/>
      <c r="AH3661" s="500"/>
      <c r="AI3661" s="500"/>
      <c r="AJ3661" s="500"/>
      <c r="AK3661" s="500"/>
      <c r="AL3661" s="500"/>
      <c r="AM3661" s="500"/>
      <c r="AN3661" s="500"/>
      <c r="AO3661" s="500"/>
      <c r="AP3661" s="500"/>
    </row>
    <row r="3662" spans="1:42" ht="16.5" customHeight="1">
      <c r="A3662" s="434"/>
      <c r="B3662" s="437" t="s">
        <v>3813</v>
      </c>
      <c r="C3662" s="439"/>
      <c r="D3662" s="439"/>
      <c r="E3662" s="439"/>
      <c r="F3662" s="439"/>
      <c r="G3662" s="451" t="s">
        <v>3814</v>
      </c>
      <c r="Z3662" s="500"/>
      <c r="AA3662" s="500"/>
      <c r="AB3662" s="500"/>
      <c r="AC3662" s="500"/>
      <c r="AD3662" s="500"/>
      <c r="AE3662" s="500"/>
      <c r="AF3662" s="500"/>
      <c r="AG3662" s="500"/>
      <c r="AH3662" s="500"/>
      <c r="AI3662" s="500"/>
      <c r="AJ3662" s="500"/>
      <c r="AK3662" s="500"/>
      <c r="AL3662" s="500"/>
      <c r="AM3662" s="500"/>
      <c r="AN3662" s="500"/>
      <c r="AO3662" s="500"/>
      <c r="AP3662" s="500"/>
    </row>
    <row r="3663" spans="1:42" ht="16.5" customHeight="1">
      <c r="A3663" s="439"/>
      <c r="B3663" s="439"/>
      <c r="C3663" s="439"/>
      <c r="D3663" s="439"/>
      <c r="E3663" s="439"/>
      <c r="F3663" s="439"/>
      <c r="G3663" s="451" t="s">
        <v>3413</v>
      </c>
      <c r="Z3663" s="500"/>
      <c r="AA3663" s="500"/>
      <c r="AB3663" s="500"/>
      <c r="AC3663" s="500"/>
      <c r="AD3663" s="500"/>
      <c r="AE3663" s="500"/>
      <c r="AF3663" s="500"/>
      <c r="AG3663" s="500"/>
      <c r="AH3663" s="500"/>
      <c r="AI3663" s="500"/>
      <c r="AJ3663" s="500"/>
      <c r="AK3663" s="500"/>
      <c r="AL3663" s="500"/>
      <c r="AM3663" s="500"/>
      <c r="AN3663" s="500"/>
      <c r="AO3663" s="500"/>
      <c r="AP3663" s="500"/>
    </row>
    <row r="3664" spans="1:42" ht="16.5" customHeight="1">
      <c r="A3664" s="434"/>
      <c r="B3664" s="437" t="s">
        <v>3815</v>
      </c>
      <c r="C3664" s="439"/>
      <c r="D3664" s="439"/>
      <c r="E3664" s="439"/>
      <c r="F3664" s="439"/>
      <c r="G3664" s="451" t="s">
        <v>3816</v>
      </c>
      <c r="Z3664" s="500"/>
      <c r="AA3664" s="500"/>
      <c r="AB3664" s="500"/>
      <c r="AC3664" s="500"/>
      <c r="AD3664" s="500"/>
      <c r="AE3664" s="500"/>
      <c r="AF3664" s="500"/>
      <c r="AG3664" s="500"/>
      <c r="AH3664" s="500"/>
      <c r="AI3664" s="500"/>
      <c r="AJ3664" s="500"/>
      <c r="AK3664" s="500"/>
      <c r="AL3664" s="500"/>
      <c r="AM3664" s="500"/>
      <c r="AN3664" s="500"/>
      <c r="AO3664" s="500"/>
      <c r="AP3664" s="500"/>
    </row>
    <row r="3665" spans="1:42" ht="16.5" customHeight="1">
      <c r="A3665" s="439"/>
      <c r="B3665" s="439"/>
      <c r="C3665" s="439"/>
      <c r="D3665" s="439"/>
      <c r="E3665" s="439"/>
      <c r="F3665" s="439"/>
      <c r="G3665" s="451" t="s">
        <v>3413</v>
      </c>
      <c r="Z3665" s="500"/>
      <c r="AA3665" s="500"/>
      <c r="AB3665" s="500"/>
      <c r="AC3665" s="500"/>
      <c r="AD3665" s="500"/>
      <c r="AE3665" s="500"/>
      <c r="AF3665" s="500"/>
      <c r="AG3665" s="500"/>
      <c r="AH3665" s="500"/>
      <c r="AI3665" s="500"/>
      <c r="AJ3665" s="500"/>
      <c r="AK3665" s="500"/>
      <c r="AL3665" s="500"/>
      <c r="AM3665" s="500"/>
      <c r="AN3665" s="500"/>
      <c r="AO3665" s="500"/>
      <c r="AP3665" s="500"/>
    </row>
    <row r="3666" spans="1:42" ht="16.5" customHeight="1">
      <c r="A3666" s="434"/>
      <c r="B3666" s="437" t="s">
        <v>3817</v>
      </c>
      <c r="C3666" s="439"/>
      <c r="D3666" s="439"/>
      <c r="E3666" s="439"/>
      <c r="F3666" s="439"/>
      <c r="G3666" s="451" t="s">
        <v>3818</v>
      </c>
      <c r="Z3666" s="500"/>
      <c r="AA3666" s="500"/>
      <c r="AB3666" s="500"/>
      <c r="AC3666" s="500"/>
      <c r="AD3666" s="500"/>
      <c r="AE3666" s="500"/>
      <c r="AF3666" s="500"/>
      <c r="AG3666" s="500"/>
      <c r="AH3666" s="500"/>
      <c r="AI3666" s="500"/>
      <c r="AJ3666" s="500"/>
      <c r="AK3666" s="500"/>
      <c r="AL3666" s="500"/>
      <c r="AM3666" s="500"/>
      <c r="AN3666" s="500"/>
      <c r="AO3666" s="500"/>
      <c r="AP3666" s="500"/>
    </row>
    <row r="3667" spans="1:42" ht="16.5" customHeight="1">
      <c r="A3667" s="439"/>
      <c r="B3667" s="439"/>
      <c r="C3667" s="439"/>
      <c r="D3667" s="439"/>
      <c r="E3667" s="439"/>
      <c r="F3667" s="439"/>
      <c r="G3667" s="451" t="s">
        <v>3413</v>
      </c>
      <c r="Z3667" s="500"/>
      <c r="AA3667" s="500"/>
      <c r="AB3667" s="500"/>
      <c r="AC3667" s="500"/>
      <c r="AD3667" s="500"/>
      <c r="AE3667" s="500"/>
      <c r="AF3667" s="500"/>
      <c r="AG3667" s="500"/>
      <c r="AH3667" s="500"/>
      <c r="AI3667" s="500"/>
      <c r="AJ3667" s="500"/>
      <c r="AK3667" s="500"/>
      <c r="AL3667" s="500"/>
      <c r="AM3667" s="500"/>
      <c r="AN3667" s="500"/>
      <c r="AO3667" s="500"/>
      <c r="AP3667" s="500"/>
    </row>
    <row r="3668" spans="1:42" ht="16.5" customHeight="1">
      <c r="A3668" s="434"/>
      <c r="B3668" s="437" t="s">
        <v>3440</v>
      </c>
      <c r="C3668" s="513">
        <f>E3668+D3668+F3668</f>
        <v>0</v>
      </c>
      <c r="D3668" s="513">
        <f>SUMIF(N3657:N3667,M3668,D3657:D3667)</f>
        <v>0</v>
      </c>
      <c r="E3668" s="513">
        <f>SUMIF(N3657:N3667,M3668,E3657:E3667)</f>
        <v>0</v>
      </c>
      <c r="F3668" s="513">
        <f>SUMIF(N3657:N3667,M3668,F3657:F3667)</f>
        <v>0</v>
      </c>
      <c r="G3668" s="451" t="s">
        <v>3441</v>
      </c>
      <c r="M3668" s="501" t="s">
        <v>3421</v>
      </c>
      <c r="N3668" s="501" t="s">
        <v>3442</v>
      </c>
      <c r="Z3668" s="500"/>
      <c r="AA3668" s="500"/>
      <c r="AB3668" s="500"/>
      <c r="AC3668" s="500"/>
      <c r="AD3668" s="500"/>
      <c r="AE3668" s="500"/>
      <c r="AF3668" s="500"/>
      <c r="AG3668" s="500"/>
      <c r="AH3668" s="500"/>
      <c r="AI3668" s="500"/>
      <c r="AJ3668" s="500"/>
      <c r="AK3668" s="500"/>
      <c r="AL3668" s="500"/>
      <c r="AM3668" s="500"/>
      <c r="AN3668" s="500"/>
      <c r="AO3668" s="500"/>
      <c r="AP3668" s="500"/>
    </row>
    <row r="3669" spans="1:42" ht="16.5" customHeight="1">
      <c r="A3669" s="439"/>
      <c r="B3669" s="439"/>
      <c r="C3669" s="504"/>
      <c r="D3669" s="504"/>
      <c r="E3669" s="504"/>
      <c r="F3669" s="504"/>
      <c r="G3669" s="451" t="s">
        <v>3406</v>
      </c>
      <c r="Z3669" s="500"/>
      <c r="AA3669" s="500"/>
      <c r="AB3669" s="500"/>
      <c r="AC3669" s="500"/>
      <c r="AD3669" s="500"/>
      <c r="AE3669" s="500"/>
      <c r="AF3669" s="500"/>
      <c r="AG3669" s="500"/>
      <c r="AH3669" s="500"/>
      <c r="AI3669" s="500"/>
      <c r="AJ3669" s="500"/>
      <c r="AK3669" s="500"/>
      <c r="AL3669" s="500"/>
      <c r="AM3669" s="500"/>
      <c r="AN3669" s="500"/>
      <c r="AO3669" s="500"/>
      <c r="AP3669" s="500"/>
    </row>
    <row r="3670" spans="1:42" ht="16.5" customHeight="1">
      <c r="A3670" s="439"/>
      <c r="B3670" s="439"/>
      <c r="C3670" s="439"/>
      <c r="D3670" s="439"/>
      <c r="E3670" s="439"/>
      <c r="F3670" s="439"/>
      <c r="G3670" s="451" t="s">
        <v>3406</v>
      </c>
      <c r="Z3670" s="500"/>
      <c r="AA3670" s="500"/>
      <c r="AB3670" s="500"/>
      <c r="AC3670" s="500"/>
      <c r="AD3670" s="500"/>
      <c r="AE3670" s="500"/>
      <c r="AF3670" s="500"/>
      <c r="AG3670" s="500"/>
      <c r="AH3670" s="500"/>
      <c r="AI3670" s="500"/>
      <c r="AJ3670" s="500"/>
      <c r="AK3670" s="500"/>
      <c r="AL3670" s="500"/>
      <c r="AM3670" s="500"/>
      <c r="AN3670" s="500"/>
      <c r="AO3670" s="500"/>
      <c r="AP3670" s="500"/>
    </row>
    <row r="3671" spans="1:42" ht="16.5" customHeight="1">
      <c r="A3671" s="439"/>
      <c r="B3671" s="439"/>
      <c r="C3671" s="439"/>
      <c r="D3671" s="439"/>
      <c r="E3671" s="439"/>
      <c r="F3671" s="439"/>
      <c r="G3671" s="451" t="s">
        <v>3406</v>
      </c>
      <c r="Z3671" s="500"/>
      <c r="AA3671" s="500"/>
      <c r="AB3671" s="500"/>
      <c r="AC3671" s="500"/>
      <c r="AD3671" s="500"/>
      <c r="AE3671" s="500"/>
      <c r="AF3671" s="500"/>
      <c r="AG3671" s="500"/>
      <c r="AH3671" s="500"/>
      <c r="AI3671" s="500"/>
      <c r="AJ3671" s="500"/>
      <c r="AK3671" s="500"/>
      <c r="AL3671" s="500"/>
      <c r="AM3671" s="500"/>
      <c r="AN3671" s="500"/>
      <c r="AO3671" s="500"/>
      <c r="AP3671" s="500"/>
    </row>
    <row r="3672" spans="1:42" ht="16.5" customHeight="1">
      <c r="A3672" s="434"/>
      <c r="B3672" s="437" t="s">
        <v>3819</v>
      </c>
      <c r="C3672" s="439"/>
      <c r="D3672" s="439"/>
      <c r="E3672" s="439"/>
      <c r="F3672" s="439"/>
      <c r="G3672" s="451" t="s">
        <v>3820</v>
      </c>
      <c r="Z3672" s="500"/>
      <c r="AA3672" s="500"/>
      <c r="AB3672" s="500"/>
      <c r="AC3672" s="500"/>
      <c r="AD3672" s="500"/>
      <c r="AE3672" s="500"/>
      <c r="AF3672" s="500"/>
      <c r="AG3672" s="500"/>
      <c r="AH3672" s="500"/>
      <c r="AI3672" s="500"/>
      <c r="AJ3672" s="500"/>
      <c r="AK3672" s="500"/>
      <c r="AL3672" s="500"/>
      <c r="AM3672" s="500"/>
      <c r="AN3672" s="500"/>
      <c r="AO3672" s="500"/>
      <c r="AP3672" s="500"/>
    </row>
    <row r="3673" spans="1:42" ht="16.5" customHeight="1">
      <c r="A3673" s="439"/>
      <c r="B3673" s="439"/>
      <c r="C3673" s="439"/>
      <c r="D3673" s="439"/>
      <c r="E3673" s="439"/>
      <c r="F3673" s="439"/>
      <c r="G3673" s="451" t="s">
        <v>3406</v>
      </c>
      <c r="Z3673" s="500"/>
      <c r="AA3673" s="500"/>
      <c r="AB3673" s="500"/>
      <c r="AC3673" s="500"/>
      <c r="AD3673" s="500"/>
      <c r="AE3673" s="500"/>
      <c r="AF3673" s="500"/>
      <c r="AG3673" s="500"/>
      <c r="AH3673" s="500"/>
      <c r="AI3673" s="500"/>
      <c r="AJ3673" s="500"/>
      <c r="AK3673" s="500"/>
      <c r="AL3673" s="500"/>
      <c r="AM3673" s="500"/>
      <c r="AN3673" s="500"/>
      <c r="AO3673" s="500"/>
      <c r="AP3673" s="500"/>
    </row>
    <row r="3674" spans="1:42" ht="16.5" customHeight="1">
      <c r="A3674" s="434" t="s">
        <v>3821</v>
      </c>
      <c r="B3674" s="505" t="str">
        <f>"    특별인부 : "&amp;TEXT(I3674,"#,##0"&amp;IF(I3674&lt;&gt;INT(I3674),".###",""))&amp;" * "&amp;AA3674&amp;" 인  = "&amp;TEXT(C3674,"#,##0.0")&amp;""</f>
        <v xml:space="preserve">    특별인부 : 226,122 * 0.014 인  = 3,165.7</v>
      </c>
      <c r="C3674" s="506">
        <f>E3674+D3674+F3674</f>
        <v>3165.7</v>
      </c>
      <c r="D3674" s="506">
        <f>IF(H3674=0,0,ROUNDDOWN(J3674*H3674,1))</f>
        <v>3165.7</v>
      </c>
      <c r="E3674" s="506">
        <f>IF(H3674=0,0,ROUNDDOWN(K3674*H3674,1))</f>
        <v>0</v>
      </c>
      <c r="F3674" s="506">
        <f>IF(H3674=0,0,ROUNDDOWN(L3674*H3674,1))</f>
        <v>0</v>
      </c>
      <c r="G3674" s="451" t="s">
        <v>3822</v>
      </c>
      <c r="H3674" s="507">
        <f>ROUNDUP(AC3674,14-LEN(ABS(INT(AC3674))))</f>
        <v>1.4E-2</v>
      </c>
      <c r="I3674" s="508">
        <f>K3674+J3674+L3674</f>
        <v>226122</v>
      </c>
      <c r="J3674" s="509">
        <f>노무비목록표!E21</f>
        <v>226122</v>
      </c>
      <c r="M3674" s="501" t="s">
        <v>2519</v>
      </c>
      <c r="N3674" s="501" t="s">
        <v>3421</v>
      </c>
      <c r="X3674" s="510" t="str">
        <f>노무비목록표!B21&amp;" / "&amp;노무비목록표!C21</f>
        <v xml:space="preserve">특별인부 / </v>
      </c>
      <c r="Y3674" s="433" t="str">
        <f ca="1">HYPERLINK("#"&amp;노무비목록표!G2&amp;"!A"&amp;ROW(노무비목록표!A21),"L00016 →")</f>
        <v>L00016 →</v>
      </c>
      <c r="Z3674" s="501" t="s">
        <v>3500</v>
      </c>
      <c r="AA3674" s="511">
        <v>1.4E-2</v>
      </c>
      <c r="AB3674" s="501" t="s">
        <v>3418</v>
      </c>
      <c r="AC3674" s="512">
        <f>1*AA3674</f>
        <v>1.4E-2</v>
      </c>
      <c r="AD3674" s="500"/>
      <c r="AE3674" s="500"/>
      <c r="AF3674" s="500"/>
      <c r="AG3674" s="500"/>
      <c r="AH3674" s="500"/>
      <c r="AI3674" s="500"/>
      <c r="AJ3674" s="500"/>
      <c r="AK3674" s="500"/>
      <c r="AL3674" s="500"/>
      <c r="AM3674" s="500"/>
      <c r="AN3674" s="500"/>
      <c r="AO3674" s="500"/>
      <c r="AP3674" s="500"/>
    </row>
    <row r="3675" spans="1:42" ht="16.5" customHeight="1">
      <c r="A3675" s="439"/>
      <c r="B3675" s="439"/>
      <c r="C3675" s="439"/>
      <c r="D3675" s="439"/>
      <c r="E3675" s="439"/>
      <c r="F3675" s="439"/>
      <c r="G3675" s="451" t="s">
        <v>3823</v>
      </c>
      <c r="Z3675" s="500"/>
      <c r="AA3675" s="500"/>
      <c r="AB3675" s="500"/>
      <c r="AC3675" s="500"/>
      <c r="AD3675" s="500"/>
      <c r="AE3675" s="500"/>
      <c r="AF3675" s="500"/>
      <c r="AG3675" s="500"/>
      <c r="AH3675" s="500"/>
      <c r="AI3675" s="500"/>
      <c r="AJ3675" s="500"/>
      <c r="AK3675" s="500"/>
      <c r="AL3675" s="500"/>
      <c r="AM3675" s="500"/>
      <c r="AN3675" s="500"/>
      <c r="AO3675" s="500"/>
      <c r="AP3675" s="500"/>
    </row>
    <row r="3676" spans="1:42" ht="16.5" customHeight="1">
      <c r="A3676" s="434" t="s">
        <v>3414</v>
      </c>
      <c r="B3676" s="505" t="str">
        <f>"    보통인부 : "&amp;TEXT(I3676,"#,##0"&amp;IF(I3676&lt;&gt;INT(I3676),".###",""))&amp;" * "&amp;AA3676&amp;" 인  = "&amp;TEXT(C3676,"#,##0.0")&amp;""</f>
        <v xml:space="preserve">    보통인부 : 172,068 * 0.003 인  = 516.2</v>
      </c>
      <c r="C3676" s="506">
        <f>E3676+D3676+F3676</f>
        <v>516.20000000000005</v>
      </c>
      <c r="D3676" s="506">
        <f>IF(H3676=0,0,ROUNDDOWN(J3676*H3676,1))</f>
        <v>516.20000000000005</v>
      </c>
      <c r="E3676" s="506">
        <f>IF(H3676=0,0,ROUNDDOWN(K3676*H3676,1))</f>
        <v>0</v>
      </c>
      <c r="F3676" s="506">
        <f>IF(H3676=0,0,ROUNDDOWN(L3676*H3676,1))</f>
        <v>0</v>
      </c>
      <c r="G3676" s="451" t="s">
        <v>3824</v>
      </c>
      <c r="H3676" s="507">
        <f>ROUNDUP(AC3676,14-LEN(ABS(INT(AC3676))))</f>
        <v>3.0000000000000001E-3</v>
      </c>
      <c r="I3676" s="508">
        <f>K3676+J3676+L3676</f>
        <v>172068</v>
      </c>
      <c r="J3676" s="509">
        <f>노무비목록표!E10</f>
        <v>172068</v>
      </c>
      <c r="M3676" s="501" t="s">
        <v>2363</v>
      </c>
      <c r="N3676" s="501" t="s">
        <v>3421</v>
      </c>
      <c r="X3676" s="510" t="str">
        <f>노무비목록표!B10&amp;" / "&amp;노무비목록표!C10</f>
        <v xml:space="preserve">보통인부 / </v>
      </c>
      <c r="Y3676" s="433" t="str">
        <f ca="1">HYPERLINK("#"&amp;노무비목록표!G2&amp;"!A"&amp;ROW(노무비목록표!A10),"L00017 →")</f>
        <v>L00017 →</v>
      </c>
      <c r="Z3676" s="501" t="s">
        <v>3500</v>
      </c>
      <c r="AA3676" s="511">
        <v>3.0000000000000001E-3</v>
      </c>
      <c r="AB3676" s="501" t="s">
        <v>3418</v>
      </c>
      <c r="AC3676" s="512">
        <f>1*AA3676</f>
        <v>3.0000000000000001E-3</v>
      </c>
      <c r="AD3676" s="500"/>
      <c r="AE3676" s="500"/>
      <c r="AF3676" s="500"/>
      <c r="AG3676" s="500"/>
      <c r="AH3676" s="500"/>
      <c r="AI3676" s="500"/>
      <c r="AJ3676" s="500"/>
      <c r="AK3676" s="500"/>
      <c r="AL3676" s="500"/>
      <c r="AM3676" s="500"/>
      <c r="AN3676" s="500"/>
      <c r="AO3676" s="500"/>
      <c r="AP3676" s="500"/>
    </row>
    <row r="3677" spans="1:42" ht="16.5" customHeight="1">
      <c r="A3677" s="439"/>
      <c r="B3677" s="439"/>
      <c r="C3677" s="439"/>
      <c r="D3677" s="439"/>
      <c r="E3677" s="439"/>
      <c r="F3677" s="439"/>
      <c r="G3677" s="451" t="s">
        <v>3406</v>
      </c>
      <c r="Z3677" s="500"/>
      <c r="AA3677" s="500"/>
      <c r="AB3677" s="500"/>
      <c r="AC3677" s="500"/>
      <c r="AD3677" s="500"/>
      <c r="AE3677" s="500"/>
      <c r="AF3677" s="500"/>
      <c r="AG3677" s="500"/>
      <c r="AH3677" s="500"/>
      <c r="AI3677" s="500"/>
      <c r="AJ3677" s="500"/>
      <c r="AK3677" s="500"/>
      <c r="AL3677" s="500"/>
      <c r="AM3677" s="500"/>
      <c r="AN3677" s="500"/>
      <c r="AO3677" s="500"/>
      <c r="AP3677" s="500"/>
    </row>
    <row r="3678" spans="1:42" ht="16.5" customHeight="1">
      <c r="A3678" s="434"/>
      <c r="B3678" s="437" t="s">
        <v>3440</v>
      </c>
      <c r="C3678" s="513">
        <f>E3678+D3678+F3678</f>
        <v>3681.8999999999996</v>
      </c>
      <c r="D3678" s="513">
        <f>SUMIF(N3669:N3677,M3678,D3669:D3677)</f>
        <v>3681.8999999999996</v>
      </c>
      <c r="E3678" s="513">
        <f>SUMIF(N3669:N3677,M3678,E3669:E3677)</f>
        <v>0</v>
      </c>
      <c r="F3678" s="513">
        <f>SUMIF(N3669:N3677,M3678,F3669:F3677)</f>
        <v>0</v>
      </c>
      <c r="G3678" s="451" t="s">
        <v>3825</v>
      </c>
      <c r="M3678" s="501" t="s">
        <v>3421</v>
      </c>
      <c r="N3678" s="501" t="s">
        <v>3442</v>
      </c>
      <c r="Z3678" s="500"/>
      <c r="AA3678" s="500"/>
      <c r="AB3678" s="500"/>
      <c r="AC3678" s="500"/>
      <c r="AD3678" s="500"/>
      <c r="AE3678" s="500"/>
      <c r="AF3678" s="500"/>
      <c r="AG3678" s="500"/>
      <c r="AH3678" s="500"/>
      <c r="AI3678" s="500"/>
      <c r="AJ3678" s="500"/>
      <c r="AK3678" s="500"/>
      <c r="AL3678" s="500"/>
      <c r="AM3678" s="500"/>
      <c r="AN3678" s="500"/>
      <c r="AO3678" s="500"/>
      <c r="AP3678" s="500"/>
    </row>
    <row r="3679" spans="1:42" ht="16.5" customHeight="1">
      <c r="A3679" s="439"/>
      <c r="B3679" s="439"/>
      <c r="C3679" s="504"/>
      <c r="D3679" s="504"/>
      <c r="E3679" s="504"/>
      <c r="F3679" s="504"/>
      <c r="G3679" s="451" t="s">
        <v>3823</v>
      </c>
      <c r="Z3679" s="500"/>
      <c r="AA3679" s="500"/>
      <c r="AB3679" s="500"/>
      <c r="AC3679" s="500"/>
      <c r="AD3679" s="500"/>
      <c r="AE3679" s="500"/>
      <c r="AF3679" s="500"/>
      <c r="AG3679" s="500"/>
      <c r="AH3679" s="500"/>
      <c r="AI3679" s="500"/>
      <c r="AJ3679" s="500"/>
      <c r="AK3679" s="500"/>
      <c r="AL3679" s="500"/>
      <c r="AM3679" s="500"/>
      <c r="AN3679" s="500"/>
      <c r="AO3679" s="500"/>
      <c r="AP3679" s="500"/>
    </row>
    <row r="3680" spans="1:42" ht="16.5" customHeight="1">
      <c r="A3680" s="439"/>
      <c r="B3680" s="439"/>
      <c r="C3680" s="439"/>
      <c r="D3680" s="439"/>
      <c r="E3680" s="439"/>
      <c r="F3680" s="439"/>
      <c r="G3680" s="451" t="s">
        <v>3823</v>
      </c>
      <c r="Z3680" s="500"/>
      <c r="AA3680" s="500"/>
      <c r="AB3680" s="500"/>
      <c r="AC3680" s="500"/>
      <c r="AD3680" s="500"/>
      <c r="AE3680" s="500"/>
      <c r="AF3680" s="500"/>
      <c r="AG3680" s="500"/>
      <c r="AH3680" s="500"/>
      <c r="AI3680" s="500"/>
      <c r="AJ3680" s="500"/>
      <c r="AK3680" s="500"/>
      <c r="AL3680" s="500"/>
      <c r="AM3680" s="500"/>
      <c r="AN3680" s="500"/>
      <c r="AO3680" s="500"/>
      <c r="AP3680" s="500"/>
    </row>
    <row r="3681" spans="1:42" ht="16.5" customHeight="1">
      <c r="A3681" s="439"/>
      <c r="B3681" s="439"/>
      <c r="C3681" s="439"/>
      <c r="D3681" s="439"/>
      <c r="E3681" s="439"/>
      <c r="F3681" s="439"/>
      <c r="G3681" s="451" t="s">
        <v>3823</v>
      </c>
      <c r="Z3681" s="500"/>
      <c r="AA3681" s="500"/>
      <c r="AB3681" s="500"/>
      <c r="AC3681" s="500"/>
      <c r="AD3681" s="500"/>
      <c r="AE3681" s="500"/>
      <c r="AF3681" s="500"/>
      <c r="AG3681" s="500"/>
      <c r="AH3681" s="500"/>
      <c r="AI3681" s="500"/>
      <c r="AJ3681" s="500"/>
      <c r="AK3681" s="500"/>
      <c r="AL3681" s="500"/>
      <c r="AM3681" s="500"/>
      <c r="AN3681" s="500"/>
      <c r="AO3681" s="500"/>
      <c r="AP3681" s="500"/>
    </row>
    <row r="3682" spans="1:42" ht="16.5" customHeight="1">
      <c r="A3682" s="434"/>
      <c r="B3682" s="437" t="s">
        <v>3826</v>
      </c>
      <c r="C3682" s="439"/>
      <c r="D3682" s="439"/>
      <c r="E3682" s="439"/>
      <c r="F3682" s="439"/>
      <c r="G3682" s="451" t="s">
        <v>3827</v>
      </c>
      <c r="Z3682" s="500"/>
      <c r="AA3682" s="500"/>
      <c r="AB3682" s="500"/>
      <c r="AC3682" s="500"/>
      <c r="AD3682" s="500"/>
      <c r="AE3682" s="500"/>
      <c r="AF3682" s="500"/>
      <c r="AG3682" s="500"/>
      <c r="AH3682" s="500"/>
      <c r="AI3682" s="500"/>
      <c r="AJ3682" s="500"/>
      <c r="AK3682" s="500"/>
      <c r="AL3682" s="500"/>
      <c r="AM3682" s="500"/>
      <c r="AN3682" s="500"/>
      <c r="AO3682" s="500"/>
      <c r="AP3682" s="500"/>
    </row>
    <row r="3683" spans="1:42" ht="16.5" customHeight="1">
      <c r="A3683" s="439"/>
      <c r="B3683" s="439"/>
      <c r="C3683" s="439"/>
      <c r="D3683" s="439"/>
      <c r="E3683" s="439"/>
      <c r="F3683" s="439"/>
      <c r="G3683" s="451" t="s">
        <v>3413</v>
      </c>
      <c r="Z3683" s="500"/>
      <c r="AA3683" s="500"/>
      <c r="AB3683" s="500"/>
      <c r="AC3683" s="500"/>
      <c r="AD3683" s="500"/>
      <c r="AE3683" s="500"/>
      <c r="AF3683" s="500"/>
      <c r="AG3683" s="500"/>
      <c r="AH3683" s="500"/>
      <c r="AI3683" s="500"/>
      <c r="AJ3683" s="500"/>
      <c r="AK3683" s="500"/>
      <c r="AL3683" s="500"/>
      <c r="AM3683" s="500"/>
      <c r="AN3683" s="500"/>
      <c r="AO3683" s="500"/>
      <c r="AP3683" s="500"/>
    </row>
    <row r="3684" spans="1:42" ht="16.5" customHeight="1">
      <c r="A3684" s="434"/>
      <c r="B3684" s="437" t="s">
        <v>3828</v>
      </c>
      <c r="C3684" s="439"/>
      <c r="D3684" s="439"/>
      <c r="E3684" s="439"/>
      <c r="F3684" s="439"/>
      <c r="G3684" s="451" t="s">
        <v>3829</v>
      </c>
      <c r="Z3684" s="500"/>
      <c r="AA3684" s="500"/>
      <c r="AB3684" s="500"/>
      <c r="AC3684" s="500"/>
      <c r="AD3684" s="500"/>
      <c r="AE3684" s="500"/>
      <c r="AF3684" s="500"/>
      <c r="AG3684" s="500"/>
      <c r="AH3684" s="500"/>
      <c r="AI3684" s="500"/>
      <c r="AJ3684" s="500"/>
      <c r="AK3684" s="500"/>
      <c r="AL3684" s="500"/>
      <c r="AM3684" s="500"/>
      <c r="AN3684" s="500"/>
      <c r="AO3684" s="500"/>
      <c r="AP3684" s="500"/>
    </row>
    <row r="3685" spans="1:42" ht="16.5" customHeight="1">
      <c r="A3685" s="439"/>
      <c r="B3685" s="439"/>
      <c r="C3685" s="439"/>
      <c r="D3685" s="439"/>
      <c r="E3685" s="439"/>
      <c r="F3685" s="439"/>
      <c r="G3685" s="451" t="s">
        <v>3406</v>
      </c>
      <c r="Z3685" s="500"/>
      <c r="AA3685" s="500"/>
      <c r="AB3685" s="500"/>
      <c r="AC3685" s="500"/>
      <c r="AD3685" s="500"/>
      <c r="AE3685" s="500"/>
      <c r="AF3685" s="500"/>
      <c r="AG3685" s="500"/>
      <c r="AH3685" s="500"/>
      <c r="AI3685" s="500"/>
      <c r="AJ3685" s="500"/>
      <c r="AK3685" s="500"/>
      <c r="AL3685" s="500"/>
      <c r="AM3685" s="500"/>
      <c r="AN3685" s="500"/>
      <c r="AO3685" s="500"/>
      <c r="AP3685" s="500"/>
    </row>
    <row r="3686" spans="1:42" ht="16.5" customHeight="1">
      <c r="A3686" s="434" t="s">
        <v>3414</v>
      </c>
      <c r="B3686" s="505" t="str">
        <f>"     보통인부 : "&amp;TEXT(I3686,"#,##0"&amp;IF(I3686&lt;&gt;INT(I3686),".###",""))&amp;" * "&amp;AA3686&amp;" 인  = "&amp;TEXT(C3686,"#,##0.0")&amp;""</f>
        <v xml:space="preserve">     보통인부 : 172,068 * 0.005 인  = 860.3</v>
      </c>
      <c r="C3686" s="506">
        <f>E3686+D3686+F3686</f>
        <v>860.3</v>
      </c>
      <c r="D3686" s="506">
        <f>IF(H3686=0,0,ROUNDDOWN(J3686*H3686,1))</f>
        <v>860.3</v>
      </c>
      <c r="E3686" s="506">
        <f>IF(H3686=0,0,ROUNDDOWN(K3686*H3686,1))</f>
        <v>0</v>
      </c>
      <c r="F3686" s="506">
        <f>IF(H3686=0,0,ROUNDDOWN(L3686*H3686,1))</f>
        <v>0</v>
      </c>
      <c r="G3686" s="451" t="s">
        <v>3830</v>
      </c>
      <c r="H3686" s="507">
        <f>ROUNDUP(AC3686,14-LEN(ABS(INT(AC3686))))</f>
        <v>5.0000000000000001E-3</v>
      </c>
      <c r="I3686" s="508">
        <f>K3686+J3686+L3686</f>
        <v>172068</v>
      </c>
      <c r="J3686" s="509">
        <f>노무비목록표!E10</f>
        <v>172068</v>
      </c>
      <c r="M3686" s="501" t="s">
        <v>2363</v>
      </c>
      <c r="N3686" s="501" t="s">
        <v>3416</v>
      </c>
      <c r="X3686" s="510" t="str">
        <f>노무비목록표!B10&amp;" / "&amp;노무비목록표!C10</f>
        <v xml:space="preserve">보통인부 / </v>
      </c>
      <c r="Y3686" s="433" t="str">
        <f ca="1">HYPERLINK("#"&amp;노무비목록표!G2&amp;"!A"&amp;ROW(노무비목록표!A10),"L00017 →")</f>
        <v>L00017 →</v>
      </c>
      <c r="Z3686" s="501" t="s">
        <v>3500</v>
      </c>
      <c r="AA3686" s="511">
        <v>5.0000000000000001E-3</v>
      </c>
      <c r="AB3686" s="501" t="s">
        <v>3418</v>
      </c>
      <c r="AC3686" s="512">
        <f>1*AA3686</f>
        <v>5.0000000000000001E-3</v>
      </c>
      <c r="AD3686" s="500"/>
      <c r="AE3686" s="500"/>
      <c r="AF3686" s="500"/>
      <c r="AG3686" s="500"/>
      <c r="AH3686" s="500"/>
      <c r="AI3686" s="500"/>
      <c r="AJ3686" s="500"/>
      <c r="AK3686" s="500"/>
      <c r="AL3686" s="500"/>
      <c r="AM3686" s="500"/>
      <c r="AN3686" s="500"/>
      <c r="AO3686" s="500"/>
      <c r="AP3686" s="500"/>
    </row>
    <row r="3687" spans="1:42" ht="16.5" customHeight="1">
      <c r="A3687" s="439"/>
      <c r="B3687" s="439"/>
      <c r="C3687" s="439"/>
      <c r="D3687" s="439"/>
      <c r="E3687" s="439"/>
      <c r="F3687" s="439"/>
      <c r="G3687" s="451" t="s">
        <v>3831</v>
      </c>
      <c r="Z3687" s="500"/>
      <c r="AA3687" s="500"/>
      <c r="AB3687" s="500"/>
      <c r="AC3687" s="500"/>
      <c r="AD3687" s="500"/>
      <c r="AE3687" s="500"/>
      <c r="AF3687" s="500"/>
      <c r="AG3687" s="500"/>
      <c r="AH3687" s="500"/>
      <c r="AI3687" s="500"/>
      <c r="AJ3687" s="500"/>
      <c r="AK3687" s="500"/>
      <c r="AL3687" s="500"/>
      <c r="AM3687" s="500"/>
      <c r="AN3687" s="500"/>
      <c r="AO3687" s="500"/>
      <c r="AP3687" s="500"/>
    </row>
    <row r="3688" spans="1:42" ht="16.5" customHeight="1">
      <c r="A3688" s="434"/>
      <c r="B3688" s="437" t="s">
        <v>3419</v>
      </c>
      <c r="C3688" s="513">
        <f>E3688+D3688+F3688</f>
        <v>860.3</v>
      </c>
      <c r="D3688" s="513">
        <f>SUMIF(N3679:N3687,M3688,D3679:D3687)</f>
        <v>860.3</v>
      </c>
      <c r="E3688" s="513">
        <f>SUMIF(N3679:N3687,M3688,E3679:E3687)</f>
        <v>0</v>
      </c>
      <c r="F3688" s="513">
        <f>SUMIF(N3679:N3687,M3688,F3679:F3687)</f>
        <v>0</v>
      </c>
      <c r="G3688" s="451" t="s">
        <v>3832</v>
      </c>
      <c r="M3688" s="501" t="s">
        <v>3416</v>
      </c>
      <c r="N3688" s="501" t="s">
        <v>3421</v>
      </c>
      <c r="Z3688" s="500"/>
      <c r="AA3688" s="500"/>
      <c r="AB3688" s="500"/>
      <c r="AC3688" s="500"/>
      <c r="AD3688" s="500"/>
      <c r="AE3688" s="500"/>
      <c r="AF3688" s="500"/>
      <c r="AG3688" s="500"/>
      <c r="AH3688" s="500"/>
      <c r="AI3688" s="500"/>
      <c r="AJ3688" s="500"/>
      <c r="AK3688" s="500"/>
      <c r="AL3688" s="500"/>
      <c r="AM3688" s="500"/>
      <c r="AN3688" s="500"/>
      <c r="AO3688" s="500"/>
      <c r="AP3688" s="500"/>
    </row>
    <row r="3689" spans="1:42" ht="16.5" customHeight="1">
      <c r="A3689" s="439"/>
      <c r="B3689" s="439"/>
      <c r="C3689" s="504"/>
      <c r="D3689" s="504"/>
      <c r="E3689" s="504"/>
      <c r="F3689" s="504"/>
      <c r="G3689" s="451" t="s">
        <v>3831</v>
      </c>
      <c r="Z3689" s="500"/>
      <c r="AA3689" s="500"/>
      <c r="AB3689" s="500"/>
      <c r="AC3689" s="500"/>
      <c r="AD3689" s="500"/>
      <c r="AE3689" s="500"/>
      <c r="AF3689" s="500"/>
      <c r="AG3689" s="500"/>
      <c r="AH3689" s="500"/>
      <c r="AI3689" s="500"/>
      <c r="AJ3689" s="500"/>
      <c r="AK3689" s="500"/>
      <c r="AL3689" s="500"/>
      <c r="AM3689" s="500"/>
      <c r="AN3689" s="500"/>
      <c r="AO3689" s="500"/>
      <c r="AP3689" s="500"/>
    </row>
    <row r="3690" spans="1:42" ht="16.5" customHeight="1">
      <c r="A3690" s="434"/>
      <c r="B3690" s="437" t="s">
        <v>3833</v>
      </c>
      <c r="C3690" s="439"/>
      <c r="D3690" s="439"/>
      <c r="E3690" s="439"/>
      <c r="F3690" s="439"/>
      <c r="G3690" s="451" t="s">
        <v>3834</v>
      </c>
      <c r="Z3690" s="500"/>
      <c r="AA3690" s="500"/>
      <c r="AB3690" s="500"/>
      <c r="AC3690" s="500"/>
      <c r="AD3690" s="500"/>
      <c r="AE3690" s="500"/>
      <c r="AF3690" s="500"/>
      <c r="AG3690" s="500"/>
      <c r="AH3690" s="500"/>
      <c r="AI3690" s="500"/>
      <c r="AJ3690" s="500"/>
      <c r="AK3690" s="500"/>
      <c r="AL3690" s="500"/>
      <c r="AM3690" s="500"/>
      <c r="AN3690" s="500"/>
      <c r="AO3690" s="500"/>
      <c r="AP3690" s="500"/>
    </row>
    <row r="3691" spans="1:42" ht="16.5" customHeight="1">
      <c r="A3691" s="439"/>
      <c r="B3691" s="439"/>
      <c r="C3691" s="439"/>
      <c r="D3691" s="439"/>
      <c r="E3691" s="439"/>
      <c r="F3691" s="439"/>
      <c r="G3691" s="451" t="s">
        <v>3783</v>
      </c>
      <c r="Z3691" s="500"/>
      <c r="AA3691" s="500"/>
      <c r="AB3691" s="500"/>
      <c r="AC3691" s="500"/>
      <c r="AD3691" s="500"/>
      <c r="AE3691" s="500"/>
      <c r="AF3691" s="500"/>
      <c r="AG3691" s="500"/>
      <c r="AH3691" s="500"/>
      <c r="AI3691" s="500"/>
      <c r="AJ3691" s="500"/>
      <c r="AK3691" s="500"/>
      <c r="AL3691" s="500"/>
      <c r="AM3691" s="500"/>
      <c r="AN3691" s="500"/>
      <c r="AO3691" s="500"/>
      <c r="AP3691" s="500"/>
    </row>
    <row r="3692" spans="1:42" ht="16.5" customHeight="1">
      <c r="A3692" s="434" t="s">
        <v>3576</v>
      </c>
      <c r="B3692" s="505" t="str">
        <f>"   노 무 비 :  "&amp;TEXT(I3692,"#,##0"&amp;IF(I3692&lt;&gt;INT(I3692),".###",""))&amp;" * "&amp;AA3692&amp;" = "&amp;TEXT(C3692,"#,##0.0")&amp;""</f>
        <v xml:space="preserve">   노 무 비 :  59,020 * 0.031 = 1,829.6</v>
      </c>
      <c r="C3692" s="506">
        <f>E3692+D3692+F3692</f>
        <v>1829.6</v>
      </c>
      <c r="D3692" s="506">
        <f>IF(H3692=0,0,ROUNDDOWN(J3692*H3692,1))</f>
        <v>1829.6</v>
      </c>
      <c r="E3692" s="506">
        <f>IF(H3692=0,0,ROUNDDOWN(K3692*H3692,1))</f>
        <v>0</v>
      </c>
      <c r="F3692" s="506">
        <f>IF(H3692=0,0,ROUNDDOWN(L3692*H3692,1))</f>
        <v>0</v>
      </c>
      <c r="G3692" s="451" t="s">
        <v>3835</v>
      </c>
      <c r="H3692" s="507">
        <f>ROUNDUP(AC3692,14-LEN(ABS(INT(AC3692))))</f>
        <v>3.1E-2</v>
      </c>
      <c r="I3692" s="508">
        <f>K3692+J3692+L3692</f>
        <v>59020</v>
      </c>
      <c r="J3692" s="509">
        <f>중기목록표!F8</f>
        <v>59020</v>
      </c>
      <c r="M3692" s="501" t="s">
        <v>3159</v>
      </c>
      <c r="N3692" s="501" t="s">
        <v>3416</v>
      </c>
      <c r="X3692" s="510" t="str">
        <f>중기목록표!B8&amp;" / "&amp;중기목록표!C8</f>
        <v>굴착기(무한궤도) / 0.6㎥</v>
      </c>
      <c r="Y3692" s="433" t="str">
        <f ca="1">HYPERLINK("#"&amp;중기목록표!J2&amp;"!A"&amp;ROW(중기목록표!A8),"X00269 →")</f>
        <v>X00269 →</v>
      </c>
      <c r="Z3692" s="501" t="s">
        <v>3500</v>
      </c>
      <c r="AA3692" s="511">
        <v>3.1E-2</v>
      </c>
      <c r="AB3692" s="501" t="s">
        <v>3418</v>
      </c>
      <c r="AC3692" s="512">
        <f>1*AA3692</f>
        <v>3.1E-2</v>
      </c>
      <c r="AD3692" s="500"/>
      <c r="AE3692" s="500"/>
      <c r="AF3692" s="500"/>
      <c r="AG3692" s="500"/>
      <c r="AH3692" s="500"/>
      <c r="AI3692" s="500"/>
      <c r="AJ3692" s="500"/>
      <c r="AK3692" s="500"/>
      <c r="AL3692" s="500"/>
      <c r="AM3692" s="500"/>
      <c r="AN3692" s="500"/>
      <c r="AO3692" s="500"/>
      <c r="AP3692" s="500"/>
    </row>
    <row r="3693" spans="1:42" ht="16.5" customHeight="1">
      <c r="A3693" s="439"/>
      <c r="B3693" s="439"/>
      <c r="C3693" s="439"/>
      <c r="D3693" s="439"/>
      <c r="E3693" s="439"/>
      <c r="F3693" s="439"/>
      <c r="G3693" s="451" t="s">
        <v>3406</v>
      </c>
      <c r="Z3693" s="500"/>
      <c r="AA3693" s="500"/>
      <c r="AB3693" s="500"/>
      <c r="AC3693" s="500"/>
      <c r="AD3693" s="500"/>
      <c r="AE3693" s="500"/>
      <c r="AF3693" s="500"/>
      <c r="AG3693" s="500"/>
      <c r="AH3693" s="500"/>
      <c r="AI3693" s="500"/>
      <c r="AJ3693" s="500"/>
      <c r="AK3693" s="500"/>
      <c r="AL3693" s="500"/>
      <c r="AM3693" s="500"/>
      <c r="AN3693" s="500"/>
      <c r="AO3693" s="500"/>
      <c r="AP3693" s="500"/>
    </row>
    <row r="3694" spans="1:42" ht="16.5" customHeight="1">
      <c r="A3694" s="434" t="s">
        <v>3578</v>
      </c>
      <c r="B3694" s="505" t="str">
        <f>"   재 료 비 :  "&amp;TEXT(I3694,"#,##0"&amp;IF(I3694&lt;&gt;INT(I3694),".###",""))&amp;" * "&amp;AA3694&amp;" = "&amp;TEXT(C3694,"#,##0.0")&amp;""</f>
        <v xml:space="preserve">   재 료 비 :  17,160 * 0.031 = 531.9</v>
      </c>
      <c r="C3694" s="506">
        <f>E3694+D3694+F3694</f>
        <v>531.9</v>
      </c>
      <c r="D3694" s="506">
        <f>IF(H3694=0,0,ROUNDDOWN(J3694*H3694,1))</f>
        <v>0</v>
      </c>
      <c r="E3694" s="506">
        <f>IF(H3694=0,0,ROUNDDOWN(K3694*H3694,1))</f>
        <v>531.9</v>
      </c>
      <c r="F3694" s="506">
        <f>IF(H3694=0,0,ROUNDDOWN(L3694*H3694,1))</f>
        <v>0</v>
      </c>
      <c r="G3694" s="451" t="s">
        <v>3836</v>
      </c>
      <c r="H3694" s="507">
        <f>ROUNDUP(AC3694,14-LEN(ABS(INT(AC3694))))</f>
        <v>3.1E-2</v>
      </c>
      <c r="I3694" s="508">
        <f>K3694+J3694+L3694</f>
        <v>17160</v>
      </c>
      <c r="K3694" s="509">
        <f>중기목록표!G8</f>
        <v>17160</v>
      </c>
      <c r="M3694" s="501" t="s">
        <v>3159</v>
      </c>
      <c r="N3694" s="501" t="s">
        <v>3416</v>
      </c>
      <c r="X3694" s="510" t="str">
        <f>중기목록표!B8&amp;" / "&amp;중기목록표!C8</f>
        <v>굴착기(무한궤도) / 0.6㎥</v>
      </c>
      <c r="Y3694" s="433" t="str">
        <f ca="1">HYPERLINK("#"&amp;중기목록표!J2&amp;"!A"&amp;ROW(중기목록표!A8),"X00269 →")</f>
        <v>X00269 →</v>
      </c>
      <c r="Z3694" s="501" t="s">
        <v>3500</v>
      </c>
      <c r="AA3694" s="511">
        <v>3.1E-2</v>
      </c>
      <c r="AB3694" s="501" t="s">
        <v>3418</v>
      </c>
      <c r="AC3694" s="512">
        <f>1*AA3694</f>
        <v>3.1E-2</v>
      </c>
      <c r="AD3694" s="500"/>
      <c r="AE3694" s="500"/>
      <c r="AF3694" s="500"/>
      <c r="AG3694" s="500"/>
      <c r="AH3694" s="500"/>
      <c r="AI3694" s="500"/>
      <c r="AJ3694" s="500"/>
      <c r="AK3694" s="500"/>
      <c r="AL3694" s="500"/>
      <c r="AM3694" s="500"/>
      <c r="AN3694" s="500"/>
      <c r="AO3694" s="500"/>
      <c r="AP3694" s="500"/>
    </row>
    <row r="3695" spans="1:42" ht="16.5" customHeight="1">
      <c r="A3695" s="439"/>
      <c r="B3695" s="439"/>
      <c r="C3695" s="439"/>
      <c r="D3695" s="439"/>
      <c r="E3695" s="439"/>
      <c r="F3695" s="439"/>
      <c r="G3695" s="451" t="s">
        <v>3406</v>
      </c>
      <c r="Z3695" s="500"/>
      <c r="AA3695" s="500"/>
      <c r="AB3695" s="500"/>
      <c r="AC3695" s="500"/>
      <c r="AD3695" s="500"/>
      <c r="AE3695" s="500"/>
      <c r="AF3695" s="500"/>
      <c r="AG3695" s="500"/>
      <c r="AH3695" s="500"/>
      <c r="AI3695" s="500"/>
      <c r="AJ3695" s="500"/>
      <c r="AK3695" s="500"/>
      <c r="AL3695" s="500"/>
      <c r="AM3695" s="500"/>
      <c r="AN3695" s="500"/>
      <c r="AO3695" s="500"/>
      <c r="AP3695" s="500"/>
    </row>
    <row r="3696" spans="1:42" ht="16.5" customHeight="1">
      <c r="A3696" s="434" t="s">
        <v>3580</v>
      </c>
      <c r="B3696" s="505" t="str">
        <f>"   경    비 :  "&amp;TEXT(I3696,"#,##0"&amp;IF(I3696&lt;&gt;INT(I3696),".###",""))&amp;" * "&amp;AA3696&amp;" = "&amp;TEXT(C3696,"#,##0.0")&amp;""</f>
        <v xml:space="preserve">   경    비 :  23,423 * 0.031 = 726.1</v>
      </c>
      <c r="C3696" s="506">
        <f>E3696+D3696+F3696</f>
        <v>726.1</v>
      </c>
      <c r="D3696" s="506">
        <f>IF(H3696=0,0,ROUNDDOWN(J3696*H3696,1))</f>
        <v>0</v>
      </c>
      <c r="E3696" s="506">
        <f>IF(H3696=0,0,ROUNDDOWN(K3696*H3696,1))</f>
        <v>0</v>
      </c>
      <c r="F3696" s="506">
        <f>IF(H3696=0,0,ROUNDDOWN(L3696*H3696,1))</f>
        <v>726.1</v>
      </c>
      <c r="G3696" s="451" t="s">
        <v>3837</v>
      </c>
      <c r="H3696" s="507">
        <f>ROUNDUP(AC3696,14-LEN(ABS(INT(AC3696))))</f>
        <v>3.1E-2</v>
      </c>
      <c r="I3696" s="508">
        <f>K3696+J3696+L3696</f>
        <v>23423</v>
      </c>
      <c r="L3696" s="509">
        <f>중기목록표!H8</f>
        <v>23423</v>
      </c>
      <c r="M3696" s="501" t="s">
        <v>3159</v>
      </c>
      <c r="N3696" s="501" t="s">
        <v>3416</v>
      </c>
      <c r="X3696" s="510" t="str">
        <f>중기목록표!B8&amp;" / "&amp;중기목록표!C8</f>
        <v>굴착기(무한궤도) / 0.6㎥</v>
      </c>
      <c r="Y3696" s="433" t="str">
        <f ca="1">HYPERLINK("#"&amp;중기목록표!J2&amp;"!A"&amp;ROW(중기목록표!A8),"X00269 →")</f>
        <v>X00269 →</v>
      </c>
      <c r="Z3696" s="501" t="s">
        <v>3500</v>
      </c>
      <c r="AA3696" s="511">
        <v>3.1E-2</v>
      </c>
      <c r="AB3696" s="501" t="s">
        <v>3418</v>
      </c>
      <c r="AC3696" s="512">
        <f>1*AA3696</f>
        <v>3.1E-2</v>
      </c>
      <c r="AD3696" s="500"/>
      <c r="AE3696" s="500"/>
      <c r="AF3696" s="500"/>
      <c r="AG3696" s="500"/>
      <c r="AH3696" s="500"/>
      <c r="AI3696" s="500"/>
      <c r="AJ3696" s="500"/>
      <c r="AK3696" s="500"/>
      <c r="AL3696" s="500"/>
      <c r="AM3696" s="500"/>
      <c r="AN3696" s="500"/>
      <c r="AO3696" s="500"/>
      <c r="AP3696" s="500"/>
    </row>
    <row r="3697" spans="1:42" ht="16.5" customHeight="1">
      <c r="A3697" s="439"/>
      <c r="B3697" s="439"/>
      <c r="C3697" s="439"/>
      <c r="D3697" s="439"/>
      <c r="E3697" s="439"/>
      <c r="F3697" s="439"/>
      <c r="G3697" s="451" t="s">
        <v>3783</v>
      </c>
      <c r="Z3697" s="500"/>
      <c r="AA3697" s="500"/>
      <c r="AB3697" s="500"/>
      <c r="AC3697" s="500"/>
      <c r="AD3697" s="500"/>
      <c r="AE3697" s="500"/>
      <c r="AF3697" s="500"/>
      <c r="AG3697" s="500"/>
      <c r="AH3697" s="500"/>
      <c r="AI3697" s="500"/>
      <c r="AJ3697" s="500"/>
      <c r="AK3697" s="500"/>
      <c r="AL3697" s="500"/>
      <c r="AM3697" s="500"/>
      <c r="AN3697" s="500"/>
      <c r="AO3697" s="500"/>
      <c r="AP3697" s="500"/>
    </row>
    <row r="3698" spans="1:42" ht="16.5" customHeight="1">
      <c r="A3698" s="434"/>
      <c r="B3698" s="437" t="s">
        <v>3419</v>
      </c>
      <c r="C3698" s="513">
        <f>E3698+D3698+F3698</f>
        <v>3087.6</v>
      </c>
      <c r="D3698" s="513">
        <f>SUMIF(N3689:N3697,M3698,D3689:D3697)</f>
        <v>1829.6</v>
      </c>
      <c r="E3698" s="513">
        <f>SUMIF(N3689:N3697,M3698,E3689:E3697)</f>
        <v>531.9</v>
      </c>
      <c r="F3698" s="513">
        <f>SUMIF(N3689:N3697,M3698,F3689:F3697)</f>
        <v>726.1</v>
      </c>
      <c r="G3698" s="451" t="s">
        <v>3838</v>
      </c>
      <c r="M3698" s="501" t="s">
        <v>3416</v>
      </c>
      <c r="N3698" s="501" t="s">
        <v>3421</v>
      </c>
      <c r="Z3698" s="500"/>
      <c r="AA3698" s="500"/>
      <c r="AB3698" s="500"/>
      <c r="AC3698" s="500"/>
      <c r="AD3698" s="500"/>
      <c r="AE3698" s="500"/>
      <c r="AF3698" s="500"/>
      <c r="AG3698" s="500"/>
      <c r="AH3698" s="500"/>
      <c r="AI3698" s="500"/>
      <c r="AJ3698" s="500"/>
      <c r="AK3698" s="500"/>
      <c r="AL3698" s="500"/>
      <c r="AM3698" s="500"/>
      <c r="AN3698" s="500"/>
      <c r="AO3698" s="500"/>
      <c r="AP3698" s="500"/>
    </row>
    <row r="3699" spans="1:42" ht="16.5" customHeight="1">
      <c r="A3699" s="439"/>
      <c r="B3699" s="439"/>
      <c r="C3699" s="504"/>
      <c r="D3699" s="504"/>
      <c r="E3699" s="504"/>
      <c r="F3699" s="504"/>
      <c r="G3699" s="451" t="s">
        <v>3406</v>
      </c>
      <c r="Z3699" s="500"/>
      <c r="AA3699" s="500"/>
      <c r="AB3699" s="500"/>
      <c r="AC3699" s="500"/>
      <c r="AD3699" s="500"/>
      <c r="AE3699" s="500"/>
      <c r="AF3699" s="500"/>
      <c r="AG3699" s="500"/>
      <c r="AH3699" s="500"/>
      <c r="AI3699" s="500"/>
      <c r="AJ3699" s="500"/>
      <c r="AK3699" s="500"/>
      <c r="AL3699" s="500"/>
      <c r="AM3699" s="500"/>
      <c r="AN3699" s="500"/>
      <c r="AO3699" s="500"/>
      <c r="AP3699" s="500"/>
    </row>
    <row r="3700" spans="1:42" ht="16.5" customHeight="1">
      <c r="A3700" s="434"/>
      <c r="B3700" s="437" t="s">
        <v>3440</v>
      </c>
      <c r="C3700" s="513">
        <f>E3700+D3700+F3700</f>
        <v>3947.8999999999996</v>
      </c>
      <c r="D3700" s="513">
        <f>SUMIF(N3679:N3699,M3700,D3679:D3699)</f>
        <v>2689.8999999999996</v>
      </c>
      <c r="E3700" s="513">
        <f>SUMIF(N3679:N3699,M3700,E3679:E3699)</f>
        <v>531.9</v>
      </c>
      <c r="F3700" s="513">
        <f>SUMIF(N3679:N3699,M3700,F3679:F3699)</f>
        <v>726.1</v>
      </c>
      <c r="G3700" s="451" t="s">
        <v>3839</v>
      </c>
      <c r="M3700" s="501" t="s">
        <v>3421</v>
      </c>
      <c r="N3700" s="501" t="s">
        <v>3442</v>
      </c>
      <c r="Z3700" s="500"/>
      <c r="AA3700" s="500"/>
      <c r="AB3700" s="500"/>
      <c r="AC3700" s="500"/>
      <c r="AD3700" s="500"/>
      <c r="AE3700" s="500"/>
      <c r="AF3700" s="500"/>
      <c r="AG3700" s="500"/>
      <c r="AH3700" s="500"/>
      <c r="AI3700" s="500"/>
      <c r="AJ3700" s="500"/>
      <c r="AK3700" s="500"/>
      <c r="AL3700" s="500"/>
      <c r="AM3700" s="500"/>
      <c r="AN3700" s="500"/>
      <c r="AO3700" s="500"/>
      <c r="AP3700" s="500"/>
    </row>
    <row r="3701" spans="1:42" ht="16.5" customHeight="1">
      <c r="A3701" s="439"/>
      <c r="B3701" s="439"/>
      <c r="C3701" s="504"/>
      <c r="D3701" s="504"/>
      <c r="E3701" s="504"/>
      <c r="F3701" s="504"/>
      <c r="G3701" s="451" t="s">
        <v>3783</v>
      </c>
      <c r="Z3701" s="500"/>
      <c r="AA3701" s="500"/>
      <c r="AB3701" s="500"/>
      <c r="AC3701" s="500"/>
      <c r="AD3701" s="500"/>
      <c r="AE3701" s="500"/>
      <c r="AF3701" s="500"/>
      <c r="AG3701" s="500"/>
      <c r="AH3701" s="500"/>
      <c r="AI3701" s="500"/>
      <c r="AJ3701" s="500"/>
      <c r="AK3701" s="500"/>
      <c r="AL3701" s="500"/>
      <c r="AM3701" s="500"/>
      <c r="AN3701" s="500"/>
      <c r="AO3701" s="500"/>
      <c r="AP3701" s="500"/>
    </row>
    <row r="3702" spans="1:42" ht="16.5" customHeight="1">
      <c r="A3702" s="439"/>
      <c r="B3702" s="439"/>
      <c r="C3702" s="439"/>
      <c r="D3702" s="439"/>
      <c r="E3702" s="439"/>
      <c r="F3702" s="439"/>
      <c r="G3702" s="451" t="s">
        <v>3783</v>
      </c>
      <c r="Z3702" s="500"/>
      <c r="AA3702" s="500"/>
      <c r="AB3702" s="500"/>
      <c r="AC3702" s="500"/>
      <c r="AD3702" s="500"/>
      <c r="AE3702" s="500"/>
      <c r="AF3702" s="500"/>
      <c r="AG3702" s="500"/>
      <c r="AH3702" s="500"/>
      <c r="AI3702" s="500"/>
      <c r="AJ3702" s="500"/>
      <c r="AK3702" s="500"/>
      <c r="AL3702" s="500"/>
      <c r="AM3702" s="500"/>
      <c r="AN3702" s="500"/>
      <c r="AO3702" s="500"/>
      <c r="AP3702" s="500"/>
    </row>
    <row r="3703" spans="1:42" ht="16.5" customHeight="1">
      <c r="A3703" s="439"/>
      <c r="B3703" s="439"/>
      <c r="C3703" s="439"/>
      <c r="D3703" s="439"/>
      <c r="E3703" s="439"/>
      <c r="F3703" s="439"/>
      <c r="G3703" s="451" t="s">
        <v>3406</v>
      </c>
      <c r="Z3703" s="500"/>
      <c r="AA3703" s="500"/>
      <c r="AB3703" s="500"/>
      <c r="AC3703" s="500"/>
      <c r="AD3703" s="500"/>
      <c r="AE3703" s="500"/>
      <c r="AF3703" s="500"/>
      <c r="AG3703" s="500"/>
      <c r="AH3703" s="500"/>
      <c r="AI3703" s="500"/>
      <c r="AJ3703" s="500"/>
      <c r="AK3703" s="500"/>
      <c r="AL3703" s="500"/>
      <c r="AM3703" s="500"/>
      <c r="AN3703" s="500"/>
      <c r="AO3703" s="500"/>
      <c r="AP3703" s="500"/>
    </row>
    <row r="3704" spans="1:42" ht="16.5" customHeight="1">
      <c r="A3704" s="434"/>
      <c r="B3704" s="437" t="s">
        <v>3485</v>
      </c>
      <c r="C3704" s="513">
        <f>E3704+D3704+F3704</f>
        <v>7629.7999999999993</v>
      </c>
      <c r="D3704" s="513">
        <f>SUMIF(N3657:N3703,M3704,D3657:D3703)</f>
        <v>6371.7999999999993</v>
      </c>
      <c r="E3704" s="513">
        <f>SUMIF(N3657:N3703,M3704,E3657:E3703)</f>
        <v>531.9</v>
      </c>
      <c r="F3704" s="513">
        <f>SUMIF(N3657:N3703,M3704,F3657:F3703)</f>
        <v>726.1</v>
      </c>
      <c r="G3704" s="451" t="s">
        <v>3840</v>
      </c>
      <c r="M3704" s="501" t="s">
        <v>3442</v>
      </c>
      <c r="N3704" s="501" t="s">
        <v>2354</v>
      </c>
      <c r="Z3704" s="500"/>
      <c r="AA3704" s="500"/>
      <c r="AB3704" s="500"/>
      <c r="AC3704" s="500"/>
      <c r="AD3704" s="500"/>
      <c r="AE3704" s="500"/>
      <c r="AF3704" s="500"/>
      <c r="AG3704" s="500"/>
      <c r="AH3704" s="500"/>
      <c r="AI3704" s="500"/>
      <c r="AJ3704" s="500"/>
      <c r="AK3704" s="500"/>
      <c r="AL3704" s="500"/>
      <c r="AM3704" s="500"/>
      <c r="AN3704" s="500"/>
      <c r="AO3704" s="500"/>
      <c r="AP3704" s="500"/>
    </row>
    <row r="3705" spans="1:42" ht="16.5" customHeight="1">
      <c r="A3705" s="439"/>
      <c r="B3705" s="439"/>
      <c r="C3705" s="504"/>
      <c r="D3705" s="504"/>
      <c r="E3705" s="504"/>
      <c r="F3705" s="504"/>
      <c r="Z3705" s="500"/>
      <c r="AA3705" s="500"/>
      <c r="AB3705" s="500"/>
      <c r="AC3705" s="500"/>
      <c r="AD3705" s="500"/>
      <c r="AE3705" s="500"/>
      <c r="AF3705" s="500"/>
      <c r="AG3705" s="500"/>
      <c r="AH3705" s="500"/>
      <c r="AI3705" s="500"/>
      <c r="AJ3705" s="500"/>
      <c r="AK3705" s="500"/>
      <c r="AL3705" s="500"/>
      <c r="AM3705" s="500"/>
      <c r="AN3705" s="500"/>
      <c r="AO3705" s="500"/>
      <c r="AP3705" s="500"/>
    </row>
    <row r="3706" spans="1:42" ht="16.5" customHeight="1">
      <c r="A3706" s="439"/>
      <c r="B3706" s="439"/>
      <c r="C3706" s="439"/>
      <c r="D3706" s="439"/>
      <c r="E3706" s="439"/>
      <c r="F3706" s="439"/>
      <c r="Z3706" s="500"/>
      <c r="AA3706" s="500"/>
      <c r="AB3706" s="500"/>
      <c r="AC3706" s="500"/>
      <c r="AD3706" s="500"/>
      <c r="AE3706" s="500"/>
      <c r="AF3706" s="500"/>
      <c r="AG3706" s="500"/>
      <c r="AH3706" s="500"/>
      <c r="AI3706" s="500"/>
      <c r="AJ3706" s="500"/>
      <c r="AK3706" s="500"/>
      <c r="AL3706" s="500"/>
      <c r="AM3706" s="500"/>
      <c r="AN3706" s="500"/>
      <c r="AO3706" s="500"/>
      <c r="AP3706" s="500"/>
    </row>
    <row r="3707" spans="1:42" ht="16.5" customHeight="1">
      <c r="A3707" s="439"/>
      <c r="B3707" s="439"/>
      <c r="C3707" s="439"/>
      <c r="D3707" s="439"/>
      <c r="E3707" s="439"/>
      <c r="F3707" s="439"/>
      <c r="Z3707" s="500"/>
      <c r="AA3707" s="500"/>
      <c r="AB3707" s="500"/>
      <c r="AC3707" s="500"/>
      <c r="AD3707" s="500"/>
      <c r="AE3707" s="500"/>
      <c r="AF3707" s="500"/>
      <c r="AG3707" s="500"/>
      <c r="AH3707" s="500"/>
      <c r="AI3707" s="500"/>
      <c r="AJ3707" s="500"/>
      <c r="AK3707" s="500"/>
      <c r="AL3707" s="500"/>
      <c r="AM3707" s="500"/>
      <c r="AN3707" s="500"/>
      <c r="AO3707" s="500"/>
      <c r="AP3707" s="500"/>
    </row>
    <row r="3708" spans="1:42" ht="16.5" customHeight="1">
      <c r="A3708" s="439"/>
      <c r="B3708" s="439"/>
      <c r="C3708" s="439"/>
      <c r="D3708" s="439"/>
      <c r="E3708" s="439"/>
      <c r="F3708" s="439"/>
      <c r="Z3708" s="500"/>
      <c r="AA3708" s="500"/>
      <c r="AB3708" s="500"/>
      <c r="AC3708" s="500"/>
      <c r="AD3708" s="500"/>
      <c r="AE3708" s="500"/>
      <c r="AF3708" s="500"/>
      <c r="AG3708" s="500"/>
      <c r="AH3708" s="500"/>
      <c r="AI3708" s="500"/>
      <c r="AJ3708" s="500"/>
      <c r="AK3708" s="500"/>
      <c r="AL3708" s="500"/>
      <c r="AM3708" s="500"/>
      <c r="AN3708" s="500"/>
      <c r="AO3708" s="500"/>
      <c r="AP3708" s="500"/>
    </row>
    <row r="3709" spans="1:42" ht="16.5" customHeight="1">
      <c r="A3709" s="439"/>
      <c r="B3709" s="439"/>
      <c r="C3709" s="439"/>
      <c r="D3709" s="439"/>
      <c r="E3709" s="439"/>
      <c r="F3709" s="439"/>
      <c r="Z3709" s="500"/>
      <c r="AA3709" s="500"/>
      <c r="AB3709" s="500"/>
      <c r="AC3709" s="500"/>
      <c r="AD3709" s="500"/>
      <c r="AE3709" s="500"/>
      <c r="AF3709" s="500"/>
      <c r="AG3709" s="500"/>
      <c r="AH3709" s="500"/>
      <c r="AI3709" s="500"/>
      <c r="AJ3709" s="500"/>
      <c r="AK3709" s="500"/>
      <c r="AL3709" s="500"/>
      <c r="AM3709" s="500"/>
      <c r="AN3709" s="500"/>
      <c r="AO3709" s="500"/>
      <c r="AP3709" s="500"/>
    </row>
    <row r="3710" spans="1:42" ht="16.5" customHeight="1">
      <c r="A3710" s="439"/>
      <c r="B3710" s="439"/>
      <c r="C3710" s="439"/>
      <c r="D3710" s="439"/>
      <c r="E3710" s="439"/>
      <c r="F3710" s="439"/>
      <c r="Z3710" s="500"/>
      <c r="AA3710" s="500"/>
      <c r="AB3710" s="500"/>
      <c r="AC3710" s="500"/>
      <c r="AD3710" s="500"/>
      <c r="AE3710" s="500"/>
      <c r="AF3710" s="500"/>
      <c r="AG3710" s="500"/>
      <c r="AH3710" s="500"/>
      <c r="AI3710" s="500"/>
      <c r="AJ3710" s="500"/>
      <c r="AK3710" s="500"/>
      <c r="AL3710" s="500"/>
      <c r="AM3710" s="500"/>
      <c r="AN3710" s="500"/>
      <c r="AO3710" s="500"/>
      <c r="AP3710" s="500"/>
    </row>
    <row r="3711" spans="1:42" ht="16.5" customHeight="1">
      <c r="A3711" s="439"/>
      <c r="B3711" s="439"/>
      <c r="C3711" s="439"/>
      <c r="D3711" s="439"/>
      <c r="E3711" s="439"/>
      <c r="F3711" s="439"/>
      <c r="Z3711" s="500"/>
      <c r="AA3711" s="500"/>
      <c r="AB3711" s="500"/>
      <c r="AC3711" s="500"/>
      <c r="AD3711" s="500"/>
      <c r="AE3711" s="500"/>
      <c r="AF3711" s="500"/>
      <c r="AG3711" s="500"/>
      <c r="AH3711" s="500"/>
      <c r="AI3711" s="500"/>
      <c r="AJ3711" s="500"/>
      <c r="AK3711" s="500"/>
      <c r="AL3711" s="500"/>
      <c r="AM3711" s="500"/>
      <c r="AN3711" s="500"/>
      <c r="AO3711" s="500"/>
      <c r="AP3711" s="500"/>
    </row>
    <row r="3712" spans="1:42" ht="16.5" customHeight="1">
      <c r="A3712" s="439"/>
      <c r="B3712" s="439"/>
      <c r="C3712" s="439"/>
      <c r="D3712" s="439"/>
      <c r="E3712" s="439"/>
      <c r="F3712" s="439"/>
      <c r="Z3712" s="500"/>
      <c r="AA3712" s="500"/>
      <c r="AB3712" s="500"/>
      <c r="AC3712" s="500"/>
      <c r="AD3712" s="500"/>
      <c r="AE3712" s="500"/>
      <c r="AF3712" s="500"/>
      <c r="AG3712" s="500"/>
      <c r="AH3712" s="500"/>
      <c r="AI3712" s="500"/>
      <c r="AJ3712" s="500"/>
      <c r="AK3712" s="500"/>
      <c r="AL3712" s="500"/>
      <c r="AM3712" s="500"/>
      <c r="AN3712" s="500"/>
      <c r="AO3712" s="500"/>
      <c r="AP3712" s="500"/>
    </row>
    <row r="3713" spans="1:42" ht="16.5" customHeight="1">
      <c r="A3713" s="439"/>
      <c r="B3713" s="439"/>
      <c r="C3713" s="439"/>
      <c r="D3713" s="439"/>
      <c r="E3713" s="439"/>
      <c r="F3713" s="439"/>
      <c r="Z3713" s="500"/>
      <c r="AA3713" s="500"/>
      <c r="AB3713" s="500"/>
      <c r="AC3713" s="500"/>
      <c r="AD3713" s="500"/>
      <c r="AE3713" s="500"/>
      <c r="AF3713" s="500"/>
      <c r="AG3713" s="500"/>
      <c r="AH3713" s="500"/>
      <c r="AI3713" s="500"/>
      <c r="AJ3713" s="500"/>
      <c r="AK3713" s="500"/>
      <c r="AL3713" s="500"/>
      <c r="AM3713" s="500"/>
      <c r="AN3713" s="500"/>
      <c r="AO3713" s="500"/>
      <c r="AP3713" s="500"/>
    </row>
    <row r="3714" spans="1:42" ht="16.5" customHeight="1">
      <c r="A3714" s="439"/>
      <c r="B3714" s="439"/>
      <c r="C3714" s="439"/>
      <c r="D3714" s="439"/>
      <c r="E3714" s="439"/>
      <c r="F3714" s="439"/>
      <c r="Z3714" s="500"/>
      <c r="AA3714" s="500"/>
      <c r="AB3714" s="500"/>
      <c r="AC3714" s="500"/>
      <c r="AD3714" s="500"/>
      <c r="AE3714" s="500"/>
      <c r="AF3714" s="500"/>
      <c r="AG3714" s="500"/>
      <c r="AH3714" s="500"/>
      <c r="AI3714" s="500"/>
      <c r="AJ3714" s="500"/>
      <c r="AK3714" s="500"/>
      <c r="AL3714" s="500"/>
      <c r="AM3714" s="500"/>
      <c r="AN3714" s="500"/>
      <c r="AO3714" s="500"/>
      <c r="AP3714" s="500"/>
    </row>
    <row r="3715" spans="1:42" ht="16.5" customHeight="1">
      <c r="A3715" s="439"/>
      <c r="B3715" s="439"/>
      <c r="C3715" s="439"/>
      <c r="D3715" s="439"/>
      <c r="E3715" s="439"/>
      <c r="F3715" s="439"/>
      <c r="Z3715" s="500"/>
      <c r="AA3715" s="500"/>
      <c r="AB3715" s="500"/>
      <c r="AC3715" s="500"/>
      <c r="AD3715" s="500"/>
      <c r="AE3715" s="500"/>
      <c r="AF3715" s="500"/>
      <c r="AG3715" s="500"/>
      <c r="AH3715" s="500"/>
      <c r="AI3715" s="500"/>
      <c r="AJ3715" s="500"/>
      <c r="AK3715" s="500"/>
      <c r="AL3715" s="500"/>
      <c r="AM3715" s="500"/>
      <c r="AN3715" s="500"/>
      <c r="AO3715" s="500"/>
      <c r="AP3715" s="500"/>
    </row>
    <row r="3716" spans="1:42" ht="16.5" customHeight="1">
      <c r="A3716" s="439"/>
      <c r="B3716" s="439"/>
      <c r="C3716" s="439"/>
      <c r="D3716" s="439"/>
      <c r="E3716" s="439"/>
      <c r="F3716" s="439"/>
      <c r="Z3716" s="500"/>
      <c r="AA3716" s="500"/>
      <c r="AB3716" s="500"/>
      <c r="AC3716" s="500"/>
      <c r="AD3716" s="500"/>
      <c r="AE3716" s="500"/>
      <c r="AF3716" s="500"/>
      <c r="AG3716" s="500"/>
      <c r="AH3716" s="500"/>
      <c r="AI3716" s="500"/>
      <c r="AJ3716" s="500"/>
      <c r="AK3716" s="500"/>
      <c r="AL3716" s="500"/>
      <c r="AM3716" s="500"/>
      <c r="AN3716" s="500"/>
      <c r="AO3716" s="500"/>
      <c r="AP3716" s="500"/>
    </row>
    <row r="3717" spans="1:42" ht="16.5" customHeight="1">
      <c r="A3717" s="439"/>
      <c r="B3717" s="439"/>
      <c r="C3717" s="439"/>
      <c r="D3717" s="439"/>
      <c r="E3717" s="439"/>
      <c r="F3717" s="439"/>
      <c r="Z3717" s="500"/>
      <c r="AA3717" s="500"/>
      <c r="AB3717" s="500"/>
      <c r="AC3717" s="500"/>
      <c r="AD3717" s="500"/>
      <c r="AE3717" s="500"/>
      <c r="AF3717" s="500"/>
      <c r="AG3717" s="500"/>
      <c r="AH3717" s="500"/>
      <c r="AI3717" s="500"/>
      <c r="AJ3717" s="500"/>
      <c r="AK3717" s="500"/>
      <c r="AL3717" s="500"/>
      <c r="AM3717" s="500"/>
      <c r="AN3717" s="500"/>
      <c r="AO3717" s="500"/>
      <c r="AP3717" s="500"/>
    </row>
    <row r="3718" spans="1:42" ht="16.5" customHeight="1">
      <c r="A3718" s="439"/>
      <c r="B3718" s="439"/>
      <c r="C3718" s="439"/>
      <c r="D3718" s="439"/>
      <c r="E3718" s="439"/>
      <c r="F3718" s="439"/>
      <c r="Z3718" s="500"/>
      <c r="AA3718" s="500"/>
      <c r="AB3718" s="500"/>
      <c r="AC3718" s="500"/>
      <c r="AD3718" s="500"/>
      <c r="AE3718" s="500"/>
      <c r="AF3718" s="500"/>
      <c r="AG3718" s="500"/>
      <c r="AH3718" s="500"/>
      <c r="AI3718" s="500"/>
      <c r="AJ3718" s="500"/>
      <c r="AK3718" s="500"/>
      <c r="AL3718" s="500"/>
      <c r="AM3718" s="500"/>
      <c r="AN3718" s="500"/>
      <c r="AO3718" s="500"/>
      <c r="AP3718" s="500"/>
    </row>
    <row r="3719" spans="1:42" ht="16.5" customHeight="1">
      <c r="A3719" s="439"/>
      <c r="B3719" s="439"/>
      <c r="C3719" s="439"/>
      <c r="D3719" s="439"/>
      <c r="E3719" s="439"/>
      <c r="F3719" s="439"/>
      <c r="Z3719" s="500"/>
      <c r="AA3719" s="500"/>
      <c r="AB3719" s="500"/>
      <c r="AC3719" s="500"/>
      <c r="AD3719" s="500"/>
      <c r="AE3719" s="500"/>
      <c r="AF3719" s="500"/>
      <c r="AG3719" s="500"/>
      <c r="AH3719" s="500"/>
      <c r="AI3719" s="500"/>
      <c r="AJ3719" s="500"/>
      <c r="AK3719" s="500"/>
      <c r="AL3719" s="500"/>
      <c r="AM3719" s="500"/>
      <c r="AN3719" s="500"/>
      <c r="AO3719" s="500"/>
      <c r="AP3719" s="500"/>
    </row>
    <row r="3720" spans="1:42" ht="16.5" customHeight="1">
      <c r="A3720" s="439"/>
      <c r="B3720" s="439"/>
      <c r="C3720" s="439"/>
      <c r="D3720" s="439"/>
      <c r="E3720" s="439"/>
      <c r="F3720" s="439"/>
      <c r="Z3720" s="500"/>
      <c r="AA3720" s="500"/>
      <c r="AB3720" s="500"/>
      <c r="AC3720" s="500"/>
      <c r="AD3720" s="500"/>
      <c r="AE3720" s="500"/>
      <c r="AF3720" s="500"/>
      <c r="AG3720" s="500"/>
      <c r="AH3720" s="500"/>
      <c r="AI3720" s="500"/>
      <c r="AJ3720" s="500"/>
      <c r="AK3720" s="500"/>
      <c r="AL3720" s="500"/>
      <c r="AM3720" s="500"/>
      <c r="AN3720" s="500"/>
      <c r="AO3720" s="500"/>
      <c r="AP3720" s="500"/>
    </row>
    <row r="3721" spans="1:42" ht="16.5" customHeight="1">
      <c r="A3721" s="439"/>
      <c r="B3721" s="439"/>
      <c r="C3721" s="439"/>
      <c r="D3721" s="439"/>
      <c r="E3721" s="439"/>
      <c r="F3721" s="439"/>
      <c r="Z3721" s="500"/>
      <c r="AA3721" s="500"/>
      <c r="AB3721" s="500"/>
      <c r="AC3721" s="500"/>
      <c r="AD3721" s="500"/>
      <c r="AE3721" s="500"/>
      <c r="AF3721" s="500"/>
      <c r="AG3721" s="500"/>
      <c r="AH3721" s="500"/>
      <c r="AI3721" s="500"/>
      <c r="AJ3721" s="500"/>
      <c r="AK3721" s="500"/>
      <c r="AL3721" s="500"/>
      <c r="AM3721" s="500"/>
      <c r="AN3721" s="500"/>
      <c r="AO3721" s="500"/>
      <c r="AP3721" s="500"/>
    </row>
    <row r="3722" spans="1:42" ht="16.5" customHeight="1">
      <c r="A3722" s="439"/>
      <c r="B3722" s="439"/>
      <c r="C3722" s="439"/>
      <c r="D3722" s="439"/>
      <c r="E3722" s="439"/>
      <c r="F3722" s="439"/>
      <c r="Z3722" s="500"/>
      <c r="AA3722" s="500"/>
      <c r="AB3722" s="500"/>
      <c r="AC3722" s="500"/>
      <c r="AD3722" s="500"/>
      <c r="AE3722" s="500"/>
      <c r="AF3722" s="500"/>
      <c r="AG3722" s="500"/>
      <c r="AH3722" s="500"/>
      <c r="AI3722" s="500"/>
      <c r="AJ3722" s="500"/>
      <c r="AK3722" s="500"/>
      <c r="AL3722" s="500"/>
      <c r="AM3722" s="500"/>
      <c r="AN3722" s="500"/>
      <c r="AO3722" s="500"/>
      <c r="AP3722" s="500"/>
    </row>
    <row r="3723" spans="1:42" ht="16.5" customHeight="1">
      <c r="A3723" s="439"/>
      <c r="B3723" s="439"/>
      <c r="C3723" s="439"/>
      <c r="D3723" s="439"/>
      <c r="E3723" s="439"/>
      <c r="F3723" s="439"/>
      <c r="Z3723" s="500"/>
      <c r="AA3723" s="500"/>
      <c r="AB3723" s="500"/>
      <c r="AC3723" s="500"/>
      <c r="AD3723" s="500"/>
      <c r="AE3723" s="500"/>
      <c r="AF3723" s="500"/>
      <c r="AG3723" s="500"/>
      <c r="AH3723" s="500"/>
      <c r="AI3723" s="500"/>
      <c r="AJ3723" s="500"/>
      <c r="AK3723" s="500"/>
      <c r="AL3723" s="500"/>
      <c r="AM3723" s="500"/>
      <c r="AN3723" s="500"/>
      <c r="AO3723" s="500"/>
      <c r="AP3723" s="500"/>
    </row>
    <row r="3724" spans="1:42" ht="16.5" customHeight="1">
      <c r="A3724" s="439"/>
      <c r="B3724" s="439"/>
      <c r="C3724" s="439"/>
      <c r="D3724" s="439"/>
      <c r="E3724" s="439"/>
      <c r="F3724" s="439"/>
      <c r="Z3724" s="500"/>
      <c r="AA3724" s="500"/>
      <c r="AB3724" s="500"/>
      <c r="AC3724" s="500"/>
      <c r="AD3724" s="500"/>
      <c r="AE3724" s="500"/>
      <c r="AF3724" s="500"/>
      <c r="AG3724" s="500"/>
      <c r="AH3724" s="500"/>
      <c r="AI3724" s="500"/>
      <c r="AJ3724" s="500"/>
      <c r="AK3724" s="500"/>
      <c r="AL3724" s="500"/>
      <c r="AM3724" s="500"/>
      <c r="AN3724" s="500"/>
      <c r="AO3724" s="500"/>
      <c r="AP3724" s="500"/>
    </row>
    <row r="3725" spans="1:42" ht="16.5" customHeight="1">
      <c r="A3725" s="439"/>
      <c r="B3725" s="439"/>
      <c r="C3725" s="439"/>
      <c r="D3725" s="439"/>
      <c r="E3725" s="439"/>
      <c r="F3725" s="439"/>
      <c r="Z3725" s="500"/>
      <c r="AA3725" s="500"/>
      <c r="AB3725" s="500"/>
      <c r="AC3725" s="500"/>
      <c r="AD3725" s="500"/>
      <c r="AE3725" s="500"/>
      <c r="AF3725" s="500"/>
      <c r="AG3725" s="500"/>
      <c r="AH3725" s="500"/>
      <c r="AI3725" s="500"/>
      <c r="AJ3725" s="500"/>
      <c r="AK3725" s="500"/>
      <c r="AL3725" s="500"/>
      <c r="AM3725" s="500"/>
      <c r="AN3725" s="500"/>
      <c r="AO3725" s="500"/>
      <c r="AP3725" s="500"/>
    </row>
    <row r="3726" spans="1:42" ht="16.5" customHeight="1">
      <c r="A3726" s="439"/>
      <c r="B3726" s="439"/>
      <c r="C3726" s="439"/>
      <c r="D3726" s="439"/>
      <c r="E3726" s="439"/>
      <c r="F3726" s="439"/>
      <c r="Z3726" s="500"/>
      <c r="AA3726" s="500"/>
      <c r="AB3726" s="500"/>
      <c r="AC3726" s="500"/>
      <c r="AD3726" s="500"/>
      <c r="AE3726" s="500"/>
      <c r="AF3726" s="500"/>
      <c r="AG3726" s="500"/>
      <c r="AH3726" s="500"/>
      <c r="AI3726" s="500"/>
      <c r="AJ3726" s="500"/>
      <c r="AK3726" s="500"/>
      <c r="AL3726" s="500"/>
      <c r="AM3726" s="500"/>
      <c r="AN3726" s="500"/>
      <c r="AO3726" s="500"/>
      <c r="AP3726" s="500"/>
    </row>
    <row r="3727" spans="1:42" ht="16.5" customHeight="1">
      <c r="A3727" s="439"/>
      <c r="B3727" s="439"/>
      <c r="C3727" s="439"/>
      <c r="D3727" s="439"/>
      <c r="E3727" s="439"/>
      <c r="F3727" s="439"/>
      <c r="Z3727" s="500"/>
      <c r="AA3727" s="500"/>
      <c r="AB3727" s="500"/>
      <c r="AC3727" s="500"/>
      <c r="AD3727" s="500"/>
      <c r="AE3727" s="500"/>
      <c r="AF3727" s="500"/>
      <c r="AG3727" s="500"/>
      <c r="AH3727" s="500"/>
      <c r="AI3727" s="500"/>
      <c r="AJ3727" s="500"/>
      <c r="AK3727" s="500"/>
      <c r="AL3727" s="500"/>
      <c r="AM3727" s="500"/>
      <c r="AN3727" s="500"/>
      <c r="AO3727" s="500"/>
      <c r="AP3727" s="500"/>
    </row>
    <row r="3728" spans="1:42" ht="16.5" customHeight="1">
      <c r="A3728" s="439"/>
      <c r="B3728" s="439"/>
      <c r="C3728" s="439"/>
      <c r="D3728" s="439"/>
      <c r="E3728" s="439"/>
      <c r="F3728" s="439"/>
      <c r="Z3728" s="500"/>
      <c r="AA3728" s="500"/>
      <c r="AB3728" s="500"/>
      <c r="AC3728" s="500"/>
      <c r="AD3728" s="500"/>
      <c r="AE3728" s="500"/>
      <c r="AF3728" s="500"/>
      <c r="AG3728" s="500"/>
      <c r="AH3728" s="500"/>
      <c r="AI3728" s="500"/>
      <c r="AJ3728" s="500"/>
      <c r="AK3728" s="500"/>
      <c r="AL3728" s="500"/>
      <c r="AM3728" s="500"/>
      <c r="AN3728" s="500"/>
      <c r="AO3728" s="500"/>
      <c r="AP3728" s="500"/>
    </row>
    <row r="3729" spans="1:42" ht="16.5" customHeight="1">
      <c r="A3729" s="439"/>
      <c r="B3729" s="439"/>
      <c r="C3729" s="439"/>
      <c r="D3729" s="439"/>
      <c r="E3729" s="439"/>
      <c r="F3729" s="439"/>
      <c r="Z3729" s="500"/>
      <c r="AA3729" s="500"/>
      <c r="AB3729" s="500"/>
      <c r="AC3729" s="500"/>
      <c r="AD3729" s="500"/>
      <c r="AE3729" s="500"/>
      <c r="AF3729" s="500"/>
      <c r="AG3729" s="500"/>
      <c r="AH3729" s="500"/>
      <c r="AI3729" s="500"/>
      <c r="AJ3729" s="500"/>
      <c r="AK3729" s="500"/>
      <c r="AL3729" s="500"/>
      <c r="AM3729" s="500"/>
      <c r="AN3729" s="500"/>
      <c r="AO3729" s="500"/>
      <c r="AP3729" s="500"/>
    </row>
    <row r="3730" spans="1:42" ht="16.5" customHeight="1">
      <c r="A3730" s="439"/>
      <c r="B3730" s="439"/>
      <c r="C3730" s="439"/>
      <c r="D3730" s="439"/>
      <c r="E3730" s="439"/>
      <c r="F3730" s="439"/>
      <c r="Z3730" s="500"/>
      <c r="AA3730" s="500"/>
      <c r="AB3730" s="500"/>
      <c r="AC3730" s="500"/>
      <c r="AD3730" s="500"/>
      <c r="AE3730" s="500"/>
      <c r="AF3730" s="500"/>
      <c r="AG3730" s="500"/>
      <c r="AH3730" s="500"/>
      <c r="AI3730" s="500"/>
      <c r="AJ3730" s="500"/>
      <c r="AK3730" s="500"/>
      <c r="AL3730" s="500"/>
      <c r="AM3730" s="500"/>
      <c r="AN3730" s="500"/>
      <c r="AO3730" s="500"/>
      <c r="AP3730" s="500"/>
    </row>
    <row r="3731" spans="1:42" ht="16.5" customHeight="1">
      <c r="A3731" s="439"/>
      <c r="B3731" s="439"/>
      <c r="C3731" s="439"/>
      <c r="D3731" s="439"/>
      <c r="E3731" s="439"/>
      <c r="F3731" s="439"/>
      <c r="Z3731" s="500"/>
      <c r="AA3731" s="500"/>
      <c r="AB3731" s="500"/>
      <c r="AC3731" s="500"/>
      <c r="AD3731" s="500"/>
      <c r="AE3731" s="500"/>
      <c r="AF3731" s="500"/>
      <c r="AG3731" s="500"/>
      <c r="AH3731" s="500"/>
      <c r="AI3731" s="500"/>
      <c r="AJ3731" s="500"/>
      <c r="AK3731" s="500"/>
      <c r="AL3731" s="500"/>
      <c r="AM3731" s="500"/>
      <c r="AN3731" s="500"/>
      <c r="AO3731" s="500"/>
      <c r="AP3731" s="500"/>
    </row>
    <row r="3732" spans="1:42" ht="16.5" customHeight="1">
      <c r="A3732" s="439"/>
      <c r="B3732" s="439"/>
      <c r="C3732" s="439"/>
      <c r="D3732" s="439"/>
      <c r="E3732" s="439"/>
      <c r="F3732" s="439"/>
      <c r="Z3732" s="500"/>
      <c r="AA3732" s="500"/>
      <c r="AB3732" s="500"/>
      <c r="AC3732" s="500"/>
      <c r="AD3732" s="500"/>
      <c r="AE3732" s="500"/>
      <c r="AF3732" s="500"/>
      <c r="AG3732" s="500"/>
      <c r="AH3732" s="500"/>
      <c r="AI3732" s="500"/>
      <c r="AJ3732" s="500"/>
      <c r="AK3732" s="500"/>
      <c r="AL3732" s="500"/>
      <c r="AM3732" s="500"/>
      <c r="AN3732" s="500"/>
      <c r="AO3732" s="500"/>
      <c r="AP3732" s="500"/>
    </row>
    <row r="3733" spans="1:42" ht="16.5" customHeight="1">
      <c r="A3733" s="439"/>
      <c r="B3733" s="439"/>
      <c r="C3733" s="439"/>
      <c r="D3733" s="439"/>
      <c r="E3733" s="439"/>
      <c r="F3733" s="439"/>
      <c r="Z3733" s="500"/>
      <c r="AA3733" s="500"/>
      <c r="AB3733" s="500"/>
      <c r="AC3733" s="500"/>
      <c r="AD3733" s="500"/>
      <c r="AE3733" s="500"/>
      <c r="AF3733" s="500"/>
      <c r="AG3733" s="500"/>
      <c r="AH3733" s="500"/>
      <c r="AI3733" s="500"/>
      <c r="AJ3733" s="500"/>
      <c r="AK3733" s="500"/>
      <c r="AL3733" s="500"/>
      <c r="AM3733" s="500"/>
      <c r="AN3733" s="500"/>
      <c r="AO3733" s="500"/>
      <c r="AP3733" s="500"/>
    </row>
    <row r="3734" spans="1:42" ht="16.5" customHeight="1">
      <c r="A3734" s="439"/>
      <c r="B3734" s="439"/>
      <c r="C3734" s="439"/>
      <c r="D3734" s="439"/>
      <c r="E3734" s="439"/>
      <c r="F3734" s="439"/>
      <c r="Z3734" s="500"/>
      <c r="AA3734" s="500"/>
      <c r="AB3734" s="500"/>
      <c r="AC3734" s="500"/>
      <c r="AD3734" s="500"/>
      <c r="AE3734" s="500"/>
      <c r="AF3734" s="500"/>
      <c r="AG3734" s="500"/>
      <c r="AH3734" s="500"/>
      <c r="AI3734" s="500"/>
      <c r="AJ3734" s="500"/>
      <c r="AK3734" s="500"/>
      <c r="AL3734" s="500"/>
      <c r="AM3734" s="500"/>
      <c r="AN3734" s="500"/>
      <c r="AO3734" s="500"/>
      <c r="AP3734" s="500"/>
    </row>
    <row r="3735" spans="1:42" ht="16.5" customHeight="1">
      <c r="A3735" s="439"/>
      <c r="B3735" s="439"/>
      <c r="C3735" s="439"/>
      <c r="D3735" s="439"/>
      <c r="E3735" s="439"/>
      <c r="F3735" s="439"/>
      <c r="Z3735" s="500"/>
      <c r="AA3735" s="500"/>
      <c r="AB3735" s="500"/>
      <c r="AC3735" s="500"/>
      <c r="AD3735" s="500"/>
      <c r="AE3735" s="500"/>
      <c r="AF3735" s="500"/>
      <c r="AG3735" s="500"/>
      <c r="AH3735" s="500"/>
      <c r="AI3735" s="500"/>
      <c r="AJ3735" s="500"/>
      <c r="AK3735" s="500"/>
      <c r="AL3735" s="500"/>
      <c r="AM3735" s="500"/>
      <c r="AN3735" s="500"/>
      <c r="AO3735" s="500"/>
      <c r="AP3735" s="500"/>
    </row>
    <row r="3736" spans="1:42" ht="16.5" customHeight="1">
      <c r="A3736" s="439"/>
      <c r="B3736" s="439"/>
      <c r="C3736" s="439"/>
      <c r="D3736" s="439"/>
      <c r="E3736" s="439"/>
      <c r="F3736" s="439"/>
      <c r="Z3736" s="500"/>
      <c r="AA3736" s="500"/>
      <c r="AB3736" s="500"/>
      <c r="AC3736" s="500"/>
      <c r="AD3736" s="500"/>
      <c r="AE3736" s="500"/>
      <c r="AF3736" s="500"/>
      <c r="AG3736" s="500"/>
      <c r="AH3736" s="500"/>
      <c r="AI3736" s="500"/>
      <c r="AJ3736" s="500"/>
      <c r="AK3736" s="500"/>
      <c r="AL3736" s="500"/>
      <c r="AM3736" s="500"/>
      <c r="AN3736" s="500"/>
      <c r="AO3736" s="500"/>
      <c r="AP3736" s="500"/>
    </row>
    <row r="3737" spans="1:42" ht="16.5" customHeight="1">
      <c r="A3737" s="439"/>
      <c r="B3737" s="439"/>
      <c r="C3737" s="439"/>
      <c r="D3737" s="439"/>
      <c r="E3737" s="439"/>
      <c r="F3737" s="439"/>
      <c r="Z3737" s="500"/>
      <c r="AA3737" s="500"/>
      <c r="AB3737" s="500"/>
      <c r="AC3737" s="500"/>
      <c r="AD3737" s="500"/>
      <c r="AE3737" s="500"/>
      <c r="AF3737" s="500"/>
      <c r="AG3737" s="500"/>
      <c r="AH3737" s="500"/>
      <c r="AI3737" s="500"/>
      <c r="AJ3737" s="500"/>
      <c r="AK3737" s="500"/>
      <c r="AL3737" s="500"/>
      <c r="AM3737" s="500"/>
      <c r="AN3737" s="500"/>
      <c r="AO3737" s="500"/>
      <c r="AP3737" s="500"/>
    </row>
    <row r="3738" spans="1:42" ht="16.5" customHeight="1">
      <c r="A3738" s="439"/>
      <c r="B3738" s="439"/>
      <c r="C3738" s="439"/>
      <c r="D3738" s="439"/>
      <c r="E3738" s="439"/>
      <c r="F3738" s="439"/>
      <c r="Z3738" s="500"/>
      <c r="AA3738" s="500"/>
      <c r="AB3738" s="500"/>
      <c r="AC3738" s="500"/>
      <c r="AD3738" s="500"/>
      <c r="AE3738" s="500"/>
      <c r="AF3738" s="500"/>
      <c r="AG3738" s="500"/>
      <c r="AH3738" s="500"/>
      <c r="AI3738" s="500"/>
      <c r="AJ3738" s="500"/>
      <c r="AK3738" s="500"/>
      <c r="AL3738" s="500"/>
      <c r="AM3738" s="500"/>
      <c r="AN3738" s="500"/>
      <c r="AO3738" s="500"/>
      <c r="AP3738" s="500"/>
    </row>
    <row r="3739" spans="1:42" ht="16.5" customHeight="1">
      <c r="A3739" s="439"/>
      <c r="B3739" s="439"/>
      <c r="C3739" s="439"/>
      <c r="D3739" s="439"/>
      <c r="E3739" s="439"/>
      <c r="F3739" s="439"/>
      <c r="Z3739" s="500"/>
      <c r="AA3739" s="500"/>
      <c r="AB3739" s="500"/>
      <c r="AC3739" s="500"/>
      <c r="AD3739" s="500"/>
      <c r="AE3739" s="500"/>
      <c r="AF3739" s="500"/>
      <c r="AG3739" s="500"/>
      <c r="AH3739" s="500"/>
      <c r="AI3739" s="500"/>
      <c r="AJ3739" s="500"/>
      <c r="AK3739" s="500"/>
      <c r="AL3739" s="500"/>
      <c r="AM3739" s="500"/>
      <c r="AN3739" s="500"/>
      <c r="AO3739" s="500"/>
      <c r="AP3739" s="500"/>
    </row>
    <row r="3740" spans="1:42" ht="16.5" customHeight="1">
      <c r="A3740" s="439"/>
      <c r="B3740" s="439"/>
      <c r="C3740" s="439"/>
      <c r="D3740" s="439"/>
      <c r="E3740" s="439"/>
      <c r="F3740" s="439"/>
      <c r="Z3740" s="500"/>
      <c r="AA3740" s="500"/>
      <c r="AB3740" s="500"/>
      <c r="AC3740" s="500"/>
      <c r="AD3740" s="500"/>
      <c r="AE3740" s="500"/>
      <c r="AF3740" s="500"/>
      <c r="AG3740" s="500"/>
      <c r="AH3740" s="500"/>
      <c r="AI3740" s="500"/>
      <c r="AJ3740" s="500"/>
      <c r="AK3740" s="500"/>
      <c r="AL3740" s="500"/>
      <c r="AM3740" s="500"/>
      <c r="AN3740" s="500"/>
      <c r="AO3740" s="500"/>
      <c r="AP3740" s="500"/>
    </row>
    <row r="3741" spans="1:42" ht="16.5" customHeight="1">
      <c r="A3741" s="439"/>
      <c r="B3741" s="439"/>
      <c r="C3741" s="439"/>
      <c r="D3741" s="439"/>
      <c r="E3741" s="439"/>
      <c r="F3741" s="439"/>
      <c r="Z3741" s="500"/>
      <c r="AA3741" s="500"/>
      <c r="AB3741" s="500"/>
      <c r="AC3741" s="500"/>
      <c r="AD3741" s="500"/>
      <c r="AE3741" s="500"/>
      <c r="AF3741" s="500"/>
      <c r="AG3741" s="500"/>
      <c r="AH3741" s="500"/>
      <c r="AI3741" s="500"/>
      <c r="AJ3741" s="500"/>
      <c r="AK3741" s="500"/>
      <c r="AL3741" s="500"/>
      <c r="AM3741" s="500"/>
      <c r="AN3741" s="500"/>
      <c r="AO3741" s="500"/>
      <c r="AP3741" s="500"/>
    </row>
    <row r="3742" spans="1:42" ht="16.5" customHeight="1">
      <c r="A3742" s="439"/>
      <c r="B3742" s="439"/>
      <c r="C3742" s="439"/>
      <c r="D3742" s="439"/>
      <c r="E3742" s="439"/>
      <c r="F3742" s="439"/>
      <c r="Z3742" s="500"/>
      <c r="AA3742" s="500"/>
      <c r="AB3742" s="500"/>
      <c r="AC3742" s="500"/>
      <c r="AD3742" s="500"/>
      <c r="AE3742" s="500"/>
      <c r="AF3742" s="500"/>
      <c r="AG3742" s="500"/>
      <c r="AH3742" s="500"/>
      <c r="AI3742" s="500"/>
      <c r="AJ3742" s="500"/>
      <c r="AK3742" s="500"/>
      <c r="AL3742" s="500"/>
      <c r="AM3742" s="500"/>
      <c r="AN3742" s="500"/>
      <c r="AO3742" s="500"/>
      <c r="AP3742" s="500"/>
    </row>
    <row r="3743" spans="1:42" ht="16.5" customHeight="1">
      <c r="A3743" s="439"/>
      <c r="B3743" s="439"/>
      <c r="C3743" s="439"/>
      <c r="D3743" s="439"/>
      <c r="E3743" s="439"/>
      <c r="F3743" s="439"/>
      <c r="Z3743" s="500"/>
      <c r="AA3743" s="500"/>
      <c r="AB3743" s="500"/>
      <c r="AC3743" s="500"/>
      <c r="AD3743" s="500"/>
      <c r="AE3743" s="500"/>
      <c r="AF3743" s="500"/>
      <c r="AG3743" s="500"/>
      <c r="AH3743" s="500"/>
      <c r="AI3743" s="500"/>
      <c r="AJ3743" s="500"/>
      <c r="AK3743" s="500"/>
      <c r="AL3743" s="500"/>
      <c r="AM3743" s="500"/>
      <c r="AN3743" s="500"/>
      <c r="AO3743" s="500"/>
      <c r="AP3743" s="500"/>
    </row>
    <row r="3744" spans="1:42" ht="16.5" customHeight="1">
      <c r="A3744" s="439"/>
      <c r="B3744" s="439"/>
      <c r="C3744" s="439"/>
      <c r="D3744" s="439"/>
      <c r="E3744" s="439"/>
      <c r="F3744" s="439"/>
      <c r="Z3744" s="500"/>
      <c r="AA3744" s="500"/>
      <c r="AB3744" s="500"/>
      <c r="AC3744" s="500"/>
      <c r="AD3744" s="500"/>
      <c r="AE3744" s="500"/>
      <c r="AF3744" s="500"/>
      <c r="AG3744" s="500"/>
      <c r="AH3744" s="500"/>
      <c r="AI3744" s="500"/>
      <c r="AJ3744" s="500"/>
      <c r="AK3744" s="500"/>
      <c r="AL3744" s="500"/>
      <c r="AM3744" s="500"/>
      <c r="AN3744" s="500"/>
      <c r="AO3744" s="500"/>
      <c r="AP3744" s="500"/>
    </row>
    <row r="3745" spans="1:42" ht="16.5" customHeight="1">
      <c r="A3745" s="439"/>
      <c r="B3745" s="439"/>
      <c r="C3745" s="439"/>
      <c r="D3745" s="439"/>
      <c r="E3745" s="439"/>
      <c r="F3745" s="439"/>
      <c r="Z3745" s="500"/>
      <c r="AA3745" s="500"/>
      <c r="AB3745" s="500"/>
      <c r="AC3745" s="500"/>
      <c r="AD3745" s="500"/>
      <c r="AE3745" s="500"/>
      <c r="AF3745" s="500"/>
      <c r="AG3745" s="500"/>
      <c r="AH3745" s="500"/>
      <c r="AI3745" s="500"/>
      <c r="AJ3745" s="500"/>
      <c r="AK3745" s="500"/>
      <c r="AL3745" s="500"/>
      <c r="AM3745" s="500"/>
      <c r="AN3745" s="500"/>
      <c r="AO3745" s="500"/>
      <c r="AP3745" s="500"/>
    </row>
    <row r="3746" spans="1:42" ht="16.5" customHeight="1">
      <c r="A3746" s="439"/>
      <c r="B3746" s="439"/>
      <c r="C3746" s="439"/>
      <c r="D3746" s="439"/>
      <c r="E3746" s="439"/>
      <c r="F3746" s="439"/>
      <c r="Z3746" s="500"/>
      <c r="AA3746" s="500"/>
      <c r="AB3746" s="500"/>
      <c r="AC3746" s="500"/>
      <c r="AD3746" s="500"/>
      <c r="AE3746" s="500"/>
      <c r="AF3746" s="500"/>
      <c r="AG3746" s="500"/>
      <c r="AH3746" s="500"/>
      <c r="AI3746" s="500"/>
      <c r="AJ3746" s="500"/>
      <c r="AK3746" s="500"/>
      <c r="AL3746" s="500"/>
      <c r="AM3746" s="500"/>
      <c r="AN3746" s="500"/>
      <c r="AO3746" s="500"/>
      <c r="AP3746" s="500"/>
    </row>
    <row r="3747" spans="1:42" ht="16.5" customHeight="1">
      <c r="A3747" s="439"/>
      <c r="B3747" s="439"/>
      <c r="C3747" s="439"/>
      <c r="D3747" s="439"/>
      <c r="E3747" s="439"/>
      <c r="F3747" s="439"/>
      <c r="Z3747" s="500"/>
      <c r="AA3747" s="500"/>
      <c r="AB3747" s="500"/>
      <c r="AC3747" s="500"/>
      <c r="AD3747" s="500"/>
      <c r="AE3747" s="500"/>
      <c r="AF3747" s="500"/>
      <c r="AG3747" s="500"/>
      <c r="AH3747" s="500"/>
      <c r="AI3747" s="500"/>
      <c r="AJ3747" s="500"/>
      <c r="AK3747" s="500"/>
      <c r="AL3747" s="500"/>
      <c r="AM3747" s="500"/>
      <c r="AN3747" s="500"/>
      <c r="AO3747" s="500"/>
      <c r="AP3747" s="500"/>
    </row>
    <row r="3748" spans="1:42" ht="16.5" customHeight="1">
      <c r="A3748" s="439"/>
      <c r="B3748" s="439"/>
      <c r="C3748" s="439"/>
      <c r="D3748" s="439"/>
      <c r="E3748" s="439"/>
      <c r="F3748" s="439"/>
      <c r="Z3748" s="500"/>
      <c r="AA3748" s="500"/>
      <c r="AB3748" s="500"/>
      <c r="AC3748" s="500"/>
      <c r="AD3748" s="500"/>
      <c r="AE3748" s="500"/>
      <c r="AF3748" s="500"/>
      <c r="AG3748" s="500"/>
      <c r="AH3748" s="500"/>
      <c r="AI3748" s="500"/>
      <c r="AJ3748" s="500"/>
      <c r="AK3748" s="500"/>
      <c r="AL3748" s="500"/>
      <c r="AM3748" s="500"/>
      <c r="AN3748" s="500"/>
      <c r="AO3748" s="500"/>
      <c r="AP3748" s="500"/>
    </row>
    <row r="3749" spans="1:42" ht="16.5" customHeight="1">
      <c r="A3749" s="439"/>
      <c r="B3749" s="439"/>
      <c r="C3749" s="439"/>
      <c r="D3749" s="439"/>
      <c r="E3749" s="439"/>
      <c r="F3749" s="439"/>
      <c r="Z3749" s="500"/>
      <c r="AA3749" s="500"/>
      <c r="AB3749" s="500"/>
      <c r="AC3749" s="500"/>
      <c r="AD3749" s="500"/>
      <c r="AE3749" s="500"/>
      <c r="AF3749" s="500"/>
      <c r="AG3749" s="500"/>
      <c r="AH3749" s="500"/>
      <c r="AI3749" s="500"/>
      <c r="AJ3749" s="500"/>
      <c r="AK3749" s="500"/>
      <c r="AL3749" s="500"/>
      <c r="AM3749" s="500"/>
      <c r="AN3749" s="500"/>
      <c r="AO3749" s="500"/>
      <c r="AP3749" s="500"/>
    </row>
    <row r="3750" spans="1:42" ht="16.5" customHeight="1">
      <c r="A3750" s="439"/>
      <c r="B3750" s="439"/>
      <c r="C3750" s="439"/>
      <c r="D3750" s="439"/>
      <c r="E3750" s="439"/>
      <c r="F3750" s="439"/>
      <c r="Z3750" s="500"/>
      <c r="AA3750" s="500"/>
      <c r="AB3750" s="500"/>
      <c r="AC3750" s="500"/>
      <c r="AD3750" s="500"/>
      <c r="AE3750" s="500"/>
      <c r="AF3750" s="500"/>
      <c r="AG3750" s="500"/>
      <c r="AH3750" s="500"/>
      <c r="AI3750" s="500"/>
      <c r="AJ3750" s="500"/>
      <c r="AK3750" s="500"/>
      <c r="AL3750" s="500"/>
      <c r="AM3750" s="500"/>
      <c r="AN3750" s="500"/>
      <c r="AO3750" s="500"/>
      <c r="AP3750" s="500"/>
    </row>
    <row r="3751" spans="1:42" ht="16.5" customHeight="1">
      <c r="A3751" s="439"/>
      <c r="B3751" s="439"/>
      <c r="C3751" s="439"/>
      <c r="D3751" s="439"/>
      <c r="E3751" s="439"/>
      <c r="F3751" s="439"/>
      <c r="Z3751" s="500"/>
      <c r="AA3751" s="500"/>
      <c r="AB3751" s="500"/>
      <c r="AC3751" s="500"/>
      <c r="AD3751" s="500"/>
      <c r="AE3751" s="500"/>
      <c r="AF3751" s="500"/>
      <c r="AG3751" s="500"/>
      <c r="AH3751" s="500"/>
      <c r="AI3751" s="500"/>
      <c r="AJ3751" s="500"/>
      <c r="AK3751" s="500"/>
      <c r="AL3751" s="500"/>
      <c r="AM3751" s="500"/>
      <c r="AN3751" s="500"/>
      <c r="AO3751" s="500"/>
      <c r="AP3751" s="500"/>
    </row>
    <row r="3752" spans="1:42" ht="16.5" customHeight="1">
      <c r="A3752" s="439"/>
      <c r="B3752" s="439"/>
      <c r="C3752" s="439"/>
      <c r="D3752" s="439"/>
      <c r="E3752" s="439"/>
      <c r="F3752" s="439"/>
      <c r="Z3752" s="500"/>
      <c r="AA3752" s="500"/>
      <c r="AB3752" s="500"/>
      <c r="AC3752" s="500"/>
      <c r="AD3752" s="500"/>
      <c r="AE3752" s="500"/>
      <c r="AF3752" s="500"/>
      <c r="AG3752" s="500"/>
      <c r="AH3752" s="500"/>
      <c r="AI3752" s="500"/>
      <c r="AJ3752" s="500"/>
      <c r="AK3752" s="500"/>
      <c r="AL3752" s="500"/>
      <c r="AM3752" s="500"/>
      <c r="AN3752" s="500"/>
      <c r="AO3752" s="500"/>
      <c r="AP3752" s="500"/>
    </row>
    <row r="3753" spans="1:42" ht="16.5" customHeight="1">
      <c r="A3753" s="497"/>
      <c r="B3753" s="497"/>
      <c r="C3753" s="497"/>
      <c r="D3753" s="497"/>
      <c r="E3753" s="497"/>
      <c r="F3753" s="497"/>
      <c r="Z3753" s="500"/>
      <c r="AA3753" s="500"/>
      <c r="AB3753" s="500"/>
      <c r="AC3753" s="500"/>
      <c r="AD3753" s="500"/>
      <c r="AE3753" s="500"/>
      <c r="AF3753" s="500"/>
      <c r="AG3753" s="500"/>
      <c r="AH3753" s="500"/>
      <c r="AI3753" s="500"/>
      <c r="AJ3753" s="500"/>
      <c r="AK3753" s="500"/>
      <c r="AL3753" s="500"/>
      <c r="AM3753" s="500"/>
      <c r="AN3753" s="500"/>
      <c r="AO3753" s="500"/>
      <c r="AP3753" s="500"/>
    </row>
    <row r="3754" spans="1:42" ht="16.5" customHeight="1">
      <c r="A3754" s="616" t="s">
        <v>3487</v>
      </c>
      <c r="B3754" s="605"/>
      <c r="C3754" s="446">
        <f>E3754+D3754+F3754</f>
        <v>7628</v>
      </c>
      <c r="D3754" s="453">
        <f>ROUNDDOWN(SUMIF(N3657:N3704,M3754,D3657:D3704),0)</f>
        <v>6371</v>
      </c>
      <c r="E3754" s="454">
        <f>ROUNDDOWN(SUMIF(N3657:N3704,M3754,E3657:E3704),0)</f>
        <v>531</v>
      </c>
      <c r="F3754" s="446">
        <f>ROUNDDOWN(SUMIF(N3657:N3704,M3754,F3657:F3704),0)</f>
        <v>726</v>
      </c>
      <c r="M3754" s="501" t="s">
        <v>2354</v>
      </c>
      <c r="Z3754" s="500"/>
      <c r="AA3754" s="500"/>
      <c r="AB3754" s="500"/>
      <c r="AC3754" s="500"/>
      <c r="AD3754" s="500"/>
      <c r="AE3754" s="500"/>
      <c r="AF3754" s="500"/>
      <c r="AG3754" s="500"/>
      <c r="AH3754" s="500"/>
      <c r="AI3754" s="500"/>
      <c r="AJ3754" s="500"/>
      <c r="AK3754" s="500"/>
      <c r="AL3754" s="500"/>
      <c r="AM3754" s="500"/>
      <c r="AN3754" s="500"/>
      <c r="AO3754" s="500"/>
      <c r="AP3754" s="500"/>
    </row>
    <row r="3755" spans="1:42" ht="16.5" customHeight="1">
      <c r="A3755" s="502" t="s">
        <v>2315</v>
      </c>
      <c r="B3755" s="503" t="s">
        <v>3365</v>
      </c>
      <c r="C3755" s="615">
        <f>C3804</f>
        <v>16277</v>
      </c>
      <c r="D3755" s="615">
        <f>D3804</f>
        <v>16277</v>
      </c>
      <c r="E3755" s="615">
        <f>E3804</f>
        <v>0</v>
      </c>
      <c r="F3755" s="615">
        <f>F3804</f>
        <v>0</v>
      </c>
      <c r="G3755" s="486" t="str">
        <f>HYPERLINK("#G"&amp;ROW(G3791),"_x0005_`BDCOD|D01055_x0007_`POSS|"&amp;ROW(G3757)&amp;"_x0007_`POSE|"&amp;ROW(G3791)&amp;"_x0007_`")</f>
        <v>_x0005_`BDCOD|D01055_x0007_`POSS|3757_x0007_`POSE|3791_x0007_`</v>
      </c>
      <c r="Z3755" s="500"/>
      <c r="AA3755" s="500"/>
      <c r="AB3755" s="500"/>
      <c r="AC3755" s="500"/>
      <c r="AD3755" s="500"/>
      <c r="AE3755" s="500"/>
      <c r="AF3755" s="500"/>
      <c r="AG3755" s="500"/>
      <c r="AH3755" s="500"/>
      <c r="AI3755" s="500"/>
      <c r="AJ3755" s="500"/>
      <c r="AK3755" s="500"/>
      <c r="AL3755" s="500"/>
      <c r="AM3755" s="500"/>
      <c r="AN3755" s="500"/>
      <c r="AO3755" s="500"/>
      <c r="AP3755" s="500"/>
    </row>
    <row r="3756" spans="1:42" ht="16.5" customHeight="1">
      <c r="A3756" s="485"/>
      <c r="B3756" s="503" t="s">
        <v>3841</v>
      </c>
      <c r="C3756" s="593"/>
      <c r="D3756" s="593"/>
      <c r="E3756" s="593"/>
      <c r="F3756" s="593"/>
      <c r="M3756" s="501" t="s">
        <v>3365</v>
      </c>
      <c r="Z3756" s="500"/>
      <c r="AA3756" s="500"/>
      <c r="AB3756" s="500"/>
      <c r="AC3756" s="500"/>
      <c r="AD3756" s="500"/>
      <c r="AE3756" s="500"/>
      <c r="AF3756" s="500"/>
      <c r="AG3756" s="500"/>
      <c r="AH3756" s="500"/>
      <c r="AI3756" s="500"/>
      <c r="AJ3756" s="500"/>
      <c r="AK3756" s="500"/>
      <c r="AL3756" s="500"/>
      <c r="AM3756" s="500"/>
      <c r="AN3756" s="500"/>
      <c r="AO3756" s="500"/>
      <c r="AP3756" s="500"/>
    </row>
    <row r="3757" spans="1:42" ht="16.5" customHeight="1">
      <c r="A3757" s="439"/>
      <c r="B3757" s="439"/>
      <c r="C3757" s="504"/>
      <c r="D3757" s="504"/>
      <c r="E3757" s="504"/>
      <c r="F3757" s="504"/>
      <c r="G3757" s="451" t="s">
        <v>3406</v>
      </c>
      <c r="Z3757" s="500"/>
      <c r="AA3757" s="500"/>
      <c r="AB3757" s="500"/>
      <c r="AC3757" s="500"/>
      <c r="AD3757" s="500"/>
      <c r="AE3757" s="500"/>
      <c r="AF3757" s="500"/>
      <c r="AG3757" s="500"/>
      <c r="AH3757" s="500"/>
      <c r="AI3757" s="500"/>
      <c r="AJ3757" s="500"/>
      <c r="AK3757" s="500"/>
      <c r="AL3757" s="500"/>
      <c r="AM3757" s="500"/>
      <c r="AN3757" s="500"/>
      <c r="AO3757" s="500"/>
      <c r="AP3757" s="500"/>
    </row>
    <row r="3758" spans="1:42" ht="16.5" customHeight="1">
      <c r="A3758" s="439"/>
      <c r="B3758" s="439"/>
      <c r="C3758" s="439"/>
      <c r="D3758" s="439"/>
      <c r="E3758" s="439"/>
      <c r="F3758" s="439"/>
      <c r="G3758" s="451" t="s">
        <v>3406</v>
      </c>
      <c r="Z3758" s="500"/>
      <c r="AA3758" s="500"/>
      <c r="AB3758" s="500"/>
      <c r="AC3758" s="500"/>
      <c r="AD3758" s="500"/>
      <c r="AE3758" s="500"/>
      <c r="AF3758" s="500"/>
      <c r="AG3758" s="500"/>
      <c r="AH3758" s="500"/>
      <c r="AI3758" s="500"/>
      <c r="AJ3758" s="500"/>
      <c r="AK3758" s="500"/>
      <c r="AL3758" s="500"/>
      <c r="AM3758" s="500"/>
      <c r="AN3758" s="500"/>
      <c r="AO3758" s="500"/>
      <c r="AP3758" s="500"/>
    </row>
    <row r="3759" spans="1:42" ht="16.5" customHeight="1">
      <c r="A3759" s="434"/>
      <c r="B3759" s="437" t="s">
        <v>3842</v>
      </c>
      <c r="C3759" s="439"/>
      <c r="D3759" s="439"/>
      <c r="E3759" s="439"/>
      <c r="F3759" s="439"/>
      <c r="G3759" s="451" t="s">
        <v>3843</v>
      </c>
      <c r="Z3759" s="500"/>
      <c r="AA3759" s="500"/>
      <c r="AB3759" s="500"/>
      <c r="AC3759" s="500"/>
      <c r="AD3759" s="500"/>
      <c r="AE3759" s="500"/>
      <c r="AF3759" s="500"/>
      <c r="AG3759" s="500"/>
      <c r="AH3759" s="500"/>
      <c r="AI3759" s="500"/>
      <c r="AJ3759" s="500"/>
      <c r="AK3759" s="500"/>
      <c r="AL3759" s="500"/>
      <c r="AM3759" s="500"/>
      <c r="AN3759" s="500"/>
      <c r="AO3759" s="500"/>
      <c r="AP3759" s="500"/>
    </row>
    <row r="3760" spans="1:42" ht="16.5" customHeight="1">
      <c r="A3760" s="439"/>
      <c r="B3760" s="439"/>
      <c r="C3760" s="439"/>
      <c r="D3760" s="439"/>
      <c r="E3760" s="439"/>
      <c r="F3760" s="439"/>
      <c r="G3760" s="451" t="s">
        <v>3406</v>
      </c>
      <c r="Z3760" s="500"/>
      <c r="AA3760" s="500"/>
      <c r="AB3760" s="500"/>
      <c r="AC3760" s="500"/>
      <c r="AD3760" s="500"/>
      <c r="AE3760" s="500"/>
      <c r="AF3760" s="500"/>
      <c r="AG3760" s="500"/>
      <c r="AH3760" s="500"/>
      <c r="AI3760" s="500"/>
      <c r="AJ3760" s="500"/>
      <c r="AK3760" s="500"/>
      <c r="AL3760" s="500"/>
      <c r="AM3760" s="500"/>
      <c r="AN3760" s="500"/>
      <c r="AO3760" s="500"/>
      <c r="AP3760" s="500"/>
    </row>
    <row r="3761" spans="1:42" ht="16.5" customHeight="1">
      <c r="A3761" s="439"/>
      <c r="B3761" s="439"/>
      <c r="C3761" s="439"/>
      <c r="D3761" s="439"/>
      <c r="E3761" s="439"/>
      <c r="F3761" s="439"/>
      <c r="G3761" s="451" t="s">
        <v>3406</v>
      </c>
      <c r="Z3761" s="500"/>
      <c r="AA3761" s="500"/>
      <c r="AB3761" s="500"/>
      <c r="AC3761" s="500"/>
      <c r="AD3761" s="500"/>
      <c r="AE3761" s="500"/>
      <c r="AF3761" s="500"/>
      <c r="AG3761" s="500"/>
      <c r="AH3761" s="500"/>
      <c r="AI3761" s="500"/>
      <c r="AJ3761" s="500"/>
      <c r="AK3761" s="500"/>
      <c r="AL3761" s="500"/>
      <c r="AM3761" s="500"/>
      <c r="AN3761" s="500"/>
      <c r="AO3761" s="500"/>
      <c r="AP3761" s="500"/>
    </row>
    <row r="3762" spans="1:42" ht="16.5" customHeight="1">
      <c r="A3762" s="434"/>
      <c r="B3762" s="437" t="s">
        <v>3844</v>
      </c>
      <c r="C3762" s="439"/>
      <c r="D3762" s="439"/>
      <c r="E3762" s="439"/>
      <c r="F3762" s="439"/>
      <c r="G3762" s="451" t="s">
        <v>3845</v>
      </c>
      <c r="Z3762" s="500"/>
      <c r="AA3762" s="500"/>
      <c r="AB3762" s="500"/>
      <c r="AC3762" s="500"/>
      <c r="AD3762" s="500"/>
      <c r="AE3762" s="500"/>
      <c r="AF3762" s="500"/>
      <c r="AG3762" s="500"/>
      <c r="AH3762" s="500"/>
      <c r="AI3762" s="500"/>
      <c r="AJ3762" s="500"/>
      <c r="AK3762" s="500"/>
      <c r="AL3762" s="500"/>
      <c r="AM3762" s="500"/>
      <c r="AN3762" s="500"/>
      <c r="AO3762" s="500"/>
      <c r="AP3762" s="500"/>
    </row>
    <row r="3763" spans="1:42" ht="16.5" customHeight="1">
      <c r="A3763" s="439"/>
      <c r="B3763" s="439"/>
      <c r="C3763" s="439"/>
      <c r="D3763" s="439"/>
      <c r="E3763" s="439"/>
      <c r="F3763" s="439"/>
      <c r="G3763" s="451" t="s">
        <v>3406</v>
      </c>
      <c r="Z3763" s="500"/>
      <c r="AA3763" s="500"/>
      <c r="AB3763" s="500"/>
      <c r="AC3763" s="500"/>
      <c r="AD3763" s="500"/>
      <c r="AE3763" s="500"/>
      <c r="AF3763" s="500"/>
      <c r="AG3763" s="500"/>
      <c r="AH3763" s="500"/>
      <c r="AI3763" s="500"/>
      <c r="AJ3763" s="500"/>
      <c r="AK3763" s="500"/>
      <c r="AL3763" s="500"/>
      <c r="AM3763" s="500"/>
      <c r="AN3763" s="500"/>
      <c r="AO3763" s="500"/>
      <c r="AP3763" s="500"/>
    </row>
    <row r="3764" spans="1:42" ht="16.5" customHeight="1">
      <c r="A3764" s="434" t="s">
        <v>3414</v>
      </c>
      <c r="B3764" s="505" t="str">
        <f>" 보통인부 : "&amp;TEXT(I3764,"#,##0"&amp;IF(I3764&lt;&gt;INT(I3764),".###",""))&amp;" * "&amp;AA3764&amp;" = "&amp;TEXT(C3764,"#,##0.0")&amp;""</f>
        <v xml:space="preserve"> 보통인부 : 172,068 * 0.03 = 5,162.0</v>
      </c>
      <c r="C3764" s="506">
        <f>E3764+D3764+F3764</f>
        <v>5162</v>
      </c>
      <c r="D3764" s="506">
        <f>IF(H3764=0,0,ROUNDDOWN(J3764*H3764,1))</f>
        <v>5162</v>
      </c>
      <c r="E3764" s="506">
        <f>IF(H3764=0,0,ROUNDDOWN(K3764*H3764,1))</f>
        <v>0</v>
      </c>
      <c r="F3764" s="506">
        <f>IF(H3764=0,0,ROUNDDOWN(L3764*H3764,1))</f>
        <v>0</v>
      </c>
      <c r="G3764" s="451" t="s">
        <v>3846</v>
      </c>
      <c r="H3764" s="507">
        <f>ROUNDUP(AC3764,14-LEN(ABS(INT(AC3764))))</f>
        <v>0.03</v>
      </c>
      <c r="I3764" s="508">
        <f>K3764+J3764+L3764</f>
        <v>172068</v>
      </c>
      <c r="J3764" s="509">
        <f>노무비목록표!E10</f>
        <v>172068</v>
      </c>
      <c r="M3764" s="501" t="s">
        <v>2363</v>
      </c>
      <c r="N3764" s="501" t="s">
        <v>3416</v>
      </c>
      <c r="X3764" s="510" t="str">
        <f>노무비목록표!B10&amp;" / "&amp;노무비목록표!C10</f>
        <v xml:space="preserve">보통인부 / </v>
      </c>
      <c r="Y3764" s="433" t="str">
        <f ca="1">HYPERLINK("#"&amp;노무비목록표!G2&amp;"!A"&amp;ROW(노무비목록표!A10),"L00017 →")</f>
        <v>L00017 →</v>
      </c>
      <c r="Z3764" s="501" t="s">
        <v>3500</v>
      </c>
      <c r="AA3764" s="511">
        <v>0.03</v>
      </c>
      <c r="AB3764" s="501" t="s">
        <v>3418</v>
      </c>
      <c r="AC3764" s="512">
        <f>1*AA3764</f>
        <v>0.03</v>
      </c>
      <c r="AD3764" s="500"/>
      <c r="AE3764" s="500"/>
      <c r="AF3764" s="500"/>
      <c r="AG3764" s="500"/>
      <c r="AH3764" s="500"/>
      <c r="AI3764" s="500"/>
      <c r="AJ3764" s="500"/>
      <c r="AK3764" s="500"/>
      <c r="AL3764" s="500"/>
      <c r="AM3764" s="500"/>
      <c r="AN3764" s="500"/>
      <c r="AO3764" s="500"/>
      <c r="AP3764" s="500"/>
    </row>
    <row r="3765" spans="1:42" ht="16.5" customHeight="1">
      <c r="A3765" s="439"/>
      <c r="B3765" s="439"/>
      <c r="C3765" s="439"/>
      <c r="D3765" s="439"/>
      <c r="E3765" s="439"/>
      <c r="F3765" s="439"/>
      <c r="G3765" s="451" t="s">
        <v>3406</v>
      </c>
      <c r="Z3765" s="500"/>
      <c r="AA3765" s="500"/>
      <c r="AB3765" s="500"/>
      <c r="AC3765" s="500"/>
      <c r="AD3765" s="500"/>
      <c r="AE3765" s="500"/>
      <c r="AF3765" s="500"/>
      <c r="AG3765" s="500"/>
      <c r="AH3765" s="500"/>
      <c r="AI3765" s="500"/>
      <c r="AJ3765" s="500"/>
      <c r="AK3765" s="500"/>
      <c r="AL3765" s="500"/>
      <c r="AM3765" s="500"/>
      <c r="AN3765" s="500"/>
      <c r="AO3765" s="500"/>
      <c r="AP3765" s="500"/>
    </row>
    <row r="3766" spans="1:42" ht="16.5" customHeight="1">
      <c r="A3766" s="434"/>
      <c r="B3766" s="437" t="s">
        <v>3419</v>
      </c>
      <c r="C3766" s="513">
        <f>E3766+D3766+F3766</f>
        <v>5162</v>
      </c>
      <c r="D3766" s="513">
        <f>SUMIF(N3757:N3765,M3766,D3757:D3765)</f>
        <v>5162</v>
      </c>
      <c r="E3766" s="513">
        <f>SUMIF(N3757:N3765,M3766,E3757:E3765)</f>
        <v>0</v>
      </c>
      <c r="F3766" s="513">
        <f>SUMIF(N3757:N3765,M3766,F3757:F3765)</f>
        <v>0</v>
      </c>
      <c r="G3766" s="451" t="s">
        <v>3420</v>
      </c>
      <c r="M3766" s="501" t="s">
        <v>3416</v>
      </c>
      <c r="N3766" s="501" t="s">
        <v>3421</v>
      </c>
      <c r="Z3766" s="500"/>
      <c r="AA3766" s="500"/>
      <c r="AB3766" s="500"/>
      <c r="AC3766" s="500"/>
      <c r="AD3766" s="500"/>
      <c r="AE3766" s="500"/>
      <c r="AF3766" s="500"/>
      <c r="AG3766" s="500"/>
      <c r="AH3766" s="500"/>
      <c r="AI3766" s="500"/>
      <c r="AJ3766" s="500"/>
      <c r="AK3766" s="500"/>
      <c r="AL3766" s="500"/>
      <c r="AM3766" s="500"/>
      <c r="AN3766" s="500"/>
      <c r="AO3766" s="500"/>
      <c r="AP3766" s="500"/>
    </row>
    <row r="3767" spans="1:42" ht="16.5" customHeight="1">
      <c r="A3767" s="439"/>
      <c r="B3767" s="439"/>
      <c r="C3767" s="504"/>
      <c r="D3767" s="504"/>
      <c r="E3767" s="504"/>
      <c r="F3767" s="504"/>
      <c r="G3767" s="451" t="s">
        <v>3406</v>
      </c>
      <c r="Z3767" s="500"/>
      <c r="AA3767" s="500"/>
      <c r="AB3767" s="500"/>
      <c r="AC3767" s="500"/>
      <c r="AD3767" s="500"/>
      <c r="AE3767" s="500"/>
      <c r="AF3767" s="500"/>
      <c r="AG3767" s="500"/>
      <c r="AH3767" s="500"/>
      <c r="AI3767" s="500"/>
      <c r="AJ3767" s="500"/>
      <c r="AK3767" s="500"/>
      <c r="AL3767" s="500"/>
      <c r="AM3767" s="500"/>
      <c r="AN3767" s="500"/>
      <c r="AO3767" s="500"/>
      <c r="AP3767" s="500"/>
    </row>
    <row r="3768" spans="1:42" ht="16.5" customHeight="1">
      <c r="A3768" s="439"/>
      <c r="B3768" s="439"/>
      <c r="C3768" s="439"/>
      <c r="D3768" s="439"/>
      <c r="E3768" s="439"/>
      <c r="F3768" s="439"/>
      <c r="G3768" s="451" t="s">
        <v>3406</v>
      </c>
      <c r="Z3768" s="500"/>
      <c r="AA3768" s="500"/>
      <c r="AB3768" s="500"/>
      <c r="AC3768" s="500"/>
      <c r="AD3768" s="500"/>
      <c r="AE3768" s="500"/>
      <c r="AF3768" s="500"/>
      <c r="AG3768" s="500"/>
      <c r="AH3768" s="500"/>
      <c r="AI3768" s="500"/>
      <c r="AJ3768" s="500"/>
      <c r="AK3768" s="500"/>
      <c r="AL3768" s="500"/>
      <c r="AM3768" s="500"/>
      <c r="AN3768" s="500"/>
      <c r="AO3768" s="500"/>
      <c r="AP3768" s="500"/>
    </row>
    <row r="3769" spans="1:42" ht="16.5" customHeight="1">
      <c r="A3769" s="434"/>
      <c r="B3769" s="437" t="s">
        <v>3847</v>
      </c>
      <c r="C3769" s="439"/>
      <c r="D3769" s="439"/>
      <c r="E3769" s="439"/>
      <c r="F3769" s="439"/>
      <c r="G3769" s="451" t="s">
        <v>3848</v>
      </c>
      <c r="Z3769" s="500"/>
      <c r="AA3769" s="500"/>
      <c r="AB3769" s="500"/>
      <c r="AC3769" s="500"/>
      <c r="AD3769" s="500"/>
      <c r="AE3769" s="500"/>
      <c r="AF3769" s="500"/>
      <c r="AG3769" s="500"/>
      <c r="AH3769" s="500"/>
      <c r="AI3769" s="500"/>
      <c r="AJ3769" s="500"/>
      <c r="AK3769" s="500"/>
      <c r="AL3769" s="500"/>
      <c r="AM3769" s="500"/>
      <c r="AN3769" s="500"/>
      <c r="AO3769" s="500"/>
      <c r="AP3769" s="500"/>
    </row>
    <row r="3770" spans="1:42" ht="16.5" customHeight="1">
      <c r="A3770" s="439"/>
      <c r="B3770" s="439"/>
      <c r="C3770" s="439"/>
      <c r="D3770" s="439"/>
      <c r="E3770" s="439"/>
      <c r="F3770" s="439"/>
      <c r="G3770" s="451" t="s">
        <v>3406</v>
      </c>
      <c r="Z3770" s="500"/>
      <c r="AA3770" s="500"/>
      <c r="AB3770" s="500"/>
      <c r="AC3770" s="500"/>
      <c r="AD3770" s="500"/>
      <c r="AE3770" s="500"/>
      <c r="AF3770" s="500"/>
      <c r="AG3770" s="500"/>
      <c r="AH3770" s="500"/>
      <c r="AI3770" s="500"/>
      <c r="AJ3770" s="500"/>
      <c r="AK3770" s="500"/>
      <c r="AL3770" s="500"/>
      <c r="AM3770" s="500"/>
      <c r="AN3770" s="500"/>
      <c r="AO3770" s="500"/>
      <c r="AP3770" s="500"/>
    </row>
    <row r="3771" spans="1:42" ht="16.5" customHeight="1">
      <c r="A3771" s="434" t="s">
        <v>3414</v>
      </c>
      <c r="B3771" s="505" t="str">
        <f>" 보통인부 : "&amp;TEXT(I3771,"#,##0"&amp;IF(I3771&lt;&gt;INT(I3771),".###",""))&amp;" * "&amp;AA3771&amp;" = "&amp;TEXT(C3771,"#,##0.0")&amp;""</f>
        <v xml:space="preserve"> 보통인부 : 172,068 * 0.035 = 6,022.3</v>
      </c>
      <c r="C3771" s="506">
        <f>E3771+D3771+F3771</f>
        <v>6022.3</v>
      </c>
      <c r="D3771" s="506">
        <f>IF(H3771=0,0,ROUNDDOWN(J3771*H3771,1))</f>
        <v>6022.3</v>
      </c>
      <c r="E3771" s="506">
        <f>IF(H3771=0,0,ROUNDDOWN(K3771*H3771,1))</f>
        <v>0</v>
      </c>
      <c r="F3771" s="506">
        <f>IF(H3771=0,0,ROUNDDOWN(L3771*H3771,1))</f>
        <v>0</v>
      </c>
      <c r="G3771" s="451" t="s">
        <v>3849</v>
      </c>
      <c r="H3771" s="507">
        <f>ROUNDUP(AC3771,14-LEN(ABS(INT(AC3771))))</f>
        <v>3.5000000000000003E-2</v>
      </c>
      <c r="I3771" s="508">
        <f>K3771+J3771+L3771</f>
        <v>172068</v>
      </c>
      <c r="J3771" s="509">
        <f>노무비목록표!E10</f>
        <v>172068</v>
      </c>
      <c r="M3771" s="501" t="s">
        <v>2363</v>
      </c>
      <c r="N3771" s="501" t="s">
        <v>3416</v>
      </c>
      <c r="X3771" s="510" t="str">
        <f>노무비목록표!B10&amp;" / "&amp;노무비목록표!C10</f>
        <v xml:space="preserve">보통인부 / </v>
      </c>
      <c r="Y3771" s="433" t="str">
        <f ca="1">HYPERLINK("#"&amp;노무비목록표!G2&amp;"!A"&amp;ROW(노무비목록표!A10),"L00017 →")</f>
        <v>L00017 →</v>
      </c>
      <c r="Z3771" s="501" t="s">
        <v>3500</v>
      </c>
      <c r="AA3771" s="511">
        <v>3.5000000000000003E-2</v>
      </c>
      <c r="AB3771" s="501" t="s">
        <v>3418</v>
      </c>
      <c r="AC3771" s="512">
        <f>1*AA3771</f>
        <v>3.5000000000000003E-2</v>
      </c>
      <c r="AD3771" s="500"/>
      <c r="AE3771" s="500"/>
      <c r="AF3771" s="500"/>
      <c r="AG3771" s="500"/>
      <c r="AH3771" s="500"/>
      <c r="AI3771" s="500"/>
      <c r="AJ3771" s="500"/>
      <c r="AK3771" s="500"/>
      <c r="AL3771" s="500"/>
      <c r="AM3771" s="500"/>
      <c r="AN3771" s="500"/>
      <c r="AO3771" s="500"/>
      <c r="AP3771" s="500"/>
    </row>
    <row r="3772" spans="1:42" ht="16.5" customHeight="1">
      <c r="A3772" s="439"/>
      <c r="B3772" s="439"/>
      <c r="C3772" s="439"/>
      <c r="D3772" s="439"/>
      <c r="E3772" s="439"/>
      <c r="F3772" s="439"/>
      <c r="G3772" s="451" t="s">
        <v>3406</v>
      </c>
      <c r="Z3772" s="500"/>
      <c r="AA3772" s="500"/>
      <c r="AB3772" s="500"/>
      <c r="AC3772" s="500"/>
      <c r="AD3772" s="500"/>
      <c r="AE3772" s="500"/>
      <c r="AF3772" s="500"/>
      <c r="AG3772" s="500"/>
      <c r="AH3772" s="500"/>
      <c r="AI3772" s="500"/>
      <c r="AJ3772" s="500"/>
      <c r="AK3772" s="500"/>
      <c r="AL3772" s="500"/>
      <c r="AM3772" s="500"/>
      <c r="AN3772" s="500"/>
      <c r="AO3772" s="500"/>
      <c r="AP3772" s="500"/>
    </row>
    <row r="3773" spans="1:42" ht="16.5" customHeight="1">
      <c r="A3773" s="434"/>
      <c r="B3773" s="437" t="s">
        <v>3419</v>
      </c>
      <c r="C3773" s="513">
        <f>E3773+D3773+F3773</f>
        <v>6022.3</v>
      </c>
      <c r="D3773" s="513">
        <f>SUMIF(N3767:N3772,M3773,D3767:D3772)</f>
        <v>6022.3</v>
      </c>
      <c r="E3773" s="513">
        <f>SUMIF(N3767:N3772,M3773,E3767:E3772)</f>
        <v>0</v>
      </c>
      <c r="F3773" s="513">
        <f>SUMIF(N3767:N3772,M3773,F3767:F3772)</f>
        <v>0</v>
      </c>
      <c r="G3773" s="451" t="s">
        <v>3420</v>
      </c>
      <c r="M3773" s="501" t="s">
        <v>3416</v>
      </c>
      <c r="N3773" s="501" t="s">
        <v>3421</v>
      </c>
      <c r="Z3773" s="500"/>
      <c r="AA3773" s="500"/>
      <c r="AB3773" s="500"/>
      <c r="AC3773" s="500"/>
      <c r="AD3773" s="500"/>
      <c r="AE3773" s="500"/>
      <c r="AF3773" s="500"/>
      <c r="AG3773" s="500"/>
      <c r="AH3773" s="500"/>
      <c r="AI3773" s="500"/>
      <c r="AJ3773" s="500"/>
      <c r="AK3773" s="500"/>
      <c r="AL3773" s="500"/>
      <c r="AM3773" s="500"/>
      <c r="AN3773" s="500"/>
      <c r="AO3773" s="500"/>
      <c r="AP3773" s="500"/>
    </row>
    <row r="3774" spans="1:42" ht="16.5" customHeight="1">
      <c r="A3774" s="439"/>
      <c r="B3774" s="439"/>
      <c r="C3774" s="504"/>
      <c r="D3774" s="504"/>
      <c r="E3774" s="504"/>
      <c r="F3774" s="504"/>
      <c r="G3774" s="451" t="s">
        <v>3406</v>
      </c>
      <c r="Z3774" s="500"/>
      <c r="AA3774" s="500"/>
      <c r="AB3774" s="500"/>
      <c r="AC3774" s="500"/>
      <c r="AD3774" s="500"/>
      <c r="AE3774" s="500"/>
      <c r="AF3774" s="500"/>
      <c r="AG3774" s="500"/>
      <c r="AH3774" s="500"/>
      <c r="AI3774" s="500"/>
      <c r="AJ3774" s="500"/>
      <c r="AK3774" s="500"/>
      <c r="AL3774" s="500"/>
      <c r="AM3774" s="500"/>
      <c r="AN3774" s="500"/>
      <c r="AO3774" s="500"/>
      <c r="AP3774" s="500"/>
    </row>
    <row r="3775" spans="1:42" ht="16.5" customHeight="1">
      <c r="A3775" s="439"/>
      <c r="B3775" s="439"/>
      <c r="C3775" s="439"/>
      <c r="D3775" s="439"/>
      <c r="E3775" s="439"/>
      <c r="F3775" s="439"/>
      <c r="G3775" s="451" t="s">
        <v>3406</v>
      </c>
      <c r="Z3775" s="500"/>
      <c r="AA3775" s="500"/>
      <c r="AB3775" s="500"/>
      <c r="AC3775" s="500"/>
      <c r="AD3775" s="500"/>
      <c r="AE3775" s="500"/>
      <c r="AF3775" s="500"/>
      <c r="AG3775" s="500"/>
      <c r="AH3775" s="500"/>
      <c r="AI3775" s="500"/>
      <c r="AJ3775" s="500"/>
      <c r="AK3775" s="500"/>
      <c r="AL3775" s="500"/>
      <c r="AM3775" s="500"/>
      <c r="AN3775" s="500"/>
      <c r="AO3775" s="500"/>
      <c r="AP3775" s="500"/>
    </row>
    <row r="3776" spans="1:42" ht="16.5" customHeight="1">
      <c r="A3776" s="434"/>
      <c r="B3776" s="437" t="s">
        <v>3850</v>
      </c>
      <c r="C3776" s="439"/>
      <c r="D3776" s="439"/>
      <c r="E3776" s="439"/>
      <c r="F3776" s="439"/>
      <c r="G3776" s="451" t="s">
        <v>3851</v>
      </c>
      <c r="Z3776" s="500"/>
      <c r="AA3776" s="500"/>
      <c r="AB3776" s="500"/>
      <c r="AC3776" s="500"/>
      <c r="AD3776" s="500"/>
      <c r="AE3776" s="500"/>
      <c r="AF3776" s="500"/>
      <c r="AG3776" s="500"/>
      <c r="AH3776" s="500"/>
      <c r="AI3776" s="500"/>
      <c r="AJ3776" s="500"/>
      <c r="AK3776" s="500"/>
      <c r="AL3776" s="500"/>
      <c r="AM3776" s="500"/>
      <c r="AN3776" s="500"/>
      <c r="AO3776" s="500"/>
      <c r="AP3776" s="500"/>
    </row>
    <row r="3777" spans="1:42" ht="16.5" customHeight="1">
      <c r="A3777" s="439"/>
      <c r="B3777" s="439"/>
      <c r="C3777" s="439"/>
      <c r="D3777" s="439"/>
      <c r="E3777" s="439"/>
      <c r="F3777" s="439"/>
      <c r="G3777" s="451" t="s">
        <v>3406</v>
      </c>
      <c r="Z3777" s="500"/>
      <c r="AA3777" s="500"/>
      <c r="AB3777" s="500"/>
      <c r="AC3777" s="500"/>
      <c r="AD3777" s="500"/>
      <c r="AE3777" s="500"/>
      <c r="AF3777" s="500"/>
      <c r="AG3777" s="500"/>
      <c r="AH3777" s="500"/>
      <c r="AI3777" s="500"/>
      <c r="AJ3777" s="500"/>
      <c r="AK3777" s="500"/>
      <c r="AL3777" s="500"/>
      <c r="AM3777" s="500"/>
      <c r="AN3777" s="500"/>
      <c r="AO3777" s="500"/>
      <c r="AP3777" s="500"/>
    </row>
    <row r="3778" spans="1:42" ht="16.5" customHeight="1">
      <c r="A3778" s="434" t="s">
        <v>3414</v>
      </c>
      <c r="B3778" s="505" t="str">
        <f>" 보통인부 : "&amp;TEXT(I3778,"#,##0"&amp;IF(I3778&lt;&gt;INT(I3778),".###",""))&amp;" * "&amp;AA3778&amp;" = "&amp;TEXT(C3778,"#,##0.0")&amp;""</f>
        <v xml:space="preserve"> 보통인부 : 172,068 * 0.025 = 4,301.7</v>
      </c>
      <c r="C3778" s="506">
        <f>E3778+D3778+F3778</f>
        <v>4301.7</v>
      </c>
      <c r="D3778" s="506">
        <f>IF(H3778=0,0,ROUNDDOWN(J3778*H3778,1))</f>
        <v>4301.7</v>
      </c>
      <c r="E3778" s="506">
        <f>IF(H3778=0,0,ROUNDDOWN(K3778*H3778,1))</f>
        <v>0</v>
      </c>
      <c r="F3778" s="506">
        <f>IF(H3778=0,0,ROUNDDOWN(L3778*H3778,1))</f>
        <v>0</v>
      </c>
      <c r="G3778" s="451" t="s">
        <v>3852</v>
      </c>
      <c r="H3778" s="507">
        <f>ROUNDUP(AC3778,14-LEN(ABS(INT(AC3778))))</f>
        <v>2.5000000000000001E-2</v>
      </c>
      <c r="I3778" s="508">
        <f>K3778+J3778+L3778</f>
        <v>172068</v>
      </c>
      <c r="J3778" s="509">
        <f>노무비목록표!E10</f>
        <v>172068</v>
      </c>
      <c r="M3778" s="501" t="s">
        <v>2363</v>
      </c>
      <c r="N3778" s="501" t="s">
        <v>3416</v>
      </c>
      <c r="X3778" s="510" t="str">
        <f>노무비목록표!B10&amp;" / "&amp;노무비목록표!C10</f>
        <v xml:space="preserve">보통인부 / </v>
      </c>
      <c r="Y3778" s="433" t="str">
        <f ca="1">HYPERLINK("#"&amp;노무비목록표!G2&amp;"!A"&amp;ROW(노무비목록표!A10),"L00017 →")</f>
        <v>L00017 →</v>
      </c>
      <c r="Z3778" s="501" t="s">
        <v>3500</v>
      </c>
      <c r="AA3778" s="511">
        <v>2.5000000000000001E-2</v>
      </c>
      <c r="AB3778" s="501" t="s">
        <v>3418</v>
      </c>
      <c r="AC3778" s="512">
        <f>1*AA3778</f>
        <v>2.5000000000000001E-2</v>
      </c>
      <c r="AD3778" s="500"/>
      <c r="AE3778" s="500"/>
      <c r="AF3778" s="500"/>
      <c r="AG3778" s="500"/>
      <c r="AH3778" s="500"/>
      <c r="AI3778" s="500"/>
      <c r="AJ3778" s="500"/>
      <c r="AK3778" s="500"/>
      <c r="AL3778" s="500"/>
      <c r="AM3778" s="500"/>
      <c r="AN3778" s="500"/>
      <c r="AO3778" s="500"/>
      <c r="AP3778" s="500"/>
    </row>
    <row r="3779" spans="1:42" ht="16.5" customHeight="1">
      <c r="A3779" s="439"/>
      <c r="B3779" s="439"/>
      <c r="C3779" s="439"/>
      <c r="D3779" s="439"/>
      <c r="E3779" s="439"/>
      <c r="F3779" s="439"/>
      <c r="G3779" s="451" t="s">
        <v>3406</v>
      </c>
      <c r="Z3779" s="500"/>
      <c r="AA3779" s="500"/>
      <c r="AB3779" s="500"/>
      <c r="AC3779" s="500"/>
      <c r="AD3779" s="500"/>
      <c r="AE3779" s="500"/>
      <c r="AF3779" s="500"/>
      <c r="AG3779" s="500"/>
      <c r="AH3779" s="500"/>
      <c r="AI3779" s="500"/>
      <c r="AJ3779" s="500"/>
      <c r="AK3779" s="500"/>
      <c r="AL3779" s="500"/>
      <c r="AM3779" s="500"/>
      <c r="AN3779" s="500"/>
      <c r="AO3779" s="500"/>
      <c r="AP3779" s="500"/>
    </row>
    <row r="3780" spans="1:42" ht="16.5" customHeight="1">
      <c r="A3780" s="434"/>
      <c r="B3780" s="437" t="s">
        <v>3419</v>
      </c>
      <c r="C3780" s="513">
        <f>E3780+D3780+F3780</f>
        <v>4301.7</v>
      </c>
      <c r="D3780" s="513">
        <f>SUMIF(N3774:N3779,M3780,D3774:D3779)</f>
        <v>4301.7</v>
      </c>
      <c r="E3780" s="513">
        <f>SUMIF(N3774:N3779,M3780,E3774:E3779)</f>
        <v>0</v>
      </c>
      <c r="F3780" s="513">
        <f>SUMIF(N3774:N3779,M3780,F3774:F3779)</f>
        <v>0</v>
      </c>
      <c r="G3780" s="451" t="s">
        <v>3420</v>
      </c>
      <c r="M3780" s="501" t="s">
        <v>3416</v>
      </c>
      <c r="N3780" s="501" t="s">
        <v>3421</v>
      </c>
      <c r="Z3780" s="500"/>
      <c r="AA3780" s="500"/>
      <c r="AB3780" s="500"/>
      <c r="AC3780" s="500"/>
      <c r="AD3780" s="500"/>
      <c r="AE3780" s="500"/>
      <c r="AF3780" s="500"/>
      <c r="AG3780" s="500"/>
      <c r="AH3780" s="500"/>
      <c r="AI3780" s="500"/>
      <c r="AJ3780" s="500"/>
      <c r="AK3780" s="500"/>
      <c r="AL3780" s="500"/>
      <c r="AM3780" s="500"/>
      <c r="AN3780" s="500"/>
      <c r="AO3780" s="500"/>
      <c r="AP3780" s="500"/>
    </row>
    <row r="3781" spans="1:42" ht="16.5" customHeight="1">
      <c r="A3781" s="439"/>
      <c r="B3781" s="439"/>
      <c r="C3781" s="504"/>
      <c r="D3781" s="504"/>
      <c r="E3781" s="504"/>
      <c r="F3781" s="504"/>
      <c r="G3781" s="451" t="s">
        <v>3406</v>
      </c>
      <c r="Z3781" s="500"/>
      <c r="AA3781" s="500"/>
      <c r="AB3781" s="500"/>
      <c r="AC3781" s="500"/>
      <c r="AD3781" s="500"/>
      <c r="AE3781" s="500"/>
      <c r="AF3781" s="500"/>
      <c r="AG3781" s="500"/>
      <c r="AH3781" s="500"/>
      <c r="AI3781" s="500"/>
      <c r="AJ3781" s="500"/>
      <c r="AK3781" s="500"/>
      <c r="AL3781" s="500"/>
      <c r="AM3781" s="500"/>
      <c r="AN3781" s="500"/>
      <c r="AO3781" s="500"/>
      <c r="AP3781" s="500"/>
    </row>
    <row r="3782" spans="1:42" ht="16.5" customHeight="1">
      <c r="A3782" s="439"/>
      <c r="B3782" s="439"/>
      <c r="C3782" s="439"/>
      <c r="D3782" s="439"/>
      <c r="E3782" s="439"/>
      <c r="F3782" s="439"/>
      <c r="G3782" s="451" t="s">
        <v>3406</v>
      </c>
      <c r="Z3782" s="500"/>
      <c r="AA3782" s="500"/>
      <c r="AB3782" s="500"/>
      <c r="AC3782" s="500"/>
      <c r="AD3782" s="500"/>
      <c r="AE3782" s="500"/>
      <c r="AF3782" s="500"/>
      <c r="AG3782" s="500"/>
      <c r="AH3782" s="500"/>
      <c r="AI3782" s="500"/>
      <c r="AJ3782" s="500"/>
      <c r="AK3782" s="500"/>
      <c r="AL3782" s="500"/>
      <c r="AM3782" s="500"/>
      <c r="AN3782" s="500"/>
      <c r="AO3782" s="500"/>
      <c r="AP3782" s="500"/>
    </row>
    <row r="3783" spans="1:42" ht="16.5" customHeight="1">
      <c r="A3783" s="434"/>
      <c r="B3783" s="437" t="s">
        <v>3853</v>
      </c>
      <c r="C3783" s="439"/>
      <c r="D3783" s="439"/>
      <c r="E3783" s="439"/>
      <c r="F3783" s="439"/>
      <c r="G3783" s="451" t="s">
        <v>3854</v>
      </c>
      <c r="Z3783" s="500"/>
      <c r="AA3783" s="500"/>
      <c r="AB3783" s="500"/>
      <c r="AC3783" s="500"/>
      <c r="AD3783" s="500"/>
      <c r="AE3783" s="500"/>
      <c r="AF3783" s="500"/>
      <c r="AG3783" s="500"/>
      <c r="AH3783" s="500"/>
      <c r="AI3783" s="500"/>
      <c r="AJ3783" s="500"/>
      <c r="AK3783" s="500"/>
      <c r="AL3783" s="500"/>
      <c r="AM3783" s="500"/>
      <c r="AN3783" s="500"/>
      <c r="AO3783" s="500"/>
      <c r="AP3783" s="500"/>
    </row>
    <row r="3784" spans="1:42" ht="16.5" customHeight="1">
      <c r="A3784" s="439"/>
      <c r="B3784" s="439"/>
      <c r="C3784" s="439"/>
      <c r="D3784" s="439"/>
      <c r="E3784" s="439"/>
      <c r="F3784" s="439"/>
      <c r="G3784" s="451" t="s">
        <v>3406</v>
      </c>
      <c r="Z3784" s="500"/>
      <c r="AA3784" s="500"/>
      <c r="AB3784" s="500"/>
      <c r="AC3784" s="500"/>
      <c r="AD3784" s="500"/>
      <c r="AE3784" s="500"/>
      <c r="AF3784" s="500"/>
      <c r="AG3784" s="500"/>
      <c r="AH3784" s="500"/>
      <c r="AI3784" s="500"/>
      <c r="AJ3784" s="500"/>
      <c r="AK3784" s="500"/>
      <c r="AL3784" s="500"/>
      <c r="AM3784" s="500"/>
      <c r="AN3784" s="500"/>
      <c r="AO3784" s="500"/>
      <c r="AP3784" s="500"/>
    </row>
    <row r="3785" spans="1:42" ht="16.5" customHeight="1">
      <c r="A3785" s="434" t="s">
        <v>3414</v>
      </c>
      <c r="B3785" s="505" t="str">
        <f>" 보통인부 : "&amp;TEXT(I3785,"#,##0"&amp;IF(I3785&lt;&gt;INT(I3785),".###",""))&amp;" * "&amp;AA3785&amp;" = "&amp;TEXT(C3785,"#,##0.0")&amp;""</f>
        <v xml:space="preserve"> 보통인부 : 172,068 * 0.0046 = 791.5</v>
      </c>
      <c r="C3785" s="506">
        <f>E3785+D3785+F3785</f>
        <v>791.5</v>
      </c>
      <c r="D3785" s="506">
        <f>IF(H3785=0,0,ROUNDDOWN(J3785*H3785,1))</f>
        <v>791.5</v>
      </c>
      <c r="E3785" s="506">
        <f>IF(H3785=0,0,ROUNDDOWN(K3785*H3785,1))</f>
        <v>0</v>
      </c>
      <c r="F3785" s="506">
        <f>IF(H3785=0,0,ROUNDDOWN(L3785*H3785,1))</f>
        <v>0</v>
      </c>
      <c r="G3785" s="451" t="s">
        <v>3855</v>
      </c>
      <c r="H3785" s="507">
        <f>ROUNDUP(AC3785,14-LEN(ABS(INT(AC3785))))</f>
        <v>4.5999999999999999E-3</v>
      </c>
      <c r="I3785" s="508">
        <f>K3785+J3785+L3785</f>
        <v>172068</v>
      </c>
      <c r="J3785" s="509">
        <f>노무비목록표!E10</f>
        <v>172068</v>
      </c>
      <c r="M3785" s="501" t="s">
        <v>2363</v>
      </c>
      <c r="N3785" s="501" t="s">
        <v>3416</v>
      </c>
      <c r="X3785" s="510" t="str">
        <f>노무비목록표!B10&amp;" / "&amp;노무비목록표!C10</f>
        <v xml:space="preserve">보통인부 / </v>
      </c>
      <c r="Y3785" s="433" t="str">
        <f ca="1">HYPERLINK("#"&amp;노무비목록표!G2&amp;"!A"&amp;ROW(노무비목록표!A10),"L00017 →")</f>
        <v>L00017 →</v>
      </c>
      <c r="Z3785" s="501" t="s">
        <v>3500</v>
      </c>
      <c r="AA3785" s="511">
        <v>4.5999999999999999E-3</v>
      </c>
      <c r="AB3785" s="501" t="s">
        <v>3418</v>
      </c>
      <c r="AC3785" s="512">
        <f>1*AA3785</f>
        <v>4.5999999999999999E-3</v>
      </c>
      <c r="AD3785" s="500"/>
      <c r="AE3785" s="500"/>
      <c r="AF3785" s="500"/>
      <c r="AG3785" s="500"/>
      <c r="AH3785" s="500"/>
      <c r="AI3785" s="500"/>
      <c r="AJ3785" s="500"/>
      <c r="AK3785" s="500"/>
      <c r="AL3785" s="500"/>
      <c r="AM3785" s="500"/>
      <c r="AN3785" s="500"/>
      <c r="AO3785" s="500"/>
      <c r="AP3785" s="500"/>
    </row>
    <row r="3786" spans="1:42" ht="16.5" customHeight="1">
      <c r="A3786" s="439"/>
      <c r="B3786" s="439"/>
      <c r="C3786" s="439"/>
      <c r="D3786" s="439"/>
      <c r="E3786" s="439"/>
      <c r="F3786" s="439"/>
      <c r="G3786" s="451" t="s">
        <v>3406</v>
      </c>
      <c r="Z3786" s="500"/>
      <c r="AA3786" s="500"/>
      <c r="AB3786" s="500"/>
      <c r="AC3786" s="500"/>
      <c r="AD3786" s="500"/>
      <c r="AE3786" s="500"/>
      <c r="AF3786" s="500"/>
      <c r="AG3786" s="500"/>
      <c r="AH3786" s="500"/>
      <c r="AI3786" s="500"/>
      <c r="AJ3786" s="500"/>
      <c r="AK3786" s="500"/>
      <c r="AL3786" s="500"/>
      <c r="AM3786" s="500"/>
      <c r="AN3786" s="500"/>
      <c r="AO3786" s="500"/>
      <c r="AP3786" s="500"/>
    </row>
    <row r="3787" spans="1:42" ht="16.5" customHeight="1">
      <c r="A3787" s="434"/>
      <c r="B3787" s="437" t="s">
        <v>3419</v>
      </c>
      <c r="C3787" s="513">
        <f>E3787+D3787+F3787</f>
        <v>791.5</v>
      </c>
      <c r="D3787" s="513">
        <f>SUMIF(N3781:N3786,M3787,D3781:D3786)</f>
        <v>791.5</v>
      </c>
      <c r="E3787" s="513">
        <f>SUMIF(N3781:N3786,M3787,E3781:E3786)</f>
        <v>0</v>
      </c>
      <c r="F3787" s="513">
        <f>SUMIF(N3781:N3786,M3787,F3781:F3786)</f>
        <v>0</v>
      </c>
      <c r="G3787" s="451" t="s">
        <v>3420</v>
      </c>
      <c r="M3787" s="501" t="s">
        <v>3416</v>
      </c>
      <c r="N3787" s="501" t="s">
        <v>3421</v>
      </c>
      <c r="Z3787" s="500"/>
      <c r="AA3787" s="500"/>
      <c r="AB3787" s="500"/>
      <c r="AC3787" s="500"/>
      <c r="AD3787" s="500"/>
      <c r="AE3787" s="500"/>
      <c r="AF3787" s="500"/>
      <c r="AG3787" s="500"/>
      <c r="AH3787" s="500"/>
      <c r="AI3787" s="500"/>
      <c r="AJ3787" s="500"/>
      <c r="AK3787" s="500"/>
      <c r="AL3787" s="500"/>
      <c r="AM3787" s="500"/>
      <c r="AN3787" s="500"/>
      <c r="AO3787" s="500"/>
      <c r="AP3787" s="500"/>
    </row>
    <row r="3788" spans="1:42" ht="16.5" customHeight="1">
      <c r="A3788" s="439"/>
      <c r="B3788" s="439"/>
      <c r="C3788" s="504"/>
      <c r="D3788" s="504"/>
      <c r="E3788" s="504"/>
      <c r="F3788" s="504"/>
      <c r="G3788" s="451" t="s">
        <v>3406</v>
      </c>
      <c r="Z3788" s="500"/>
      <c r="AA3788" s="500"/>
      <c r="AB3788" s="500"/>
      <c r="AC3788" s="500"/>
      <c r="AD3788" s="500"/>
      <c r="AE3788" s="500"/>
      <c r="AF3788" s="500"/>
      <c r="AG3788" s="500"/>
      <c r="AH3788" s="500"/>
      <c r="AI3788" s="500"/>
      <c r="AJ3788" s="500"/>
      <c r="AK3788" s="500"/>
      <c r="AL3788" s="500"/>
      <c r="AM3788" s="500"/>
      <c r="AN3788" s="500"/>
      <c r="AO3788" s="500"/>
      <c r="AP3788" s="500"/>
    </row>
    <row r="3789" spans="1:42" ht="16.5" customHeight="1">
      <c r="A3789" s="439"/>
      <c r="B3789" s="439"/>
      <c r="C3789" s="439"/>
      <c r="D3789" s="439"/>
      <c r="E3789" s="439"/>
      <c r="F3789" s="439"/>
      <c r="G3789" s="451" t="s">
        <v>3406</v>
      </c>
      <c r="Z3789" s="500"/>
      <c r="AA3789" s="500"/>
      <c r="AB3789" s="500"/>
      <c r="AC3789" s="500"/>
      <c r="AD3789" s="500"/>
      <c r="AE3789" s="500"/>
      <c r="AF3789" s="500"/>
      <c r="AG3789" s="500"/>
      <c r="AH3789" s="500"/>
      <c r="AI3789" s="500"/>
      <c r="AJ3789" s="500"/>
      <c r="AK3789" s="500"/>
      <c r="AL3789" s="500"/>
      <c r="AM3789" s="500"/>
      <c r="AN3789" s="500"/>
      <c r="AO3789" s="500"/>
      <c r="AP3789" s="500"/>
    </row>
    <row r="3790" spans="1:42" ht="16.5" customHeight="1">
      <c r="A3790" s="439"/>
      <c r="B3790" s="439"/>
      <c r="C3790" s="439"/>
      <c r="D3790" s="439"/>
      <c r="E3790" s="439"/>
      <c r="F3790" s="439"/>
      <c r="G3790" s="451" t="s">
        <v>3406</v>
      </c>
      <c r="Z3790" s="500"/>
      <c r="AA3790" s="500"/>
      <c r="AB3790" s="500"/>
      <c r="AC3790" s="500"/>
      <c r="AD3790" s="500"/>
      <c r="AE3790" s="500"/>
      <c r="AF3790" s="500"/>
      <c r="AG3790" s="500"/>
      <c r="AH3790" s="500"/>
      <c r="AI3790" s="500"/>
      <c r="AJ3790" s="500"/>
      <c r="AK3790" s="500"/>
      <c r="AL3790" s="500"/>
      <c r="AM3790" s="500"/>
      <c r="AN3790" s="500"/>
      <c r="AO3790" s="500"/>
      <c r="AP3790" s="500"/>
    </row>
    <row r="3791" spans="1:42" ht="16.5" customHeight="1">
      <c r="A3791" s="434"/>
      <c r="B3791" s="437" t="s">
        <v>3440</v>
      </c>
      <c r="C3791" s="513">
        <f>E3791+D3791+F3791</f>
        <v>16277.5</v>
      </c>
      <c r="D3791" s="513">
        <f>SUMIF(N3757:N3790,M3791,D3757:D3790)</f>
        <v>16277.5</v>
      </c>
      <c r="E3791" s="513">
        <f>SUMIF(N3757:N3790,M3791,E3757:E3790)</f>
        <v>0</v>
      </c>
      <c r="F3791" s="513">
        <f>SUMIF(N3757:N3790,M3791,F3757:F3790)</f>
        <v>0</v>
      </c>
      <c r="G3791" s="451" t="s">
        <v>3484</v>
      </c>
      <c r="M3791" s="501" t="s">
        <v>3421</v>
      </c>
      <c r="N3791" s="501" t="s">
        <v>2354</v>
      </c>
      <c r="Z3791" s="500"/>
      <c r="AA3791" s="500"/>
      <c r="AB3791" s="500"/>
      <c r="AC3791" s="500"/>
      <c r="AD3791" s="500"/>
      <c r="AE3791" s="500"/>
      <c r="AF3791" s="500"/>
      <c r="AG3791" s="500"/>
      <c r="AH3791" s="500"/>
      <c r="AI3791" s="500"/>
      <c r="AJ3791" s="500"/>
      <c r="AK3791" s="500"/>
      <c r="AL3791" s="500"/>
      <c r="AM3791" s="500"/>
      <c r="AN3791" s="500"/>
      <c r="AO3791" s="500"/>
      <c r="AP3791" s="500"/>
    </row>
    <row r="3792" spans="1:42" ht="16.5" customHeight="1">
      <c r="A3792" s="439"/>
      <c r="B3792" s="439"/>
      <c r="C3792" s="504"/>
      <c r="D3792" s="504"/>
      <c r="E3792" s="504"/>
      <c r="F3792" s="504"/>
      <c r="Z3792" s="500"/>
      <c r="AA3792" s="500"/>
      <c r="AB3792" s="500"/>
      <c r="AC3792" s="500"/>
      <c r="AD3792" s="500"/>
      <c r="AE3792" s="500"/>
      <c r="AF3792" s="500"/>
      <c r="AG3792" s="500"/>
      <c r="AH3792" s="500"/>
      <c r="AI3792" s="500"/>
      <c r="AJ3792" s="500"/>
      <c r="AK3792" s="500"/>
      <c r="AL3792" s="500"/>
      <c r="AM3792" s="500"/>
      <c r="AN3792" s="500"/>
      <c r="AO3792" s="500"/>
      <c r="AP3792" s="500"/>
    </row>
    <row r="3793" spans="1:42" ht="16.5" customHeight="1">
      <c r="A3793" s="439"/>
      <c r="B3793" s="439"/>
      <c r="C3793" s="439"/>
      <c r="D3793" s="439"/>
      <c r="E3793" s="439"/>
      <c r="F3793" s="439"/>
      <c r="Z3793" s="500"/>
      <c r="AA3793" s="500"/>
      <c r="AB3793" s="500"/>
      <c r="AC3793" s="500"/>
      <c r="AD3793" s="500"/>
      <c r="AE3793" s="500"/>
      <c r="AF3793" s="500"/>
      <c r="AG3793" s="500"/>
      <c r="AH3793" s="500"/>
      <c r="AI3793" s="500"/>
      <c r="AJ3793" s="500"/>
      <c r="AK3793" s="500"/>
      <c r="AL3793" s="500"/>
      <c r="AM3793" s="500"/>
      <c r="AN3793" s="500"/>
      <c r="AO3793" s="500"/>
      <c r="AP3793" s="500"/>
    </row>
    <row r="3794" spans="1:42" ht="16.5" customHeight="1">
      <c r="A3794" s="439"/>
      <c r="B3794" s="439"/>
      <c r="C3794" s="439"/>
      <c r="D3794" s="439"/>
      <c r="E3794" s="439"/>
      <c r="F3794" s="439"/>
      <c r="Z3794" s="500"/>
      <c r="AA3794" s="500"/>
      <c r="AB3794" s="500"/>
      <c r="AC3794" s="500"/>
      <c r="AD3794" s="500"/>
      <c r="AE3794" s="500"/>
      <c r="AF3794" s="500"/>
      <c r="AG3794" s="500"/>
      <c r="AH3794" s="500"/>
      <c r="AI3794" s="500"/>
      <c r="AJ3794" s="500"/>
      <c r="AK3794" s="500"/>
      <c r="AL3794" s="500"/>
      <c r="AM3794" s="500"/>
      <c r="AN3794" s="500"/>
      <c r="AO3794" s="500"/>
      <c r="AP3794" s="500"/>
    </row>
    <row r="3795" spans="1:42" ht="16.5" customHeight="1">
      <c r="A3795" s="439"/>
      <c r="B3795" s="439"/>
      <c r="C3795" s="439"/>
      <c r="D3795" s="439"/>
      <c r="E3795" s="439"/>
      <c r="F3795" s="439"/>
      <c r="Z3795" s="500"/>
      <c r="AA3795" s="500"/>
      <c r="AB3795" s="500"/>
      <c r="AC3795" s="500"/>
      <c r="AD3795" s="500"/>
      <c r="AE3795" s="500"/>
      <c r="AF3795" s="500"/>
      <c r="AG3795" s="500"/>
      <c r="AH3795" s="500"/>
      <c r="AI3795" s="500"/>
      <c r="AJ3795" s="500"/>
      <c r="AK3795" s="500"/>
      <c r="AL3795" s="500"/>
      <c r="AM3795" s="500"/>
      <c r="AN3795" s="500"/>
      <c r="AO3795" s="500"/>
      <c r="AP3795" s="500"/>
    </row>
    <row r="3796" spans="1:42" ht="16.5" customHeight="1">
      <c r="A3796" s="439"/>
      <c r="B3796" s="439"/>
      <c r="C3796" s="439"/>
      <c r="D3796" s="439"/>
      <c r="E3796" s="439"/>
      <c r="F3796" s="439"/>
      <c r="Z3796" s="500"/>
      <c r="AA3796" s="500"/>
      <c r="AB3796" s="500"/>
      <c r="AC3796" s="500"/>
      <c r="AD3796" s="500"/>
      <c r="AE3796" s="500"/>
      <c r="AF3796" s="500"/>
      <c r="AG3796" s="500"/>
      <c r="AH3796" s="500"/>
      <c r="AI3796" s="500"/>
      <c r="AJ3796" s="500"/>
      <c r="AK3796" s="500"/>
      <c r="AL3796" s="500"/>
      <c r="AM3796" s="500"/>
      <c r="AN3796" s="500"/>
      <c r="AO3796" s="500"/>
      <c r="AP3796" s="500"/>
    </row>
    <row r="3797" spans="1:42" ht="16.5" customHeight="1">
      <c r="A3797" s="439"/>
      <c r="B3797" s="439"/>
      <c r="C3797" s="439"/>
      <c r="D3797" s="439"/>
      <c r="E3797" s="439"/>
      <c r="F3797" s="439"/>
      <c r="Z3797" s="500"/>
      <c r="AA3797" s="500"/>
      <c r="AB3797" s="500"/>
      <c r="AC3797" s="500"/>
      <c r="AD3797" s="500"/>
      <c r="AE3797" s="500"/>
      <c r="AF3797" s="500"/>
      <c r="AG3797" s="500"/>
      <c r="AH3797" s="500"/>
      <c r="AI3797" s="500"/>
      <c r="AJ3797" s="500"/>
      <c r="AK3797" s="500"/>
      <c r="AL3797" s="500"/>
      <c r="AM3797" s="500"/>
      <c r="AN3797" s="500"/>
      <c r="AO3797" s="500"/>
      <c r="AP3797" s="500"/>
    </row>
    <row r="3798" spans="1:42" ht="16.5" customHeight="1">
      <c r="A3798" s="439"/>
      <c r="B3798" s="439"/>
      <c r="C3798" s="439"/>
      <c r="D3798" s="439"/>
      <c r="E3798" s="439"/>
      <c r="F3798" s="439"/>
      <c r="Z3798" s="500"/>
      <c r="AA3798" s="500"/>
      <c r="AB3798" s="500"/>
      <c r="AC3798" s="500"/>
      <c r="AD3798" s="500"/>
      <c r="AE3798" s="500"/>
      <c r="AF3798" s="500"/>
      <c r="AG3798" s="500"/>
      <c r="AH3798" s="500"/>
      <c r="AI3798" s="500"/>
      <c r="AJ3798" s="500"/>
      <c r="AK3798" s="500"/>
      <c r="AL3798" s="500"/>
      <c r="AM3798" s="500"/>
      <c r="AN3798" s="500"/>
      <c r="AO3798" s="500"/>
      <c r="AP3798" s="500"/>
    </row>
    <row r="3799" spans="1:42" ht="16.5" customHeight="1">
      <c r="A3799" s="439"/>
      <c r="B3799" s="439"/>
      <c r="C3799" s="439"/>
      <c r="D3799" s="439"/>
      <c r="E3799" s="439"/>
      <c r="F3799" s="439"/>
      <c r="Z3799" s="500"/>
      <c r="AA3799" s="500"/>
      <c r="AB3799" s="500"/>
      <c r="AC3799" s="500"/>
      <c r="AD3799" s="500"/>
      <c r="AE3799" s="500"/>
      <c r="AF3799" s="500"/>
      <c r="AG3799" s="500"/>
      <c r="AH3799" s="500"/>
      <c r="AI3799" s="500"/>
      <c r="AJ3799" s="500"/>
      <c r="AK3799" s="500"/>
      <c r="AL3799" s="500"/>
      <c r="AM3799" s="500"/>
      <c r="AN3799" s="500"/>
      <c r="AO3799" s="500"/>
      <c r="AP3799" s="500"/>
    </row>
    <row r="3800" spans="1:42" ht="16.5" customHeight="1">
      <c r="A3800" s="439"/>
      <c r="B3800" s="439"/>
      <c r="C3800" s="439"/>
      <c r="D3800" s="439"/>
      <c r="E3800" s="439"/>
      <c r="F3800" s="439"/>
      <c r="Z3800" s="500"/>
      <c r="AA3800" s="500"/>
      <c r="AB3800" s="500"/>
      <c r="AC3800" s="500"/>
      <c r="AD3800" s="500"/>
      <c r="AE3800" s="500"/>
      <c r="AF3800" s="500"/>
      <c r="AG3800" s="500"/>
      <c r="AH3800" s="500"/>
      <c r="AI3800" s="500"/>
      <c r="AJ3800" s="500"/>
      <c r="AK3800" s="500"/>
      <c r="AL3800" s="500"/>
      <c r="AM3800" s="500"/>
      <c r="AN3800" s="500"/>
      <c r="AO3800" s="500"/>
      <c r="AP3800" s="500"/>
    </row>
    <row r="3801" spans="1:42" ht="16.5" customHeight="1">
      <c r="A3801" s="439"/>
      <c r="B3801" s="439"/>
      <c r="C3801" s="439"/>
      <c r="D3801" s="439"/>
      <c r="E3801" s="439"/>
      <c r="F3801" s="439"/>
      <c r="Z3801" s="500"/>
      <c r="AA3801" s="500"/>
      <c r="AB3801" s="500"/>
      <c r="AC3801" s="500"/>
      <c r="AD3801" s="500"/>
      <c r="AE3801" s="500"/>
      <c r="AF3801" s="500"/>
      <c r="AG3801" s="500"/>
      <c r="AH3801" s="500"/>
      <c r="AI3801" s="500"/>
      <c r="AJ3801" s="500"/>
      <c r="AK3801" s="500"/>
      <c r="AL3801" s="500"/>
      <c r="AM3801" s="500"/>
      <c r="AN3801" s="500"/>
      <c r="AO3801" s="500"/>
      <c r="AP3801" s="500"/>
    </row>
    <row r="3802" spans="1:42" ht="16.5" customHeight="1">
      <c r="A3802" s="439"/>
      <c r="B3802" s="439"/>
      <c r="C3802" s="439"/>
      <c r="D3802" s="439"/>
      <c r="E3802" s="439"/>
      <c r="F3802" s="439"/>
      <c r="Z3802" s="500"/>
      <c r="AA3802" s="500"/>
      <c r="AB3802" s="500"/>
      <c r="AC3802" s="500"/>
      <c r="AD3802" s="500"/>
      <c r="AE3802" s="500"/>
      <c r="AF3802" s="500"/>
      <c r="AG3802" s="500"/>
      <c r="AH3802" s="500"/>
      <c r="AI3802" s="500"/>
      <c r="AJ3802" s="500"/>
      <c r="AK3802" s="500"/>
      <c r="AL3802" s="500"/>
      <c r="AM3802" s="500"/>
      <c r="AN3802" s="500"/>
      <c r="AO3802" s="500"/>
      <c r="AP3802" s="500"/>
    </row>
    <row r="3803" spans="1:42" ht="16.5" customHeight="1">
      <c r="A3803" s="497"/>
      <c r="B3803" s="497"/>
      <c r="C3803" s="497"/>
      <c r="D3803" s="497"/>
      <c r="E3803" s="497"/>
      <c r="F3803" s="497"/>
      <c r="Z3803" s="500"/>
      <c r="AA3803" s="500"/>
      <c r="AB3803" s="500"/>
      <c r="AC3803" s="500"/>
      <c r="AD3803" s="500"/>
      <c r="AE3803" s="500"/>
      <c r="AF3803" s="500"/>
      <c r="AG3803" s="500"/>
      <c r="AH3803" s="500"/>
      <c r="AI3803" s="500"/>
      <c r="AJ3803" s="500"/>
      <c r="AK3803" s="500"/>
      <c r="AL3803" s="500"/>
      <c r="AM3803" s="500"/>
      <c r="AN3803" s="500"/>
      <c r="AO3803" s="500"/>
      <c r="AP3803" s="500"/>
    </row>
    <row r="3804" spans="1:42" ht="16.5" customHeight="1">
      <c r="A3804" s="616" t="s">
        <v>3487</v>
      </c>
      <c r="B3804" s="605"/>
      <c r="C3804" s="446">
        <f>E3804+D3804+F3804</f>
        <v>16277</v>
      </c>
      <c r="D3804" s="453">
        <f>ROUNDDOWN(SUMIF(N3757:N3791,M3804,D3757:D3791),0)</f>
        <v>16277</v>
      </c>
      <c r="E3804" s="454">
        <f>ROUNDDOWN(SUMIF(N3757:N3791,M3804,E3757:E3791),0)</f>
        <v>0</v>
      </c>
      <c r="F3804" s="446">
        <f>ROUNDDOWN(SUMIF(N3757:N3791,M3804,F3757:F3791),0)</f>
        <v>0</v>
      </c>
      <c r="M3804" s="501" t="s">
        <v>2354</v>
      </c>
      <c r="Z3804" s="500"/>
      <c r="AA3804" s="500"/>
      <c r="AB3804" s="500"/>
      <c r="AC3804" s="500"/>
      <c r="AD3804" s="500"/>
      <c r="AE3804" s="500"/>
      <c r="AF3804" s="500"/>
      <c r="AG3804" s="500"/>
      <c r="AH3804" s="500"/>
      <c r="AI3804" s="500"/>
      <c r="AJ3804" s="500"/>
      <c r="AK3804" s="500"/>
      <c r="AL3804" s="500"/>
      <c r="AM3804" s="500"/>
      <c r="AN3804" s="500"/>
      <c r="AO3804" s="500"/>
      <c r="AP3804" s="500"/>
    </row>
    <row r="3805" spans="1:42" ht="16.5" customHeight="1">
      <c r="A3805" s="502" t="s">
        <v>2331</v>
      </c>
      <c r="B3805" s="503" t="s">
        <v>3366</v>
      </c>
      <c r="C3805" s="615">
        <f>C3854</f>
        <v>7054</v>
      </c>
      <c r="D3805" s="615">
        <f>D3854</f>
        <v>7054</v>
      </c>
      <c r="E3805" s="615">
        <f>E3854</f>
        <v>0</v>
      </c>
      <c r="F3805" s="615">
        <f>F3854</f>
        <v>0</v>
      </c>
      <c r="G3805" s="486" t="str">
        <f>HYPERLINK("#G"&amp;ROW(G3825),"_x0005_`BDCOD|D01226_x0007_`POSS|"&amp;ROW(G3807)&amp;"_x0007_`POSE|"&amp;ROW(G3825)&amp;"_x0007_`")</f>
        <v>_x0005_`BDCOD|D01226_x0007_`POSS|3807_x0007_`POSE|3825_x0007_`</v>
      </c>
      <c r="Z3805" s="500"/>
      <c r="AA3805" s="500"/>
      <c r="AB3805" s="500"/>
      <c r="AC3805" s="500"/>
      <c r="AD3805" s="500"/>
      <c r="AE3805" s="500"/>
      <c r="AF3805" s="500"/>
      <c r="AG3805" s="500"/>
      <c r="AH3805" s="500"/>
      <c r="AI3805" s="500"/>
      <c r="AJ3805" s="500"/>
      <c r="AK3805" s="500"/>
      <c r="AL3805" s="500"/>
      <c r="AM3805" s="500"/>
      <c r="AN3805" s="500"/>
      <c r="AO3805" s="500"/>
      <c r="AP3805" s="500"/>
    </row>
    <row r="3806" spans="1:42" ht="16.5" customHeight="1">
      <c r="A3806" s="485"/>
      <c r="B3806" s="503" t="s">
        <v>3856</v>
      </c>
      <c r="C3806" s="593"/>
      <c r="D3806" s="593"/>
      <c r="E3806" s="593"/>
      <c r="F3806" s="593"/>
      <c r="M3806" s="501" t="s">
        <v>3366</v>
      </c>
      <c r="Z3806" s="500"/>
      <c r="AA3806" s="500"/>
      <c r="AB3806" s="500"/>
      <c r="AC3806" s="500"/>
      <c r="AD3806" s="500"/>
      <c r="AE3806" s="500"/>
      <c r="AF3806" s="500"/>
      <c r="AG3806" s="500"/>
      <c r="AH3806" s="500"/>
      <c r="AI3806" s="500"/>
      <c r="AJ3806" s="500"/>
      <c r="AK3806" s="500"/>
      <c r="AL3806" s="500"/>
      <c r="AM3806" s="500"/>
      <c r="AN3806" s="500"/>
      <c r="AO3806" s="500"/>
      <c r="AP3806" s="500"/>
    </row>
    <row r="3807" spans="1:42" ht="16.5" customHeight="1">
      <c r="A3807" s="439"/>
      <c r="B3807" s="439"/>
      <c r="C3807" s="504"/>
      <c r="D3807" s="504"/>
      <c r="E3807" s="504"/>
      <c r="F3807" s="504"/>
      <c r="G3807" s="451" t="s">
        <v>3406</v>
      </c>
      <c r="Z3807" s="500"/>
      <c r="AA3807" s="500"/>
      <c r="AB3807" s="500"/>
      <c r="AC3807" s="500"/>
      <c r="AD3807" s="500"/>
      <c r="AE3807" s="500"/>
      <c r="AF3807" s="500"/>
      <c r="AG3807" s="500"/>
      <c r="AH3807" s="500"/>
      <c r="AI3807" s="500"/>
      <c r="AJ3807" s="500"/>
      <c r="AK3807" s="500"/>
      <c r="AL3807" s="500"/>
      <c r="AM3807" s="500"/>
      <c r="AN3807" s="500"/>
      <c r="AO3807" s="500"/>
      <c r="AP3807" s="500"/>
    </row>
    <row r="3808" spans="1:42" ht="16.5" customHeight="1">
      <c r="A3808" s="439"/>
      <c r="B3808" s="439"/>
      <c r="C3808" s="439"/>
      <c r="D3808" s="439"/>
      <c r="E3808" s="439"/>
      <c r="F3808" s="439"/>
      <c r="G3808" s="451" t="s">
        <v>3406</v>
      </c>
      <c r="Z3808" s="500"/>
      <c r="AA3808" s="500"/>
      <c r="AB3808" s="500"/>
      <c r="AC3808" s="500"/>
      <c r="AD3808" s="500"/>
      <c r="AE3808" s="500"/>
      <c r="AF3808" s="500"/>
      <c r="AG3808" s="500"/>
      <c r="AH3808" s="500"/>
      <c r="AI3808" s="500"/>
      <c r="AJ3808" s="500"/>
      <c r="AK3808" s="500"/>
      <c r="AL3808" s="500"/>
      <c r="AM3808" s="500"/>
      <c r="AN3808" s="500"/>
      <c r="AO3808" s="500"/>
      <c r="AP3808" s="500"/>
    </row>
    <row r="3809" spans="1:42" ht="16.5" customHeight="1">
      <c r="A3809" s="439"/>
      <c r="B3809" s="439"/>
      <c r="C3809" s="439"/>
      <c r="D3809" s="439"/>
      <c r="E3809" s="439"/>
      <c r="F3809" s="439"/>
      <c r="G3809" s="451" t="s">
        <v>3406</v>
      </c>
      <c r="Z3809" s="500"/>
      <c r="AA3809" s="500"/>
      <c r="AB3809" s="500"/>
      <c r="AC3809" s="500"/>
      <c r="AD3809" s="500"/>
      <c r="AE3809" s="500"/>
      <c r="AF3809" s="500"/>
      <c r="AG3809" s="500"/>
      <c r="AH3809" s="500"/>
      <c r="AI3809" s="500"/>
      <c r="AJ3809" s="500"/>
      <c r="AK3809" s="500"/>
      <c r="AL3809" s="500"/>
      <c r="AM3809" s="500"/>
      <c r="AN3809" s="500"/>
      <c r="AO3809" s="500"/>
      <c r="AP3809" s="500"/>
    </row>
    <row r="3810" spans="1:42" ht="16.5" customHeight="1">
      <c r="A3810" s="439"/>
      <c r="B3810" s="439"/>
      <c r="C3810" s="439"/>
      <c r="D3810" s="439"/>
      <c r="E3810" s="439"/>
      <c r="F3810" s="439"/>
      <c r="G3810" s="451" t="s">
        <v>3406</v>
      </c>
      <c r="Z3810" s="500"/>
      <c r="AA3810" s="500"/>
      <c r="AB3810" s="500"/>
      <c r="AC3810" s="500"/>
      <c r="AD3810" s="500"/>
      <c r="AE3810" s="500"/>
      <c r="AF3810" s="500"/>
      <c r="AG3810" s="500"/>
      <c r="AH3810" s="500"/>
      <c r="AI3810" s="500"/>
      <c r="AJ3810" s="500"/>
      <c r="AK3810" s="500"/>
      <c r="AL3810" s="500"/>
      <c r="AM3810" s="500"/>
      <c r="AN3810" s="500"/>
      <c r="AO3810" s="500"/>
      <c r="AP3810" s="500"/>
    </row>
    <row r="3811" spans="1:42" ht="16.5" customHeight="1">
      <c r="A3811" s="439"/>
      <c r="B3811" s="439"/>
      <c r="C3811" s="439"/>
      <c r="D3811" s="439"/>
      <c r="E3811" s="439"/>
      <c r="F3811" s="439"/>
      <c r="G3811" s="451" t="s">
        <v>3406</v>
      </c>
      <c r="Z3811" s="500"/>
      <c r="AA3811" s="500"/>
      <c r="AB3811" s="500"/>
      <c r="AC3811" s="500"/>
      <c r="AD3811" s="500"/>
      <c r="AE3811" s="500"/>
      <c r="AF3811" s="500"/>
      <c r="AG3811" s="500"/>
      <c r="AH3811" s="500"/>
      <c r="AI3811" s="500"/>
      <c r="AJ3811" s="500"/>
      <c r="AK3811" s="500"/>
      <c r="AL3811" s="500"/>
      <c r="AM3811" s="500"/>
      <c r="AN3811" s="500"/>
      <c r="AO3811" s="500"/>
      <c r="AP3811" s="500"/>
    </row>
    <row r="3812" spans="1:42" ht="16.5" customHeight="1">
      <c r="A3812" s="434"/>
      <c r="B3812" s="437" t="s">
        <v>3857</v>
      </c>
      <c r="C3812" s="439"/>
      <c r="D3812" s="439"/>
      <c r="E3812" s="439"/>
      <c r="F3812" s="439"/>
      <c r="G3812" s="451" t="s">
        <v>3858</v>
      </c>
      <c r="Z3812" s="500"/>
      <c r="AA3812" s="500"/>
      <c r="AB3812" s="500"/>
      <c r="AC3812" s="500"/>
      <c r="AD3812" s="500"/>
      <c r="AE3812" s="500"/>
      <c r="AF3812" s="500"/>
      <c r="AG3812" s="500"/>
      <c r="AH3812" s="500"/>
      <c r="AI3812" s="500"/>
      <c r="AJ3812" s="500"/>
      <c r="AK3812" s="500"/>
      <c r="AL3812" s="500"/>
      <c r="AM3812" s="500"/>
      <c r="AN3812" s="500"/>
      <c r="AO3812" s="500"/>
      <c r="AP3812" s="500"/>
    </row>
    <row r="3813" spans="1:42" ht="16.5" customHeight="1">
      <c r="A3813" s="439"/>
      <c r="B3813" s="439"/>
      <c r="C3813" s="439"/>
      <c r="D3813" s="439"/>
      <c r="E3813" s="439"/>
      <c r="F3813" s="439"/>
      <c r="G3813" s="451" t="s">
        <v>3406</v>
      </c>
      <c r="Z3813" s="500"/>
      <c r="AA3813" s="500"/>
      <c r="AB3813" s="500"/>
      <c r="AC3813" s="500"/>
      <c r="AD3813" s="500"/>
      <c r="AE3813" s="500"/>
      <c r="AF3813" s="500"/>
      <c r="AG3813" s="500"/>
      <c r="AH3813" s="500"/>
      <c r="AI3813" s="500"/>
      <c r="AJ3813" s="500"/>
      <c r="AK3813" s="500"/>
      <c r="AL3813" s="500"/>
      <c r="AM3813" s="500"/>
      <c r="AN3813" s="500"/>
      <c r="AO3813" s="500"/>
      <c r="AP3813" s="500"/>
    </row>
    <row r="3814" spans="1:42" ht="16.5" customHeight="1">
      <c r="A3814" s="439"/>
      <c r="B3814" s="439"/>
      <c r="C3814" s="439"/>
      <c r="D3814" s="439"/>
      <c r="E3814" s="439"/>
      <c r="F3814" s="439"/>
      <c r="G3814" s="451" t="s">
        <v>3406</v>
      </c>
      <c r="Z3814" s="500"/>
      <c r="AA3814" s="500"/>
      <c r="AB3814" s="500"/>
      <c r="AC3814" s="500"/>
      <c r="AD3814" s="500"/>
      <c r="AE3814" s="500"/>
      <c r="AF3814" s="500"/>
      <c r="AG3814" s="500"/>
      <c r="AH3814" s="500"/>
      <c r="AI3814" s="500"/>
      <c r="AJ3814" s="500"/>
      <c r="AK3814" s="500"/>
      <c r="AL3814" s="500"/>
      <c r="AM3814" s="500"/>
      <c r="AN3814" s="500"/>
      <c r="AO3814" s="500"/>
      <c r="AP3814" s="500"/>
    </row>
    <row r="3815" spans="1:42" ht="16.5" customHeight="1">
      <c r="A3815" s="434"/>
      <c r="B3815" s="437" t="s">
        <v>3859</v>
      </c>
      <c r="C3815" s="439"/>
      <c r="D3815" s="439"/>
      <c r="E3815" s="439"/>
      <c r="F3815" s="439"/>
      <c r="G3815" s="451" t="s">
        <v>3860</v>
      </c>
      <c r="Z3815" s="500"/>
      <c r="AA3815" s="500"/>
      <c r="AB3815" s="500"/>
      <c r="AC3815" s="500"/>
      <c r="AD3815" s="500"/>
      <c r="AE3815" s="500"/>
      <c r="AF3815" s="500"/>
      <c r="AG3815" s="500"/>
      <c r="AH3815" s="500"/>
      <c r="AI3815" s="500"/>
      <c r="AJ3815" s="500"/>
      <c r="AK3815" s="500"/>
      <c r="AL3815" s="500"/>
      <c r="AM3815" s="500"/>
      <c r="AN3815" s="500"/>
      <c r="AO3815" s="500"/>
      <c r="AP3815" s="500"/>
    </row>
    <row r="3816" spans="1:42" ht="16.5" customHeight="1">
      <c r="A3816" s="439"/>
      <c r="B3816" s="439"/>
      <c r="C3816" s="439"/>
      <c r="D3816" s="439"/>
      <c r="E3816" s="439"/>
      <c r="F3816" s="439"/>
      <c r="G3816" s="451" t="s">
        <v>3406</v>
      </c>
      <c r="Z3816" s="500"/>
      <c r="AA3816" s="500"/>
      <c r="AB3816" s="500"/>
      <c r="AC3816" s="500"/>
      <c r="AD3816" s="500"/>
      <c r="AE3816" s="500"/>
      <c r="AF3816" s="500"/>
      <c r="AG3816" s="500"/>
      <c r="AH3816" s="500"/>
      <c r="AI3816" s="500"/>
      <c r="AJ3816" s="500"/>
      <c r="AK3816" s="500"/>
      <c r="AL3816" s="500"/>
      <c r="AM3816" s="500"/>
      <c r="AN3816" s="500"/>
      <c r="AO3816" s="500"/>
      <c r="AP3816" s="500"/>
    </row>
    <row r="3817" spans="1:42" ht="16.5" customHeight="1">
      <c r="A3817" s="439"/>
      <c r="B3817" s="439"/>
      <c r="C3817" s="439"/>
      <c r="D3817" s="439"/>
      <c r="E3817" s="439"/>
      <c r="F3817" s="439"/>
      <c r="G3817" s="451" t="s">
        <v>3406</v>
      </c>
      <c r="Z3817" s="500"/>
      <c r="AA3817" s="500"/>
      <c r="AB3817" s="500"/>
      <c r="AC3817" s="500"/>
      <c r="AD3817" s="500"/>
      <c r="AE3817" s="500"/>
      <c r="AF3817" s="500"/>
      <c r="AG3817" s="500"/>
      <c r="AH3817" s="500"/>
      <c r="AI3817" s="500"/>
      <c r="AJ3817" s="500"/>
      <c r="AK3817" s="500"/>
      <c r="AL3817" s="500"/>
      <c r="AM3817" s="500"/>
      <c r="AN3817" s="500"/>
      <c r="AO3817" s="500"/>
      <c r="AP3817" s="500"/>
    </row>
    <row r="3818" spans="1:42" ht="16.5" customHeight="1">
      <c r="A3818" s="434"/>
      <c r="B3818" s="437" t="str">
        <f>"   2인 10분 작업: m 당 10 / 480분 * 2인 =  A = "&amp;Z3818&amp;" 인 "</f>
        <v xml:space="preserve">   2인 10분 작업: m 당 10 / 480분 * 2인 =  A = 0.041 인 </v>
      </c>
      <c r="C3818" s="439"/>
      <c r="D3818" s="439"/>
      <c r="E3818" s="439"/>
      <c r="F3818" s="439"/>
      <c r="G3818" s="451" t="s">
        <v>3861</v>
      </c>
      <c r="Z3818" s="511">
        <v>4.1000000000000002E-2</v>
      </c>
      <c r="AA3818" s="501" t="s">
        <v>3418</v>
      </c>
      <c r="AB3818" s="512">
        <f>Z3818</f>
        <v>4.1000000000000002E-2</v>
      </c>
      <c r="AC3818" s="500"/>
      <c r="AD3818" s="500"/>
      <c r="AE3818" s="500"/>
      <c r="AF3818" s="500"/>
      <c r="AG3818" s="500"/>
      <c r="AH3818" s="500"/>
      <c r="AI3818" s="500"/>
      <c r="AJ3818" s="500"/>
      <c r="AK3818" s="500"/>
      <c r="AL3818" s="500"/>
      <c r="AM3818" s="500"/>
      <c r="AN3818" s="500"/>
      <c r="AO3818" s="500"/>
      <c r="AP3818" s="500"/>
    </row>
    <row r="3819" spans="1:42" ht="16.5" customHeight="1">
      <c r="A3819" s="439"/>
      <c r="B3819" s="439"/>
      <c r="C3819" s="439"/>
      <c r="D3819" s="439"/>
      <c r="E3819" s="439"/>
      <c r="F3819" s="439"/>
      <c r="G3819" s="451" t="s">
        <v>3406</v>
      </c>
      <c r="Z3819" s="500"/>
      <c r="AA3819" s="500"/>
      <c r="AB3819" s="500"/>
      <c r="AC3819" s="500"/>
      <c r="AD3819" s="500"/>
      <c r="AE3819" s="500"/>
      <c r="AF3819" s="500"/>
      <c r="AG3819" s="500"/>
      <c r="AH3819" s="500"/>
      <c r="AI3819" s="500"/>
      <c r="AJ3819" s="500"/>
      <c r="AK3819" s="500"/>
      <c r="AL3819" s="500"/>
      <c r="AM3819" s="500"/>
      <c r="AN3819" s="500"/>
      <c r="AO3819" s="500"/>
      <c r="AP3819" s="500"/>
    </row>
    <row r="3820" spans="1:42" ht="16.5" customHeight="1">
      <c r="A3820" s="439"/>
      <c r="B3820" s="439"/>
      <c r="C3820" s="439"/>
      <c r="D3820" s="439"/>
      <c r="E3820" s="439"/>
      <c r="F3820" s="439"/>
      <c r="G3820" s="451" t="s">
        <v>3406</v>
      </c>
      <c r="Z3820" s="500"/>
      <c r="AA3820" s="500"/>
      <c r="AB3820" s="500"/>
      <c r="AC3820" s="500"/>
      <c r="AD3820" s="500"/>
      <c r="AE3820" s="500"/>
      <c r="AF3820" s="500"/>
      <c r="AG3820" s="500"/>
      <c r="AH3820" s="500"/>
      <c r="AI3820" s="500"/>
      <c r="AJ3820" s="500"/>
      <c r="AK3820" s="500"/>
      <c r="AL3820" s="500"/>
      <c r="AM3820" s="500"/>
      <c r="AN3820" s="500"/>
      <c r="AO3820" s="500"/>
      <c r="AP3820" s="500"/>
    </row>
    <row r="3821" spans="1:42" ht="16.5" customHeight="1">
      <c r="A3821" s="434" t="s">
        <v>3414</v>
      </c>
      <c r="B3821" s="505" t="str">
        <f>"     "&amp;TEXT(I3821,"#,##0"&amp;IF(I3821&lt;&gt;INT(I3821),".###",""))&amp;"* A 인  = "&amp;TEXT(C3821,"#,##0.0")&amp;"  원 "</f>
        <v xml:space="preserve">     172,068* A 인  = 7,054.7  원 </v>
      </c>
      <c r="C3821" s="506">
        <f>E3821+D3821+F3821</f>
        <v>7054.7</v>
      </c>
      <c r="D3821" s="506">
        <f>IF(H3821=0,0,ROUNDDOWN(J3821*H3821,1))</f>
        <v>7054.7</v>
      </c>
      <c r="E3821" s="506">
        <f>IF(H3821=0,0,ROUNDDOWN(K3821*H3821,1))</f>
        <v>0</v>
      </c>
      <c r="F3821" s="506">
        <f>IF(H3821=0,0,ROUNDDOWN(L3821*H3821,1))</f>
        <v>0</v>
      </c>
      <c r="G3821" s="451" t="s">
        <v>3862</v>
      </c>
      <c r="H3821" s="507">
        <f>ROUNDUP(AC3821,14-LEN(ABS(INT(AC3821))))</f>
        <v>4.1000000000000002E-2</v>
      </c>
      <c r="I3821" s="508">
        <f>K3821+J3821+L3821</f>
        <v>172068</v>
      </c>
      <c r="J3821" s="509">
        <f>노무비목록표!E10</f>
        <v>172068</v>
      </c>
      <c r="M3821" s="501" t="s">
        <v>2363</v>
      </c>
      <c r="N3821" s="501" t="s">
        <v>3416</v>
      </c>
      <c r="X3821" s="510" t="str">
        <f>노무비목록표!B10&amp;" / "&amp;노무비목록표!C10</f>
        <v xml:space="preserve">보통인부 / </v>
      </c>
      <c r="Y3821" s="433" t="str">
        <f ca="1">HYPERLINK("#"&amp;노무비목록표!G2&amp;"!A"&amp;ROW(노무비목록표!A10),"L00017 →")</f>
        <v>L00017 →</v>
      </c>
      <c r="Z3821" s="501" t="s">
        <v>3500</v>
      </c>
      <c r="AA3821" s="512">
        <f>AB3818</f>
        <v>4.1000000000000002E-2</v>
      </c>
      <c r="AB3821" s="501" t="s">
        <v>3418</v>
      </c>
      <c r="AC3821" s="512">
        <f>1*AB3818</f>
        <v>4.1000000000000002E-2</v>
      </c>
      <c r="AD3821" s="500"/>
      <c r="AE3821" s="500"/>
      <c r="AF3821" s="500"/>
      <c r="AG3821" s="500"/>
      <c r="AH3821" s="500"/>
      <c r="AI3821" s="500"/>
      <c r="AJ3821" s="500"/>
      <c r="AK3821" s="500"/>
      <c r="AL3821" s="500"/>
      <c r="AM3821" s="500"/>
      <c r="AN3821" s="500"/>
      <c r="AO3821" s="500"/>
      <c r="AP3821" s="500"/>
    </row>
    <row r="3822" spans="1:42" ht="16.5" customHeight="1">
      <c r="A3822" s="439"/>
      <c r="B3822" s="439"/>
      <c r="C3822" s="439"/>
      <c r="D3822" s="439"/>
      <c r="E3822" s="439"/>
      <c r="F3822" s="439"/>
      <c r="G3822" s="451" t="s">
        <v>3406</v>
      </c>
      <c r="Z3822" s="500"/>
      <c r="AA3822" s="500"/>
      <c r="AB3822" s="500"/>
      <c r="AC3822" s="500"/>
      <c r="AD3822" s="500"/>
      <c r="AE3822" s="500"/>
      <c r="AF3822" s="500"/>
      <c r="AG3822" s="500"/>
      <c r="AH3822" s="500"/>
      <c r="AI3822" s="500"/>
      <c r="AJ3822" s="500"/>
      <c r="AK3822" s="500"/>
      <c r="AL3822" s="500"/>
      <c r="AM3822" s="500"/>
      <c r="AN3822" s="500"/>
      <c r="AO3822" s="500"/>
      <c r="AP3822" s="500"/>
    </row>
    <row r="3823" spans="1:42" ht="16.5" customHeight="1">
      <c r="A3823" s="439"/>
      <c r="B3823" s="439"/>
      <c r="C3823" s="439"/>
      <c r="D3823" s="439"/>
      <c r="E3823" s="439"/>
      <c r="F3823" s="439"/>
      <c r="G3823" s="451" t="s">
        <v>3406</v>
      </c>
      <c r="Z3823" s="500"/>
      <c r="AA3823" s="500"/>
      <c r="AB3823" s="500"/>
      <c r="AC3823" s="500"/>
      <c r="AD3823" s="500"/>
      <c r="AE3823" s="500"/>
      <c r="AF3823" s="500"/>
      <c r="AG3823" s="500"/>
      <c r="AH3823" s="500"/>
      <c r="AI3823" s="500"/>
      <c r="AJ3823" s="500"/>
      <c r="AK3823" s="500"/>
      <c r="AL3823" s="500"/>
      <c r="AM3823" s="500"/>
      <c r="AN3823" s="500"/>
      <c r="AO3823" s="500"/>
      <c r="AP3823" s="500"/>
    </row>
    <row r="3824" spans="1:42" ht="16.5" customHeight="1">
      <c r="A3824" s="439"/>
      <c r="B3824" s="439"/>
      <c r="C3824" s="439"/>
      <c r="D3824" s="439"/>
      <c r="E3824" s="439"/>
      <c r="F3824" s="439"/>
      <c r="G3824" s="451" t="s">
        <v>3406</v>
      </c>
      <c r="Z3824" s="500"/>
      <c r="AA3824" s="500"/>
      <c r="AB3824" s="500"/>
      <c r="AC3824" s="500"/>
      <c r="AD3824" s="500"/>
      <c r="AE3824" s="500"/>
      <c r="AF3824" s="500"/>
      <c r="AG3824" s="500"/>
      <c r="AH3824" s="500"/>
      <c r="AI3824" s="500"/>
      <c r="AJ3824" s="500"/>
      <c r="AK3824" s="500"/>
      <c r="AL3824" s="500"/>
      <c r="AM3824" s="500"/>
      <c r="AN3824" s="500"/>
      <c r="AO3824" s="500"/>
      <c r="AP3824" s="500"/>
    </row>
    <row r="3825" spans="1:42" ht="16.5" customHeight="1">
      <c r="A3825" s="434"/>
      <c r="B3825" s="437" t="s">
        <v>3419</v>
      </c>
      <c r="C3825" s="513">
        <f>E3825+D3825+F3825</f>
        <v>7054.7</v>
      </c>
      <c r="D3825" s="513">
        <f>SUMIF(N3807:N3824,M3825,D3807:D3824)</f>
        <v>7054.7</v>
      </c>
      <c r="E3825" s="513">
        <f>SUMIF(N3807:N3824,M3825,E3807:E3824)</f>
        <v>0</v>
      </c>
      <c r="F3825" s="513">
        <f>SUMIF(N3807:N3824,M3825,F3807:F3824)</f>
        <v>0</v>
      </c>
      <c r="G3825" s="451" t="s">
        <v>3420</v>
      </c>
      <c r="M3825" s="501" t="s">
        <v>3416</v>
      </c>
      <c r="N3825" s="501" t="s">
        <v>2354</v>
      </c>
      <c r="Z3825" s="500"/>
      <c r="AA3825" s="500"/>
      <c r="AB3825" s="500"/>
      <c r="AC3825" s="500"/>
      <c r="AD3825" s="500"/>
      <c r="AE3825" s="500"/>
      <c r="AF3825" s="500"/>
      <c r="AG3825" s="500"/>
      <c r="AH3825" s="500"/>
      <c r="AI3825" s="500"/>
      <c r="AJ3825" s="500"/>
      <c r="AK3825" s="500"/>
      <c r="AL3825" s="500"/>
      <c r="AM3825" s="500"/>
      <c r="AN3825" s="500"/>
      <c r="AO3825" s="500"/>
      <c r="AP3825" s="500"/>
    </row>
    <row r="3826" spans="1:42" ht="16.5" customHeight="1">
      <c r="A3826" s="439"/>
      <c r="B3826" s="439"/>
      <c r="C3826" s="504"/>
      <c r="D3826" s="504"/>
      <c r="E3826" s="504"/>
      <c r="F3826" s="504"/>
      <c r="Z3826" s="500"/>
      <c r="AA3826" s="500"/>
      <c r="AB3826" s="500"/>
      <c r="AC3826" s="500"/>
      <c r="AD3826" s="500"/>
      <c r="AE3826" s="500"/>
      <c r="AF3826" s="500"/>
      <c r="AG3826" s="500"/>
      <c r="AH3826" s="500"/>
      <c r="AI3826" s="500"/>
      <c r="AJ3826" s="500"/>
      <c r="AK3826" s="500"/>
      <c r="AL3826" s="500"/>
      <c r="AM3826" s="500"/>
      <c r="AN3826" s="500"/>
      <c r="AO3826" s="500"/>
      <c r="AP3826" s="500"/>
    </row>
    <row r="3827" spans="1:42" ht="16.5" customHeight="1">
      <c r="A3827" s="439"/>
      <c r="B3827" s="439"/>
      <c r="C3827" s="439"/>
      <c r="D3827" s="439"/>
      <c r="E3827" s="439"/>
      <c r="F3827" s="439"/>
      <c r="Z3827" s="500"/>
      <c r="AA3827" s="500"/>
      <c r="AB3827" s="500"/>
      <c r="AC3827" s="500"/>
      <c r="AD3827" s="500"/>
      <c r="AE3827" s="500"/>
      <c r="AF3827" s="500"/>
      <c r="AG3827" s="500"/>
      <c r="AH3827" s="500"/>
      <c r="AI3827" s="500"/>
      <c r="AJ3827" s="500"/>
      <c r="AK3827" s="500"/>
      <c r="AL3827" s="500"/>
      <c r="AM3827" s="500"/>
      <c r="AN3827" s="500"/>
      <c r="AO3827" s="500"/>
      <c r="AP3827" s="500"/>
    </row>
    <row r="3828" spans="1:42" ht="16.5" customHeight="1">
      <c r="A3828" s="439"/>
      <c r="B3828" s="439"/>
      <c r="C3828" s="439"/>
      <c r="D3828" s="439"/>
      <c r="E3828" s="439"/>
      <c r="F3828" s="439"/>
      <c r="Z3828" s="500"/>
      <c r="AA3828" s="500"/>
      <c r="AB3828" s="500"/>
      <c r="AC3828" s="500"/>
      <c r="AD3828" s="500"/>
      <c r="AE3828" s="500"/>
      <c r="AF3828" s="500"/>
      <c r="AG3828" s="500"/>
      <c r="AH3828" s="500"/>
      <c r="AI3828" s="500"/>
      <c r="AJ3828" s="500"/>
      <c r="AK3828" s="500"/>
      <c r="AL3828" s="500"/>
      <c r="AM3828" s="500"/>
      <c r="AN3828" s="500"/>
      <c r="AO3828" s="500"/>
      <c r="AP3828" s="500"/>
    </row>
    <row r="3829" spans="1:42" ht="16.5" customHeight="1">
      <c r="A3829" s="439"/>
      <c r="B3829" s="439"/>
      <c r="C3829" s="439"/>
      <c r="D3829" s="439"/>
      <c r="E3829" s="439"/>
      <c r="F3829" s="439"/>
      <c r="Z3829" s="500"/>
      <c r="AA3829" s="500"/>
      <c r="AB3829" s="500"/>
      <c r="AC3829" s="500"/>
      <c r="AD3829" s="500"/>
      <c r="AE3829" s="500"/>
      <c r="AF3829" s="500"/>
      <c r="AG3829" s="500"/>
      <c r="AH3829" s="500"/>
      <c r="AI3829" s="500"/>
      <c r="AJ3829" s="500"/>
      <c r="AK3829" s="500"/>
      <c r="AL3829" s="500"/>
      <c r="AM3829" s="500"/>
      <c r="AN3829" s="500"/>
      <c r="AO3829" s="500"/>
      <c r="AP3829" s="500"/>
    </row>
    <row r="3830" spans="1:42" ht="16.5" customHeight="1">
      <c r="A3830" s="439"/>
      <c r="B3830" s="439"/>
      <c r="C3830" s="439"/>
      <c r="D3830" s="439"/>
      <c r="E3830" s="439"/>
      <c r="F3830" s="439"/>
      <c r="Z3830" s="500"/>
      <c r="AA3830" s="500"/>
      <c r="AB3830" s="500"/>
      <c r="AC3830" s="500"/>
      <c r="AD3830" s="500"/>
      <c r="AE3830" s="500"/>
      <c r="AF3830" s="500"/>
      <c r="AG3830" s="500"/>
      <c r="AH3830" s="500"/>
      <c r="AI3830" s="500"/>
      <c r="AJ3830" s="500"/>
      <c r="AK3830" s="500"/>
      <c r="AL3830" s="500"/>
      <c r="AM3830" s="500"/>
      <c r="AN3830" s="500"/>
      <c r="AO3830" s="500"/>
      <c r="AP3830" s="500"/>
    </row>
    <row r="3831" spans="1:42" ht="16.5" customHeight="1">
      <c r="A3831" s="439"/>
      <c r="B3831" s="439"/>
      <c r="C3831" s="439"/>
      <c r="D3831" s="439"/>
      <c r="E3831" s="439"/>
      <c r="F3831" s="439"/>
      <c r="Z3831" s="500"/>
      <c r="AA3831" s="500"/>
      <c r="AB3831" s="500"/>
      <c r="AC3831" s="500"/>
      <c r="AD3831" s="500"/>
      <c r="AE3831" s="500"/>
      <c r="AF3831" s="500"/>
      <c r="AG3831" s="500"/>
      <c r="AH3831" s="500"/>
      <c r="AI3831" s="500"/>
      <c r="AJ3831" s="500"/>
      <c r="AK3831" s="500"/>
      <c r="AL3831" s="500"/>
      <c r="AM3831" s="500"/>
      <c r="AN3831" s="500"/>
      <c r="AO3831" s="500"/>
      <c r="AP3831" s="500"/>
    </row>
    <row r="3832" spans="1:42" ht="16.5" customHeight="1">
      <c r="A3832" s="439"/>
      <c r="B3832" s="439"/>
      <c r="C3832" s="439"/>
      <c r="D3832" s="439"/>
      <c r="E3832" s="439"/>
      <c r="F3832" s="439"/>
      <c r="Z3832" s="500"/>
      <c r="AA3832" s="500"/>
      <c r="AB3832" s="500"/>
      <c r="AC3832" s="500"/>
      <c r="AD3832" s="500"/>
      <c r="AE3832" s="500"/>
      <c r="AF3832" s="500"/>
      <c r="AG3832" s="500"/>
      <c r="AH3832" s="500"/>
      <c r="AI3832" s="500"/>
      <c r="AJ3832" s="500"/>
      <c r="AK3832" s="500"/>
      <c r="AL3832" s="500"/>
      <c r="AM3832" s="500"/>
      <c r="AN3832" s="500"/>
      <c r="AO3832" s="500"/>
      <c r="AP3832" s="500"/>
    </row>
    <row r="3833" spans="1:42" ht="16.5" customHeight="1">
      <c r="A3833" s="439"/>
      <c r="B3833" s="439"/>
      <c r="C3833" s="439"/>
      <c r="D3833" s="439"/>
      <c r="E3833" s="439"/>
      <c r="F3833" s="439"/>
      <c r="Z3833" s="500"/>
      <c r="AA3833" s="500"/>
      <c r="AB3833" s="500"/>
      <c r="AC3833" s="500"/>
      <c r="AD3833" s="500"/>
      <c r="AE3833" s="500"/>
      <c r="AF3833" s="500"/>
      <c r="AG3833" s="500"/>
      <c r="AH3833" s="500"/>
      <c r="AI3833" s="500"/>
      <c r="AJ3833" s="500"/>
      <c r="AK3833" s="500"/>
      <c r="AL3833" s="500"/>
      <c r="AM3833" s="500"/>
      <c r="AN3833" s="500"/>
      <c r="AO3833" s="500"/>
      <c r="AP3833" s="500"/>
    </row>
    <row r="3834" spans="1:42" ht="16.5" customHeight="1">
      <c r="A3834" s="439"/>
      <c r="B3834" s="439"/>
      <c r="C3834" s="439"/>
      <c r="D3834" s="439"/>
      <c r="E3834" s="439"/>
      <c r="F3834" s="439"/>
      <c r="Z3834" s="500"/>
      <c r="AA3834" s="500"/>
      <c r="AB3834" s="500"/>
      <c r="AC3834" s="500"/>
      <c r="AD3834" s="500"/>
      <c r="AE3834" s="500"/>
      <c r="AF3834" s="500"/>
      <c r="AG3834" s="500"/>
      <c r="AH3834" s="500"/>
      <c r="AI3834" s="500"/>
      <c r="AJ3834" s="500"/>
      <c r="AK3834" s="500"/>
      <c r="AL3834" s="500"/>
      <c r="AM3834" s="500"/>
      <c r="AN3834" s="500"/>
      <c r="AO3834" s="500"/>
      <c r="AP3834" s="500"/>
    </row>
    <row r="3835" spans="1:42" ht="16.5" customHeight="1">
      <c r="A3835" s="439"/>
      <c r="B3835" s="439"/>
      <c r="C3835" s="439"/>
      <c r="D3835" s="439"/>
      <c r="E3835" s="439"/>
      <c r="F3835" s="439"/>
      <c r="Z3835" s="500"/>
      <c r="AA3835" s="500"/>
      <c r="AB3835" s="500"/>
      <c r="AC3835" s="500"/>
      <c r="AD3835" s="500"/>
      <c r="AE3835" s="500"/>
      <c r="AF3835" s="500"/>
      <c r="AG3835" s="500"/>
      <c r="AH3835" s="500"/>
      <c r="AI3835" s="500"/>
      <c r="AJ3835" s="500"/>
      <c r="AK3835" s="500"/>
      <c r="AL3835" s="500"/>
      <c r="AM3835" s="500"/>
      <c r="AN3835" s="500"/>
      <c r="AO3835" s="500"/>
      <c r="AP3835" s="500"/>
    </row>
    <row r="3836" spans="1:42" ht="16.5" customHeight="1">
      <c r="A3836" s="439"/>
      <c r="B3836" s="439"/>
      <c r="C3836" s="439"/>
      <c r="D3836" s="439"/>
      <c r="E3836" s="439"/>
      <c r="F3836" s="439"/>
      <c r="Z3836" s="500"/>
      <c r="AA3836" s="500"/>
      <c r="AB3836" s="500"/>
      <c r="AC3836" s="500"/>
      <c r="AD3836" s="500"/>
      <c r="AE3836" s="500"/>
      <c r="AF3836" s="500"/>
      <c r="AG3836" s="500"/>
      <c r="AH3836" s="500"/>
      <c r="AI3836" s="500"/>
      <c r="AJ3836" s="500"/>
      <c r="AK3836" s="500"/>
      <c r="AL3836" s="500"/>
      <c r="AM3836" s="500"/>
      <c r="AN3836" s="500"/>
      <c r="AO3836" s="500"/>
      <c r="AP3836" s="500"/>
    </row>
    <row r="3837" spans="1:42" ht="16.5" customHeight="1">
      <c r="A3837" s="439"/>
      <c r="B3837" s="439"/>
      <c r="C3837" s="439"/>
      <c r="D3837" s="439"/>
      <c r="E3837" s="439"/>
      <c r="F3837" s="439"/>
      <c r="Z3837" s="500"/>
      <c r="AA3837" s="500"/>
      <c r="AB3837" s="500"/>
      <c r="AC3837" s="500"/>
      <c r="AD3837" s="500"/>
      <c r="AE3837" s="500"/>
      <c r="AF3837" s="500"/>
      <c r="AG3837" s="500"/>
      <c r="AH3837" s="500"/>
      <c r="AI3837" s="500"/>
      <c r="AJ3837" s="500"/>
      <c r="AK3837" s="500"/>
      <c r="AL3837" s="500"/>
      <c r="AM3837" s="500"/>
      <c r="AN3837" s="500"/>
      <c r="AO3837" s="500"/>
      <c r="AP3837" s="500"/>
    </row>
    <row r="3838" spans="1:42" ht="16.5" customHeight="1">
      <c r="A3838" s="439"/>
      <c r="B3838" s="439"/>
      <c r="C3838" s="439"/>
      <c r="D3838" s="439"/>
      <c r="E3838" s="439"/>
      <c r="F3838" s="439"/>
      <c r="Z3838" s="500"/>
      <c r="AA3838" s="500"/>
      <c r="AB3838" s="500"/>
      <c r="AC3838" s="500"/>
      <c r="AD3838" s="500"/>
      <c r="AE3838" s="500"/>
      <c r="AF3838" s="500"/>
      <c r="AG3838" s="500"/>
      <c r="AH3838" s="500"/>
      <c r="AI3838" s="500"/>
      <c r="AJ3838" s="500"/>
      <c r="AK3838" s="500"/>
      <c r="AL3838" s="500"/>
      <c r="AM3838" s="500"/>
      <c r="AN3838" s="500"/>
      <c r="AO3838" s="500"/>
      <c r="AP3838" s="500"/>
    </row>
    <row r="3839" spans="1:42" ht="16.5" customHeight="1">
      <c r="A3839" s="439"/>
      <c r="B3839" s="439"/>
      <c r="C3839" s="439"/>
      <c r="D3839" s="439"/>
      <c r="E3839" s="439"/>
      <c r="F3839" s="439"/>
      <c r="Z3839" s="500"/>
      <c r="AA3839" s="500"/>
      <c r="AB3839" s="500"/>
      <c r="AC3839" s="500"/>
      <c r="AD3839" s="500"/>
      <c r="AE3839" s="500"/>
      <c r="AF3839" s="500"/>
      <c r="AG3839" s="500"/>
      <c r="AH3839" s="500"/>
      <c r="AI3839" s="500"/>
      <c r="AJ3839" s="500"/>
      <c r="AK3839" s="500"/>
      <c r="AL3839" s="500"/>
      <c r="AM3839" s="500"/>
      <c r="AN3839" s="500"/>
      <c r="AO3839" s="500"/>
      <c r="AP3839" s="500"/>
    </row>
    <row r="3840" spans="1:42" ht="16.5" customHeight="1">
      <c r="A3840" s="439"/>
      <c r="B3840" s="439"/>
      <c r="C3840" s="439"/>
      <c r="D3840" s="439"/>
      <c r="E3840" s="439"/>
      <c r="F3840" s="439"/>
      <c r="Z3840" s="500"/>
      <c r="AA3840" s="500"/>
      <c r="AB3840" s="500"/>
      <c r="AC3840" s="500"/>
      <c r="AD3840" s="500"/>
      <c r="AE3840" s="500"/>
      <c r="AF3840" s="500"/>
      <c r="AG3840" s="500"/>
      <c r="AH3840" s="500"/>
      <c r="AI3840" s="500"/>
      <c r="AJ3840" s="500"/>
      <c r="AK3840" s="500"/>
      <c r="AL3840" s="500"/>
      <c r="AM3840" s="500"/>
      <c r="AN3840" s="500"/>
      <c r="AO3840" s="500"/>
      <c r="AP3840" s="500"/>
    </row>
    <row r="3841" spans="1:42" ht="16.5" customHeight="1">
      <c r="A3841" s="439"/>
      <c r="B3841" s="439"/>
      <c r="C3841" s="439"/>
      <c r="D3841" s="439"/>
      <c r="E3841" s="439"/>
      <c r="F3841" s="439"/>
      <c r="Z3841" s="500"/>
      <c r="AA3841" s="500"/>
      <c r="AB3841" s="500"/>
      <c r="AC3841" s="500"/>
      <c r="AD3841" s="500"/>
      <c r="AE3841" s="500"/>
      <c r="AF3841" s="500"/>
      <c r="AG3841" s="500"/>
      <c r="AH3841" s="500"/>
      <c r="AI3841" s="500"/>
      <c r="AJ3841" s="500"/>
      <c r="AK3841" s="500"/>
      <c r="AL3841" s="500"/>
      <c r="AM3841" s="500"/>
      <c r="AN3841" s="500"/>
      <c r="AO3841" s="500"/>
      <c r="AP3841" s="500"/>
    </row>
    <row r="3842" spans="1:42" ht="16.5" customHeight="1">
      <c r="A3842" s="439"/>
      <c r="B3842" s="439"/>
      <c r="C3842" s="439"/>
      <c r="D3842" s="439"/>
      <c r="E3842" s="439"/>
      <c r="F3842" s="439"/>
      <c r="Z3842" s="500"/>
      <c r="AA3842" s="500"/>
      <c r="AB3842" s="500"/>
      <c r="AC3842" s="500"/>
      <c r="AD3842" s="500"/>
      <c r="AE3842" s="500"/>
      <c r="AF3842" s="500"/>
      <c r="AG3842" s="500"/>
      <c r="AH3842" s="500"/>
      <c r="AI3842" s="500"/>
      <c r="AJ3842" s="500"/>
      <c r="AK3842" s="500"/>
      <c r="AL3842" s="500"/>
      <c r="AM3842" s="500"/>
      <c r="AN3842" s="500"/>
      <c r="AO3842" s="500"/>
      <c r="AP3842" s="500"/>
    </row>
    <row r="3843" spans="1:42" ht="16.5" customHeight="1">
      <c r="A3843" s="439"/>
      <c r="B3843" s="439"/>
      <c r="C3843" s="439"/>
      <c r="D3843" s="439"/>
      <c r="E3843" s="439"/>
      <c r="F3843" s="439"/>
      <c r="Z3843" s="500"/>
      <c r="AA3843" s="500"/>
      <c r="AB3843" s="500"/>
      <c r="AC3843" s="500"/>
      <c r="AD3843" s="500"/>
      <c r="AE3843" s="500"/>
      <c r="AF3843" s="500"/>
      <c r="AG3843" s="500"/>
      <c r="AH3843" s="500"/>
      <c r="AI3843" s="500"/>
      <c r="AJ3843" s="500"/>
      <c r="AK3843" s="500"/>
      <c r="AL3843" s="500"/>
      <c r="AM3843" s="500"/>
      <c r="AN3843" s="500"/>
      <c r="AO3843" s="500"/>
      <c r="AP3843" s="500"/>
    </row>
    <row r="3844" spans="1:42" ht="16.5" customHeight="1">
      <c r="A3844" s="439"/>
      <c r="B3844" s="439"/>
      <c r="C3844" s="439"/>
      <c r="D3844" s="439"/>
      <c r="E3844" s="439"/>
      <c r="F3844" s="439"/>
      <c r="Z3844" s="500"/>
      <c r="AA3844" s="500"/>
      <c r="AB3844" s="500"/>
      <c r="AC3844" s="500"/>
      <c r="AD3844" s="500"/>
      <c r="AE3844" s="500"/>
      <c r="AF3844" s="500"/>
      <c r="AG3844" s="500"/>
      <c r="AH3844" s="500"/>
      <c r="AI3844" s="500"/>
      <c r="AJ3844" s="500"/>
      <c r="AK3844" s="500"/>
      <c r="AL3844" s="500"/>
      <c r="AM3844" s="500"/>
      <c r="AN3844" s="500"/>
      <c r="AO3844" s="500"/>
      <c r="AP3844" s="500"/>
    </row>
    <row r="3845" spans="1:42" ht="16.5" customHeight="1">
      <c r="A3845" s="439"/>
      <c r="B3845" s="439"/>
      <c r="C3845" s="439"/>
      <c r="D3845" s="439"/>
      <c r="E3845" s="439"/>
      <c r="F3845" s="439"/>
      <c r="Z3845" s="500"/>
      <c r="AA3845" s="500"/>
      <c r="AB3845" s="500"/>
      <c r="AC3845" s="500"/>
      <c r="AD3845" s="500"/>
      <c r="AE3845" s="500"/>
      <c r="AF3845" s="500"/>
      <c r="AG3845" s="500"/>
      <c r="AH3845" s="500"/>
      <c r="AI3845" s="500"/>
      <c r="AJ3845" s="500"/>
      <c r="AK3845" s="500"/>
      <c r="AL3845" s="500"/>
      <c r="AM3845" s="500"/>
      <c r="AN3845" s="500"/>
      <c r="AO3845" s="500"/>
      <c r="AP3845" s="500"/>
    </row>
    <row r="3846" spans="1:42" ht="16.5" customHeight="1">
      <c r="A3846" s="439"/>
      <c r="B3846" s="439"/>
      <c r="C3846" s="439"/>
      <c r="D3846" s="439"/>
      <c r="E3846" s="439"/>
      <c r="F3846" s="439"/>
      <c r="Z3846" s="500"/>
      <c r="AA3846" s="500"/>
      <c r="AB3846" s="500"/>
      <c r="AC3846" s="500"/>
      <c r="AD3846" s="500"/>
      <c r="AE3846" s="500"/>
      <c r="AF3846" s="500"/>
      <c r="AG3846" s="500"/>
      <c r="AH3846" s="500"/>
      <c r="AI3846" s="500"/>
      <c r="AJ3846" s="500"/>
      <c r="AK3846" s="500"/>
      <c r="AL3846" s="500"/>
      <c r="AM3846" s="500"/>
      <c r="AN3846" s="500"/>
      <c r="AO3846" s="500"/>
      <c r="AP3846" s="500"/>
    </row>
    <row r="3847" spans="1:42" ht="16.5" customHeight="1">
      <c r="A3847" s="439"/>
      <c r="B3847" s="439"/>
      <c r="C3847" s="439"/>
      <c r="D3847" s="439"/>
      <c r="E3847" s="439"/>
      <c r="F3847" s="439"/>
      <c r="Z3847" s="500"/>
      <c r="AA3847" s="500"/>
      <c r="AB3847" s="500"/>
      <c r="AC3847" s="500"/>
      <c r="AD3847" s="500"/>
      <c r="AE3847" s="500"/>
      <c r="AF3847" s="500"/>
      <c r="AG3847" s="500"/>
      <c r="AH3847" s="500"/>
      <c r="AI3847" s="500"/>
      <c r="AJ3847" s="500"/>
      <c r="AK3847" s="500"/>
      <c r="AL3847" s="500"/>
      <c r="AM3847" s="500"/>
      <c r="AN3847" s="500"/>
      <c r="AO3847" s="500"/>
      <c r="AP3847" s="500"/>
    </row>
    <row r="3848" spans="1:42" ht="16.5" customHeight="1">
      <c r="A3848" s="439"/>
      <c r="B3848" s="439"/>
      <c r="C3848" s="439"/>
      <c r="D3848" s="439"/>
      <c r="E3848" s="439"/>
      <c r="F3848" s="439"/>
      <c r="Z3848" s="500"/>
      <c r="AA3848" s="500"/>
      <c r="AB3848" s="500"/>
      <c r="AC3848" s="500"/>
      <c r="AD3848" s="500"/>
      <c r="AE3848" s="500"/>
      <c r="AF3848" s="500"/>
      <c r="AG3848" s="500"/>
      <c r="AH3848" s="500"/>
      <c r="AI3848" s="500"/>
      <c r="AJ3848" s="500"/>
      <c r="AK3848" s="500"/>
      <c r="AL3848" s="500"/>
      <c r="AM3848" s="500"/>
      <c r="AN3848" s="500"/>
      <c r="AO3848" s="500"/>
      <c r="AP3848" s="500"/>
    </row>
    <row r="3849" spans="1:42" ht="16.5" customHeight="1">
      <c r="A3849" s="439"/>
      <c r="B3849" s="439"/>
      <c r="C3849" s="439"/>
      <c r="D3849" s="439"/>
      <c r="E3849" s="439"/>
      <c r="F3849" s="439"/>
      <c r="Z3849" s="500"/>
      <c r="AA3849" s="500"/>
      <c r="AB3849" s="500"/>
      <c r="AC3849" s="500"/>
      <c r="AD3849" s="500"/>
      <c r="AE3849" s="500"/>
      <c r="AF3849" s="500"/>
      <c r="AG3849" s="500"/>
      <c r="AH3849" s="500"/>
      <c r="AI3849" s="500"/>
      <c r="AJ3849" s="500"/>
      <c r="AK3849" s="500"/>
      <c r="AL3849" s="500"/>
      <c r="AM3849" s="500"/>
      <c r="AN3849" s="500"/>
      <c r="AO3849" s="500"/>
      <c r="AP3849" s="500"/>
    </row>
    <row r="3850" spans="1:42" ht="16.5" customHeight="1">
      <c r="A3850" s="439"/>
      <c r="B3850" s="439"/>
      <c r="C3850" s="439"/>
      <c r="D3850" s="439"/>
      <c r="E3850" s="439"/>
      <c r="F3850" s="439"/>
      <c r="Z3850" s="500"/>
      <c r="AA3850" s="500"/>
      <c r="AB3850" s="500"/>
      <c r="AC3850" s="500"/>
      <c r="AD3850" s="500"/>
      <c r="AE3850" s="500"/>
      <c r="AF3850" s="500"/>
      <c r="AG3850" s="500"/>
      <c r="AH3850" s="500"/>
      <c r="AI3850" s="500"/>
      <c r="AJ3850" s="500"/>
      <c r="AK3850" s="500"/>
      <c r="AL3850" s="500"/>
      <c r="AM3850" s="500"/>
      <c r="AN3850" s="500"/>
      <c r="AO3850" s="500"/>
      <c r="AP3850" s="500"/>
    </row>
    <row r="3851" spans="1:42" ht="16.5" customHeight="1">
      <c r="A3851" s="439"/>
      <c r="B3851" s="439"/>
      <c r="C3851" s="439"/>
      <c r="D3851" s="439"/>
      <c r="E3851" s="439"/>
      <c r="F3851" s="439"/>
      <c r="Z3851" s="500"/>
      <c r="AA3851" s="500"/>
      <c r="AB3851" s="500"/>
      <c r="AC3851" s="500"/>
      <c r="AD3851" s="500"/>
      <c r="AE3851" s="500"/>
      <c r="AF3851" s="500"/>
      <c r="AG3851" s="500"/>
      <c r="AH3851" s="500"/>
      <c r="AI3851" s="500"/>
      <c r="AJ3851" s="500"/>
      <c r="AK3851" s="500"/>
      <c r="AL3851" s="500"/>
      <c r="AM3851" s="500"/>
      <c r="AN3851" s="500"/>
      <c r="AO3851" s="500"/>
      <c r="AP3851" s="500"/>
    </row>
    <row r="3852" spans="1:42" ht="16.5" customHeight="1">
      <c r="A3852" s="439"/>
      <c r="B3852" s="439"/>
      <c r="C3852" s="439"/>
      <c r="D3852" s="439"/>
      <c r="E3852" s="439"/>
      <c r="F3852" s="439"/>
      <c r="Z3852" s="500"/>
      <c r="AA3852" s="500"/>
      <c r="AB3852" s="500"/>
      <c r="AC3852" s="500"/>
      <c r="AD3852" s="500"/>
      <c r="AE3852" s="500"/>
      <c r="AF3852" s="500"/>
      <c r="AG3852" s="500"/>
      <c r="AH3852" s="500"/>
      <c r="AI3852" s="500"/>
      <c r="AJ3852" s="500"/>
      <c r="AK3852" s="500"/>
      <c r="AL3852" s="500"/>
      <c r="AM3852" s="500"/>
      <c r="AN3852" s="500"/>
      <c r="AO3852" s="500"/>
      <c r="AP3852" s="500"/>
    </row>
    <row r="3853" spans="1:42" ht="16.5" customHeight="1">
      <c r="A3853" s="497"/>
      <c r="B3853" s="497"/>
      <c r="C3853" s="497"/>
      <c r="D3853" s="497"/>
      <c r="E3853" s="497"/>
      <c r="F3853" s="497"/>
      <c r="Z3853" s="500"/>
      <c r="AA3853" s="500"/>
      <c r="AB3853" s="500"/>
      <c r="AC3853" s="500"/>
      <c r="AD3853" s="500"/>
      <c r="AE3853" s="500"/>
      <c r="AF3853" s="500"/>
      <c r="AG3853" s="500"/>
      <c r="AH3853" s="500"/>
      <c r="AI3853" s="500"/>
      <c r="AJ3853" s="500"/>
      <c r="AK3853" s="500"/>
      <c r="AL3853" s="500"/>
      <c r="AM3853" s="500"/>
      <c r="AN3853" s="500"/>
      <c r="AO3853" s="500"/>
      <c r="AP3853" s="500"/>
    </row>
    <row r="3854" spans="1:42" ht="16.5" customHeight="1">
      <c r="A3854" s="616" t="s">
        <v>3487</v>
      </c>
      <c r="B3854" s="605"/>
      <c r="C3854" s="446">
        <f>E3854+D3854+F3854</f>
        <v>7054</v>
      </c>
      <c r="D3854" s="453">
        <f>ROUNDDOWN(SUMIF(N3807:N3825,M3854,D3807:D3825),0)</f>
        <v>7054</v>
      </c>
      <c r="E3854" s="454">
        <f>ROUNDDOWN(SUMIF(N3807:N3825,M3854,E3807:E3825),0)</f>
        <v>0</v>
      </c>
      <c r="F3854" s="446">
        <f>ROUNDDOWN(SUMIF(N3807:N3825,M3854,F3807:F3825),0)</f>
        <v>0</v>
      </c>
      <c r="M3854" s="501" t="s">
        <v>2354</v>
      </c>
      <c r="Z3854" s="500"/>
      <c r="AA3854" s="500"/>
      <c r="AB3854" s="500"/>
      <c r="AC3854" s="500"/>
      <c r="AD3854" s="500"/>
      <c r="AE3854" s="500"/>
      <c r="AF3854" s="500"/>
      <c r="AG3854" s="500"/>
      <c r="AH3854" s="500"/>
      <c r="AI3854" s="500"/>
      <c r="AJ3854" s="500"/>
      <c r="AK3854" s="500"/>
      <c r="AL3854" s="500"/>
      <c r="AM3854" s="500"/>
      <c r="AN3854" s="500"/>
      <c r="AO3854" s="500"/>
      <c r="AP3854" s="500"/>
    </row>
    <row r="3855" spans="1:42" ht="16.5" customHeight="1">
      <c r="A3855" s="502" t="s">
        <v>3368</v>
      </c>
      <c r="B3855" s="503" t="s">
        <v>3367</v>
      </c>
      <c r="C3855" s="615">
        <f>C3904</f>
        <v>14281</v>
      </c>
      <c r="D3855" s="615">
        <f>D3904</f>
        <v>14281</v>
      </c>
      <c r="E3855" s="615">
        <f>E3904</f>
        <v>0</v>
      </c>
      <c r="F3855" s="615">
        <f>F3904</f>
        <v>0</v>
      </c>
      <c r="G3855" s="486" t="str">
        <f>HYPERLINK("#G"&amp;ROW(G3875),"_x0005_`BDCOD|D01225_x0007_`POSS|"&amp;ROW(G3857)&amp;"_x0007_`POSE|"&amp;ROW(G3875)&amp;"_x0007_`")</f>
        <v>_x0005_`BDCOD|D01225_x0007_`POSS|3857_x0007_`POSE|3875_x0007_`</v>
      </c>
      <c r="Z3855" s="500"/>
      <c r="AA3855" s="500"/>
      <c r="AB3855" s="500"/>
      <c r="AC3855" s="500"/>
      <c r="AD3855" s="500"/>
      <c r="AE3855" s="500"/>
      <c r="AF3855" s="500"/>
      <c r="AG3855" s="500"/>
      <c r="AH3855" s="500"/>
      <c r="AI3855" s="500"/>
      <c r="AJ3855" s="500"/>
      <c r="AK3855" s="500"/>
      <c r="AL3855" s="500"/>
      <c r="AM3855" s="500"/>
      <c r="AN3855" s="500"/>
      <c r="AO3855" s="500"/>
      <c r="AP3855" s="500"/>
    </row>
    <row r="3856" spans="1:42" ht="16.5" customHeight="1">
      <c r="A3856" s="485"/>
      <c r="B3856" s="503" t="s">
        <v>3863</v>
      </c>
      <c r="C3856" s="593"/>
      <c r="D3856" s="593"/>
      <c r="E3856" s="593"/>
      <c r="F3856" s="593"/>
      <c r="M3856" s="501" t="s">
        <v>3367</v>
      </c>
      <c r="Z3856" s="500"/>
      <c r="AA3856" s="500"/>
      <c r="AB3856" s="500"/>
      <c r="AC3856" s="500"/>
      <c r="AD3856" s="500"/>
      <c r="AE3856" s="500"/>
      <c r="AF3856" s="500"/>
      <c r="AG3856" s="500"/>
      <c r="AH3856" s="500"/>
      <c r="AI3856" s="500"/>
      <c r="AJ3856" s="500"/>
      <c r="AK3856" s="500"/>
      <c r="AL3856" s="500"/>
      <c r="AM3856" s="500"/>
      <c r="AN3856" s="500"/>
      <c r="AO3856" s="500"/>
      <c r="AP3856" s="500"/>
    </row>
    <row r="3857" spans="1:42" ht="16.5" customHeight="1">
      <c r="A3857" s="439"/>
      <c r="B3857" s="439"/>
      <c r="C3857" s="504"/>
      <c r="D3857" s="504"/>
      <c r="E3857" s="504"/>
      <c r="F3857" s="504"/>
      <c r="G3857" s="451" t="s">
        <v>3406</v>
      </c>
      <c r="Z3857" s="500"/>
      <c r="AA3857" s="500"/>
      <c r="AB3857" s="500"/>
      <c r="AC3857" s="500"/>
      <c r="AD3857" s="500"/>
      <c r="AE3857" s="500"/>
      <c r="AF3857" s="500"/>
      <c r="AG3857" s="500"/>
      <c r="AH3857" s="500"/>
      <c r="AI3857" s="500"/>
      <c r="AJ3857" s="500"/>
      <c r="AK3857" s="500"/>
      <c r="AL3857" s="500"/>
      <c r="AM3857" s="500"/>
      <c r="AN3857" s="500"/>
      <c r="AO3857" s="500"/>
      <c r="AP3857" s="500"/>
    </row>
    <row r="3858" spans="1:42" ht="16.5" customHeight="1">
      <c r="A3858" s="439"/>
      <c r="B3858" s="439"/>
      <c r="C3858" s="439"/>
      <c r="D3858" s="439"/>
      <c r="E3858" s="439"/>
      <c r="F3858" s="439"/>
      <c r="G3858" s="451" t="s">
        <v>3406</v>
      </c>
      <c r="Z3858" s="500"/>
      <c r="AA3858" s="500"/>
      <c r="AB3858" s="500"/>
      <c r="AC3858" s="500"/>
      <c r="AD3858" s="500"/>
      <c r="AE3858" s="500"/>
      <c r="AF3858" s="500"/>
      <c r="AG3858" s="500"/>
      <c r="AH3858" s="500"/>
      <c r="AI3858" s="500"/>
      <c r="AJ3858" s="500"/>
      <c r="AK3858" s="500"/>
      <c r="AL3858" s="500"/>
      <c r="AM3858" s="500"/>
      <c r="AN3858" s="500"/>
      <c r="AO3858" s="500"/>
      <c r="AP3858" s="500"/>
    </row>
    <row r="3859" spans="1:42" ht="16.5" customHeight="1">
      <c r="A3859" s="439"/>
      <c r="B3859" s="439"/>
      <c r="C3859" s="439"/>
      <c r="D3859" s="439"/>
      <c r="E3859" s="439"/>
      <c r="F3859" s="439"/>
      <c r="G3859" s="451" t="s">
        <v>3406</v>
      </c>
      <c r="Z3859" s="500"/>
      <c r="AA3859" s="500"/>
      <c r="AB3859" s="500"/>
      <c r="AC3859" s="500"/>
      <c r="AD3859" s="500"/>
      <c r="AE3859" s="500"/>
      <c r="AF3859" s="500"/>
      <c r="AG3859" s="500"/>
      <c r="AH3859" s="500"/>
      <c r="AI3859" s="500"/>
      <c r="AJ3859" s="500"/>
      <c r="AK3859" s="500"/>
      <c r="AL3859" s="500"/>
      <c r="AM3859" s="500"/>
      <c r="AN3859" s="500"/>
      <c r="AO3859" s="500"/>
      <c r="AP3859" s="500"/>
    </row>
    <row r="3860" spans="1:42" ht="16.5" customHeight="1">
      <c r="A3860" s="439"/>
      <c r="B3860" s="439"/>
      <c r="C3860" s="439"/>
      <c r="D3860" s="439"/>
      <c r="E3860" s="439"/>
      <c r="F3860" s="439"/>
      <c r="G3860" s="451" t="s">
        <v>3406</v>
      </c>
      <c r="Z3860" s="500"/>
      <c r="AA3860" s="500"/>
      <c r="AB3860" s="500"/>
      <c r="AC3860" s="500"/>
      <c r="AD3860" s="500"/>
      <c r="AE3860" s="500"/>
      <c r="AF3860" s="500"/>
      <c r="AG3860" s="500"/>
      <c r="AH3860" s="500"/>
      <c r="AI3860" s="500"/>
      <c r="AJ3860" s="500"/>
      <c r="AK3860" s="500"/>
      <c r="AL3860" s="500"/>
      <c r="AM3860" s="500"/>
      <c r="AN3860" s="500"/>
      <c r="AO3860" s="500"/>
      <c r="AP3860" s="500"/>
    </row>
    <row r="3861" spans="1:42" ht="16.5" customHeight="1">
      <c r="A3861" s="439"/>
      <c r="B3861" s="439"/>
      <c r="C3861" s="439"/>
      <c r="D3861" s="439"/>
      <c r="E3861" s="439"/>
      <c r="F3861" s="439"/>
      <c r="G3861" s="451" t="s">
        <v>3406</v>
      </c>
      <c r="Z3861" s="500"/>
      <c r="AA3861" s="500"/>
      <c r="AB3861" s="500"/>
      <c r="AC3861" s="500"/>
      <c r="AD3861" s="500"/>
      <c r="AE3861" s="500"/>
      <c r="AF3861" s="500"/>
      <c r="AG3861" s="500"/>
      <c r="AH3861" s="500"/>
      <c r="AI3861" s="500"/>
      <c r="AJ3861" s="500"/>
      <c r="AK3861" s="500"/>
      <c r="AL3861" s="500"/>
      <c r="AM3861" s="500"/>
      <c r="AN3861" s="500"/>
      <c r="AO3861" s="500"/>
      <c r="AP3861" s="500"/>
    </row>
    <row r="3862" spans="1:42" ht="16.5" customHeight="1">
      <c r="A3862" s="434"/>
      <c r="B3862" s="437" t="s">
        <v>3864</v>
      </c>
      <c r="C3862" s="439"/>
      <c r="D3862" s="439"/>
      <c r="E3862" s="439"/>
      <c r="F3862" s="439"/>
      <c r="G3862" s="451" t="s">
        <v>3865</v>
      </c>
      <c r="Z3862" s="500"/>
      <c r="AA3862" s="500"/>
      <c r="AB3862" s="500"/>
      <c r="AC3862" s="500"/>
      <c r="AD3862" s="500"/>
      <c r="AE3862" s="500"/>
      <c r="AF3862" s="500"/>
      <c r="AG3862" s="500"/>
      <c r="AH3862" s="500"/>
      <c r="AI3862" s="500"/>
      <c r="AJ3862" s="500"/>
      <c r="AK3862" s="500"/>
      <c r="AL3862" s="500"/>
      <c r="AM3862" s="500"/>
      <c r="AN3862" s="500"/>
      <c r="AO3862" s="500"/>
      <c r="AP3862" s="500"/>
    </row>
    <row r="3863" spans="1:42" ht="16.5" customHeight="1">
      <c r="A3863" s="439"/>
      <c r="B3863" s="439"/>
      <c r="C3863" s="439"/>
      <c r="D3863" s="439"/>
      <c r="E3863" s="439"/>
      <c r="F3863" s="439"/>
      <c r="G3863" s="451" t="s">
        <v>3406</v>
      </c>
      <c r="Z3863" s="500"/>
      <c r="AA3863" s="500"/>
      <c r="AB3863" s="500"/>
      <c r="AC3863" s="500"/>
      <c r="AD3863" s="500"/>
      <c r="AE3863" s="500"/>
      <c r="AF3863" s="500"/>
      <c r="AG3863" s="500"/>
      <c r="AH3863" s="500"/>
      <c r="AI3863" s="500"/>
      <c r="AJ3863" s="500"/>
      <c r="AK3863" s="500"/>
      <c r="AL3863" s="500"/>
      <c r="AM3863" s="500"/>
      <c r="AN3863" s="500"/>
      <c r="AO3863" s="500"/>
      <c r="AP3863" s="500"/>
    </row>
    <row r="3864" spans="1:42" ht="16.5" customHeight="1">
      <c r="A3864" s="439"/>
      <c r="B3864" s="439"/>
      <c r="C3864" s="439"/>
      <c r="D3864" s="439"/>
      <c r="E3864" s="439"/>
      <c r="F3864" s="439"/>
      <c r="G3864" s="451" t="s">
        <v>3406</v>
      </c>
      <c r="Z3864" s="500"/>
      <c r="AA3864" s="500"/>
      <c r="AB3864" s="500"/>
      <c r="AC3864" s="500"/>
      <c r="AD3864" s="500"/>
      <c r="AE3864" s="500"/>
      <c r="AF3864" s="500"/>
      <c r="AG3864" s="500"/>
      <c r="AH3864" s="500"/>
      <c r="AI3864" s="500"/>
      <c r="AJ3864" s="500"/>
      <c r="AK3864" s="500"/>
      <c r="AL3864" s="500"/>
      <c r="AM3864" s="500"/>
      <c r="AN3864" s="500"/>
      <c r="AO3864" s="500"/>
      <c r="AP3864" s="500"/>
    </row>
    <row r="3865" spans="1:42" ht="16.5" customHeight="1">
      <c r="A3865" s="434"/>
      <c r="B3865" s="437" t="s">
        <v>3866</v>
      </c>
      <c r="C3865" s="439"/>
      <c r="D3865" s="439"/>
      <c r="E3865" s="439"/>
      <c r="F3865" s="439"/>
      <c r="G3865" s="451" t="s">
        <v>3867</v>
      </c>
      <c r="Z3865" s="500"/>
      <c r="AA3865" s="500"/>
      <c r="AB3865" s="500"/>
      <c r="AC3865" s="500"/>
      <c r="AD3865" s="500"/>
      <c r="AE3865" s="500"/>
      <c r="AF3865" s="500"/>
      <c r="AG3865" s="500"/>
      <c r="AH3865" s="500"/>
      <c r="AI3865" s="500"/>
      <c r="AJ3865" s="500"/>
      <c r="AK3865" s="500"/>
      <c r="AL3865" s="500"/>
      <c r="AM3865" s="500"/>
      <c r="AN3865" s="500"/>
      <c r="AO3865" s="500"/>
      <c r="AP3865" s="500"/>
    </row>
    <row r="3866" spans="1:42" ht="16.5" customHeight="1">
      <c r="A3866" s="439"/>
      <c r="B3866" s="439"/>
      <c r="C3866" s="439"/>
      <c r="D3866" s="439"/>
      <c r="E3866" s="439"/>
      <c r="F3866" s="439"/>
      <c r="G3866" s="451" t="s">
        <v>3406</v>
      </c>
      <c r="Z3866" s="500"/>
      <c r="AA3866" s="500"/>
      <c r="AB3866" s="500"/>
      <c r="AC3866" s="500"/>
      <c r="AD3866" s="500"/>
      <c r="AE3866" s="500"/>
      <c r="AF3866" s="500"/>
      <c r="AG3866" s="500"/>
      <c r="AH3866" s="500"/>
      <c r="AI3866" s="500"/>
      <c r="AJ3866" s="500"/>
      <c r="AK3866" s="500"/>
      <c r="AL3866" s="500"/>
      <c r="AM3866" s="500"/>
      <c r="AN3866" s="500"/>
      <c r="AO3866" s="500"/>
      <c r="AP3866" s="500"/>
    </row>
    <row r="3867" spans="1:42" ht="16.5" customHeight="1">
      <c r="A3867" s="439"/>
      <c r="B3867" s="439"/>
      <c r="C3867" s="439"/>
      <c r="D3867" s="439"/>
      <c r="E3867" s="439"/>
      <c r="F3867" s="439"/>
      <c r="G3867" s="451" t="s">
        <v>3406</v>
      </c>
      <c r="Z3867" s="500"/>
      <c r="AA3867" s="500"/>
      <c r="AB3867" s="500"/>
      <c r="AC3867" s="500"/>
      <c r="AD3867" s="500"/>
      <c r="AE3867" s="500"/>
      <c r="AF3867" s="500"/>
      <c r="AG3867" s="500"/>
      <c r="AH3867" s="500"/>
      <c r="AI3867" s="500"/>
      <c r="AJ3867" s="500"/>
      <c r="AK3867" s="500"/>
      <c r="AL3867" s="500"/>
      <c r="AM3867" s="500"/>
      <c r="AN3867" s="500"/>
      <c r="AO3867" s="500"/>
      <c r="AP3867" s="500"/>
    </row>
    <row r="3868" spans="1:42" ht="16.5" customHeight="1">
      <c r="A3868" s="434"/>
      <c r="B3868" s="437" t="s">
        <v>3868</v>
      </c>
      <c r="C3868" s="439"/>
      <c r="D3868" s="439"/>
      <c r="E3868" s="439"/>
      <c r="F3868" s="439"/>
      <c r="G3868" s="451" t="s">
        <v>3869</v>
      </c>
      <c r="Z3868" s="500"/>
      <c r="AA3868" s="500"/>
      <c r="AB3868" s="500"/>
      <c r="AC3868" s="500"/>
      <c r="AD3868" s="500"/>
      <c r="AE3868" s="500"/>
      <c r="AF3868" s="500"/>
      <c r="AG3868" s="500"/>
      <c r="AH3868" s="500"/>
      <c r="AI3868" s="500"/>
      <c r="AJ3868" s="500"/>
      <c r="AK3868" s="500"/>
      <c r="AL3868" s="500"/>
      <c r="AM3868" s="500"/>
      <c r="AN3868" s="500"/>
      <c r="AO3868" s="500"/>
      <c r="AP3868" s="500"/>
    </row>
    <row r="3869" spans="1:42" ht="16.5" customHeight="1">
      <c r="A3869" s="439"/>
      <c r="B3869" s="439"/>
      <c r="C3869" s="439"/>
      <c r="D3869" s="439"/>
      <c r="E3869" s="439"/>
      <c r="F3869" s="439"/>
      <c r="G3869" s="451" t="s">
        <v>3406</v>
      </c>
      <c r="Z3869" s="500"/>
      <c r="AA3869" s="500"/>
      <c r="AB3869" s="500"/>
      <c r="AC3869" s="500"/>
      <c r="AD3869" s="500"/>
      <c r="AE3869" s="500"/>
      <c r="AF3869" s="500"/>
      <c r="AG3869" s="500"/>
      <c r="AH3869" s="500"/>
      <c r="AI3869" s="500"/>
      <c r="AJ3869" s="500"/>
      <c r="AK3869" s="500"/>
      <c r="AL3869" s="500"/>
      <c r="AM3869" s="500"/>
      <c r="AN3869" s="500"/>
      <c r="AO3869" s="500"/>
      <c r="AP3869" s="500"/>
    </row>
    <row r="3870" spans="1:42" ht="16.5" customHeight="1">
      <c r="A3870" s="439"/>
      <c r="B3870" s="439"/>
      <c r="C3870" s="439"/>
      <c r="D3870" s="439"/>
      <c r="E3870" s="439"/>
      <c r="F3870" s="439"/>
      <c r="G3870" s="451" t="s">
        <v>3406</v>
      </c>
      <c r="Z3870" s="500"/>
      <c r="AA3870" s="500"/>
      <c r="AB3870" s="500"/>
      <c r="AC3870" s="500"/>
      <c r="AD3870" s="500"/>
      <c r="AE3870" s="500"/>
      <c r="AF3870" s="500"/>
      <c r="AG3870" s="500"/>
      <c r="AH3870" s="500"/>
      <c r="AI3870" s="500"/>
      <c r="AJ3870" s="500"/>
      <c r="AK3870" s="500"/>
      <c r="AL3870" s="500"/>
      <c r="AM3870" s="500"/>
      <c r="AN3870" s="500"/>
      <c r="AO3870" s="500"/>
      <c r="AP3870" s="500"/>
    </row>
    <row r="3871" spans="1:42" ht="16.5" customHeight="1">
      <c r="A3871" s="434" t="s">
        <v>3414</v>
      </c>
      <c r="B3871" s="505" t="str">
        <f>"     "&amp;TEXT(I3871,"#,##0"&amp;IF(I3871&lt;&gt;INT(I3871),".###",""))&amp;"*"&amp;AA3871&amp;" 인  = "&amp;TEXT(C3871,"#,##0.0")&amp;"  원 "</f>
        <v xml:space="preserve">     172,068*0.083 인  = 14,281.6  원 </v>
      </c>
      <c r="C3871" s="506">
        <f>E3871+D3871+F3871</f>
        <v>14281.6</v>
      </c>
      <c r="D3871" s="506">
        <f>IF(H3871=0,0,ROUNDDOWN(J3871*H3871,1))</f>
        <v>14281.6</v>
      </c>
      <c r="E3871" s="506">
        <f>IF(H3871=0,0,ROUNDDOWN(K3871*H3871,1))</f>
        <v>0</v>
      </c>
      <c r="F3871" s="506">
        <f>IF(H3871=0,0,ROUNDDOWN(L3871*H3871,1))</f>
        <v>0</v>
      </c>
      <c r="G3871" s="451" t="s">
        <v>3870</v>
      </c>
      <c r="H3871" s="507">
        <f>ROUNDUP(AC3871,14-LEN(ABS(INT(AC3871))))</f>
        <v>8.3000000000000004E-2</v>
      </c>
      <c r="I3871" s="508">
        <f>K3871+J3871+L3871</f>
        <v>172068</v>
      </c>
      <c r="J3871" s="509">
        <f>노무비목록표!E10</f>
        <v>172068</v>
      </c>
      <c r="M3871" s="501" t="s">
        <v>2363</v>
      </c>
      <c r="N3871" s="501" t="s">
        <v>3416</v>
      </c>
      <c r="X3871" s="510" t="str">
        <f>노무비목록표!B10&amp;" / "&amp;노무비목록표!C10</f>
        <v xml:space="preserve">보통인부 / </v>
      </c>
      <c r="Y3871" s="433" t="str">
        <f ca="1">HYPERLINK("#"&amp;노무비목록표!G2&amp;"!A"&amp;ROW(노무비목록표!A10),"L00017 →")</f>
        <v>L00017 →</v>
      </c>
      <c r="Z3871" s="501" t="s">
        <v>3500</v>
      </c>
      <c r="AA3871" s="511">
        <v>8.3000000000000004E-2</v>
      </c>
      <c r="AB3871" s="501" t="s">
        <v>3418</v>
      </c>
      <c r="AC3871" s="512">
        <f>1*AA3871</f>
        <v>8.3000000000000004E-2</v>
      </c>
      <c r="AD3871" s="500"/>
      <c r="AE3871" s="500"/>
      <c r="AF3871" s="500"/>
      <c r="AG3871" s="500"/>
      <c r="AH3871" s="500"/>
      <c r="AI3871" s="500"/>
      <c r="AJ3871" s="500"/>
      <c r="AK3871" s="500"/>
      <c r="AL3871" s="500"/>
      <c r="AM3871" s="500"/>
      <c r="AN3871" s="500"/>
      <c r="AO3871" s="500"/>
      <c r="AP3871" s="500"/>
    </row>
    <row r="3872" spans="1:42" ht="16.5" customHeight="1">
      <c r="A3872" s="439"/>
      <c r="B3872" s="439"/>
      <c r="C3872" s="439"/>
      <c r="D3872" s="439"/>
      <c r="E3872" s="439"/>
      <c r="F3872" s="439"/>
      <c r="G3872" s="451" t="s">
        <v>3406</v>
      </c>
      <c r="Z3872" s="500"/>
      <c r="AA3872" s="500"/>
      <c r="AB3872" s="500"/>
      <c r="AC3872" s="500"/>
      <c r="AD3872" s="500"/>
      <c r="AE3872" s="500"/>
      <c r="AF3872" s="500"/>
      <c r="AG3872" s="500"/>
      <c r="AH3872" s="500"/>
      <c r="AI3872" s="500"/>
      <c r="AJ3872" s="500"/>
      <c r="AK3872" s="500"/>
      <c r="AL3872" s="500"/>
      <c r="AM3872" s="500"/>
      <c r="AN3872" s="500"/>
      <c r="AO3872" s="500"/>
      <c r="AP3872" s="500"/>
    </row>
    <row r="3873" spans="1:42" ht="16.5" customHeight="1">
      <c r="A3873" s="439"/>
      <c r="B3873" s="439"/>
      <c r="C3873" s="439"/>
      <c r="D3873" s="439"/>
      <c r="E3873" s="439"/>
      <c r="F3873" s="439"/>
      <c r="G3873" s="451" t="s">
        <v>3406</v>
      </c>
      <c r="Z3873" s="500"/>
      <c r="AA3873" s="500"/>
      <c r="AB3873" s="500"/>
      <c r="AC3873" s="500"/>
      <c r="AD3873" s="500"/>
      <c r="AE3873" s="500"/>
      <c r="AF3873" s="500"/>
      <c r="AG3873" s="500"/>
      <c r="AH3873" s="500"/>
      <c r="AI3873" s="500"/>
      <c r="AJ3873" s="500"/>
      <c r="AK3873" s="500"/>
      <c r="AL3873" s="500"/>
      <c r="AM3873" s="500"/>
      <c r="AN3873" s="500"/>
      <c r="AO3873" s="500"/>
      <c r="AP3873" s="500"/>
    </row>
    <row r="3874" spans="1:42" ht="16.5" customHeight="1">
      <c r="A3874" s="439"/>
      <c r="B3874" s="439"/>
      <c r="C3874" s="439"/>
      <c r="D3874" s="439"/>
      <c r="E3874" s="439"/>
      <c r="F3874" s="439"/>
      <c r="G3874" s="451" t="s">
        <v>3406</v>
      </c>
      <c r="Z3874" s="500"/>
      <c r="AA3874" s="500"/>
      <c r="AB3874" s="500"/>
      <c r="AC3874" s="500"/>
      <c r="AD3874" s="500"/>
      <c r="AE3874" s="500"/>
      <c r="AF3874" s="500"/>
      <c r="AG3874" s="500"/>
      <c r="AH3874" s="500"/>
      <c r="AI3874" s="500"/>
      <c r="AJ3874" s="500"/>
      <c r="AK3874" s="500"/>
      <c r="AL3874" s="500"/>
      <c r="AM3874" s="500"/>
      <c r="AN3874" s="500"/>
      <c r="AO3874" s="500"/>
      <c r="AP3874" s="500"/>
    </row>
    <row r="3875" spans="1:42" ht="16.5" customHeight="1">
      <c r="A3875" s="434"/>
      <c r="B3875" s="437" t="s">
        <v>3419</v>
      </c>
      <c r="C3875" s="513">
        <f>E3875+D3875+F3875</f>
        <v>14281.6</v>
      </c>
      <c r="D3875" s="513">
        <f>SUMIF(N3857:N3874,M3875,D3857:D3874)</f>
        <v>14281.6</v>
      </c>
      <c r="E3875" s="513">
        <f>SUMIF(N3857:N3874,M3875,E3857:E3874)</f>
        <v>0</v>
      </c>
      <c r="F3875" s="513">
        <f>SUMIF(N3857:N3874,M3875,F3857:F3874)</f>
        <v>0</v>
      </c>
      <c r="G3875" s="451" t="s">
        <v>3420</v>
      </c>
      <c r="M3875" s="501" t="s">
        <v>3416</v>
      </c>
      <c r="N3875" s="501" t="s">
        <v>2354</v>
      </c>
      <c r="Z3875" s="500"/>
      <c r="AA3875" s="500"/>
      <c r="AB3875" s="500"/>
      <c r="AC3875" s="500"/>
      <c r="AD3875" s="500"/>
      <c r="AE3875" s="500"/>
      <c r="AF3875" s="500"/>
      <c r="AG3875" s="500"/>
      <c r="AH3875" s="500"/>
      <c r="AI3875" s="500"/>
      <c r="AJ3875" s="500"/>
      <c r="AK3875" s="500"/>
      <c r="AL3875" s="500"/>
      <c r="AM3875" s="500"/>
      <c r="AN3875" s="500"/>
      <c r="AO3875" s="500"/>
      <c r="AP3875" s="500"/>
    </row>
    <row r="3876" spans="1:42" ht="16.5" customHeight="1">
      <c r="A3876" s="439"/>
      <c r="B3876" s="439"/>
      <c r="C3876" s="504"/>
      <c r="D3876" s="504"/>
      <c r="E3876" s="504"/>
      <c r="F3876" s="504"/>
      <c r="Z3876" s="500"/>
      <c r="AA3876" s="500"/>
      <c r="AB3876" s="500"/>
      <c r="AC3876" s="500"/>
      <c r="AD3876" s="500"/>
      <c r="AE3876" s="500"/>
      <c r="AF3876" s="500"/>
      <c r="AG3876" s="500"/>
      <c r="AH3876" s="500"/>
      <c r="AI3876" s="500"/>
      <c r="AJ3876" s="500"/>
      <c r="AK3876" s="500"/>
      <c r="AL3876" s="500"/>
      <c r="AM3876" s="500"/>
      <c r="AN3876" s="500"/>
      <c r="AO3876" s="500"/>
      <c r="AP3876" s="500"/>
    </row>
    <row r="3877" spans="1:42" ht="16.5" customHeight="1">
      <c r="A3877" s="439"/>
      <c r="B3877" s="439"/>
      <c r="C3877" s="439"/>
      <c r="D3877" s="439"/>
      <c r="E3877" s="439"/>
      <c r="F3877" s="439"/>
      <c r="Z3877" s="500"/>
      <c r="AA3877" s="500"/>
      <c r="AB3877" s="500"/>
      <c r="AC3877" s="500"/>
      <c r="AD3877" s="500"/>
      <c r="AE3877" s="500"/>
      <c r="AF3877" s="500"/>
      <c r="AG3877" s="500"/>
      <c r="AH3877" s="500"/>
      <c r="AI3877" s="500"/>
      <c r="AJ3877" s="500"/>
      <c r="AK3877" s="500"/>
      <c r="AL3877" s="500"/>
      <c r="AM3877" s="500"/>
      <c r="AN3877" s="500"/>
      <c r="AO3877" s="500"/>
      <c r="AP3877" s="500"/>
    </row>
    <row r="3878" spans="1:42" ht="16.5" customHeight="1">
      <c r="A3878" s="439"/>
      <c r="B3878" s="439"/>
      <c r="C3878" s="439"/>
      <c r="D3878" s="439"/>
      <c r="E3878" s="439"/>
      <c r="F3878" s="439"/>
      <c r="Z3878" s="500"/>
      <c r="AA3878" s="500"/>
      <c r="AB3878" s="500"/>
      <c r="AC3878" s="500"/>
      <c r="AD3878" s="500"/>
      <c r="AE3878" s="500"/>
      <c r="AF3878" s="500"/>
      <c r="AG3878" s="500"/>
      <c r="AH3878" s="500"/>
      <c r="AI3878" s="500"/>
      <c r="AJ3878" s="500"/>
      <c r="AK3878" s="500"/>
      <c r="AL3878" s="500"/>
      <c r="AM3878" s="500"/>
      <c r="AN3878" s="500"/>
      <c r="AO3878" s="500"/>
      <c r="AP3878" s="500"/>
    </row>
    <row r="3879" spans="1:42" ht="16.5" customHeight="1">
      <c r="A3879" s="439"/>
      <c r="B3879" s="439"/>
      <c r="C3879" s="439"/>
      <c r="D3879" s="439"/>
      <c r="E3879" s="439"/>
      <c r="F3879" s="439"/>
      <c r="Z3879" s="500"/>
      <c r="AA3879" s="500"/>
      <c r="AB3879" s="500"/>
      <c r="AC3879" s="500"/>
      <c r="AD3879" s="500"/>
      <c r="AE3879" s="500"/>
      <c r="AF3879" s="500"/>
      <c r="AG3879" s="500"/>
      <c r="AH3879" s="500"/>
      <c r="AI3879" s="500"/>
      <c r="AJ3879" s="500"/>
      <c r="AK3879" s="500"/>
      <c r="AL3879" s="500"/>
      <c r="AM3879" s="500"/>
      <c r="AN3879" s="500"/>
      <c r="AO3879" s="500"/>
      <c r="AP3879" s="500"/>
    </row>
    <row r="3880" spans="1:42" ht="16.5" customHeight="1">
      <c r="A3880" s="439"/>
      <c r="B3880" s="439"/>
      <c r="C3880" s="439"/>
      <c r="D3880" s="439"/>
      <c r="E3880" s="439"/>
      <c r="F3880" s="439"/>
      <c r="Z3880" s="500"/>
      <c r="AA3880" s="500"/>
      <c r="AB3880" s="500"/>
      <c r="AC3880" s="500"/>
      <c r="AD3880" s="500"/>
      <c r="AE3880" s="500"/>
      <c r="AF3880" s="500"/>
      <c r="AG3880" s="500"/>
      <c r="AH3880" s="500"/>
      <c r="AI3880" s="500"/>
      <c r="AJ3880" s="500"/>
      <c r="AK3880" s="500"/>
      <c r="AL3880" s="500"/>
      <c r="AM3880" s="500"/>
      <c r="AN3880" s="500"/>
      <c r="AO3880" s="500"/>
      <c r="AP3880" s="500"/>
    </row>
    <row r="3881" spans="1:42" ht="16.5" customHeight="1">
      <c r="A3881" s="439"/>
      <c r="B3881" s="439"/>
      <c r="C3881" s="439"/>
      <c r="D3881" s="439"/>
      <c r="E3881" s="439"/>
      <c r="F3881" s="439"/>
      <c r="Z3881" s="500"/>
      <c r="AA3881" s="500"/>
      <c r="AB3881" s="500"/>
      <c r="AC3881" s="500"/>
      <c r="AD3881" s="500"/>
      <c r="AE3881" s="500"/>
      <c r="AF3881" s="500"/>
      <c r="AG3881" s="500"/>
      <c r="AH3881" s="500"/>
      <c r="AI3881" s="500"/>
      <c r="AJ3881" s="500"/>
      <c r="AK3881" s="500"/>
      <c r="AL3881" s="500"/>
      <c r="AM3881" s="500"/>
      <c r="AN3881" s="500"/>
      <c r="AO3881" s="500"/>
      <c r="AP3881" s="500"/>
    </row>
    <row r="3882" spans="1:42" ht="16.5" customHeight="1">
      <c r="A3882" s="439"/>
      <c r="B3882" s="439"/>
      <c r="C3882" s="439"/>
      <c r="D3882" s="439"/>
      <c r="E3882" s="439"/>
      <c r="F3882" s="439"/>
      <c r="Z3882" s="500"/>
      <c r="AA3882" s="500"/>
      <c r="AB3882" s="500"/>
      <c r="AC3882" s="500"/>
      <c r="AD3882" s="500"/>
      <c r="AE3882" s="500"/>
      <c r="AF3882" s="500"/>
      <c r="AG3882" s="500"/>
      <c r="AH3882" s="500"/>
      <c r="AI3882" s="500"/>
      <c r="AJ3882" s="500"/>
      <c r="AK3882" s="500"/>
      <c r="AL3882" s="500"/>
      <c r="AM3882" s="500"/>
      <c r="AN3882" s="500"/>
      <c r="AO3882" s="500"/>
      <c r="AP3882" s="500"/>
    </row>
    <row r="3883" spans="1:42" ht="16.5" customHeight="1">
      <c r="A3883" s="439"/>
      <c r="B3883" s="439"/>
      <c r="C3883" s="439"/>
      <c r="D3883" s="439"/>
      <c r="E3883" s="439"/>
      <c r="F3883" s="439"/>
      <c r="Z3883" s="500"/>
      <c r="AA3883" s="500"/>
      <c r="AB3883" s="500"/>
      <c r="AC3883" s="500"/>
      <c r="AD3883" s="500"/>
      <c r="AE3883" s="500"/>
      <c r="AF3883" s="500"/>
      <c r="AG3883" s="500"/>
      <c r="AH3883" s="500"/>
      <c r="AI3883" s="500"/>
      <c r="AJ3883" s="500"/>
      <c r="AK3883" s="500"/>
      <c r="AL3883" s="500"/>
      <c r="AM3883" s="500"/>
      <c r="AN3883" s="500"/>
      <c r="AO3883" s="500"/>
      <c r="AP3883" s="500"/>
    </row>
    <row r="3884" spans="1:42" ht="16.5" customHeight="1">
      <c r="A3884" s="439"/>
      <c r="B3884" s="439"/>
      <c r="C3884" s="439"/>
      <c r="D3884" s="439"/>
      <c r="E3884" s="439"/>
      <c r="F3884" s="439"/>
      <c r="Z3884" s="500"/>
      <c r="AA3884" s="500"/>
      <c r="AB3884" s="500"/>
      <c r="AC3884" s="500"/>
      <c r="AD3884" s="500"/>
      <c r="AE3884" s="500"/>
      <c r="AF3884" s="500"/>
      <c r="AG3884" s="500"/>
      <c r="AH3884" s="500"/>
      <c r="AI3884" s="500"/>
      <c r="AJ3884" s="500"/>
      <c r="AK3884" s="500"/>
      <c r="AL3884" s="500"/>
      <c r="AM3884" s="500"/>
      <c r="AN3884" s="500"/>
      <c r="AO3884" s="500"/>
      <c r="AP3884" s="500"/>
    </row>
    <row r="3885" spans="1:42" ht="16.5" customHeight="1">
      <c r="A3885" s="439"/>
      <c r="B3885" s="439"/>
      <c r="C3885" s="439"/>
      <c r="D3885" s="439"/>
      <c r="E3885" s="439"/>
      <c r="F3885" s="439"/>
      <c r="Z3885" s="500"/>
      <c r="AA3885" s="500"/>
      <c r="AB3885" s="500"/>
      <c r="AC3885" s="500"/>
      <c r="AD3885" s="500"/>
      <c r="AE3885" s="500"/>
      <c r="AF3885" s="500"/>
      <c r="AG3885" s="500"/>
      <c r="AH3885" s="500"/>
      <c r="AI3885" s="500"/>
      <c r="AJ3885" s="500"/>
      <c r="AK3885" s="500"/>
      <c r="AL3885" s="500"/>
      <c r="AM3885" s="500"/>
      <c r="AN3885" s="500"/>
      <c r="AO3885" s="500"/>
      <c r="AP3885" s="500"/>
    </row>
    <row r="3886" spans="1:42" ht="16.5" customHeight="1">
      <c r="A3886" s="439"/>
      <c r="B3886" s="439"/>
      <c r="C3886" s="439"/>
      <c r="D3886" s="439"/>
      <c r="E3886" s="439"/>
      <c r="F3886" s="439"/>
      <c r="Z3886" s="500"/>
      <c r="AA3886" s="500"/>
      <c r="AB3886" s="500"/>
      <c r="AC3886" s="500"/>
      <c r="AD3886" s="500"/>
      <c r="AE3886" s="500"/>
      <c r="AF3886" s="500"/>
      <c r="AG3886" s="500"/>
      <c r="AH3886" s="500"/>
      <c r="AI3886" s="500"/>
      <c r="AJ3886" s="500"/>
      <c r="AK3886" s="500"/>
      <c r="AL3886" s="500"/>
      <c r="AM3886" s="500"/>
      <c r="AN3886" s="500"/>
      <c r="AO3886" s="500"/>
      <c r="AP3886" s="500"/>
    </row>
    <row r="3887" spans="1:42" ht="16.5" customHeight="1">
      <c r="A3887" s="439"/>
      <c r="B3887" s="439"/>
      <c r="C3887" s="439"/>
      <c r="D3887" s="439"/>
      <c r="E3887" s="439"/>
      <c r="F3887" s="439"/>
      <c r="Z3887" s="500"/>
      <c r="AA3887" s="500"/>
      <c r="AB3887" s="500"/>
      <c r="AC3887" s="500"/>
      <c r="AD3887" s="500"/>
      <c r="AE3887" s="500"/>
      <c r="AF3887" s="500"/>
      <c r="AG3887" s="500"/>
      <c r="AH3887" s="500"/>
      <c r="AI3887" s="500"/>
      <c r="AJ3887" s="500"/>
      <c r="AK3887" s="500"/>
      <c r="AL3887" s="500"/>
      <c r="AM3887" s="500"/>
      <c r="AN3887" s="500"/>
      <c r="AO3887" s="500"/>
      <c r="AP3887" s="500"/>
    </row>
    <row r="3888" spans="1:42" ht="16.5" customHeight="1">
      <c r="A3888" s="439"/>
      <c r="B3888" s="439"/>
      <c r="C3888" s="439"/>
      <c r="D3888" s="439"/>
      <c r="E3888" s="439"/>
      <c r="F3888" s="439"/>
      <c r="Z3888" s="500"/>
      <c r="AA3888" s="500"/>
      <c r="AB3888" s="500"/>
      <c r="AC3888" s="500"/>
      <c r="AD3888" s="500"/>
      <c r="AE3888" s="500"/>
      <c r="AF3888" s="500"/>
      <c r="AG3888" s="500"/>
      <c r="AH3888" s="500"/>
      <c r="AI3888" s="500"/>
      <c r="AJ3888" s="500"/>
      <c r="AK3888" s="500"/>
      <c r="AL3888" s="500"/>
      <c r="AM3888" s="500"/>
      <c r="AN3888" s="500"/>
      <c r="AO3888" s="500"/>
      <c r="AP3888" s="500"/>
    </row>
    <row r="3889" spans="1:42" ht="16.5" customHeight="1">
      <c r="A3889" s="439"/>
      <c r="B3889" s="439"/>
      <c r="C3889" s="439"/>
      <c r="D3889" s="439"/>
      <c r="E3889" s="439"/>
      <c r="F3889" s="439"/>
      <c r="Z3889" s="500"/>
      <c r="AA3889" s="500"/>
      <c r="AB3889" s="500"/>
      <c r="AC3889" s="500"/>
      <c r="AD3889" s="500"/>
      <c r="AE3889" s="500"/>
      <c r="AF3889" s="500"/>
      <c r="AG3889" s="500"/>
      <c r="AH3889" s="500"/>
      <c r="AI3889" s="500"/>
      <c r="AJ3889" s="500"/>
      <c r="AK3889" s="500"/>
      <c r="AL3889" s="500"/>
      <c r="AM3889" s="500"/>
      <c r="AN3889" s="500"/>
      <c r="AO3889" s="500"/>
      <c r="AP3889" s="500"/>
    </row>
    <row r="3890" spans="1:42" ht="16.5" customHeight="1">
      <c r="A3890" s="439"/>
      <c r="B3890" s="439"/>
      <c r="C3890" s="439"/>
      <c r="D3890" s="439"/>
      <c r="E3890" s="439"/>
      <c r="F3890" s="439"/>
      <c r="Z3890" s="500"/>
      <c r="AA3890" s="500"/>
      <c r="AB3890" s="500"/>
      <c r="AC3890" s="500"/>
      <c r="AD3890" s="500"/>
      <c r="AE3890" s="500"/>
      <c r="AF3890" s="500"/>
      <c r="AG3890" s="500"/>
      <c r="AH3890" s="500"/>
      <c r="AI3890" s="500"/>
      <c r="AJ3890" s="500"/>
      <c r="AK3890" s="500"/>
      <c r="AL3890" s="500"/>
      <c r="AM3890" s="500"/>
      <c r="AN3890" s="500"/>
      <c r="AO3890" s="500"/>
      <c r="AP3890" s="500"/>
    </row>
    <row r="3891" spans="1:42" ht="16.5" customHeight="1">
      <c r="A3891" s="439"/>
      <c r="B3891" s="439"/>
      <c r="C3891" s="439"/>
      <c r="D3891" s="439"/>
      <c r="E3891" s="439"/>
      <c r="F3891" s="439"/>
      <c r="Z3891" s="500"/>
      <c r="AA3891" s="500"/>
      <c r="AB3891" s="500"/>
      <c r="AC3891" s="500"/>
      <c r="AD3891" s="500"/>
      <c r="AE3891" s="500"/>
      <c r="AF3891" s="500"/>
      <c r="AG3891" s="500"/>
      <c r="AH3891" s="500"/>
      <c r="AI3891" s="500"/>
      <c r="AJ3891" s="500"/>
      <c r="AK3891" s="500"/>
      <c r="AL3891" s="500"/>
      <c r="AM3891" s="500"/>
      <c r="AN3891" s="500"/>
      <c r="AO3891" s="500"/>
      <c r="AP3891" s="500"/>
    </row>
    <row r="3892" spans="1:42" ht="16.5" customHeight="1">
      <c r="A3892" s="439"/>
      <c r="B3892" s="439"/>
      <c r="C3892" s="439"/>
      <c r="D3892" s="439"/>
      <c r="E3892" s="439"/>
      <c r="F3892" s="439"/>
      <c r="Z3892" s="500"/>
      <c r="AA3892" s="500"/>
      <c r="AB3892" s="500"/>
      <c r="AC3892" s="500"/>
      <c r="AD3892" s="500"/>
      <c r="AE3892" s="500"/>
      <c r="AF3892" s="500"/>
      <c r="AG3892" s="500"/>
      <c r="AH3892" s="500"/>
      <c r="AI3892" s="500"/>
      <c r="AJ3892" s="500"/>
      <c r="AK3892" s="500"/>
      <c r="AL3892" s="500"/>
      <c r="AM3892" s="500"/>
      <c r="AN3892" s="500"/>
      <c r="AO3892" s="500"/>
      <c r="AP3892" s="500"/>
    </row>
    <row r="3893" spans="1:42" ht="16.5" customHeight="1">
      <c r="A3893" s="439"/>
      <c r="B3893" s="439"/>
      <c r="C3893" s="439"/>
      <c r="D3893" s="439"/>
      <c r="E3893" s="439"/>
      <c r="F3893" s="439"/>
      <c r="Z3893" s="500"/>
      <c r="AA3893" s="500"/>
      <c r="AB3893" s="500"/>
      <c r="AC3893" s="500"/>
      <c r="AD3893" s="500"/>
      <c r="AE3893" s="500"/>
      <c r="AF3893" s="500"/>
      <c r="AG3893" s="500"/>
      <c r="AH3893" s="500"/>
      <c r="AI3893" s="500"/>
      <c r="AJ3893" s="500"/>
      <c r="AK3893" s="500"/>
      <c r="AL3893" s="500"/>
      <c r="AM3893" s="500"/>
      <c r="AN3893" s="500"/>
      <c r="AO3893" s="500"/>
      <c r="AP3893" s="500"/>
    </row>
    <row r="3894" spans="1:42" ht="16.5" customHeight="1">
      <c r="A3894" s="439"/>
      <c r="B3894" s="439"/>
      <c r="C3894" s="439"/>
      <c r="D3894" s="439"/>
      <c r="E3894" s="439"/>
      <c r="F3894" s="439"/>
      <c r="Z3894" s="500"/>
      <c r="AA3894" s="500"/>
      <c r="AB3894" s="500"/>
      <c r="AC3894" s="500"/>
      <c r="AD3894" s="500"/>
      <c r="AE3894" s="500"/>
      <c r="AF3894" s="500"/>
      <c r="AG3894" s="500"/>
      <c r="AH3894" s="500"/>
      <c r="AI3894" s="500"/>
      <c r="AJ3894" s="500"/>
      <c r="AK3894" s="500"/>
      <c r="AL3894" s="500"/>
      <c r="AM3894" s="500"/>
      <c r="AN3894" s="500"/>
      <c r="AO3894" s="500"/>
      <c r="AP3894" s="500"/>
    </row>
    <row r="3895" spans="1:42" ht="16.5" customHeight="1">
      <c r="A3895" s="439"/>
      <c r="B3895" s="439"/>
      <c r="C3895" s="439"/>
      <c r="D3895" s="439"/>
      <c r="E3895" s="439"/>
      <c r="F3895" s="439"/>
      <c r="Z3895" s="500"/>
      <c r="AA3895" s="500"/>
      <c r="AB3895" s="500"/>
      <c r="AC3895" s="500"/>
      <c r="AD3895" s="500"/>
      <c r="AE3895" s="500"/>
      <c r="AF3895" s="500"/>
      <c r="AG3895" s="500"/>
      <c r="AH3895" s="500"/>
      <c r="AI3895" s="500"/>
      <c r="AJ3895" s="500"/>
      <c r="AK3895" s="500"/>
      <c r="AL3895" s="500"/>
      <c r="AM3895" s="500"/>
      <c r="AN3895" s="500"/>
      <c r="AO3895" s="500"/>
      <c r="AP3895" s="500"/>
    </row>
    <row r="3896" spans="1:42" ht="16.5" customHeight="1">
      <c r="A3896" s="439"/>
      <c r="B3896" s="439"/>
      <c r="C3896" s="439"/>
      <c r="D3896" s="439"/>
      <c r="E3896" s="439"/>
      <c r="F3896" s="439"/>
      <c r="Z3896" s="500"/>
      <c r="AA3896" s="500"/>
      <c r="AB3896" s="500"/>
      <c r="AC3896" s="500"/>
      <c r="AD3896" s="500"/>
      <c r="AE3896" s="500"/>
      <c r="AF3896" s="500"/>
      <c r="AG3896" s="500"/>
      <c r="AH3896" s="500"/>
      <c r="AI3896" s="500"/>
      <c r="AJ3896" s="500"/>
      <c r="AK3896" s="500"/>
      <c r="AL3896" s="500"/>
      <c r="AM3896" s="500"/>
      <c r="AN3896" s="500"/>
      <c r="AO3896" s="500"/>
      <c r="AP3896" s="500"/>
    </row>
    <row r="3897" spans="1:42" ht="16.5" customHeight="1">
      <c r="A3897" s="439"/>
      <c r="B3897" s="439"/>
      <c r="C3897" s="439"/>
      <c r="D3897" s="439"/>
      <c r="E3897" s="439"/>
      <c r="F3897" s="439"/>
      <c r="Z3897" s="500"/>
      <c r="AA3897" s="500"/>
      <c r="AB3897" s="500"/>
      <c r="AC3897" s="500"/>
      <c r="AD3897" s="500"/>
      <c r="AE3897" s="500"/>
      <c r="AF3897" s="500"/>
      <c r="AG3897" s="500"/>
      <c r="AH3897" s="500"/>
      <c r="AI3897" s="500"/>
      <c r="AJ3897" s="500"/>
      <c r="AK3897" s="500"/>
      <c r="AL3897" s="500"/>
      <c r="AM3897" s="500"/>
      <c r="AN3897" s="500"/>
      <c r="AO3897" s="500"/>
      <c r="AP3897" s="500"/>
    </row>
    <row r="3898" spans="1:42" ht="16.5" customHeight="1">
      <c r="A3898" s="439"/>
      <c r="B3898" s="439"/>
      <c r="C3898" s="439"/>
      <c r="D3898" s="439"/>
      <c r="E3898" s="439"/>
      <c r="F3898" s="439"/>
      <c r="Z3898" s="500"/>
      <c r="AA3898" s="500"/>
      <c r="AB3898" s="500"/>
      <c r="AC3898" s="500"/>
      <c r="AD3898" s="500"/>
      <c r="AE3898" s="500"/>
      <c r="AF3898" s="500"/>
      <c r="AG3898" s="500"/>
      <c r="AH3898" s="500"/>
      <c r="AI3898" s="500"/>
      <c r="AJ3898" s="500"/>
      <c r="AK3898" s="500"/>
      <c r="AL3898" s="500"/>
      <c r="AM3898" s="500"/>
      <c r="AN3898" s="500"/>
      <c r="AO3898" s="500"/>
      <c r="AP3898" s="500"/>
    </row>
    <row r="3899" spans="1:42" ht="16.5" customHeight="1">
      <c r="A3899" s="439"/>
      <c r="B3899" s="439"/>
      <c r="C3899" s="439"/>
      <c r="D3899" s="439"/>
      <c r="E3899" s="439"/>
      <c r="F3899" s="439"/>
      <c r="Z3899" s="500"/>
      <c r="AA3899" s="500"/>
      <c r="AB3899" s="500"/>
      <c r="AC3899" s="500"/>
      <c r="AD3899" s="500"/>
      <c r="AE3899" s="500"/>
      <c r="AF3899" s="500"/>
      <c r="AG3899" s="500"/>
      <c r="AH3899" s="500"/>
      <c r="AI3899" s="500"/>
      <c r="AJ3899" s="500"/>
      <c r="AK3899" s="500"/>
      <c r="AL3899" s="500"/>
      <c r="AM3899" s="500"/>
      <c r="AN3899" s="500"/>
      <c r="AO3899" s="500"/>
      <c r="AP3899" s="500"/>
    </row>
    <row r="3900" spans="1:42" ht="16.5" customHeight="1">
      <c r="A3900" s="439"/>
      <c r="B3900" s="439"/>
      <c r="C3900" s="439"/>
      <c r="D3900" s="439"/>
      <c r="E3900" s="439"/>
      <c r="F3900" s="439"/>
      <c r="Z3900" s="500"/>
      <c r="AA3900" s="500"/>
      <c r="AB3900" s="500"/>
      <c r="AC3900" s="500"/>
      <c r="AD3900" s="500"/>
      <c r="AE3900" s="500"/>
      <c r="AF3900" s="500"/>
      <c r="AG3900" s="500"/>
      <c r="AH3900" s="500"/>
      <c r="AI3900" s="500"/>
      <c r="AJ3900" s="500"/>
      <c r="AK3900" s="500"/>
      <c r="AL3900" s="500"/>
      <c r="AM3900" s="500"/>
      <c r="AN3900" s="500"/>
      <c r="AO3900" s="500"/>
      <c r="AP3900" s="500"/>
    </row>
    <row r="3901" spans="1:42" ht="16.5" customHeight="1">
      <c r="A3901" s="439"/>
      <c r="B3901" s="439"/>
      <c r="C3901" s="439"/>
      <c r="D3901" s="439"/>
      <c r="E3901" s="439"/>
      <c r="F3901" s="439"/>
      <c r="Z3901" s="500"/>
      <c r="AA3901" s="500"/>
      <c r="AB3901" s="500"/>
      <c r="AC3901" s="500"/>
      <c r="AD3901" s="500"/>
      <c r="AE3901" s="500"/>
      <c r="AF3901" s="500"/>
      <c r="AG3901" s="500"/>
      <c r="AH3901" s="500"/>
      <c r="AI3901" s="500"/>
      <c r="AJ3901" s="500"/>
      <c r="AK3901" s="500"/>
      <c r="AL3901" s="500"/>
      <c r="AM3901" s="500"/>
      <c r="AN3901" s="500"/>
      <c r="AO3901" s="500"/>
      <c r="AP3901" s="500"/>
    </row>
    <row r="3902" spans="1:42" ht="16.5" customHeight="1">
      <c r="A3902" s="439"/>
      <c r="B3902" s="439"/>
      <c r="C3902" s="439"/>
      <c r="D3902" s="439"/>
      <c r="E3902" s="439"/>
      <c r="F3902" s="439"/>
      <c r="Z3902" s="500"/>
      <c r="AA3902" s="500"/>
      <c r="AB3902" s="500"/>
      <c r="AC3902" s="500"/>
      <c r="AD3902" s="500"/>
      <c r="AE3902" s="500"/>
      <c r="AF3902" s="500"/>
      <c r="AG3902" s="500"/>
      <c r="AH3902" s="500"/>
      <c r="AI3902" s="500"/>
      <c r="AJ3902" s="500"/>
      <c r="AK3902" s="500"/>
      <c r="AL3902" s="500"/>
      <c r="AM3902" s="500"/>
      <c r="AN3902" s="500"/>
      <c r="AO3902" s="500"/>
      <c r="AP3902" s="500"/>
    </row>
    <row r="3903" spans="1:42" ht="16.5" customHeight="1">
      <c r="A3903" s="497"/>
      <c r="B3903" s="497"/>
      <c r="C3903" s="497"/>
      <c r="D3903" s="497"/>
      <c r="E3903" s="497"/>
      <c r="F3903" s="497"/>
      <c r="Z3903" s="500"/>
      <c r="AA3903" s="500"/>
      <c r="AB3903" s="500"/>
      <c r="AC3903" s="500"/>
      <c r="AD3903" s="500"/>
      <c r="AE3903" s="500"/>
      <c r="AF3903" s="500"/>
      <c r="AG3903" s="500"/>
      <c r="AH3903" s="500"/>
      <c r="AI3903" s="500"/>
      <c r="AJ3903" s="500"/>
      <c r="AK3903" s="500"/>
      <c r="AL3903" s="500"/>
      <c r="AM3903" s="500"/>
      <c r="AN3903" s="500"/>
      <c r="AO3903" s="500"/>
      <c r="AP3903" s="500"/>
    </row>
    <row r="3904" spans="1:42" ht="16.5" customHeight="1">
      <c r="A3904" s="616" t="s">
        <v>3487</v>
      </c>
      <c r="B3904" s="605"/>
      <c r="C3904" s="446">
        <f>E3904+D3904+F3904</f>
        <v>14281</v>
      </c>
      <c r="D3904" s="453">
        <f>ROUNDDOWN(SUMIF(N3857:N3875,M3904,D3857:D3875),0)</f>
        <v>14281</v>
      </c>
      <c r="E3904" s="454">
        <f>ROUNDDOWN(SUMIF(N3857:N3875,M3904,E3857:E3875),0)</f>
        <v>0</v>
      </c>
      <c r="F3904" s="446">
        <f>ROUNDDOWN(SUMIF(N3857:N3875,M3904,F3857:F3875),0)</f>
        <v>0</v>
      </c>
      <c r="M3904" s="501" t="s">
        <v>2354</v>
      </c>
      <c r="Z3904" s="500"/>
      <c r="AA3904" s="500"/>
      <c r="AB3904" s="500"/>
      <c r="AC3904" s="500"/>
      <c r="AD3904" s="500"/>
      <c r="AE3904" s="500"/>
      <c r="AF3904" s="500"/>
      <c r="AG3904" s="500"/>
      <c r="AH3904" s="500"/>
      <c r="AI3904" s="500"/>
      <c r="AJ3904" s="500"/>
      <c r="AK3904" s="500"/>
      <c r="AL3904" s="500"/>
      <c r="AM3904" s="500"/>
      <c r="AN3904" s="500"/>
      <c r="AO3904" s="500"/>
      <c r="AP3904" s="500"/>
    </row>
    <row r="3905" spans="1:42" ht="16.5" customHeight="1">
      <c r="A3905" s="502" t="s">
        <v>3362</v>
      </c>
      <c r="B3905" s="503" t="s">
        <v>3369</v>
      </c>
      <c r="C3905" s="615">
        <f>C3954</f>
        <v>7138</v>
      </c>
      <c r="D3905" s="615">
        <f>D3954</f>
        <v>7138</v>
      </c>
      <c r="E3905" s="615">
        <f>E3954</f>
        <v>0</v>
      </c>
      <c r="F3905" s="615">
        <f>F3954</f>
        <v>0</v>
      </c>
      <c r="G3905" s="486" t="str">
        <f>HYPERLINK("#G"&amp;ROW(G3930),"_x0005_`BDCOD|D01136_x0007_`POSS|"&amp;ROW(G3907)&amp;"_x0007_`POSE|"&amp;ROW(G3930)&amp;"_x0007_`")</f>
        <v>_x0005_`BDCOD|D01136_x0007_`POSS|3907_x0007_`POSE|3930_x0007_`</v>
      </c>
      <c r="Z3905" s="500"/>
      <c r="AA3905" s="500"/>
      <c r="AB3905" s="500"/>
      <c r="AC3905" s="500"/>
      <c r="AD3905" s="500"/>
      <c r="AE3905" s="500"/>
      <c r="AF3905" s="500"/>
      <c r="AG3905" s="500"/>
      <c r="AH3905" s="500"/>
      <c r="AI3905" s="500"/>
      <c r="AJ3905" s="500"/>
      <c r="AK3905" s="500"/>
      <c r="AL3905" s="500"/>
      <c r="AM3905" s="500"/>
      <c r="AN3905" s="500"/>
      <c r="AO3905" s="500"/>
      <c r="AP3905" s="500"/>
    </row>
    <row r="3906" spans="1:42" ht="16.5" customHeight="1">
      <c r="A3906" s="485"/>
      <c r="B3906" s="503" t="s">
        <v>3871</v>
      </c>
      <c r="C3906" s="593"/>
      <c r="D3906" s="593"/>
      <c r="E3906" s="593"/>
      <c r="F3906" s="593"/>
      <c r="M3906" s="501" t="s">
        <v>3369</v>
      </c>
      <c r="Z3906" s="500"/>
      <c r="AA3906" s="500"/>
      <c r="AB3906" s="500"/>
      <c r="AC3906" s="500"/>
      <c r="AD3906" s="500"/>
      <c r="AE3906" s="500"/>
      <c r="AF3906" s="500"/>
      <c r="AG3906" s="500"/>
      <c r="AH3906" s="500"/>
      <c r="AI3906" s="500"/>
      <c r="AJ3906" s="500"/>
      <c r="AK3906" s="500"/>
      <c r="AL3906" s="500"/>
      <c r="AM3906" s="500"/>
      <c r="AN3906" s="500"/>
      <c r="AO3906" s="500"/>
      <c r="AP3906" s="500"/>
    </row>
    <row r="3907" spans="1:42" ht="16.5" customHeight="1">
      <c r="A3907" s="434"/>
      <c r="B3907" s="437" t="s">
        <v>3872</v>
      </c>
      <c r="C3907" s="504"/>
      <c r="D3907" s="504"/>
      <c r="E3907" s="504"/>
      <c r="F3907" s="504"/>
      <c r="G3907" s="451" t="s">
        <v>3873</v>
      </c>
      <c r="Z3907" s="500"/>
      <c r="AA3907" s="500"/>
      <c r="AB3907" s="500"/>
      <c r="AC3907" s="500"/>
      <c r="AD3907" s="500"/>
      <c r="AE3907" s="500"/>
      <c r="AF3907" s="500"/>
      <c r="AG3907" s="500"/>
      <c r="AH3907" s="500"/>
      <c r="AI3907" s="500"/>
      <c r="AJ3907" s="500"/>
      <c r="AK3907" s="500"/>
      <c r="AL3907" s="500"/>
      <c r="AM3907" s="500"/>
      <c r="AN3907" s="500"/>
      <c r="AO3907" s="500"/>
      <c r="AP3907" s="500"/>
    </row>
    <row r="3908" spans="1:42" ht="16.5" customHeight="1">
      <c r="A3908" s="439"/>
      <c r="B3908" s="439"/>
      <c r="C3908" s="439"/>
      <c r="D3908" s="439"/>
      <c r="E3908" s="439"/>
      <c r="F3908" s="439"/>
      <c r="G3908" s="451" t="s">
        <v>3406</v>
      </c>
      <c r="Z3908" s="500"/>
      <c r="AA3908" s="500"/>
      <c r="AB3908" s="500"/>
      <c r="AC3908" s="500"/>
      <c r="AD3908" s="500"/>
      <c r="AE3908" s="500"/>
      <c r="AF3908" s="500"/>
      <c r="AG3908" s="500"/>
      <c r="AH3908" s="500"/>
      <c r="AI3908" s="500"/>
      <c r="AJ3908" s="500"/>
      <c r="AK3908" s="500"/>
      <c r="AL3908" s="500"/>
      <c r="AM3908" s="500"/>
      <c r="AN3908" s="500"/>
      <c r="AO3908" s="500"/>
      <c r="AP3908" s="500"/>
    </row>
    <row r="3909" spans="1:42" ht="16.5" customHeight="1">
      <c r="A3909" s="439"/>
      <c r="B3909" s="439"/>
      <c r="C3909" s="439"/>
      <c r="D3909" s="439"/>
      <c r="E3909" s="439"/>
      <c r="F3909" s="439"/>
      <c r="G3909" s="451" t="s">
        <v>3406</v>
      </c>
      <c r="Z3909" s="500"/>
      <c r="AA3909" s="500"/>
      <c r="AB3909" s="500"/>
      <c r="AC3909" s="500"/>
      <c r="AD3909" s="500"/>
      <c r="AE3909" s="500"/>
      <c r="AF3909" s="500"/>
      <c r="AG3909" s="500"/>
      <c r="AH3909" s="500"/>
      <c r="AI3909" s="500"/>
      <c r="AJ3909" s="500"/>
      <c r="AK3909" s="500"/>
      <c r="AL3909" s="500"/>
      <c r="AM3909" s="500"/>
      <c r="AN3909" s="500"/>
      <c r="AO3909" s="500"/>
      <c r="AP3909" s="500"/>
    </row>
    <row r="3910" spans="1:42" ht="16.5" customHeight="1">
      <c r="A3910" s="434"/>
      <c r="B3910" s="437" t="s">
        <v>3781</v>
      </c>
      <c r="C3910" s="439"/>
      <c r="D3910" s="439"/>
      <c r="E3910" s="439"/>
      <c r="F3910" s="439"/>
      <c r="G3910" s="451" t="s">
        <v>3782</v>
      </c>
      <c r="Z3910" s="500"/>
      <c r="AA3910" s="500"/>
      <c r="AB3910" s="500"/>
      <c r="AC3910" s="500"/>
      <c r="AD3910" s="500"/>
      <c r="AE3910" s="500"/>
      <c r="AF3910" s="500"/>
      <c r="AG3910" s="500"/>
      <c r="AH3910" s="500"/>
      <c r="AI3910" s="500"/>
      <c r="AJ3910" s="500"/>
      <c r="AK3910" s="500"/>
      <c r="AL3910" s="500"/>
      <c r="AM3910" s="500"/>
      <c r="AN3910" s="500"/>
      <c r="AO3910" s="500"/>
      <c r="AP3910" s="500"/>
    </row>
    <row r="3911" spans="1:42" ht="16.5" customHeight="1">
      <c r="A3911" s="439"/>
      <c r="B3911" s="439"/>
      <c r="C3911" s="439"/>
      <c r="D3911" s="439"/>
      <c r="E3911" s="439"/>
      <c r="F3911" s="439"/>
      <c r="G3911" s="451" t="s">
        <v>3406</v>
      </c>
      <c r="Z3911" s="500"/>
      <c r="AA3911" s="500"/>
      <c r="AB3911" s="500"/>
      <c r="AC3911" s="500"/>
      <c r="AD3911" s="500"/>
      <c r="AE3911" s="500"/>
      <c r="AF3911" s="500"/>
      <c r="AG3911" s="500"/>
      <c r="AH3911" s="500"/>
      <c r="AI3911" s="500"/>
      <c r="AJ3911" s="500"/>
      <c r="AK3911" s="500"/>
      <c r="AL3911" s="500"/>
      <c r="AM3911" s="500"/>
      <c r="AN3911" s="500"/>
      <c r="AO3911" s="500"/>
      <c r="AP3911" s="500"/>
    </row>
    <row r="3912" spans="1:42" ht="16.5" customHeight="1">
      <c r="A3912" s="439"/>
      <c r="B3912" s="439"/>
      <c r="C3912" s="439"/>
      <c r="D3912" s="439"/>
      <c r="E3912" s="439"/>
      <c r="F3912" s="439"/>
      <c r="G3912" s="451" t="s">
        <v>3406</v>
      </c>
      <c r="Z3912" s="500"/>
      <c r="AA3912" s="500"/>
      <c r="AB3912" s="500"/>
      <c r="AC3912" s="500"/>
      <c r="AD3912" s="500"/>
      <c r="AE3912" s="500"/>
      <c r="AF3912" s="500"/>
      <c r="AG3912" s="500"/>
      <c r="AH3912" s="500"/>
      <c r="AI3912" s="500"/>
      <c r="AJ3912" s="500"/>
      <c r="AK3912" s="500"/>
      <c r="AL3912" s="500"/>
      <c r="AM3912" s="500"/>
      <c r="AN3912" s="500"/>
      <c r="AO3912" s="500"/>
      <c r="AP3912" s="500"/>
    </row>
    <row r="3913" spans="1:42" ht="16.5" customHeight="1">
      <c r="A3913" s="434"/>
      <c r="B3913" s="437" t="s">
        <v>3874</v>
      </c>
      <c r="C3913" s="439"/>
      <c r="D3913" s="439"/>
      <c r="E3913" s="439"/>
      <c r="F3913" s="439"/>
      <c r="G3913" s="451" t="s">
        <v>3875</v>
      </c>
      <c r="Z3913" s="500"/>
      <c r="AA3913" s="500"/>
      <c r="AB3913" s="500"/>
      <c r="AC3913" s="500"/>
      <c r="AD3913" s="500"/>
      <c r="AE3913" s="500"/>
      <c r="AF3913" s="500"/>
      <c r="AG3913" s="500"/>
      <c r="AH3913" s="500"/>
      <c r="AI3913" s="500"/>
      <c r="AJ3913" s="500"/>
      <c r="AK3913" s="500"/>
      <c r="AL3913" s="500"/>
      <c r="AM3913" s="500"/>
      <c r="AN3913" s="500"/>
      <c r="AO3913" s="500"/>
      <c r="AP3913" s="500"/>
    </row>
    <row r="3914" spans="1:42" ht="16.5" customHeight="1">
      <c r="A3914" s="439"/>
      <c r="B3914" s="439"/>
      <c r="C3914" s="439"/>
      <c r="D3914" s="439"/>
      <c r="E3914" s="439"/>
      <c r="F3914" s="439"/>
      <c r="G3914" s="451" t="s">
        <v>3406</v>
      </c>
      <c r="Z3914" s="500"/>
      <c r="AA3914" s="500"/>
      <c r="AB3914" s="500"/>
      <c r="AC3914" s="500"/>
      <c r="AD3914" s="500"/>
      <c r="AE3914" s="500"/>
      <c r="AF3914" s="500"/>
      <c r="AG3914" s="500"/>
      <c r="AH3914" s="500"/>
      <c r="AI3914" s="500"/>
      <c r="AJ3914" s="500"/>
      <c r="AK3914" s="500"/>
      <c r="AL3914" s="500"/>
      <c r="AM3914" s="500"/>
      <c r="AN3914" s="500"/>
      <c r="AO3914" s="500"/>
      <c r="AP3914" s="500"/>
    </row>
    <row r="3915" spans="1:42" ht="16.5" customHeight="1">
      <c r="A3915" s="434"/>
      <c r="B3915" s="437" t="s">
        <v>3876</v>
      </c>
      <c r="C3915" s="439"/>
      <c r="D3915" s="439"/>
      <c r="E3915" s="439"/>
      <c r="F3915" s="439"/>
      <c r="G3915" s="451" t="s">
        <v>3877</v>
      </c>
      <c r="Z3915" s="500"/>
      <c r="AA3915" s="500"/>
      <c r="AB3915" s="500"/>
      <c r="AC3915" s="500"/>
      <c r="AD3915" s="500"/>
      <c r="AE3915" s="500"/>
      <c r="AF3915" s="500"/>
      <c r="AG3915" s="500"/>
      <c r="AH3915" s="500"/>
      <c r="AI3915" s="500"/>
      <c r="AJ3915" s="500"/>
      <c r="AK3915" s="500"/>
      <c r="AL3915" s="500"/>
      <c r="AM3915" s="500"/>
      <c r="AN3915" s="500"/>
      <c r="AO3915" s="500"/>
      <c r="AP3915" s="500"/>
    </row>
    <row r="3916" spans="1:42" ht="16.5" customHeight="1">
      <c r="A3916" s="439"/>
      <c r="B3916" s="439"/>
      <c r="C3916" s="439"/>
      <c r="D3916" s="439"/>
      <c r="E3916" s="439"/>
      <c r="F3916" s="439"/>
      <c r="G3916" s="451" t="s">
        <v>3783</v>
      </c>
      <c r="Z3916" s="500"/>
      <c r="AA3916" s="500"/>
      <c r="AB3916" s="500"/>
      <c r="AC3916" s="500"/>
      <c r="AD3916" s="500"/>
      <c r="AE3916" s="500"/>
      <c r="AF3916" s="500"/>
      <c r="AG3916" s="500"/>
      <c r="AH3916" s="500"/>
      <c r="AI3916" s="500"/>
      <c r="AJ3916" s="500"/>
      <c r="AK3916" s="500"/>
      <c r="AL3916" s="500"/>
      <c r="AM3916" s="500"/>
      <c r="AN3916" s="500"/>
      <c r="AO3916" s="500"/>
      <c r="AP3916" s="500"/>
    </row>
    <row r="3917" spans="1:42" ht="16.5" customHeight="1">
      <c r="A3917" s="434"/>
      <c r="B3917" s="437" t="s">
        <v>3419</v>
      </c>
      <c r="C3917" s="513">
        <f>E3917+D3917+F3917</f>
        <v>0</v>
      </c>
      <c r="D3917" s="513">
        <f>SUMIF(N3907:N3916,M3917,D3907:D3916)</f>
        <v>0</v>
      </c>
      <c r="E3917" s="513">
        <f>SUMIF(N3907:N3916,M3917,E3907:E3916)</f>
        <v>0</v>
      </c>
      <c r="F3917" s="513">
        <f>SUMIF(N3907:N3916,M3917,F3907:F3916)</f>
        <v>0</v>
      </c>
      <c r="G3917" s="451" t="s">
        <v>3420</v>
      </c>
      <c r="M3917" s="501" t="s">
        <v>3416</v>
      </c>
      <c r="N3917" s="501" t="s">
        <v>3421</v>
      </c>
      <c r="Z3917" s="500"/>
      <c r="AA3917" s="500"/>
      <c r="AB3917" s="500"/>
      <c r="AC3917" s="500"/>
      <c r="AD3917" s="500"/>
      <c r="AE3917" s="500"/>
      <c r="AF3917" s="500"/>
      <c r="AG3917" s="500"/>
      <c r="AH3917" s="500"/>
      <c r="AI3917" s="500"/>
      <c r="AJ3917" s="500"/>
      <c r="AK3917" s="500"/>
      <c r="AL3917" s="500"/>
      <c r="AM3917" s="500"/>
      <c r="AN3917" s="500"/>
      <c r="AO3917" s="500"/>
      <c r="AP3917" s="500"/>
    </row>
    <row r="3918" spans="1:42" ht="16.5" customHeight="1">
      <c r="A3918" s="439"/>
      <c r="B3918" s="439"/>
      <c r="C3918" s="504"/>
      <c r="D3918" s="504"/>
      <c r="E3918" s="504"/>
      <c r="F3918" s="504"/>
      <c r="G3918" s="451" t="s">
        <v>3406</v>
      </c>
      <c r="Z3918" s="500"/>
      <c r="AA3918" s="500"/>
      <c r="AB3918" s="500"/>
      <c r="AC3918" s="500"/>
      <c r="AD3918" s="500"/>
      <c r="AE3918" s="500"/>
      <c r="AF3918" s="500"/>
      <c r="AG3918" s="500"/>
      <c r="AH3918" s="500"/>
      <c r="AI3918" s="500"/>
      <c r="AJ3918" s="500"/>
      <c r="AK3918" s="500"/>
      <c r="AL3918" s="500"/>
      <c r="AM3918" s="500"/>
      <c r="AN3918" s="500"/>
      <c r="AO3918" s="500"/>
      <c r="AP3918" s="500"/>
    </row>
    <row r="3919" spans="1:42" ht="16.5" customHeight="1">
      <c r="A3919" s="439"/>
      <c r="B3919" s="439"/>
      <c r="C3919" s="439"/>
      <c r="D3919" s="439"/>
      <c r="E3919" s="439"/>
      <c r="F3919" s="439"/>
      <c r="G3919" s="451" t="s">
        <v>3783</v>
      </c>
      <c r="Z3919" s="500"/>
      <c r="AA3919" s="500"/>
      <c r="AB3919" s="500"/>
      <c r="AC3919" s="500"/>
      <c r="AD3919" s="500"/>
      <c r="AE3919" s="500"/>
      <c r="AF3919" s="500"/>
      <c r="AG3919" s="500"/>
      <c r="AH3919" s="500"/>
      <c r="AI3919" s="500"/>
      <c r="AJ3919" s="500"/>
      <c r="AK3919" s="500"/>
      <c r="AL3919" s="500"/>
      <c r="AM3919" s="500"/>
      <c r="AN3919" s="500"/>
      <c r="AO3919" s="500"/>
      <c r="AP3919" s="500"/>
    </row>
    <row r="3920" spans="1:42" ht="16.5" customHeight="1">
      <c r="A3920" s="434"/>
      <c r="B3920" s="437" t="s">
        <v>3878</v>
      </c>
      <c r="C3920" s="439"/>
      <c r="D3920" s="439"/>
      <c r="E3920" s="439"/>
      <c r="F3920" s="439"/>
      <c r="G3920" s="451" t="s">
        <v>3879</v>
      </c>
      <c r="Z3920" s="500"/>
      <c r="AA3920" s="500"/>
      <c r="AB3920" s="500"/>
      <c r="AC3920" s="500"/>
      <c r="AD3920" s="500"/>
      <c r="AE3920" s="500"/>
      <c r="AF3920" s="500"/>
      <c r="AG3920" s="500"/>
      <c r="AH3920" s="500"/>
      <c r="AI3920" s="500"/>
      <c r="AJ3920" s="500"/>
      <c r="AK3920" s="500"/>
      <c r="AL3920" s="500"/>
      <c r="AM3920" s="500"/>
      <c r="AN3920" s="500"/>
      <c r="AO3920" s="500"/>
      <c r="AP3920" s="500"/>
    </row>
    <row r="3921" spans="1:42" ht="16.5" customHeight="1">
      <c r="A3921" s="439"/>
      <c r="B3921" s="439"/>
      <c r="C3921" s="439"/>
      <c r="D3921" s="439"/>
      <c r="E3921" s="439"/>
      <c r="F3921" s="439"/>
      <c r="G3921" s="451" t="s">
        <v>3406</v>
      </c>
      <c r="Z3921" s="500"/>
      <c r="AA3921" s="500"/>
      <c r="AB3921" s="500"/>
      <c r="AC3921" s="500"/>
      <c r="AD3921" s="500"/>
      <c r="AE3921" s="500"/>
      <c r="AF3921" s="500"/>
      <c r="AG3921" s="500"/>
      <c r="AH3921" s="500"/>
      <c r="AI3921" s="500"/>
      <c r="AJ3921" s="500"/>
      <c r="AK3921" s="500"/>
      <c r="AL3921" s="500"/>
      <c r="AM3921" s="500"/>
      <c r="AN3921" s="500"/>
      <c r="AO3921" s="500"/>
      <c r="AP3921" s="500"/>
    </row>
    <row r="3922" spans="1:42" ht="16.5" customHeight="1">
      <c r="A3922" s="434" t="s">
        <v>3498</v>
      </c>
      <c r="B3922" s="505" t="str">
        <f>" 조경공 : "&amp;TEXT(I3922,"#,##0"&amp;IF(I3922&lt;&gt;INT(I3922),".###",""))&amp;"  * ("&amp;AA3922&amp;"/"&amp;AC3922&amp;") 인  = "&amp;TEXT(C3922,"#,##0.0")&amp;""</f>
        <v xml:space="preserve"> 조경공 : 235,204  * (2/90) 인  = 5,226.7</v>
      </c>
      <c r="C3922" s="506">
        <f>E3922+D3922+F3922</f>
        <v>5226.7</v>
      </c>
      <c r="D3922" s="506">
        <f>IF(H3922=0,0,ROUNDDOWN(J3922*H3922,1))</f>
        <v>5226.7</v>
      </c>
      <c r="E3922" s="506">
        <f>IF(H3922=0,0,ROUNDDOWN(K3922*H3922,1))</f>
        <v>0</v>
      </c>
      <c r="F3922" s="506">
        <f>IF(H3922=0,0,ROUNDDOWN(L3922*H3922,1))</f>
        <v>0</v>
      </c>
      <c r="G3922" s="451" t="s">
        <v>3880</v>
      </c>
      <c r="H3922" s="507">
        <f>ROUNDUP(AF3922,14-LEN(ABS(INT(AF3922))))</f>
        <v>2.2222222222300001E-2</v>
      </c>
      <c r="I3922" s="508">
        <f>K3922+J3922+L3922</f>
        <v>235204</v>
      </c>
      <c r="J3922" s="509">
        <f>노무비목록표!E15</f>
        <v>235204</v>
      </c>
      <c r="M3922" s="501" t="s">
        <v>2359</v>
      </c>
      <c r="N3922" s="501" t="s">
        <v>3416</v>
      </c>
      <c r="X3922" s="510" t="str">
        <f>노무비목록표!B15&amp;" / "&amp;노무비목록표!C15</f>
        <v xml:space="preserve">조경공 / </v>
      </c>
      <c r="Y3922" s="433" t="str">
        <f ca="1">HYPERLINK("#"&amp;노무비목록표!G2&amp;"!A"&amp;ROW(노무비목록표!A15),"L00184 →")</f>
        <v>L00184 →</v>
      </c>
      <c r="Z3922" s="501" t="s">
        <v>3726</v>
      </c>
      <c r="AA3922" s="515">
        <v>2</v>
      </c>
      <c r="AB3922" s="501" t="s">
        <v>3428</v>
      </c>
      <c r="AC3922" s="515">
        <v>90</v>
      </c>
      <c r="AD3922" s="501" t="s">
        <v>3464</v>
      </c>
      <c r="AE3922" s="501" t="s">
        <v>3418</v>
      </c>
      <c r="AF3922" s="512">
        <f>1*(AA3922/AC3922)</f>
        <v>2.2222222222222223E-2</v>
      </c>
      <c r="AG3922" s="500"/>
      <c r="AH3922" s="500"/>
      <c r="AI3922" s="500"/>
      <c r="AJ3922" s="500"/>
      <c r="AK3922" s="500"/>
      <c r="AL3922" s="500"/>
      <c r="AM3922" s="500"/>
      <c r="AN3922" s="500"/>
      <c r="AO3922" s="500"/>
      <c r="AP3922" s="500"/>
    </row>
    <row r="3923" spans="1:42" ht="16.5" customHeight="1">
      <c r="A3923" s="439"/>
      <c r="B3923" s="439"/>
      <c r="C3923" s="439"/>
      <c r="D3923" s="439"/>
      <c r="E3923" s="439"/>
      <c r="F3923" s="439"/>
      <c r="G3923" s="451" t="s">
        <v>3406</v>
      </c>
      <c r="Z3923" s="500"/>
      <c r="AA3923" s="500"/>
      <c r="AB3923" s="500"/>
      <c r="AC3923" s="500"/>
      <c r="AD3923" s="500"/>
      <c r="AE3923" s="500"/>
      <c r="AF3923" s="500"/>
      <c r="AG3923" s="500"/>
      <c r="AH3923" s="500"/>
      <c r="AI3923" s="500"/>
      <c r="AJ3923" s="500"/>
      <c r="AK3923" s="500"/>
      <c r="AL3923" s="500"/>
      <c r="AM3923" s="500"/>
      <c r="AN3923" s="500"/>
      <c r="AO3923" s="500"/>
      <c r="AP3923" s="500"/>
    </row>
    <row r="3924" spans="1:42" ht="16.5" customHeight="1">
      <c r="A3924" s="434" t="s">
        <v>3414</v>
      </c>
      <c r="B3924" s="505" t="str">
        <f>" 보통인부 : "&amp;TEXT(I3924,"#,##0"&amp;IF(I3924&lt;&gt;INT(I3924),".###",""))&amp;" * ("&amp;AA3924&amp;"/"&amp;AC3924&amp;") 인  = "&amp;TEXT(C3924,"#,##0.0")&amp;""</f>
        <v xml:space="preserve"> 보통인부 : 172,068 * (1/90) 인  = 1,911.8</v>
      </c>
      <c r="C3924" s="506">
        <f>E3924+D3924+F3924</f>
        <v>1911.8</v>
      </c>
      <c r="D3924" s="506">
        <f>IF(H3924=0,0,ROUNDDOWN(J3924*H3924,1))</f>
        <v>1911.8</v>
      </c>
      <c r="E3924" s="506">
        <f>IF(H3924=0,0,ROUNDDOWN(K3924*H3924,1))</f>
        <v>0</v>
      </c>
      <c r="F3924" s="506">
        <f>IF(H3924=0,0,ROUNDDOWN(L3924*H3924,1))</f>
        <v>0</v>
      </c>
      <c r="G3924" s="451" t="s">
        <v>3881</v>
      </c>
      <c r="H3924" s="507">
        <f>ROUNDUP(AF3924,14-LEN(ABS(INT(AF3924))))</f>
        <v>1.1111111111200001E-2</v>
      </c>
      <c r="I3924" s="508">
        <f>K3924+J3924+L3924</f>
        <v>172068</v>
      </c>
      <c r="J3924" s="509">
        <f>노무비목록표!E10</f>
        <v>172068</v>
      </c>
      <c r="M3924" s="501" t="s">
        <v>2363</v>
      </c>
      <c r="N3924" s="501" t="s">
        <v>3416</v>
      </c>
      <c r="X3924" s="510" t="str">
        <f>노무비목록표!B10&amp;" / "&amp;노무비목록표!C10</f>
        <v xml:space="preserve">보통인부 / </v>
      </c>
      <c r="Y3924" s="433" t="str">
        <f ca="1">HYPERLINK("#"&amp;노무비목록표!G2&amp;"!A"&amp;ROW(노무비목록표!A10),"L00017 →")</f>
        <v>L00017 →</v>
      </c>
      <c r="Z3924" s="501" t="s">
        <v>3726</v>
      </c>
      <c r="AA3924" s="515">
        <v>1</v>
      </c>
      <c r="AB3924" s="501" t="s">
        <v>3428</v>
      </c>
      <c r="AC3924" s="515">
        <v>90</v>
      </c>
      <c r="AD3924" s="501" t="s">
        <v>3464</v>
      </c>
      <c r="AE3924" s="501" t="s">
        <v>3418</v>
      </c>
      <c r="AF3924" s="512">
        <f>1*(AA3924/AC3924)</f>
        <v>1.1111111111111112E-2</v>
      </c>
      <c r="AG3924" s="500"/>
      <c r="AH3924" s="500"/>
      <c r="AI3924" s="500"/>
      <c r="AJ3924" s="500"/>
      <c r="AK3924" s="500"/>
      <c r="AL3924" s="500"/>
      <c r="AM3924" s="500"/>
      <c r="AN3924" s="500"/>
      <c r="AO3924" s="500"/>
      <c r="AP3924" s="500"/>
    </row>
    <row r="3925" spans="1:42" ht="16.5" customHeight="1">
      <c r="A3925" s="439"/>
      <c r="B3925" s="439"/>
      <c r="C3925" s="439"/>
      <c r="D3925" s="439"/>
      <c r="E3925" s="439"/>
      <c r="F3925" s="439"/>
      <c r="G3925" s="451" t="s">
        <v>3406</v>
      </c>
      <c r="Z3925" s="500"/>
      <c r="AA3925" s="500"/>
      <c r="AB3925" s="500"/>
      <c r="AC3925" s="500"/>
      <c r="AD3925" s="500"/>
      <c r="AE3925" s="500"/>
      <c r="AF3925" s="500"/>
      <c r="AG3925" s="500"/>
      <c r="AH3925" s="500"/>
      <c r="AI3925" s="500"/>
      <c r="AJ3925" s="500"/>
      <c r="AK3925" s="500"/>
      <c r="AL3925" s="500"/>
      <c r="AM3925" s="500"/>
      <c r="AN3925" s="500"/>
      <c r="AO3925" s="500"/>
      <c r="AP3925" s="500"/>
    </row>
    <row r="3926" spans="1:42" ht="16.5" customHeight="1">
      <c r="A3926" s="439"/>
      <c r="B3926" s="439"/>
      <c r="C3926" s="439"/>
      <c r="D3926" s="439"/>
      <c r="E3926" s="439"/>
      <c r="F3926" s="439"/>
      <c r="G3926" s="451" t="s">
        <v>3406</v>
      </c>
      <c r="Z3926" s="500"/>
      <c r="AA3926" s="500"/>
      <c r="AB3926" s="500"/>
      <c r="AC3926" s="500"/>
      <c r="AD3926" s="500"/>
      <c r="AE3926" s="500"/>
      <c r="AF3926" s="500"/>
      <c r="AG3926" s="500"/>
      <c r="AH3926" s="500"/>
      <c r="AI3926" s="500"/>
      <c r="AJ3926" s="500"/>
      <c r="AK3926" s="500"/>
      <c r="AL3926" s="500"/>
      <c r="AM3926" s="500"/>
      <c r="AN3926" s="500"/>
      <c r="AO3926" s="500"/>
      <c r="AP3926" s="500"/>
    </row>
    <row r="3927" spans="1:42" ht="16.5" customHeight="1">
      <c r="A3927" s="434"/>
      <c r="B3927" s="437" t="s">
        <v>3419</v>
      </c>
      <c r="C3927" s="513">
        <f>E3927+D3927+F3927</f>
        <v>7138.5</v>
      </c>
      <c r="D3927" s="513">
        <f>SUMIF(N3918:N3926,M3927,D3918:D3926)</f>
        <v>7138.5</v>
      </c>
      <c r="E3927" s="513">
        <f>SUMIF(N3918:N3926,M3927,E3918:E3926)</f>
        <v>0</v>
      </c>
      <c r="F3927" s="513">
        <f>SUMIF(N3918:N3926,M3927,F3918:F3926)</f>
        <v>0</v>
      </c>
      <c r="G3927" s="451" t="s">
        <v>3420</v>
      </c>
      <c r="M3927" s="501" t="s">
        <v>3416</v>
      </c>
      <c r="N3927" s="501" t="s">
        <v>3421</v>
      </c>
      <c r="Z3927" s="500"/>
      <c r="AA3927" s="500"/>
      <c r="AB3927" s="500"/>
      <c r="AC3927" s="500"/>
      <c r="AD3927" s="500"/>
      <c r="AE3927" s="500"/>
      <c r="AF3927" s="500"/>
      <c r="AG3927" s="500"/>
      <c r="AH3927" s="500"/>
      <c r="AI3927" s="500"/>
      <c r="AJ3927" s="500"/>
      <c r="AK3927" s="500"/>
      <c r="AL3927" s="500"/>
      <c r="AM3927" s="500"/>
      <c r="AN3927" s="500"/>
      <c r="AO3927" s="500"/>
      <c r="AP3927" s="500"/>
    </row>
    <row r="3928" spans="1:42" ht="16.5" customHeight="1">
      <c r="A3928" s="439"/>
      <c r="B3928" s="439"/>
      <c r="C3928" s="504"/>
      <c r="D3928" s="504"/>
      <c r="E3928" s="504"/>
      <c r="F3928" s="504"/>
      <c r="G3928" s="451" t="s">
        <v>3406</v>
      </c>
      <c r="Z3928" s="500"/>
      <c r="AA3928" s="500"/>
      <c r="AB3928" s="500"/>
      <c r="AC3928" s="500"/>
      <c r="AD3928" s="500"/>
      <c r="AE3928" s="500"/>
      <c r="AF3928" s="500"/>
      <c r="AG3928" s="500"/>
      <c r="AH3928" s="500"/>
      <c r="AI3928" s="500"/>
      <c r="AJ3928" s="500"/>
      <c r="AK3928" s="500"/>
      <c r="AL3928" s="500"/>
      <c r="AM3928" s="500"/>
      <c r="AN3928" s="500"/>
      <c r="AO3928" s="500"/>
      <c r="AP3928" s="500"/>
    </row>
    <row r="3929" spans="1:42" ht="16.5" customHeight="1">
      <c r="A3929" s="439"/>
      <c r="B3929" s="439"/>
      <c r="C3929" s="439"/>
      <c r="D3929" s="439"/>
      <c r="E3929" s="439"/>
      <c r="F3929" s="439"/>
      <c r="G3929" s="451" t="s">
        <v>3406</v>
      </c>
      <c r="Z3929" s="500"/>
      <c r="AA3929" s="500"/>
      <c r="AB3929" s="500"/>
      <c r="AC3929" s="500"/>
      <c r="AD3929" s="500"/>
      <c r="AE3929" s="500"/>
      <c r="AF3929" s="500"/>
      <c r="AG3929" s="500"/>
      <c r="AH3929" s="500"/>
      <c r="AI3929" s="500"/>
      <c r="AJ3929" s="500"/>
      <c r="AK3929" s="500"/>
      <c r="AL3929" s="500"/>
      <c r="AM3929" s="500"/>
      <c r="AN3929" s="500"/>
      <c r="AO3929" s="500"/>
      <c r="AP3929" s="500"/>
    </row>
    <row r="3930" spans="1:42" ht="16.5" customHeight="1">
      <c r="A3930" s="434"/>
      <c r="B3930" s="437" t="s">
        <v>3440</v>
      </c>
      <c r="C3930" s="513">
        <f>E3930+D3930+F3930</f>
        <v>7138.5</v>
      </c>
      <c r="D3930" s="513">
        <f>SUMIF(N3907:N3929,M3930,D3907:D3929)</f>
        <v>7138.5</v>
      </c>
      <c r="E3930" s="513">
        <f>SUMIF(N3907:N3929,M3930,E3907:E3929)</f>
        <v>0</v>
      </c>
      <c r="F3930" s="513">
        <f>SUMIF(N3907:N3929,M3930,F3907:F3929)</f>
        <v>0</v>
      </c>
      <c r="G3930" s="451" t="s">
        <v>3484</v>
      </c>
      <c r="M3930" s="501" t="s">
        <v>3421</v>
      </c>
      <c r="N3930" s="501" t="s">
        <v>2354</v>
      </c>
      <c r="Z3930" s="500"/>
      <c r="AA3930" s="500"/>
      <c r="AB3930" s="500"/>
      <c r="AC3930" s="500"/>
      <c r="AD3930" s="500"/>
      <c r="AE3930" s="500"/>
      <c r="AF3930" s="500"/>
      <c r="AG3930" s="500"/>
      <c r="AH3930" s="500"/>
      <c r="AI3930" s="500"/>
      <c r="AJ3930" s="500"/>
      <c r="AK3930" s="500"/>
      <c r="AL3930" s="500"/>
      <c r="AM3930" s="500"/>
      <c r="AN3930" s="500"/>
      <c r="AO3930" s="500"/>
      <c r="AP3930" s="500"/>
    </row>
    <row r="3931" spans="1:42" ht="16.5" customHeight="1">
      <c r="A3931" s="439"/>
      <c r="B3931" s="439"/>
      <c r="C3931" s="504"/>
      <c r="D3931" s="504"/>
      <c r="E3931" s="504"/>
      <c r="F3931" s="504"/>
      <c r="Z3931" s="500"/>
      <c r="AA3931" s="500"/>
      <c r="AB3931" s="500"/>
      <c r="AC3931" s="500"/>
      <c r="AD3931" s="500"/>
      <c r="AE3931" s="500"/>
      <c r="AF3931" s="500"/>
      <c r="AG3931" s="500"/>
      <c r="AH3931" s="500"/>
      <c r="AI3931" s="500"/>
      <c r="AJ3931" s="500"/>
      <c r="AK3931" s="500"/>
      <c r="AL3931" s="500"/>
      <c r="AM3931" s="500"/>
      <c r="AN3931" s="500"/>
      <c r="AO3931" s="500"/>
      <c r="AP3931" s="500"/>
    </row>
    <row r="3932" spans="1:42" ht="16.5" customHeight="1">
      <c r="A3932" s="439"/>
      <c r="B3932" s="439"/>
      <c r="C3932" s="439"/>
      <c r="D3932" s="439"/>
      <c r="E3932" s="439"/>
      <c r="F3932" s="439"/>
      <c r="Z3932" s="500"/>
      <c r="AA3932" s="500"/>
      <c r="AB3932" s="500"/>
      <c r="AC3932" s="500"/>
      <c r="AD3932" s="500"/>
      <c r="AE3932" s="500"/>
      <c r="AF3932" s="500"/>
      <c r="AG3932" s="500"/>
      <c r="AH3932" s="500"/>
      <c r="AI3932" s="500"/>
      <c r="AJ3932" s="500"/>
      <c r="AK3932" s="500"/>
      <c r="AL3932" s="500"/>
      <c r="AM3932" s="500"/>
      <c r="AN3932" s="500"/>
      <c r="AO3932" s="500"/>
      <c r="AP3932" s="500"/>
    </row>
    <row r="3933" spans="1:42" ht="16.5" customHeight="1">
      <c r="A3933" s="439"/>
      <c r="B3933" s="439"/>
      <c r="C3933" s="439"/>
      <c r="D3933" s="439"/>
      <c r="E3933" s="439"/>
      <c r="F3933" s="439"/>
      <c r="Z3933" s="500"/>
      <c r="AA3933" s="500"/>
      <c r="AB3933" s="500"/>
      <c r="AC3933" s="500"/>
      <c r="AD3933" s="500"/>
      <c r="AE3933" s="500"/>
      <c r="AF3933" s="500"/>
      <c r="AG3933" s="500"/>
      <c r="AH3933" s="500"/>
      <c r="AI3933" s="500"/>
      <c r="AJ3933" s="500"/>
      <c r="AK3933" s="500"/>
      <c r="AL3933" s="500"/>
      <c r="AM3933" s="500"/>
      <c r="AN3933" s="500"/>
      <c r="AO3933" s="500"/>
      <c r="AP3933" s="500"/>
    </row>
    <row r="3934" spans="1:42" ht="16.5" customHeight="1">
      <c r="A3934" s="439"/>
      <c r="B3934" s="439"/>
      <c r="C3934" s="439"/>
      <c r="D3934" s="439"/>
      <c r="E3934" s="439"/>
      <c r="F3934" s="439"/>
      <c r="Z3934" s="500"/>
      <c r="AA3934" s="500"/>
      <c r="AB3934" s="500"/>
      <c r="AC3934" s="500"/>
      <c r="AD3934" s="500"/>
      <c r="AE3934" s="500"/>
      <c r="AF3934" s="500"/>
      <c r="AG3934" s="500"/>
      <c r="AH3934" s="500"/>
      <c r="AI3934" s="500"/>
      <c r="AJ3934" s="500"/>
      <c r="AK3934" s="500"/>
      <c r="AL3934" s="500"/>
      <c r="AM3934" s="500"/>
      <c r="AN3934" s="500"/>
      <c r="AO3934" s="500"/>
      <c r="AP3934" s="500"/>
    </row>
    <row r="3935" spans="1:42" ht="16.5" customHeight="1">
      <c r="A3935" s="439"/>
      <c r="B3935" s="439"/>
      <c r="C3935" s="439"/>
      <c r="D3935" s="439"/>
      <c r="E3935" s="439"/>
      <c r="F3935" s="439"/>
      <c r="Z3935" s="500"/>
      <c r="AA3935" s="500"/>
      <c r="AB3935" s="500"/>
      <c r="AC3935" s="500"/>
      <c r="AD3935" s="500"/>
      <c r="AE3935" s="500"/>
      <c r="AF3935" s="500"/>
      <c r="AG3935" s="500"/>
      <c r="AH3935" s="500"/>
      <c r="AI3935" s="500"/>
      <c r="AJ3935" s="500"/>
      <c r="AK3935" s="500"/>
      <c r="AL3935" s="500"/>
      <c r="AM3935" s="500"/>
      <c r="AN3935" s="500"/>
      <c r="AO3935" s="500"/>
      <c r="AP3935" s="500"/>
    </row>
    <row r="3936" spans="1:42" ht="16.5" customHeight="1">
      <c r="A3936" s="439"/>
      <c r="B3936" s="439"/>
      <c r="C3936" s="439"/>
      <c r="D3936" s="439"/>
      <c r="E3936" s="439"/>
      <c r="F3936" s="439"/>
      <c r="Z3936" s="500"/>
      <c r="AA3936" s="500"/>
      <c r="AB3936" s="500"/>
      <c r="AC3936" s="500"/>
      <c r="AD3936" s="500"/>
      <c r="AE3936" s="500"/>
      <c r="AF3936" s="500"/>
      <c r="AG3936" s="500"/>
      <c r="AH3936" s="500"/>
      <c r="AI3936" s="500"/>
      <c r="AJ3936" s="500"/>
      <c r="AK3936" s="500"/>
      <c r="AL3936" s="500"/>
      <c r="AM3936" s="500"/>
      <c r="AN3936" s="500"/>
      <c r="AO3936" s="500"/>
      <c r="AP3936" s="500"/>
    </row>
    <row r="3937" spans="1:42" ht="16.5" customHeight="1">
      <c r="A3937" s="439"/>
      <c r="B3937" s="439"/>
      <c r="C3937" s="439"/>
      <c r="D3937" s="439"/>
      <c r="E3937" s="439"/>
      <c r="F3937" s="439"/>
      <c r="Z3937" s="500"/>
      <c r="AA3937" s="500"/>
      <c r="AB3937" s="500"/>
      <c r="AC3937" s="500"/>
      <c r="AD3937" s="500"/>
      <c r="AE3937" s="500"/>
      <c r="AF3937" s="500"/>
      <c r="AG3937" s="500"/>
      <c r="AH3937" s="500"/>
      <c r="AI3937" s="500"/>
      <c r="AJ3937" s="500"/>
      <c r="AK3937" s="500"/>
      <c r="AL3937" s="500"/>
      <c r="AM3937" s="500"/>
      <c r="AN3937" s="500"/>
      <c r="AO3937" s="500"/>
      <c r="AP3937" s="500"/>
    </row>
    <row r="3938" spans="1:42" ht="16.5" customHeight="1">
      <c r="A3938" s="439"/>
      <c r="B3938" s="439"/>
      <c r="C3938" s="439"/>
      <c r="D3938" s="439"/>
      <c r="E3938" s="439"/>
      <c r="F3938" s="439"/>
      <c r="Z3938" s="500"/>
      <c r="AA3938" s="500"/>
      <c r="AB3938" s="500"/>
      <c r="AC3938" s="500"/>
      <c r="AD3938" s="500"/>
      <c r="AE3938" s="500"/>
      <c r="AF3938" s="500"/>
      <c r="AG3938" s="500"/>
      <c r="AH3938" s="500"/>
      <c r="AI3938" s="500"/>
      <c r="AJ3938" s="500"/>
      <c r="AK3938" s="500"/>
      <c r="AL3938" s="500"/>
      <c r="AM3938" s="500"/>
      <c r="AN3938" s="500"/>
      <c r="AO3938" s="500"/>
      <c r="AP3938" s="500"/>
    </row>
    <row r="3939" spans="1:42" ht="16.5" customHeight="1">
      <c r="A3939" s="439"/>
      <c r="B3939" s="439"/>
      <c r="C3939" s="439"/>
      <c r="D3939" s="439"/>
      <c r="E3939" s="439"/>
      <c r="F3939" s="439"/>
      <c r="Z3939" s="500"/>
      <c r="AA3939" s="500"/>
      <c r="AB3939" s="500"/>
      <c r="AC3939" s="500"/>
      <c r="AD3939" s="500"/>
      <c r="AE3939" s="500"/>
      <c r="AF3939" s="500"/>
      <c r="AG3939" s="500"/>
      <c r="AH3939" s="500"/>
      <c r="AI3939" s="500"/>
      <c r="AJ3939" s="500"/>
      <c r="AK3939" s="500"/>
      <c r="AL3939" s="500"/>
      <c r="AM3939" s="500"/>
      <c r="AN3939" s="500"/>
      <c r="AO3939" s="500"/>
      <c r="AP3939" s="500"/>
    </row>
    <row r="3940" spans="1:42" ht="16.5" customHeight="1">
      <c r="A3940" s="439"/>
      <c r="B3940" s="439"/>
      <c r="C3940" s="439"/>
      <c r="D3940" s="439"/>
      <c r="E3940" s="439"/>
      <c r="F3940" s="439"/>
      <c r="Z3940" s="500"/>
      <c r="AA3940" s="500"/>
      <c r="AB3940" s="500"/>
      <c r="AC3940" s="500"/>
      <c r="AD3940" s="500"/>
      <c r="AE3940" s="500"/>
      <c r="AF3940" s="500"/>
      <c r="AG3940" s="500"/>
      <c r="AH3940" s="500"/>
      <c r="AI3940" s="500"/>
      <c r="AJ3940" s="500"/>
      <c r="AK3940" s="500"/>
      <c r="AL3940" s="500"/>
      <c r="AM3940" s="500"/>
      <c r="AN3940" s="500"/>
      <c r="AO3940" s="500"/>
      <c r="AP3940" s="500"/>
    </row>
    <row r="3941" spans="1:42" ht="16.5" customHeight="1">
      <c r="A3941" s="439"/>
      <c r="B3941" s="439"/>
      <c r="C3941" s="439"/>
      <c r="D3941" s="439"/>
      <c r="E3941" s="439"/>
      <c r="F3941" s="439"/>
      <c r="Z3941" s="500"/>
      <c r="AA3941" s="500"/>
      <c r="AB3941" s="500"/>
      <c r="AC3941" s="500"/>
      <c r="AD3941" s="500"/>
      <c r="AE3941" s="500"/>
      <c r="AF3941" s="500"/>
      <c r="AG3941" s="500"/>
      <c r="AH3941" s="500"/>
      <c r="AI3941" s="500"/>
      <c r="AJ3941" s="500"/>
      <c r="AK3941" s="500"/>
      <c r="AL3941" s="500"/>
      <c r="AM3941" s="500"/>
      <c r="AN3941" s="500"/>
      <c r="AO3941" s="500"/>
      <c r="AP3941" s="500"/>
    </row>
    <row r="3942" spans="1:42" ht="16.5" customHeight="1">
      <c r="A3942" s="439"/>
      <c r="B3942" s="439"/>
      <c r="C3942" s="439"/>
      <c r="D3942" s="439"/>
      <c r="E3942" s="439"/>
      <c r="F3942" s="439"/>
      <c r="Z3942" s="500"/>
      <c r="AA3942" s="500"/>
      <c r="AB3942" s="500"/>
      <c r="AC3942" s="500"/>
      <c r="AD3942" s="500"/>
      <c r="AE3942" s="500"/>
      <c r="AF3942" s="500"/>
      <c r="AG3942" s="500"/>
      <c r="AH3942" s="500"/>
      <c r="AI3942" s="500"/>
      <c r="AJ3942" s="500"/>
      <c r="AK3942" s="500"/>
      <c r="AL3942" s="500"/>
      <c r="AM3942" s="500"/>
      <c r="AN3942" s="500"/>
      <c r="AO3942" s="500"/>
      <c r="AP3942" s="500"/>
    </row>
    <row r="3943" spans="1:42" ht="16.5" customHeight="1">
      <c r="A3943" s="439"/>
      <c r="B3943" s="439"/>
      <c r="C3943" s="439"/>
      <c r="D3943" s="439"/>
      <c r="E3943" s="439"/>
      <c r="F3943" s="439"/>
      <c r="Z3943" s="500"/>
      <c r="AA3943" s="500"/>
      <c r="AB3943" s="500"/>
      <c r="AC3943" s="500"/>
      <c r="AD3943" s="500"/>
      <c r="AE3943" s="500"/>
      <c r="AF3943" s="500"/>
      <c r="AG3943" s="500"/>
      <c r="AH3943" s="500"/>
      <c r="AI3943" s="500"/>
      <c r="AJ3943" s="500"/>
      <c r="AK3943" s="500"/>
      <c r="AL3943" s="500"/>
      <c r="AM3943" s="500"/>
      <c r="AN3943" s="500"/>
      <c r="AO3943" s="500"/>
      <c r="AP3943" s="500"/>
    </row>
    <row r="3944" spans="1:42" ht="16.5" customHeight="1">
      <c r="A3944" s="439"/>
      <c r="B3944" s="439"/>
      <c r="C3944" s="439"/>
      <c r="D3944" s="439"/>
      <c r="E3944" s="439"/>
      <c r="F3944" s="439"/>
      <c r="Z3944" s="500"/>
      <c r="AA3944" s="500"/>
      <c r="AB3944" s="500"/>
      <c r="AC3944" s="500"/>
      <c r="AD3944" s="500"/>
      <c r="AE3944" s="500"/>
      <c r="AF3944" s="500"/>
      <c r="AG3944" s="500"/>
      <c r="AH3944" s="500"/>
      <c r="AI3944" s="500"/>
      <c r="AJ3944" s="500"/>
      <c r="AK3944" s="500"/>
      <c r="AL3944" s="500"/>
      <c r="AM3944" s="500"/>
      <c r="AN3944" s="500"/>
      <c r="AO3944" s="500"/>
      <c r="AP3944" s="500"/>
    </row>
    <row r="3945" spans="1:42" ht="16.5" customHeight="1">
      <c r="A3945" s="439"/>
      <c r="B3945" s="439"/>
      <c r="C3945" s="439"/>
      <c r="D3945" s="439"/>
      <c r="E3945" s="439"/>
      <c r="F3945" s="439"/>
      <c r="Z3945" s="500"/>
      <c r="AA3945" s="500"/>
      <c r="AB3945" s="500"/>
      <c r="AC3945" s="500"/>
      <c r="AD3945" s="500"/>
      <c r="AE3945" s="500"/>
      <c r="AF3945" s="500"/>
      <c r="AG3945" s="500"/>
      <c r="AH3945" s="500"/>
      <c r="AI3945" s="500"/>
      <c r="AJ3945" s="500"/>
      <c r="AK3945" s="500"/>
      <c r="AL3945" s="500"/>
      <c r="AM3945" s="500"/>
      <c r="AN3945" s="500"/>
      <c r="AO3945" s="500"/>
      <c r="AP3945" s="500"/>
    </row>
    <row r="3946" spans="1:42" ht="16.5" customHeight="1">
      <c r="A3946" s="439"/>
      <c r="B3946" s="439"/>
      <c r="C3946" s="439"/>
      <c r="D3946" s="439"/>
      <c r="E3946" s="439"/>
      <c r="F3946" s="439"/>
      <c r="Z3946" s="500"/>
      <c r="AA3946" s="500"/>
      <c r="AB3946" s="500"/>
      <c r="AC3946" s="500"/>
      <c r="AD3946" s="500"/>
      <c r="AE3946" s="500"/>
      <c r="AF3946" s="500"/>
      <c r="AG3946" s="500"/>
      <c r="AH3946" s="500"/>
      <c r="AI3946" s="500"/>
      <c r="AJ3946" s="500"/>
      <c r="AK3946" s="500"/>
      <c r="AL3946" s="500"/>
      <c r="AM3946" s="500"/>
      <c r="AN3946" s="500"/>
      <c r="AO3946" s="500"/>
      <c r="AP3946" s="500"/>
    </row>
    <row r="3947" spans="1:42" ht="16.5" customHeight="1">
      <c r="A3947" s="439"/>
      <c r="B3947" s="439"/>
      <c r="C3947" s="439"/>
      <c r="D3947" s="439"/>
      <c r="E3947" s="439"/>
      <c r="F3947" s="439"/>
      <c r="Z3947" s="500"/>
      <c r="AA3947" s="500"/>
      <c r="AB3947" s="500"/>
      <c r="AC3947" s="500"/>
      <c r="AD3947" s="500"/>
      <c r="AE3947" s="500"/>
      <c r="AF3947" s="500"/>
      <c r="AG3947" s="500"/>
      <c r="AH3947" s="500"/>
      <c r="AI3947" s="500"/>
      <c r="AJ3947" s="500"/>
      <c r="AK3947" s="500"/>
      <c r="AL3947" s="500"/>
      <c r="AM3947" s="500"/>
      <c r="AN3947" s="500"/>
      <c r="AO3947" s="500"/>
      <c r="AP3947" s="500"/>
    </row>
    <row r="3948" spans="1:42" ht="16.5" customHeight="1">
      <c r="A3948" s="439"/>
      <c r="B3948" s="439"/>
      <c r="C3948" s="439"/>
      <c r="D3948" s="439"/>
      <c r="E3948" s="439"/>
      <c r="F3948" s="439"/>
      <c r="Z3948" s="500"/>
      <c r="AA3948" s="500"/>
      <c r="AB3948" s="500"/>
      <c r="AC3948" s="500"/>
      <c r="AD3948" s="500"/>
      <c r="AE3948" s="500"/>
      <c r="AF3948" s="500"/>
      <c r="AG3948" s="500"/>
      <c r="AH3948" s="500"/>
      <c r="AI3948" s="500"/>
      <c r="AJ3948" s="500"/>
      <c r="AK3948" s="500"/>
      <c r="AL3948" s="500"/>
      <c r="AM3948" s="500"/>
      <c r="AN3948" s="500"/>
      <c r="AO3948" s="500"/>
      <c r="AP3948" s="500"/>
    </row>
    <row r="3949" spans="1:42" ht="16.5" customHeight="1">
      <c r="A3949" s="439"/>
      <c r="B3949" s="439"/>
      <c r="C3949" s="439"/>
      <c r="D3949" s="439"/>
      <c r="E3949" s="439"/>
      <c r="F3949" s="439"/>
      <c r="Z3949" s="500"/>
      <c r="AA3949" s="500"/>
      <c r="AB3949" s="500"/>
      <c r="AC3949" s="500"/>
      <c r="AD3949" s="500"/>
      <c r="AE3949" s="500"/>
      <c r="AF3949" s="500"/>
      <c r="AG3949" s="500"/>
      <c r="AH3949" s="500"/>
      <c r="AI3949" s="500"/>
      <c r="AJ3949" s="500"/>
      <c r="AK3949" s="500"/>
      <c r="AL3949" s="500"/>
      <c r="AM3949" s="500"/>
      <c r="AN3949" s="500"/>
      <c r="AO3949" s="500"/>
      <c r="AP3949" s="500"/>
    </row>
    <row r="3950" spans="1:42" ht="16.5" customHeight="1">
      <c r="A3950" s="439"/>
      <c r="B3950" s="439"/>
      <c r="C3950" s="439"/>
      <c r="D3950" s="439"/>
      <c r="E3950" s="439"/>
      <c r="F3950" s="439"/>
      <c r="Z3950" s="500"/>
      <c r="AA3950" s="500"/>
      <c r="AB3950" s="500"/>
      <c r="AC3950" s="500"/>
      <c r="AD3950" s="500"/>
      <c r="AE3950" s="500"/>
      <c r="AF3950" s="500"/>
      <c r="AG3950" s="500"/>
      <c r="AH3950" s="500"/>
      <c r="AI3950" s="500"/>
      <c r="AJ3950" s="500"/>
      <c r="AK3950" s="500"/>
      <c r="AL3950" s="500"/>
      <c r="AM3950" s="500"/>
      <c r="AN3950" s="500"/>
      <c r="AO3950" s="500"/>
      <c r="AP3950" s="500"/>
    </row>
    <row r="3951" spans="1:42" ht="16.5" customHeight="1">
      <c r="A3951" s="439"/>
      <c r="B3951" s="439"/>
      <c r="C3951" s="439"/>
      <c r="D3951" s="439"/>
      <c r="E3951" s="439"/>
      <c r="F3951" s="439"/>
      <c r="Z3951" s="500"/>
      <c r="AA3951" s="500"/>
      <c r="AB3951" s="500"/>
      <c r="AC3951" s="500"/>
      <c r="AD3951" s="500"/>
      <c r="AE3951" s="500"/>
      <c r="AF3951" s="500"/>
      <c r="AG3951" s="500"/>
      <c r="AH3951" s="500"/>
      <c r="AI3951" s="500"/>
      <c r="AJ3951" s="500"/>
      <c r="AK3951" s="500"/>
      <c r="AL3951" s="500"/>
      <c r="AM3951" s="500"/>
      <c r="AN3951" s="500"/>
      <c r="AO3951" s="500"/>
      <c r="AP3951" s="500"/>
    </row>
    <row r="3952" spans="1:42" ht="16.5" customHeight="1">
      <c r="A3952" s="439"/>
      <c r="B3952" s="439"/>
      <c r="C3952" s="439"/>
      <c r="D3952" s="439"/>
      <c r="E3952" s="439"/>
      <c r="F3952" s="439"/>
      <c r="Z3952" s="500"/>
      <c r="AA3952" s="500"/>
      <c r="AB3952" s="500"/>
      <c r="AC3952" s="500"/>
      <c r="AD3952" s="500"/>
      <c r="AE3952" s="500"/>
      <c r="AF3952" s="500"/>
      <c r="AG3952" s="500"/>
      <c r="AH3952" s="500"/>
      <c r="AI3952" s="500"/>
      <c r="AJ3952" s="500"/>
      <c r="AK3952" s="500"/>
      <c r="AL3952" s="500"/>
      <c r="AM3952" s="500"/>
      <c r="AN3952" s="500"/>
      <c r="AO3952" s="500"/>
      <c r="AP3952" s="500"/>
    </row>
    <row r="3953" spans="1:42" ht="16.5" customHeight="1">
      <c r="A3953" s="497"/>
      <c r="B3953" s="497"/>
      <c r="C3953" s="497"/>
      <c r="D3953" s="497"/>
      <c r="E3953" s="497"/>
      <c r="F3953" s="497"/>
      <c r="Z3953" s="500"/>
      <c r="AA3953" s="500"/>
      <c r="AB3953" s="500"/>
      <c r="AC3953" s="500"/>
      <c r="AD3953" s="500"/>
      <c r="AE3953" s="500"/>
      <c r="AF3953" s="500"/>
      <c r="AG3953" s="500"/>
      <c r="AH3953" s="500"/>
      <c r="AI3953" s="500"/>
      <c r="AJ3953" s="500"/>
      <c r="AK3953" s="500"/>
      <c r="AL3953" s="500"/>
      <c r="AM3953" s="500"/>
      <c r="AN3953" s="500"/>
      <c r="AO3953" s="500"/>
      <c r="AP3953" s="500"/>
    </row>
    <row r="3954" spans="1:42" ht="16.5" customHeight="1">
      <c r="A3954" s="616" t="s">
        <v>3487</v>
      </c>
      <c r="B3954" s="605"/>
      <c r="C3954" s="446">
        <f>E3954+D3954+F3954</f>
        <v>7138</v>
      </c>
      <c r="D3954" s="453">
        <f>ROUNDDOWN(SUMIF(N3907:N3930,M3954,D3907:D3930),0)</f>
        <v>7138</v>
      </c>
      <c r="E3954" s="454">
        <f>ROUNDDOWN(SUMIF(N3907:N3930,M3954,E3907:E3930),0)</f>
        <v>0</v>
      </c>
      <c r="F3954" s="446">
        <f>ROUNDDOWN(SUMIF(N3907:N3930,M3954,F3907:F3930),0)</f>
        <v>0</v>
      </c>
      <c r="M3954" s="501" t="s">
        <v>2354</v>
      </c>
      <c r="Z3954" s="500"/>
      <c r="AA3954" s="500"/>
      <c r="AB3954" s="500"/>
      <c r="AC3954" s="500"/>
      <c r="AD3954" s="500"/>
      <c r="AE3954" s="500"/>
      <c r="AF3954" s="500"/>
      <c r="AG3954" s="500"/>
      <c r="AH3954" s="500"/>
      <c r="AI3954" s="500"/>
      <c r="AJ3954" s="500"/>
      <c r="AK3954" s="500"/>
      <c r="AL3954" s="500"/>
      <c r="AM3954" s="500"/>
      <c r="AN3954" s="500"/>
      <c r="AO3954" s="500"/>
      <c r="AP3954" s="500"/>
    </row>
    <row r="3955" spans="1:42" ht="16.5" customHeight="1">
      <c r="A3955" s="502"/>
      <c r="B3955" s="503" t="s">
        <v>3370</v>
      </c>
      <c r="C3955" s="615">
        <f>C4004</f>
        <v>4942</v>
      </c>
      <c r="D3955" s="615">
        <f>D4004</f>
        <v>4942</v>
      </c>
      <c r="E3955" s="615">
        <f>E4004</f>
        <v>0</v>
      </c>
      <c r="F3955" s="615">
        <f>F4004</f>
        <v>0</v>
      </c>
      <c r="G3955" s="486" t="str">
        <f>HYPERLINK("#G"&amp;ROW(G3980),"_x0005_`BDCOD|D01213_x0007_`POSS|"&amp;ROW(G3957)&amp;"_x0007_`POSE|"&amp;ROW(G3980)&amp;"_x0007_`")</f>
        <v>_x0005_`BDCOD|D01213_x0007_`POSS|3957_x0007_`POSE|3980_x0007_`</v>
      </c>
      <c r="Z3955" s="500"/>
      <c r="AA3955" s="500"/>
      <c r="AB3955" s="500"/>
      <c r="AC3955" s="500"/>
      <c r="AD3955" s="500"/>
      <c r="AE3955" s="500"/>
      <c r="AF3955" s="500"/>
      <c r="AG3955" s="500"/>
      <c r="AH3955" s="500"/>
      <c r="AI3955" s="500"/>
      <c r="AJ3955" s="500"/>
      <c r="AK3955" s="500"/>
      <c r="AL3955" s="500"/>
      <c r="AM3955" s="500"/>
      <c r="AN3955" s="500"/>
      <c r="AO3955" s="500"/>
      <c r="AP3955" s="500"/>
    </row>
    <row r="3956" spans="1:42" ht="16.5" customHeight="1">
      <c r="A3956" s="485"/>
      <c r="B3956" s="503" t="s">
        <v>3882</v>
      </c>
      <c r="C3956" s="593"/>
      <c r="D3956" s="593"/>
      <c r="E3956" s="593"/>
      <c r="F3956" s="593"/>
      <c r="M3956" s="501" t="s">
        <v>3370</v>
      </c>
      <c r="Z3956" s="500"/>
      <c r="AA3956" s="500"/>
      <c r="AB3956" s="500"/>
      <c r="AC3956" s="500"/>
      <c r="AD3956" s="500"/>
      <c r="AE3956" s="500"/>
      <c r="AF3956" s="500"/>
      <c r="AG3956" s="500"/>
      <c r="AH3956" s="500"/>
      <c r="AI3956" s="500"/>
      <c r="AJ3956" s="500"/>
      <c r="AK3956" s="500"/>
      <c r="AL3956" s="500"/>
      <c r="AM3956" s="500"/>
      <c r="AN3956" s="500"/>
      <c r="AO3956" s="500"/>
      <c r="AP3956" s="500"/>
    </row>
    <row r="3957" spans="1:42" ht="16.5" customHeight="1">
      <c r="A3957" s="434"/>
      <c r="B3957" s="437" t="s">
        <v>3872</v>
      </c>
      <c r="C3957" s="504"/>
      <c r="D3957" s="504"/>
      <c r="E3957" s="504"/>
      <c r="F3957" s="504"/>
      <c r="G3957" s="451" t="s">
        <v>3873</v>
      </c>
      <c r="Z3957" s="500"/>
      <c r="AA3957" s="500"/>
      <c r="AB3957" s="500"/>
      <c r="AC3957" s="500"/>
      <c r="AD3957" s="500"/>
      <c r="AE3957" s="500"/>
      <c r="AF3957" s="500"/>
      <c r="AG3957" s="500"/>
      <c r="AH3957" s="500"/>
      <c r="AI3957" s="500"/>
      <c r="AJ3957" s="500"/>
      <c r="AK3957" s="500"/>
      <c r="AL3957" s="500"/>
      <c r="AM3957" s="500"/>
      <c r="AN3957" s="500"/>
      <c r="AO3957" s="500"/>
      <c r="AP3957" s="500"/>
    </row>
    <row r="3958" spans="1:42" ht="16.5" customHeight="1">
      <c r="A3958" s="439"/>
      <c r="B3958" s="439"/>
      <c r="C3958" s="439"/>
      <c r="D3958" s="439"/>
      <c r="E3958" s="439"/>
      <c r="F3958" s="439"/>
      <c r="G3958" s="451" t="s">
        <v>3406</v>
      </c>
      <c r="Z3958" s="500"/>
      <c r="AA3958" s="500"/>
      <c r="AB3958" s="500"/>
      <c r="AC3958" s="500"/>
      <c r="AD3958" s="500"/>
      <c r="AE3958" s="500"/>
      <c r="AF3958" s="500"/>
      <c r="AG3958" s="500"/>
      <c r="AH3958" s="500"/>
      <c r="AI3958" s="500"/>
      <c r="AJ3958" s="500"/>
      <c r="AK3958" s="500"/>
      <c r="AL3958" s="500"/>
      <c r="AM3958" s="500"/>
      <c r="AN3958" s="500"/>
      <c r="AO3958" s="500"/>
      <c r="AP3958" s="500"/>
    </row>
    <row r="3959" spans="1:42" ht="16.5" customHeight="1">
      <c r="A3959" s="439"/>
      <c r="B3959" s="439"/>
      <c r="C3959" s="439"/>
      <c r="D3959" s="439"/>
      <c r="E3959" s="439"/>
      <c r="F3959" s="439"/>
      <c r="G3959" s="451" t="s">
        <v>3406</v>
      </c>
      <c r="Z3959" s="500"/>
      <c r="AA3959" s="500"/>
      <c r="AB3959" s="500"/>
      <c r="AC3959" s="500"/>
      <c r="AD3959" s="500"/>
      <c r="AE3959" s="500"/>
      <c r="AF3959" s="500"/>
      <c r="AG3959" s="500"/>
      <c r="AH3959" s="500"/>
      <c r="AI3959" s="500"/>
      <c r="AJ3959" s="500"/>
      <c r="AK3959" s="500"/>
      <c r="AL3959" s="500"/>
      <c r="AM3959" s="500"/>
      <c r="AN3959" s="500"/>
      <c r="AO3959" s="500"/>
      <c r="AP3959" s="500"/>
    </row>
    <row r="3960" spans="1:42" ht="16.5" customHeight="1">
      <c r="A3960" s="434"/>
      <c r="B3960" s="437" t="s">
        <v>3787</v>
      </c>
      <c r="C3960" s="439"/>
      <c r="D3960" s="439"/>
      <c r="E3960" s="439"/>
      <c r="F3960" s="439"/>
      <c r="G3960" s="451" t="s">
        <v>3788</v>
      </c>
      <c r="Z3960" s="500"/>
      <c r="AA3960" s="500"/>
      <c r="AB3960" s="500"/>
      <c r="AC3960" s="500"/>
      <c r="AD3960" s="500"/>
      <c r="AE3960" s="500"/>
      <c r="AF3960" s="500"/>
      <c r="AG3960" s="500"/>
      <c r="AH3960" s="500"/>
      <c r="AI3960" s="500"/>
      <c r="AJ3960" s="500"/>
      <c r="AK3960" s="500"/>
      <c r="AL3960" s="500"/>
      <c r="AM3960" s="500"/>
      <c r="AN3960" s="500"/>
      <c r="AO3960" s="500"/>
      <c r="AP3960" s="500"/>
    </row>
    <row r="3961" spans="1:42" ht="16.5" customHeight="1">
      <c r="A3961" s="439"/>
      <c r="B3961" s="439"/>
      <c r="C3961" s="439"/>
      <c r="D3961" s="439"/>
      <c r="E3961" s="439"/>
      <c r="F3961" s="439"/>
      <c r="G3961" s="451" t="s">
        <v>3406</v>
      </c>
      <c r="Z3961" s="500"/>
      <c r="AA3961" s="500"/>
      <c r="AB3961" s="500"/>
      <c r="AC3961" s="500"/>
      <c r="AD3961" s="500"/>
      <c r="AE3961" s="500"/>
      <c r="AF3961" s="500"/>
      <c r="AG3961" s="500"/>
      <c r="AH3961" s="500"/>
      <c r="AI3961" s="500"/>
      <c r="AJ3961" s="500"/>
      <c r="AK3961" s="500"/>
      <c r="AL3961" s="500"/>
      <c r="AM3961" s="500"/>
      <c r="AN3961" s="500"/>
      <c r="AO3961" s="500"/>
      <c r="AP3961" s="500"/>
    </row>
    <row r="3962" spans="1:42" ht="16.5" customHeight="1">
      <c r="A3962" s="439"/>
      <c r="B3962" s="439"/>
      <c r="C3962" s="439"/>
      <c r="D3962" s="439"/>
      <c r="E3962" s="439"/>
      <c r="F3962" s="439"/>
      <c r="G3962" s="451" t="s">
        <v>3406</v>
      </c>
      <c r="Z3962" s="500"/>
      <c r="AA3962" s="500"/>
      <c r="AB3962" s="500"/>
      <c r="AC3962" s="500"/>
      <c r="AD3962" s="500"/>
      <c r="AE3962" s="500"/>
      <c r="AF3962" s="500"/>
      <c r="AG3962" s="500"/>
      <c r="AH3962" s="500"/>
      <c r="AI3962" s="500"/>
      <c r="AJ3962" s="500"/>
      <c r="AK3962" s="500"/>
      <c r="AL3962" s="500"/>
      <c r="AM3962" s="500"/>
      <c r="AN3962" s="500"/>
      <c r="AO3962" s="500"/>
      <c r="AP3962" s="500"/>
    </row>
    <row r="3963" spans="1:42" ht="16.5" customHeight="1">
      <c r="A3963" s="434"/>
      <c r="B3963" s="437" t="s">
        <v>3874</v>
      </c>
      <c r="C3963" s="439"/>
      <c r="D3963" s="439"/>
      <c r="E3963" s="439"/>
      <c r="F3963" s="439"/>
      <c r="G3963" s="451" t="s">
        <v>3875</v>
      </c>
      <c r="Z3963" s="500"/>
      <c r="AA3963" s="500"/>
      <c r="AB3963" s="500"/>
      <c r="AC3963" s="500"/>
      <c r="AD3963" s="500"/>
      <c r="AE3963" s="500"/>
      <c r="AF3963" s="500"/>
      <c r="AG3963" s="500"/>
      <c r="AH3963" s="500"/>
      <c r="AI3963" s="500"/>
      <c r="AJ3963" s="500"/>
      <c r="AK3963" s="500"/>
      <c r="AL3963" s="500"/>
      <c r="AM3963" s="500"/>
      <c r="AN3963" s="500"/>
      <c r="AO3963" s="500"/>
      <c r="AP3963" s="500"/>
    </row>
    <row r="3964" spans="1:42" ht="16.5" customHeight="1">
      <c r="A3964" s="439"/>
      <c r="B3964" s="439"/>
      <c r="C3964" s="439"/>
      <c r="D3964" s="439"/>
      <c r="E3964" s="439"/>
      <c r="F3964" s="439"/>
      <c r="G3964" s="451" t="s">
        <v>3406</v>
      </c>
      <c r="Z3964" s="500"/>
      <c r="AA3964" s="500"/>
      <c r="AB3964" s="500"/>
      <c r="AC3964" s="500"/>
      <c r="AD3964" s="500"/>
      <c r="AE3964" s="500"/>
      <c r="AF3964" s="500"/>
      <c r="AG3964" s="500"/>
      <c r="AH3964" s="500"/>
      <c r="AI3964" s="500"/>
      <c r="AJ3964" s="500"/>
      <c r="AK3964" s="500"/>
      <c r="AL3964" s="500"/>
      <c r="AM3964" s="500"/>
      <c r="AN3964" s="500"/>
      <c r="AO3964" s="500"/>
      <c r="AP3964" s="500"/>
    </row>
    <row r="3965" spans="1:42" ht="16.5" customHeight="1">
      <c r="A3965" s="434"/>
      <c r="B3965" s="437" t="s">
        <v>3876</v>
      </c>
      <c r="C3965" s="439"/>
      <c r="D3965" s="439"/>
      <c r="E3965" s="439"/>
      <c r="F3965" s="439"/>
      <c r="G3965" s="451" t="s">
        <v>3877</v>
      </c>
      <c r="Z3965" s="500"/>
      <c r="AA3965" s="500"/>
      <c r="AB3965" s="500"/>
      <c r="AC3965" s="500"/>
      <c r="AD3965" s="500"/>
      <c r="AE3965" s="500"/>
      <c r="AF3965" s="500"/>
      <c r="AG3965" s="500"/>
      <c r="AH3965" s="500"/>
      <c r="AI3965" s="500"/>
      <c r="AJ3965" s="500"/>
      <c r="AK3965" s="500"/>
      <c r="AL3965" s="500"/>
      <c r="AM3965" s="500"/>
      <c r="AN3965" s="500"/>
      <c r="AO3965" s="500"/>
      <c r="AP3965" s="500"/>
    </row>
    <row r="3966" spans="1:42" ht="16.5" customHeight="1">
      <c r="A3966" s="439"/>
      <c r="B3966" s="439"/>
      <c r="C3966" s="439"/>
      <c r="D3966" s="439"/>
      <c r="E3966" s="439"/>
      <c r="F3966" s="439"/>
      <c r="G3966" s="451" t="s">
        <v>3783</v>
      </c>
      <c r="Z3966" s="500"/>
      <c r="AA3966" s="500"/>
      <c r="AB3966" s="500"/>
      <c r="AC3966" s="500"/>
      <c r="AD3966" s="500"/>
      <c r="AE3966" s="500"/>
      <c r="AF3966" s="500"/>
      <c r="AG3966" s="500"/>
      <c r="AH3966" s="500"/>
      <c r="AI3966" s="500"/>
      <c r="AJ3966" s="500"/>
      <c r="AK3966" s="500"/>
      <c r="AL3966" s="500"/>
      <c r="AM3966" s="500"/>
      <c r="AN3966" s="500"/>
      <c r="AO3966" s="500"/>
      <c r="AP3966" s="500"/>
    </row>
    <row r="3967" spans="1:42" ht="16.5" customHeight="1">
      <c r="A3967" s="434"/>
      <c r="B3967" s="437" t="s">
        <v>3419</v>
      </c>
      <c r="C3967" s="513">
        <f>E3967+D3967+F3967</f>
        <v>0</v>
      </c>
      <c r="D3967" s="513">
        <f>SUMIF(N3957:N3966,M3967,D3957:D3966)</f>
        <v>0</v>
      </c>
      <c r="E3967" s="513">
        <f>SUMIF(N3957:N3966,M3967,E3957:E3966)</f>
        <v>0</v>
      </c>
      <c r="F3967" s="513">
        <f>SUMIF(N3957:N3966,M3967,F3957:F3966)</f>
        <v>0</v>
      </c>
      <c r="G3967" s="451" t="s">
        <v>3420</v>
      </c>
      <c r="M3967" s="501" t="s">
        <v>3416</v>
      </c>
      <c r="N3967" s="501" t="s">
        <v>3421</v>
      </c>
      <c r="Z3967" s="500"/>
      <c r="AA3967" s="500"/>
      <c r="AB3967" s="500"/>
      <c r="AC3967" s="500"/>
      <c r="AD3967" s="500"/>
      <c r="AE3967" s="500"/>
      <c r="AF3967" s="500"/>
      <c r="AG3967" s="500"/>
      <c r="AH3967" s="500"/>
      <c r="AI3967" s="500"/>
      <c r="AJ3967" s="500"/>
      <c r="AK3967" s="500"/>
      <c r="AL3967" s="500"/>
      <c r="AM3967" s="500"/>
      <c r="AN3967" s="500"/>
      <c r="AO3967" s="500"/>
      <c r="AP3967" s="500"/>
    </row>
    <row r="3968" spans="1:42" ht="16.5" customHeight="1">
      <c r="A3968" s="439"/>
      <c r="B3968" s="439"/>
      <c r="C3968" s="504"/>
      <c r="D3968" s="504"/>
      <c r="E3968" s="504"/>
      <c r="F3968" s="504"/>
      <c r="G3968" s="451" t="s">
        <v>3406</v>
      </c>
      <c r="Z3968" s="500"/>
      <c r="AA3968" s="500"/>
      <c r="AB3968" s="500"/>
      <c r="AC3968" s="500"/>
      <c r="AD3968" s="500"/>
      <c r="AE3968" s="500"/>
      <c r="AF3968" s="500"/>
      <c r="AG3968" s="500"/>
      <c r="AH3968" s="500"/>
      <c r="AI3968" s="500"/>
      <c r="AJ3968" s="500"/>
      <c r="AK3968" s="500"/>
      <c r="AL3968" s="500"/>
      <c r="AM3968" s="500"/>
      <c r="AN3968" s="500"/>
      <c r="AO3968" s="500"/>
      <c r="AP3968" s="500"/>
    </row>
    <row r="3969" spans="1:42" ht="16.5" customHeight="1">
      <c r="A3969" s="439"/>
      <c r="B3969" s="439"/>
      <c r="C3969" s="439"/>
      <c r="D3969" s="439"/>
      <c r="E3969" s="439"/>
      <c r="F3969" s="439"/>
      <c r="G3969" s="451" t="s">
        <v>3783</v>
      </c>
      <c r="Z3969" s="500"/>
      <c r="AA3969" s="500"/>
      <c r="AB3969" s="500"/>
      <c r="AC3969" s="500"/>
      <c r="AD3969" s="500"/>
      <c r="AE3969" s="500"/>
      <c r="AF3969" s="500"/>
      <c r="AG3969" s="500"/>
      <c r="AH3969" s="500"/>
      <c r="AI3969" s="500"/>
      <c r="AJ3969" s="500"/>
      <c r="AK3969" s="500"/>
      <c r="AL3969" s="500"/>
      <c r="AM3969" s="500"/>
      <c r="AN3969" s="500"/>
      <c r="AO3969" s="500"/>
      <c r="AP3969" s="500"/>
    </row>
    <row r="3970" spans="1:42" ht="16.5" customHeight="1">
      <c r="A3970" s="434"/>
      <c r="B3970" s="437" t="s">
        <v>3878</v>
      </c>
      <c r="C3970" s="439"/>
      <c r="D3970" s="439"/>
      <c r="E3970" s="439"/>
      <c r="F3970" s="439"/>
      <c r="G3970" s="451" t="s">
        <v>3879</v>
      </c>
      <c r="Z3970" s="500"/>
      <c r="AA3970" s="500"/>
      <c r="AB3970" s="500"/>
      <c r="AC3970" s="500"/>
      <c r="AD3970" s="500"/>
      <c r="AE3970" s="500"/>
      <c r="AF3970" s="500"/>
      <c r="AG3970" s="500"/>
      <c r="AH3970" s="500"/>
      <c r="AI3970" s="500"/>
      <c r="AJ3970" s="500"/>
      <c r="AK3970" s="500"/>
      <c r="AL3970" s="500"/>
      <c r="AM3970" s="500"/>
      <c r="AN3970" s="500"/>
      <c r="AO3970" s="500"/>
      <c r="AP3970" s="500"/>
    </row>
    <row r="3971" spans="1:42" ht="16.5" customHeight="1">
      <c r="A3971" s="439"/>
      <c r="B3971" s="439"/>
      <c r="C3971" s="439"/>
      <c r="D3971" s="439"/>
      <c r="E3971" s="439"/>
      <c r="F3971" s="439"/>
      <c r="G3971" s="451" t="s">
        <v>3406</v>
      </c>
      <c r="Z3971" s="500"/>
      <c r="AA3971" s="500"/>
      <c r="AB3971" s="500"/>
      <c r="AC3971" s="500"/>
      <c r="AD3971" s="500"/>
      <c r="AE3971" s="500"/>
      <c r="AF3971" s="500"/>
      <c r="AG3971" s="500"/>
      <c r="AH3971" s="500"/>
      <c r="AI3971" s="500"/>
      <c r="AJ3971" s="500"/>
      <c r="AK3971" s="500"/>
      <c r="AL3971" s="500"/>
      <c r="AM3971" s="500"/>
      <c r="AN3971" s="500"/>
      <c r="AO3971" s="500"/>
      <c r="AP3971" s="500"/>
    </row>
    <row r="3972" spans="1:42" ht="16.5" customHeight="1">
      <c r="A3972" s="434" t="s">
        <v>3498</v>
      </c>
      <c r="B3972" s="505" t="str">
        <f>" 조경공 : "&amp;TEXT(I3972,"#,##0"&amp;IF(I3972&lt;&gt;INT(I3972),".###",""))&amp;"  * ("&amp;AA3972&amp;"/"&amp;AC3972&amp;") 인  = "&amp;TEXT(C3972,"#,##0.0")&amp;""</f>
        <v xml:space="preserve"> 조경공 : 235,204  * (2/130) 인  = 3,618.5</v>
      </c>
      <c r="C3972" s="506">
        <f>E3972+D3972+F3972</f>
        <v>3618.5</v>
      </c>
      <c r="D3972" s="506">
        <f>IF(H3972=0,0,ROUNDDOWN(J3972*H3972,1))</f>
        <v>3618.5</v>
      </c>
      <c r="E3972" s="506">
        <f>IF(H3972=0,0,ROUNDDOWN(K3972*H3972,1))</f>
        <v>0</v>
      </c>
      <c r="F3972" s="506">
        <f>IF(H3972=0,0,ROUNDDOWN(L3972*H3972,1))</f>
        <v>0</v>
      </c>
      <c r="G3972" s="451" t="s">
        <v>3883</v>
      </c>
      <c r="H3972" s="507">
        <f>ROUNDUP(AF3972,14-LEN(ABS(INT(AF3972))))</f>
        <v>1.53846153847E-2</v>
      </c>
      <c r="I3972" s="508">
        <f>K3972+J3972+L3972</f>
        <v>235204</v>
      </c>
      <c r="J3972" s="509">
        <f>노무비목록표!E15</f>
        <v>235204</v>
      </c>
      <c r="M3972" s="501" t="s">
        <v>2359</v>
      </c>
      <c r="N3972" s="501" t="s">
        <v>3416</v>
      </c>
      <c r="X3972" s="510" t="str">
        <f>노무비목록표!B15&amp;" / "&amp;노무비목록표!C15</f>
        <v xml:space="preserve">조경공 / </v>
      </c>
      <c r="Y3972" s="433" t="str">
        <f ca="1">HYPERLINK("#"&amp;노무비목록표!G2&amp;"!A"&amp;ROW(노무비목록표!A15),"L00184 →")</f>
        <v>L00184 →</v>
      </c>
      <c r="Z3972" s="501" t="s">
        <v>3726</v>
      </c>
      <c r="AA3972" s="515">
        <v>2</v>
      </c>
      <c r="AB3972" s="501" t="s">
        <v>3428</v>
      </c>
      <c r="AC3972" s="515">
        <v>130</v>
      </c>
      <c r="AD3972" s="501" t="s">
        <v>3464</v>
      </c>
      <c r="AE3972" s="501" t="s">
        <v>3418</v>
      </c>
      <c r="AF3972" s="512">
        <f>1*(AA3972/AC3972)</f>
        <v>1.5384615384615385E-2</v>
      </c>
      <c r="AG3972" s="500"/>
      <c r="AH3972" s="500"/>
      <c r="AI3972" s="500"/>
      <c r="AJ3972" s="500"/>
      <c r="AK3972" s="500"/>
      <c r="AL3972" s="500"/>
      <c r="AM3972" s="500"/>
      <c r="AN3972" s="500"/>
      <c r="AO3972" s="500"/>
      <c r="AP3972" s="500"/>
    </row>
    <row r="3973" spans="1:42" ht="16.5" customHeight="1">
      <c r="A3973" s="439"/>
      <c r="B3973" s="439"/>
      <c r="C3973" s="439"/>
      <c r="D3973" s="439"/>
      <c r="E3973" s="439"/>
      <c r="F3973" s="439"/>
      <c r="G3973" s="451" t="s">
        <v>3406</v>
      </c>
      <c r="Z3973" s="500"/>
      <c r="AA3973" s="500"/>
      <c r="AB3973" s="500"/>
      <c r="AC3973" s="500"/>
      <c r="AD3973" s="500"/>
      <c r="AE3973" s="500"/>
      <c r="AF3973" s="500"/>
      <c r="AG3973" s="500"/>
      <c r="AH3973" s="500"/>
      <c r="AI3973" s="500"/>
      <c r="AJ3973" s="500"/>
      <c r="AK3973" s="500"/>
      <c r="AL3973" s="500"/>
      <c r="AM3973" s="500"/>
      <c r="AN3973" s="500"/>
      <c r="AO3973" s="500"/>
      <c r="AP3973" s="500"/>
    </row>
    <row r="3974" spans="1:42" ht="16.5" customHeight="1">
      <c r="A3974" s="434" t="s">
        <v>3414</v>
      </c>
      <c r="B3974" s="505" t="str">
        <f>" 보통인부 : "&amp;TEXT(I3974,"#,##0"&amp;IF(I3974&lt;&gt;INT(I3974),".###",""))&amp;" * ("&amp;AA3974&amp;"/"&amp;AC3974&amp;") 인  = "&amp;TEXT(C3974,"#,##0.0")&amp;""</f>
        <v xml:space="preserve"> 보통인부 : 172,068 * (1/130) 인  = 1,323.6</v>
      </c>
      <c r="C3974" s="506">
        <f>E3974+D3974+F3974</f>
        <v>1323.6</v>
      </c>
      <c r="D3974" s="506">
        <f>IF(H3974=0,0,ROUNDDOWN(J3974*H3974,1))</f>
        <v>1323.6</v>
      </c>
      <c r="E3974" s="506">
        <f>IF(H3974=0,0,ROUNDDOWN(K3974*H3974,1))</f>
        <v>0</v>
      </c>
      <c r="F3974" s="506">
        <f>IF(H3974=0,0,ROUNDDOWN(L3974*H3974,1))</f>
        <v>0</v>
      </c>
      <c r="G3974" s="451" t="s">
        <v>3884</v>
      </c>
      <c r="H3974" s="507">
        <f>ROUNDUP(AF3974,14-LEN(ABS(INT(AF3974))))</f>
        <v>7.6923076924E-3</v>
      </c>
      <c r="I3974" s="508">
        <f>K3974+J3974+L3974</f>
        <v>172068</v>
      </c>
      <c r="J3974" s="509">
        <f>노무비목록표!E10</f>
        <v>172068</v>
      </c>
      <c r="M3974" s="501" t="s">
        <v>2363</v>
      </c>
      <c r="N3974" s="501" t="s">
        <v>3416</v>
      </c>
      <c r="X3974" s="510" t="str">
        <f>노무비목록표!B10&amp;" / "&amp;노무비목록표!C10</f>
        <v xml:space="preserve">보통인부 / </v>
      </c>
      <c r="Y3974" s="433" t="str">
        <f ca="1">HYPERLINK("#"&amp;노무비목록표!G2&amp;"!A"&amp;ROW(노무비목록표!A10),"L00017 →")</f>
        <v>L00017 →</v>
      </c>
      <c r="Z3974" s="501" t="s">
        <v>3726</v>
      </c>
      <c r="AA3974" s="515">
        <v>1</v>
      </c>
      <c r="AB3974" s="501" t="s">
        <v>3428</v>
      </c>
      <c r="AC3974" s="515">
        <v>130</v>
      </c>
      <c r="AD3974" s="501" t="s">
        <v>3464</v>
      </c>
      <c r="AE3974" s="501" t="s">
        <v>3418</v>
      </c>
      <c r="AF3974" s="512">
        <f>1*(AA3974/AC3974)</f>
        <v>7.6923076923076927E-3</v>
      </c>
      <c r="AG3974" s="500"/>
      <c r="AH3974" s="500"/>
      <c r="AI3974" s="500"/>
      <c r="AJ3974" s="500"/>
      <c r="AK3974" s="500"/>
      <c r="AL3974" s="500"/>
      <c r="AM3974" s="500"/>
      <c r="AN3974" s="500"/>
      <c r="AO3974" s="500"/>
      <c r="AP3974" s="500"/>
    </row>
    <row r="3975" spans="1:42" ht="16.5" customHeight="1">
      <c r="A3975" s="439"/>
      <c r="B3975" s="439"/>
      <c r="C3975" s="439"/>
      <c r="D3975" s="439"/>
      <c r="E3975" s="439"/>
      <c r="F3975" s="439"/>
      <c r="G3975" s="451" t="s">
        <v>3406</v>
      </c>
      <c r="Z3975" s="500"/>
      <c r="AA3975" s="500"/>
      <c r="AB3975" s="500"/>
      <c r="AC3975" s="500"/>
      <c r="AD3975" s="500"/>
      <c r="AE3975" s="500"/>
      <c r="AF3975" s="500"/>
      <c r="AG3975" s="500"/>
      <c r="AH3975" s="500"/>
      <c r="AI3975" s="500"/>
      <c r="AJ3975" s="500"/>
      <c r="AK3975" s="500"/>
      <c r="AL3975" s="500"/>
      <c r="AM3975" s="500"/>
      <c r="AN3975" s="500"/>
      <c r="AO3975" s="500"/>
      <c r="AP3975" s="500"/>
    </row>
    <row r="3976" spans="1:42" ht="16.5" customHeight="1">
      <c r="A3976" s="439"/>
      <c r="B3976" s="439"/>
      <c r="C3976" s="439"/>
      <c r="D3976" s="439"/>
      <c r="E3976" s="439"/>
      <c r="F3976" s="439"/>
      <c r="G3976" s="451" t="s">
        <v>3406</v>
      </c>
      <c r="Z3976" s="500"/>
      <c r="AA3976" s="500"/>
      <c r="AB3976" s="500"/>
      <c r="AC3976" s="500"/>
      <c r="AD3976" s="500"/>
      <c r="AE3976" s="500"/>
      <c r="AF3976" s="500"/>
      <c r="AG3976" s="500"/>
      <c r="AH3976" s="500"/>
      <c r="AI3976" s="500"/>
      <c r="AJ3976" s="500"/>
      <c r="AK3976" s="500"/>
      <c r="AL3976" s="500"/>
      <c r="AM3976" s="500"/>
      <c r="AN3976" s="500"/>
      <c r="AO3976" s="500"/>
      <c r="AP3976" s="500"/>
    </row>
    <row r="3977" spans="1:42" ht="16.5" customHeight="1">
      <c r="A3977" s="434"/>
      <c r="B3977" s="437" t="s">
        <v>3419</v>
      </c>
      <c r="C3977" s="513">
        <f>E3977+D3977+F3977</f>
        <v>4942.1000000000004</v>
      </c>
      <c r="D3977" s="513">
        <f>SUMIF(N3968:N3976,M3977,D3968:D3976)</f>
        <v>4942.1000000000004</v>
      </c>
      <c r="E3977" s="513">
        <f>SUMIF(N3968:N3976,M3977,E3968:E3976)</f>
        <v>0</v>
      </c>
      <c r="F3977" s="513">
        <f>SUMIF(N3968:N3976,M3977,F3968:F3976)</f>
        <v>0</v>
      </c>
      <c r="G3977" s="451" t="s">
        <v>3420</v>
      </c>
      <c r="M3977" s="501" t="s">
        <v>3416</v>
      </c>
      <c r="N3977" s="501" t="s">
        <v>3421</v>
      </c>
      <c r="Z3977" s="500"/>
      <c r="AA3977" s="500"/>
      <c r="AB3977" s="500"/>
      <c r="AC3977" s="500"/>
      <c r="AD3977" s="500"/>
      <c r="AE3977" s="500"/>
      <c r="AF3977" s="500"/>
      <c r="AG3977" s="500"/>
      <c r="AH3977" s="500"/>
      <c r="AI3977" s="500"/>
      <c r="AJ3977" s="500"/>
      <c r="AK3977" s="500"/>
      <c r="AL3977" s="500"/>
      <c r="AM3977" s="500"/>
      <c r="AN3977" s="500"/>
      <c r="AO3977" s="500"/>
      <c r="AP3977" s="500"/>
    </row>
    <row r="3978" spans="1:42" ht="16.5" customHeight="1">
      <c r="A3978" s="439"/>
      <c r="B3978" s="439"/>
      <c r="C3978" s="504"/>
      <c r="D3978" s="504"/>
      <c r="E3978" s="504"/>
      <c r="F3978" s="504"/>
      <c r="G3978" s="451" t="s">
        <v>3406</v>
      </c>
      <c r="Z3978" s="500"/>
      <c r="AA3978" s="500"/>
      <c r="AB3978" s="500"/>
      <c r="AC3978" s="500"/>
      <c r="AD3978" s="500"/>
      <c r="AE3978" s="500"/>
      <c r="AF3978" s="500"/>
      <c r="AG3978" s="500"/>
      <c r="AH3978" s="500"/>
      <c r="AI3978" s="500"/>
      <c r="AJ3978" s="500"/>
      <c r="AK3978" s="500"/>
      <c r="AL3978" s="500"/>
      <c r="AM3978" s="500"/>
      <c r="AN3978" s="500"/>
      <c r="AO3978" s="500"/>
      <c r="AP3978" s="500"/>
    </row>
    <row r="3979" spans="1:42" ht="16.5" customHeight="1">
      <c r="A3979" s="439"/>
      <c r="B3979" s="439"/>
      <c r="C3979" s="439"/>
      <c r="D3979" s="439"/>
      <c r="E3979" s="439"/>
      <c r="F3979" s="439"/>
      <c r="G3979" s="451" t="s">
        <v>3406</v>
      </c>
      <c r="Z3979" s="500"/>
      <c r="AA3979" s="500"/>
      <c r="AB3979" s="500"/>
      <c r="AC3979" s="500"/>
      <c r="AD3979" s="500"/>
      <c r="AE3979" s="500"/>
      <c r="AF3979" s="500"/>
      <c r="AG3979" s="500"/>
      <c r="AH3979" s="500"/>
      <c r="AI3979" s="500"/>
      <c r="AJ3979" s="500"/>
      <c r="AK3979" s="500"/>
      <c r="AL3979" s="500"/>
      <c r="AM3979" s="500"/>
      <c r="AN3979" s="500"/>
      <c r="AO3979" s="500"/>
      <c r="AP3979" s="500"/>
    </row>
    <row r="3980" spans="1:42" ht="16.5" customHeight="1">
      <c r="A3980" s="434"/>
      <c r="B3980" s="437" t="s">
        <v>3440</v>
      </c>
      <c r="C3980" s="513">
        <f>E3980+D3980+F3980</f>
        <v>4942.1000000000004</v>
      </c>
      <c r="D3980" s="513">
        <f>SUMIF(N3957:N3979,M3980,D3957:D3979)</f>
        <v>4942.1000000000004</v>
      </c>
      <c r="E3980" s="513">
        <f>SUMIF(N3957:N3979,M3980,E3957:E3979)</f>
        <v>0</v>
      </c>
      <c r="F3980" s="513">
        <f>SUMIF(N3957:N3979,M3980,F3957:F3979)</f>
        <v>0</v>
      </c>
      <c r="G3980" s="451" t="s">
        <v>3484</v>
      </c>
      <c r="M3980" s="501" t="s">
        <v>3421</v>
      </c>
      <c r="N3980" s="501" t="s">
        <v>2354</v>
      </c>
      <c r="Z3980" s="500"/>
      <c r="AA3980" s="500"/>
      <c r="AB3980" s="500"/>
      <c r="AC3980" s="500"/>
      <c r="AD3980" s="500"/>
      <c r="AE3980" s="500"/>
      <c r="AF3980" s="500"/>
      <c r="AG3980" s="500"/>
      <c r="AH3980" s="500"/>
      <c r="AI3980" s="500"/>
      <c r="AJ3980" s="500"/>
      <c r="AK3980" s="500"/>
      <c r="AL3980" s="500"/>
      <c r="AM3980" s="500"/>
      <c r="AN3980" s="500"/>
      <c r="AO3980" s="500"/>
      <c r="AP3980" s="500"/>
    </row>
    <row r="3981" spans="1:42" ht="16.5" customHeight="1">
      <c r="A3981" s="439"/>
      <c r="B3981" s="439"/>
      <c r="C3981" s="504"/>
      <c r="D3981" s="504"/>
      <c r="E3981" s="504"/>
      <c r="F3981" s="504"/>
      <c r="Z3981" s="500"/>
      <c r="AA3981" s="500"/>
      <c r="AB3981" s="500"/>
      <c r="AC3981" s="500"/>
      <c r="AD3981" s="500"/>
      <c r="AE3981" s="500"/>
      <c r="AF3981" s="500"/>
      <c r="AG3981" s="500"/>
      <c r="AH3981" s="500"/>
      <c r="AI3981" s="500"/>
      <c r="AJ3981" s="500"/>
      <c r="AK3981" s="500"/>
      <c r="AL3981" s="500"/>
      <c r="AM3981" s="500"/>
      <c r="AN3981" s="500"/>
      <c r="AO3981" s="500"/>
      <c r="AP3981" s="500"/>
    </row>
    <row r="3982" spans="1:42" ht="16.5" customHeight="1">
      <c r="A3982" s="439"/>
      <c r="B3982" s="439"/>
      <c r="C3982" s="439"/>
      <c r="D3982" s="439"/>
      <c r="E3982" s="439"/>
      <c r="F3982" s="439"/>
      <c r="Z3982" s="500"/>
      <c r="AA3982" s="500"/>
      <c r="AB3982" s="500"/>
      <c r="AC3982" s="500"/>
      <c r="AD3982" s="500"/>
      <c r="AE3982" s="500"/>
      <c r="AF3982" s="500"/>
      <c r="AG3982" s="500"/>
      <c r="AH3982" s="500"/>
      <c r="AI3982" s="500"/>
      <c r="AJ3982" s="500"/>
      <c r="AK3982" s="500"/>
      <c r="AL3982" s="500"/>
      <c r="AM3982" s="500"/>
      <c r="AN3982" s="500"/>
      <c r="AO3982" s="500"/>
      <c r="AP3982" s="500"/>
    </row>
    <row r="3983" spans="1:42" ht="16.5" customHeight="1">
      <c r="A3983" s="439"/>
      <c r="B3983" s="439"/>
      <c r="C3983" s="439"/>
      <c r="D3983" s="439"/>
      <c r="E3983" s="439"/>
      <c r="F3983" s="439"/>
      <c r="Z3983" s="500"/>
      <c r="AA3983" s="500"/>
      <c r="AB3983" s="500"/>
      <c r="AC3983" s="500"/>
      <c r="AD3983" s="500"/>
      <c r="AE3983" s="500"/>
      <c r="AF3983" s="500"/>
      <c r="AG3983" s="500"/>
      <c r="AH3983" s="500"/>
      <c r="AI3983" s="500"/>
      <c r="AJ3983" s="500"/>
      <c r="AK3983" s="500"/>
      <c r="AL3983" s="500"/>
      <c r="AM3983" s="500"/>
      <c r="AN3983" s="500"/>
      <c r="AO3983" s="500"/>
      <c r="AP3983" s="500"/>
    </row>
    <row r="3984" spans="1:42" ht="16.5" customHeight="1">
      <c r="A3984" s="439"/>
      <c r="B3984" s="439"/>
      <c r="C3984" s="439"/>
      <c r="D3984" s="439"/>
      <c r="E3984" s="439"/>
      <c r="F3984" s="439"/>
      <c r="Z3984" s="500"/>
      <c r="AA3984" s="500"/>
      <c r="AB3984" s="500"/>
      <c r="AC3984" s="500"/>
      <c r="AD3984" s="500"/>
      <c r="AE3984" s="500"/>
      <c r="AF3984" s="500"/>
      <c r="AG3984" s="500"/>
      <c r="AH3984" s="500"/>
      <c r="AI3984" s="500"/>
      <c r="AJ3984" s="500"/>
      <c r="AK3984" s="500"/>
      <c r="AL3984" s="500"/>
      <c r="AM3984" s="500"/>
      <c r="AN3984" s="500"/>
      <c r="AO3984" s="500"/>
      <c r="AP3984" s="500"/>
    </row>
    <row r="3985" spans="1:42" ht="16.5" customHeight="1">
      <c r="A3985" s="439"/>
      <c r="B3985" s="439"/>
      <c r="C3985" s="439"/>
      <c r="D3985" s="439"/>
      <c r="E3985" s="439"/>
      <c r="F3985" s="439"/>
      <c r="Z3985" s="500"/>
      <c r="AA3985" s="500"/>
      <c r="AB3985" s="500"/>
      <c r="AC3985" s="500"/>
      <c r="AD3985" s="500"/>
      <c r="AE3985" s="500"/>
      <c r="AF3985" s="500"/>
      <c r="AG3985" s="500"/>
      <c r="AH3985" s="500"/>
      <c r="AI3985" s="500"/>
      <c r="AJ3985" s="500"/>
      <c r="AK3985" s="500"/>
      <c r="AL3985" s="500"/>
      <c r="AM3985" s="500"/>
      <c r="AN3985" s="500"/>
      <c r="AO3985" s="500"/>
      <c r="AP3985" s="500"/>
    </row>
    <row r="3986" spans="1:42" ht="16.5" customHeight="1">
      <c r="A3986" s="439"/>
      <c r="B3986" s="439"/>
      <c r="C3986" s="439"/>
      <c r="D3986" s="439"/>
      <c r="E3986" s="439"/>
      <c r="F3986" s="439"/>
      <c r="Z3986" s="500"/>
      <c r="AA3986" s="500"/>
      <c r="AB3986" s="500"/>
      <c r="AC3986" s="500"/>
      <c r="AD3986" s="500"/>
      <c r="AE3986" s="500"/>
      <c r="AF3986" s="500"/>
      <c r="AG3986" s="500"/>
      <c r="AH3986" s="500"/>
      <c r="AI3986" s="500"/>
      <c r="AJ3986" s="500"/>
      <c r="AK3986" s="500"/>
      <c r="AL3986" s="500"/>
      <c r="AM3986" s="500"/>
      <c r="AN3986" s="500"/>
      <c r="AO3986" s="500"/>
      <c r="AP3986" s="500"/>
    </row>
    <row r="3987" spans="1:42" ht="16.5" customHeight="1">
      <c r="A3987" s="439"/>
      <c r="B3987" s="439"/>
      <c r="C3987" s="439"/>
      <c r="D3987" s="439"/>
      <c r="E3987" s="439"/>
      <c r="F3987" s="439"/>
      <c r="Z3987" s="500"/>
      <c r="AA3987" s="500"/>
      <c r="AB3987" s="500"/>
      <c r="AC3987" s="500"/>
      <c r="AD3987" s="500"/>
      <c r="AE3987" s="500"/>
      <c r="AF3987" s="500"/>
      <c r="AG3987" s="500"/>
      <c r="AH3987" s="500"/>
      <c r="AI3987" s="500"/>
      <c r="AJ3987" s="500"/>
      <c r="AK3987" s="500"/>
      <c r="AL3987" s="500"/>
      <c r="AM3987" s="500"/>
      <c r="AN3987" s="500"/>
      <c r="AO3987" s="500"/>
      <c r="AP3987" s="500"/>
    </row>
    <row r="3988" spans="1:42" ht="16.5" customHeight="1">
      <c r="A3988" s="439"/>
      <c r="B3988" s="439"/>
      <c r="C3988" s="439"/>
      <c r="D3988" s="439"/>
      <c r="E3988" s="439"/>
      <c r="F3988" s="439"/>
      <c r="Z3988" s="500"/>
      <c r="AA3988" s="500"/>
      <c r="AB3988" s="500"/>
      <c r="AC3988" s="500"/>
      <c r="AD3988" s="500"/>
      <c r="AE3988" s="500"/>
      <c r="AF3988" s="500"/>
      <c r="AG3988" s="500"/>
      <c r="AH3988" s="500"/>
      <c r="AI3988" s="500"/>
      <c r="AJ3988" s="500"/>
      <c r="AK3988" s="500"/>
      <c r="AL3988" s="500"/>
      <c r="AM3988" s="500"/>
      <c r="AN3988" s="500"/>
      <c r="AO3988" s="500"/>
      <c r="AP3988" s="500"/>
    </row>
    <row r="3989" spans="1:42" ht="16.5" customHeight="1">
      <c r="A3989" s="439"/>
      <c r="B3989" s="439"/>
      <c r="C3989" s="439"/>
      <c r="D3989" s="439"/>
      <c r="E3989" s="439"/>
      <c r="F3989" s="439"/>
      <c r="Z3989" s="500"/>
      <c r="AA3989" s="500"/>
      <c r="AB3989" s="500"/>
      <c r="AC3989" s="500"/>
      <c r="AD3989" s="500"/>
      <c r="AE3989" s="500"/>
      <c r="AF3989" s="500"/>
      <c r="AG3989" s="500"/>
      <c r="AH3989" s="500"/>
      <c r="AI3989" s="500"/>
      <c r="AJ3989" s="500"/>
      <c r="AK3989" s="500"/>
      <c r="AL3989" s="500"/>
      <c r="AM3989" s="500"/>
      <c r="AN3989" s="500"/>
      <c r="AO3989" s="500"/>
      <c r="AP3989" s="500"/>
    </row>
    <row r="3990" spans="1:42" ht="16.5" customHeight="1">
      <c r="A3990" s="439"/>
      <c r="B3990" s="439"/>
      <c r="C3990" s="439"/>
      <c r="D3990" s="439"/>
      <c r="E3990" s="439"/>
      <c r="F3990" s="439"/>
      <c r="Z3990" s="500"/>
      <c r="AA3990" s="500"/>
      <c r="AB3990" s="500"/>
      <c r="AC3990" s="500"/>
      <c r="AD3990" s="500"/>
      <c r="AE3990" s="500"/>
      <c r="AF3990" s="500"/>
      <c r="AG3990" s="500"/>
      <c r="AH3990" s="500"/>
      <c r="AI3990" s="500"/>
      <c r="AJ3990" s="500"/>
      <c r="AK3990" s="500"/>
      <c r="AL3990" s="500"/>
      <c r="AM3990" s="500"/>
      <c r="AN3990" s="500"/>
      <c r="AO3990" s="500"/>
      <c r="AP3990" s="500"/>
    </row>
    <row r="3991" spans="1:42" ht="16.5" customHeight="1">
      <c r="A3991" s="439"/>
      <c r="B3991" s="439"/>
      <c r="C3991" s="439"/>
      <c r="D3991" s="439"/>
      <c r="E3991" s="439"/>
      <c r="F3991" s="439"/>
      <c r="Z3991" s="500"/>
      <c r="AA3991" s="500"/>
      <c r="AB3991" s="500"/>
      <c r="AC3991" s="500"/>
      <c r="AD3991" s="500"/>
      <c r="AE3991" s="500"/>
      <c r="AF3991" s="500"/>
      <c r="AG3991" s="500"/>
      <c r="AH3991" s="500"/>
      <c r="AI3991" s="500"/>
      <c r="AJ3991" s="500"/>
      <c r="AK3991" s="500"/>
      <c r="AL3991" s="500"/>
      <c r="AM3991" s="500"/>
      <c r="AN3991" s="500"/>
      <c r="AO3991" s="500"/>
      <c r="AP3991" s="500"/>
    </row>
    <row r="3992" spans="1:42" ht="16.5" customHeight="1">
      <c r="A3992" s="439"/>
      <c r="B3992" s="439"/>
      <c r="C3992" s="439"/>
      <c r="D3992" s="439"/>
      <c r="E3992" s="439"/>
      <c r="F3992" s="439"/>
      <c r="Z3992" s="500"/>
      <c r="AA3992" s="500"/>
      <c r="AB3992" s="500"/>
      <c r="AC3992" s="500"/>
      <c r="AD3992" s="500"/>
      <c r="AE3992" s="500"/>
      <c r="AF3992" s="500"/>
      <c r="AG3992" s="500"/>
      <c r="AH3992" s="500"/>
      <c r="AI3992" s="500"/>
      <c r="AJ3992" s="500"/>
      <c r="AK3992" s="500"/>
      <c r="AL3992" s="500"/>
      <c r="AM3992" s="500"/>
      <c r="AN3992" s="500"/>
      <c r="AO3992" s="500"/>
      <c r="AP3992" s="500"/>
    </row>
    <row r="3993" spans="1:42" ht="16.5" customHeight="1">
      <c r="A3993" s="439"/>
      <c r="B3993" s="439"/>
      <c r="C3993" s="439"/>
      <c r="D3993" s="439"/>
      <c r="E3993" s="439"/>
      <c r="F3993" s="439"/>
      <c r="Z3993" s="500"/>
      <c r="AA3993" s="500"/>
      <c r="AB3993" s="500"/>
      <c r="AC3993" s="500"/>
      <c r="AD3993" s="500"/>
      <c r="AE3993" s="500"/>
      <c r="AF3993" s="500"/>
      <c r="AG3993" s="500"/>
      <c r="AH3993" s="500"/>
      <c r="AI3993" s="500"/>
      <c r="AJ3993" s="500"/>
      <c r="AK3993" s="500"/>
      <c r="AL3993" s="500"/>
      <c r="AM3993" s="500"/>
      <c r="AN3993" s="500"/>
      <c r="AO3993" s="500"/>
      <c r="AP3993" s="500"/>
    </row>
    <row r="3994" spans="1:42" ht="16.5" customHeight="1">
      <c r="A3994" s="439"/>
      <c r="B3994" s="439"/>
      <c r="C3994" s="439"/>
      <c r="D3994" s="439"/>
      <c r="E3994" s="439"/>
      <c r="F3994" s="439"/>
      <c r="Z3994" s="500"/>
      <c r="AA3994" s="500"/>
      <c r="AB3994" s="500"/>
      <c r="AC3994" s="500"/>
      <c r="AD3994" s="500"/>
      <c r="AE3994" s="500"/>
      <c r="AF3994" s="500"/>
      <c r="AG3994" s="500"/>
      <c r="AH3994" s="500"/>
      <c r="AI3994" s="500"/>
      <c r="AJ3994" s="500"/>
      <c r="AK3994" s="500"/>
      <c r="AL3994" s="500"/>
      <c r="AM3994" s="500"/>
      <c r="AN3994" s="500"/>
      <c r="AO3994" s="500"/>
      <c r="AP3994" s="500"/>
    </row>
    <row r="3995" spans="1:42" ht="16.5" customHeight="1">
      <c r="A3995" s="439"/>
      <c r="B3995" s="439"/>
      <c r="C3995" s="439"/>
      <c r="D3995" s="439"/>
      <c r="E3995" s="439"/>
      <c r="F3995" s="439"/>
      <c r="Z3995" s="500"/>
      <c r="AA3995" s="500"/>
      <c r="AB3995" s="500"/>
      <c r="AC3995" s="500"/>
      <c r="AD3995" s="500"/>
      <c r="AE3995" s="500"/>
      <c r="AF3995" s="500"/>
      <c r="AG3995" s="500"/>
      <c r="AH3995" s="500"/>
      <c r="AI3995" s="500"/>
      <c r="AJ3995" s="500"/>
      <c r="AK3995" s="500"/>
      <c r="AL3995" s="500"/>
      <c r="AM3995" s="500"/>
      <c r="AN3995" s="500"/>
      <c r="AO3995" s="500"/>
      <c r="AP3995" s="500"/>
    </row>
    <row r="3996" spans="1:42" ht="16.5" customHeight="1">
      <c r="A3996" s="439"/>
      <c r="B3996" s="439"/>
      <c r="C3996" s="439"/>
      <c r="D3996" s="439"/>
      <c r="E3996" s="439"/>
      <c r="F3996" s="439"/>
      <c r="Z3996" s="500"/>
      <c r="AA3996" s="500"/>
      <c r="AB3996" s="500"/>
      <c r="AC3996" s="500"/>
      <c r="AD3996" s="500"/>
      <c r="AE3996" s="500"/>
      <c r="AF3996" s="500"/>
      <c r="AG3996" s="500"/>
      <c r="AH3996" s="500"/>
      <c r="AI3996" s="500"/>
      <c r="AJ3996" s="500"/>
      <c r="AK3996" s="500"/>
      <c r="AL3996" s="500"/>
      <c r="AM3996" s="500"/>
      <c r="AN3996" s="500"/>
      <c r="AO3996" s="500"/>
      <c r="AP3996" s="500"/>
    </row>
    <row r="3997" spans="1:42" ht="16.5" customHeight="1">
      <c r="A3997" s="439"/>
      <c r="B3997" s="439"/>
      <c r="C3997" s="439"/>
      <c r="D3997" s="439"/>
      <c r="E3997" s="439"/>
      <c r="F3997" s="439"/>
      <c r="Z3997" s="500"/>
      <c r="AA3997" s="500"/>
      <c r="AB3997" s="500"/>
      <c r="AC3997" s="500"/>
      <c r="AD3997" s="500"/>
      <c r="AE3997" s="500"/>
      <c r="AF3997" s="500"/>
      <c r="AG3997" s="500"/>
      <c r="AH3997" s="500"/>
      <c r="AI3997" s="500"/>
      <c r="AJ3997" s="500"/>
      <c r="AK3997" s="500"/>
      <c r="AL3997" s="500"/>
      <c r="AM3997" s="500"/>
      <c r="AN3997" s="500"/>
      <c r="AO3997" s="500"/>
      <c r="AP3997" s="500"/>
    </row>
    <row r="3998" spans="1:42" ht="16.5" customHeight="1">
      <c r="A3998" s="439"/>
      <c r="B3998" s="439"/>
      <c r="C3998" s="439"/>
      <c r="D3998" s="439"/>
      <c r="E3998" s="439"/>
      <c r="F3998" s="439"/>
      <c r="Z3998" s="500"/>
      <c r="AA3998" s="500"/>
      <c r="AB3998" s="500"/>
      <c r="AC3998" s="500"/>
      <c r="AD3998" s="500"/>
      <c r="AE3998" s="500"/>
      <c r="AF3998" s="500"/>
      <c r="AG3998" s="500"/>
      <c r="AH3998" s="500"/>
      <c r="AI3998" s="500"/>
      <c r="AJ3998" s="500"/>
      <c r="AK3998" s="500"/>
      <c r="AL3998" s="500"/>
      <c r="AM3998" s="500"/>
      <c r="AN3998" s="500"/>
      <c r="AO3998" s="500"/>
      <c r="AP3998" s="500"/>
    </row>
    <row r="3999" spans="1:42" ht="16.5" customHeight="1">
      <c r="A3999" s="439"/>
      <c r="B3999" s="439"/>
      <c r="C3999" s="439"/>
      <c r="D3999" s="439"/>
      <c r="E3999" s="439"/>
      <c r="F3999" s="439"/>
      <c r="Z3999" s="500"/>
      <c r="AA3999" s="500"/>
      <c r="AB3999" s="500"/>
      <c r="AC3999" s="500"/>
      <c r="AD3999" s="500"/>
      <c r="AE3999" s="500"/>
      <c r="AF3999" s="500"/>
      <c r="AG3999" s="500"/>
      <c r="AH3999" s="500"/>
      <c r="AI3999" s="500"/>
      <c r="AJ3999" s="500"/>
      <c r="AK3999" s="500"/>
      <c r="AL3999" s="500"/>
      <c r="AM3999" s="500"/>
      <c r="AN3999" s="500"/>
      <c r="AO3999" s="500"/>
      <c r="AP3999" s="500"/>
    </row>
    <row r="4000" spans="1:42" ht="16.5" customHeight="1">
      <c r="A4000" s="439"/>
      <c r="B4000" s="439"/>
      <c r="C4000" s="439"/>
      <c r="D4000" s="439"/>
      <c r="E4000" s="439"/>
      <c r="F4000" s="439"/>
      <c r="Z4000" s="500"/>
      <c r="AA4000" s="500"/>
      <c r="AB4000" s="500"/>
      <c r="AC4000" s="500"/>
      <c r="AD4000" s="500"/>
      <c r="AE4000" s="500"/>
      <c r="AF4000" s="500"/>
      <c r="AG4000" s="500"/>
      <c r="AH4000" s="500"/>
      <c r="AI4000" s="500"/>
      <c r="AJ4000" s="500"/>
      <c r="AK4000" s="500"/>
      <c r="AL4000" s="500"/>
      <c r="AM4000" s="500"/>
      <c r="AN4000" s="500"/>
      <c r="AO4000" s="500"/>
      <c r="AP4000" s="500"/>
    </row>
    <row r="4001" spans="1:42" ht="16.5" customHeight="1">
      <c r="A4001" s="439"/>
      <c r="B4001" s="439"/>
      <c r="C4001" s="439"/>
      <c r="D4001" s="439"/>
      <c r="E4001" s="439"/>
      <c r="F4001" s="439"/>
      <c r="Z4001" s="500"/>
      <c r="AA4001" s="500"/>
      <c r="AB4001" s="500"/>
      <c r="AC4001" s="500"/>
      <c r="AD4001" s="500"/>
      <c r="AE4001" s="500"/>
      <c r="AF4001" s="500"/>
      <c r="AG4001" s="500"/>
      <c r="AH4001" s="500"/>
      <c r="AI4001" s="500"/>
      <c r="AJ4001" s="500"/>
      <c r="AK4001" s="500"/>
      <c r="AL4001" s="500"/>
      <c r="AM4001" s="500"/>
      <c r="AN4001" s="500"/>
      <c r="AO4001" s="500"/>
      <c r="AP4001" s="500"/>
    </row>
    <row r="4002" spans="1:42" ht="16.5" customHeight="1">
      <c r="A4002" s="439"/>
      <c r="B4002" s="439"/>
      <c r="C4002" s="439"/>
      <c r="D4002" s="439"/>
      <c r="E4002" s="439"/>
      <c r="F4002" s="439"/>
      <c r="Z4002" s="500"/>
      <c r="AA4002" s="500"/>
      <c r="AB4002" s="500"/>
      <c r="AC4002" s="500"/>
      <c r="AD4002" s="500"/>
      <c r="AE4002" s="500"/>
      <c r="AF4002" s="500"/>
      <c r="AG4002" s="500"/>
      <c r="AH4002" s="500"/>
      <c r="AI4002" s="500"/>
      <c r="AJ4002" s="500"/>
      <c r="AK4002" s="500"/>
      <c r="AL4002" s="500"/>
      <c r="AM4002" s="500"/>
      <c r="AN4002" s="500"/>
      <c r="AO4002" s="500"/>
      <c r="AP4002" s="500"/>
    </row>
    <row r="4003" spans="1:42" ht="16.5" customHeight="1">
      <c r="A4003" s="497"/>
      <c r="B4003" s="497"/>
      <c r="C4003" s="497"/>
      <c r="D4003" s="497"/>
      <c r="E4003" s="497"/>
      <c r="F4003" s="497"/>
      <c r="Z4003" s="500"/>
      <c r="AA4003" s="500"/>
      <c r="AB4003" s="500"/>
      <c r="AC4003" s="500"/>
      <c r="AD4003" s="500"/>
      <c r="AE4003" s="500"/>
      <c r="AF4003" s="500"/>
      <c r="AG4003" s="500"/>
      <c r="AH4003" s="500"/>
      <c r="AI4003" s="500"/>
      <c r="AJ4003" s="500"/>
      <c r="AK4003" s="500"/>
      <c r="AL4003" s="500"/>
      <c r="AM4003" s="500"/>
      <c r="AN4003" s="500"/>
      <c r="AO4003" s="500"/>
      <c r="AP4003" s="500"/>
    </row>
    <row r="4004" spans="1:42" ht="16.5" customHeight="1">
      <c r="A4004" s="616" t="s">
        <v>3487</v>
      </c>
      <c r="B4004" s="605"/>
      <c r="C4004" s="446">
        <f>E4004+D4004+F4004</f>
        <v>4942</v>
      </c>
      <c r="D4004" s="453">
        <f>ROUNDDOWN(SUMIF(N3957:N3980,M4004,D3957:D3980),0)</f>
        <v>4942</v>
      </c>
      <c r="E4004" s="454">
        <f>ROUNDDOWN(SUMIF(N3957:N3980,M4004,E3957:E3980),0)</f>
        <v>0</v>
      </c>
      <c r="F4004" s="446">
        <f>ROUNDDOWN(SUMIF(N3957:N3980,M4004,F3957:F3980),0)</f>
        <v>0</v>
      </c>
      <c r="M4004" s="501" t="s">
        <v>2354</v>
      </c>
      <c r="Z4004" s="500"/>
      <c r="AA4004" s="500"/>
      <c r="AB4004" s="500"/>
      <c r="AC4004" s="500"/>
      <c r="AD4004" s="500"/>
      <c r="AE4004" s="500"/>
      <c r="AF4004" s="500"/>
      <c r="AG4004" s="500"/>
      <c r="AH4004" s="500"/>
      <c r="AI4004" s="500"/>
      <c r="AJ4004" s="500"/>
      <c r="AK4004" s="500"/>
      <c r="AL4004" s="500"/>
      <c r="AM4004" s="500"/>
      <c r="AN4004" s="500"/>
      <c r="AO4004" s="500"/>
      <c r="AP4004" s="500"/>
    </row>
    <row r="4005" spans="1:42" ht="16.5" customHeight="1">
      <c r="A4005" s="502"/>
      <c r="B4005" s="503" t="s">
        <v>1928</v>
      </c>
      <c r="C4005" s="615">
        <f>C4054</f>
        <v>514</v>
      </c>
      <c r="D4005" s="615">
        <f>D4054</f>
        <v>485</v>
      </c>
      <c r="E4005" s="615">
        <f>E4054</f>
        <v>0</v>
      </c>
      <c r="F4005" s="615">
        <f>F4054</f>
        <v>29</v>
      </c>
      <c r="G4005" s="486" t="str">
        <f>HYPERLINK("#G"&amp;ROW(G4031),"_x0005_`BDCOD|D01238_x0007_`POSS|"&amp;ROW(G4007)&amp;"_x0007_`POSE|"&amp;ROW(G4031)&amp;"_x0007_`")</f>
        <v>_x0005_`BDCOD|D01238_x0007_`POSS|4007_x0007_`POSE|4031_x0007_`</v>
      </c>
      <c r="Z4005" s="500"/>
      <c r="AA4005" s="500"/>
      <c r="AB4005" s="500"/>
      <c r="AC4005" s="500"/>
      <c r="AD4005" s="500"/>
      <c r="AE4005" s="500"/>
      <c r="AF4005" s="500"/>
      <c r="AG4005" s="500"/>
      <c r="AH4005" s="500"/>
      <c r="AI4005" s="500"/>
      <c r="AJ4005" s="500"/>
      <c r="AK4005" s="500"/>
      <c r="AL4005" s="500"/>
      <c r="AM4005" s="500"/>
      <c r="AN4005" s="500"/>
      <c r="AO4005" s="500"/>
      <c r="AP4005" s="500"/>
    </row>
    <row r="4006" spans="1:42" ht="16.5" customHeight="1">
      <c r="A4006" s="485"/>
      <c r="B4006" s="503" t="s">
        <v>3885</v>
      </c>
      <c r="C4006" s="593"/>
      <c r="D4006" s="593"/>
      <c r="E4006" s="593"/>
      <c r="F4006" s="593"/>
      <c r="M4006" s="501" t="s">
        <v>1928</v>
      </c>
      <c r="Z4006" s="500"/>
      <c r="AA4006" s="500"/>
      <c r="AB4006" s="500"/>
      <c r="AC4006" s="500"/>
      <c r="AD4006" s="500"/>
      <c r="AE4006" s="500"/>
      <c r="AF4006" s="500"/>
      <c r="AG4006" s="500"/>
      <c r="AH4006" s="500"/>
      <c r="AI4006" s="500"/>
      <c r="AJ4006" s="500"/>
      <c r="AK4006" s="500"/>
      <c r="AL4006" s="500"/>
      <c r="AM4006" s="500"/>
      <c r="AN4006" s="500"/>
      <c r="AO4006" s="500"/>
      <c r="AP4006" s="500"/>
    </row>
    <row r="4007" spans="1:42" ht="16.5" customHeight="1">
      <c r="A4007" s="439"/>
      <c r="B4007" s="439"/>
      <c r="C4007" s="504"/>
      <c r="D4007" s="504"/>
      <c r="E4007" s="504"/>
      <c r="F4007" s="504"/>
      <c r="G4007" s="451" t="s">
        <v>3406</v>
      </c>
      <c r="Z4007" s="500"/>
      <c r="AA4007" s="500"/>
      <c r="AB4007" s="500"/>
      <c r="AC4007" s="500"/>
      <c r="AD4007" s="500"/>
      <c r="AE4007" s="500"/>
      <c r="AF4007" s="500"/>
      <c r="AG4007" s="500"/>
      <c r="AH4007" s="500"/>
      <c r="AI4007" s="500"/>
      <c r="AJ4007" s="500"/>
      <c r="AK4007" s="500"/>
      <c r="AL4007" s="500"/>
      <c r="AM4007" s="500"/>
      <c r="AN4007" s="500"/>
      <c r="AO4007" s="500"/>
      <c r="AP4007" s="500"/>
    </row>
    <row r="4008" spans="1:42" ht="16.5" customHeight="1">
      <c r="A4008" s="434"/>
      <c r="B4008" s="437" t="s">
        <v>3886</v>
      </c>
      <c r="C4008" s="439"/>
      <c r="D4008" s="439"/>
      <c r="E4008" s="439"/>
      <c r="F4008" s="439"/>
      <c r="G4008" s="451" t="s">
        <v>3887</v>
      </c>
      <c r="Z4008" s="500"/>
      <c r="AA4008" s="500"/>
      <c r="AB4008" s="500"/>
      <c r="AC4008" s="500"/>
      <c r="AD4008" s="500"/>
      <c r="AE4008" s="500"/>
      <c r="AF4008" s="500"/>
      <c r="AG4008" s="500"/>
      <c r="AH4008" s="500"/>
      <c r="AI4008" s="500"/>
      <c r="AJ4008" s="500"/>
      <c r="AK4008" s="500"/>
      <c r="AL4008" s="500"/>
      <c r="AM4008" s="500"/>
      <c r="AN4008" s="500"/>
      <c r="AO4008" s="500"/>
      <c r="AP4008" s="500"/>
    </row>
    <row r="4009" spans="1:42" ht="16.5" customHeight="1">
      <c r="A4009" s="439"/>
      <c r="B4009" s="439"/>
      <c r="C4009" s="439"/>
      <c r="D4009" s="439"/>
      <c r="E4009" s="439"/>
      <c r="F4009" s="439"/>
      <c r="G4009" s="451" t="s">
        <v>3406</v>
      </c>
      <c r="Z4009" s="500"/>
      <c r="AA4009" s="500"/>
      <c r="AB4009" s="500"/>
      <c r="AC4009" s="500"/>
      <c r="AD4009" s="500"/>
      <c r="AE4009" s="500"/>
      <c r="AF4009" s="500"/>
      <c r="AG4009" s="500"/>
      <c r="AH4009" s="500"/>
      <c r="AI4009" s="500"/>
      <c r="AJ4009" s="500"/>
      <c r="AK4009" s="500"/>
      <c r="AL4009" s="500"/>
      <c r="AM4009" s="500"/>
      <c r="AN4009" s="500"/>
      <c r="AO4009" s="500"/>
      <c r="AP4009" s="500"/>
    </row>
    <row r="4010" spans="1:42" ht="16.5" customHeight="1">
      <c r="A4010" s="434"/>
      <c r="B4010" s="437" t="s">
        <v>3888</v>
      </c>
      <c r="C4010" s="439"/>
      <c r="D4010" s="439"/>
      <c r="E4010" s="439"/>
      <c r="F4010" s="439"/>
      <c r="G4010" s="451" t="s">
        <v>3889</v>
      </c>
      <c r="Z4010" s="500"/>
      <c r="AA4010" s="500"/>
      <c r="AB4010" s="500"/>
      <c r="AC4010" s="500"/>
      <c r="AD4010" s="500"/>
      <c r="AE4010" s="500"/>
      <c r="AF4010" s="500"/>
      <c r="AG4010" s="500"/>
      <c r="AH4010" s="500"/>
      <c r="AI4010" s="500"/>
      <c r="AJ4010" s="500"/>
      <c r="AK4010" s="500"/>
      <c r="AL4010" s="500"/>
      <c r="AM4010" s="500"/>
      <c r="AN4010" s="500"/>
      <c r="AO4010" s="500"/>
      <c r="AP4010" s="500"/>
    </row>
    <row r="4011" spans="1:42" ht="16.5" customHeight="1">
      <c r="A4011" s="439"/>
      <c r="B4011" s="439"/>
      <c r="C4011" s="439"/>
      <c r="D4011" s="439"/>
      <c r="E4011" s="439"/>
      <c r="F4011" s="439"/>
      <c r="G4011" s="451" t="s">
        <v>3406</v>
      </c>
      <c r="Z4011" s="500"/>
      <c r="AA4011" s="500"/>
      <c r="AB4011" s="500"/>
      <c r="AC4011" s="500"/>
      <c r="AD4011" s="500"/>
      <c r="AE4011" s="500"/>
      <c r="AF4011" s="500"/>
      <c r="AG4011" s="500"/>
      <c r="AH4011" s="500"/>
      <c r="AI4011" s="500"/>
      <c r="AJ4011" s="500"/>
      <c r="AK4011" s="500"/>
      <c r="AL4011" s="500"/>
      <c r="AM4011" s="500"/>
      <c r="AN4011" s="500"/>
      <c r="AO4011" s="500"/>
      <c r="AP4011" s="500"/>
    </row>
    <row r="4012" spans="1:42" ht="16.5" customHeight="1">
      <c r="A4012" s="434"/>
      <c r="B4012" s="437" t="str">
        <f>" 일당 작업량 :  Q1 = "&amp;Z4012&amp;" * "&amp;AB4012&amp;" = "&amp;AD4012&amp;"  ㎡ "</f>
        <v xml:space="preserve"> 일당 작업량 :  Q1 = 2500 * 0.7 = 1,750.00  ㎡ </v>
      </c>
      <c r="C4012" s="439"/>
      <c r="D4012" s="439"/>
      <c r="E4012" s="439"/>
      <c r="F4012" s="439"/>
      <c r="G4012" s="451" t="s">
        <v>3890</v>
      </c>
      <c r="Z4012" s="515">
        <v>2500</v>
      </c>
      <c r="AA4012" s="501" t="s">
        <v>3368</v>
      </c>
      <c r="AB4012" s="511">
        <v>0.7</v>
      </c>
      <c r="AC4012" s="501" t="s">
        <v>3418</v>
      </c>
      <c r="AD4012" s="512" t="str">
        <f>TEXT(ROUND(Z4012*AB4012,2),"#,0.00")</f>
        <v>1,750.00</v>
      </c>
      <c r="AE4012" s="500"/>
      <c r="AF4012" s="500"/>
      <c r="AG4012" s="500"/>
      <c r="AH4012" s="500"/>
      <c r="AI4012" s="500"/>
      <c r="AJ4012" s="500"/>
      <c r="AK4012" s="500"/>
      <c r="AL4012" s="500"/>
      <c r="AM4012" s="500"/>
      <c r="AN4012" s="500"/>
      <c r="AO4012" s="500"/>
      <c r="AP4012" s="500"/>
    </row>
    <row r="4013" spans="1:42" ht="16.5" customHeight="1">
      <c r="A4013" s="439"/>
      <c r="B4013" s="439"/>
      <c r="C4013" s="439"/>
      <c r="D4013" s="439"/>
      <c r="E4013" s="439"/>
      <c r="F4013" s="439"/>
      <c r="G4013" s="451" t="s">
        <v>3406</v>
      </c>
      <c r="Z4013" s="500"/>
      <c r="AA4013" s="500"/>
      <c r="AB4013" s="500"/>
      <c r="AC4013" s="500"/>
      <c r="AD4013" s="500"/>
      <c r="AE4013" s="500"/>
      <c r="AF4013" s="500"/>
      <c r="AG4013" s="500"/>
      <c r="AH4013" s="500"/>
      <c r="AI4013" s="500"/>
      <c r="AJ4013" s="500"/>
      <c r="AK4013" s="500"/>
      <c r="AL4013" s="500"/>
      <c r="AM4013" s="500"/>
      <c r="AN4013" s="500"/>
      <c r="AO4013" s="500"/>
      <c r="AP4013" s="500"/>
    </row>
    <row r="4014" spans="1:42" ht="16.5" customHeight="1">
      <c r="A4014" s="434"/>
      <c r="B4014" s="437" t="s">
        <v>3891</v>
      </c>
      <c r="C4014" s="439"/>
      <c r="D4014" s="439"/>
      <c r="E4014" s="439"/>
      <c r="F4014" s="439"/>
      <c r="G4014" s="451" t="s">
        <v>3892</v>
      </c>
      <c r="Z4014" s="500"/>
      <c r="AA4014" s="500"/>
      <c r="AB4014" s="500"/>
      <c r="AC4014" s="500"/>
      <c r="AD4014" s="500"/>
      <c r="AE4014" s="500"/>
      <c r="AF4014" s="500"/>
      <c r="AG4014" s="500"/>
      <c r="AH4014" s="500"/>
      <c r="AI4014" s="500"/>
      <c r="AJ4014" s="500"/>
      <c r="AK4014" s="500"/>
      <c r="AL4014" s="500"/>
      <c r="AM4014" s="500"/>
      <c r="AN4014" s="500"/>
      <c r="AO4014" s="500"/>
      <c r="AP4014" s="500"/>
    </row>
    <row r="4015" spans="1:42" ht="16.5" customHeight="1">
      <c r="A4015" s="439"/>
      <c r="B4015" s="439"/>
      <c r="C4015" s="439"/>
      <c r="D4015" s="439"/>
      <c r="E4015" s="439"/>
      <c r="F4015" s="439"/>
      <c r="G4015" s="451" t="s">
        <v>3406</v>
      </c>
      <c r="Z4015" s="500"/>
      <c r="AA4015" s="500"/>
      <c r="AB4015" s="500"/>
      <c r="AC4015" s="500"/>
      <c r="AD4015" s="500"/>
      <c r="AE4015" s="500"/>
      <c r="AF4015" s="500"/>
      <c r="AG4015" s="500"/>
      <c r="AH4015" s="500"/>
      <c r="AI4015" s="500"/>
      <c r="AJ4015" s="500"/>
      <c r="AK4015" s="500"/>
      <c r="AL4015" s="500"/>
      <c r="AM4015" s="500"/>
      <c r="AN4015" s="500"/>
      <c r="AO4015" s="500"/>
      <c r="AP4015" s="500"/>
    </row>
    <row r="4016" spans="1:42" ht="16.5" customHeight="1">
      <c r="A4016" s="439"/>
      <c r="B4016" s="439"/>
      <c r="C4016" s="439"/>
      <c r="D4016" s="439"/>
      <c r="E4016" s="439"/>
      <c r="F4016" s="439"/>
      <c r="G4016" s="451" t="s">
        <v>3406</v>
      </c>
      <c r="Z4016" s="500"/>
      <c r="AA4016" s="500"/>
      <c r="AB4016" s="500"/>
      <c r="AC4016" s="500"/>
      <c r="AD4016" s="500"/>
      <c r="AE4016" s="500"/>
      <c r="AF4016" s="500"/>
      <c r="AG4016" s="500"/>
      <c r="AH4016" s="500"/>
      <c r="AI4016" s="500"/>
      <c r="AJ4016" s="500"/>
      <c r="AK4016" s="500"/>
      <c r="AL4016" s="500"/>
      <c r="AM4016" s="500"/>
      <c r="AN4016" s="500"/>
      <c r="AO4016" s="500"/>
      <c r="AP4016" s="500"/>
    </row>
    <row r="4017" spans="1:42" ht="16.5" customHeight="1">
      <c r="A4017" s="434"/>
      <c r="B4017" s="437" t="s">
        <v>3496</v>
      </c>
      <c r="C4017" s="439"/>
      <c r="D4017" s="439"/>
      <c r="E4017" s="439"/>
      <c r="F4017" s="439"/>
      <c r="G4017" s="451" t="s">
        <v>3497</v>
      </c>
      <c r="Z4017" s="500"/>
      <c r="AA4017" s="500"/>
      <c r="AB4017" s="500"/>
      <c r="AC4017" s="500"/>
      <c r="AD4017" s="500"/>
      <c r="AE4017" s="500"/>
      <c r="AF4017" s="500"/>
      <c r="AG4017" s="500"/>
      <c r="AH4017" s="500"/>
      <c r="AI4017" s="500"/>
      <c r="AJ4017" s="500"/>
      <c r="AK4017" s="500"/>
      <c r="AL4017" s="500"/>
      <c r="AM4017" s="500"/>
      <c r="AN4017" s="500"/>
      <c r="AO4017" s="500"/>
      <c r="AP4017" s="500"/>
    </row>
    <row r="4018" spans="1:42" ht="16.5" customHeight="1">
      <c r="A4018" s="439"/>
      <c r="B4018" s="439"/>
      <c r="C4018" s="439"/>
      <c r="D4018" s="439"/>
      <c r="E4018" s="439"/>
      <c r="F4018" s="439"/>
      <c r="G4018" s="451" t="s">
        <v>3406</v>
      </c>
      <c r="Z4018" s="500"/>
      <c r="AA4018" s="500"/>
      <c r="AB4018" s="500"/>
      <c r="AC4018" s="500"/>
      <c r="AD4018" s="500"/>
      <c r="AE4018" s="500"/>
      <c r="AF4018" s="500"/>
      <c r="AG4018" s="500"/>
      <c r="AH4018" s="500"/>
      <c r="AI4018" s="500"/>
      <c r="AJ4018" s="500"/>
      <c r="AK4018" s="500"/>
      <c r="AL4018" s="500"/>
      <c r="AM4018" s="500"/>
      <c r="AN4018" s="500"/>
      <c r="AO4018" s="500"/>
      <c r="AP4018" s="500"/>
    </row>
    <row r="4019" spans="1:42" ht="16.5" customHeight="1">
      <c r="A4019" s="434" t="s">
        <v>3821</v>
      </c>
      <c r="B4019" s="505" t="str">
        <f>" 특별인부 : "&amp;TEXT(I4019,"#,##0"&amp;IF(I4019&lt;&gt;INT(I4019),".###",""))&amp;" * "&amp;AA4019&amp;" 인  / Q1 = "&amp;TEXT(C4019,"#,##0.0")&amp;" "</f>
        <v xml:space="preserve"> 특별인부 : 226,122 * 3 인  / Q1 = 387.6 </v>
      </c>
      <c r="C4019" s="506">
        <f>E4019+D4019+F4019</f>
        <v>387.6</v>
      </c>
      <c r="D4019" s="506">
        <f>IF(H4019=0,0,ROUNDDOWN(J4019*H4019,1))</f>
        <v>387.6</v>
      </c>
      <c r="E4019" s="506">
        <f>IF(H4019=0,0,ROUNDDOWN(K4019*H4019,1))</f>
        <v>0</v>
      </c>
      <c r="F4019" s="506">
        <f>IF(H4019=0,0,ROUNDDOWN(L4019*H4019,1))</f>
        <v>0</v>
      </c>
      <c r="G4019" s="451" t="s">
        <v>3893</v>
      </c>
      <c r="H4019" s="507">
        <f>ROUNDUP(AE4019,14-LEN(ABS(INT(AE4019))))</f>
        <v>1.7142857143000001E-3</v>
      </c>
      <c r="I4019" s="508">
        <f>K4019+J4019+L4019</f>
        <v>226122</v>
      </c>
      <c r="J4019" s="509">
        <f>노무비목록표!E21</f>
        <v>226122</v>
      </c>
      <c r="M4019" s="501" t="s">
        <v>2519</v>
      </c>
      <c r="N4019" s="501" t="s">
        <v>3416</v>
      </c>
      <c r="O4019" s="501" t="s">
        <v>2355</v>
      </c>
      <c r="X4019" s="510" t="str">
        <f>노무비목록표!B21&amp;" / "&amp;노무비목록표!C21</f>
        <v xml:space="preserve">특별인부 / </v>
      </c>
      <c r="Y4019" s="433" t="str">
        <f ca="1">HYPERLINK("#"&amp;노무비목록표!G2&amp;"!A"&amp;ROW(노무비목록표!A21),"L00016 →")</f>
        <v>L00016 →</v>
      </c>
      <c r="Z4019" s="501" t="s">
        <v>3500</v>
      </c>
      <c r="AA4019" s="515">
        <v>3</v>
      </c>
      <c r="AB4019" s="501" t="s">
        <v>3428</v>
      </c>
      <c r="AC4019" s="512" t="str">
        <f>AD4012</f>
        <v>1,750.00</v>
      </c>
      <c r="AD4019" s="501" t="s">
        <v>3418</v>
      </c>
      <c r="AE4019" s="512">
        <f>1*AA4019/AD4012</f>
        <v>1.7142857142857142E-3</v>
      </c>
      <c r="AF4019" s="500"/>
      <c r="AG4019" s="500"/>
      <c r="AH4019" s="500"/>
      <c r="AI4019" s="500"/>
      <c r="AJ4019" s="500"/>
      <c r="AK4019" s="500"/>
      <c r="AL4019" s="500"/>
      <c r="AM4019" s="500"/>
      <c r="AN4019" s="500"/>
      <c r="AO4019" s="500"/>
      <c r="AP4019" s="500"/>
    </row>
    <row r="4020" spans="1:42" ht="16.5" customHeight="1">
      <c r="A4020" s="439"/>
      <c r="B4020" s="439"/>
      <c r="C4020" s="439"/>
      <c r="D4020" s="439"/>
      <c r="E4020" s="439"/>
      <c r="F4020" s="439"/>
      <c r="G4020" s="451" t="s">
        <v>3406</v>
      </c>
      <c r="Z4020" s="500"/>
      <c r="AA4020" s="500"/>
      <c r="AB4020" s="500"/>
      <c r="AC4020" s="500"/>
      <c r="AD4020" s="500"/>
      <c r="AE4020" s="500"/>
      <c r="AF4020" s="500"/>
      <c r="AG4020" s="500"/>
      <c r="AH4020" s="500"/>
      <c r="AI4020" s="500"/>
      <c r="AJ4020" s="500"/>
      <c r="AK4020" s="500"/>
      <c r="AL4020" s="500"/>
      <c r="AM4020" s="500"/>
      <c r="AN4020" s="500"/>
      <c r="AO4020" s="500"/>
      <c r="AP4020" s="500"/>
    </row>
    <row r="4021" spans="1:42" ht="16.5" customHeight="1">
      <c r="A4021" s="434" t="s">
        <v>3414</v>
      </c>
      <c r="B4021" s="505" t="str">
        <f>" 보통인부 : "&amp;TEXT(I4021,"#,##0"&amp;IF(I4021&lt;&gt;INT(I4021),".###",""))&amp;" * "&amp;AA4021&amp;" 인  / Q1 = "&amp;TEXT(C4021,"#,##0.0")&amp;" "</f>
        <v xml:space="preserve"> 보통인부 : 172,068 * 1 인  / Q1 = 98.3 </v>
      </c>
      <c r="C4021" s="506">
        <f>E4021+D4021+F4021</f>
        <v>98.3</v>
      </c>
      <c r="D4021" s="506">
        <f>IF(H4021=0,0,ROUNDDOWN(J4021*H4021,1))</f>
        <v>98.3</v>
      </c>
      <c r="E4021" s="506">
        <f>IF(H4021=0,0,ROUNDDOWN(K4021*H4021,1))</f>
        <v>0</v>
      </c>
      <c r="F4021" s="506">
        <f>IF(H4021=0,0,ROUNDDOWN(L4021*H4021,1))</f>
        <v>0</v>
      </c>
      <c r="G4021" s="451" t="s">
        <v>3894</v>
      </c>
      <c r="H4021" s="507">
        <f>ROUNDUP(AE4021,14-LEN(ABS(INT(AE4021))))</f>
        <v>5.7142857150000001E-4</v>
      </c>
      <c r="I4021" s="508">
        <f>K4021+J4021+L4021</f>
        <v>172068</v>
      </c>
      <c r="J4021" s="509">
        <f>노무비목록표!E10</f>
        <v>172068</v>
      </c>
      <c r="M4021" s="501" t="s">
        <v>2363</v>
      </c>
      <c r="N4021" s="501" t="s">
        <v>3416</v>
      </c>
      <c r="O4021" s="501" t="s">
        <v>2355</v>
      </c>
      <c r="X4021" s="510" t="str">
        <f>노무비목록표!B10&amp;" / "&amp;노무비목록표!C10</f>
        <v xml:space="preserve">보통인부 / </v>
      </c>
      <c r="Y4021" s="433" t="str">
        <f ca="1">HYPERLINK("#"&amp;노무비목록표!G2&amp;"!A"&amp;ROW(노무비목록표!A10),"L00017 →")</f>
        <v>L00017 →</v>
      </c>
      <c r="Z4021" s="501" t="s">
        <v>3500</v>
      </c>
      <c r="AA4021" s="515">
        <v>1</v>
      </c>
      <c r="AB4021" s="501" t="s">
        <v>3428</v>
      </c>
      <c r="AC4021" s="512" t="str">
        <f>AD4012</f>
        <v>1,750.00</v>
      </c>
      <c r="AD4021" s="501" t="s">
        <v>3418</v>
      </c>
      <c r="AE4021" s="512">
        <f>1*AA4021/AD4012</f>
        <v>5.7142857142857147E-4</v>
      </c>
      <c r="AF4021" s="500"/>
      <c r="AG4021" s="500"/>
      <c r="AH4021" s="500"/>
      <c r="AI4021" s="500"/>
      <c r="AJ4021" s="500"/>
      <c r="AK4021" s="500"/>
      <c r="AL4021" s="500"/>
      <c r="AM4021" s="500"/>
      <c r="AN4021" s="500"/>
      <c r="AO4021" s="500"/>
      <c r="AP4021" s="500"/>
    </row>
    <row r="4022" spans="1:42" ht="16.5" customHeight="1">
      <c r="A4022" s="439"/>
      <c r="B4022" s="439"/>
      <c r="C4022" s="439"/>
      <c r="D4022" s="439"/>
      <c r="E4022" s="439"/>
      <c r="F4022" s="439"/>
      <c r="G4022" s="451" t="s">
        <v>3406</v>
      </c>
      <c r="Z4022" s="500"/>
      <c r="AA4022" s="500"/>
      <c r="AB4022" s="500"/>
      <c r="AC4022" s="500"/>
      <c r="AD4022" s="500"/>
      <c r="AE4022" s="500"/>
      <c r="AF4022" s="500"/>
      <c r="AG4022" s="500"/>
      <c r="AH4022" s="500"/>
      <c r="AI4022" s="500"/>
      <c r="AJ4022" s="500"/>
      <c r="AK4022" s="500"/>
      <c r="AL4022" s="500"/>
      <c r="AM4022" s="500"/>
      <c r="AN4022" s="500"/>
      <c r="AO4022" s="500"/>
      <c r="AP4022" s="500"/>
    </row>
    <row r="4023" spans="1:42" ht="16.5" customHeight="1">
      <c r="A4023" s="434"/>
      <c r="B4023" s="437" t="s">
        <v>3419</v>
      </c>
      <c r="C4023" s="513">
        <f>E4023+D4023+F4023</f>
        <v>485.90000000000003</v>
      </c>
      <c r="D4023" s="513">
        <f>SUMIF(N4007:N4022,M4023,D4007:D4022)</f>
        <v>485.90000000000003</v>
      </c>
      <c r="E4023" s="513">
        <f>SUMIF(N4007:N4022,M4023,E4007:E4022)</f>
        <v>0</v>
      </c>
      <c r="F4023" s="513">
        <f>SUMIF(N4007:N4022,M4023,F4007:F4022)</f>
        <v>0</v>
      </c>
      <c r="G4023" s="451" t="s">
        <v>3420</v>
      </c>
      <c r="M4023" s="501" t="s">
        <v>3416</v>
      </c>
      <c r="N4023" s="501" t="s">
        <v>3421</v>
      </c>
      <c r="Z4023" s="500"/>
      <c r="AA4023" s="500"/>
      <c r="AB4023" s="500"/>
      <c r="AC4023" s="500"/>
      <c r="AD4023" s="500"/>
      <c r="AE4023" s="500"/>
      <c r="AF4023" s="500"/>
      <c r="AG4023" s="500"/>
      <c r="AH4023" s="500"/>
      <c r="AI4023" s="500"/>
      <c r="AJ4023" s="500"/>
      <c r="AK4023" s="500"/>
      <c r="AL4023" s="500"/>
      <c r="AM4023" s="500"/>
      <c r="AN4023" s="500"/>
      <c r="AO4023" s="500"/>
      <c r="AP4023" s="500"/>
    </row>
    <row r="4024" spans="1:42" ht="16.5" customHeight="1">
      <c r="A4024" s="439"/>
      <c r="B4024" s="439"/>
      <c r="C4024" s="504"/>
      <c r="D4024" s="504"/>
      <c r="E4024" s="504"/>
      <c r="F4024" s="504"/>
      <c r="G4024" s="451" t="s">
        <v>3406</v>
      </c>
      <c r="Z4024" s="500"/>
      <c r="AA4024" s="500"/>
      <c r="AB4024" s="500"/>
      <c r="AC4024" s="500"/>
      <c r="AD4024" s="500"/>
      <c r="AE4024" s="500"/>
      <c r="AF4024" s="500"/>
      <c r="AG4024" s="500"/>
      <c r="AH4024" s="500"/>
      <c r="AI4024" s="500"/>
      <c r="AJ4024" s="500"/>
      <c r="AK4024" s="500"/>
      <c r="AL4024" s="500"/>
      <c r="AM4024" s="500"/>
      <c r="AN4024" s="500"/>
      <c r="AO4024" s="500"/>
      <c r="AP4024" s="500"/>
    </row>
    <row r="4025" spans="1:42" ht="16.5" customHeight="1">
      <c r="A4025" s="439"/>
      <c r="B4025" s="439"/>
      <c r="C4025" s="439"/>
      <c r="D4025" s="439"/>
      <c r="E4025" s="439"/>
      <c r="F4025" s="439"/>
      <c r="G4025" s="451" t="s">
        <v>3406</v>
      </c>
      <c r="Z4025" s="500"/>
      <c r="AA4025" s="500"/>
      <c r="AB4025" s="500"/>
      <c r="AC4025" s="500"/>
      <c r="AD4025" s="500"/>
      <c r="AE4025" s="500"/>
      <c r="AF4025" s="500"/>
      <c r="AG4025" s="500"/>
      <c r="AH4025" s="500"/>
      <c r="AI4025" s="500"/>
      <c r="AJ4025" s="500"/>
      <c r="AK4025" s="500"/>
      <c r="AL4025" s="500"/>
      <c r="AM4025" s="500"/>
      <c r="AN4025" s="500"/>
      <c r="AO4025" s="500"/>
      <c r="AP4025" s="500"/>
    </row>
    <row r="4026" spans="1:42" ht="16.5" customHeight="1">
      <c r="A4026" s="434"/>
      <c r="B4026" s="505" t="str">
        <f>" 2. 공구손료 및 기계경비(인력품의 6%) : "&amp;TEXT(I4026,"#,##0.0")&amp;" * "&amp;AA4026&amp;" %  = "&amp;TEXT(C4026,"#,##0.0")&amp;""</f>
        <v xml:space="preserve"> 2. 공구손료 및 기계경비(인력품의 6%) : 485.9 * 6 %  = 29.1</v>
      </c>
      <c r="C4026" s="506">
        <f>E4026+D4026+F4026</f>
        <v>29.1</v>
      </c>
      <c r="D4026" s="506">
        <f>IF(H4026=0,0,ROUNDDOWN(J4026*H4026/100,1))</f>
        <v>0</v>
      </c>
      <c r="E4026" s="506">
        <f>IF(H4026=0,0,ROUNDDOWN(K4026*H4026/100,1))</f>
        <v>0</v>
      </c>
      <c r="F4026" s="506">
        <f>IF(H4026=0,0,ROUNDDOWN(L4026*H4026/100,1))</f>
        <v>29.1</v>
      </c>
      <c r="G4026" s="451" t="s">
        <v>3895</v>
      </c>
      <c r="H4026" s="507">
        <f>ROUNDUP(AC4026,14-LEN(ABS(INT(AC4026))))</f>
        <v>6</v>
      </c>
      <c r="I4026" s="508">
        <f>K4026+J4026+L4026</f>
        <v>485.90000000000003</v>
      </c>
      <c r="J4026" s="456">
        <v>0</v>
      </c>
      <c r="K4026" s="456">
        <v>0</v>
      </c>
      <c r="L4026" s="509">
        <f>D4019+D4021</f>
        <v>485.90000000000003</v>
      </c>
      <c r="M4026" s="501" t="s">
        <v>3743</v>
      </c>
      <c r="N4026" s="501" t="s">
        <v>3416</v>
      </c>
      <c r="Z4026" s="501" t="s">
        <v>3500</v>
      </c>
      <c r="AA4026" s="515">
        <v>6</v>
      </c>
      <c r="AB4026" s="501" t="s">
        <v>3418</v>
      </c>
      <c r="AC4026" s="512">
        <f>1*AA4026</f>
        <v>6</v>
      </c>
      <c r="AD4026" s="500"/>
      <c r="AE4026" s="500"/>
      <c r="AF4026" s="500"/>
      <c r="AG4026" s="500"/>
      <c r="AH4026" s="500"/>
      <c r="AI4026" s="500"/>
      <c r="AJ4026" s="500"/>
      <c r="AK4026" s="500"/>
      <c r="AL4026" s="500"/>
      <c r="AM4026" s="500"/>
      <c r="AN4026" s="500"/>
      <c r="AO4026" s="500"/>
      <c r="AP4026" s="500"/>
    </row>
    <row r="4027" spans="1:42" ht="16.5" customHeight="1">
      <c r="A4027" s="439"/>
      <c r="B4027" s="439"/>
      <c r="C4027" s="439"/>
      <c r="D4027" s="439"/>
      <c r="E4027" s="439"/>
      <c r="F4027" s="439"/>
      <c r="G4027" s="451" t="s">
        <v>3406</v>
      </c>
      <c r="Z4027" s="500"/>
      <c r="AA4027" s="500"/>
      <c r="AB4027" s="500"/>
      <c r="AC4027" s="500"/>
      <c r="AD4027" s="500"/>
      <c r="AE4027" s="500"/>
      <c r="AF4027" s="500"/>
      <c r="AG4027" s="500"/>
      <c r="AH4027" s="500"/>
      <c r="AI4027" s="500"/>
      <c r="AJ4027" s="500"/>
      <c r="AK4027" s="500"/>
      <c r="AL4027" s="500"/>
      <c r="AM4027" s="500"/>
      <c r="AN4027" s="500"/>
      <c r="AO4027" s="500"/>
      <c r="AP4027" s="500"/>
    </row>
    <row r="4028" spans="1:42" ht="16.5" customHeight="1">
      <c r="A4028" s="434"/>
      <c r="B4028" s="437" t="s">
        <v>3419</v>
      </c>
      <c r="C4028" s="513">
        <f>E4028+D4028+F4028</f>
        <v>29.1</v>
      </c>
      <c r="D4028" s="513">
        <f>SUMIF(N4024:N4027,M4028,D4024:D4027)</f>
        <v>0</v>
      </c>
      <c r="E4028" s="513">
        <f>SUMIF(N4024:N4027,M4028,E4024:E4027)</f>
        <v>0</v>
      </c>
      <c r="F4028" s="513">
        <f>SUMIF(N4024:N4027,M4028,F4024:F4027)</f>
        <v>29.1</v>
      </c>
      <c r="G4028" s="451" t="s">
        <v>3420</v>
      </c>
      <c r="M4028" s="501" t="s">
        <v>3416</v>
      </c>
      <c r="N4028" s="501" t="s">
        <v>3421</v>
      </c>
      <c r="Z4028" s="500"/>
      <c r="AA4028" s="500"/>
      <c r="AB4028" s="500"/>
      <c r="AC4028" s="500"/>
      <c r="AD4028" s="500"/>
      <c r="AE4028" s="500"/>
      <c r="AF4028" s="500"/>
      <c r="AG4028" s="500"/>
      <c r="AH4028" s="500"/>
      <c r="AI4028" s="500"/>
      <c r="AJ4028" s="500"/>
      <c r="AK4028" s="500"/>
      <c r="AL4028" s="500"/>
      <c r="AM4028" s="500"/>
      <c r="AN4028" s="500"/>
      <c r="AO4028" s="500"/>
      <c r="AP4028" s="500"/>
    </row>
    <row r="4029" spans="1:42" ht="16.5" customHeight="1">
      <c r="A4029" s="439"/>
      <c r="B4029" s="439"/>
      <c r="C4029" s="504"/>
      <c r="D4029" s="504"/>
      <c r="E4029" s="504"/>
      <c r="F4029" s="504"/>
      <c r="G4029" s="451" t="s">
        <v>3406</v>
      </c>
      <c r="Z4029" s="500"/>
      <c r="AA4029" s="500"/>
      <c r="AB4029" s="500"/>
      <c r="AC4029" s="500"/>
      <c r="AD4029" s="500"/>
      <c r="AE4029" s="500"/>
      <c r="AF4029" s="500"/>
      <c r="AG4029" s="500"/>
      <c r="AH4029" s="500"/>
      <c r="AI4029" s="500"/>
      <c r="AJ4029" s="500"/>
      <c r="AK4029" s="500"/>
      <c r="AL4029" s="500"/>
      <c r="AM4029" s="500"/>
      <c r="AN4029" s="500"/>
      <c r="AO4029" s="500"/>
      <c r="AP4029" s="500"/>
    </row>
    <row r="4030" spans="1:42" ht="16.5" customHeight="1">
      <c r="A4030" s="439"/>
      <c r="B4030" s="439"/>
      <c r="C4030" s="439"/>
      <c r="D4030" s="439"/>
      <c r="E4030" s="439"/>
      <c r="F4030" s="439"/>
      <c r="G4030" s="451" t="s">
        <v>3406</v>
      </c>
      <c r="Z4030" s="500"/>
      <c r="AA4030" s="500"/>
      <c r="AB4030" s="500"/>
      <c r="AC4030" s="500"/>
      <c r="AD4030" s="500"/>
      <c r="AE4030" s="500"/>
      <c r="AF4030" s="500"/>
      <c r="AG4030" s="500"/>
      <c r="AH4030" s="500"/>
      <c r="AI4030" s="500"/>
      <c r="AJ4030" s="500"/>
      <c r="AK4030" s="500"/>
      <c r="AL4030" s="500"/>
      <c r="AM4030" s="500"/>
      <c r="AN4030" s="500"/>
      <c r="AO4030" s="500"/>
      <c r="AP4030" s="500"/>
    </row>
    <row r="4031" spans="1:42" ht="16.5" customHeight="1">
      <c r="A4031" s="434"/>
      <c r="B4031" s="437" t="s">
        <v>3440</v>
      </c>
      <c r="C4031" s="513">
        <f>E4031+D4031+F4031</f>
        <v>515</v>
      </c>
      <c r="D4031" s="513">
        <f>SUMIF(N4007:N4030,M4031,D4007:D4030)</f>
        <v>485.90000000000003</v>
      </c>
      <c r="E4031" s="513">
        <f>SUMIF(N4007:N4030,M4031,E4007:E4030)</f>
        <v>0</v>
      </c>
      <c r="F4031" s="513">
        <f>SUMIF(N4007:N4030,M4031,F4007:F4030)</f>
        <v>29.1</v>
      </c>
      <c r="G4031" s="451" t="s">
        <v>3484</v>
      </c>
      <c r="M4031" s="501" t="s">
        <v>3421</v>
      </c>
      <c r="N4031" s="501" t="s">
        <v>2354</v>
      </c>
      <c r="Z4031" s="500"/>
      <c r="AA4031" s="500"/>
      <c r="AB4031" s="500"/>
      <c r="AC4031" s="500"/>
      <c r="AD4031" s="500"/>
      <c r="AE4031" s="500"/>
      <c r="AF4031" s="500"/>
      <c r="AG4031" s="500"/>
      <c r="AH4031" s="500"/>
      <c r="AI4031" s="500"/>
      <c r="AJ4031" s="500"/>
      <c r="AK4031" s="500"/>
      <c r="AL4031" s="500"/>
      <c r="AM4031" s="500"/>
      <c r="AN4031" s="500"/>
      <c r="AO4031" s="500"/>
      <c r="AP4031" s="500"/>
    </row>
    <row r="4032" spans="1:42" ht="16.5" customHeight="1">
      <c r="A4032" s="439"/>
      <c r="B4032" s="439"/>
      <c r="C4032" s="504"/>
      <c r="D4032" s="504"/>
      <c r="E4032" s="504"/>
      <c r="F4032" s="504"/>
      <c r="Z4032" s="500"/>
      <c r="AA4032" s="500"/>
      <c r="AB4032" s="500"/>
      <c r="AC4032" s="500"/>
      <c r="AD4032" s="500"/>
      <c r="AE4032" s="500"/>
      <c r="AF4032" s="500"/>
      <c r="AG4032" s="500"/>
      <c r="AH4032" s="500"/>
      <c r="AI4032" s="500"/>
      <c r="AJ4032" s="500"/>
      <c r="AK4032" s="500"/>
      <c r="AL4032" s="500"/>
      <c r="AM4032" s="500"/>
      <c r="AN4032" s="500"/>
      <c r="AO4032" s="500"/>
      <c r="AP4032" s="500"/>
    </row>
    <row r="4033" spans="1:42" ht="16.5" customHeight="1">
      <c r="A4033" s="439"/>
      <c r="B4033" s="439"/>
      <c r="C4033" s="439"/>
      <c r="D4033" s="439"/>
      <c r="E4033" s="439"/>
      <c r="F4033" s="439"/>
      <c r="Z4033" s="500"/>
      <c r="AA4033" s="500"/>
      <c r="AB4033" s="500"/>
      <c r="AC4033" s="500"/>
      <c r="AD4033" s="500"/>
      <c r="AE4033" s="500"/>
      <c r="AF4033" s="500"/>
      <c r="AG4033" s="500"/>
      <c r="AH4033" s="500"/>
      <c r="AI4033" s="500"/>
      <c r="AJ4033" s="500"/>
      <c r="AK4033" s="500"/>
      <c r="AL4033" s="500"/>
      <c r="AM4033" s="500"/>
      <c r="AN4033" s="500"/>
      <c r="AO4033" s="500"/>
      <c r="AP4033" s="500"/>
    </row>
    <row r="4034" spans="1:42" ht="16.5" customHeight="1">
      <c r="A4034" s="439"/>
      <c r="B4034" s="439"/>
      <c r="C4034" s="439"/>
      <c r="D4034" s="439"/>
      <c r="E4034" s="439"/>
      <c r="F4034" s="439"/>
      <c r="Z4034" s="500"/>
      <c r="AA4034" s="500"/>
      <c r="AB4034" s="500"/>
      <c r="AC4034" s="500"/>
      <c r="AD4034" s="500"/>
      <c r="AE4034" s="500"/>
      <c r="AF4034" s="500"/>
      <c r="AG4034" s="500"/>
      <c r="AH4034" s="500"/>
      <c r="AI4034" s="500"/>
      <c r="AJ4034" s="500"/>
      <c r="AK4034" s="500"/>
      <c r="AL4034" s="500"/>
      <c r="AM4034" s="500"/>
      <c r="AN4034" s="500"/>
      <c r="AO4034" s="500"/>
      <c r="AP4034" s="500"/>
    </row>
    <row r="4035" spans="1:42" ht="16.5" customHeight="1">
      <c r="A4035" s="439"/>
      <c r="B4035" s="439"/>
      <c r="C4035" s="439"/>
      <c r="D4035" s="439"/>
      <c r="E4035" s="439"/>
      <c r="F4035" s="439"/>
      <c r="Z4035" s="500"/>
      <c r="AA4035" s="500"/>
      <c r="AB4035" s="500"/>
      <c r="AC4035" s="500"/>
      <c r="AD4035" s="500"/>
      <c r="AE4035" s="500"/>
      <c r="AF4035" s="500"/>
      <c r="AG4035" s="500"/>
      <c r="AH4035" s="500"/>
      <c r="AI4035" s="500"/>
      <c r="AJ4035" s="500"/>
      <c r="AK4035" s="500"/>
      <c r="AL4035" s="500"/>
      <c r="AM4035" s="500"/>
      <c r="AN4035" s="500"/>
      <c r="AO4035" s="500"/>
      <c r="AP4035" s="500"/>
    </row>
    <row r="4036" spans="1:42" ht="16.5" customHeight="1">
      <c r="A4036" s="439"/>
      <c r="B4036" s="439"/>
      <c r="C4036" s="439"/>
      <c r="D4036" s="439"/>
      <c r="E4036" s="439"/>
      <c r="F4036" s="439"/>
      <c r="Z4036" s="500"/>
      <c r="AA4036" s="500"/>
      <c r="AB4036" s="500"/>
      <c r="AC4036" s="500"/>
      <c r="AD4036" s="500"/>
      <c r="AE4036" s="500"/>
      <c r="AF4036" s="500"/>
      <c r="AG4036" s="500"/>
      <c r="AH4036" s="500"/>
      <c r="AI4036" s="500"/>
      <c r="AJ4036" s="500"/>
      <c r="AK4036" s="500"/>
      <c r="AL4036" s="500"/>
      <c r="AM4036" s="500"/>
      <c r="AN4036" s="500"/>
      <c r="AO4036" s="500"/>
      <c r="AP4036" s="500"/>
    </row>
    <row r="4037" spans="1:42" ht="16.5" customHeight="1">
      <c r="A4037" s="439"/>
      <c r="B4037" s="439"/>
      <c r="C4037" s="439"/>
      <c r="D4037" s="439"/>
      <c r="E4037" s="439"/>
      <c r="F4037" s="439"/>
      <c r="Z4037" s="500"/>
      <c r="AA4037" s="500"/>
      <c r="AB4037" s="500"/>
      <c r="AC4037" s="500"/>
      <c r="AD4037" s="500"/>
      <c r="AE4037" s="500"/>
      <c r="AF4037" s="500"/>
      <c r="AG4037" s="500"/>
      <c r="AH4037" s="500"/>
      <c r="AI4037" s="500"/>
      <c r="AJ4037" s="500"/>
      <c r="AK4037" s="500"/>
      <c r="AL4037" s="500"/>
      <c r="AM4037" s="500"/>
      <c r="AN4037" s="500"/>
      <c r="AO4037" s="500"/>
      <c r="AP4037" s="500"/>
    </row>
    <row r="4038" spans="1:42" ht="16.5" customHeight="1">
      <c r="A4038" s="439"/>
      <c r="B4038" s="439"/>
      <c r="C4038" s="439"/>
      <c r="D4038" s="439"/>
      <c r="E4038" s="439"/>
      <c r="F4038" s="439"/>
      <c r="Z4038" s="500"/>
      <c r="AA4038" s="500"/>
      <c r="AB4038" s="500"/>
      <c r="AC4038" s="500"/>
      <c r="AD4038" s="500"/>
      <c r="AE4038" s="500"/>
      <c r="AF4038" s="500"/>
      <c r="AG4038" s="500"/>
      <c r="AH4038" s="500"/>
      <c r="AI4038" s="500"/>
      <c r="AJ4038" s="500"/>
      <c r="AK4038" s="500"/>
      <c r="AL4038" s="500"/>
      <c r="AM4038" s="500"/>
      <c r="AN4038" s="500"/>
      <c r="AO4038" s="500"/>
      <c r="AP4038" s="500"/>
    </row>
    <row r="4039" spans="1:42" ht="16.5" customHeight="1">
      <c r="A4039" s="439"/>
      <c r="B4039" s="439"/>
      <c r="C4039" s="439"/>
      <c r="D4039" s="439"/>
      <c r="E4039" s="439"/>
      <c r="F4039" s="439"/>
      <c r="Z4039" s="500"/>
      <c r="AA4039" s="500"/>
      <c r="AB4039" s="500"/>
      <c r="AC4039" s="500"/>
      <c r="AD4039" s="500"/>
      <c r="AE4039" s="500"/>
      <c r="AF4039" s="500"/>
      <c r="AG4039" s="500"/>
      <c r="AH4039" s="500"/>
      <c r="AI4039" s="500"/>
      <c r="AJ4039" s="500"/>
      <c r="AK4039" s="500"/>
      <c r="AL4039" s="500"/>
      <c r="AM4039" s="500"/>
      <c r="AN4039" s="500"/>
      <c r="AO4039" s="500"/>
      <c r="AP4039" s="500"/>
    </row>
    <row r="4040" spans="1:42" ht="16.5" customHeight="1">
      <c r="A4040" s="439"/>
      <c r="B4040" s="439"/>
      <c r="C4040" s="439"/>
      <c r="D4040" s="439"/>
      <c r="E4040" s="439"/>
      <c r="F4040" s="439"/>
      <c r="Z4040" s="500"/>
      <c r="AA4040" s="500"/>
      <c r="AB4040" s="500"/>
      <c r="AC4040" s="500"/>
      <c r="AD4040" s="500"/>
      <c r="AE4040" s="500"/>
      <c r="AF4040" s="500"/>
      <c r="AG4040" s="500"/>
      <c r="AH4040" s="500"/>
      <c r="AI4040" s="500"/>
      <c r="AJ4040" s="500"/>
      <c r="AK4040" s="500"/>
      <c r="AL4040" s="500"/>
      <c r="AM4040" s="500"/>
      <c r="AN4040" s="500"/>
      <c r="AO4040" s="500"/>
      <c r="AP4040" s="500"/>
    </row>
    <row r="4041" spans="1:42" ht="16.5" customHeight="1">
      <c r="A4041" s="439"/>
      <c r="B4041" s="439"/>
      <c r="C4041" s="439"/>
      <c r="D4041" s="439"/>
      <c r="E4041" s="439"/>
      <c r="F4041" s="439"/>
      <c r="Z4041" s="500"/>
      <c r="AA4041" s="500"/>
      <c r="AB4041" s="500"/>
      <c r="AC4041" s="500"/>
      <c r="AD4041" s="500"/>
      <c r="AE4041" s="500"/>
      <c r="AF4041" s="500"/>
      <c r="AG4041" s="500"/>
      <c r="AH4041" s="500"/>
      <c r="AI4041" s="500"/>
      <c r="AJ4041" s="500"/>
      <c r="AK4041" s="500"/>
      <c r="AL4041" s="500"/>
      <c r="AM4041" s="500"/>
      <c r="AN4041" s="500"/>
      <c r="AO4041" s="500"/>
      <c r="AP4041" s="500"/>
    </row>
    <row r="4042" spans="1:42" ht="16.5" customHeight="1">
      <c r="A4042" s="439"/>
      <c r="B4042" s="439"/>
      <c r="C4042" s="439"/>
      <c r="D4042" s="439"/>
      <c r="E4042" s="439"/>
      <c r="F4042" s="439"/>
      <c r="Z4042" s="500"/>
      <c r="AA4042" s="500"/>
      <c r="AB4042" s="500"/>
      <c r="AC4042" s="500"/>
      <c r="AD4042" s="500"/>
      <c r="AE4042" s="500"/>
      <c r="AF4042" s="500"/>
      <c r="AG4042" s="500"/>
      <c r="AH4042" s="500"/>
      <c r="AI4042" s="500"/>
      <c r="AJ4042" s="500"/>
      <c r="AK4042" s="500"/>
      <c r="AL4042" s="500"/>
      <c r="AM4042" s="500"/>
      <c r="AN4042" s="500"/>
      <c r="AO4042" s="500"/>
      <c r="AP4042" s="500"/>
    </row>
    <row r="4043" spans="1:42" ht="16.5" customHeight="1">
      <c r="A4043" s="439"/>
      <c r="B4043" s="439"/>
      <c r="C4043" s="439"/>
      <c r="D4043" s="439"/>
      <c r="E4043" s="439"/>
      <c r="F4043" s="439"/>
      <c r="Z4043" s="500"/>
      <c r="AA4043" s="500"/>
      <c r="AB4043" s="500"/>
      <c r="AC4043" s="500"/>
      <c r="AD4043" s="500"/>
      <c r="AE4043" s="500"/>
      <c r="AF4043" s="500"/>
      <c r="AG4043" s="500"/>
      <c r="AH4043" s="500"/>
      <c r="AI4043" s="500"/>
      <c r="AJ4043" s="500"/>
      <c r="AK4043" s="500"/>
      <c r="AL4043" s="500"/>
      <c r="AM4043" s="500"/>
      <c r="AN4043" s="500"/>
      <c r="AO4043" s="500"/>
      <c r="AP4043" s="500"/>
    </row>
    <row r="4044" spans="1:42" ht="16.5" customHeight="1">
      <c r="A4044" s="439"/>
      <c r="B4044" s="439"/>
      <c r="C4044" s="439"/>
      <c r="D4044" s="439"/>
      <c r="E4044" s="439"/>
      <c r="F4044" s="439"/>
      <c r="Z4044" s="500"/>
      <c r="AA4044" s="500"/>
      <c r="AB4044" s="500"/>
      <c r="AC4044" s="500"/>
      <c r="AD4044" s="500"/>
      <c r="AE4044" s="500"/>
      <c r="AF4044" s="500"/>
      <c r="AG4044" s="500"/>
      <c r="AH4044" s="500"/>
      <c r="AI4044" s="500"/>
      <c r="AJ4044" s="500"/>
      <c r="AK4044" s="500"/>
      <c r="AL4044" s="500"/>
      <c r="AM4044" s="500"/>
      <c r="AN4044" s="500"/>
      <c r="AO4044" s="500"/>
      <c r="AP4044" s="500"/>
    </row>
    <row r="4045" spans="1:42" ht="16.5" customHeight="1">
      <c r="A4045" s="439"/>
      <c r="B4045" s="439"/>
      <c r="C4045" s="439"/>
      <c r="D4045" s="439"/>
      <c r="E4045" s="439"/>
      <c r="F4045" s="439"/>
      <c r="Z4045" s="500"/>
      <c r="AA4045" s="500"/>
      <c r="AB4045" s="500"/>
      <c r="AC4045" s="500"/>
      <c r="AD4045" s="500"/>
      <c r="AE4045" s="500"/>
      <c r="AF4045" s="500"/>
      <c r="AG4045" s="500"/>
      <c r="AH4045" s="500"/>
      <c r="AI4045" s="500"/>
      <c r="AJ4045" s="500"/>
      <c r="AK4045" s="500"/>
      <c r="AL4045" s="500"/>
      <c r="AM4045" s="500"/>
      <c r="AN4045" s="500"/>
      <c r="AO4045" s="500"/>
      <c r="AP4045" s="500"/>
    </row>
    <row r="4046" spans="1:42" ht="16.5" customHeight="1">
      <c r="A4046" s="439"/>
      <c r="B4046" s="439"/>
      <c r="C4046" s="439"/>
      <c r="D4046" s="439"/>
      <c r="E4046" s="439"/>
      <c r="F4046" s="439"/>
      <c r="Z4046" s="500"/>
      <c r="AA4046" s="500"/>
      <c r="AB4046" s="500"/>
      <c r="AC4046" s="500"/>
      <c r="AD4046" s="500"/>
      <c r="AE4046" s="500"/>
      <c r="AF4046" s="500"/>
      <c r="AG4046" s="500"/>
      <c r="AH4046" s="500"/>
      <c r="AI4046" s="500"/>
      <c r="AJ4046" s="500"/>
      <c r="AK4046" s="500"/>
      <c r="AL4046" s="500"/>
      <c r="AM4046" s="500"/>
      <c r="AN4046" s="500"/>
      <c r="AO4046" s="500"/>
      <c r="AP4046" s="500"/>
    </row>
    <row r="4047" spans="1:42" ht="16.5" customHeight="1">
      <c r="A4047" s="439"/>
      <c r="B4047" s="439"/>
      <c r="C4047" s="439"/>
      <c r="D4047" s="439"/>
      <c r="E4047" s="439"/>
      <c r="F4047" s="439"/>
      <c r="Z4047" s="500"/>
      <c r="AA4047" s="500"/>
      <c r="AB4047" s="500"/>
      <c r="AC4047" s="500"/>
      <c r="AD4047" s="500"/>
      <c r="AE4047" s="500"/>
      <c r="AF4047" s="500"/>
      <c r="AG4047" s="500"/>
      <c r="AH4047" s="500"/>
      <c r="AI4047" s="500"/>
      <c r="AJ4047" s="500"/>
      <c r="AK4047" s="500"/>
      <c r="AL4047" s="500"/>
      <c r="AM4047" s="500"/>
      <c r="AN4047" s="500"/>
      <c r="AO4047" s="500"/>
      <c r="AP4047" s="500"/>
    </row>
    <row r="4048" spans="1:42" ht="16.5" customHeight="1">
      <c r="A4048" s="439"/>
      <c r="B4048" s="439"/>
      <c r="C4048" s="439"/>
      <c r="D4048" s="439"/>
      <c r="E4048" s="439"/>
      <c r="F4048" s="439"/>
      <c r="Z4048" s="500"/>
      <c r="AA4048" s="500"/>
      <c r="AB4048" s="500"/>
      <c r="AC4048" s="500"/>
      <c r="AD4048" s="500"/>
      <c r="AE4048" s="500"/>
      <c r="AF4048" s="500"/>
      <c r="AG4048" s="500"/>
      <c r="AH4048" s="500"/>
      <c r="AI4048" s="500"/>
      <c r="AJ4048" s="500"/>
      <c r="AK4048" s="500"/>
      <c r="AL4048" s="500"/>
      <c r="AM4048" s="500"/>
      <c r="AN4048" s="500"/>
      <c r="AO4048" s="500"/>
      <c r="AP4048" s="500"/>
    </row>
    <row r="4049" spans="1:42" ht="16.5" customHeight="1">
      <c r="A4049" s="439"/>
      <c r="B4049" s="439"/>
      <c r="C4049" s="439"/>
      <c r="D4049" s="439"/>
      <c r="E4049" s="439"/>
      <c r="F4049" s="439"/>
      <c r="Z4049" s="500"/>
      <c r="AA4049" s="500"/>
      <c r="AB4049" s="500"/>
      <c r="AC4049" s="500"/>
      <c r="AD4049" s="500"/>
      <c r="AE4049" s="500"/>
      <c r="AF4049" s="500"/>
      <c r="AG4049" s="500"/>
      <c r="AH4049" s="500"/>
      <c r="AI4049" s="500"/>
      <c r="AJ4049" s="500"/>
      <c r="AK4049" s="500"/>
      <c r="AL4049" s="500"/>
      <c r="AM4049" s="500"/>
      <c r="AN4049" s="500"/>
      <c r="AO4049" s="500"/>
      <c r="AP4049" s="500"/>
    </row>
    <row r="4050" spans="1:42" ht="16.5" customHeight="1">
      <c r="A4050" s="439"/>
      <c r="B4050" s="439"/>
      <c r="C4050" s="439"/>
      <c r="D4050" s="439"/>
      <c r="E4050" s="439"/>
      <c r="F4050" s="439"/>
      <c r="Z4050" s="500"/>
      <c r="AA4050" s="500"/>
      <c r="AB4050" s="500"/>
      <c r="AC4050" s="500"/>
      <c r="AD4050" s="500"/>
      <c r="AE4050" s="500"/>
      <c r="AF4050" s="500"/>
      <c r="AG4050" s="500"/>
      <c r="AH4050" s="500"/>
      <c r="AI4050" s="500"/>
      <c r="AJ4050" s="500"/>
      <c r="AK4050" s="500"/>
      <c r="AL4050" s="500"/>
      <c r="AM4050" s="500"/>
      <c r="AN4050" s="500"/>
      <c r="AO4050" s="500"/>
      <c r="AP4050" s="500"/>
    </row>
    <row r="4051" spans="1:42" ht="16.5" customHeight="1">
      <c r="A4051" s="439"/>
      <c r="B4051" s="439"/>
      <c r="C4051" s="439"/>
      <c r="D4051" s="439"/>
      <c r="E4051" s="439"/>
      <c r="F4051" s="439"/>
      <c r="Z4051" s="500"/>
      <c r="AA4051" s="500"/>
      <c r="AB4051" s="500"/>
      <c r="AC4051" s="500"/>
      <c r="AD4051" s="500"/>
      <c r="AE4051" s="500"/>
      <c r="AF4051" s="500"/>
      <c r="AG4051" s="500"/>
      <c r="AH4051" s="500"/>
      <c r="AI4051" s="500"/>
      <c r="AJ4051" s="500"/>
      <c r="AK4051" s="500"/>
      <c r="AL4051" s="500"/>
      <c r="AM4051" s="500"/>
      <c r="AN4051" s="500"/>
      <c r="AO4051" s="500"/>
      <c r="AP4051" s="500"/>
    </row>
    <row r="4052" spans="1:42" ht="16.5" customHeight="1">
      <c r="A4052" s="439"/>
      <c r="B4052" s="439"/>
      <c r="C4052" s="439"/>
      <c r="D4052" s="439"/>
      <c r="E4052" s="439"/>
      <c r="F4052" s="439"/>
      <c r="Z4052" s="500"/>
      <c r="AA4052" s="500"/>
      <c r="AB4052" s="500"/>
      <c r="AC4052" s="500"/>
      <c r="AD4052" s="500"/>
      <c r="AE4052" s="500"/>
      <c r="AF4052" s="500"/>
      <c r="AG4052" s="500"/>
      <c r="AH4052" s="500"/>
      <c r="AI4052" s="500"/>
      <c r="AJ4052" s="500"/>
      <c r="AK4052" s="500"/>
      <c r="AL4052" s="500"/>
      <c r="AM4052" s="500"/>
      <c r="AN4052" s="500"/>
      <c r="AO4052" s="500"/>
      <c r="AP4052" s="500"/>
    </row>
    <row r="4053" spans="1:42" ht="16.5" customHeight="1">
      <c r="A4053" s="497"/>
      <c r="B4053" s="497"/>
      <c r="C4053" s="497"/>
      <c r="D4053" s="497"/>
      <c r="E4053" s="497"/>
      <c r="F4053" s="497"/>
      <c r="Z4053" s="500"/>
      <c r="AA4053" s="500"/>
      <c r="AB4053" s="500"/>
      <c r="AC4053" s="500"/>
      <c r="AD4053" s="500"/>
      <c r="AE4053" s="500"/>
      <c r="AF4053" s="500"/>
      <c r="AG4053" s="500"/>
      <c r="AH4053" s="500"/>
      <c r="AI4053" s="500"/>
      <c r="AJ4053" s="500"/>
      <c r="AK4053" s="500"/>
      <c r="AL4053" s="500"/>
      <c r="AM4053" s="500"/>
      <c r="AN4053" s="500"/>
      <c r="AO4053" s="500"/>
      <c r="AP4053" s="500"/>
    </row>
    <row r="4054" spans="1:42" ht="16.5" customHeight="1">
      <c r="A4054" s="616" t="s">
        <v>3487</v>
      </c>
      <c r="B4054" s="605"/>
      <c r="C4054" s="446">
        <f>E4054+D4054+F4054</f>
        <v>514</v>
      </c>
      <c r="D4054" s="453">
        <f>ROUNDDOWN(SUMIF(N4007:N4031,M4054,D4007:D4031),0)</f>
        <v>485</v>
      </c>
      <c r="E4054" s="454">
        <f>ROUNDDOWN(SUMIF(N4007:N4031,M4054,E4007:E4031),0)</f>
        <v>0</v>
      </c>
      <c r="F4054" s="446">
        <f>ROUNDDOWN(SUMIF(N4007:N4031,M4054,F4007:F4031),0)</f>
        <v>29</v>
      </c>
      <c r="M4054" s="501" t="s">
        <v>2354</v>
      </c>
      <c r="Z4054" s="500"/>
      <c r="AA4054" s="500"/>
      <c r="AB4054" s="500"/>
      <c r="AC4054" s="500"/>
      <c r="AD4054" s="500"/>
      <c r="AE4054" s="500"/>
      <c r="AF4054" s="500"/>
      <c r="AG4054" s="500"/>
      <c r="AH4054" s="500"/>
      <c r="AI4054" s="500"/>
      <c r="AJ4054" s="500"/>
      <c r="AK4054" s="500"/>
      <c r="AL4054" s="500"/>
      <c r="AM4054" s="500"/>
      <c r="AN4054" s="500"/>
      <c r="AO4054" s="500"/>
      <c r="AP4054" s="500"/>
    </row>
    <row r="4055" spans="1:42" ht="16.5" customHeight="1">
      <c r="A4055" s="502"/>
      <c r="B4055" s="503" t="s">
        <v>1932</v>
      </c>
      <c r="C4055" s="615">
        <f>C4104</f>
        <v>450</v>
      </c>
      <c r="D4055" s="615">
        <f>D4104</f>
        <v>425</v>
      </c>
      <c r="E4055" s="615">
        <f>E4104</f>
        <v>0</v>
      </c>
      <c r="F4055" s="615">
        <f>F4104</f>
        <v>25</v>
      </c>
      <c r="G4055" s="486" t="str">
        <f>HYPERLINK("#G"&amp;ROW(G4081),"_x0005_`BDCOD|D01277_x0007_`POSS|"&amp;ROW(G4057)&amp;"_x0007_`POSE|"&amp;ROW(G4081)&amp;"_x0007_`")</f>
        <v>_x0005_`BDCOD|D01277_x0007_`POSS|4057_x0007_`POSE|4081_x0007_`</v>
      </c>
      <c r="Z4055" s="500"/>
      <c r="AA4055" s="500"/>
      <c r="AB4055" s="500"/>
      <c r="AC4055" s="500"/>
      <c r="AD4055" s="500"/>
      <c r="AE4055" s="500"/>
      <c r="AF4055" s="500"/>
      <c r="AG4055" s="500"/>
      <c r="AH4055" s="500"/>
      <c r="AI4055" s="500"/>
      <c r="AJ4055" s="500"/>
      <c r="AK4055" s="500"/>
      <c r="AL4055" s="500"/>
      <c r="AM4055" s="500"/>
      <c r="AN4055" s="500"/>
      <c r="AO4055" s="500"/>
      <c r="AP4055" s="500"/>
    </row>
    <row r="4056" spans="1:42" ht="16.5" customHeight="1">
      <c r="A4056" s="485"/>
      <c r="B4056" s="503" t="s">
        <v>3896</v>
      </c>
      <c r="C4056" s="593"/>
      <c r="D4056" s="593"/>
      <c r="E4056" s="593"/>
      <c r="F4056" s="593"/>
      <c r="M4056" s="501" t="s">
        <v>1932</v>
      </c>
      <c r="Z4056" s="500"/>
      <c r="AA4056" s="500"/>
      <c r="AB4056" s="500"/>
      <c r="AC4056" s="500"/>
      <c r="AD4056" s="500"/>
      <c r="AE4056" s="500"/>
      <c r="AF4056" s="500"/>
      <c r="AG4056" s="500"/>
      <c r="AH4056" s="500"/>
      <c r="AI4056" s="500"/>
      <c r="AJ4056" s="500"/>
      <c r="AK4056" s="500"/>
      <c r="AL4056" s="500"/>
      <c r="AM4056" s="500"/>
      <c r="AN4056" s="500"/>
      <c r="AO4056" s="500"/>
      <c r="AP4056" s="500"/>
    </row>
    <row r="4057" spans="1:42" ht="16.5" customHeight="1">
      <c r="A4057" s="439"/>
      <c r="B4057" s="439"/>
      <c r="C4057" s="504"/>
      <c r="D4057" s="504"/>
      <c r="E4057" s="504"/>
      <c r="F4057" s="504"/>
      <c r="G4057" s="451" t="s">
        <v>3406</v>
      </c>
      <c r="Z4057" s="500"/>
      <c r="AA4057" s="500"/>
      <c r="AB4057" s="500"/>
      <c r="AC4057" s="500"/>
      <c r="AD4057" s="500"/>
      <c r="AE4057" s="500"/>
      <c r="AF4057" s="500"/>
      <c r="AG4057" s="500"/>
      <c r="AH4057" s="500"/>
      <c r="AI4057" s="500"/>
      <c r="AJ4057" s="500"/>
      <c r="AK4057" s="500"/>
      <c r="AL4057" s="500"/>
      <c r="AM4057" s="500"/>
      <c r="AN4057" s="500"/>
      <c r="AO4057" s="500"/>
      <c r="AP4057" s="500"/>
    </row>
    <row r="4058" spans="1:42" ht="16.5" customHeight="1">
      <c r="A4058" s="434"/>
      <c r="B4058" s="437" t="s">
        <v>3897</v>
      </c>
      <c r="C4058" s="439"/>
      <c r="D4058" s="439"/>
      <c r="E4058" s="439"/>
      <c r="F4058" s="439"/>
      <c r="G4058" s="451" t="s">
        <v>3898</v>
      </c>
      <c r="Z4058" s="500"/>
      <c r="AA4058" s="500"/>
      <c r="AB4058" s="500"/>
      <c r="AC4058" s="500"/>
      <c r="AD4058" s="500"/>
      <c r="AE4058" s="500"/>
      <c r="AF4058" s="500"/>
      <c r="AG4058" s="500"/>
      <c r="AH4058" s="500"/>
      <c r="AI4058" s="500"/>
      <c r="AJ4058" s="500"/>
      <c r="AK4058" s="500"/>
      <c r="AL4058" s="500"/>
      <c r="AM4058" s="500"/>
      <c r="AN4058" s="500"/>
      <c r="AO4058" s="500"/>
      <c r="AP4058" s="500"/>
    </row>
    <row r="4059" spans="1:42" ht="16.5" customHeight="1">
      <c r="A4059" s="439"/>
      <c r="B4059" s="439"/>
      <c r="C4059" s="439"/>
      <c r="D4059" s="439"/>
      <c r="E4059" s="439"/>
      <c r="F4059" s="439"/>
      <c r="G4059" s="451" t="s">
        <v>3406</v>
      </c>
      <c r="Z4059" s="500"/>
      <c r="AA4059" s="500"/>
      <c r="AB4059" s="500"/>
      <c r="AC4059" s="500"/>
      <c r="AD4059" s="500"/>
      <c r="AE4059" s="500"/>
      <c r="AF4059" s="500"/>
      <c r="AG4059" s="500"/>
      <c r="AH4059" s="500"/>
      <c r="AI4059" s="500"/>
      <c r="AJ4059" s="500"/>
      <c r="AK4059" s="500"/>
      <c r="AL4059" s="500"/>
      <c r="AM4059" s="500"/>
      <c r="AN4059" s="500"/>
      <c r="AO4059" s="500"/>
      <c r="AP4059" s="500"/>
    </row>
    <row r="4060" spans="1:42" ht="16.5" customHeight="1">
      <c r="A4060" s="434"/>
      <c r="B4060" s="437" t="s">
        <v>3888</v>
      </c>
      <c r="C4060" s="439"/>
      <c r="D4060" s="439"/>
      <c r="E4060" s="439"/>
      <c r="F4060" s="439"/>
      <c r="G4060" s="451" t="s">
        <v>3889</v>
      </c>
      <c r="Z4060" s="500"/>
      <c r="AA4060" s="500"/>
      <c r="AB4060" s="500"/>
      <c r="AC4060" s="500"/>
      <c r="AD4060" s="500"/>
      <c r="AE4060" s="500"/>
      <c r="AF4060" s="500"/>
      <c r="AG4060" s="500"/>
      <c r="AH4060" s="500"/>
      <c r="AI4060" s="500"/>
      <c r="AJ4060" s="500"/>
      <c r="AK4060" s="500"/>
      <c r="AL4060" s="500"/>
      <c r="AM4060" s="500"/>
      <c r="AN4060" s="500"/>
      <c r="AO4060" s="500"/>
      <c r="AP4060" s="500"/>
    </row>
    <row r="4061" spans="1:42" ht="16.5" customHeight="1">
      <c r="A4061" s="439"/>
      <c r="B4061" s="439"/>
      <c r="C4061" s="439"/>
      <c r="D4061" s="439"/>
      <c r="E4061" s="439"/>
      <c r="F4061" s="439"/>
      <c r="G4061" s="451" t="s">
        <v>3406</v>
      </c>
      <c r="Z4061" s="500"/>
      <c r="AA4061" s="500"/>
      <c r="AB4061" s="500"/>
      <c r="AC4061" s="500"/>
      <c r="AD4061" s="500"/>
      <c r="AE4061" s="500"/>
      <c r="AF4061" s="500"/>
      <c r="AG4061" s="500"/>
      <c r="AH4061" s="500"/>
      <c r="AI4061" s="500"/>
      <c r="AJ4061" s="500"/>
      <c r="AK4061" s="500"/>
      <c r="AL4061" s="500"/>
      <c r="AM4061" s="500"/>
      <c r="AN4061" s="500"/>
      <c r="AO4061" s="500"/>
      <c r="AP4061" s="500"/>
    </row>
    <row r="4062" spans="1:42" ht="16.5" customHeight="1">
      <c r="A4062" s="434"/>
      <c r="B4062" s="437" t="str">
        <f>" 일당 작업량 :  Q1 = "&amp;Z4062&amp;" * "&amp;AB4062&amp;" = "&amp;AD4062&amp;"  ㎡ "</f>
        <v xml:space="preserve"> 일당 작업량 :  Q1 = 2500 * 0.8 = 2,000.00  ㎡ </v>
      </c>
      <c r="C4062" s="439"/>
      <c r="D4062" s="439"/>
      <c r="E4062" s="439"/>
      <c r="F4062" s="439"/>
      <c r="G4062" s="451" t="s">
        <v>3899</v>
      </c>
      <c r="Z4062" s="515">
        <v>2500</v>
      </c>
      <c r="AA4062" s="501" t="s">
        <v>3368</v>
      </c>
      <c r="AB4062" s="511">
        <v>0.8</v>
      </c>
      <c r="AC4062" s="501" t="s">
        <v>3418</v>
      </c>
      <c r="AD4062" s="512" t="str">
        <f>TEXT(ROUND(Z4062*AB4062,2),"#,0.00")</f>
        <v>2,000.00</v>
      </c>
      <c r="AE4062" s="500"/>
      <c r="AF4062" s="500"/>
      <c r="AG4062" s="500"/>
      <c r="AH4062" s="500"/>
      <c r="AI4062" s="500"/>
      <c r="AJ4062" s="500"/>
      <c r="AK4062" s="500"/>
      <c r="AL4062" s="500"/>
      <c r="AM4062" s="500"/>
      <c r="AN4062" s="500"/>
      <c r="AO4062" s="500"/>
      <c r="AP4062" s="500"/>
    </row>
    <row r="4063" spans="1:42" ht="16.5" customHeight="1">
      <c r="A4063" s="439"/>
      <c r="B4063" s="439"/>
      <c r="C4063" s="439"/>
      <c r="D4063" s="439"/>
      <c r="E4063" s="439"/>
      <c r="F4063" s="439"/>
      <c r="G4063" s="451" t="s">
        <v>3406</v>
      </c>
      <c r="Z4063" s="500"/>
      <c r="AA4063" s="500"/>
      <c r="AB4063" s="500"/>
      <c r="AC4063" s="500"/>
      <c r="AD4063" s="500"/>
      <c r="AE4063" s="500"/>
      <c r="AF4063" s="500"/>
      <c r="AG4063" s="500"/>
      <c r="AH4063" s="500"/>
      <c r="AI4063" s="500"/>
      <c r="AJ4063" s="500"/>
      <c r="AK4063" s="500"/>
      <c r="AL4063" s="500"/>
      <c r="AM4063" s="500"/>
      <c r="AN4063" s="500"/>
      <c r="AO4063" s="500"/>
      <c r="AP4063" s="500"/>
    </row>
    <row r="4064" spans="1:42" ht="16.5" customHeight="1">
      <c r="A4064" s="434"/>
      <c r="B4064" s="437" t="s">
        <v>3891</v>
      </c>
      <c r="C4064" s="439"/>
      <c r="D4064" s="439"/>
      <c r="E4064" s="439"/>
      <c r="F4064" s="439"/>
      <c r="G4064" s="451" t="s">
        <v>3892</v>
      </c>
      <c r="Z4064" s="500"/>
      <c r="AA4064" s="500"/>
      <c r="AB4064" s="500"/>
      <c r="AC4064" s="500"/>
      <c r="AD4064" s="500"/>
      <c r="AE4064" s="500"/>
      <c r="AF4064" s="500"/>
      <c r="AG4064" s="500"/>
      <c r="AH4064" s="500"/>
      <c r="AI4064" s="500"/>
      <c r="AJ4064" s="500"/>
      <c r="AK4064" s="500"/>
      <c r="AL4064" s="500"/>
      <c r="AM4064" s="500"/>
      <c r="AN4064" s="500"/>
      <c r="AO4064" s="500"/>
      <c r="AP4064" s="500"/>
    </row>
    <row r="4065" spans="1:42" ht="16.5" customHeight="1">
      <c r="A4065" s="439"/>
      <c r="B4065" s="439"/>
      <c r="C4065" s="439"/>
      <c r="D4065" s="439"/>
      <c r="E4065" s="439"/>
      <c r="F4065" s="439"/>
      <c r="G4065" s="451" t="s">
        <v>3406</v>
      </c>
      <c r="Z4065" s="500"/>
      <c r="AA4065" s="500"/>
      <c r="AB4065" s="500"/>
      <c r="AC4065" s="500"/>
      <c r="AD4065" s="500"/>
      <c r="AE4065" s="500"/>
      <c r="AF4065" s="500"/>
      <c r="AG4065" s="500"/>
      <c r="AH4065" s="500"/>
      <c r="AI4065" s="500"/>
      <c r="AJ4065" s="500"/>
      <c r="AK4065" s="500"/>
      <c r="AL4065" s="500"/>
      <c r="AM4065" s="500"/>
      <c r="AN4065" s="500"/>
      <c r="AO4065" s="500"/>
      <c r="AP4065" s="500"/>
    </row>
    <row r="4066" spans="1:42" ht="16.5" customHeight="1">
      <c r="A4066" s="439"/>
      <c r="B4066" s="439"/>
      <c r="C4066" s="439"/>
      <c r="D4066" s="439"/>
      <c r="E4066" s="439"/>
      <c r="F4066" s="439"/>
      <c r="G4066" s="451" t="s">
        <v>3406</v>
      </c>
      <c r="Z4066" s="500"/>
      <c r="AA4066" s="500"/>
      <c r="AB4066" s="500"/>
      <c r="AC4066" s="500"/>
      <c r="AD4066" s="500"/>
      <c r="AE4066" s="500"/>
      <c r="AF4066" s="500"/>
      <c r="AG4066" s="500"/>
      <c r="AH4066" s="500"/>
      <c r="AI4066" s="500"/>
      <c r="AJ4066" s="500"/>
      <c r="AK4066" s="500"/>
      <c r="AL4066" s="500"/>
      <c r="AM4066" s="500"/>
      <c r="AN4066" s="500"/>
      <c r="AO4066" s="500"/>
      <c r="AP4066" s="500"/>
    </row>
    <row r="4067" spans="1:42" ht="16.5" customHeight="1">
      <c r="A4067" s="434"/>
      <c r="B4067" s="437" t="s">
        <v>3496</v>
      </c>
      <c r="C4067" s="439"/>
      <c r="D4067" s="439"/>
      <c r="E4067" s="439"/>
      <c r="F4067" s="439"/>
      <c r="G4067" s="451" t="s">
        <v>3497</v>
      </c>
      <c r="Z4067" s="500"/>
      <c r="AA4067" s="500"/>
      <c r="AB4067" s="500"/>
      <c r="AC4067" s="500"/>
      <c r="AD4067" s="500"/>
      <c r="AE4067" s="500"/>
      <c r="AF4067" s="500"/>
      <c r="AG4067" s="500"/>
      <c r="AH4067" s="500"/>
      <c r="AI4067" s="500"/>
      <c r="AJ4067" s="500"/>
      <c r="AK4067" s="500"/>
      <c r="AL4067" s="500"/>
      <c r="AM4067" s="500"/>
      <c r="AN4067" s="500"/>
      <c r="AO4067" s="500"/>
      <c r="AP4067" s="500"/>
    </row>
    <row r="4068" spans="1:42" ht="16.5" customHeight="1">
      <c r="A4068" s="439"/>
      <c r="B4068" s="439"/>
      <c r="C4068" s="439"/>
      <c r="D4068" s="439"/>
      <c r="E4068" s="439"/>
      <c r="F4068" s="439"/>
      <c r="G4068" s="451" t="s">
        <v>3406</v>
      </c>
      <c r="Z4068" s="500"/>
      <c r="AA4068" s="500"/>
      <c r="AB4068" s="500"/>
      <c r="AC4068" s="500"/>
      <c r="AD4068" s="500"/>
      <c r="AE4068" s="500"/>
      <c r="AF4068" s="500"/>
      <c r="AG4068" s="500"/>
      <c r="AH4068" s="500"/>
      <c r="AI4068" s="500"/>
      <c r="AJ4068" s="500"/>
      <c r="AK4068" s="500"/>
      <c r="AL4068" s="500"/>
      <c r="AM4068" s="500"/>
      <c r="AN4068" s="500"/>
      <c r="AO4068" s="500"/>
      <c r="AP4068" s="500"/>
    </row>
    <row r="4069" spans="1:42" ht="16.5" customHeight="1">
      <c r="A4069" s="434" t="s">
        <v>3821</v>
      </c>
      <c r="B4069" s="505" t="str">
        <f>" 특별인부 : "&amp;TEXT(I4069,"#,##0"&amp;IF(I4069&lt;&gt;INT(I4069),".###",""))&amp;" * "&amp;AA4069&amp;" 인  / Q1 = "&amp;TEXT(C4069,"#,##0.0")&amp;" "</f>
        <v xml:space="preserve"> 특별인부 : 226,122 * 3 인  / Q1 = 339.1 </v>
      </c>
      <c r="C4069" s="506">
        <f>E4069+D4069+F4069</f>
        <v>339.1</v>
      </c>
      <c r="D4069" s="506">
        <f>IF(H4069=0,0,ROUNDDOWN(J4069*H4069,1))</f>
        <v>339.1</v>
      </c>
      <c r="E4069" s="506">
        <f>IF(H4069=0,0,ROUNDDOWN(K4069*H4069,1))</f>
        <v>0</v>
      </c>
      <c r="F4069" s="506">
        <f>IF(H4069=0,0,ROUNDDOWN(L4069*H4069,1))</f>
        <v>0</v>
      </c>
      <c r="G4069" s="451" t="s">
        <v>3893</v>
      </c>
      <c r="H4069" s="507">
        <f>ROUNDUP(AE4069,14-LEN(ABS(INT(AE4069))))</f>
        <v>1.5E-3</v>
      </c>
      <c r="I4069" s="508">
        <f>K4069+J4069+L4069</f>
        <v>226122</v>
      </c>
      <c r="J4069" s="509">
        <f>노무비목록표!E21</f>
        <v>226122</v>
      </c>
      <c r="M4069" s="501" t="s">
        <v>2519</v>
      </c>
      <c r="N4069" s="501" t="s">
        <v>3416</v>
      </c>
      <c r="O4069" s="501" t="s">
        <v>2355</v>
      </c>
      <c r="X4069" s="510" t="str">
        <f>노무비목록표!B21&amp;" / "&amp;노무비목록표!C21</f>
        <v xml:space="preserve">특별인부 / </v>
      </c>
      <c r="Y4069" s="433" t="str">
        <f ca="1">HYPERLINK("#"&amp;노무비목록표!G2&amp;"!A"&amp;ROW(노무비목록표!A21),"L00016 →")</f>
        <v>L00016 →</v>
      </c>
      <c r="Z4069" s="501" t="s">
        <v>3500</v>
      </c>
      <c r="AA4069" s="515">
        <v>3</v>
      </c>
      <c r="AB4069" s="501" t="s">
        <v>3428</v>
      </c>
      <c r="AC4069" s="512" t="str">
        <f>AD4062</f>
        <v>2,000.00</v>
      </c>
      <c r="AD4069" s="501" t="s">
        <v>3418</v>
      </c>
      <c r="AE4069" s="512">
        <f>1*AA4069/AD4062</f>
        <v>1.5E-3</v>
      </c>
      <c r="AF4069" s="500"/>
      <c r="AG4069" s="500"/>
      <c r="AH4069" s="500"/>
      <c r="AI4069" s="500"/>
      <c r="AJ4069" s="500"/>
      <c r="AK4069" s="500"/>
      <c r="AL4069" s="500"/>
      <c r="AM4069" s="500"/>
      <c r="AN4069" s="500"/>
      <c r="AO4069" s="500"/>
      <c r="AP4069" s="500"/>
    </row>
    <row r="4070" spans="1:42" ht="16.5" customHeight="1">
      <c r="A4070" s="439"/>
      <c r="B4070" s="439"/>
      <c r="C4070" s="439"/>
      <c r="D4070" s="439"/>
      <c r="E4070" s="439"/>
      <c r="F4070" s="439"/>
      <c r="G4070" s="451" t="s">
        <v>3406</v>
      </c>
      <c r="Z4070" s="500"/>
      <c r="AA4070" s="500"/>
      <c r="AB4070" s="500"/>
      <c r="AC4070" s="500"/>
      <c r="AD4070" s="500"/>
      <c r="AE4070" s="500"/>
      <c r="AF4070" s="500"/>
      <c r="AG4070" s="500"/>
      <c r="AH4070" s="500"/>
      <c r="AI4070" s="500"/>
      <c r="AJ4070" s="500"/>
      <c r="AK4070" s="500"/>
      <c r="AL4070" s="500"/>
      <c r="AM4070" s="500"/>
      <c r="AN4070" s="500"/>
      <c r="AO4070" s="500"/>
      <c r="AP4070" s="500"/>
    </row>
    <row r="4071" spans="1:42" ht="16.5" customHeight="1">
      <c r="A4071" s="434" t="s">
        <v>3414</v>
      </c>
      <c r="B4071" s="505" t="str">
        <f>" 보통인부 : "&amp;TEXT(I4071,"#,##0"&amp;IF(I4071&lt;&gt;INT(I4071),".###",""))&amp;" * "&amp;AA4071&amp;" 인  / Q1 = "&amp;TEXT(C4071,"#,##0.0")&amp;" "</f>
        <v xml:space="preserve"> 보통인부 : 172,068 * 1 인  / Q1 = 86.0 </v>
      </c>
      <c r="C4071" s="506">
        <f>E4071+D4071+F4071</f>
        <v>86</v>
      </c>
      <c r="D4071" s="506">
        <f>IF(H4071=0,0,ROUNDDOWN(J4071*H4071,1))</f>
        <v>86</v>
      </c>
      <c r="E4071" s="506">
        <f>IF(H4071=0,0,ROUNDDOWN(K4071*H4071,1))</f>
        <v>0</v>
      </c>
      <c r="F4071" s="506">
        <f>IF(H4071=0,0,ROUNDDOWN(L4071*H4071,1))</f>
        <v>0</v>
      </c>
      <c r="G4071" s="451" t="s">
        <v>3894</v>
      </c>
      <c r="H4071" s="507">
        <f>ROUNDUP(AE4071,14-LEN(ABS(INT(AE4071))))</f>
        <v>5.0000000000000001E-4</v>
      </c>
      <c r="I4071" s="508">
        <f>K4071+J4071+L4071</f>
        <v>172068</v>
      </c>
      <c r="J4071" s="509">
        <f>노무비목록표!E10</f>
        <v>172068</v>
      </c>
      <c r="M4071" s="501" t="s">
        <v>2363</v>
      </c>
      <c r="N4071" s="501" t="s">
        <v>3416</v>
      </c>
      <c r="O4071" s="501" t="s">
        <v>2355</v>
      </c>
      <c r="X4071" s="510" t="str">
        <f>노무비목록표!B10&amp;" / "&amp;노무비목록표!C10</f>
        <v xml:space="preserve">보통인부 / </v>
      </c>
      <c r="Y4071" s="433" t="str">
        <f ca="1">HYPERLINK("#"&amp;노무비목록표!G2&amp;"!A"&amp;ROW(노무비목록표!A10),"L00017 →")</f>
        <v>L00017 →</v>
      </c>
      <c r="Z4071" s="501" t="s">
        <v>3500</v>
      </c>
      <c r="AA4071" s="515">
        <v>1</v>
      </c>
      <c r="AB4071" s="501" t="s">
        <v>3428</v>
      </c>
      <c r="AC4071" s="512" t="str">
        <f>AD4062</f>
        <v>2,000.00</v>
      </c>
      <c r="AD4071" s="501" t="s">
        <v>3418</v>
      </c>
      <c r="AE4071" s="512">
        <f>1*AA4071/AD4062</f>
        <v>5.0000000000000001E-4</v>
      </c>
      <c r="AF4071" s="500"/>
      <c r="AG4071" s="500"/>
      <c r="AH4071" s="500"/>
      <c r="AI4071" s="500"/>
      <c r="AJ4071" s="500"/>
      <c r="AK4071" s="500"/>
      <c r="AL4071" s="500"/>
      <c r="AM4071" s="500"/>
      <c r="AN4071" s="500"/>
      <c r="AO4071" s="500"/>
      <c r="AP4071" s="500"/>
    </row>
    <row r="4072" spans="1:42" ht="16.5" customHeight="1">
      <c r="A4072" s="439"/>
      <c r="B4072" s="439"/>
      <c r="C4072" s="439"/>
      <c r="D4072" s="439"/>
      <c r="E4072" s="439"/>
      <c r="F4072" s="439"/>
      <c r="G4072" s="451" t="s">
        <v>3406</v>
      </c>
      <c r="Z4072" s="500"/>
      <c r="AA4072" s="500"/>
      <c r="AB4072" s="500"/>
      <c r="AC4072" s="500"/>
      <c r="AD4072" s="500"/>
      <c r="AE4072" s="500"/>
      <c r="AF4072" s="500"/>
      <c r="AG4072" s="500"/>
      <c r="AH4072" s="500"/>
      <c r="AI4072" s="500"/>
      <c r="AJ4072" s="500"/>
      <c r="AK4072" s="500"/>
      <c r="AL4072" s="500"/>
      <c r="AM4072" s="500"/>
      <c r="AN4072" s="500"/>
      <c r="AO4072" s="500"/>
      <c r="AP4072" s="500"/>
    </row>
    <row r="4073" spans="1:42" ht="16.5" customHeight="1">
      <c r="A4073" s="434"/>
      <c r="B4073" s="437" t="s">
        <v>3419</v>
      </c>
      <c r="C4073" s="513">
        <f>E4073+D4073+F4073</f>
        <v>425.1</v>
      </c>
      <c r="D4073" s="513">
        <f>SUMIF(N4057:N4072,M4073,D4057:D4072)</f>
        <v>425.1</v>
      </c>
      <c r="E4073" s="513">
        <f>SUMIF(N4057:N4072,M4073,E4057:E4072)</f>
        <v>0</v>
      </c>
      <c r="F4073" s="513">
        <f>SUMIF(N4057:N4072,M4073,F4057:F4072)</f>
        <v>0</v>
      </c>
      <c r="G4073" s="451" t="s">
        <v>3420</v>
      </c>
      <c r="M4073" s="501" t="s">
        <v>3416</v>
      </c>
      <c r="N4073" s="501" t="s">
        <v>3421</v>
      </c>
      <c r="Z4073" s="500"/>
      <c r="AA4073" s="500"/>
      <c r="AB4073" s="500"/>
      <c r="AC4073" s="500"/>
      <c r="AD4073" s="500"/>
      <c r="AE4073" s="500"/>
      <c r="AF4073" s="500"/>
      <c r="AG4073" s="500"/>
      <c r="AH4073" s="500"/>
      <c r="AI4073" s="500"/>
      <c r="AJ4073" s="500"/>
      <c r="AK4073" s="500"/>
      <c r="AL4073" s="500"/>
      <c r="AM4073" s="500"/>
      <c r="AN4073" s="500"/>
      <c r="AO4073" s="500"/>
      <c r="AP4073" s="500"/>
    </row>
    <row r="4074" spans="1:42" ht="16.5" customHeight="1">
      <c r="A4074" s="439"/>
      <c r="B4074" s="439"/>
      <c r="C4074" s="504"/>
      <c r="D4074" s="504"/>
      <c r="E4074" s="504"/>
      <c r="F4074" s="504"/>
      <c r="G4074" s="451" t="s">
        <v>3406</v>
      </c>
      <c r="Z4074" s="500"/>
      <c r="AA4074" s="500"/>
      <c r="AB4074" s="500"/>
      <c r="AC4074" s="500"/>
      <c r="AD4074" s="500"/>
      <c r="AE4074" s="500"/>
      <c r="AF4074" s="500"/>
      <c r="AG4074" s="500"/>
      <c r="AH4074" s="500"/>
      <c r="AI4074" s="500"/>
      <c r="AJ4074" s="500"/>
      <c r="AK4074" s="500"/>
      <c r="AL4074" s="500"/>
      <c r="AM4074" s="500"/>
      <c r="AN4074" s="500"/>
      <c r="AO4074" s="500"/>
      <c r="AP4074" s="500"/>
    </row>
    <row r="4075" spans="1:42" ht="16.5" customHeight="1">
      <c r="A4075" s="439"/>
      <c r="B4075" s="439"/>
      <c r="C4075" s="439"/>
      <c r="D4075" s="439"/>
      <c r="E4075" s="439"/>
      <c r="F4075" s="439"/>
      <c r="G4075" s="451" t="s">
        <v>3406</v>
      </c>
      <c r="Z4075" s="500"/>
      <c r="AA4075" s="500"/>
      <c r="AB4075" s="500"/>
      <c r="AC4075" s="500"/>
      <c r="AD4075" s="500"/>
      <c r="AE4075" s="500"/>
      <c r="AF4075" s="500"/>
      <c r="AG4075" s="500"/>
      <c r="AH4075" s="500"/>
      <c r="AI4075" s="500"/>
      <c r="AJ4075" s="500"/>
      <c r="AK4075" s="500"/>
      <c r="AL4075" s="500"/>
      <c r="AM4075" s="500"/>
      <c r="AN4075" s="500"/>
      <c r="AO4075" s="500"/>
      <c r="AP4075" s="500"/>
    </row>
    <row r="4076" spans="1:42" ht="16.5" customHeight="1">
      <c r="A4076" s="434"/>
      <c r="B4076" s="505" t="str">
        <f>" 2. 공구손료 및 기계경비(인력품의 6%) : "&amp;TEXT(I4076,"#,##0.0")&amp;" * "&amp;AA4076&amp;" %  = "&amp;TEXT(C4076,"#,##0.0")&amp;""</f>
        <v xml:space="preserve"> 2. 공구손료 및 기계경비(인력품의 6%) : 425.1 * 6 %  = 25.5</v>
      </c>
      <c r="C4076" s="506">
        <f>E4076+D4076+F4076</f>
        <v>25.5</v>
      </c>
      <c r="D4076" s="506">
        <f>IF(H4076=0,0,ROUNDDOWN(J4076*H4076/100,1))</f>
        <v>0</v>
      </c>
      <c r="E4076" s="506">
        <f>IF(H4076=0,0,ROUNDDOWN(K4076*H4076/100,1))</f>
        <v>0</v>
      </c>
      <c r="F4076" s="506">
        <f>IF(H4076=0,0,ROUNDDOWN(L4076*H4076/100,1))</f>
        <v>25.5</v>
      </c>
      <c r="G4076" s="451" t="s">
        <v>3895</v>
      </c>
      <c r="H4076" s="507">
        <f>ROUNDUP(AC4076,14-LEN(ABS(INT(AC4076))))</f>
        <v>6</v>
      </c>
      <c r="I4076" s="508">
        <f>K4076+J4076+L4076</f>
        <v>425.1</v>
      </c>
      <c r="J4076" s="456">
        <v>0</v>
      </c>
      <c r="K4076" s="456">
        <v>0</v>
      </c>
      <c r="L4076" s="509">
        <f>D4069+D4071</f>
        <v>425.1</v>
      </c>
      <c r="M4076" s="501" t="s">
        <v>3743</v>
      </c>
      <c r="N4076" s="501" t="s">
        <v>3416</v>
      </c>
      <c r="Z4076" s="501" t="s">
        <v>3500</v>
      </c>
      <c r="AA4076" s="515">
        <v>6</v>
      </c>
      <c r="AB4076" s="501" t="s">
        <v>3418</v>
      </c>
      <c r="AC4076" s="512">
        <f>1*AA4076</f>
        <v>6</v>
      </c>
      <c r="AD4076" s="500"/>
      <c r="AE4076" s="500"/>
      <c r="AF4076" s="500"/>
      <c r="AG4076" s="500"/>
      <c r="AH4076" s="500"/>
      <c r="AI4076" s="500"/>
      <c r="AJ4076" s="500"/>
      <c r="AK4076" s="500"/>
      <c r="AL4076" s="500"/>
      <c r="AM4076" s="500"/>
      <c r="AN4076" s="500"/>
      <c r="AO4076" s="500"/>
      <c r="AP4076" s="500"/>
    </row>
    <row r="4077" spans="1:42" ht="16.5" customHeight="1">
      <c r="A4077" s="439"/>
      <c r="B4077" s="439"/>
      <c r="C4077" s="439"/>
      <c r="D4077" s="439"/>
      <c r="E4077" s="439"/>
      <c r="F4077" s="439"/>
      <c r="G4077" s="451" t="s">
        <v>3406</v>
      </c>
      <c r="Z4077" s="500"/>
      <c r="AA4077" s="500"/>
      <c r="AB4077" s="500"/>
      <c r="AC4077" s="500"/>
      <c r="AD4077" s="500"/>
      <c r="AE4077" s="500"/>
      <c r="AF4077" s="500"/>
      <c r="AG4077" s="500"/>
      <c r="AH4077" s="500"/>
      <c r="AI4077" s="500"/>
      <c r="AJ4077" s="500"/>
      <c r="AK4077" s="500"/>
      <c r="AL4077" s="500"/>
      <c r="AM4077" s="500"/>
      <c r="AN4077" s="500"/>
      <c r="AO4077" s="500"/>
      <c r="AP4077" s="500"/>
    </row>
    <row r="4078" spans="1:42" ht="16.5" customHeight="1">
      <c r="A4078" s="434"/>
      <c r="B4078" s="437" t="s">
        <v>3419</v>
      </c>
      <c r="C4078" s="513">
        <f>E4078+D4078+F4078</f>
        <v>25.5</v>
      </c>
      <c r="D4078" s="513">
        <f>SUMIF(N4074:N4077,M4078,D4074:D4077)</f>
        <v>0</v>
      </c>
      <c r="E4078" s="513">
        <f>SUMIF(N4074:N4077,M4078,E4074:E4077)</f>
        <v>0</v>
      </c>
      <c r="F4078" s="513">
        <f>SUMIF(N4074:N4077,M4078,F4074:F4077)</f>
        <v>25.5</v>
      </c>
      <c r="G4078" s="451" t="s">
        <v>3420</v>
      </c>
      <c r="M4078" s="501" t="s">
        <v>3416</v>
      </c>
      <c r="N4078" s="501" t="s">
        <v>3421</v>
      </c>
      <c r="Z4078" s="500"/>
      <c r="AA4078" s="500"/>
      <c r="AB4078" s="500"/>
      <c r="AC4078" s="500"/>
      <c r="AD4078" s="500"/>
      <c r="AE4078" s="500"/>
      <c r="AF4078" s="500"/>
      <c r="AG4078" s="500"/>
      <c r="AH4078" s="500"/>
      <c r="AI4078" s="500"/>
      <c r="AJ4078" s="500"/>
      <c r="AK4078" s="500"/>
      <c r="AL4078" s="500"/>
      <c r="AM4078" s="500"/>
      <c r="AN4078" s="500"/>
      <c r="AO4078" s="500"/>
      <c r="AP4078" s="500"/>
    </row>
    <row r="4079" spans="1:42" ht="16.5" customHeight="1">
      <c r="A4079" s="439"/>
      <c r="B4079" s="439"/>
      <c r="C4079" s="504"/>
      <c r="D4079" s="504"/>
      <c r="E4079" s="504"/>
      <c r="F4079" s="504"/>
      <c r="G4079" s="451" t="s">
        <v>3406</v>
      </c>
      <c r="Z4079" s="500"/>
      <c r="AA4079" s="500"/>
      <c r="AB4079" s="500"/>
      <c r="AC4079" s="500"/>
      <c r="AD4079" s="500"/>
      <c r="AE4079" s="500"/>
      <c r="AF4079" s="500"/>
      <c r="AG4079" s="500"/>
      <c r="AH4079" s="500"/>
      <c r="AI4079" s="500"/>
      <c r="AJ4079" s="500"/>
      <c r="AK4079" s="500"/>
      <c r="AL4079" s="500"/>
      <c r="AM4079" s="500"/>
      <c r="AN4079" s="500"/>
      <c r="AO4079" s="500"/>
      <c r="AP4079" s="500"/>
    </row>
    <row r="4080" spans="1:42" ht="16.5" customHeight="1">
      <c r="A4080" s="439"/>
      <c r="B4080" s="439"/>
      <c r="C4080" s="439"/>
      <c r="D4080" s="439"/>
      <c r="E4080" s="439"/>
      <c r="F4080" s="439"/>
      <c r="G4080" s="451" t="s">
        <v>3406</v>
      </c>
      <c r="Z4080" s="500"/>
      <c r="AA4080" s="500"/>
      <c r="AB4080" s="500"/>
      <c r="AC4080" s="500"/>
      <c r="AD4080" s="500"/>
      <c r="AE4080" s="500"/>
      <c r="AF4080" s="500"/>
      <c r="AG4080" s="500"/>
      <c r="AH4080" s="500"/>
      <c r="AI4080" s="500"/>
      <c r="AJ4080" s="500"/>
      <c r="AK4080" s="500"/>
      <c r="AL4080" s="500"/>
      <c r="AM4080" s="500"/>
      <c r="AN4080" s="500"/>
      <c r="AO4080" s="500"/>
      <c r="AP4080" s="500"/>
    </row>
    <row r="4081" spans="1:42" ht="16.5" customHeight="1">
      <c r="A4081" s="434"/>
      <c r="B4081" s="437" t="s">
        <v>3440</v>
      </c>
      <c r="C4081" s="513">
        <f>E4081+D4081+F4081</f>
        <v>450.6</v>
      </c>
      <c r="D4081" s="513">
        <f>SUMIF(N4057:N4080,M4081,D4057:D4080)</f>
        <v>425.1</v>
      </c>
      <c r="E4081" s="513">
        <f>SUMIF(N4057:N4080,M4081,E4057:E4080)</f>
        <v>0</v>
      </c>
      <c r="F4081" s="513">
        <f>SUMIF(N4057:N4080,M4081,F4057:F4080)</f>
        <v>25.5</v>
      </c>
      <c r="G4081" s="451" t="s">
        <v>3484</v>
      </c>
      <c r="M4081" s="501" t="s">
        <v>3421</v>
      </c>
      <c r="N4081" s="501" t="s">
        <v>2354</v>
      </c>
      <c r="Z4081" s="500"/>
      <c r="AA4081" s="500"/>
      <c r="AB4081" s="500"/>
      <c r="AC4081" s="500"/>
      <c r="AD4081" s="500"/>
      <c r="AE4081" s="500"/>
      <c r="AF4081" s="500"/>
      <c r="AG4081" s="500"/>
      <c r="AH4081" s="500"/>
      <c r="AI4081" s="500"/>
      <c r="AJ4081" s="500"/>
      <c r="AK4081" s="500"/>
      <c r="AL4081" s="500"/>
      <c r="AM4081" s="500"/>
      <c r="AN4081" s="500"/>
      <c r="AO4081" s="500"/>
      <c r="AP4081" s="500"/>
    </row>
    <row r="4082" spans="1:42" ht="16.5" customHeight="1">
      <c r="A4082" s="439"/>
      <c r="B4082" s="439"/>
      <c r="C4082" s="504"/>
      <c r="D4082" s="504"/>
      <c r="E4082" s="504"/>
      <c r="F4082" s="504"/>
      <c r="Z4082" s="500"/>
      <c r="AA4082" s="500"/>
      <c r="AB4082" s="500"/>
      <c r="AC4082" s="500"/>
      <c r="AD4082" s="500"/>
      <c r="AE4082" s="500"/>
      <c r="AF4082" s="500"/>
      <c r="AG4082" s="500"/>
      <c r="AH4082" s="500"/>
      <c r="AI4082" s="500"/>
      <c r="AJ4082" s="500"/>
      <c r="AK4082" s="500"/>
      <c r="AL4082" s="500"/>
      <c r="AM4082" s="500"/>
      <c r="AN4082" s="500"/>
      <c r="AO4082" s="500"/>
      <c r="AP4082" s="500"/>
    </row>
    <row r="4083" spans="1:42" ht="16.5" customHeight="1">
      <c r="A4083" s="439"/>
      <c r="B4083" s="439"/>
      <c r="C4083" s="439"/>
      <c r="D4083" s="439"/>
      <c r="E4083" s="439"/>
      <c r="F4083" s="439"/>
      <c r="Z4083" s="500"/>
      <c r="AA4083" s="500"/>
      <c r="AB4083" s="500"/>
      <c r="AC4083" s="500"/>
      <c r="AD4083" s="500"/>
      <c r="AE4083" s="500"/>
      <c r="AF4083" s="500"/>
      <c r="AG4083" s="500"/>
      <c r="AH4083" s="500"/>
      <c r="AI4083" s="500"/>
      <c r="AJ4083" s="500"/>
      <c r="AK4083" s="500"/>
      <c r="AL4083" s="500"/>
      <c r="AM4083" s="500"/>
      <c r="AN4083" s="500"/>
      <c r="AO4083" s="500"/>
      <c r="AP4083" s="500"/>
    </row>
    <row r="4084" spans="1:42" ht="16.5" customHeight="1">
      <c r="A4084" s="439"/>
      <c r="B4084" s="439"/>
      <c r="C4084" s="439"/>
      <c r="D4084" s="439"/>
      <c r="E4084" s="439"/>
      <c r="F4084" s="439"/>
      <c r="Z4084" s="500"/>
      <c r="AA4084" s="500"/>
      <c r="AB4084" s="500"/>
      <c r="AC4084" s="500"/>
      <c r="AD4084" s="500"/>
      <c r="AE4084" s="500"/>
      <c r="AF4084" s="500"/>
      <c r="AG4084" s="500"/>
      <c r="AH4084" s="500"/>
      <c r="AI4084" s="500"/>
      <c r="AJ4084" s="500"/>
      <c r="AK4084" s="500"/>
      <c r="AL4084" s="500"/>
      <c r="AM4084" s="500"/>
      <c r="AN4084" s="500"/>
      <c r="AO4084" s="500"/>
      <c r="AP4084" s="500"/>
    </row>
    <row r="4085" spans="1:42" ht="16.5" customHeight="1">
      <c r="A4085" s="439"/>
      <c r="B4085" s="439"/>
      <c r="C4085" s="439"/>
      <c r="D4085" s="439"/>
      <c r="E4085" s="439"/>
      <c r="F4085" s="439"/>
      <c r="Z4085" s="500"/>
      <c r="AA4085" s="500"/>
      <c r="AB4085" s="500"/>
      <c r="AC4085" s="500"/>
      <c r="AD4085" s="500"/>
      <c r="AE4085" s="500"/>
      <c r="AF4085" s="500"/>
      <c r="AG4085" s="500"/>
      <c r="AH4085" s="500"/>
      <c r="AI4085" s="500"/>
      <c r="AJ4085" s="500"/>
      <c r="AK4085" s="500"/>
      <c r="AL4085" s="500"/>
      <c r="AM4085" s="500"/>
      <c r="AN4085" s="500"/>
      <c r="AO4085" s="500"/>
      <c r="AP4085" s="500"/>
    </row>
    <row r="4086" spans="1:42" ht="16.5" customHeight="1">
      <c r="A4086" s="439"/>
      <c r="B4086" s="439"/>
      <c r="C4086" s="439"/>
      <c r="D4086" s="439"/>
      <c r="E4086" s="439"/>
      <c r="F4086" s="439"/>
      <c r="Z4086" s="500"/>
      <c r="AA4086" s="500"/>
      <c r="AB4086" s="500"/>
      <c r="AC4086" s="500"/>
      <c r="AD4086" s="500"/>
      <c r="AE4086" s="500"/>
      <c r="AF4086" s="500"/>
      <c r="AG4086" s="500"/>
      <c r="AH4086" s="500"/>
      <c r="AI4086" s="500"/>
      <c r="AJ4086" s="500"/>
      <c r="AK4086" s="500"/>
      <c r="AL4086" s="500"/>
      <c r="AM4086" s="500"/>
      <c r="AN4086" s="500"/>
      <c r="AO4086" s="500"/>
      <c r="AP4086" s="500"/>
    </row>
    <row r="4087" spans="1:42" ht="16.5" customHeight="1">
      <c r="A4087" s="439"/>
      <c r="B4087" s="439"/>
      <c r="C4087" s="439"/>
      <c r="D4087" s="439"/>
      <c r="E4087" s="439"/>
      <c r="F4087" s="439"/>
      <c r="Z4087" s="500"/>
      <c r="AA4087" s="500"/>
      <c r="AB4087" s="500"/>
      <c r="AC4087" s="500"/>
      <c r="AD4087" s="500"/>
      <c r="AE4087" s="500"/>
      <c r="AF4087" s="500"/>
      <c r="AG4087" s="500"/>
      <c r="AH4087" s="500"/>
      <c r="AI4087" s="500"/>
      <c r="AJ4087" s="500"/>
      <c r="AK4087" s="500"/>
      <c r="AL4087" s="500"/>
      <c r="AM4087" s="500"/>
      <c r="AN4087" s="500"/>
      <c r="AO4087" s="500"/>
      <c r="AP4087" s="500"/>
    </row>
    <row r="4088" spans="1:42" ht="16.5" customHeight="1">
      <c r="A4088" s="439"/>
      <c r="B4088" s="439"/>
      <c r="C4088" s="439"/>
      <c r="D4088" s="439"/>
      <c r="E4088" s="439"/>
      <c r="F4088" s="439"/>
      <c r="Z4088" s="500"/>
      <c r="AA4088" s="500"/>
      <c r="AB4088" s="500"/>
      <c r="AC4088" s="500"/>
      <c r="AD4088" s="500"/>
      <c r="AE4088" s="500"/>
      <c r="AF4088" s="500"/>
      <c r="AG4088" s="500"/>
      <c r="AH4088" s="500"/>
      <c r="AI4088" s="500"/>
      <c r="AJ4088" s="500"/>
      <c r="AK4088" s="500"/>
      <c r="AL4088" s="500"/>
      <c r="AM4088" s="500"/>
      <c r="AN4088" s="500"/>
      <c r="AO4088" s="500"/>
      <c r="AP4088" s="500"/>
    </row>
    <row r="4089" spans="1:42" ht="16.5" customHeight="1">
      <c r="A4089" s="439"/>
      <c r="B4089" s="439"/>
      <c r="C4089" s="439"/>
      <c r="D4089" s="439"/>
      <c r="E4089" s="439"/>
      <c r="F4089" s="439"/>
      <c r="Z4089" s="500"/>
      <c r="AA4089" s="500"/>
      <c r="AB4089" s="500"/>
      <c r="AC4089" s="500"/>
      <c r="AD4089" s="500"/>
      <c r="AE4089" s="500"/>
      <c r="AF4089" s="500"/>
      <c r="AG4089" s="500"/>
      <c r="AH4089" s="500"/>
      <c r="AI4089" s="500"/>
      <c r="AJ4089" s="500"/>
      <c r="AK4089" s="500"/>
      <c r="AL4089" s="500"/>
      <c r="AM4089" s="500"/>
      <c r="AN4089" s="500"/>
      <c r="AO4089" s="500"/>
      <c r="AP4089" s="500"/>
    </row>
    <row r="4090" spans="1:42" ht="16.5" customHeight="1">
      <c r="A4090" s="439"/>
      <c r="B4090" s="439"/>
      <c r="C4090" s="439"/>
      <c r="D4090" s="439"/>
      <c r="E4090" s="439"/>
      <c r="F4090" s="439"/>
      <c r="Z4090" s="500"/>
      <c r="AA4090" s="500"/>
      <c r="AB4090" s="500"/>
      <c r="AC4090" s="500"/>
      <c r="AD4090" s="500"/>
      <c r="AE4090" s="500"/>
      <c r="AF4090" s="500"/>
      <c r="AG4090" s="500"/>
      <c r="AH4090" s="500"/>
      <c r="AI4090" s="500"/>
      <c r="AJ4090" s="500"/>
      <c r="AK4090" s="500"/>
      <c r="AL4090" s="500"/>
      <c r="AM4090" s="500"/>
      <c r="AN4090" s="500"/>
      <c r="AO4090" s="500"/>
      <c r="AP4090" s="500"/>
    </row>
    <row r="4091" spans="1:42" ht="16.5" customHeight="1">
      <c r="A4091" s="439"/>
      <c r="B4091" s="439"/>
      <c r="C4091" s="439"/>
      <c r="D4091" s="439"/>
      <c r="E4091" s="439"/>
      <c r="F4091" s="439"/>
      <c r="Z4091" s="500"/>
      <c r="AA4091" s="500"/>
      <c r="AB4091" s="500"/>
      <c r="AC4091" s="500"/>
      <c r="AD4091" s="500"/>
      <c r="AE4091" s="500"/>
      <c r="AF4091" s="500"/>
      <c r="AG4091" s="500"/>
      <c r="AH4091" s="500"/>
      <c r="AI4091" s="500"/>
      <c r="AJ4091" s="500"/>
      <c r="AK4091" s="500"/>
      <c r="AL4091" s="500"/>
      <c r="AM4091" s="500"/>
      <c r="AN4091" s="500"/>
      <c r="AO4091" s="500"/>
      <c r="AP4091" s="500"/>
    </row>
    <row r="4092" spans="1:42" ht="16.5" customHeight="1">
      <c r="A4092" s="439"/>
      <c r="B4092" s="439"/>
      <c r="C4092" s="439"/>
      <c r="D4092" s="439"/>
      <c r="E4092" s="439"/>
      <c r="F4092" s="439"/>
      <c r="Z4092" s="500"/>
      <c r="AA4092" s="500"/>
      <c r="AB4092" s="500"/>
      <c r="AC4092" s="500"/>
      <c r="AD4092" s="500"/>
      <c r="AE4092" s="500"/>
      <c r="AF4092" s="500"/>
      <c r="AG4092" s="500"/>
      <c r="AH4092" s="500"/>
      <c r="AI4092" s="500"/>
      <c r="AJ4092" s="500"/>
      <c r="AK4092" s="500"/>
      <c r="AL4092" s="500"/>
      <c r="AM4092" s="500"/>
      <c r="AN4092" s="500"/>
      <c r="AO4092" s="500"/>
      <c r="AP4092" s="500"/>
    </row>
    <row r="4093" spans="1:42" ht="16.5" customHeight="1">
      <c r="A4093" s="439"/>
      <c r="B4093" s="439"/>
      <c r="C4093" s="439"/>
      <c r="D4093" s="439"/>
      <c r="E4093" s="439"/>
      <c r="F4093" s="439"/>
      <c r="Z4093" s="500"/>
      <c r="AA4093" s="500"/>
      <c r="AB4093" s="500"/>
      <c r="AC4093" s="500"/>
      <c r="AD4093" s="500"/>
      <c r="AE4093" s="500"/>
      <c r="AF4093" s="500"/>
      <c r="AG4093" s="500"/>
      <c r="AH4093" s="500"/>
      <c r="AI4093" s="500"/>
      <c r="AJ4093" s="500"/>
      <c r="AK4093" s="500"/>
      <c r="AL4093" s="500"/>
      <c r="AM4093" s="500"/>
      <c r="AN4093" s="500"/>
      <c r="AO4093" s="500"/>
      <c r="AP4093" s="500"/>
    </row>
    <row r="4094" spans="1:42" ht="16.5" customHeight="1">
      <c r="A4094" s="439"/>
      <c r="B4094" s="439"/>
      <c r="C4094" s="439"/>
      <c r="D4094" s="439"/>
      <c r="E4094" s="439"/>
      <c r="F4094" s="439"/>
      <c r="Z4094" s="500"/>
      <c r="AA4094" s="500"/>
      <c r="AB4094" s="500"/>
      <c r="AC4094" s="500"/>
      <c r="AD4094" s="500"/>
      <c r="AE4094" s="500"/>
      <c r="AF4094" s="500"/>
      <c r="AG4094" s="500"/>
      <c r="AH4094" s="500"/>
      <c r="AI4094" s="500"/>
      <c r="AJ4094" s="500"/>
      <c r="AK4094" s="500"/>
      <c r="AL4094" s="500"/>
      <c r="AM4094" s="500"/>
      <c r="AN4094" s="500"/>
      <c r="AO4094" s="500"/>
      <c r="AP4094" s="500"/>
    </row>
    <row r="4095" spans="1:42" ht="16.5" customHeight="1">
      <c r="A4095" s="439"/>
      <c r="B4095" s="439"/>
      <c r="C4095" s="439"/>
      <c r="D4095" s="439"/>
      <c r="E4095" s="439"/>
      <c r="F4095" s="439"/>
      <c r="Z4095" s="500"/>
      <c r="AA4095" s="500"/>
      <c r="AB4095" s="500"/>
      <c r="AC4095" s="500"/>
      <c r="AD4095" s="500"/>
      <c r="AE4095" s="500"/>
      <c r="AF4095" s="500"/>
      <c r="AG4095" s="500"/>
      <c r="AH4095" s="500"/>
      <c r="AI4095" s="500"/>
      <c r="AJ4095" s="500"/>
      <c r="AK4095" s="500"/>
      <c r="AL4095" s="500"/>
      <c r="AM4095" s="500"/>
      <c r="AN4095" s="500"/>
      <c r="AO4095" s="500"/>
      <c r="AP4095" s="500"/>
    </row>
    <row r="4096" spans="1:42" ht="16.5" customHeight="1">
      <c r="A4096" s="439"/>
      <c r="B4096" s="439"/>
      <c r="C4096" s="439"/>
      <c r="D4096" s="439"/>
      <c r="E4096" s="439"/>
      <c r="F4096" s="439"/>
      <c r="Z4096" s="500"/>
      <c r="AA4096" s="500"/>
      <c r="AB4096" s="500"/>
      <c r="AC4096" s="500"/>
      <c r="AD4096" s="500"/>
      <c r="AE4096" s="500"/>
      <c r="AF4096" s="500"/>
      <c r="AG4096" s="500"/>
      <c r="AH4096" s="500"/>
      <c r="AI4096" s="500"/>
      <c r="AJ4096" s="500"/>
      <c r="AK4096" s="500"/>
      <c r="AL4096" s="500"/>
      <c r="AM4096" s="500"/>
      <c r="AN4096" s="500"/>
      <c r="AO4096" s="500"/>
      <c r="AP4096" s="500"/>
    </row>
    <row r="4097" spans="1:42" ht="16.5" customHeight="1">
      <c r="A4097" s="439"/>
      <c r="B4097" s="439"/>
      <c r="C4097" s="439"/>
      <c r="D4097" s="439"/>
      <c r="E4097" s="439"/>
      <c r="F4097" s="439"/>
      <c r="Z4097" s="500"/>
      <c r="AA4097" s="500"/>
      <c r="AB4097" s="500"/>
      <c r="AC4097" s="500"/>
      <c r="AD4097" s="500"/>
      <c r="AE4097" s="500"/>
      <c r="AF4097" s="500"/>
      <c r="AG4097" s="500"/>
      <c r="AH4097" s="500"/>
      <c r="AI4097" s="500"/>
      <c r="AJ4097" s="500"/>
      <c r="AK4097" s="500"/>
      <c r="AL4097" s="500"/>
      <c r="AM4097" s="500"/>
      <c r="AN4097" s="500"/>
      <c r="AO4097" s="500"/>
      <c r="AP4097" s="500"/>
    </row>
    <row r="4098" spans="1:42" ht="16.5" customHeight="1">
      <c r="A4098" s="439"/>
      <c r="B4098" s="439"/>
      <c r="C4098" s="439"/>
      <c r="D4098" s="439"/>
      <c r="E4098" s="439"/>
      <c r="F4098" s="439"/>
      <c r="Z4098" s="500"/>
      <c r="AA4098" s="500"/>
      <c r="AB4098" s="500"/>
      <c r="AC4098" s="500"/>
      <c r="AD4098" s="500"/>
      <c r="AE4098" s="500"/>
      <c r="AF4098" s="500"/>
      <c r="AG4098" s="500"/>
      <c r="AH4098" s="500"/>
      <c r="AI4098" s="500"/>
      <c r="AJ4098" s="500"/>
      <c r="AK4098" s="500"/>
      <c r="AL4098" s="500"/>
      <c r="AM4098" s="500"/>
      <c r="AN4098" s="500"/>
      <c r="AO4098" s="500"/>
      <c r="AP4098" s="500"/>
    </row>
    <row r="4099" spans="1:42" ht="16.5" customHeight="1">
      <c r="A4099" s="439"/>
      <c r="B4099" s="439"/>
      <c r="C4099" s="439"/>
      <c r="D4099" s="439"/>
      <c r="E4099" s="439"/>
      <c r="F4099" s="439"/>
      <c r="Z4099" s="500"/>
      <c r="AA4099" s="500"/>
      <c r="AB4099" s="500"/>
      <c r="AC4099" s="500"/>
      <c r="AD4099" s="500"/>
      <c r="AE4099" s="500"/>
      <c r="AF4099" s="500"/>
      <c r="AG4099" s="500"/>
      <c r="AH4099" s="500"/>
      <c r="AI4099" s="500"/>
      <c r="AJ4099" s="500"/>
      <c r="AK4099" s="500"/>
      <c r="AL4099" s="500"/>
      <c r="AM4099" s="500"/>
      <c r="AN4099" s="500"/>
      <c r="AO4099" s="500"/>
      <c r="AP4099" s="500"/>
    </row>
    <row r="4100" spans="1:42" ht="16.5" customHeight="1">
      <c r="A4100" s="439"/>
      <c r="B4100" s="439"/>
      <c r="C4100" s="439"/>
      <c r="D4100" s="439"/>
      <c r="E4100" s="439"/>
      <c r="F4100" s="439"/>
      <c r="Z4100" s="500"/>
      <c r="AA4100" s="500"/>
      <c r="AB4100" s="500"/>
      <c r="AC4100" s="500"/>
      <c r="AD4100" s="500"/>
      <c r="AE4100" s="500"/>
      <c r="AF4100" s="500"/>
      <c r="AG4100" s="500"/>
      <c r="AH4100" s="500"/>
      <c r="AI4100" s="500"/>
      <c r="AJ4100" s="500"/>
      <c r="AK4100" s="500"/>
      <c r="AL4100" s="500"/>
      <c r="AM4100" s="500"/>
      <c r="AN4100" s="500"/>
      <c r="AO4100" s="500"/>
      <c r="AP4100" s="500"/>
    </row>
    <row r="4101" spans="1:42" ht="16.5" customHeight="1">
      <c r="A4101" s="439"/>
      <c r="B4101" s="439"/>
      <c r="C4101" s="439"/>
      <c r="D4101" s="439"/>
      <c r="E4101" s="439"/>
      <c r="F4101" s="439"/>
      <c r="Z4101" s="500"/>
      <c r="AA4101" s="500"/>
      <c r="AB4101" s="500"/>
      <c r="AC4101" s="500"/>
      <c r="AD4101" s="500"/>
      <c r="AE4101" s="500"/>
      <c r="AF4101" s="500"/>
      <c r="AG4101" s="500"/>
      <c r="AH4101" s="500"/>
      <c r="AI4101" s="500"/>
      <c r="AJ4101" s="500"/>
      <c r="AK4101" s="500"/>
      <c r="AL4101" s="500"/>
      <c r="AM4101" s="500"/>
      <c r="AN4101" s="500"/>
      <c r="AO4101" s="500"/>
      <c r="AP4101" s="500"/>
    </row>
    <row r="4102" spans="1:42" ht="16.5" customHeight="1">
      <c r="A4102" s="439"/>
      <c r="B4102" s="439"/>
      <c r="C4102" s="439"/>
      <c r="D4102" s="439"/>
      <c r="E4102" s="439"/>
      <c r="F4102" s="439"/>
      <c r="Z4102" s="500"/>
      <c r="AA4102" s="500"/>
      <c r="AB4102" s="500"/>
      <c r="AC4102" s="500"/>
      <c r="AD4102" s="500"/>
      <c r="AE4102" s="500"/>
      <c r="AF4102" s="500"/>
      <c r="AG4102" s="500"/>
      <c r="AH4102" s="500"/>
      <c r="AI4102" s="500"/>
      <c r="AJ4102" s="500"/>
      <c r="AK4102" s="500"/>
      <c r="AL4102" s="500"/>
      <c r="AM4102" s="500"/>
      <c r="AN4102" s="500"/>
      <c r="AO4102" s="500"/>
      <c r="AP4102" s="500"/>
    </row>
    <row r="4103" spans="1:42" ht="16.5" customHeight="1">
      <c r="A4103" s="497"/>
      <c r="B4103" s="497"/>
      <c r="C4103" s="497"/>
      <c r="D4103" s="497"/>
      <c r="E4103" s="497"/>
      <c r="F4103" s="497"/>
      <c r="Z4103" s="500"/>
      <c r="AA4103" s="500"/>
      <c r="AB4103" s="500"/>
      <c r="AC4103" s="500"/>
      <c r="AD4103" s="500"/>
      <c r="AE4103" s="500"/>
      <c r="AF4103" s="500"/>
      <c r="AG4103" s="500"/>
      <c r="AH4103" s="500"/>
      <c r="AI4103" s="500"/>
      <c r="AJ4103" s="500"/>
      <c r="AK4103" s="500"/>
      <c r="AL4103" s="500"/>
      <c r="AM4103" s="500"/>
      <c r="AN4103" s="500"/>
      <c r="AO4103" s="500"/>
      <c r="AP4103" s="500"/>
    </row>
    <row r="4104" spans="1:42" ht="16.5" customHeight="1">
      <c r="A4104" s="616" t="s">
        <v>3487</v>
      </c>
      <c r="B4104" s="605"/>
      <c r="C4104" s="446">
        <f>E4104+D4104+F4104</f>
        <v>450</v>
      </c>
      <c r="D4104" s="453">
        <f>ROUNDDOWN(SUMIF(N4057:N4081,M4104,D4057:D4081),0)</f>
        <v>425</v>
      </c>
      <c r="E4104" s="454">
        <f>ROUNDDOWN(SUMIF(N4057:N4081,M4104,E4057:E4081),0)</f>
        <v>0</v>
      </c>
      <c r="F4104" s="446">
        <f>ROUNDDOWN(SUMIF(N4057:N4081,M4104,F4057:F4081),0)</f>
        <v>25</v>
      </c>
      <c r="M4104" s="501" t="s">
        <v>2354</v>
      </c>
      <c r="Z4104" s="500"/>
      <c r="AA4104" s="500"/>
      <c r="AB4104" s="500"/>
      <c r="AC4104" s="500"/>
      <c r="AD4104" s="500"/>
      <c r="AE4104" s="500"/>
      <c r="AF4104" s="500"/>
      <c r="AG4104" s="500"/>
      <c r="AH4104" s="500"/>
      <c r="AI4104" s="500"/>
      <c r="AJ4104" s="500"/>
      <c r="AK4104" s="500"/>
      <c r="AL4104" s="500"/>
      <c r="AM4104" s="500"/>
      <c r="AN4104" s="500"/>
      <c r="AO4104" s="500"/>
      <c r="AP4104" s="500"/>
    </row>
    <row r="4105" spans="1:42" ht="16.5" customHeight="1">
      <c r="A4105" s="502"/>
      <c r="B4105" s="503" t="s">
        <v>1936</v>
      </c>
      <c r="C4105" s="615">
        <f>C4154</f>
        <v>360</v>
      </c>
      <c r="D4105" s="615">
        <f>D4154</f>
        <v>340</v>
      </c>
      <c r="E4105" s="615">
        <f>E4154</f>
        <v>0</v>
      </c>
      <c r="F4105" s="615">
        <f>F4154</f>
        <v>20</v>
      </c>
      <c r="G4105" s="486" t="str">
        <f>HYPERLINK("#G"&amp;ROW(G4131),"_x0005_`BDCOD|D01278_x0007_`POSS|"&amp;ROW(G4107)&amp;"_x0007_`POSE|"&amp;ROW(G4131)&amp;"_x0007_`")</f>
        <v>_x0005_`BDCOD|D01278_x0007_`POSS|4107_x0007_`POSE|4131_x0007_`</v>
      </c>
      <c r="Z4105" s="500"/>
      <c r="AA4105" s="500"/>
      <c r="AB4105" s="500"/>
      <c r="AC4105" s="500"/>
      <c r="AD4105" s="500"/>
      <c r="AE4105" s="500"/>
      <c r="AF4105" s="500"/>
      <c r="AG4105" s="500"/>
      <c r="AH4105" s="500"/>
      <c r="AI4105" s="500"/>
      <c r="AJ4105" s="500"/>
      <c r="AK4105" s="500"/>
      <c r="AL4105" s="500"/>
      <c r="AM4105" s="500"/>
      <c r="AN4105" s="500"/>
      <c r="AO4105" s="500"/>
      <c r="AP4105" s="500"/>
    </row>
    <row r="4106" spans="1:42" ht="16.5" customHeight="1">
      <c r="A4106" s="485"/>
      <c r="B4106" s="503" t="s">
        <v>3900</v>
      </c>
      <c r="C4106" s="593"/>
      <c r="D4106" s="593"/>
      <c r="E4106" s="593"/>
      <c r="F4106" s="593"/>
      <c r="M4106" s="501" t="s">
        <v>1936</v>
      </c>
      <c r="Z4106" s="500"/>
      <c r="AA4106" s="500"/>
      <c r="AB4106" s="500"/>
      <c r="AC4106" s="500"/>
      <c r="AD4106" s="500"/>
      <c r="AE4106" s="500"/>
      <c r="AF4106" s="500"/>
      <c r="AG4106" s="500"/>
      <c r="AH4106" s="500"/>
      <c r="AI4106" s="500"/>
      <c r="AJ4106" s="500"/>
      <c r="AK4106" s="500"/>
      <c r="AL4106" s="500"/>
      <c r="AM4106" s="500"/>
      <c r="AN4106" s="500"/>
      <c r="AO4106" s="500"/>
      <c r="AP4106" s="500"/>
    </row>
    <row r="4107" spans="1:42" ht="16.5" customHeight="1">
      <c r="A4107" s="439"/>
      <c r="B4107" s="439"/>
      <c r="C4107" s="504"/>
      <c r="D4107" s="504"/>
      <c r="E4107" s="504"/>
      <c r="F4107" s="504"/>
      <c r="G4107" s="451" t="s">
        <v>3406</v>
      </c>
      <c r="Z4107" s="500"/>
      <c r="AA4107" s="500"/>
      <c r="AB4107" s="500"/>
      <c r="AC4107" s="500"/>
      <c r="AD4107" s="500"/>
      <c r="AE4107" s="500"/>
      <c r="AF4107" s="500"/>
      <c r="AG4107" s="500"/>
      <c r="AH4107" s="500"/>
      <c r="AI4107" s="500"/>
      <c r="AJ4107" s="500"/>
      <c r="AK4107" s="500"/>
      <c r="AL4107" s="500"/>
      <c r="AM4107" s="500"/>
      <c r="AN4107" s="500"/>
      <c r="AO4107" s="500"/>
      <c r="AP4107" s="500"/>
    </row>
    <row r="4108" spans="1:42" ht="16.5" customHeight="1">
      <c r="A4108" s="434"/>
      <c r="B4108" s="437" t="s">
        <v>3901</v>
      </c>
      <c r="C4108" s="439"/>
      <c r="D4108" s="439"/>
      <c r="E4108" s="439"/>
      <c r="F4108" s="439"/>
      <c r="G4108" s="451" t="s">
        <v>3902</v>
      </c>
      <c r="Z4108" s="500"/>
      <c r="AA4108" s="500"/>
      <c r="AB4108" s="500"/>
      <c r="AC4108" s="500"/>
      <c r="AD4108" s="500"/>
      <c r="AE4108" s="500"/>
      <c r="AF4108" s="500"/>
      <c r="AG4108" s="500"/>
      <c r="AH4108" s="500"/>
      <c r="AI4108" s="500"/>
      <c r="AJ4108" s="500"/>
      <c r="AK4108" s="500"/>
      <c r="AL4108" s="500"/>
      <c r="AM4108" s="500"/>
      <c r="AN4108" s="500"/>
      <c r="AO4108" s="500"/>
      <c r="AP4108" s="500"/>
    </row>
    <row r="4109" spans="1:42" ht="16.5" customHeight="1">
      <c r="A4109" s="439"/>
      <c r="B4109" s="439"/>
      <c r="C4109" s="439"/>
      <c r="D4109" s="439"/>
      <c r="E4109" s="439"/>
      <c r="F4109" s="439"/>
      <c r="G4109" s="451" t="s">
        <v>3406</v>
      </c>
      <c r="Z4109" s="500"/>
      <c r="AA4109" s="500"/>
      <c r="AB4109" s="500"/>
      <c r="AC4109" s="500"/>
      <c r="AD4109" s="500"/>
      <c r="AE4109" s="500"/>
      <c r="AF4109" s="500"/>
      <c r="AG4109" s="500"/>
      <c r="AH4109" s="500"/>
      <c r="AI4109" s="500"/>
      <c r="AJ4109" s="500"/>
      <c r="AK4109" s="500"/>
      <c r="AL4109" s="500"/>
      <c r="AM4109" s="500"/>
      <c r="AN4109" s="500"/>
      <c r="AO4109" s="500"/>
      <c r="AP4109" s="500"/>
    </row>
    <row r="4110" spans="1:42" ht="16.5" customHeight="1">
      <c r="A4110" s="434"/>
      <c r="B4110" s="437" t="s">
        <v>3888</v>
      </c>
      <c r="C4110" s="439"/>
      <c r="D4110" s="439"/>
      <c r="E4110" s="439"/>
      <c r="F4110" s="439"/>
      <c r="G4110" s="451" t="s">
        <v>3889</v>
      </c>
      <c r="Z4110" s="500"/>
      <c r="AA4110" s="500"/>
      <c r="AB4110" s="500"/>
      <c r="AC4110" s="500"/>
      <c r="AD4110" s="500"/>
      <c r="AE4110" s="500"/>
      <c r="AF4110" s="500"/>
      <c r="AG4110" s="500"/>
      <c r="AH4110" s="500"/>
      <c r="AI4110" s="500"/>
      <c r="AJ4110" s="500"/>
      <c r="AK4110" s="500"/>
      <c r="AL4110" s="500"/>
      <c r="AM4110" s="500"/>
      <c r="AN4110" s="500"/>
      <c r="AO4110" s="500"/>
      <c r="AP4110" s="500"/>
    </row>
    <row r="4111" spans="1:42" ht="16.5" customHeight="1">
      <c r="A4111" s="439"/>
      <c r="B4111" s="439"/>
      <c r="C4111" s="439"/>
      <c r="D4111" s="439"/>
      <c r="E4111" s="439"/>
      <c r="F4111" s="439"/>
      <c r="G4111" s="451" t="s">
        <v>3406</v>
      </c>
      <c r="Z4111" s="500"/>
      <c r="AA4111" s="500"/>
      <c r="AB4111" s="500"/>
      <c r="AC4111" s="500"/>
      <c r="AD4111" s="500"/>
      <c r="AE4111" s="500"/>
      <c r="AF4111" s="500"/>
      <c r="AG4111" s="500"/>
      <c r="AH4111" s="500"/>
      <c r="AI4111" s="500"/>
      <c r="AJ4111" s="500"/>
      <c r="AK4111" s="500"/>
      <c r="AL4111" s="500"/>
      <c r="AM4111" s="500"/>
      <c r="AN4111" s="500"/>
      <c r="AO4111" s="500"/>
      <c r="AP4111" s="500"/>
    </row>
    <row r="4112" spans="1:42" ht="16.5" customHeight="1">
      <c r="A4112" s="434"/>
      <c r="B4112" s="437" t="str">
        <f>" 일당 작업량 :  Q1 = "&amp;Z4112&amp;"  = "&amp;AB4112&amp;"  ㎡ "</f>
        <v xml:space="preserve"> 일당 작업량 :  Q1 = 2500  = 2,500.00  ㎡ </v>
      </c>
      <c r="C4112" s="439"/>
      <c r="D4112" s="439"/>
      <c r="E4112" s="439"/>
      <c r="F4112" s="439"/>
      <c r="G4112" s="451" t="s">
        <v>3903</v>
      </c>
      <c r="Z4112" s="515">
        <v>2500</v>
      </c>
      <c r="AA4112" s="501" t="s">
        <v>3418</v>
      </c>
      <c r="AB4112" s="512" t="str">
        <f>TEXT(ROUND(Z4112,2),"#,0.00")</f>
        <v>2,500.00</v>
      </c>
      <c r="AC4112" s="500"/>
      <c r="AD4112" s="500"/>
      <c r="AE4112" s="500"/>
      <c r="AF4112" s="500"/>
      <c r="AG4112" s="500"/>
      <c r="AH4112" s="500"/>
      <c r="AI4112" s="500"/>
      <c r="AJ4112" s="500"/>
      <c r="AK4112" s="500"/>
      <c r="AL4112" s="500"/>
      <c r="AM4112" s="500"/>
      <c r="AN4112" s="500"/>
      <c r="AO4112" s="500"/>
      <c r="AP4112" s="500"/>
    </row>
    <row r="4113" spans="1:42" ht="16.5" customHeight="1">
      <c r="A4113" s="439"/>
      <c r="B4113" s="439"/>
      <c r="C4113" s="439"/>
      <c r="D4113" s="439"/>
      <c r="E4113" s="439"/>
      <c r="F4113" s="439"/>
      <c r="G4113" s="451" t="s">
        <v>3406</v>
      </c>
      <c r="Z4113" s="500"/>
      <c r="AA4113" s="500"/>
      <c r="AB4113" s="500"/>
      <c r="AC4113" s="500"/>
      <c r="AD4113" s="500"/>
      <c r="AE4113" s="500"/>
      <c r="AF4113" s="500"/>
      <c r="AG4113" s="500"/>
      <c r="AH4113" s="500"/>
      <c r="AI4113" s="500"/>
      <c r="AJ4113" s="500"/>
      <c r="AK4113" s="500"/>
      <c r="AL4113" s="500"/>
      <c r="AM4113" s="500"/>
      <c r="AN4113" s="500"/>
      <c r="AO4113" s="500"/>
      <c r="AP4113" s="500"/>
    </row>
    <row r="4114" spans="1:42" ht="16.5" customHeight="1">
      <c r="A4114" s="434"/>
      <c r="B4114" s="437" t="s">
        <v>3891</v>
      </c>
      <c r="C4114" s="439"/>
      <c r="D4114" s="439"/>
      <c r="E4114" s="439"/>
      <c r="F4114" s="439"/>
      <c r="G4114" s="451" t="s">
        <v>3892</v>
      </c>
      <c r="Z4114" s="500"/>
      <c r="AA4114" s="500"/>
      <c r="AB4114" s="500"/>
      <c r="AC4114" s="500"/>
      <c r="AD4114" s="500"/>
      <c r="AE4114" s="500"/>
      <c r="AF4114" s="500"/>
      <c r="AG4114" s="500"/>
      <c r="AH4114" s="500"/>
      <c r="AI4114" s="500"/>
      <c r="AJ4114" s="500"/>
      <c r="AK4114" s="500"/>
      <c r="AL4114" s="500"/>
      <c r="AM4114" s="500"/>
      <c r="AN4114" s="500"/>
      <c r="AO4114" s="500"/>
      <c r="AP4114" s="500"/>
    </row>
    <row r="4115" spans="1:42" ht="16.5" customHeight="1">
      <c r="A4115" s="439"/>
      <c r="B4115" s="439"/>
      <c r="C4115" s="439"/>
      <c r="D4115" s="439"/>
      <c r="E4115" s="439"/>
      <c r="F4115" s="439"/>
      <c r="G4115" s="451" t="s">
        <v>3406</v>
      </c>
      <c r="Z4115" s="500"/>
      <c r="AA4115" s="500"/>
      <c r="AB4115" s="500"/>
      <c r="AC4115" s="500"/>
      <c r="AD4115" s="500"/>
      <c r="AE4115" s="500"/>
      <c r="AF4115" s="500"/>
      <c r="AG4115" s="500"/>
      <c r="AH4115" s="500"/>
      <c r="AI4115" s="500"/>
      <c r="AJ4115" s="500"/>
      <c r="AK4115" s="500"/>
      <c r="AL4115" s="500"/>
      <c r="AM4115" s="500"/>
      <c r="AN4115" s="500"/>
      <c r="AO4115" s="500"/>
      <c r="AP4115" s="500"/>
    </row>
    <row r="4116" spans="1:42" ht="16.5" customHeight="1">
      <c r="A4116" s="439"/>
      <c r="B4116" s="439"/>
      <c r="C4116" s="439"/>
      <c r="D4116" s="439"/>
      <c r="E4116" s="439"/>
      <c r="F4116" s="439"/>
      <c r="G4116" s="451" t="s">
        <v>3406</v>
      </c>
      <c r="Z4116" s="500"/>
      <c r="AA4116" s="500"/>
      <c r="AB4116" s="500"/>
      <c r="AC4116" s="500"/>
      <c r="AD4116" s="500"/>
      <c r="AE4116" s="500"/>
      <c r="AF4116" s="500"/>
      <c r="AG4116" s="500"/>
      <c r="AH4116" s="500"/>
      <c r="AI4116" s="500"/>
      <c r="AJ4116" s="500"/>
      <c r="AK4116" s="500"/>
      <c r="AL4116" s="500"/>
      <c r="AM4116" s="500"/>
      <c r="AN4116" s="500"/>
      <c r="AO4116" s="500"/>
      <c r="AP4116" s="500"/>
    </row>
    <row r="4117" spans="1:42" ht="16.5" customHeight="1">
      <c r="A4117" s="434"/>
      <c r="B4117" s="437" t="s">
        <v>3496</v>
      </c>
      <c r="C4117" s="439"/>
      <c r="D4117" s="439"/>
      <c r="E4117" s="439"/>
      <c r="F4117" s="439"/>
      <c r="G4117" s="451" t="s">
        <v>3497</v>
      </c>
      <c r="Z4117" s="500"/>
      <c r="AA4117" s="500"/>
      <c r="AB4117" s="500"/>
      <c r="AC4117" s="500"/>
      <c r="AD4117" s="500"/>
      <c r="AE4117" s="500"/>
      <c r="AF4117" s="500"/>
      <c r="AG4117" s="500"/>
      <c r="AH4117" s="500"/>
      <c r="AI4117" s="500"/>
      <c r="AJ4117" s="500"/>
      <c r="AK4117" s="500"/>
      <c r="AL4117" s="500"/>
      <c r="AM4117" s="500"/>
      <c r="AN4117" s="500"/>
      <c r="AO4117" s="500"/>
      <c r="AP4117" s="500"/>
    </row>
    <row r="4118" spans="1:42" ht="16.5" customHeight="1">
      <c r="A4118" s="439"/>
      <c r="B4118" s="439"/>
      <c r="C4118" s="439"/>
      <c r="D4118" s="439"/>
      <c r="E4118" s="439"/>
      <c r="F4118" s="439"/>
      <c r="G4118" s="451" t="s">
        <v>3406</v>
      </c>
      <c r="Z4118" s="500"/>
      <c r="AA4118" s="500"/>
      <c r="AB4118" s="500"/>
      <c r="AC4118" s="500"/>
      <c r="AD4118" s="500"/>
      <c r="AE4118" s="500"/>
      <c r="AF4118" s="500"/>
      <c r="AG4118" s="500"/>
      <c r="AH4118" s="500"/>
      <c r="AI4118" s="500"/>
      <c r="AJ4118" s="500"/>
      <c r="AK4118" s="500"/>
      <c r="AL4118" s="500"/>
      <c r="AM4118" s="500"/>
      <c r="AN4118" s="500"/>
      <c r="AO4118" s="500"/>
      <c r="AP4118" s="500"/>
    </row>
    <row r="4119" spans="1:42" ht="16.5" customHeight="1">
      <c r="A4119" s="434" t="s">
        <v>3821</v>
      </c>
      <c r="B4119" s="505" t="str">
        <f>" 특별인부 : "&amp;TEXT(I4119,"#,##0"&amp;IF(I4119&lt;&gt;INT(I4119),".###",""))&amp;" * "&amp;AA4119&amp;" 인  / Q1 = "&amp;TEXT(C4119,"#,##0.0")&amp;" "</f>
        <v xml:space="preserve"> 특별인부 : 226,122 * 3 인  / Q1 = 271.3 </v>
      </c>
      <c r="C4119" s="506">
        <f>E4119+D4119+F4119</f>
        <v>271.3</v>
      </c>
      <c r="D4119" s="506">
        <f>IF(H4119=0,0,ROUNDDOWN(J4119*H4119,1))</f>
        <v>271.3</v>
      </c>
      <c r="E4119" s="506">
        <f>IF(H4119=0,0,ROUNDDOWN(K4119*H4119,1))</f>
        <v>0</v>
      </c>
      <c r="F4119" s="506">
        <f>IF(H4119=0,0,ROUNDDOWN(L4119*H4119,1))</f>
        <v>0</v>
      </c>
      <c r="G4119" s="451" t="s">
        <v>3893</v>
      </c>
      <c r="H4119" s="507">
        <f>ROUNDUP(AE4119,14-LEN(ABS(INT(AE4119))))</f>
        <v>1.1999999999999999E-3</v>
      </c>
      <c r="I4119" s="508">
        <f>K4119+J4119+L4119</f>
        <v>226122</v>
      </c>
      <c r="J4119" s="509">
        <f>노무비목록표!E21</f>
        <v>226122</v>
      </c>
      <c r="M4119" s="501" t="s">
        <v>2519</v>
      </c>
      <c r="N4119" s="501" t="s">
        <v>3416</v>
      </c>
      <c r="O4119" s="501" t="s">
        <v>2355</v>
      </c>
      <c r="X4119" s="510" t="str">
        <f>노무비목록표!B21&amp;" / "&amp;노무비목록표!C21</f>
        <v xml:space="preserve">특별인부 / </v>
      </c>
      <c r="Y4119" s="433" t="str">
        <f ca="1">HYPERLINK("#"&amp;노무비목록표!G2&amp;"!A"&amp;ROW(노무비목록표!A21),"L00016 →")</f>
        <v>L00016 →</v>
      </c>
      <c r="Z4119" s="501" t="s">
        <v>3500</v>
      </c>
      <c r="AA4119" s="515">
        <v>3</v>
      </c>
      <c r="AB4119" s="501" t="s">
        <v>3428</v>
      </c>
      <c r="AC4119" s="512" t="str">
        <f>AB4112</f>
        <v>2,500.00</v>
      </c>
      <c r="AD4119" s="501" t="s">
        <v>3418</v>
      </c>
      <c r="AE4119" s="512">
        <f>1*AA4119/AB4112</f>
        <v>1.1999999999999999E-3</v>
      </c>
      <c r="AF4119" s="500"/>
      <c r="AG4119" s="500"/>
      <c r="AH4119" s="500"/>
      <c r="AI4119" s="500"/>
      <c r="AJ4119" s="500"/>
      <c r="AK4119" s="500"/>
      <c r="AL4119" s="500"/>
      <c r="AM4119" s="500"/>
      <c r="AN4119" s="500"/>
      <c r="AO4119" s="500"/>
      <c r="AP4119" s="500"/>
    </row>
    <row r="4120" spans="1:42" ht="16.5" customHeight="1">
      <c r="A4120" s="439"/>
      <c r="B4120" s="439"/>
      <c r="C4120" s="439"/>
      <c r="D4120" s="439"/>
      <c r="E4120" s="439"/>
      <c r="F4120" s="439"/>
      <c r="G4120" s="451" t="s">
        <v>3406</v>
      </c>
      <c r="Z4120" s="500"/>
      <c r="AA4120" s="500"/>
      <c r="AB4120" s="500"/>
      <c r="AC4120" s="500"/>
      <c r="AD4120" s="500"/>
      <c r="AE4120" s="500"/>
      <c r="AF4120" s="500"/>
      <c r="AG4120" s="500"/>
      <c r="AH4120" s="500"/>
      <c r="AI4120" s="500"/>
      <c r="AJ4120" s="500"/>
      <c r="AK4120" s="500"/>
      <c r="AL4120" s="500"/>
      <c r="AM4120" s="500"/>
      <c r="AN4120" s="500"/>
      <c r="AO4120" s="500"/>
      <c r="AP4120" s="500"/>
    </row>
    <row r="4121" spans="1:42" ht="16.5" customHeight="1">
      <c r="A4121" s="434" t="s">
        <v>3414</v>
      </c>
      <c r="B4121" s="505" t="str">
        <f>" 보통인부 : "&amp;TEXT(I4121,"#,##0"&amp;IF(I4121&lt;&gt;INT(I4121),".###",""))&amp;" * "&amp;AA4121&amp;" 인  / Q1 = "&amp;TEXT(C4121,"#,##0.0")&amp;" "</f>
        <v xml:space="preserve"> 보통인부 : 172,068 * 1 인  / Q1 = 68.8 </v>
      </c>
      <c r="C4121" s="506">
        <f>E4121+D4121+F4121</f>
        <v>68.8</v>
      </c>
      <c r="D4121" s="506">
        <f>IF(H4121=0,0,ROUNDDOWN(J4121*H4121,1))</f>
        <v>68.8</v>
      </c>
      <c r="E4121" s="506">
        <f>IF(H4121=0,0,ROUNDDOWN(K4121*H4121,1))</f>
        <v>0</v>
      </c>
      <c r="F4121" s="506">
        <f>IF(H4121=0,0,ROUNDDOWN(L4121*H4121,1))</f>
        <v>0</v>
      </c>
      <c r="G4121" s="451" t="s">
        <v>3894</v>
      </c>
      <c r="H4121" s="507">
        <f>ROUNDUP(AE4121,14-LEN(ABS(INT(AE4121))))</f>
        <v>4.0000000000000002E-4</v>
      </c>
      <c r="I4121" s="508">
        <f>K4121+J4121+L4121</f>
        <v>172068</v>
      </c>
      <c r="J4121" s="509">
        <f>노무비목록표!E10</f>
        <v>172068</v>
      </c>
      <c r="M4121" s="501" t="s">
        <v>2363</v>
      </c>
      <c r="N4121" s="501" t="s">
        <v>3416</v>
      </c>
      <c r="O4121" s="501" t="s">
        <v>2355</v>
      </c>
      <c r="X4121" s="510" t="str">
        <f>노무비목록표!B10&amp;" / "&amp;노무비목록표!C10</f>
        <v xml:space="preserve">보통인부 / </v>
      </c>
      <c r="Y4121" s="433" t="str">
        <f ca="1">HYPERLINK("#"&amp;노무비목록표!G2&amp;"!A"&amp;ROW(노무비목록표!A10),"L00017 →")</f>
        <v>L00017 →</v>
      </c>
      <c r="Z4121" s="501" t="s">
        <v>3500</v>
      </c>
      <c r="AA4121" s="515">
        <v>1</v>
      </c>
      <c r="AB4121" s="501" t="s">
        <v>3428</v>
      </c>
      <c r="AC4121" s="512" t="str">
        <f>AB4112</f>
        <v>2,500.00</v>
      </c>
      <c r="AD4121" s="501" t="s">
        <v>3418</v>
      </c>
      <c r="AE4121" s="512">
        <f>1*AA4121/AB4112</f>
        <v>4.0000000000000002E-4</v>
      </c>
      <c r="AF4121" s="500"/>
      <c r="AG4121" s="500"/>
      <c r="AH4121" s="500"/>
      <c r="AI4121" s="500"/>
      <c r="AJ4121" s="500"/>
      <c r="AK4121" s="500"/>
      <c r="AL4121" s="500"/>
      <c r="AM4121" s="500"/>
      <c r="AN4121" s="500"/>
      <c r="AO4121" s="500"/>
      <c r="AP4121" s="500"/>
    </row>
    <row r="4122" spans="1:42" ht="16.5" customHeight="1">
      <c r="A4122" s="439"/>
      <c r="B4122" s="439"/>
      <c r="C4122" s="439"/>
      <c r="D4122" s="439"/>
      <c r="E4122" s="439"/>
      <c r="F4122" s="439"/>
      <c r="G4122" s="451" t="s">
        <v>3406</v>
      </c>
      <c r="Z4122" s="500"/>
      <c r="AA4122" s="500"/>
      <c r="AB4122" s="500"/>
      <c r="AC4122" s="500"/>
      <c r="AD4122" s="500"/>
      <c r="AE4122" s="500"/>
      <c r="AF4122" s="500"/>
      <c r="AG4122" s="500"/>
      <c r="AH4122" s="500"/>
      <c r="AI4122" s="500"/>
      <c r="AJ4122" s="500"/>
      <c r="AK4122" s="500"/>
      <c r="AL4122" s="500"/>
      <c r="AM4122" s="500"/>
      <c r="AN4122" s="500"/>
      <c r="AO4122" s="500"/>
      <c r="AP4122" s="500"/>
    </row>
    <row r="4123" spans="1:42" ht="16.5" customHeight="1">
      <c r="A4123" s="434"/>
      <c r="B4123" s="437" t="s">
        <v>3419</v>
      </c>
      <c r="C4123" s="513">
        <f>E4123+D4123+F4123</f>
        <v>340.1</v>
      </c>
      <c r="D4123" s="513">
        <f>SUMIF(N4107:N4122,M4123,D4107:D4122)</f>
        <v>340.1</v>
      </c>
      <c r="E4123" s="513">
        <f>SUMIF(N4107:N4122,M4123,E4107:E4122)</f>
        <v>0</v>
      </c>
      <c r="F4123" s="513">
        <f>SUMIF(N4107:N4122,M4123,F4107:F4122)</f>
        <v>0</v>
      </c>
      <c r="G4123" s="451" t="s">
        <v>3420</v>
      </c>
      <c r="M4123" s="501" t="s">
        <v>3416</v>
      </c>
      <c r="N4123" s="501" t="s">
        <v>3421</v>
      </c>
      <c r="Z4123" s="500"/>
      <c r="AA4123" s="500"/>
      <c r="AB4123" s="500"/>
      <c r="AC4123" s="500"/>
      <c r="AD4123" s="500"/>
      <c r="AE4123" s="500"/>
      <c r="AF4123" s="500"/>
      <c r="AG4123" s="500"/>
      <c r="AH4123" s="500"/>
      <c r="AI4123" s="500"/>
      <c r="AJ4123" s="500"/>
      <c r="AK4123" s="500"/>
      <c r="AL4123" s="500"/>
      <c r="AM4123" s="500"/>
      <c r="AN4123" s="500"/>
      <c r="AO4123" s="500"/>
      <c r="AP4123" s="500"/>
    </row>
    <row r="4124" spans="1:42" ht="16.5" customHeight="1">
      <c r="A4124" s="439"/>
      <c r="B4124" s="439"/>
      <c r="C4124" s="504"/>
      <c r="D4124" s="504"/>
      <c r="E4124" s="504"/>
      <c r="F4124" s="504"/>
      <c r="G4124" s="451" t="s">
        <v>3406</v>
      </c>
      <c r="Z4124" s="500"/>
      <c r="AA4124" s="500"/>
      <c r="AB4124" s="500"/>
      <c r="AC4124" s="500"/>
      <c r="AD4124" s="500"/>
      <c r="AE4124" s="500"/>
      <c r="AF4124" s="500"/>
      <c r="AG4124" s="500"/>
      <c r="AH4124" s="500"/>
      <c r="AI4124" s="500"/>
      <c r="AJ4124" s="500"/>
      <c r="AK4124" s="500"/>
      <c r="AL4124" s="500"/>
      <c r="AM4124" s="500"/>
      <c r="AN4124" s="500"/>
      <c r="AO4124" s="500"/>
      <c r="AP4124" s="500"/>
    </row>
    <row r="4125" spans="1:42" ht="16.5" customHeight="1">
      <c r="A4125" s="439"/>
      <c r="B4125" s="439"/>
      <c r="C4125" s="439"/>
      <c r="D4125" s="439"/>
      <c r="E4125" s="439"/>
      <c r="F4125" s="439"/>
      <c r="G4125" s="451" t="s">
        <v>3406</v>
      </c>
      <c r="Z4125" s="500"/>
      <c r="AA4125" s="500"/>
      <c r="AB4125" s="500"/>
      <c r="AC4125" s="500"/>
      <c r="AD4125" s="500"/>
      <c r="AE4125" s="500"/>
      <c r="AF4125" s="500"/>
      <c r="AG4125" s="500"/>
      <c r="AH4125" s="500"/>
      <c r="AI4125" s="500"/>
      <c r="AJ4125" s="500"/>
      <c r="AK4125" s="500"/>
      <c r="AL4125" s="500"/>
      <c r="AM4125" s="500"/>
      <c r="AN4125" s="500"/>
      <c r="AO4125" s="500"/>
      <c r="AP4125" s="500"/>
    </row>
    <row r="4126" spans="1:42" ht="16.5" customHeight="1">
      <c r="A4126" s="434"/>
      <c r="B4126" s="505" t="str">
        <f>" 2. 공구손료 및 기계경비(인력품의 6%) : "&amp;TEXT(I4126,"#,##0.0")&amp;" * "&amp;AA4126&amp;" %  = "&amp;TEXT(C4126,"#,##0.0")&amp;""</f>
        <v xml:space="preserve"> 2. 공구손료 및 기계경비(인력품의 6%) : 340.1 * 6 %  = 20.4</v>
      </c>
      <c r="C4126" s="506">
        <f>E4126+D4126+F4126</f>
        <v>20.399999999999999</v>
      </c>
      <c r="D4126" s="506">
        <f>IF(H4126=0,0,ROUNDDOWN(J4126*H4126/100,1))</f>
        <v>0</v>
      </c>
      <c r="E4126" s="506">
        <f>IF(H4126=0,0,ROUNDDOWN(K4126*H4126/100,1))</f>
        <v>0</v>
      </c>
      <c r="F4126" s="506">
        <f>IF(H4126=0,0,ROUNDDOWN(L4126*H4126/100,1))</f>
        <v>20.399999999999999</v>
      </c>
      <c r="G4126" s="451" t="s">
        <v>3895</v>
      </c>
      <c r="H4126" s="507">
        <f>ROUNDUP(AC4126,14-LEN(ABS(INT(AC4126))))</f>
        <v>6</v>
      </c>
      <c r="I4126" s="508">
        <f>K4126+J4126+L4126</f>
        <v>340.1</v>
      </c>
      <c r="J4126" s="456">
        <v>0</v>
      </c>
      <c r="K4126" s="456">
        <v>0</v>
      </c>
      <c r="L4126" s="509">
        <f>D4119+D4121</f>
        <v>340.1</v>
      </c>
      <c r="M4126" s="501" t="s">
        <v>3743</v>
      </c>
      <c r="N4126" s="501" t="s">
        <v>3416</v>
      </c>
      <c r="Z4126" s="501" t="s">
        <v>3500</v>
      </c>
      <c r="AA4126" s="515">
        <v>6</v>
      </c>
      <c r="AB4126" s="501" t="s">
        <v>3418</v>
      </c>
      <c r="AC4126" s="512">
        <f>1*AA4126</f>
        <v>6</v>
      </c>
      <c r="AD4126" s="500"/>
      <c r="AE4126" s="500"/>
      <c r="AF4126" s="500"/>
      <c r="AG4126" s="500"/>
      <c r="AH4126" s="500"/>
      <c r="AI4126" s="500"/>
      <c r="AJ4126" s="500"/>
      <c r="AK4126" s="500"/>
      <c r="AL4126" s="500"/>
      <c r="AM4126" s="500"/>
      <c r="AN4126" s="500"/>
      <c r="AO4126" s="500"/>
      <c r="AP4126" s="500"/>
    </row>
    <row r="4127" spans="1:42" ht="16.5" customHeight="1">
      <c r="A4127" s="439"/>
      <c r="B4127" s="439"/>
      <c r="C4127" s="439"/>
      <c r="D4127" s="439"/>
      <c r="E4127" s="439"/>
      <c r="F4127" s="439"/>
      <c r="G4127" s="451" t="s">
        <v>3406</v>
      </c>
      <c r="Z4127" s="500"/>
      <c r="AA4127" s="500"/>
      <c r="AB4127" s="500"/>
      <c r="AC4127" s="500"/>
      <c r="AD4127" s="500"/>
      <c r="AE4127" s="500"/>
      <c r="AF4127" s="500"/>
      <c r="AG4127" s="500"/>
      <c r="AH4127" s="500"/>
      <c r="AI4127" s="500"/>
      <c r="AJ4127" s="500"/>
      <c r="AK4127" s="500"/>
      <c r="AL4127" s="500"/>
      <c r="AM4127" s="500"/>
      <c r="AN4127" s="500"/>
      <c r="AO4127" s="500"/>
      <c r="AP4127" s="500"/>
    </row>
    <row r="4128" spans="1:42" ht="16.5" customHeight="1">
      <c r="A4128" s="434"/>
      <c r="B4128" s="437" t="s">
        <v>3419</v>
      </c>
      <c r="C4128" s="513">
        <f>E4128+D4128+F4128</f>
        <v>20.399999999999999</v>
      </c>
      <c r="D4128" s="513">
        <f>SUMIF(N4124:N4127,M4128,D4124:D4127)</f>
        <v>0</v>
      </c>
      <c r="E4128" s="513">
        <f>SUMIF(N4124:N4127,M4128,E4124:E4127)</f>
        <v>0</v>
      </c>
      <c r="F4128" s="513">
        <f>SUMIF(N4124:N4127,M4128,F4124:F4127)</f>
        <v>20.399999999999999</v>
      </c>
      <c r="G4128" s="451" t="s">
        <v>3420</v>
      </c>
      <c r="M4128" s="501" t="s">
        <v>3416</v>
      </c>
      <c r="N4128" s="501" t="s">
        <v>3421</v>
      </c>
      <c r="Z4128" s="500"/>
      <c r="AA4128" s="500"/>
      <c r="AB4128" s="500"/>
      <c r="AC4128" s="500"/>
      <c r="AD4128" s="500"/>
      <c r="AE4128" s="500"/>
      <c r="AF4128" s="500"/>
      <c r="AG4128" s="500"/>
      <c r="AH4128" s="500"/>
      <c r="AI4128" s="500"/>
      <c r="AJ4128" s="500"/>
      <c r="AK4128" s="500"/>
      <c r="AL4128" s="500"/>
      <c r="AM4128" s="500"/>
      <c r="AN4128" s="500"/>
      <c r="AO4128" s="500"/>
      <c r="AP4128" s="500"/>
    </row>
    <row r="4129" spans="1:42" ht="16.5" customHeight="1">
      <c r="A4129" s="439"/>
      <c r="B4129" s="439"/>
      <c r="C4129" s="504"/>
      <c r="D4129" s="504"/>
      <c r="E4129" s="504"/>
      <c r="F4129" s="504"/>
      <c r="G4129" s="451" t="s">
        <v>3406</v>
      </c>
      <c r="Z4129" s="500"/>
      <c r="AA4129" s="500"/>
      <c r="AB4129" s="500"/>
      <c r="AC4129" s="500"/>
      <c r="AD4129" s="500"/>
      <c r="AE4129" s="500"/>
      <c r="AF4129" s="500"/>
      <c r="AG4129" s="500"/>
      <c r="AH4129" s="500"/>
      <c r="AI4129" s="500"/>
      <c r="AJ4129" s="500"/>
      <c r="AK4129" s="500"/>
      <c r="AL4129" s="500"/>
      <c r="AM4129" s="500"/>
      <c r="AN4129" s="500"/>
      <c r="AO4129" s="500"/>
      <c r="AP4129" s="500"/>
    </row>
    <row r="4130" spans="1:42" ht="16.5" customHeight="1">
      <c r="A4130" s="439"/>
      <c r="B4130" s="439"/>
      <c r="C4130" s="439"/>
      <c r="D4130" s="439"/>
      <c r="E4130" s="439"/>
      <c r="F4130" s="439"/>
      <c r="G4130" s="451" t="s">
        <v>3406</v>
      </c>
      <c r="Z4130" s="500"/>
      <c r="AA4130" s="500"/>
      <c r="AB4130" s="500"/>
      <c r="AC4130" s="500"/>
      <c r="AD4130" s="500"/>
      <c r="AE4130" s="500"/>
      <c r="AF4130" s="500"/>
      <c r="AG4130" s="500"/>
      <c r="AH4130" s="500"/>
      <c r="AI4130" s="500"/>
      <c r="AJ4130" s="500"/>
      <c r="AK4130" s="500"/>
      <c r="AL4130" s="500"/>
      <c r="AM4130" s="500"/>
      <c r="AN4130" s="500"/>
      <c r="AO4130" s="500"/>
      <c r="AP4130" s="500"/>
    </row>
    <row r="4131" spans="1:42" ht="16.5" customHeight="1">
      <c r="A4131" s="434"/>
      <c r="B4131" s="437" t="s">
        <v>3440</v>
      </c>
      <c r="C4131" s="513">
        <f>E4131+D4131+F4131</f>
        <v>360.5</v>
      </c>
      <c r="D4131" s="513">
        <f>SUMIF(N4107:N4130,M4131,D4107:D4130)</f>
        <v>340.1</v>
      </c>
      <c r="E4131" s="513">
        <f>SUMIF(N4107:N4130,M4131,E4107:E4130)</f>
        <v>0</v>
      </c>
      <c r="F4131" s="513">
        <f>SUMIF(N4107:N4130,M4131,F4107:F4130)</f>
        <v>20.399999999999999</v>
      </c>
      <c r="G4131" s="451" t="s">
        <v>3484</v>
      </c>
      <c r="M4131" s="501" t="s">
        <v>3421</v>
      </c>
      <c r="N4131" s="501" t="s">
        <v>2354</v>
      </c>
      <c r="Z4131" s="500"/>
      <c r="AA4131" s="500"/>
      <c r="AB4131" s="500"/>
      <c r="AC4131" s="500"/>
      <c r="AD4131" s="500"/>
      <c r="AE4131" s="500"/>
      <c r="AF4131" s="500"/>
      <c r="AG4131" s="500"/>
      <c r="AH4131" s="500"/>
      <c r="AI4131" s="500"/>
      <c r="AJ4131" s="500"/>
      <c r="AK4131" s="500"/>
      <c r="AL4131" s="500"/>
      <c r="AM4131" s="500"/>
      <c r="AN4131" s="500"/>
      <c r="AO4131" s="500"/>
      <c r="AP4131" s="500"/>
    </row>
    <row r="4132" spans="1:42" ht="16.5" customHeight="1">
      <c r="A4132" s="439"/>
      <c r="B4132" s="439"/>
      <c r="C4132" s="504"/>
      <c r="D4132" s="504"/>
      <c r="E4132" s="504"/>
      <c r="F4132" s="504"/>
      <c r="Z4132" s="500"/>
      <c r="AA4132" s="500"/>
      <c r="AB4132" s="500"/>
      <c r="AC4132" s="500"/>
      <c r="AD4132" s="500"/>
      <c r="AE4132" s="500"/>
      <c r="AF4132" s="500"/>
      <c r="AG4132" s="500"/>
      <c r="AH4132" s="500"/>
      <c r="AI4132" s="500"/>
      <c r="AJ4132" s="500"/>
      <c r="AK4132" s="500"/>
      <c r="AL4132" s="500"/>
      <c r="AM4132" s="500"/>
      <c r="AN4132" s="500"/>
      <c r="AO4132" s="500"/>
      <c r="AP4132" s="500"/>
    </row>
    <row r="4133" spans="1:42" ht="16.5" customHeight="1">
      <c r="A4133" s="439"/>
      <c r="B4133" s="439"/>
      <c r="C4133" s="439"/>
      <c r="D4133" s="439"/>
      <c r="E4133" s="439"/>
      <c r="F4133" s="439"/>
      <c r="Z4133" s="500"/>
      <c r="AA4133" s="500"/>
      <c r="AB4133" s="500"/>
      <c r="AC4133" s="500"/>
      <c r="AD4133" s="500"/>
      <c r="AE4133" s="500"/>
      <c r="AF4133" s="500"/>
      <c r="AG4133" s="500"/>
      <c r="AH4133" s="500"/>
      <c r="AI4133" s="500"/>
      <c r="AJ4133" s="500"/>
      <c r="AK4133" s="500"/>
      <c r="AL4133" s="500"/>
      <c r="AM4133" s="500"/>
      <c r="AN4133" s="500"/>
      <c r="AO4133" s="500"/>
      <c r="AP4133" s="500"/>
    </row>
    <row r="4134" spans="1:42" ht="16.5" customHeight="1">
      <c r="A4134" s="439"/>
      <c r="B4134" s="439"/>
      <c r="C4134" s="439"/>
      <c r="D4134" s="439"/>
      <c r="E4134" s="439"/>
      <c r="F4134" s="439"/>
      <c r="Z4134" s="500"/>
      <c r="AA4134" s="500"/>
      <c r="AB4134" s="500"/>
      <c r="AC4134" s="500"/>
      <c r="AD4134" s="500"/>
      <c r="AE4134" s="500"/>
      <c r="AF4134" s="500"/>
      <c r="AG4134" s="500"/>
      <c r="AH4134" s="500"/>
      <c r="AI4134" s="500"/>
      <c r="AJ4134" s="500"/>
      <c r="AK4134" s="500"/>
      <c r="AL4134" s="500"/>
      <c r="AM4134" s="500"/>
      <c r="AN4134" s="500"/>
      <c r="AO4134" s="500"/>
      <c r="AP4134" s="500"/>
    </row>
    <row r="4135" spans="1:42" ht="16.5" customHeight="1">
      <c r="A4135" s="439"/>
      <c r="B4135" s="439"/>
      <c r="C4135" s="439"/>
      <c r="D4135" s="439"/>
      <c r="E4135" s="439"/>
      <c r="F4135" s="439"/>
      <c r="Z4135" s="500"/>
      <c r="AA4135" s="500"/>
      <c r="AB4135" s="500"/>
      <c r="AC4135" s="500"/>
      <c r="AD4135" s="500"/>
      <c r="AE4135" s="500"/>
      <c r="AF4135" s="500"/>
      <c r="AG4135" s="500"/>
      <c r="AH4135" s="500"/>
      <c r="AI4135" s="500"/>
      <c r="AJ4135" s="500"/>
      <c r="AK4135" s="500"/>
      <c r="AL4135" s="500"/>
      <c r="AM4135" s="500"/>
      <c r="AN4135" s="500"/>
      <c r="AO4135" s="500"/>
      <c r="AP4135" s="500"/>
    </row>
    <row r="4136" spans="1:42" ht="16.5" customHeight="1">
      <c r="A4136" s="439"/>
      <c r="B4136" s="439"/>
      <c r="C4136" s="439"/>
      <c r="D4136" s="439"/>
      <c r="E4136" s="439"/>
      <c r="F4136" s="439"/>
      <c r="Z4136" s="500"/>
      <c r="AA4136" s="500"/>
      <c r="AB4136" s="500"/>
      <c r="AC4136" s="500"/>
      <c r="AD4136" s="500"/>
      <c r="AE4136" s="500"/>
      <c r="AF4136" s="500"/>
      <c r="AG4136" s="500"/>
      <c r="AH4136" s="500"/>
      <c r="AI4136" s="500"/>
      <c r="AJ4136" s="500"/>
      <c r="AK4136" s="500"/>
      <c r="AL4136" s="500"/>
      <c r="AM4136" s="500"/>
      <c r="AN4136" s="500"/>
      <c r="AO4136" s="500"/>
      <c r="AP4136" s="500"/>
    </row>
    <row r="4137" spans="1:42" ht="16.5" customHeight="1">
      <c r="A4137" s="439"/>
      <c r="B4137" s="439"/>
      <c r="C4137" s="439"/>
      <c r="D4137" s="439"/>
      <c r="E4137" s="439"/>
      <c r="F4137" s="439"/>
      <c r="Z4137" s="500"/>
      <c r="AA4137" s="500"/>
      <c r="AB4137" s="500"/>
      <c r="AC4137" s="500"/>
      <c r="AD4137" s="500"/>
      <c r="AE4137" s="500"/>
      <c r="AF4137" s="500"/>
      <c r="AG4137" s="500"/>
      <c r="AH4137" s="500"/>
      <c r="AI4137" s="500"/>
      <c r="AJ4137" s="500"/>
      <c r="AK4137" s="500"/>
      <c r="AL4137" s="500"/>
      <c r="AM4137" s="500"/>
      <c r="AN4137" s="500"/>
      <c r="AO4137" s="500"/>
      <c r="AP4137" s="500"/>
    </row>
    <row r="4138" spans="1:42" ht="16.5" customHeight="1">
      <c r="A4138" s="439"/>
      <c r="B4138" s="439"/>
      <c r="C4138" s="439"/>
      <c r="D4138" s="439"/>
      <c r="E4138" s="439"/>
      <c r="F4138" s="439"/>
      <c r="Z4138" s="500"/>
      <c r="AA4138" s="500"/>
      <c r="AB4138" s="500"/>
      <c r="AC4138" s="500"/>
      <c r="AD4138" s="500"/>
      <c r="AE4138" s="500"/>
      <c r="AF4138" s="500"/>
      <c r="AG4138" s="500"/>
      <c r="AH4138" s="500"/>
      <c r="AI4138" s="500"/>
      <c r="AJ4138" s="500"/>
      <c r="AK4138" s="500"/>
      <c r="AL4138" s="500"/>
      <c r="AM4138" s="500"/>
      <c r="AN4138" s="500"/>
      <c r="AO4138" s="500"/>
      <c r="AP4138" s="500"/>
    </row>
    <row r="4139" spans="1:42" ht="16.5" customHeight="1">
      <c r="A4139" s="439"/>
      <c r="B4139" s="439"/>
      <c r="C4139" s="439"/>
      <c r="D4139" s="439"/>
      <c r="E4139" s="439"/>
      <c r="F4139" s="439"/>
      <c r="Z4139" s="500"/>
      <c r="AA4139" s="500"/>
      <c r="AB4139" s="500"/>
      <c r="AC4139" s="500"/>
      <c r="AD4139" s="500"/>
      <c r="AE4139" s="500"/>
      <c r="AF4139" s="500"/>
      <c r="AG4139" s="500"/>
      <c r="AH4139" s="500"/>
      <c r="AI4139" s="500"/>
      <c r="AJ4139" s="500"/>
      <c r="AK4139" s="500"/>
      <c r="AL4139" s="500"/>
      <c r="AM4139" s="500"/>
      <c r="AN4139" s="500"/>
      <c r="AO4139" s="500"/>
      <c r="AP4139" s="500"/>
    </row>
    <row r="4140" spans="1:42" ht="16.5" customHeight="1">
      <c r="A4140" s="439"/>
      <c r="B4140" s="439"/>
      <c r="C4140" s="439"/>
      <c r="D4140" s="439"/>
      <c r="E4140" s="439"/>
      <c r="F4140" s="439"/>
      <c r="Z4140" s="500"/>
      <c r="AA4140" s="500"/>
      <c r="AB4140" s="500"/>
      <c r="AC4140" s="500"/>
      <c r="AD4140" s="500"/>
      <c r="AE4140" s="500"/>
      <c r="AF4140" s="500"/>
      <c r="AG4140" s="500"/>
      <c r="AH4140" s="500"/>
      <c r="AI4140" s="500"/>
      <c r="AJ4140" s="500"/>
      <c r="AK4140" s="500"/>
      <c r="AL4140" s="500"/>
      <c r="AM4140" s="500"/>
      <c r="AN4140" s="500"/>
      <c r="AO4140" s="500"/>
      <c r="AP4140" s="500"/>
    </row>
    <row r="4141" spans="1:42" ht="16.5" customHeight="1">
      <c r="A4141" s="439"/>
      <c r="B4141" s="439"/>
      <c r="C4141" s="439"/>
      <c r="D4141" s="439"/>
      <c r="E4141" s="439"/>
      <c r="F4141" s="439"/>
      <c r="Z4141" s="500"/>
      <c r="AA4141" s="500"/>
      <c r="AB4141" s="500"/>
      <c r="AC4141" s="500"/>
      <c r="AD4141" s="500"/>
      <c r="AE4141" s="500"/>
      <c r="AF4141" s="500"/>
      <c r="AG4141" s="500"/>
      <c r="AH4141" s="500"/>
      <c r="AI4141" s="500"/>
      <c r="AJ4141" s="500"/>
      <c r="AK4141" s="500"/>
      <c r="AL4141" s="500"/>
      <c r="AM4141" s="500"/>
      <c r="AN4141" s="500"/>
      <c r="AO4141" s="500"/>
      <c r="AP4141" s="500"/>
    </row>
    <row r="4142" spans="1:42" ht="16.5" customHeight="1">
      <c r="A4142" s="439"/>
      <c r="B4142" s="439"/>
      <c r="C4142" s="439"/>
      <c r="D4142" s="439"/>
      <c r="E4142" s="439"/>
      <c r="F4142" s="439"/>
      <c r="Z4142" s="500"/>
      <c r="AA4142" s="500"/>
      <c r="AB4142" s="500"/>
      <c r="AC4142" s="500"/>
      <c r="AD4142" s="500"/>
      <c r="AE4142" s="500"/>
      <c r="AF4142" s="500"/>
      <c r="AG4142" s="500"/>
      <c r="AH4142" s="500"/>
      <c r="AI4142" s="500"/>
      <c r="AJ4142" s="500"/>
      <c r="AK4142" s="500"/>
      <c r="AL4142" s="500"/>
      <c r="AM4142" s="500"/>
      <c r="AN4142" s="500"/>
      <c r="AO4142" s="500"/>
      <c r="AP4142" s="500"/>
    </row>
    <row r="4143" spans="1:42" ht="16.5" customHeight="1">
      <c r="A4143" s="439"/>
      <c r="B4143" s="439"/>
      <c r="C4143" s="439"/>
      <c r="D4143" s="439"/>
      <c r="E4143" s="439"/>
      <c r="F4143" s="439"/>
      <c r="Z4143" s="500"/>
      <c r="AA4143" s="500"/>
      <c r="AB4143" s="500"/>
      <c r="AC4143" s="500"/>
      <c r="AD4143" s="500"/>
      <c r="AE4143" s="500"/>
      <c r="AF4143" s="500"/>
      <c r="AG4143" s="500"/>
      <c r="AH4143" s="500"/>
      <c r="AI4143" s="500"/>
      <c r="AJ4143" s="500"/>
      <c r="AK4143" s="500"/>
      <c r="AL4143" s="500"/>
      <c r="AM4143" s="500"/>
      <c r="AN4143" s="500"/>
      <c r="AO4143" s="500"/>
      <c r="AP4143" s="500"/>
    </row>
    <row r="4144" spans="1:42" ht="16.5" customHeight="1">
      <c r="A4144" s="439"/>
      <c r="B4144" s="439"/>
      <c r="C4144" s="439"/>
      <c r="D4144" s="439"/>
      <c r="E4144" s="439"/>
      <c r="F4144" s="439"/>
      <c r="Z4144" s="500"/>
      <c r="AA4144" s="500"/>
      <c r="AB4144" s="500"/>
      <c r="AC4144" s="500"/>
      <c r="AD4144" s="500"/>
      <c r="AE4144" s="500"/>
      <c r="AF4144" s="500"/>
      <c r="AG4144" s="500"/>
      <c r="AH4144" s="500"/>
      <c r="AI4144" s="500"/>
      <c r="AJ4144" s="500"/>
      <c r="AK4144" s="500"/>
      <c r="AL4144" s="500"/>
      <c r="AM4144" s="500"/>
      <c r="AN4144" s="500"/>
      <c r="AO4144" s="500"/>
      <c r="AP4144" s="500"/>
    </row>
    <row r="4145" spans="1:42" ht="16.5" customHeight="1">
      <c r="A4145" s="439"/>
      <c r="B4145" s="439"/>
      <c r="C4145" s="439"/>
      <c r="D4145" s="439"/>
      <c r="E4145" s="439"/>
      <c r="F4145" s="439"/>
      <c r="Z4145" s="500"/>
      <c r="AA4145" s="500"/>
      <c r="AB4145" s="500"/>
      <c r="AC4145" s="500"/>
      <c r="AD4145" s="500"/>
      <c r="AE4145" s="500"/>
      <c r="AF4145" s="500"/>
      <c r="AG4145" s="500"/>
      <c r="AH4145" s="500"/>
      <c r="AI4145" s="500"/>
      <c r="AJ4145" s="500"/>
      <c r="AK4145" s="500"/>
      <c r="AL4145" s="500"/>
      <c r="AM4145" s="500"/>
      <c r="AN4145" s="500"/>
      <c r="AO4145" s="500"/>
      <c r="AP4145" s="500"/>
    </row>
    <row r="4146" spans="1:42" ht="16.5" customHeight="1">
      <c r="A4146" s="439"/>
      <c r="B4146" s="439"/>
      <c r="C4146" s="439"/>
      <c r="D4146" s="439"/>
      <c r="E4146" s="439"/>
      <c r="F4146" s="439"/>
      <c r="Z4146" s="500"/>
      <c r="AA4146" s="500"/>
      <c r="AB4146" s="500"/>
      <c r="AC4146" s="500"/>
      <c r="AD4146" s="500"/>
      <c r="AE4146" s="500"/>
      <c r="AF4146" s="500"/>
      <c r="AG4146" s="500"/>
      <c r="AH4146" s="500"/>
      <c r="AI4146" s="500"/>
      <c r="AJ4146" s="500"/>
      <c r="AK4146" s="500"/>
      <c r="AL4146" s="500"/>
      <c r="AM4146" s="500"/>
      <c r="AN4146" s="500"/>
      <c r="AO4146" s="500"/>
      <c r="AP4146" s="500"/>
    </row>
    <row r="4147" spans="1:42" ht="16.5" customHeight="1">
      <c r="A4147" s="439"/>
      <c r="B4147" s="439"/>
      <c r="C4147" s="439"/>
      <c r="D4147" s="439"/>
      <c r="E4147" s="439"/>
      <c r="F4147" s="439"/>
      <c r="Z4147" s="500"/>
      <c r="AA4147" s="500"/>
      <c r="AB4147" s="500"/>
      <c r="AC4147" s="500"/>
      <c r="AD4147" s="500"/>
      <c r="AE4147" s="500"/>
      <c r="AF4147" s="500"/>
      <c r="AG4147" s="500"/>
      <c r="AH4147" s="500"/>
      <c r="AI4147" s="500"/>
      <c r="AJ4147" s="500"/>
      <c r="AK4147" s="500"/>
      <c r="AL4147" s="500"/>
      <c r="AM4147" s="500"/>
      <c r="AN4147" s="500"/>
      <c r="AO4147" s="500"/>
      <c r="AP4147" s="500"/>
    </row>
    <row r="4148" spans="1:42" ht="16.5" customHeight="1">
      <c r="A4148" s="439"/>
      <c r="B4148" s="439"/>
      <c r="C4148" s="439"/>
      <c r="D4148" s="439"/>
      <c r="E4148" s="439"/>
      <c r="F4148" s="439"/>
      <c r="Z4148" s="500"/>
      <c r="AA4148" s="500"/>
      <c r="AB4148" s="500"/>
      <c r="AC4148" s="500"/>
      <c r="AD4148" s="500"/>
      <c r="AE4148" s="500"/>
      <c r="AF4148" s="500"/>
      <c r="AG4148" s="500"/>
      <c r="AH4148" s="500"/>
      <c r="AI4148" s="500"/>
      <c r="AJ4148" s="500"/>
      <c r="AK4148" s="500"/>
      <c r="AL4148" s="500"/>
      <c r="AM4148" s="500"/>
      <c r="AN4148" s="500"/>
      <c r="AO4148" s="500"/>
      <c r="AP4148" s="500"/>
    </row>
    <row r="4149" spans="1:42" ht="16.5" customHeight="1">
      <c r="A4149" s="439"/>
      <c r="B4149" s="439"/>
      <c r="C4149" s="439"/>
      <c r="D4149" s="439"/>
      <c r="E4149" s="439"/>
      <c r="F4149" s="439"/>
      <c r="Z4149" s="500"/>
      <c r="AA4149" s="500"/>
      <c r="AB4149" s="500"/>
      <c r="AC4149" s="500"/>
      <c r="AD4149" s="500"/>
      <c r="AE4149" s="500"/>
      <c r="AF4149" s="500"/>
      <c r="AG4149" s="500"/>
      <c r="AH4149" s="500"/>
      <c r="AI4149" s="500"/>
      <c r="AJ4149" s="500"/>
      <c r="AK4149" s="500"/>
      <c r="AL4149" s="500"/>
      <c r="AM4149" s="500"/>
      <c r="AN4149" s="500"/>
      <c r="AO4149" s="500"/>
      <c r="AP4149" s="500"/>
    </row>
    <row r="4150" spans="1:42" ht="16.5" customHeight="1">
      <c r="A4150" s="439"/>
      <c r="B4150" s="439"/>
      <c r="C4150" s="439"/>
      <c r="D4150" s="439"/>
      <c r="E4150" s="439"/>
      <c r="F4150" s="439"/>
      <c r="Z4150" s="500"/>
      <c r="AA4150" s="500"/>
      <c r="AB4150" s="500"/>
      <c r="AC4150" s="500"/>
      <c r="AD4150" s="500"/>
      <c r="AE4150" s="500"/>
      <c r="AF4150" s="500"/>
      <c r="AG4150" s="500"/>
      <c r="AH4150" s="500"/>
      <c r="AI4150" s="500"/>
      <c r="AJ4150" s="500"/>
      <c r="AK4150" s="500"/>
      <c r="AL4150" s="500"/>
      <c r="AM4150" s="500"/>
      <c r="AN4150" s="500"/>
      <c r="AO4150" s="500"/>
      <c r="AP4150" s="500"/>
    </row>
    <row r="4151" spans="1:42" ht="16.5" customHeight="1">
      <c r="A4151" s="439"/>
      <c r="B4151" s="439"/>
      <c r="C4151" s="439"/>
      <c r="D4151" s="439"/>
      <c r="E4151" s="439"/>
      <c r="F4151" s="439"/>
      <c r="Z4151" s="500"/>
      <c r="AA4151" s="500"/>
      <c r="AB4151" s="500"/>
      <c r="AC4151" s="500"/>
      <c r="AD4151" s="500"/>
      <c r="AE4151" s="500"/>
      <c r="AF4151" s="500"/>
      <c r="AG4151" s="500"/>
      <c r="AH4151" s="500"/>
      <c r="AI4151" s="500"/>
      <c r="AJ4151" s="500"/>
      <c r="AK4151" s="500"/>
      <c r="AL4151" s="500"/>
      <c r="AM4151" s="500"/>
      <c r="AN4151" s="500"/>
      <c r="AO4151" s="500"/>
      <c r="AP4151" s="500"/>
    </row>
    <row r="4152" spans="1:42" ht="16.5" customHeight="1">
      <c r="A4152" s="439"/>
      <c r="B4152" s="439"/>
      <c r="C4152" s="439"/>
      <c r="D4152" s="439"/>
      <c r="E4152" s="439"/>
      <c r="F4152" s="439"/>
      <c r="Z4152" s="500"/>
      <c r="AA4152" s="500"/>
      <c r="AB4152" s="500"/>
      <c r="AC4152" s="500"/>
      <c r="AD4152" s="500"/>
      <c r="AE4152" s="500"/>
      <c r="AF4152" s="500"/>
      <c r="AG4152" s="500"/>
      <c r="AH4152" s="500"/>
      <c r="AI4152" s="500"/>
      <c r="AJ4152" s="500"/>
      <c r="AK4152" s="500"/>
      <c r="AL4152" s="500"/>
      <c r="AM4152" s="500"/>
      <c r="AN4152" s="500"/>
      <c r="AO4152" s="500"/>
      <c r="AP4152" s="500"/>
    </row>
    <row r="4153" spans="1:42" ht="16.5" customHeight="1">
      <c r="A4153" s="497"/>
      <c r="B4153" s="497"/>
      <c r="C4153" s="497"/>
      <c r="D4153" s="497"/>
      <c r="E4153" s="497"/>
      <c r="F4153" s="497"/>
      <c r="Z4153" s="500"/>
      <c r="AA4153" s="500"/>
      <c r="AB4153" s="500"/>
      <c r="AC4153" s="500"/>
      <c r="AD4153" s="500"/>
      <c r="AE4153" s="500"/>
      <c r="AF4153" s="500"/>
      <c r="AG4153" s="500"/>
      <c r="AH4153" s="500"/>
      <c r="AI4153" s="500"/>
      <c r="AJ4153" s="500"/>
      <c r="AK4153" s="500"/>
      <c r="AL4153" s="500"/>
      <c r="AM4153" s="500"/>
      <c r="AN4153" s="500"/>
      <c r="AO4153" s="500"/>
      <c r="AP4153" s="500"/>
    </row>
    <row r="4154" spans="1:42" ht="16.5" customHeight="1">
      <c r="A4154" s="616" t="s">
        <v>3487</v>
      </c>
      <c r="B4154" s="605"/>
      <c r="C4154" s="446">
        <f>E4154+D4154+F4154</f>
        <v>360</v>
      </c>
      <c r="D4154" s="453">
        <f>ROUNDDOWN(SUMIF(N4107:N4131,M4154,D4107:D4131),0)</f>
        <v>340</v>
      </c>
      <c r="E4154" s="454">
        <f>ROUNDDOWN(SUMIF(N4107:N4131,M4154,E4107:E4131),0)</f>
        <v>0</v>
      </c>
      <c r="F4154" s="446">
        <f>ROUNDDOWN(SUMIF(N4107:N4131,M4154,F4107:F4131),0)</f>
        <v>20</v>
      </c>
      <c r="M4154" s="501" t="s">
        <v>2354</v>
      </c>
      <c r="Z4154" s="500"/>
      <c r="AA4154" s="500"/>
      <c r="AB4154" s="500"/>
      <c r="AC4154" s="500"/>
      <c r="AD4154" s="500"/>
      <c r="AE4154" s="500"/>
      <c r="AF4154" s="500"/>
      <c r="AG4154" s="500"/>
      <c r="AH4154" s="500"/>
      <c r="AI4154" s="500"/>
      <c r="AJ4154" s="500"/>
      <c r="AK4154" s="500"/>
      <c r="AL4154" s="500"/>
      <c r="AM4154" s="500"/>
      <c r="AN4154" s="500"/>
      <c r="AO4154" s="500"/>
      <c r="AP4154" s="500"/>
    </row>
    <row r="4155" spans="1:42" ht="16.5" customHeight="1">
      <c r="A4155" s="502"/>
      <c r="B4155" s="503" t="s">
        <v>5440</v>
      </c>
      <c r="C4155" s="615">
        <f>C4204</f>
        <v>600</v>
      </c>
      <c r="D4155" s="615">
        <f>D4204</f>
        <v>566</v>
      </c>
      <c r="E4155" s="615">
        <f>E4204</f>
        <v>0</v>
      </c>
      <c r="F4155" s="615">
        <f>F4204</f>
        <v>34</v>
      </c>
      <c r="G4155" s="486" t="str">
        <f>HYPERLINK("#G"&amp;ROW(G4181),"_x0005_`BDCOD|D01336_x0007_`POSS|"&amp;ROW(G4157)&amp;"_x0007_`POSE|"&amp;ROW(G4181)&amp;"_x0007_`")</f>
        <v>_x0005_`BDCOD|D01336_x0007_`POSS|4157_x0007_`POSE|4181_x0007_`</v>
      </c>
      <c r="Z4155" s="500"/>
      <c r="AA4155" s="500"/>
      <c r="AB4155" s="500"/>
      <c r="AC4155" s="500"/>
      <c r="AD4155" s="500"/>
      <c r="AE4155" s="500"/>
      <c r="AF4155" s="500"/>
      <c r="AG4155" s="500"/>
      <c r="AH4155" s="500"/>
      <c r="AI4155" s="500"/>
      <c r="AJ4155" s="500"/>
      <c r="AK4155" s="500"/>
      <c r="AL4155" s="500"/>
      <c r="AM4155" s="500"/>
      <c r="AN4155" s="500"/>
      <c r="AO4155" s="500"/>
      <c r="AP4155" s="500"/>
    </row>
    <row r="4156" spans="1:42" ht="16.5" customHeight="1">
      <c r="A4156" s="485"/>
      <c r="B4156" s="503" t="s">
        <v>5615</v>
      </c>
      <c r="C4156" s="593"/>
      <c r="D4156" s="593"/>
      <c r="E4156" s="593"/>
      <c r="F4156" s="593"/>
      <c r="M4156" s="501" t="s">
        <v>5440</v>
      </c>
      <c r="Z4156" s="500"/>
      <c r="AA4156" s="500"/>
      <c r="AB4156" s="500"/>
      <c r="AC4156" s="500"/>
      <c r="AD4156" s="500"/>
      <c r="AE4156" s="500"/>
      <c r="AF4156" s="500"/>
      <c r="AG4156" s="500"/>
      <c r="AH4156" s="500"/>
      <c r="AI4156" s="500"/>
      <c r="AJ4156" s="500"/>
      <c r="AK4156" s="500"/>
      <c r="AL4156" s="500"/>
      <c r="AM4156" s="500"/>
      <c r="AN4156" s="500"/>
      <c r="AO4156" s="500"/>
      <c r="AP4156" s="500"/>
    </row>
    <row r="4157" spans="1:42" ht="16.5" customHeight="1">
      <c r="A4157" s="439"/>
      <c r="B4157" s="439"/>
      <c r="C4157" s="504"/>
      <c r="D4157" s="504"/>
      <c r="E4157" s="504"/>
      <c r="F4157" s="504"/>
      <c r="G4157" s="451" t="s">
        <v>3406</v>
      </c>
      <c r="Z4157" s="500"/>
      <c r="AA4157" s="500"/>
      <c r="AB4157" s="500"/>
      <c r="AC4157" s="500"/>
      <c r="AD4157" s="500"/>
      <c r="AE4157" s="500"/>
      <c r="AF4157" s="500"/>
      <c r="AG4157" s="500"/>
      <c r="AH4157" s="500"/>
      <c r="AI4157" s="500"/>
      <c r="AJ4157" s="500"/>
      <c r="AK4157" s="500"/>
      <c r="AL4157" s="500"/>
      <c r="AM4157" s="500"/>
      <c r="AN4157" s="500"/>
      <c r="AO4157" s="500"/>
      <c r="AP4157" s="500"/>
    </row>
    <row r="4158" spans="1:42" ht="16.5" customHeight="1">
      <c r="A4158" s="434"/>
      <c r="B4158" s="437" t="s">
        <v>5616</v>
      </c>
      <c r="C4158" s="439"/>
      <c r="D4158" s="439"/>
      <c r="E4158" s="439"/>
      <c r="F4158" s="439"/>
      <c r="G4158" s="451" t="s">
        <v>5617</v>
      </c>
      <c r="Z4158" s="500"/>
      <c r="AA4158" s="500"/>
      <c r="AB4158" s="500"/>
      <c r="AC4158" s="500"/>
      <c r="AD4158" s="500"/>
      <c r="AE4158" s="500"/>
      <c r="AF4158" s="500"/>
      <c r="AG4158" s="500"/>
      <c r="AH4158" s="500"/>
      <c r="AI4158" s="500"/>
      <c r="AJ4158" s="500"/>
      <c r="AK4158" s="500"/>
      <c r="AL4158" s="500"/>
      <c r="AM4158" s="500"/>
      <c r="AN4158" s="500"/>
      <c r="AO4158" s="500"/>
      <c r="AP4158" s="500"/>
    </row>
    <row r="4159" spans="1:42" ht="16.5" customHeight="1">
      <c r="A4159" s="439"/>
      <c r="B4159" s="439"/>
      <c r="C4159" s="439"/>
      <c r="D4159" s="439"/>
      <c r="E4159" s="439"/>
      <c r="F4159" s="439"/>
      <c r="G4159" s="451" t="s">
        <v>3406</v>
      </c>
      <c r="Z4159" s="500"/>
      <c r="AA4159" s="500"/>
      <c r="AB4159" s="500"/>
      <c r="AC4159" s="500"/>
      <c r="AD4159" s="500"/>
      <c r="AE4159" s="500"/>
      <c r="AF4159" s="500"/>
      <c r="AG4159" s="500"/>
      <c r="AH4159" s="500"/>
      <c r="AI4159" s="500"/>
      <c r="AJ4159" s="500"/>
      <c r="AK4159" s="500"/>
      <c r="AL4159" s="500"/>
      <c r="AM4159" s="500"/>
      <c r="AN4159" s="500"/>
      <c r="AO4159" s="500"/>
      <c r="AP4159" s="500"/>
    </row>
    <row r="4160" spans="1:42" ht="16.5" customHeight="1">
      <c r="A4160" s="434"/>
      <c r="B4160" s="437" t="s">
        <v>3888</v>
      </c>
      <c r="C4160" s="439"/>
      <c r="D4160" s="439"/>
      <c r="E4160" s="439"/>
      <c r="F4160" s="439"/>
      <c r="G4160" s="451" t="s">
        <v>3889</v>
      </c>
      <c r="Z4160" s="500"/>
      <c r="AA4160" s="500"/>
      <c r="AB4160" s="500"/>
      <c r="AC4160" s="500"/>
      <c r="AD4160" s="500"/>
      <c r="AE4160" s="500"/>
      <c r="AF4160" s="500"/>
      <c r="AG4160" s="500"/>
      <c r="AH4160" s="500"/>
      <c r="AI4160" s="500"/>
      <c r="AJ4160" s="500"/>
      <c r="AK4160" s="500"/>
      <c r="AL4160" s="500"/>
      <c r="AM4160" s="500"/>
      <c r="AN4160" s="500"/>
      <c r="AO4160" s="500"/>
      <c r="AP4160" s="500"/>
    </row>
    <row r="4161" spans="1:42" ht="16.5" customHeight="1">
      <c r="A4161" s="439"/>
      <c r="B4161" s="439"/>
      <c r="C4161" s="439"/>
      <c r="D4161" s="439"/>
      <c r="E4161" s="439"/>
      <c r="F4161" s="439"/>
      <c r="G4161" s="451" t="s">
        <v>3406</v>
      </c>
      <c r="Z4161" s="500"/>
      <c r="AA4161" s="500"/>
      <c r="AB4161" s="500"/>
      <c r="AC4161" s="500"/>
      <c r="AD4161" s="500"/>
      <c r="AE4161" s="500"/>
      <c r="AF4161" s="500"/>
      <c r="AG4161" s="500"/>
      <c r="AH4161" s="500"/>
      <c r="AI4161" s="500"/>
      <c r="AJ4161" s="500"/>
      <c r="AK4161" s="500"/>
      <c r="AL4161" s="500"/>
      <c r="AM4161" s="500"/>
      <c r="AN4161" s="500"/>
      <c r="AO4161" s="500"/>
      <c r="AP4161" s="500"/>
    </row>
    <row r="4162" spans="1:42" ht="16.5" customHeight="1">
      <c r="A4162" s="434"/>
      <c r="B4162" s="437" t="str">
        <f>" 일당 작업량 :  Q1 = "&amp;Z4162&amp;" * "&amp;AB4162&amp;" = "&amp;AD4162&amp;"  ㎡ "</f>
        <v xml:space="preserve"> 일당 작업량 :  Q1 = 2500 * 0.6 = 1,500.00  ㎡ </v>
      </c>
      <c r="C4162" s="439"/>
      <c r="D4162" s="439"/>
      <c r="E4162" s="439"/>
      <c r="F4162" s="439"/>
      <c r="G4162" s="451" t="s">
        <v>5618</v>
      </c>
      <c r="Z4162" s="515">
        <v>2500</v>
      </c>
      <c r="AA4162" s="501" t="s">
        <v>3368</v>
      </c>
      <c r="AB4162" s="511">
        <v>0.6</v>
      </c>
      <c r="AC4162" s="501" t="s">
        <v>3418</v>
      </c>
      <c r="AD4162" s="512" t="str">
        <f>TEXT(ROUND(Z4162*AB4162,2),"#,0.00")</f>
        <v>1,500.00</v>
      </c>
      <c r="AE4162" s="500"/>
      <c r="AF4162" s="500"/>
      <c r="AG4162" s="500"/>
      <c r="AH4162" s="500"/>
      <c r="AI4162" s="500"/>
      <c r="AJ4162" s="500"/>
      <c r="AK4162" s="500"/>
      <c r="AL4162" s="500"/>
      <c r="AM4162" s="500"/>
      <c r="AN4162" s="500"/>
      <c r="AO4162" s="500"/>
      <c r="AP4162" s="500"/>
    </row>
    <row r="4163" spans="1:42" ht="16.5" customHeight="1">
      <c r="A4163" s="439"/>
      <c r="B4163" s="439"/>
      <c r="C4163" s="439"/>
      <c r="D4163" s="439"/>
      <c r="E4163" s="439"/>
      <c r="F4163" s="439"/>
      <c r="G4163" s="451" t="s">
        <v>3406</v>
      </c>
      <c r="Z4163" s="500"/>
      <c r="AA4163" s="500"/>
      <c r="AB4163" s="500"/>
      <c r="AC4163" s="500"/>
      <c r="AD4163" s="500"/>
      <c r="AE4163" s="500"/>
      <c r="AF4163" s="500"/>
      <c r="AG4163" s="500"/>
      <c r="AH4163" s="500"/>
      <c r="AI4163" s="500"/>
      <c r="AJ4163" s="500"/>
      <c r="AK4163" s="500"/>
      <c r="AL4163" s="500"/>
      <c r="AM4163" s="500"/>
      <c r="AN4163" s="500"/>
      <c r="AO4163" s="500"/>
      <c r="AP4163" s="500"/>
    </row>
    <row r="4164" spans="1:42" ht="16.5" customHeight="1">
      <c r="A4164" s="434"/>
      <c r="B4164" s="437" t="s">
        <v>3891</v>
      </c>
      <c r="C4164" s="439"/>
      <c r="D4164" s="439"/>
      <c r="E4164" s="439"/>
      <c r="F4164" s="439"/>
      <c r="G4164" s="451" t="s">
        <v>3892</v>
      </c>
      <c r="Z4164" s="500"/>
      <c r="AA4164" s="500"/>
      <c r="AB4164" s="500"/>
      <c r="AC4164" s="500"/>
      <c r="AD4164" s="500"/>
      <c r="AE4164" s="500"/>
      <c r="AF4164" s="500"/>
      <c r="AG4164" s="500"/>
      <c r="AH4164" s="500"/>
      <c r="AI4164" s="500"/>
      <c r="AJ4164" s="500"/>
      <c r="AK4164" s="500"/>
      <c r="AL4164" s="500"/>
      <c r="AM4164" s="500"/>
      <c r="AN4164" s="500"/>
      <c r="AO4164" s="500"/>
      <c r="AP4164" s="500"/>
    </row>
    <row r="4165" spans="1:42" ht="16.5" customHeight="1">
      <c r="A4165" s="439"/>
      <c r="B4165" s="439"/>
      <c r="C4165" s="439"/>
      <c r="D4165" s="439"/>
      <c r="E4165" s="439"/>
      <c r="F4165" s="439"/>
      <c r="G4165" s="451" t="s">
        <v>3406</v>
      </c>
      <c r="Z4165" s="500"/>
      <c r="AA4165" s="500"/>
      <c r="AB4165" s="500"/>
      <c r="AC4165" s="500"/>
      <c r="AD4165" s="500"/>
      <c r="AE4165" s="500"/>
      <c r="AF4165" s="500"/>
      <c r="AG4165" s="500"/>
      <c r="AH4165" s="500"/>
      <c r="AI4165" s="500"/>
      <c r="AJ4165" s="500"/>
      <c r="AK4165" s="500"/>
      <c r="AL4165" s="500"/>
      <c r="AM4165" s="500"/>
      <c r="AN4165" s="500"/>
      <c r="AO4165" s="500"/>
      <c r="AP4165" s="500"/>
    </row>
    <row r="4166" spans="1:42" ht="16.5" customHeight="1">
      <c r="A4166" s="439"/>
      <c r="B4166" s="439"/>
      <c r="C4166" s="439"/>
      <c r="D4166" s="439"/>
      <c r="E4166" s="439"/>
      <c r="F4166" s="439"/>
      <c r="G4166" s="451" t="s">
        <v>3406</v>
      </c>
      <c r="Z4166" s="500"/>
      <c r="AA4166" s="500"/>
      <c r="AB4166" s="500"/>
      <c r="AC4166" s="500"/>
      <c r="AD4166" s="500"/>
      <c r="AE4166" s="500"/>
      <c r="AF4166" s="500"/>
      <c r="AG4166" s="500"/>
      <c r="AH4166" s="500"/>
      <c r="AI4166" s="500"/>
      <c r="AJ4166" s="500"/>
      <c r="AK4166" s="500"/>
      <c r="AL4166" s="500"/>
      <c r="AM4166" s="500"/>
      <c r="AN4166" s="500"/>
      <c r="AO4166" s="500"/>
      <c r="AP4166" s="500"/>
    </row>
    <row r="4167" spans="1:42" ht="16.5" customHeight="1">
      <c r="A4167" s="434"/>
      <c r="B4167" s="437" t="s">
        <v>3496</v>
      </c>
      <c r="C4167" s="439"/>
      <c r="D4167" s="439"/>
      <c r="E4167" s="439"/>
      <c r="F4167" s="439"/>
      <c r="G4167" s="451" t="s">
        <v>3497</v>
      </c>
      <c r="Z4167" s="500"/>
      <c r="AA4167" s="500"/>
      <c r="AB4167" s="500"/>
      <c r="AC4167" s="500"/>
      <c r="AD4167" s="500"/>
      <c r="AE4167" s="500"/>
      <c r="AF4167" s="500"/>
      <c r="AG4167" s="500"/>
      <c r="AH4167" s="500"/>
      <c r="AI4167" s="500"/>
      <c r="AJ4167" s="500"/>
      <c r="AK4167" s="500"/>
      <c r="AL4167" s="500"/>
      <c r="AM4167" s="500"/>
      <c r="AN4167" s="500"/>
      <c r="AO4167" s="500"/>
      <c r="AP4167" s="500"/>
    </row>
    <row r="4168" spans="1:42" ht="16.5" customHeight="1">
      <c r="A4168" s="439"/>
      <c r="B4168" s="439"/>
      <c r="C4168" s="439"/>
      <c r="D4168" s="439"/>
      <c r="E4168" s="439"/>
      <c r="F4168" s="439"/>
      <c r="G4168" s="451" t="s">
        <v>3406</v>
      </c>
      <c r="Z4168" s="500"/>
      <c r="AA4168" s="500"/>
      <c r="AB4168" s="500"/>
      <c r="AC4168" s="500"/>
      <c r="AD4168" s="500"/>
      <c r="AE4168" s="500"/>
      <c r="AF4168" s="500"/>
      <c r="AG4168" s="500"/>
      <c r="AH4168" s="500"/>
      <c r="AI4168" s="500"/>
      <c r="AJ4168" s="500"/>
      <c r="AK4168" s="500"/>
      <c r="AL4168" s="500"/>
      <c r="AM4168" s="500"/>
      <c r="AN4168" s="500"/>
      <c r="AO4168" s="500"/>
      <c r="AP4168" s="500"/>
    </row>
    <row r="4169" spans="1:42" ht="16.5" customHeight="1">
      <c r="A4169" s="434" t="s">
        <v>3821</v>
      </c>
      <c r="B4169" s="505" t="str">
        <f>" 특별인부 : "&amp;TEXT(I4169,"#,##0"&amp;IF(I4169&lt;&gt;INT(I4169),".###",""))&amp;" * "&amp;AA4169&amp;" 인  / Q1 = "&amp;TEXT(C4169,"#,##0.0")&amp;" "</f>
        <v xml:space="preserve"> 특별인부 : 226,122 * 3 인  / Q1 = 452.2 </v>
      </c>
      <c r="C4169" s="506">
        <f>E4169+D4169+F4169</f>
        <v>452.2</v>
      </c>
      <c r="D4169" s="506">
        <f>IF(H4169=0,0,ROUNDDOWN(J4169*H4169,1))</f>
        <v>452.2</v>
      </c>
      <c r="E4169" s="506">
        <f>IF(H4169=0,0,ROUNDDOWN(K4169*H4169,1))</f>
        <v>0</v>
      </c>
      <c r="F4169" s="506">
        <f>IF(H4169=0,0,ROUNDDOWN(L4169*H4169,1))</f>
        <v>0</v>
      </c>
      <c r="G4169" s="451" t="s">
        <v>3893</v>
      </c>
      <c r="H4169" s="507">
        <f>ROUNDUP(AE4169,14-LEN(ABS(INT(AE4169))))</f>
        <v>2E-3</v>
      </c>
      <c r="I4169" s="508">
        <f>K4169+J4169+L4169</f>
        <v>226122</v>
      </c>
      <c r="J4169" s="509">
        <f>노무비목록표!E21</f>
        <v>226122</v>
      </c>
      <c r="M4169" s="501" t="s">
        <v>2519</v>
      </c>
      <c r="N4169" s="501" t="s">
        <v>3416</v>
      </c>
      <c r="O4169" s="501" t="s">
        <v>2355</v>
      </c>
      <c r="X4169" s="510" t="str">
        <f>노무비목록표!B21&amp;" / "&amp;노무비목록표!C21</f>
        <v xml:space="preserve">특별인부 / </v>
      </c>
      <c r="Y4169" s="433" t="str">
        <f ca="1">HYPERLINK("#"&amp;노무비목록표!G2&amp;"!A"&amp;ROW(노무비목록표!A21),"L00016 →")</f>
        <v>L00016 →</v>
      </c>
      <c r="Z4169" s="501" t="s">
        <v>3500</v>
      </c>
      <c r="AA4169" s="515">
        <v>3</v>
      </c>
      <c r="AB4169" s="501" t="s">
        <v>3428</v>
      </c>
      <c r="AC4169" s="512" t="str">
        <f>AD4162</f>
        <v>1,500.00</v>
      </c>
      <c r="AD4169" s="501" t="s">
        <v>3418</v>
      </c>
      <c r="AE4169" s="512">
        <f>1*AA4169/AD4162</f>
        <v>2E-3</v>
      </c>
      <c r="AF4169" s="500"/>
      <c r="AG4169" s="500"/>
      <c r="AH4169" s="500"/>
      <c r="AI4169" s="500"/>
      <c r="AJ4169" s="500"/>
      <c r="AK4169" s="500"/>
      <c r="AL4169" s="500"/>
      <c r="AM4169" s="500"/>
      <c r="AN4169" s="500"/>
      <c r="AO4169" s="500"/>
      <c r="AP4169" s="500"/>
    </row>
    <row r="4170" spans="1:42" ht="16.5" customHeight="1">
      <c r="A4170" s="439"/>
      <c r="B4170" s="439"/>
      <c r="C4170" s="439"/>
      <c r="D4170" s="439"/>
      <c r="E4170" s="439"/>
      <c r="F4170" s="439"/>
      <c r="G4170" s="451" t="s">
        <v>3406</v>
      </c>
      <c r="Z4170" s="500"/>
      <c r="AA4170" s="500"/>
      <c r="AB4170" s="500"/>
      <c r="AC4170" s="500"/>
      <c r="AD4170" s="500"/>
      <c r="AE4170" s="500"/>
      <c r="AF4170" s="500"/>
      <c r="AG4170" s="500"/>
      <c r="AH4170" s="500"/>
      <c r="AI4170" s="500"/>
      <c r="AJ4170" s="500"/>
      <c r="AK4170" s="500"/>
      <c r="AL4170" s="500"/>
      <c r="AM4170" s="500"/>
      <c r="AN4170" s="500"/>
      <c r="AO4170" s="500"/>
      <c r="AP4170" s="500"/>
    </row>
    <row r="4171" spans="1:42" ht="16.5" customHeight="1">
      <c r="A4171" s="434" t="s">
        <v>3414</v>
      </c>
      <c r="B4171" s="505" t="str">
        <f>" 보통인부 : "&amp;TEXT(I4171,"#,##0"&amp;IF(I4171&lt;&gt;INT(I4171),".###",""))&amp;" * "&amp;AA4171&amp;" 인  / Q1 = "&amp;TEXT(C4171,"#,##0.0")&amp;" "</f>
        <v xml:space="preserve"> 보통인부 : 172,068 * 1 인  / Q1 = 114.7 </v>
      </c>
      <c r="C4171" s="506">
        <f>E4171+D4171+F4171</f>
        <v>114.7</v>
      </c>
      <c r="D4171" s="506">
        <f>IF(H4171=0,0,ROUNDDOWN(J4171*H4171,1))</f>
        <v>114.7</v>
      </c>
      <c r="E4171" s="506">
        <f>IF(H4171=0,0,ROUNDDOWN(K4171*H4171,1))</f>
        <v>0</v>
      </c>
      <c r="F4171" s="506">
        <f>IF(H4171=0,0,ROUNDDOWN(L4171*H4171,1))</f>
        <v>0</v>
      </c>
      <c r="G4171" s="451" t="s">
        <v>3894</v>
      </c>
      <c r="H4171" s="507">
        <f>ROUNDUP(AE4171,14-LEN(ABS(INT(AE4171))))</f>
        <v>6.6666666670000001E-4</v>
      </c>
      <c r="I4171" s="508">
        <f>K4171+J4171+L4171</f>
        <v>172068</v>
      </c>
      <c r="J4171" s="509">
        <f>노무비목록표!E10</f>
        <v>172068</v>
      </c>
      <c r="M4171" s="501" t="s">
        <v>2363</v>
      </c>
      <c r="N4171" s="501" t="s">
        <v>3416</v>
      </c>
      <c r="O4171" s="501" t="s">
        <v>2355</v>
      </c>
      <c r="X4171" s="510" t="str">
        <f>노무비목록표!B10&amp;" / "&amp;노무비목록표!C10</f>
        <v xml:space="preserve">보통인부 / </v>
      </c>
      <c r="Y4171" s="433" t="str">
        <f ca="1">HYPERLINK("#"&amp;노무비목록표!G2&amp;"!A"&amp;ROW(노무비목록표!A10),"L00017 →")</f>
        <v>L00017 →</v>
      </c>
      <c r="Z4171" s="501" t="s">
        <v>3500</v>
      </c>
      <c r="AA4171" s="515">
        <v>1</v>
      </c>
      <c r="AB4171" s="501" t="s">
        <v>3428</v>
      </c>
      <c r="AC4171" s="512" t="str">
        <f>AD4162</f>
        <v>1,500.00</v>
      </c>
      <c r="AD4171" s="501" t="s">
        <v>3418</v>
      </c>
      <c r="AE4171" s="512">
        <f>1*AA4171/AD4162</f>
        <v>6.6666666666666664E-4</v>
      </c>
      <c r="AF4171" s="500"/>
      <c r="AG4171" s="500"/>
      <c r="AH4171" s="500"/>
      <c r="AI4171" s="500"/>
      <c r="AJ4171" s="500"/>
      <c r="AK4171" s="500"/>
      <c r="AL4171" s="500"/>
      <c r="AM4171" s="500"/>
      <c r="AN4171" s="500"/>
      <c r="AO4171" s="500"/>
      <c r="AP4171" s="500"/>
    </row>
    <row r="4172" spans="1:42" ht="16.5" customHeight="1">
      <c r="A4172" s="439"/>
      <c r="B4172" s="439"/>
      <c r="C4172" s="439"/>
      <c r="D4172" s="439"/>
      <c r="E4172" s="439"/>
      <c r="F4172" s="439"/>
      <c r="G4172" s="451" t="s">
        <v>3406</v>
      </c>
      <c r="Z4172" s="500"/>
      <c r="AA4172" s="500"/>
      <c r="AB4172" s="500"/>
      <c r="AC4172" s="500"/>
      <c r="AD4172" s="500"/>
      <c r="AE4172" s="500"/>
      <c r="AF4172" s="500"/>
      <c r="AG4172" s="500"/>
      <c r="AH4172" s="500"/>
      <c r="AI4172" s="500"/>
      <c r="AJ4172" s="500"/>
      <c r="AK4172" s="500"/>
      <c r="AL4172" s="500"/>
      <c r="AM4172" s="500"/>
      <c r="AN4172" s="500"/>
      <c r="AO4172" s="500"/>
      <c r="AP4172" s="500"/>
    </row>
    <row r="4173" spans="1:42" ht="16.5" customHeight="1">
      <c r="A4173" s="434"/>
      <c r="B4173" s="437" t="s">
        <v>3419</v>
      </c>
      <c r="C4173" s="513">
        <f>E4173+D4173+F4173</f>
        <v>566.9</v>
      </c>
      <c r="D4173" s="513">
        <f>SUMIF(N4157:N4172,M4173,D4157:D4172)</f>
        <v>566.9</v>
      </c>
      <c r="E4173" s="513">
        <f>SUMIF(N4157:N4172,M4173,E4157:E4172)</f>
        <v>0</v>
      </c>
      <c r="F4173" s="513">
        <f>SUMIF(N4157:N4172,M4173,F4157:F4172)</f>
        <v>0</v>
      </c>
      <c r="G4173" s="451" t="s">
        <v>3420</v>
      </c>
      <c r="M4173" s="501" t="s">
        <v>3416</v>
      </c>
      <c r="N4173" s="501" t="s">
        <v>3421</v>
      </c>
      <c r="Z4173" s="500"/>
      <c r="AA4173" s="500"/>
      <c r="AB4173" s="500"/>
      <c r="AC4173" s="500"/>
      <c r="AD4173" s="500"/>
      <c r="AE4173" s="500"/>
      <c r="AF4173" s="500"/>
      <c r="AG4173" s="500"/>
      <c r="AH4173" s="500"/>
      <c r="AI4173" s="500"/>
      <c r="AJ4173" s="500"/>
      <c r="AK4173" s="500"/>
      <c r="AL4173" s="500"/>
      <c r="AM4173" s="500"/>
      <c r="AN4173" s="500"/>
      <c r="AO4173" s="500"/>
      <c r="AP4173" s="500"/>
    </row>
    <row r="4174" spans="1:42" ht="16.5" customHeight="1">
      <c r="A4174" s="439"/>
      <c r="B4174" s="439"/>
      <c r="C4174" s="504"/>
      <c r="D4174" s="504"/>
      <c r="E4174" s="504"/>
      <c r="F4174" s="504"/>
      <c r="G4174" s="451" t="s">
        <v>3406</v>
      </c>
      <c r="Z4174" s="500"/>
      <c r="AA4174" s="500"/>
      <c r="AB4174" s="500"/>
      <c r="AC4174" s="500"/>
      <c r="AD4174" s="500"/>
      <c r="AE4174" s="500"/>
      <c r="AF4174" s="500"/>
      <c r="AG4174" s="500"/>
      <c r="AH4174" s="500"/>
      <c r="AI4174" s="500"/>
      <c r="AJ4174" s="500"/>
      <c r="AK4174" s="500"/>
      <c r="AL4174" s="500"/>
      <c r="AM4174" s="500"/>
      <c r="AN4174" s="500"/>
      <c r="AO4174" s="500"/>
      <c r="AP4174" s="500"/>
    </row>
    <row r="4175" spans="1:42" ht="16.5" customHeight="1">
      <c r="A4175" s="439"/>
      <c r="B4175" s="439"/>
      <c r="C4175" s="439"/>
      <c r="D4175" s="439"/>
      <c r="E4175" s="439"/>
      <c r="F4175" s="439"/>
      <c r="G4175" s="451" t="s">
        <v>3406</v>
      </c>
      <c r="Z4175" s="500"/>
      <c r="AA4175" s="500"/>
      <c r="AB4175" s="500"/>
      <c r="AC4175" s="500"/>
      <c r="AD4175" s="500"/>
      <c r="AE4175" s="500"/>
      <c r="AF4175" s="500"/>
      <c r="AG4175" s="500"/>
      <c r="AH4175" s="500"/>
      <c r="AI4175" s="500"/>
      <c r="AJ4175" s="500"/>
      <c r="AK4175" s="500"/>
      <c r="AL4175" s="500"/>
      <c r="AM4175" s="500"/>
      <c r="AN4175" s="500"/>
      <c r="AO4175" s="500"/>
      <c r="AP4175" s="500"/>
    </row>
    <row r="4176" spans="1:42" ht="16.5" customHeight="1">
      <c r="A4176" s="434"/>
      <c r="B4176" s="505" t="str">
        <f>" 2. 공구손료 및 기계경비(인력품의 6%) : "&amp;TEXT(I4176,"#,##0.0")&amp;" * "&amp;AA4176&amp;" %  = "&amp;TEXT(C4176,"#,##0.0")&amp;""</f>
        <v xml:space="preserve"> 2. 공구손료 및 기계경비(인력품의 6%) : 566.9 * 6 %  = 34.0</v>
      </c>
      <c r="C4176" s="506">
        <f>E4176+D4176+F4176</f>
        <v>34</v>
      </c>
      <c r="D4176" s="506">
        <f>IF(H4176=0,0,ROUNDDOWN(J4176*H4176/100,1))</f>
        <v>0</v>
      </c>
      <c r="E4176" s="506">
        <f>IF(H4176=0,0,ROUNDDOWN(K4176*H4176/100,1))</f>
        <v>0</v>
      </c>
      <c r="F4176" s="506">
        <f>IF(H4176=0,0,ROUNDDOWN(L4176*H4176/100,1))</f>
        <v>34</v>
      </c>
      <c r="G4176" s="451" t="s">
        <v>3895</v>
      </c>
      <c r="H4176" s="507">
        <f>ROUNDUP(AC4176,14-LEN(ABS(INT(AC4176))))</f>
        <v>6</v>
      </c>
      <c r="I4176" s="508">
        <f>K4176+J4176+L4176</f>
        <v>566.9</v>
      </c>
      <c r="J4176" s="456">
        <v>0</v>
      </c>
      <c r="K4176" s="456">
        <v>0</v>
      </c>
      <c r="L4176" s="509">
        <f>D4169+D4171</f>
        <v>566.9</v>
      </c>
      <c r="M4176" s="501" t="s">
        <v>3743</v>
      </c>
      <c r="N4176" s="501" t="s">
        <v>3416</v>
      </c>
      <c r="Z4176" s="501" t="s">
        <v>3500</v>
      </c>
      <c r="AA4176" s="515">
        <v>6</v>
      </c>
      <c r="AB4176" s="501" t="s">
        <v>3418</v>
      </c>
      <c r="AC4176" s="512">
        <f>1*AA4176</f>
        <v>6</v>
      </c>
      <c r="AD4176" s="500"/>
      <c r="AE4176" s="500"/>
      <c r="AF4176" s="500"/>
      <c r="AG4176" s="500"/>
      <c r="AH4176" s="500"/>
      <c r="AI4176" s="500"/>
      <c r="AJ4176" s="500"/>
      <c r="AK4176" s="500"/>
      <c r="AL4176" s="500"/>
      <c r="AM4176" s="500"/>
      <c r="AN4176" s="500"/>
      <c r="AO4176" s="500"/>
      <c r="AP4176" s="500"/>
    </row>
    <row r="4177" spans="1:42" ht="16.5" customHeight="1">
      <c r="A4177" s="439"/>
      <c r="B4177" s="439"/>
      <c r="C4177" s="439"/>
      <c r="D4177" s="439"/>
      <c r="E4177" s="439"/>
      <c r="F4177" s="439"/>
      <c r="G4177" s="451" t="s">
        <v>3406</v>
      </c>
      <c r="Z4177" s="500"/>
      <c r="AA4177" s="500"/>
      <c r="AB4177" s="500"/>
      <c r="AC4177" s="500"/>
      <c r="AD4177" s="500"/>
      <c r="AE4177" s="500"/>
      <c r="AF4177" s="500"/>
      <c r="AG4177" s="500"/>
      <c r="AH4177" s="500"/>
      <c r="AI4177" s="500"/>
      <c r="AJ4177" s="500"/>
      <c r="AK4177" s="500"/>
      <c r="AL4177" s="500"/>
      <c r="AM4177" s="500"/>
      <c r="AN4177" s="500"/>
      <c r="AO4177" s="500"/>
      <c r="AP4177" s="500"/>
    </row>
    <row r="4178" spans="1:42" ht="16.5" customHeight="1">
      <c r="A4178" s="434"/>
      <c r="B4178" s="437" t="s">
        <v>3419</v>
      </c>
      <c r="C4178" s="513">
        <f>E4178+D4178+F4178</f>
        <v>34</v>
      </c>
      <c r="D4178" s="513">
        <f>SUMIF(N4174:N4177,M4178,D4174:D4177)</f>
        <v>0</v>
      </c>
      <c r="E4178" s="513">
        <f>SUMIF(N4174:N4177,M4178,E4174:E4177)</f>
        <v>0</v>
      </c>
      <c r="F4178" s="513">
        <f>SUMIF(N4174:N4177,M4178,F4174:F4177)</f>
        <v>34</v>
      </c>
      <c r="G4178" s="451" t="s">
        <v>3420</v>
      </c>
      <c r="M4178" s="501" t="s">
        <v>3416</v>
      </c>
      <c r="N4178" s="501" t="s">
        <v>3421</v>
      </c>
      <c r="Z4178" s="500"/>
      <c r="AA4178" s="500"/>
      <c r="AB4178" s="500"/>
      <c r="AC4178" s="500"/>
      <c r="AD4178" s="500"/>
      <c r="AE4178" s="500"/>
      <c r="AF4178" s="500"/>
      <c r="AG4178" s="500"/>
      <c r="AH4178" s="500"/>
      <c r="AI4178" s="500"/>
      <c r="AJ4178" s="500"/>
      <c r="AK4178" s="500"/>
      <c r="AL4178" s="500"/>
      <c r="AM4178" s="500"/>
      <c r="AN4178" s="500"/>
      <c r="AO4178" s="500"/>
      <c r="AP4178" s="500"/>
    </row>
    <row r="4179" spans="1:42" ht="16.5" customHeight="1">
      <c r="A4179" s="439"/>
      <c r="B4179" s="439"/>
      <c r="C4179" s="504"/>
      <c r="D4179" s="504"/>
      <c r="E4179" s="504"/>
      <c r="F4179" s="504"/>
      <c r="G4179" s="451" t="s">
        <v>3406</v>
      </c>
      <c r="Z4179" s="500"/>
      <c r="AA4179" s="500"/>
      <c r="AB4179" s="500"/>
      <c r="AC4179" s="500"/>
      <c r="AD4179" s="500"/>
      <c r="AE4179" s="500"/>
      <c r="AF4179" s="500"/>
      <c r="AG4179" s="500"/>
      <c r="AH4179" s="500"/>
      <c r="AI4179" s="500"/>
      <c r="AJ4179" s="500"/>
      <c r="AK4179" s="500"/>
      <c r="AL4179" s="500"/>
      <c r="AM4179" s="500"/>
      <c r="AN4179" s="500"/>
      <c r="AO4179" s="500"/>
      <c r="AP4179" s="500"/>
    </row>
    <row r="4180" spans="1:42" ht="16.5" customHeight="1">
      <c r="A4180" s="439"/>
      <c r="B4180" s="439"/>
      <c r="C4180" s="439"/>
      <c r="D4180" s="439"/>
      <c r="E4180" s="439"/>
      <c r="F4180" s="439"/>
      <c r="G4180" s="451" t="s">
        <v>3406</v>
      </c>
      <c r="Z4180" s="500"/>
      <c r="AA4180" s="500"/>
      <c r="AB4180" s="500"/>
      <c r="AC4180" s="500"/>
      <c r="AD4180" s="500"/>
      <c r="AE4180" s="500"/>
      <c r="AF4180" s="500"/>
      <c r="AG4180" s="500"/>
      <c r="AH4180" s="500"/>
      <c r="AI4180" s="500"/>
      <c r="AJ4180" s="500"/>
      <c r="AK4180" s="500"/>
      <c r="AL4180" s="500"/>
      <c r="AM4180" s="500"/>
      <c r="AN4180" s="500"/>
      <c r="AO4180" s="500"/>
      <c r="AP4180" s="500"/>
    </row>
    <row r="4181" spans="1:42" ht="16.5" customHeight="1">
      <c r="A4181" s="434"/>
      <c r="B4181" s="437" t="s">
        <v>3440</v>
      </c>
      <c r="C4181" s="513">
        <f>E4181+D4181+F4181</f>
        <v>600.9</v>
      </c>
      <c r="D4181" s="513">
        <f>SUMIF(N4157:N4180,M4181,D4157:D4180)</f>
        <v>566.9</v>
      </c>
      <c r="E4181" s="513">
        <f>SUMIF(N4157:N4180,M4181,E4157:E4180)</f>
        <v>0</v>
      </c>
      <c r="F4181" s="513">
        <f>SUMIF(N4157:N4180,M4181,F4157:F4180)</f>
        <v>34</v>
      </c>
      <c r="G4181" s="451" t="s">
        <v>3484</v>
      </c>
      <c r="M4181" s="501" t="s">
        <v>3421</v>
      </c>
      <c r="N4181" s="501" t="s">
        <v>2354</v>
      </c>
      <c r="Z4181" s="500"/>
      <c r="AA4181" s="500"/>
      <c r="AB4181" s="500"/>
      <c r="AC4181" s="500"/>
      <c r="AD4181" s="500"/>
      <c r="AE4181" s="500"/>
      <c r="AF4181" s="500"/>
      <c r="AG4181" s="500"/>
      <c r="AH4181" s="500"/>
      <c r="AI4181" s="500"/>
      <c r="AJ4181" s="500"/>
      <c r="AK4181" s="500"/>
      <c r="AL4181" s="500"/>
      <c r="AM4181" s="500"/>
      <c r="AN4181" s="500"/>
      <c r="AO4181" s="500"/>
      <c r="AP4181" s="500"/>
    </row>
    <row r="4182" spans="1:42" ht="16.5" customHeight="1">
      <c r="A4182" s="439"/>
      <c r="B4182" s="439"/>
      <c r="C4182" s="504"/>
      <c r="D4182" s="504"/>
      <c r="E4182" s="504"/>
      <c r="F4182" s="504"/>
      <c r="Z4182" s="500"/>
      <c r="AA4182" s="500"/>
      <c r="AB4182" s="500"/>
      <c r="AC4182" s="500"/>
      <c r="AD4182" s="500"/>
      <c r="AE4182" s="500"/>
      <c r="AF4182" s="500"/>
      <c r="AG4182" s="500"/>
      <c r="AH4182" s="500"/>
      <c r="AI4182" s="500"/>
      <c r="AJ4182" s="500"/>
      <c r="AK4182" s="500"/>
      <c r="AL4182" s="500"/>
      <c r="AM4182" s="500"/>
      <c r="AN4182" s="500"/>
      <c r="AO4182" s="500"/>
      <c r="AP4182" s="500"/>
    </row>
    <row r="4183" spans="1:42" ht="16.5" customHeight="1">
      <c r="A4183" s="439"/>
      <c r="B4183" s="439"/>
      <c r="C4183" s="439"/>
      <c r="D4183" s="439"/>
      <c r="E4183" s="439"/>
      <c r="F4183" s="439"/>
      <c r="Z4183" s="500"/>
      <c r="AA4183" s="500"/>
      <c r="AB4183" s="500"/>
      <c r="AC4183" s="500"/>
      <c r="AD4183" s="500"/>
      <c r="AE4183" s="500"/>
      <c r="AF4183" s="500"/>
      <c r="AG4183" s="500"/>
      <c r="AH4183" s="500"/>
      <c r="AI4183" s="500"/>
      <c r="AJ4183" s="500"/>
      <c r="AK4183" s="500"/>
      <c r="AL4183" s="500"/>
      <c r="AM4183" s="500"/>
      <c r="AN4183" s="500"/>
      <c r="AO4183" s="500"/>
      <c r="AP4183" s="500"/>
    </row>
    <row r="4184" spans="1:42" ht="16.5" customHeight="1">
      <c r="A4184" s="439"/>
      <c r="B4184" s="439"/>
      <c r="C4184" s="439"/>
      <c r="D4184" s="439"/>
      <c r="E4184" s="439"/>
      <c r="F4184" s="439"/>
      <c r="Z4184" s="500"/>
      <c r="AA4184" s="500"/>
      <c r="AB4184" s="500"/>
      <c r="AC4184" s="500"/>
      <c r="AD4184" s="500"/>
      <c r="AE4184" s="500"/>
      <c r="AF4184" s="500"/>
      <c r="AG4184" s="500"/>
      <c r="AH4184" s="500"/>
      <c r="AI4184" s="500"/>
      <c r="AJ4184" s="500"/>
      <c r="AK4184" s="500"/>
      <c r="AL4184" s="500"/>
      <c r="AM4184" s="500"/>
      <c r="AN4184" s="500"/>
      <c r="AO4184" s="500"/>
      <c r="AP4184" s="500"/>
    </row>
    <row r="4185" spans="1:42" ht="16.5" customHeight="1">
      <c r="A4185" s="439"/>
      <c r="B4185" s="439"/>
      <c r="C4185" s="439"/>
      <c r="D4185" s="439"/>
      <c r="E4185" s="439"/>
      <c r="F4185" s="439"/>
      <c r="Z4185" s="500"/>
      <c r="AA4185" s="500"/>
      <c r="AB4185" s="500"/>
      <c r="AC4185" s="500"/>
      <c r="AD4185" s="500"/>
      <c r="AE4185" s="500"/>
      <c r="AF4185" s="500"/>
      <c r="AG4185" s="500"/>
      <c r="AH4185" s="500"/>
      <c r="AI4185" s="500"/>
      <c r="AJ4185" s="500"/>
      <c r="AK4185" s="500"/>
      <c r="AL4185" s="500"/>
      <c r="AM4185" s="500"/>
      <c r="AN4185" s="500"/>
      <c r="AO4185" s="500"/>
      <c r="AP4185" s="500"/>
    </row>
    <row r="4186" spans="1:42" ht="16.5" customHeight="1">
      <c r="A4186" s="439"/>
      <c r="B4186" s="439"/>
      <c r="C4186" s="439"/>
      <c r="D4186" s="439"/>
      <c r="E4186" s="439"/>
      <c r="F4186" s="439"/>
      <c r="Z4186" s="500"/>
      <c r="AA4186" s="500"/>
      <c r="AB4186" s="500"/>
      <c r="AC4186" s="500"/>
      <c r="AD4186" s="500"/>
      <c r="AE4186" s="500"/>
      <c r="AF4186" s="500"/>
      <c r="AG4186" s="500"/>
      <c r="AH4186" s="500"/>
      <c r="AI4186" s="500"/>
      <c r="AJ4186" s="500"/>
      <c r="AK4186" s="500"/>
      <c r="AL4186" s="500"/>
      <c r="AM4186" s="500"/>
      <c r="AN4186" s="500"/>
      <c r="AO4186" s="500"/>
      <c r="AP4186" s="500"/>
    </row>
    <row r="4187" spans="1:42" ht="16.5" customHeight="1">
      <c r="A4187" s="439"/>
      <c r="B4187" s="439"/>
      <c r="C4187" s="439"/>
      <c r="D4187" s="439"/>
      <c r="E4187" s="439"/>
      <c r="F4187" s="439"/>
      <c r="Z4187" s="500"/>
      <c r="AA4187" s="500"/>
      <c r="AB4187" s="500"/>
      <c r="AC4187" s="500"/>
      <c r="AD4187" s="500"/>
      <c r="AE4187" s="500"/>
      <c r="AF4187" s="500"/>
      <c r="AG4187" s="500"/>
      <c r="AH4187" s="500"/>
      <c r="AI4187" s="500"/>
      <c r="AJ4187" s="500"/>
      <c r="AK4187" s="500"/>
      <c r="AL4187" s="500"/>
      <c r="AM4187" s="500"/>
      <c r="AN4187" s="500"/>
      <c r="AO4187" s="500"/>
      <c r="AP4187" s="500"/>
    </row>
    <row r="4188" spans="1:42" ht="16.5" customHeight="1">
      <c r="A4188" s="439"/>
      <c r="B4188" s="439"/>
      <c r="C4188" s="439"/>
      <c r="D4188" s="439"/>
      <c r="E4188" s="439"/>
      <c r="F4188" s="439"/>
      <c r="Z4188" s="500"/>
      <c r="AA4188" s="500"/>
      <c r="AB4188" s="500"/>
      <c r="AC4188" s="500"/>
      <c r="AD4188" s="500"/>
      <c r="AE4188" s="500"/>
      <c r="AF4188" s="500"/>
      <c r="AG4188" s="500"/>
      <c r="AH4188" s="500"/>
      <c r="AI4188" s="500"/>
      <c r="AJ4188" s="500"/>
      <c r="AK4188" s="500"/>
      <c r="AL4188" s="500"/>
      <c r="AM4188" s="500"/>
      <c r="AN4188" s="500"/>
      <c r="AO4188" s="500"/>
      <c r="AP4188" s="500"/>
    </row>
    <row r="4189" spans="1:42" ht="16.5" customHeight="1">
      <c r="A4189" s="439"/>
      <c r="B4189" s="439"/>
      <c r="C4189" s="439"/>
      <c r="D4189" s="439"/>
      <c r="E4189" s="439"/>
      <c r="F4189" s="439"/>
      <c r="Z4189" s="500"/>
      <c r="AA4189" s="500"/>
      <c r="AB4189" s="500"/>
      <c r="AC4189" s="500"/>
      <c r="AD4189" s="500"/>
      <c r="AE4189" s="500"/>
      <c r="AF4189" s="500"/>
      <c r="AG4189" s="500"/>
      <c r="AH4189" s="500"/>
      <c r="AI4189" s="500"/>
      <c r="AJ4189" s="500"/>
      <c r="AK4189" s="500"/>
      <c r="AL4189" s="500"/>
      <c r="AM4189" s="500"/>
      <c r="AN4189" s="500"/>
      <c r="AO4189" s="500"/>
      <c r="AP4189" s="500"/>
    </row>
    <row r="4190" spans="1:42" ht="16.5" customHeight="1">
      <c r="A4190" s="439"/>
      <c r="B4190" s="439"/>
      <c r="C4190" s="439"/>
      <c r="D4190" s="439"/>
      <c r="E4190" s="439"/>
      <c r="F4190" s="439"/>
      <c r="Z4190" s="500"/>
      <c r="AA4190" s="500"/>
      <c r="AB4190" s="500"/>
      <c r="AC4190" s="500"/>
      <c r="AD4190" s="500"/>
      <c r="AE4190" s="500"/>
      <c r="AF4190" s="500"/>
      <c r="AG4190" s="500"/>
      <c r="AH4190" s="500"/>
      <c r="AI4190" s="500"/>
      <c r="AJ4190" s="500"/>
      <c r="AK4190" s="500"/>
      <c r="AL4190" s="500"/>
      <c r="AM4190" s="500"/>
      <c r="AN4190" s="500"/>
      <c r="AO4190" s="500"/>
      <c r="AP4190" s="500"/>
    </row>
    <row r="4191" spans="1:42" ht="16.5" customHeight="1">
      <c r="A4191" s="439"/>
      <c r="B4191" s="439"/>
      <c r="C4191" s="439"/>
      <c r="D4191" s="439"/>
      <c r="E4191" s="439"/>
      <c r="F4191" s="439"/>
      <c r="Z4191" s="500"/>
      <c r="AA4191" s="500"/>
      <c r="AB4191" s="500"/>
      <c r="AC4191" s="500"/>
      <c r="AD4191" s="500"/>
      <c r="AE4191" s="500"/>
      <c r="AF4191" s="500"/>
      <c r="AG4191" s="500"/>
      <c r="AH4191" s="500"/>
      <c r="AI4191" s="500"/>
      <c r="AJ4191" s="500"/>
      <c r="AK4191" s="500"/>
      <c r="AL4191" s="500"/>
      <c r="AM4191" s="500"/>
      <c r="AN4191" s="500"/>
      <c r="AO4191" s="500"/>
      <c r="AP4191" s="500"/>
    </row>
    <row r="4192" spans="1:42" ht="16.5" customHeight="1">
      <c r="A4192" s="439"/>
      <c r="B4192" s="439"/>
      <c r="C4192" s="439"/>
      <c r="D4192" s="439"/>
      <c r="E4192" s="439"/>
      <c r="F4192" s="439"/>
      <c r="Z4192" s="500"/>
      <c r="AA4192" s="500"/>
      <c r="AB4192" s="500"/>
      <c r="AC4192" s="500"/>
      <c r="AD4192" s="500"/>
      <c r="AE4192" s="500"/>
      <c r="AF4192" s="500"/>
      <c r="AG4192" s="500"/>
      <c r="AH4192" s="500"/>
      <c r="AI4192" s="500"/>
      <c r="AJ4192" s="500"/>
      <c r="AK4192" s="500"/>
      <c r="AL4192" s="500"/>
      <c r="AM4192" s="500"/>
      <c r="AN4192" s="500"/>
      <c r="AO4192" s="500"/>
      <c r="AP4192" s="500"/>
    </row>
    <row r="4193" spans="1:42" ht="16.5" customHeight="1">
      <c r="A4193" s="439"/>
      <c r="B4193" s="439"/>
      <c r="C4193" s="439"/>
      <c r="D4193" s="439"/>
      <c r="E4193" s="439"/>
      <c r="F4193" s="439"/>
      <c r="Z4193" s="500"/>
      <c r="AA4193" s="500"/>
      <c r="AB4193" s="500"/>
      <c r="AC4193" s="500"/>
      <c r="AD4193" s="500"/>
      <c r="AE4193" s="500"/>
      <c r="AF4193" s="500"/>
      <c r="AG4193" s="500"/>
      <c r="AH4193" s="500"/>
      <c r="AI4193" s="500"/>
      <c r="AJ4193" s="500"/>
      <c r="AK4193" s="500"/>
      <c r="AL4193" s="500"/>
      <c r="AM4193" s="500"/>
      <c r="AN4193" s="500"/>
      <c r="AO4193" s="500"/>
      <c r="AP4193" s="500"/>
    </row>
    <row r="4194" spans="1:42" ht="16.5" customHeight="1">
      <c r="A4194" s="439"/>
      <c r="B4194" s="439"/>
      <c r="C4194" s="439"/>
      <c r="D4194" s="439"/>
      <c r="E4194" s="439"/>
      <c r="F4194" s="439"/>
      <c r="Z4194" s="500"/>
      <c r="AA4194" s="500"/>
      <c r="AB4194" s="500"/>
      <c r="AC4194" s="500"/>
      <c r="AD4194" s="500"/>
      <c r="AE4194" s="500"/>
      <c r="AF4194" s="500"/>
      <c r="AG4194" s="500"/>
      <c r="AH4194" s="500"/>
      <c r="AI4194" s="500"/>
      <c r="AJ4194" s="500"/>
      <c r="AK4194" s="500"/>
      <c r="AL4194" s="500"/>
      <c r="AM4194" s="500"/>
      <c r="AN4194" s="500"/>
      <c r="AO4194" s="500"/>
      <c r="AP4194" s="500"/>
    </row>
    <row r="4195" spans="1:42" ht="16.5" customHeight="1">
      <c r="A4195" s="439"/>
      <c r="B4195" s="439"/>
      <c r="C4195" s="439"/>
      <c r="D4195" s="439"/>
      <c r="E4195" s="439"/>
      <c r="F4195" s="439"/>
      <c r="Z4195" s="500"/>
      <c r="AA4195" s="500"/>
      <c r="AB4195" s="500"/>
      <c r="AC4195" s="500"/>
      <c r="AD4195" s="500"/>
      <c r="AE4195" s="500"/>
      <c r="AF4195" s="500"/>
      <c r="AG4195" s="500"/>
      <c r="AH4195" s="500"/>
      <c r="AI4195" s="500"/>
      <c r="AJ4195" s="500"/>
      <c r="AK4195" s="500"/>
      <c r="AL4195" s="500"/>
      <c r="AM4195" s="500"/>
      <c r="AN4195" s="500"/>
      <c r="AO4195" s="500"/>
      <c r="AP4195" s="500"/>
    </row>
    <row r="4196" spans="1:42" ht="16.5" customHeight="1">
      <c r="A4196" s="439"/>
      <c r="B4196" s="439"/>
      <c r="C4196" s="439"/>
      <c r="D4196" s="439"/>
      <c r="E4196" s="439"/>
      <c r="F4196" s="439"/>
      <c r="Z4196" s="500"/>
      <c r="AA4196" s="500"/>
      <c r="AB4196" s="500"/>
      <c r="AC4196" s="500"/>
      <c r="AD4196" s="500"/>
      <c r="AE4196" s="500"/>
      <c r="AF4196" s="500"/>
      <c r="AG4196" s="500"/>
      <c r="AH4196" s="500"/>
      <c r="AI4196" s="500"/>
      <c r="AJ4196" s="500"/>
      <c r="AK4196" s="500"/>
      <c r="AL4196" s="500"/>
      <c r="AM4196" s="500"/>
      <c r="AN4196" s="500"/>
      <c r="AO4196" s="500"/>
      <c r="AP4196" s="500"/>
    </row>
    <row r="4197" spans="1:42" ht="16.5" customHeight="1">
      <c r="A4197" s="439"/>
      <c r="B4197" s="439"/>
      <c r="C4197" s="439"/>
      <c r="D4197" s="439"/>
      <c r="E4197" s="439"/>
      <c r="F4197" s="439"/>
      <c r="Z4197" s="500"/>
      <c r="AA4197" s="500"/>
      <c r="AB4197" s="500"/>
      <c r="AC4197" s="500"/>
      <c r="AD4197" s="500"/>
      <c r="AE4197" s="500"/>
      <c r="AF4197" s="500"/>
      <c r="AG4197" s="500"/>
      <c r="AH4197" s="500"/>
      <c r="AI4197" s="500"/>
      <c r="AJ4197" s="500"/>
      <c r="AK4197" s="500"/>
      <c r="AL4197" s="500"/>
      <c r="AM4197" s="500"/>
      <c r="AN4197" s="500"/>
      <c r="AO4197" s="500"/>
      <c r="AP4197" s="500"/>
    </row>
    <row r="4198" spans="1:42" ht="16.5" customHeight="1">
      <c r="A4198" s="439"/>
      <c r="B4198" s="439"/>
      <c r="C4198" s="439"/>
      <c r="D4198" s="439"/>
      <c r="E4198" s="439"/>
      <c r="F4198" s="439"/>
      <c r="Z4198" s="500"/>
      <c r="AA4198" s="500"/>
      <c r="AB4198" s="500"/>
      <c r="AC4198" s="500"/>
      <c r="AD4198" s="500"/>
      <c r="AE4198" s="500"/>
      <c r="AF4198" s="500"/>
      <c r="AG4198" s="500"/>
      <c r="AH4198" s="500"/>
      <c r="AI4198" s="500"/>
      <c r="AJ4198" s="500"/>
      <c r="AK4198" s="500"/>
      <c r="AL4198" s="500"/>
      <c r="AM4198" s="500"/>
      <c r="AN4198" s="500"/>
      <c r="AO4198" s="500"/>
      <c r="AP4198" s="500"/>
    </row>
    <row r="4199" spans="1:42" ht="16.5" customHeight="1">
      <c r="A4199" s="439"/>
      <c r="B4199" s="439"/>
      <c r="C4199" s="439"/>
      <c r="D4199" s="439"/>
      <c r="E4199" s="439"/>
      <c r="F4199" s="439"/>
      <c r="Z4199" s="500"/>
      <c r="AA4199" s="500"/>
      <c r="AB4199" s="500"/>
      <c r="AC4199" s="500"/>
      <c r="AD4199" s="500"/>
      <c r="AE4199" s="500"/>
      <c r="AF4199" s="500"/>
      <c r="AG4199" s="500"/>
      <c r="AH4199" s="500"/>
      <c r="AI4199" s="500"/>
      <c r="AJ4199" s="500"/>
      <c r="AK4199" s="500"/>
      <c r="AL4199" s="500"/>
      <c r="AM4199" s="500"/>
      <c r="AN4199" s="500"/>
      <c r="AO4199" s="500"/>
      <c r="AP4199" s="500"/>
    </row>
    <row r="4200" spans="1:42" ht="16.5" customHeight="1">
      <c r="A4200" s="439"/>
      <c r="B4200" s="439"/>
      <c r="C4200" s="439"/>
      <c r="D4200" s="439"/>
      <c r="E4200" s="439"/>
      <c r="F4200" s="439"/>
      <c r="Z4200" s="500"/>
      <c r="AA4200" s="500"/>
      <c r="AB4200" s="500"/>
      <c r="AC4200" s="500"/>
      <c r="AD4200" s="500"/>
      <c r="AE4200" s="500"/>
      <c r="AF4200" s="500"/>
      <c r="AG4200" s="500"/>
      <c r="AH4200" s="500"/>
      <c r="AI4200" s="500"/>
      <c r="AJ4200" s="500"/>
      <c r="AK4200" s="500"/>
      <c r="AL4200" s="500"/>
      <c r="AM4200" s="500"/>
      <c r="AN4200" s="500"/>
      <c r="AO4200" s="500"/>
      <c r="AP4200" s="500"/>
    </row>
    <row r="4201" spans="1:42" ht="16.5" customHeight="1">
      <c r="A4201" s="439"/>
      <c r="B4201" s="439"/>
      <c r="C4201" s="439"/>
      <c r="D4201" s="439"/>
      <c r="E4201" s="439"/>
      <c r="F4201" s="439"/>
      <c r="Z4201" s="500"/>
      <c r="AA4201" s="500"/>
      <c r="AB4201" s="500"/>
      <c r="AC4201" s="500"/>
      <c r="AD4201" s="500"/>
      <c r="AE4201" s="500"/>
      <c r="AF4201" s="500"/>
      <c r="AG4201" s="500"/>
      <c r="AH4201" s="500"/>
      <c r="AI4201" s="500"/>
      <c r="AJ4201" s="500"/>
      <c r="AK4201" s="500"/>
      <c r="AL4201" s="500"/>
      <c r="AM4201" s="500"/>
      <c r="AN4201" s="500"/>
      <c r="AO4201" s="500"/>
      <c r="AP4201" s="500"/>
    </row>
    <row r="4202" spans="1:42" ht="16.5" customHeight="1">
      <c r="A4202" s="439"/>
      <c r="B4202" s="439"/>
      <c r="C4202" s="439"/>
      <c r="D4202" s="439"/>
      <c r="E4202" s="439"/>
      <c r="F4202" s="439"/>
      <c r="Z4202" s="500"/>
      <c r="AA4202" s="500"/>
      <c r="AB4202" s="500"/>
      <c r="AC4202" s="500"/>
      <c r="AD4202" s="500"/>
      <c r="AE4202" s="500"/>
      <c r="AF4202" s="500"/>
      <c r="AG4202" s="500"/>
      <c r="AH4202" s="500"/>
      <c r="AI4202" s="500"/>
      <c r="AJ4202" s="500"/>
      <c r="AK4202" s="500"/>
      <c r="AL4202" s="500"/>
      <c r="AM4202" s="500"/>
      <c r="AN4202" s="500"/>
      <c r="AO4202" s="500"/>
      <c r="AP4202" s="500"/>
    </row>
    <row r="4203" spans="1:42" ht="16.5" customHeight="1">
      <c r="A4203" s="497"/>
      <c r="B4203" s="497"/>
      <c r="C4203" s="497"/>
      <c r="D4203" s="497"/>
      <c r="E4203" s="497"/>
      <c r="F4203" s="497"/>
      <c r="Z4203" s="500"/>
      <c r="AA4203" s="500"/>
      <c r="AB4203" s="500"/>
      <c r="AC4203" s="500"/>
      <c r="AD4203" s="500"/>
      <c r="AE4203" s="500"/>
      <c r="AF4203" s="500"/>
      <c r="AG4203" s="500"/>
      <c r="AH4203" s="500"/>
      <c r="AI4203" s="500"/>
      <c r="AJ4203" s="500"/>
      <c r="AK4203" s="500"/>
      <c r="AL4203" s="500"/>
      <c r="AM4203" s="500"/>
      <c r="AN4203" s="500"/>
      <c r="AO4203" s="500"/>
      <c r="AP4203" s="500"/>
    </row>
    <row r="4204" spans="1:42" ht="16.5" customHeight="1">
      <c r="A4204" s="616" t="s">
        <v>3487</v>
      </c>
      <c r="B4204" s="605"/>
      <c r="C4204" s="446">
        <f>E4204+D4204+F4204</f>
        <v>600</v>
      </c>
      <c r="D4204" s="453">
        <f>ROUNDDOWN(SUMIF(N4157:N4181,M4204,D4157:D4181),0)</f>
        <v>566</v>
      </c>
      <c r="E4204" s="454">
        <f>ROUNDDOWN(SUMIF(N4157:N4181,M4204,E4157:E4181),0)</f>
        <v>0</v>
      </c>
      <c r="F4204" s="446">
        <f>ROUNDDOWN(SUMIF(N4157:N4181,M4204,F4157:F4181),0)</f>
        <v>34</v>
      </c>
      <c r="M4204" s="501" t="s">
        <v>2354</v>
      </c>
      <c r="Z4204" s="500"/>
      <c r="AA4204" s="500"/>
      <c r="AB4204" s="500"/>
      <c r="AC4204" s="500"/>
      <c r="AD4204" s="500"/>
      <c r="AE4204" s="500"/>
      <c r="AF4204" s="500"/>
      <c r="AG4204" s="500"/>
      <c r="AH4204" s="500"/>
      <c r="AI4204" s="500"/>
      <c r="AJ4204" s="500"/>
      <c r="AK4204" s="500"/>
      <c r="AL4204" s="500"/>
      <c r="AM4204" s="500"/>
      <c r="AN4204" s="500"/>
      <c r="AO4204" s="500"/>
      <c r="AP4204" s="500"/>
    </row>
    <row r="4205" spans="1:42" ht="16.5" customHeight="1">
      <c r="A4205" s="502"/>
      <c r="B4205" s="503" t="s">
        <v>5443</v>
      </c>
      <c r="C4205" s="615">
        <f>C4254</f>
        <v>514</v>
      </c>
      <c r="D4205" s="615">
        <f>D4254</f>
        <v>485</v>
      </c>
      <c r="E4205" s="615">
        <f>E4254</f>
        <v>0</v>
      </c>
      <c r="F4205" s="615">
        <f>F4254</f>
        <v>29</v>
      </c>
      <c r="G4205" s="486" t="str">
        <f>HYPERLINK("#G"&amp;ROW(G4231),"_x0005_`BDCOD|D01337_x0007_`POSS|"&amp;ROW(G4207)&amp;"_x0007_`POSE|"&amp;ROW(G4231)&amp;"_x0007_`")</f>
        <v>_x0005_`BDCOD|D01337_x0007_`POSS|4207_x0007_`POSE|4231_x0007_`</v>
      </c>
      <c r="Z4205" s="500"/>
      <c r="AA4205" s="500"/>
      <c r="AB4205" s="500"/>
      <c r="AC4205" s="500"/>
      <c r="AD4205" s="500"/>
      <c r="AE4205" s="500"/>
      <c r="AF4205" s="500"/>
      <c r="AG4205" s="500"/>
      <c r="AH4205" s="500"/>
      <c r="AI4205" s="500"/>
      <c r="AJ4205" s="500"/>
      <c r="AK4205" s="500"/>
      <c r="AL4205" s="500"/>
      <c r="AM4205" s="500"/>
      <c r="AN4205" s="500"/>
      <c r="AO4205" s="500"/>
      <c r="AP4205" s="500"/>
    </row>
    <row r="4206" spans="1:42" ht="16.5" customHeight="1">
      <c r="A4206" s="485"/>
      <c r="B4206" s="503" t="s">
        <v>5619</v>
      </c>
      <c r="C4206" s="593"/>
      <c r="D4206" s="593"/>
      <c r="E4206" s="593"/>
      <c r="F4206" s="593"/>
      <c r="M4206" s="501" t="s">
        <v>5443</v>
      </c>
      <c r="Z4206" s="500"/>
      <c r="AA4206" s="500"/>
      <c r="AB4206" s="500"/>
      <c r="AC4206" s="500"/>
      <c r="AD4206" s="500"/>
      <c r="AE4206" s="500"/>
      <c r="AF4206" s="500"/>
      <c r="AG4206" s="500"/>
      <c r="AH4206" s="500"/>
      <c r="AI4206" s="500"/>
      <c r="AJ4206" s="500"/>
      <c r="AK4206" s="500"/>
      <c r="AL4206" s="500"/>
      <c r="AM4206" s="500"/>
      <c r="AN4206" s="500"/>
      <c r="AO4206" s="500"/>
      <c r="AP4206" s="500"/>
    </row>
    <row r="4207" spans="1:42" ht="16.5" customHeight="1">
      <c r="A4207" s="439"/>
      <c r="B4207" s="439"/>
      <c r="C4207" s="504"/>
      <c r="D4207" s="504"/>
      <c r="E4207" s="504"/>
      <c r="F4207" s="504"/>
      <c r="G4207" s="451" t="s">
        <v>3406</v>
      </c>
      <c r="Z4207" s="500"/>
      <c r="AA4207" s="500"/>
      <c r="AB4207" s="500"/>
      <c r="AC4207" s="500"/>
      <c r="AD4207" s="500"/>
      <c r="AE4207" s="500"/>
      <c r="AF4207" s="500"/>
      <c r="AG4207" s="500"/>
      <c r="AH4207" s="500"/>
      <c r="AI4207" s="500"/>
      <c r="AJ4207" s="500"/>
      <c r="AK4207" s="500"/>
      <c r="AL4207" s="500"/>
      <c r="AM4207" s="500"/>
      <c r="AN4207" s="500"/>
      <c r="AO4207" s="500"/>
      <c r="AP4207" s="500"/>
    </row>
    <row r="4208" spans="1:42" ht="16.5" customHeight="1">
      <c r="A4208" s="434"/>
      <c r="B4208" s="437" t="s">
        <v>5620</v>
      </c>
      <c r="C4208" s="439"/>
      <c r="D4208" s="439"/>
      <c r="E4208" s="439"/>
      <c r="F4208" s="439"/>
      <c r="G4208" s="451" t="s">
        <v>5621</v>
      </c>
      <c r="Z4208" s="500"/>
      <c r="AA4208" s="500"/>
      <c r="AB4208" s="500"/>
      <c r="AC4208" s="500"/>
      <c r="AD4208" s="500"/>
      <c r="AE4208" s="500"/>
      <c r="AF4208" s="500"/>
      <c r="AG4208" s="500"/>
      <c r="AH4208" s="500"/>
      <c r="AI4208" s="500"/>
      <c r="AJ4208" s="500"/>
      <c r="AK4208" s="500"/>
      <c r="AL4208" s="500"/>
      <c r="AM4208" s="500"/>
      <c r="AN4208" s="500"/>
      <c r="AO4208" s="500"/>
      <c r="AP4208" s="500"/>
    </row>
    <row r="4209" spans="1:42" ht="16.5" customHeight="1">
      <c r="A4209" s="439"/>
      <c r="B4209" s="439"/>
      <c r="C4209" s="439"/>
      <c r="D4209" s="439"/>
      <c r="E4209" s="439"/>
      <c r="F4209" s="439"/>
      <c r="G4209" s="451" t="s">
        <v>3406</v>
      </c>
      <c r="Z4209" s="500"/>
      <c r="AA4209" s="500"/>
      <c r="AB4209" s="500"/>
      <c r="AC4209" s="500"/>
      <c r="AD4209" s="500"/>
      <c r="AE4209" s="500"/>
      <c r="AF4209" s="500"/>
      <c r="AG4209" s="500"/>
      <c r="AH4209" s="500"/>
      <c r="AI4209" s="500"/>
      <c r="AJ4209" s="500"/>
      <c r="AK4209" s="500"/>
      <c r="AL4209" s="500"/>
      <c r="AM4209" s="500"/>
      <c r="AN4209" s="500"/>
      <c r="AO4209" s="500"/>
      <c r="AP4209" s="500"/>
    </row>
    <row r="4210" spans="1:42" ht="16.5" customHeight="1">
      <c r="A4210" s="434"/>
      <c r="B4210" s="437" t="s">
        <v>3888</v>
      </c>
      <c r="C4210" s="439"/>
      <c r="D4210" s="439"/>
      <c r="E4210" s="439"/>
      <c r="F4210" s="439"/>
      <c r="G4210" s="451" t="s">
        <v>3889</v>
      </c>
      <c r="Z4210" s="500"/>
      <c r="AA4210" s="500"/>
      <c r="AB4210" s="500"/>
      <c r="AC4210" s="500"/>
      <c r="AD4210" s="500"/>
      <c r="AE4210" s="500"/>
      <c r="AF4210" s="500"/>
      <c r="AG4210" s="500"/>
      <c r="AH4210" s="500"/>
      <c r="AI4210" s="500"/>
      <c r="AJ4210" s="500"/>
      <c r="AK4210" s="500"/>
      <c r="AL4210" s="500"/>
      <c r="AM4210" s="500"/>
      <c r="AN4210" s="500"/>
      <c r="AO4210" s="500"/>
      <c r="AP4210" s="500"/>
    </row>
    <row r="4211" spans="1:42" ht="16.5" customHeight="1">
      <c r="A4211" s="439"/>
      <c r="B4211" s="439"/>
      <c r="C4211" s="439"/>
      <c r="D4211" s="439"/>
      <c r="E4211" s="439"/>
      <c r="F4211" s="439"/>
      <c r="G4211" s="451" t="s">
        <v>3406</v>
      </c>
      <c r="Z4211" s="500"/>
      <c r="AA4211" s="500"/>
      <c r="AB4211" s="500"/>
      <c r="AC4211" s="500"/>
      <c r="AD4211" s="500"/>
      <c r="AE4211" s="500"/>
      <c r="AF4211" s="500"/>
      <c r="AG4211" s="500"/>
      <c r="AH4211" s="500"/>
      <c r="AI4211" s="500"/>
      <c r="AJ4211" s="500"/>
      <c r="AK4211" s="500"/>
      <c r="AL4211" s="500"/>
      <c r="AM4211" s="500"/>
      <c r="AN4211" s="500"/>
      <c r="AO4211" s="500"/>
      <c r="AP4211" s="500"/>
    </row>
    <row r="4212" spans="1:42" ht="16.5" customHeight="1">
      <c r="A4212" s="434"/>
      <c r="B4212" s="437" t="str">
        <f>" 일당 작업량 :  Q1 = "&amp;Z4212&amp;" * "&amp;AB4212&amp;" = "&amp;AD4212&amp;"  ㎡ "</f>
        <v xml:space="preserve"> 일당 작업량 :  Q1 = 2500 * 0.7 = 1,750.00  ㎡ </v>
      </c>
      <c r="C4212" s="439"/>
      <c r="D4212" s="439"/>
      <c r="E4212" s="439"/>
      <c r="F4212" s="439"/>
      <c r="G4212" s="451" t="s">
        <v>3890</v>
      </c>
      <c r="Z4212" s="515">
        <v>2500</v>
      </c>
      <c r="AA4212" s="501" t="s">
        <v>3368</v>
      </c>
      <c r="AB4212" s="511">
        <v>0.7</v>
      </c>
      <c r="AC4212" s="501" t="s">
        <v>3418</v>
      </c>
      <c r="AD4212" s="512" t="str">
        <f>TEXT(ROUND(Z4212*AB4212,2),"#,0.00")</f>
        <v>1,750.00</v>
      </c>
      <c r="AE4212" s="500"/>
      <c r="AF4212" s="500"/>
      <c r="AG4212" s="500"/>
      <c r="AH4212" s="500"/>
      <c r="AI4212" s="500"/>
      <c r="AJ4212" s="500"/>
      <c r="AK4212" s="500"/>
      <c r="AL4212" s="500"/>
      <c r="AM4212" s="500"/>
      <c r="AN4212" s="500"/>
      <c r="AO4212" s="500"/>
      <c r="AP4212" s="500"/>
    </row>
    <row r="4213" spans="1:42" ht="16.5" customHeight="1">
      <c r="A4213" s="439"/>
      <c r="B4213" s="439"/>
      <c r="C4213" s="439"/>
      <c r="D4213" s="439"/>
      <c r="E4213" s="439"/>
      <c r="F4213" s="439"/>
      <c r="G4213" s="451" t="s">
        <v>3406</v>
      </c>
      <c r="Z4213" s="500"/>
      <c r="AA4213" s="500"/>
      <c r="AB4213" s="500"/>
      <c r="AC4213" s="500"/>
      <c r="AD4213" s="500"/>
      <c r="AE4213" s="500"/>
      <c r="AF4213" s="500"/>
      <c r="AG4213" s="500"/>
      <c r="AH4213" s="500"/>
      <c r="AI4213" s="500"/>
      <c r="AJ4213" s="500"/>
      <c r="AK4213" s="500"/>
      <c r="AL4213" s="500"/>
      <c r="AM4213" s="500"/>
      <c r="AN4213" s="500"/>
      <c r="AO4213" s="500"/>
      <c r="AP4213" s="500"/>
    </row>
    <row r="4214" spans="1:42" ht="16.5" customHeight="1">
      <c r="A4214" s="434"/>
      <c r="B4214" s="437" t="s">
        <v>3891</v>
      </c>
      <c r="C4214" s="439"/>
      <c r="D4214" s="439"/>
      <c r="E4214" s="439"/>
      <c r="F4214" s="439"/>
      <c r="G4214" s="451" t="s">
        <v>3892</v>
      </c>
      <c r="Z4214" s="500"/>
      <c r="AA4214" s="500"/>
      <c r="AB4214" s="500"/>
      <c r="AC4214" s="500"/>
      <c r="AD4214" s="500"/>
      <c r="AE4214" s="500"/>
      <c r="AF4214" s="500"/>
      <c r="AG4214" s="500"/>
      <c r="AH4214" s="500"/>
      <c r="AI4214" s="500"/>
      <c r="AJ4214" s="500"/>
      <c r="AK4214" s="500"/>
      <c r="AL4214" s="500"/>
      <c r="AM4214" s="500"/>
      <c r="AN4214" s="500"/>
      <c r="AO4214" s="500"/>
      <c r="AP4214" s="500"/>
    </row>
    <row r="4215" spans="1:42" ht="16.5" customHeight="1">
      <c r="A4215" s="439"/>
      <c r="B4215" s="439"/>
      <c r="C4215" s="439"/>
      <c r="D4215" s="439"/>
      <c r="E4215" s="439"/>
      <c r="F4215" s="439"/>
      <c r="G4215" s="451" t="s">
        <v>3406</v>
      </c>
      <c r="Z4215" s="500"/>
      <c r="AA4215" s="500"/>
      <c r="AB4215" s="500"/>
      <c r="AC4215" s="500"/>
      <c r="AD4215" s="500"/>
      <c r="AE4215" s="500"/>
      <c r="AF4215" s="500"/>
      <c r="AG4215" s="500"/>
      <c r="AH4215" s="500"/>
      <c r="AI4215" s="500"/>
      <c r="AJ4215" s="500"/>
      <c r="AK4215" s="500"/>
      <c r="AL4215" s="500"/>
      <c r="AM4215" s="500"/>
      <c r="AN4215" s="500"/>
      <c r="AO4215" s="500"/>
      <c r="AP4215" s="500"/>
    </row>
    <row r="4216" spans="1:42" ht="16.5" customHeight="1">
      <c r="A4216" s="439"/>
      <c r="B4216" s="439"/>
      <c r="C4216" s="439"/>
      <c r="D4216" s="439"/>
      <c r="E4216" s="439"/>
      <c r="F4216" s="439"/>
      <c r="G4216" s="451" t="s">
        <v>3406</v>
      </c>
      <c r="Z4216" s="500"/>
      <c r="AA4216" s="500"/>
      <c r="AB4216" s="500"/>
      <c r="AC4216" s="500"/>
      <c r="AD4216" s="500"/>
      <c r="AE4216" s="500"/>
      <c r="AF4216" s="500"/>
      <c r="AG4216" s="500"/>
      <c r="AH4216" s="500"/>
      <c r="AI4216" s="500"/>
      <c r="AJ4216" s="500"/>
      <c r="AK4216" s="500"/>
      <c r="AL4216" s="500"/>
      <c r="AM4216" s="500"/>
      <c r="AN4216" s="500"/>
      <c r="AO4216" s="500"/>
      <c r="AP4216" s="500"/>
    </row>
    <row r="4217" spans="1:42" ht="16.5" customHeight="1">
      <c r="A4217" s="434"/>
      <c r="B4217" s="437" t="s">
        <v>3496</v>
      </c>
      <c r="C4217" s="439"/>
      <c r="D4217" s="439"/>
      <c r="E4217" s="439"/>
      <c r="F4217" s="439"/>
      <c r="G4217" s="451" t="s">
        <v>3497</v>
      </c>
      <c r="Z4217" s="500"/>
      <c r="AA4217" s="500"/>
      <c r="AB4217" s="500"/>
      <c r="AC4217" s="500"/>
      <c r="AD4217" s="500"/>
      <c r="AE4217" s="500"/>
      <c r="AF4217" s="500"/>
      <c r="AG4217" s="500"/>
      <c r="AH4217" s="500"/>
      <c r="AI4217" s="500"/>
      <c r="AJ4217" s="500"/>
      <c r="AK4217" s="500"/>
      <c r="AL4217" s="500"/>
      <c r="AM4217" s="500"/>
      <c r="AN4217" s="500"/>
      <c r="AO4217" s="500"/>
      <c r="AP4217" s="500"/>
    </row>
    <row r="4218" spans="1:42" ht="16.5" customHeight="1">
      <c r="A4218" s="439"/>
      <c r="B4218" s="439"/>
      <c r="C4218" s="439"/>
      <c r="D4218" s="439"/>
      <c r="E4218" s="439"/>
      <c r="F4218" s="439"/>
      <c r="G4218" s="451" t="s">
        <v>3406</v>
      </c>
      <c r="Z4218" s="500"/>
      <c r="AA4218" s="500"/>
      <c r="AB4218" s="500"/>
      <c r="AC4218" s="500"/>
      <c r="AD4218" s="500"/>
      <c r="AE4218" s="500"/>
      <c r="AF4218" s="500"/>
      <c r="AG4218" s="500"/>
      <c r="AH4218" s="500"/>
      <c r="AI4218" s="500"/>
      <c r="AJ4218" s="500"/>
      <c r="AK4218" s="500"/>
      <c r="AL4218" s="500"/>
      <c r="AM4218" s="500"/>
      <c r="AN4218" s="500"/>
      <c r="AO4218" s="500"/>
      <c r="AP4218" s="500"/>
    </row>
    <row r="4219" spans="1:42" ht="16.5" customHeight="1">
      <c r="A4219" s="434" t="s">
        <v>3821</v>
      </c>
      <c r="B4219" s="505" t="str">
        <f>" 특별인부 : "&amp;TEXT(I4219,"#,##0"&amp;IF(I4219&lt;&gt;INT(I4219),".###",""))&amp;" * "&amp;AA4219&amp;" 인  / Q1 = "&amp;TEXT(C4219,"#,##0.0")&amp;" "</f>
        <v xml:space="preserve"> 특별인부 : 226,122 * 3 인  / Q1 = 387.6 </v>
      </c>
      <c r="C4219" s="506">
        <f>E4219+D4219+F4219</f>
        <v>387.6</v>
      </c>
      <c r="D4219" s="506">
        <f>IF(H4219=0,0,ROUNDDOWN(J4219*H4219,1))</f>
        <v>387.6</v>
      </c>
      <c r="E4219" s="506">
        <f>IF(H4219=0,0,ROUNDDOWN(K4219*H4219,1))</f>
        <v>0</v>
      </c>
      <c r="F4219" s="506">
        <f>IF(H4219=0,0,ROUNDDOWN(L4219*H4219,1))</f>
        <v>0</v>
      </c>
      <c r="G4219" s="451" t="s">
        <v>3893</v>
      </c>
      <c r="H4219" s="507">
        <f>ROUNDUP(AE4219,14-LEN(ABS(INT(AE4219))))</f>
        <v>1.7142857143000001E-3</v>
      </c>
      <c r="I4219" s="508">
        <f>K4219+J4219+L4219</f>
        <v>226122</v>
      </c>
      <c r="J4219" s="509">
        <f>노무비목록표!E21</f>
        <v>226122</v>
      </c>
      <c r="M4219" s="501" t="s">
        <v>2519</v>
      </c>
      <c r="N4219" s="501" t="s">
        <v>3416</v>
      </c>
      <c r="O4219" s="501" t="s">
        <v>2355</v>
      </c>
      <c r="X4219" s="510" t="str">
        <f>노무비목록표!B21&amp;" / "&amp;노무비목록표!C21</f>
        <v xml:space="preserve">특별인부 / </v>
      </c>
      <c r="Y4219" s="433" t="str">
        <f ca="1">HYPERLINK("#"&amp;노무비목록표!G2&amp;"!A"&amp;ROW(노무비목록표!A21),"L00016 →")</f>
        <v>L00016 →</v>
      </c>
      <c r="Z4219" s="501" t="s">
        <v>3500</v>
      </c>
      <c r="AA4219" s="515">
        <v>3</v>
      </c>
      <c r="AB4219" s="501" t="s">
        <v>3428</v>
      </c>
      <c r="AC4219" s="512" t="str">
        <f>AD4212</f>
        <v>1,750.00</v>
      </c>
      <c r="AD4219" s="501" t="s">
        <v>3418</v>
      </c>
      <c r="AE4219" s="512">
        <f>1*AA4219/AD4212</f>
        <v>1.7142857142857142E-3</v>
      </c>
      <c r="AF4219" s="500"/>
      <c r="AG4219" s="500"/>
      <c r="AH4219" s="500"/>
      <c r="AI4219" s="500"/>
      <c r="AJ4219" s="500"/>
      <c r="AK4219" s="500"/>
      <c r="AL4219" s="500"/>
      <c r="AM4219" s="500"/>
      <c r="AN4219" s="500"/>
      <c r="AO4219" s="500"/>
      <c r="AP4219" s="500"/>
    </row>
    <row r="4220" spans="1:42" ht="16.5" customHeight="1">
      <c r="A4220" s="439"/>
      <c r="B4220" s="439"/>
      <c r="C4220" s="439"/>
      <c r="D4220" s="439"/>
      <c r="E4220" s="439"/>
      <c r="F4220" s="439"/>
      <c r="G4220" s="451" t="s">
        <v>3406</v>
      </c>
      <c r="Z4220" s="500"/>
      <c r="AA4220" s="500"/>
      <c r="AB4220" s="500"/>
      <c r="AC4220" s="500"/>
      <c r="AD4220" s="500"/>
      <c r="AE4220" s="500"/>
      <c r="AF4220" s="500"/>
      <c r="AG4220" s="500"/>
      <c r="AH4220" s="500"/>
      <c r="AI4220" s="500"/>
      <c r="AJ4220" s="500"/>
      <c r="AK4220" s="500"/>
      <c r="AL4220" s="500"/>
      <c r="AM4220" s="500"/>
      <c r="AN4220" s="500"/>
      <c r="AO4220" s="500"/>
      <c r="AP4220" s="500"/>
    </row>
    <row r="4221" spans="1:42" ht="16.5" customHeight="1">
      <c r="A4221" s="434" t="s">
        <v>3414</v>
      </c>
      <c r="B4221" s="505" t="str">
        <f>" 보통인부 : "&amp;TEXT(I4221,"#,##0"&amp;IF(I4221&lt;&gt;INT(I4221),".###",""))&amp;" * "&amp;AA4221&amp;" 인  / Q1 = "&amp;TEXT(C4221,"#,##0.0")&amp;" "</f>
        <v xml:space="preserve"> 보통인부 : 172,068 * 1 인  / Q1 = 98.3 </v>
      </c>
      <c r="C4221" s="506">
        <f>E4221+D4221+F4221</f>
        <v>98.3</v>
      </c>
      <c r="D4221" s="506">
        <f>IF(H4221=0,0,ROUNDDOWN(J4221*H4221,1))</f>
        <v>98.3</v>
      </c>
      <c r="E4221" s="506">
        <f>IF(H4221=0,0,ROUNDDOWN(K4221*H4221,1))</f>
        <v>0</v>
      </c>
      <c r="F4221" s="506">
        <f>IF(H4221=0,0,ROUNDDOWN(L4221*H4221,1))</f>
        <v>0</v>
      </c>
      <c r="G4221" s="451" t="s">
        <v>3894</v>
      </c>
      <c r="H4221" s="507">
        <f>ROUNDUP(AE4221,14-LEN(ABS(INT(AE4221))))</f>
        <v>5.7142857150000001E-4</v>
      </c>
      <c r="I4221" s="508">
        <f>K4221+J4221+L4221</f>
        <v>172068</v>
      </c>
      <c r="J4221" s="509">
        <f>노무비목록표!E10</f>
        <v>172068</v>
      </c>
      <c r="M4221" s="501" t="s">
        <v>2363</v>
      </c>
      <c r="N4221" s="501" t="s">
        <v>3416</v>
      </c>
      <c r="O4221" s="501" t="s">
        <v>2355</v>
      </c>
      <c r="X4221" s="510" t="str">
        <f>노무비목록표!B10&amp;" / "&amp;노무비목록표!C10</f>
        <v xml:space="preserve">보통인부 / </v>
      </c>
      <c r="Y4221" s="433" t="str">
        <f ca="1">HYPERLINK("#"&amp;노무비목록표!G2&amp;"!A"&amp;ROW(노무비목록표!A10),"L00017 →")</f>
        <v>L00017 →</v>
      </c>
      <c r="Z4221" s="501" t="s">
        <v>3500</v>
      </c>
      <c r="AA4221" s="515">
        <v>1</v>
      </c>
      <c r="AB4221" s="501" t="s">
        <v>3428</v>
      </c>
      <c r="AC4221" s="512" t="str">
        <f>AD4212</f>
        <v>1,750.00</v>
      </c>
      <c r="AD4221" s="501" t="s">
        <v>3418</v>
      </c>
      <c r="AE4221" s="512">
        <f>1*AA4221/AD4212</f>
        <v>5.7142857142857147E-4</v>
      </c>
      <c r="AF4221" s="500"/>
      <c r="AG4221" s="500"/>
      <c r="AH4221" s="500"/>
      <c r="AI4221" s="500"/>
      <c r="AJ4221" s="500"/>
      <c r="AK4221" s="500"/>
      <c r="AL4221" s="500"/>
      <c r="AM4221" s="500"/>
      <c r="AN4221" s="500"/>
      <c r="AO4221" s="500"/>
      <c r="AP4221" s="500"/>
    </row>
    <row r="4222" spans="1:42" ht="16.5" customHeight="1">
      <c r="A4222" s="439"/>
      <c r="B4222" s="439"/>
      <c r="C4222" s="439"/>
      <c r="D4222" s="439"/>
      <c r="E4222" s="439"/>
      <c r="F4222" s="439"/>
      <c r="G4222" s="451" t="s">
        <v>3406</v>
      </c>
      <c r="Z4222" s="500"/>
      <c r="AA4222" s="500"/>
      <c r="AB4222" s="500"/>
      <c r="AC4222" s="500"/>
      <c r="AD4222" s="500"/>
      <c r="AE4222" s="500"/>
      <c r="AF4222" s="500"/>
      <c r="AG4222" s="500"/>
      <c r="AH4222" s="500"/>
      <c r="AI4222" s="500"/>
      <c r="AJ4222" s="500"/>
      <c r="AK4222" s="500"/>
      <c r="AL4222" s="500"/>
      <c r="AM4222" s="500"/>
      <c r="AN4222" s="500"/>
      <c r="AO4222" s="500"/>
      <c r="AP4222" s="500"/>
    </row>
    <row r="4223" spans="1:42" ht="16.5" customHeight="1">
      <c r="A4223" s="434"/>
      <c r="B4223" s="437" t="s">
        <v>3419</v>
      </c>
      <c r="C4223" s="513">
        <f>E4223+D4223+F4223</f>
        <v>485.90000000000003</v>
      </c>
      <c r="D4223" s="513">
        <f>SUMIF(N4207:N4222,M4223,D4207:D4222)</f>
        <v>485.90000000000003</v>
      </c>
      <c r="E4223" s="513">
        <f>SUMIF(N4207:N4222,M4223,E4207:E4222)</f>
        <v>0</v>
      </c>
      <c r="F4223" s="513">
        <f>SUMIF(N4207:N4222,M4223,F4207:F4222)</f>
        <v>0</v>
      </c>
      <c r="G4223" s="451" t="s">
        <v>3420</v>
      </c>
      <c r="M4223" s="501" t="s">
        <v>3416</v>
      </c>
      <c r="N4223" s="501" t="s">
        <v>3421</v>
      </c>
      <c r="Z4223" s="500"/>
      <c r="AA4223" s="500"/>
      <c r="AB4223" s="500"/>
      <c r="AC4223" s="500"/>
      <c r="AD4223" s="500"/>
      <c r="AE4223" s="500"/>
      <c r="AF4223" s="500"/>
      <c r="AG4223" s="500"/>
      <c r="AH4223" s="500"/>
      <c r="AI4223" s="500"/>
      <c r="AJ4223" s="500"/>
      <c r="AK4223" s="500"/>
      <c r="AL4223" s="500"/>
      <c r="AM4223" s="500"/>
      <c r="AN4223" s="500"/>
      <c r="AO4223" s="500"/>
      <c r="AP4223" s="500"/>
    </row>
    <row r="4224" spans="1:42" ht="16.5" customHeight="1">
      <c r="A4224" s="439"/>
      <c r="B4224" s="439"/>
      <c r="C4224" s="504"/>
      <c r="D4224" s="504"/>
      <c r="E4224" s="504"/>
      <c r="F4224" s="504"/>
      <c r="G4224" s="451" t="s">
        <v>3406</v>
      </c>
      <c r="Z4224" s="500"/>
      <c r="AA4224" s="500"/>
      <c r="AB4224" s="500"/>
      <c r="AC4224" s="500"/>
      <c r="AD4224" s="500"/>
      <c r="AE4224" s="500"/>
      <c r="AF4224" s="500"/>
      <c r="AG4224" s="500"/>
      <c r="AH4224" s="500"/>
      <c r="AI4224" s="500"/>
      <c r="AJ4224" s="500"/>
      <c r="AK4224" s="500"/>
      <c r="AL4224" s="500"/>
      <c r="AM4224" s="500"/>
      <c r="AN4224" s="500"/>
      <c r="AO4224" s="500"/>
      <c r="AP4224" s="500"/>
    </row>
    <row r="4225" spans="1:42" ht="16.5" customHeight="1">
      <c r="A4225" s="439"/>
      <c r="B4225" s="439"/>
      <c r="C4225" s="439"/>
      <c r="D4225" s="439"/>
      <c r="E4225" s="439"/>
      <c r="F4225" s="439"/>
      <c r="G4225" s="451" t="s">
        <v>3406</v>
      </c>
      <c r="Z4225" s="500"/>
      <c r="AA4225" s="500"/>
      <c r="AB4225" s="500"/>
      <c r="AC4225" s="500"/>
      <c r="AD4225" s="500"/>
      <c r="AE4225" s="500"/>
      <c r="AF4225" s="500"/>
      <c r="AG4225" s="500"/>
      <c r="AH4225" s="500"/>
      <c r="AI4225" s="500"/>
      <c r="AJ4225" s="500"/>
      <c r="AK4225" s="500"/>
      <c r="AL4225" s="500"/>
      <c r="AM4225" s="500"/>
      <c r="AN4225" s="500"/>
      <c r="AO4225" s="500"/>
      <c r="AP4225" s="500"/>
    </row>
    <row r="4226" spans="1:42" ht="16.5" customHeight="1">
      <c r="A4226" s="434"/>
      <c r="B4226" s="505" t="str">
        <f>" 2. 공구손료 및 기계경비(인력품의 6%) : "&amp;TEXT(I4226,"#,##0.0")&amp;" * "&amp;AA4226&amp;" %  = "&amp;TEXT(C4226,"#,##0.0")&amp;""</f>
        <v xml:space="preserve"> 2. 공구손료 및 기계경비(인력품의 6%) : 485.9 * 6 %  = 29.1</v>
      </c>
      <c r="C4226" s="506">
        <f>E4226+D4226+F4226</f>
        <v>29.1</v>
      </c>
      <c r="D4226" s="506">
        <f>IF(H4226=0,0,ROUNDDOWN(J4226*H4226/100,1))</f>
        <v>0</v>
      </c>
      <c r="E4226" s="506">
        <f>IF(H4226=0,0,ROUNDDOWN(K4226*H4226/100,1))</f>
        <v>0</v>
      </c>
      <c r="F4226" s="506">
        <f>IF(H4226=0,0,ROUNDDOWN(L4226*H4226/100,1))</f>
        <v>29.1</v>
      </c>
      <c r="G4226" s="451" t="s">
        <v>3895</v>
      </c>
      <c r="H4226" s="507">
        <f>ROUNDUP(AC4226,14-LEN(ABS(INT(AC4226))))</f>
        <v>6</v>
      </c>
      <c r="I4226" s="508">
        <f>K4226+J4226+L4226</f>
        <v>485.90000000000003</v>
      </c>
      <c r="J4226" s="456">
        <v>0</v>
      </c>
      <c r="K4226" s="456">
        <v>0</v>
      </c>
      <c r="L4226" s="509">
        <f>D4219+D4221</f>
        <v>485.90000000000003</v>
      </c>
      <c r="M4226" s="501" t="s">
        <v>3743</v>
      </c>
      <c r="N4226" s="501" t="s">
        <v>3416</v>
      </c>
      <c r="Z4226" s="501" t="s">
        <v>3500</v>
      </c>
      <c r="AA4226" s="515">
        <v>6</v>
      </c>
      <c r="AB4226" s="501" t="s">
        <v>3418</v>
      </c>
      <c r="AC4226" s="512">
        <f>1*AA4226</f>
        <v>6</v>
      </c>
      <c r="AD4226" s="500"/>
      <c r="AE4226" s="500"/>
      <c r="AF4226" s="500"/>
      <c r="AG4226" s="500"/>
      <c r="AH4226" s="500"/>
      <c r="AI4226" s="500"/>
      <c r="AJ4226" s="500"/>
      <c r="AK4226" s="500"/>
      <c r="AL4226" s="500"/>
      <c r="AM4226" s="500"/>
      <c r="AN4226" s="500"/>
      <c r="AO4226" s="500"/>
      <c r="AP4226" s="500"/>
    </row>
    <row r="4227" spans="1:42" ht="16.5" customHeight="1">
      <c r="A4227" s="439"/>
      <c r="B4227" s="439"/>
      <c r="C4227" s="439"/>
      <c r="D4227" s="439"/>
      <c r="E4227" s="439"/>
      <c r="F4227" s="439"/>
      <c r="G4227" s="451" t="s">
        <v>3406</v>
      </c>
      <c r="Z4227" s="500"/>
      <c r="AA4227" s="500"/>
      <c r="AB4227" s="500"/>
      <c r="AC4227" s="500"/>
      <c r="AD4227" s="500"/>
      <c r="AE4227" s="500"/>
      <c r="AF4227" s="500"/>
      <c r="AG4227" s="500"/>
      <c r="AH4227" s="500"/>
      <c r="AI4227" s="500"/>
      <c r="AJ4227" s="500"/>
      <c r="AK4227" s="500"/>
      <c r="AL4227" s="500"/>
      <c r="AM4227" s="500"/>
      <c r="AN4227" s="500"/>
      <c r="AO4227" s="500"/>
      <c r="AP4227" s="500"/>
    </row>
    <row r="4228" spans="1:42" ht="16.5" customHeight="1">
      <c r="A4228" s="434"/>
      <c r="B4228" s="437" t="s">
        <v>3419</v>
      </c>
      <c r="C4228" s="513">
        <f>E4228+D4228+F4228</f>
        <v>29.1</v>
      </c>
      <c r="D4228" s="513">
        <f>SUMIF(N4224:N4227,M4228,D4224:D4227)</f>
        <v>0</v>
      </c>
      <c r="E4228" s="513">
        <f>SUMIF(N4224:N4227,M4228,E4224:E4227)</f>
        <v>0</v>
      </c>
      <c r="F4228" s="513">
        <f>SUMIF(N4224:N4227,M4228,F4224:F4227)</f>
        <v>29.1</v>
      </c>
      <c r="G4228" s="451" t="s">
        <v>3420</v>
      </c>
      <c r="M4228" s="501" t="s">
        <v>3416</v>
      </c>
      <c r="N4228" s="501" t="s">
        <v>3421</v>
      </c>
      <c r="Z4228" s="500"/>
      <c r="AA4228" s="500"/>
      <c r="AB4228" s="500"/>
      <c r="AC4228" s="500"/>
      <c r="AD4228" s="500"/>
      <c r="AE4228" s="500"/>
      <c r="AF4228" s="500"/>
      <c r="AG4228" s="500"/>
      <c r="AH4228" s="500"/>
      <c r="AI4228" s="500"/>
      <c r="AJ4228" s="500"/>
      <c r="AK4228" s="500"/>
      <c r="AL4228" s="500"/>
      <c r="AM4228" s="500"/>
      <c r="AN4228" s="500"/>
      <c r="AO4228" s="500"/>
      <c r="AP4228" s="500"/>
    </row>
    <row r="4229" spans="1:42" ht="16.5" customHeight="1">
      <c r="A4229" s="439"/>
      <c r="B4229" s="439"/>
      <c r="C4229" s="504"/>
      <c r="D4229" s="504"/>
      <c r="E4229" s="504"/>
      <c r="F4229" s="504"/>
      <c r="G4229" s="451" t="s">
        <v>3406</v>
      </c>
      <c r="Z4229" s="500"/>
      <c r="AA4229" s="500"/>
      <c r="AB4229" s="500"/>
      <c r="AC4229" s="500"/>
      <c r="AD4229" s="500"/>
      <c r="AE4229" s="500"/>
      <c r="AF4229" s="500"/>
      <c r="AG4229" s="500"/>
      <c r="AH4229" s="500"/>
      <c r="AI4229" s="500"/>
      <c r="AJ4229" s="500"/>
      <c r="AK4229" s="500"/>
      <c r="AL4229" s="500"/>
      <c r="AM4229" s="500"/>
      <c r="AN4229" s="500"/>
      <c r="AO4229" s="500"/>
      <c r="AP4229" s="500"/>
    </row>
    <row r="4230" spans="1:42" ht="16.5" customHeight="1">
      <c r="A4230" s="439"/>
      <c r="B4230" s="439"/>
      <c r="C4230" s="439"/>
      <c r="D4230" s="439"/>
      <c r="E4230" s="439"/>
      <c r="F4230" s="439"/>
      <c r="G4230" s="451" t="s">
        <v>3406</v>
      </c>
      <c r="Z4230" s="500"/>
      <c r="AA4230" s="500"/>
      <c r="AB4230" s="500"/>
      <c r="AC4230" s="500"/>
      <c r="AD4230" s="500"/>
      <c r="AE4230" s="500"/>
      <c r="AF4230" s="500"/>
      <c r="AG4230" s="500"/>
      <c r="AH4230" s="500"/>
      <c r="AI4230" s="500"/>
      <c r="AJ4230" s="500"/>
      <c r="AK4230" s="500"/>
      <c r="AL4230" s="500"/>
      <c r="AM4230" s="500"/>
      <c r="AN4230" s="500"/>
      <c r="AO4230" s="500"/>
      <c r="AP4230" s="500"/>
    </row>
    <row r="4231" spans="1:42" ht="16.5" customHeight="1">
      <c r="A4231" s="434"/>
      <c r="B4231" s="437" t="s">
        <v>3440</v>
      </c>
      <c r="C4231" s="513">
        <f>E4231+D4231+F4231</f>
        <v>515</v>
      </c>
      <c r="D4231" s="513">
        <f>SUMIF(N4207:N4230,M4231,D4207:D4230)</f>
        <v>485.90000000000003</v>
      </c>
      <c r="E4231" s="513">
        <f>SUMIF(N4207:N4230,M4231,E4207:E4230)</f>
        <v>0</v>
      </c>
      <c r="F4231" s="513">
        <f>SUMIF(N4207:N4230,M4231,F4207:F4230)</f>
        <v>29.1</v>
      </c>
      <c r="G4231" s="451" t="s">
        <v>3484</v>
      </c>
      <c r="M4231" s="501" t="s">
        <v>3421</v>
      </c>
      <c r="N4231" s="501" t="s">
        <v>2354</v>
      </c>
      <c r="Z4231" s="500"/>
      <c r="AA4231" s="500"/>
      <c r="AB4231" s="500"/>
      <c r="AC4231" s="500"/>
      <c r="AD4231" s="500"/>
      <c r="AE4231" s="500"/>
      <c r="AF4231" s="500"/>
      <c r="AG4231" s="500"/>
      <c r="AH4231" s="500"/>
      <c r="AI4231" s="500"/>
      <c r="AJ4231" s="500"/>
      <c r="AK4231" s="500"/>
      <c r="AL4231" s="500"/>
      <c r="AM4231" s="500"/>
      <c r="AN4231" s="500"/>
      <c r="AO4231" s="500"/>
      <c r="AP4231" s="500"/>
    </row>
    <row r="4232" spans="1:42" ht="16.5" customHeight="1">
      <c r="A4232" s="439"/>
      <c r="B4232" s="439"/>
      <c r="C4232" s="504"/>
      <c r="D4232" s="504"/>
      <c r="E4232" s="504"/>
      <c r="F4232" s="504"/>
      <c r="Z4232" s="500"/>
      <c r="AA4232" s="500"/>
      <c r="AB4232" s="500"/>
      <c r="AC4232" s="500"/>
      <c r="AD4232" s="500"/>
      <c r="AE4232" s="500"/>
      <c r="AF4232" s="500"/>
      <c r="AG4232" s="500"/>
      <c r="AH4232" s="500"/>
      <c r="AI4232" s="500"/>
      <c r="AJ4232" s="500"/>
      <c r="AK4232" s="500"/>
      <c r="AL4232" s="500"/>
      <c r="AM4232" s="500"/>
      <c r="AN4232" s="500"/>
      <c r="AO4232" s="500"/>
      <c r="AP4232" s="500"/>
    </row>
    <row r="4233" spans="1:42" ht="16.5" customHeight="1">
      <c r="A4233" s="439"/>
      <c r="B4233" s="439"/>
      <c r="C4233" s="439"/>
      <c r="D4233" s="439"/>
      <c r="E4233" s="439"/>
      <c r="F4233" s="439"/>
      <c r="Z4233" s="500"/>
      <c r="AA4233" s="500"/>
      <c r="AB4233" s="500"/>
      <c r="AC4233" s="500"/>
      <c r="AD4233" s="500"/>
      <c r="AE4233" s="500"/>
      <c r="AF4233" s="500"/>
      <c r="AG4233" s="500"/>
      <c r="AH4233" s="500"/>
      <c r="AI4233" s="500"/>
      <c r="AJ4233" s="500"/>
      <c r="AK4233" s="500"/>
      <c r="AL4233" s="500"/>
      <c r="AM4233" s="500"/>
      <c r="AN4233" s="500"/>
      <c r="AO4233" s="500"/>
      <c r="AP4233" s="500"/>
    </row>
    <row r="4234" spans="1:42" ht="16.5" customHeight="1">
      <c r="A4234" s="439"/>
      <c r="B4234" s="439"/>
      <c r="C4234" s="439"/>
      <c r="D4234" s="439"/>
      <c r="E4234" s="439"/>
      <c r="F4234" s="439"/>
      <c r="Z4234" s="500"/>
      <c r="AA4234" s="500"/>
      <c r="AB4234" s="500"/>
      <c r="AC4234" s="500"/>
      <c r="AD4234" s="500"/>
      <c r="AE4234" s="500"/>
      <c r="AF4234" s="500"/>
      <c r="AG4234" s="500"/>
      <c r="AH4234" s="500"/>
      <c r="AI4234" s="500"/>
      <c r="AJ4234" s="500"/>
      <c r="AK4234" s="500"/>
      <c r="AL4234" s="500"/>
      <c r="AM4234" s="500"/>
      <c r="AN4234" s="500"/>
      <c r="AO4234" s="500"/>
      <c r="AP4234" s="500"/>
    </row>
    <row r="4235" spans="1:42" ht="16.5" customHeight="1">
      <c r="A4235" s="439"/>
      <c r="B4235" s="439"/>
      <c r="C4235" s="439"/>
      <c r="D4235" s="439"/>
      <c r="E4235" s="439"/>
      <c r="F4235" s="439"/>
      <c r="Z4235" s="500"/>
      <c r="AA4235" s="500"/>
      <c r="AB4235" s="500"/>
      <c r="AC4235" s="500"/>
      <c r="AD4235" s="500"/>
      <c r="AE4235" s="500"/>
      <c r="AF4235" s="500"/>
      <c r="AG4235" s="500"/>
      <c r="AH4235" s="500"/>
      <c r="AI4235" s="500"/>
      <c r="AJ4235" s="500"/>
      <c r="AK4235" s="500"/>
      <c r="AL4235" s="500"/>
      <c r="AM4235" s="500"/>
      <c r="AN4235" s="500"/>
      <c r="AO4235" s="500"/>
      <c r="AP4235" s="500"/>
    </row>
    <row r="4236" spans="1:42" ht="16.5" customHeight="1">
      <c r="A4236" s="439"/>
      <c r="B4236" s="439"/>
      <c r="C4236" s="439"/>
      <c r="D4236" s="439"/>
      <c r="E4236" s="439"/>
      <c r="F4236" s="439"/>
      <c r="Z4236" s="500"/>
      <c r="AA4236" s="500"/>
      <c r="AB4236" s="500"/>
      <c r="AC4236" s="500"/>
      <c r="AD4236" s="500"/>
      <c r="AE4236" s="500"/>
      <c r="AF4236" s="500"/>
      <c r="AG4236" s="500"/>
      <c r="AH4236" s="500"/>
      <c r="AI4236" s="500"/>
      <c r="AJ4236" s="500"/>
      <c r="AK4236" s="500"/>
      <c r="AL4236" s="500"/>
      <c r="AM4236" s="500"/>
      <c r="AN4236" s="500"/>
      <c r="AO4236" s="500"/>
      <c r="AP4236" s="500"/>
    </row>
    <row r="4237" spans="1:42" ht="16.5" customHeight="1">
      <c r="A4237" s="439"/>
      <c r="B4237" s="439"/>
      <c r="C4237" s="439"/>
      <c r="D4237" s="439"/>
      <c r="E4237" s="439"/>
      <c r="F4237" s="439"/>
      <c r="Z4237" s="500"/>
      <c r="AA4237" s="500"/>
      <c r="AB4237" s="500"/>
      <c r="AC4237" s="500"/>
      <c r="AD4237" s="500"/>
      <c r="AE4237" s="500"/>
      <c r="AF4237" s="500"/>
      <c r="AG4237" s="500"/>
      <c r="AH4237" s="500"/>
      <c r="AI4237" s="500"/>
      <c r="AJ4237" s="500"/>
      <c r="AK4237" s="500"/>
      <c r="AL4237" s="500"/>
      <c r="AM4237" s="500"/>
      <c r="AN4237" s="500"/>
      <c r="AO4237" s="500"/>
      <c r="AP4237" s="500"/>
    </row>
    <row r="4238" spans="1:42" ht="16.5" customHeight="1">
      <c r="A4238" s="439"/>
      <c r="B4238" s="439"/>
      <c r="C4238" s="439"/>
      <c r="D4238" s="439"/>
      <c r="E4238" s="439"/>
      <c r="F4238" s="439"/>
      <c r="Z4238" s="500"/>
      <c r="AA4238" s="500"/>
      <c r="AB4238" s="500"/>
      <c r="AC4238" s="500"/>
      <c r="AD4238" s="500"/>
      <c r="AE4238" s="500"/>
      <c r="AF4238" s="500"/>
      <c r="AG4238" s="500"/>
      <c r="AH4238" s="500"/>
      <c r="AI4238" s="500"/>
      <c r="AJ4238" s="500"/>
      <c r="AK4238" s="500"/>
      <c r="AL4238" s="500"/>
      <c r="AM4238" s="500"/>
      <c r="AN4238" s="500"/>
      <c r="AO4238" s="500"/>
      <c r="AP4238" s="500"/>
    </row>
    <row r="4239" spans="1:42" ht="16.5" customHeight="1">
      <c r="A4239" s="439"/>
      <c r="B4239" s="439"/>
      <c r="C4239" s="439"/>
      <c r="D4239" s="439"/>
      <c r="E4239" s="439"/>
      <c r="F4239" s="439"/>
      <c r="Z4239" s="500"/>
      <c r="AA4239" s="500"/>
      <c r="AB4239" s="500"/>
      <c r="AC4239" s="500"/>
      <c r="AD4239" s="500"/>
      <c r="AE4239" s="500"/>
      <c r="AF4239" s="500"/>
      <c r="AG4239" s="500"/>
      <c r="AH4239" s="500"/>
      <c r="AI4239" s="500"/>
      <c r="AJ4239" s="500"/>
      <c r="AK4239" s="500"/>
      <c r="AL4239" s="500"/>
      <c r="AM4239" s="500"/>
      <c r="AN4239" s="500"/>
      <c r="AO4239" s="500"/>
      <c r="AP4239" s="500"/>
    </row>
    <row r="4240" spans="1:42" ht="16.5" customHeight="1">
      <c r="A4240" s="439"/>
      <c r="B4240" s="439"/>
      <c r="C4240" s="439"/>
      <c r="D4240" s="439"/>
      <c r="E4240" s="439"/>
      <c r="F4240" s="439"/>
      <c r="Z4240" s="500"/>
      <c r="AA4240" s="500"/>
      <c r="AB4240" s="500"/>
      <c r="AC4240" s="500"/>
      <c r="AD4240" s="500"/>
      <c r="AE4240" s="500"/>
      <c r="AF4240" s="500"/>
      <c r="AG4240" s="500"/>
      <c r="AH4240" s="500"/>
      <c r="AI4240" s="500"/>
      <c r="AJ4240" s="500"/>
      <c r="AK4240" s="500"/>
      <c r="AL4240" s="500"/>
      <c r="AM4240" s="500"/>
      <c r="AN4240" s="500"/>
      <c r="AO4240" s="500"/>
      <c r="AP4240" s="500"/>
    </row>
    <row r="4241" spans="1:42" ht="16.5" customHeight="1">
      <c r="A4241" s="439"/>
      <c r="B4241" s="439"/>
      <c r="C4241" s="439"/>
      <c r="D4241" s="439"/>
      <c r="E4241" s="439"/>
      <c r="F4241" s="439"/>
      <c r="Z4241" s="500"/>
      <c r="AA4241" s="500"/>
      <c r="AB4241" s="500"/>
      <c r="AC4241" s="500"/>
      <c r="AD4241" s="500"/>
      <c r="AE4241" s="500"/>
      <c r="AF4241" s="500"/>
      <c r="AG4241" s="500"/>
      <c r="AH4241" s="500"/>
      <c r="AI4241" s="500"/>
      <c r="AJ4241" s="500"/>
      <c r="AK4241" s="500"/>
      <c r="AL4241" s="500"/>
      <c r="AM4241" s="500"/>
      <c r="AN4241" s="500"/>
      <c r="AO4241" s="500"/>
      <c r="AP4241" s="500"/>
    </row>
    <row r="4242" spans="1:42" ht="16.5" customHeight="1">
      <c r="A4242" s="439"/>
      <c r="B4242" s="439"/>
      <c r="C4242" s="439"/>
      <c r="D4242" s="439"/>
      <c r="E4242" s="439"/>
      <c r="F4242" s="439"/>
      <c r="Z4242" s="500"/>
      <c r="AA4242" s="500"/>
      <c r="AB4242" s="500"/>
      <c r="AC4242" s="500"/>
      <c r="AD4242" s="500"/>
      <c r="AE4242" s="500"/>
      <c r="AF4242" s="500"/>
      <c r="AG4242" s="500"/>
      <c r="AH4242" s="500"/>
      <c r="AI4242" s="500"/>
      <c r="AJ4242" s="500"/>
      <c r="AK4242" s="500"/>
      <c r="AL4242" s="500"/>
      <c r="AM4242" s="500"/>
      <c r="AN4242" s="500"/>
      <c r="AO4242" s="500"/>
      <c r="AP4242" s="500"/>
    </row>
    <row r="4243" spans="1:42" ht="16.5" customHeight="1">
      <c r="A4243" s="439"/>
      <c r="B4243" s="439"/>
      <c r="C4243" s="439"/>
      <c r="D4243" s="439"/>
      <c r="E4243" s="439"/>
      <c r="F4243" s="439"/>
      <c r="Z4243" s="500"/>
      <c r="AA4243" s="500"/>
      <c r="AB4243" s="500"/>
      <c r="AC4243" s="500"/>
      <c r="AD4243" s="500"/>
      <c r="AE4243" s="500"/>
      <c r="AF4243" s="500"/>
      <c r="AG4243" s="500"/>
      <c r="AH4243" s="500"/>
      <c r="AI4243" s="500"/>
      <c r="AJ4243" s="500"/>
      <c r="AK4243" s="500"/>
      <c r="AL4243" s="500"/>
      <c r="AM4243" s="500"/>
      <c r="AN4243" s="500"/>
      <c r="AO4243" s="500"/>
      <c r="AP4243" s="500"/>
    </row>
    <row r="4244" spans="1:42" ht="16.5" customHeight="1">
      <c r="A4244" s="439"/>
      <c r="B4244" s="439"/>
      <c r="C4244" s="439"/>
      <c r="D4244" s="439"/>
      <c r="E4244" s="439"/>
      <c r="F4244" s="439"/>
      <c r="Z4244" s="500"/>
      <c r="AA4244" s="500"/>
      <c r="AB4244" s="500"/>
      <c r="AC4244" s="500"/>
      <c r="AD4244" s="500"/>
      <c r="AE4244" s="500"/>
      <c r="AF4244" s="500"/>
      <c r="AG4244" s="500"/>
      <c r="AH4244" s="500"/>
      <c r="AI4244" s="500"/>
      <c r="AJ4244" s="500"/>
      <c r="AK4244" s="500"/>
      <c r="AL4244" s="500"/>
      <c r="AM4244" s="500"/>
      <c r="AN4244" s="500"/>
      <c r="AO4244" s="500"/>
      <c r="AP4244" s="500"/>
    </row>
    <row r="4245" spans="1:42" ht="16.5" customHeight="1">
      <c r="A4245" s="439"/>
      <c r="B4245" s="439"/>
      <c r="C4245" s="439"/>
      <c r="D4245" s="439"/>
      <c r="E4245" s="439"/>
      <c r="F4245" s="439"/>
      <c r="Z4245" s="500"/>
      <c r="AA4245" s="500"/>
      <c r="AB4245" s="500"/>
      <c r="AC4245" s="500"/>
      <c r="AD4245" s="500"/>
      <c r="AE4245" s="500"/>
      <c r="AF4245" s="500"/>
      <c r="AG4245" s="500"/>
      <c r="AH4245" s="500"/>
      <c r="AI4245" s="500"/>
      <c r="AJ4245" s="500"/>
      <c r="AK4245" s="500"/>
      <c r="AL4245" s="500"/>
      <c r="AM4245" s="500"/>
      <c r="AN4245" s="500"/>
      <c r="AO4245" s="500"/>
      <c r="AP4245" s="500"/>
    </row>
    <row r="4246" spans="1:42" ht="16.5" customHeight="1">
      <c r="A4246" s="439"/>
      <c r="B4246" s="439"/>
      <c r="C4246" s="439"/>
      <c r="D4246" s="439"/>
      <c r="E4246" s="439"/>
      <c r="F4246" s="439"/>
      <c r="Z4246" s="500"/>
      <c r="AA4246" s="500"/>
      <c r="AB4246" s="500"/>
      <c r="AC4246" s="500"/>
      <c r="AD4246" s="500"/>
      <c r="AE4246" s="500"/>
      <c r="AF4246" s="500"/>
      <c r="AG4246" s="500"/>
      <c r="AH4246" s="500"/>
      <c r="AI4246" s="500"/>
      <c r="AJ4246" s="500"/>
      <c r="AK4246" s="500"/>
      <c r="AL4246" s="500"/>
      <c r="AM4246" s="500"/>
      <c r="AN4246" s="500"/>
      <c r="AO4246" s="500"/>
      <c r="AP4246" s="500"/>
    </row>
    <row r="4247" spans="1:42" ht="16.5" customHeight="1">
      <c r="A4247" s="439"/>
      <c r="B4247" s="439"/>
      <c r="C4247" s="439"/>
      <c r="D4247" s="439"/>
      <c r="E4247" s="439"/>
      <c r="F4247" s="439"/>
      <c r="Z4247" s="500"/>
      <c r="AA4247" s="500"/>
      <c r="AB4247" s="500"/>
      <c r="AC4247" s="500"/>
      <c r="AD4247" s="500"/>
      <c r="AE4247" s="500"/>
      <c r="AF4247" s="500"/>
      <c r="AG4247" s="500"/>
      <c r="AH4247" s="500"/>
      <c r="AI4247" s="500"/>
      <c r="AJ4247" s="500"/>
      <c r="AK4247" s="500"/>
      <c r="AL4247" s="500"/>
      <c r="AM4247" s="500"/>
      <c r="AN4247" s="500"/>
      <c r="AO4247" s="500"/>
      <c r="AP4247" s="500"/>
    </row>
    <row r="4248" spans="1:42" ht="16.5" customHeight="1">
      <c r="A4248" s="439"/>
      <c r="B4248" s="439"/>
      <c r="C4248" s="439"/>
      <c r="D4248" s="439"/>
      <c r="E4248" s="439"/>
      <c r="F4248" s="439"/>
      <c r="Z4248" s="500"/>
      <c r="AA4248" s="500"/>
      <c r="AB4248" s="500"/>
      <c r="AC4248" s="500"/>
      <c r="AD4248" s="500"/>
      <c r="AE4248" s="500"/>
      <c r="AF4248" s="500"/>
      <c r="AG4248" s="500"/>
      <c r="AH4248" s="500"/>
      <c r="AI4248" s="500"/>
      <c r="AJ4248" s="500"/>
      <c r="AK4248" s="500"/>
      <c r="AL4248" s="500"/>
      <c r="AM4248" s="500"/>
      <c r="AN4248" s="500"/>
      <c r="AO4248" s="500"/>
      <c r="AP4248" s="500"/>
    </row>
    <row r="4249" spans="1:42" ht="16.5" customHeight="1">
      <c r="A4249" s="439"/>
      <c r="B4249" s="439"/>
      <c r="C4249" s="439"/>
      <c r="D4249" s="439"/>
      <c r="E4249" s="439"/>
      <c r="F4249" s="439"/>
      <c r="Z4249" s="500"/>
      <c r="AA4249" s="500"/>
      <c r="AB4249" s="500"/>
      <c r="AC4249" s="500"/>
      <c r="AD4249" s="500"/>
      <c r="AE4249" s="500"/>
      <c r="AF4249" s="500"/>
      <c r="AG4249" s="500"/>
      <c r="AH4249" s="500"/>
      <c r="AI4249" s="500"/>
      <c r="AJ4249" s="500"/>
      <c r="AK4249" s="500"/>
      <c r="AL4249" s="500"/>
      <c r="AM4249" s="500"/>
      <c r="AN4249" s="500"/>
      <c r="AO4249" s="500"/>
      <c r="AP4249" s="500"/>
    </row>
    <row r="4250" spans="1:42" ht="16.5" customHeight="1">
      <c r="A4250" s="439"/>
      <c r="B4250" s="439"/>
      <c r="C4250" s="439"/>
      <c r="D4250" s="439"/>
      <c r="E4250" s="439"/>
      <c r="F4250" s="439"/>
      <c r="Z4250" s="500"/>
      <c r="AA4250" s="500"/>
      <c r="AB4250" s="500"/>
      <c r="AC4250" s="500"/>
      <c r="AD4250" s="500"/>
      <c r="AE4250" s="500"/>
      <c r="AF4250" s="500"/>
      <c r="AG4250" s="500"/>
      <c r="AH4250" s="500"/>
      <c r="AI4250" s="500"/>
      <c r="AJ4250" s="500"/>
      <c r="AK4250" s="500"/>
      <c r="AL4250" s="500"/>
      <c r="AM4250" s="500"/>
      <c r="AN4250" s="500"/>
      <c r="AO4250" s="500"/>
      <c r="AP4250" s="500"/>
    </row>
    <row r="4251" spans="1:42" ht="16.5" customHeight="1">
      <c r="A4251" s="439"/>
      <c r="B4251" s="439"/>
      <c r="C4251" s="439"/>
      <c r="D4251" s="439"/>
      <c r="E4251" s="439"/>
      <c r="F4251" s="439"/>
      <c r="Z4251" s="500"/>
      <c r="AA4251" s="500"/>
      <c r="AB4251" s="500"/>
      <c r="AC4251" s="500"/>
      <c r="AD4251" s="500"/>
      <c r="AE4251" s="500"/>
      <c r="AF4251" s="500"/>
      <c r="AG4251" s="500"/>
      <c r="AH4251" s="500"/>
      <c r="AI4251" s="500"/>
      <c r="AJ4251" s="500"/>
      <c r="AK4251" s="500"/>
      <c r="AL4251" s="500"/>
      <c r="AM4251" s="500"/>
      <c r="AN4251" s="500"/>
      <c r="AO4251" s="500"/>
      <c r="AP4251" s="500"/>
    </row>
    <row r="4252" spans="1:42" ht="16.5" customHeight="1">
      <c r="A4252" s="439"/>
      <c r="B4252" s="439"/>
      <c r="C4252" s="439"/>
      <c r="D4252" s="439"/>
      <c r="E4252" s="439"/>
      <c r="F4252" s="439"/>
      <c r="Z4252" s="500"/>
      <c r="AA4252" s="500"/>
      <c r="AB4252" s="500"/>
      <c r="AC4252" s="500"/>
      <c r="AD4252" s="500"/>
      <c r="AE4252" s="500"/>
      <c r="AF4252" s="500"/>
      <c r="AG4252" s="500"/>
      <c r="AH4252" s="500"/>
      <c r="AI4252" s="500"/>
      <c r="AJ4252" s="500"/>
      <c r="AK4252" s="500"/>
      <c r="AL4252" s="500"/>
      <c r="AM4252" s="500"/>
      <c r="AN4252" s="500"/>
      <c r="AO4252" s="500"/>
      <c r="AP4252" s="500"/>
    </row>
    <row r="4253" spans="1:42" ht="16.5" customHeight="1">
      <c r="A4253" s="497"/>
      <c r="B4253" s="497"/>
      <c r="C4253" s="497"/>
      <c r="D4253" s="497"/>
      <c r="E4253" s="497"/>
      <c r="F4253" s="497"/>
      <c r="Z4253" s="500"/>
      <c r="AA4253" s="500"/>
      <c r="AB4253" s="500"/>
      <c r="AC4253" s="500"/>
      <c r="AD4253" s="500"/>
      <c r="AE4253" s="500"/>
      <c r="AF4253" s="500"/>
      <c r="AG4253" s="500"/>
      <c r="AH4253" s="500"/>
      <c r="AI4253" s="500"/>
      <c r="AJ4253" s="500"/>
      <c r="AK4253" s="500"/>
      <c r="AL4253" s="500"/>
      <c r="AM4253" s="500"/>
      <c r="AN4253" s="500"/>
      <c r="AO4253" s="500"/>
      <c r="AP4253" s="500"/>
    </row>
    <row r="4254" spans="1:42" ht="16.5" customHeight="1">
      <c r="A4254" s="616" t="s">
        <v>3487</v>
      </c>
      <c r="B4254" s="605"/>
      <c r="C4254" s="446">
        <f>E4254+D4254+F4254</f>
        <v>514</v>
      </c>
      <c r="D4254" s="453">
        <f>ROUNDDOWN(SUMIF(N4207:N4231,M4254,D4207:D4231),0)</f>
        <v>485</v>
      </c>
      <c r="E4254" s="454">
        <f>ROUNDDOWN(SUMIF(N4207:N4231,M4254,E4207:E4231),0)</f>
        <v>0</v>
      </c>
      <c r="F4254" s="446">
        <f>ROUNDDOWN(SUMIF(N4207:N4231,M4254,F4207:F4231),0)</f>
        <v>29</v>
      </c>
      <c r="M4254" s="501" t="s">
        <v>2354</v>
      </c>
      <c r="Z4254" s="500"/>
      <c r="AA4254" s="500"/>
      <c r="AB4254" s="500"/>
      <c r="AC4254" s="500"/>
      <c r="AD4254" s="500"/>
      <c r="AE4254" s="500"/>
      <c r="AF4254" s="500"/>
      <c r="AG4254" s="500"/>
      <c r="AH4254" s="500"/>
      <c r="AI4254" s="500"/>
      <c r="AJ4254" s="500"/>
      <c r="AK4254" s="500"/>
      <c r="AL4254" s="500"/>
      <c r="AM4254" s="500"/>
      <c r="AN4254" s="500"/>
      <c r="AO4254" s="500"/>
      <c r="AP4254" s="500"/>
    </row>
    <row r="4255" spans="1:42" ht="16.5" customHeight="1">
      <c r="A4255" s="502"/>
      <c r="B4255" s="503" t="s">
        <v>5446</v>
      </c>
      <c r="C4255" s="615">
        <f>C4304</f>
        <v>399</v>
      </c>
      <c r="D4255" s="615">
        <f>D4304</f>
        <v>377</v>
      </c>
      <c r="E4255" s="615">
        <f>E4304</f>
        <v>0</v>
      </c>
      <c r="F4255" s="615">
        <f>F4304</f>
        <v>22</v>
      </c>
      <c r="G4255" s="486" t="str">
        <f>HYPERLINK("#G"&amp;ROW(G4281),"_x0005_`BDCOD|D01338_x0007_`POSS|"&amp;ROW(G4257)&amp;"_x0007_`POSE|"&amp;ROW(G4281)&amp;"_x0007_`")</f>
        <v>_x0005_`BDCOD|D01338_x0007_`POSS|4257_x0007_`POSE|4281_x0007_`</v>
      </c>
      <c r="Z4255" s="500"/>
      <c r="AA4255" s="500"/>
      <c r="AB4255" s="500"/>
      <c r="AC4255" s="500"/>
      <c r="AD4255" s="500"/>
      <c r="AE4255" s="500"/>
      <c r="AF4255" s="500"/>
      <c r="AG4255" s="500"/>
      <c r="AH4255" s="500"/>
      <c r="AI4255" s="500"/>
      <c r="AJ4255" s="500"/>
      <c r="AK4255" s="500"/>
      <c r="AL4255" s="500"/>
      <c r="AM4255" s="500"/>
      <c r="AN4255" s="500"/>
      <c r="AO4255" s="500"/>
      <c r="AP4255" s="500"/>
    </row>
    <row r="4256" spans="1:42" ht="16.5" customHeight="1">
      <c r="A4256" s="485"/>
      <c r="B4256" s="503" t="s">
        <v>5622</v>
      </c>
      <c r="C4256" s="593"/>
      <c r="D4256" s="593"/>
      <c r="E4256" s="593"/>
      <c r="F4256" s="593"/>
      <c r="M4256" s="501" t="s">
        <v>5446</v>
      </c>
      <c r="Z4256" s="500"/>
      <c r="AA4256" s="500"/>
      <c r="AB4256" s="500"/>
      <c r="AC4256" s="500"/>
      <c r="AD4256" s="500"/>
      <c r="AE4256" s="500"/>
      <c r="AF4256" s="500"/>
      <c r="AG4256" s="500"/>
      <c r="AH4256" s="500"/>
      <c r="AI4256" s="500"/>
      <c r="AJ4256" s="500"/>
      <c r="AK4256" s="500"/>
      <c r="AL4256" s="500"/>
      <c r="AM4256" s="500"/>
      <c r="AN4256" s="500"/>
      <c r="AO4256" s="500"/>
      <c r="AP4256" s="500"/>
    </row>
    <row r="4257" spans="1:42" ht="16.5" customHeight="1">
      <c r="A4257" s="439"/>
      <c r="B4257" s="439"/>
      <c r="C4257" s="504"/>
      <c r="D4257" s="504"/>
      <c r="E4257" s="504"/>
      <c r="F4257" s="504"/>
      <c r="G4257" s="451" t="s">
        <v>3406</v>
      </c>
      <c r="Z4257" s="500"/>
      <c r="AA4257" s="500"/>
      <c r="AB4257" s="500"/>
      <c r="AC4257" s="500"/>
      <c r="AD4257" s="500"/>
      <c r="AE4257" s="500"/>
      <c r="AF4257" s="500"/>
      <c r="AG4257" s="500"/>
      <c r="AH4257" s="500"/>
      <c r="AI4257" s="500"/>
      <c r="AJ4257" s="500"/>
      <c r="AK4257" s="500"/>
      <c r="AL4257" s="500"/>
      <c r="AM4257" s="500"/>
      <c r="AN4257" s="500"/>
      <c r="AO4257" s="500"/>
      <c r="AP4257" s="500"/>
    </row>
    <row r="4258" spans="1:42" ht="16.5" customHeight="1">
      <c r="A4258" s="434"/>
      <c r="B4258" s="437" t="s">
        <v>5623</v>
      </c>
      <c r="C4258" s="439"/>
      <c r="D4258" s="439"/>
      <c r="E4258" s="439"/>
      <c r="F4258" s="439"/>
      <c r="G4258" s="451" t="s">
        <v>5624</v>
      </c>
      <c r="Z4258" s="500"/>
      <c r="AA4258" s="500"/>
      <c r="AB4258" s="500"/>
      <c r="AC4258" s="500"/>
      <c r="AD4258" s="500"/>
      <c r="AE4258" s="500"/>
      <c r="AF4258" s="500"/>
      <c r="AG4258" s="500"/>
      <c r="AH4258" s="500"/>
      <c r="AI4258" s="500"/>
      <c r="AJ4258" s="500"/>
      <c r="AK4258" s="500"/>
      <c r="AL4258" s="500"/>
      <c r="AM4258" s="500"/>
      <c r="AN4258" s="500"/>
      <c r="AO4258" s="500"/>
      <c r="AP4258" s="500"/>
    </row>
    <row r="4259" spans="1:42" ht="16.5" customHeight="1">
      <c r="A4259" s="439"/>
      <c r="B4259" s="439"/>
      <c r="C4259" s="439"/>
      <c r="D4259" s="439"/>
      <c r="E4259" s="439"/>
      <c r="F4259" s="439"/>
      <c r="G4259" s="451" t="s">
        <v>3406</v>
      </c>
      <c r="Z4259" s="500"/>
      <c r="AA4259" s="500"/>
      <c r="AB4259" s="500"/>
      <c r="AC4259" s="500"/>
      <c r="AD4259" s="500"/>
      <c r="AE4259" s="500"/>
      <c r="AF4259" s="500"/>
      <c r="AG4259" s="500"/>
      <c r="AH4259" s="500"/>
      <c r="AI4259" s="500"/>
      <c r="AJ4259" s="500"/>
      <c r="AK4259" s="500"/>
      <c r="AL4259" s="500"/>
      <c r="AM4259" s="500"/>
      <c r="AN4259" s="500"/>
      <c r="AO4259" s="500"/>
      <c r="AP4259" s="500"/>
    </row>
    <row r="4260" spans="1:42" ht="16.5" customHeight="1">
      <c r="A4260" s="434"/>
      <c r="B4260" s="437" t="s">
        <v>3888</v>
      </c>
      <c r="C4260" s="439"/>
      <c r="D4260" s="439"/>
      <c r="E4260" s="439"/>
      <c r="F4260" s="439"/>
      <c r="G4260" s="451" t="s">
        <v>3889</v>
      </c>
      <c r="Z4260" s="500"/>
      <c r="AA4260" s="500"/>
      <c r="AB4260" s="500"/>
      <c r="AC4260" s="500"/>
      <c r="AD4260" s="500"/>
      <c r="AE4260" s="500"/>
      <c r="AF4260" s="500"/>
      <c r="AG4260" s="500"/>
      <c r="AH4260" s="500"/>
      <c r="AI4260" s="500"/>
      <c r="AJ4260" s="500"/>
      <c r="AK4260" s="500"/>
      <c r="AL4260" s="500"/>
      <c r="AM4260" s="500"/>
      <c r="AN4260" s="500"/>
      <c r="AO4260" s="500"/>
      <c r="AP4260" s="500"/>
    </row>
    <row r="4261" spans="1:42" ht="16.5" customHeight="1">
      <c r="A4261" s="439"/>
      <c r="B4261" s="439"/>
      <c r="C4261" s="439"/>
      <c r="D4261" s="439"/>
      <c r="E4261" s="439"/>
      <c r="F4261" s="439"/>
      <c r="G4261" s="451" t="s">
        <v>3406</v>
      </c>
      <c r="Z4261" s="500"/>
      <c r="AA4261" s="500"/>
      <c r="AB4261" s="500"/>
      <c r="AC4261" s="500"/>
      <c r="AD4261" s="500"/>
      <c r="AE4261" s="500"/>
      <c r="AF4261" s="500"/>
      <c r="AG4261" s="500"/>
      <c r="AH4261" s="500"/>
      <c r="AI4261" s="500"/>
      <c r="AJ4261" s="500"/>
      <c r="AK4261" s="500"/>
      <c r="AL4261" s="500"/>
      <c r="AM4261" s="500"/>
      <c r="AN4261" s="500"/>
      <c r="AO4261" s="500"/>
      <c r="AP4261" s="500"/>
    </row>
    <row r="4262" spans="1:42" ht="16.5" customHeight="1">
      <c r="A4262" s="434"/>
      <c r="B4262" s="437" t="str">
        <f>" 일당 작업량 :  Q1 = "&amp;Z4262&amp;" * "&amp;AB4262&amp;" = "&amp;AD4262&amp;"  ㎡ "</f>
        <v xml:space="preserve"> 일당 작업량 :  Q1 = 2500 * 0.9 = 2,250.00  ㎡ </v>
      </c>
      <c r="C4262" s="439"/>
      <c r="D4262" s="439"/>
      <c r="E4262" s="439"/>
      <c r="F4262" s="439"/>
      <c r="G4262" s="451" t="s">
        <v>5625</v>
      </c>
      <c r="Z4262" s="515">
        <v>2500</v>
      </c>
      <c r="AA4262" s="501" t="s">
        <v>3368</v>
      </c>
      <c r="AB4262" s="511">
        <v>0.9</v>
      </c>
      <c r="AC4262" s="501" t="s">
        <v>3418</v>
      </c>
      <c r="AD4262" s="512" t="str">
        <f>TEXT(ROUND(Z4262*AB4262,2),"#,0.00")</f>
        <v>2,250.00</v>
      </c>
      <c r="AE4262" s="500"/>
      <c r="AF4262" s="500"/>
      <c r="AG4262" s="500"/>
      <c r="AH4262" s="500"/>
      <c r="AI4262" s="500"/>
      <c r="AJ4262" s="500"/>
      <c r="AK4262" s="500"/>
      <c r="AL4262" s="500"/>
      <c r="AM4262" s="500"/>
      <c r="AN4262" s="500"/>
      <c r="AO4262" s="500"/>
      <c r="AP4262" s="500"/>
    </row>
    <row r="4263" spans="1:42" ht="16.5" customHeight="1">
      <c r="A4263" s="439"/>
      <c r="B4263" s="439"/>
      <c r="C4263" s="439"/>
      <c r="D4263" s="439"/>
      <c r="E4263" s="439"/>
      <c r="F4263" s="439"/>
      <c r="G4263" s="451" t="s">
        <v>3406</v>
      </c>
      <c r="Z4263" s="500"/>
      <c r="AA4263" s="500"/>
      <c r="AB4263" s="500"/>
      <c r="AC4263" s="500"/>
      <c r="AD4263" s="500"/>
      <c r="AE4263" s="500"/>
      <c r="AF4263" s="500"/>
      <c r="AG4263" s="500"/>
      <c r="AH4263" s="500"/>
      <c r="AI4263" s="500"/>
      <c r="AJ4263" s="500"/>
      <c r="AK4263" s="500"/>
      <c r="AL4263" s="500"/>
      <c r="AM4263" s="500"/>
      <c r="AN4263" s="500"/>
      <c r="AO4263" s="500"/>
      <c r="AP4263" s="500"/>
    </row>
    <row r="4264" spans="1:42" ht="16.5" customHeight="1">
      <c r="A4264" s="434"/>
      <c r="B4264" s="437" t="s">
        <v>3891</v>
      </c>
      <c r="C4264" s="439"/>
      <c r="D4264" s="439"/>
      <c r="E4264" s="439"/>
      <c r="F4264" s="439"/>
      <c r="G4264" s="451" t="s">
        <v>3892</v>
      </c>
      <c r="Z4264" s="500"/>
      <c r="AA4264" s="500"/>
      <c r="AB4264" s="500"/>
      <c r="AC4264" s="500"/>
      <c r="AD4264" s="500"/>
      <c r="AE4264" s="500"/>
      <c r="AF4264" s="500"/>
      <c r="AG4264" s="500"/>
      <c r="AH4264" s="500"/>
      <c r="AI4264" s="500"/>
      <c r="AJ4264" s="500"/>
      <c r="AK4264" s="500"/>
      <c r="AL4264" s="500"/>
      <c r="AM4264" s="500"/>
      <c r="AN4264" s="500"/>
      <c r="AO4264" s="500"/>
      <c r="AP4264" s="500"/>
    </row>
    <row r="4265" spans="1:42" ht="16.5" customHeight="1">
      <c r="A4265" s="439"/>
      <c r="B4265" s="439"/>
      <c r="C4265" s="439"/>
      <c r="D4265" s="439"/>
      <c r="E4265" s="439"/>
      <c r="F4265" s="439"/>
      <c r="G4265" s="451" t="s">
        <v>3406</v>
      </c>
      <c r="Z4265" s="500"/>
      <c r="AA4265" s="500"/>
      <c r="AB4265" s="500"/>
      <c r="AC4265" s="500"/>
      <c r="AD4265" s="500"/>
      <c r="AE4265" s="500"/>
      <c r="AF4265" s="500"/>
      <c r="AG4265" s="500"/>
      <c r="AH4265" s="500"/>
      <c r="AI4265" s="500"/>
      <c r="AJ4265" s="500"/>
      <c r="AK4265" s="500"/>
      <c r="AL4265" s="500"/>
      <c r="AM4265" s="500"/>
      <c r="AN4265" s="500"/>
      <c r="AO4265" s="500"/>
      <c r="AP4265" s="500"/>
    </row>
    <row r="4266" spans="1:42" ht="16.5" customHeight="1">
      <c r="A4266" s="439"/>
      <c r="B4266" s="439"/>
      <c r="C4266" s="439"/>
      <c r="D4266" s="439"/>
      <c r="E4266" s="439"/>
      <c r="F4266" s="439"/>
      <c r="G4266" s="451" t="s">
        <v>3406</v>
      </c>
      <c r="Z4266" s="500"/>
      <c r="AA4266" s="500"/>
      <c r="AB4266" s="500"/>
      <c r="AC4266" s="500"/>
      <c r="AD4266" s="500"/>
      <c r="AE4266" s="500"/>
      <c r="AF4266" s="500"/>
      <c r="AG4266" s="500"/>
      <c r="AH4266" s="500"/>
      <c r="AI4266" s="500"/>
      <c r="AJ4266" s="500"/>
      <c r="AK4266" s="500"/>
      <c r="AL4266" s="500"/>
      <c r="AM4266" s="500"/>
      <c r="AN4266" s="500"/>
      <c r="AO4266" s="500"/>
      <c r="AP4266" s="500"/>
    </row>
    <row r="4267" spans="1:42" ht="16.5" customHeight="1">
      <c r="A4267" s="434"/>
      <c r="B4267" s="437" t="s">
        <v>3496</v>
      </c>
      <c r="C4267" s="439"/>
      <c r="D4267" s="439"/>
      <c r="E4267" s="439"/>
      <c r="F4267" s="439"/>
      <c r="G4267" s="451" t="s">
        <v>3497</v>
      </c>
      <c r="Z4267" s="500"/>
      <c r="AA4267" s="500"/>
      <c r="AB4267" s="500"/>
      <c r="AC4267" s="500"/>
      <c r="AD4267" s="500"/>
      <c r="AE4267" s="500"/>
      <c r="AF4267" s="500"/>
      <c r="AG4267" s="500"/>
      <c r="AH4267" s="500"/>
      <c r="AI4267" s="500"/>
      <c r="AJ4267" s="500"/>
      <c r="AK4267" s="500"/>
      <c r="AL4267" s="500"/>
      <c r="AM4267" s="500"/>
      <c r="AN4267" s="500"/>
      <c r="AO4267" s="500"/>
      <c r="AP4267" s="500"/>
    </row>
    <row r="4268" spans="1:42" ht="16.5" customHeight="1">
      <c r="A4268" s="439"/>
      <c r="B4268" s="439"/>
      <c r="C4268" s="439"/>
      <c r="D4268" s="439"/>
      <c r="E4268" s="439"/>
      <c r="F4268" s="439"/>
      <c r="G4268" s="451" t="s">
        <v>3406</v>
      </c>
      <c r="Z4268" s="500"/>
      <c r="AA4268" s="500"/>
      <c r="AB4268" s="500"/>
      <c r="AC4268" s="500"/>
      <c r="AD4268" s="500"/>
      <c r="AE4268" s="500"/>
      <c r="AF4268" s="500"/>
      <c r="AG4268" s="500"/>
      <c r="AH4268" s="500"/>
      <c r="AI4268" s="500"/>
      <c r="AJ4268" s="500"/>
      <c r="AK4268" s="500"/>
      <c r="AL4268" s="500"/>
      <c r="AM4268" s="500"/>
      <c r="AN4268" s="500"/>
      <c r="AO4268" s="500"/>
      <c r="AP4268" s="500"/>
    </row>
    <row r="4269" spans="1:42" ht="16.5" customHeight="1">
      <c r="A4269" s="434" t="s">
        <v>3821</v>
      </c>
      <c r="B4269" s="505" t="str">
        <f>" 특별인부 : "&amp;TEXT(I4269,"#,##0"&amp;IF(I4269&lt;&gt;INT(I4269),".###",""))&amp;" * "&amp;AA4269&amp;" 인  / Q1 = "&amp;TEXT(C4269,"#,##0.0")&amp;" "</f>
        <v xml:space="preserve"> 특별인부 : 226,122 * 3 인  / Q1 = 301.4 </v>
      </c>
      <c r="C4269" s="506">
        <f>E4269+D4269+F4269</f>
        <v>301.39999999999998</v>
      </c>
      <c r="D4269" s="506">
        <f>IF(H4269=0,0,ROUNDDOWN(J4269*H4269,1))</f>
        <v>301.39999999999998</v>
      </c>
      <c r="E4269" s="506">
        <f>IF(H4269=0,0,ROUNDDOWN(K4269*H4269,1))</f>
        <v>0</v>
      </c>
      <c r="F4269" s="506">
        <f>IF(H4269=0,0,ROUNDDOWN(L4269*H4269,1))</f>
        <v>0</v>
      </c>
      <c r="G4269" s="451" t="s">
        <v>3893</v>
      </c>
      <c r="H4269" s="507">
        <f>ROUNDUP(AE4269,14-LEN(ABS(INT(AE4269))))</f>
        <v>1.3333333334E-3</v>
      </c>
      <c r="I4269" s="508">
        <f>K4269+J4269+L4269</f>
        <v>226122</v>
      </c>
      <c r="J4269" s="509">
        <f>노무비목록표!E21</f>
        <v>226122</v>
      </c>
      <c r="M4269" s="501" t="s">
        <v>2519</v>
      </c>
      <c r="N4269" s="501" t="s">
        <v>3416</v>
      </c>
      <c r="O4269" s="501" t="s">
        <v>2355</v>
      </c>
      <c r="X4269" s="510" t="str">
        <f>노무비목록표!B21&amp;" / "&amp;노무비목록표!C21</f>
        <v xml:space="preserve">특별인부 / </v>
      </c>
      <c r="Y4269" s="433" t="str">
        <f ca="1">HYPERLINK("#"&amp;노무비목록표!G2&amp;"!A"&amp;ROW(노무비목록표!A21),"L00016 →")</f>
        <v>L00016 →</v>
      </c>
      <c r="Z4269" s="501" t="s">
        <v>3500</v>
      </c>
      <c r="AA4269" s="515">
        <v>3</v>
      </c>
      <c r="AB4269" s="501" t="s">
        <v>3428</v>
      </c>
      <c r="AC4269" s="512" t="str">
        <f>AD4262</f>
        <v>2,250.00</v>
      </c>
      <c r="AD4269" s="501" t="s">
        <v>3418</v>
      </c>
      <c r="AE4269" s="512">
        <f>1*AA4269/AD4262</f>
        <v>1.3333333333333333E-3</v>
      </c>
      <c r="AF4269" s="500"/>
      <c r="AG4269" s="500"/>
      <c r="AH4269" s="500"/>
      <c r="AI4269" s="500"/>
      <c r="AJ4269" s="500"/>
      <c r="AK4269" s="500"/>
      <c r="AL4269" s="500"/>
      <c r="AM4269" s="500"/>
      <c r="AN4269" s="500"/>
      <c r="AO4269" s="500"/>
      <c r="AP4269" s="500"/>
    </row>
    <row r="4270" spans="1:42" ht="16.5" customHeight="1">
      <c r="A4270" s="439"/>
      <c r="B4270" s="439"/>
      <c r="C4270" s="439"/>
      <c r="D4270" s="439"/>
      <c r="E4270" s="439"/>
      <c r="F4270" s="439"/>
      <c r="G4270" s="451" t="s">
        <v>3406</v>
      </c>
      <c r="Z4270" s="500"/>
      <c r="AA4270" s="500"/>
      <c r="AB4270" s="500"/>
      <c r="AC4270" s="500"/>
      <c r="AD4270" s="500"/>
      <c r="AE4270" s="500"/>
      <c r="AF4270" s="500"/>
      <c r="AG4270" s="500"/>
      <c r="AH4270" s="500"/>
      <c r="AI4270" s="500"/>
      <c r="AJ4270" s="500"/>
      <c r="AK4270" s="500"/>
      <c r="AL4270" s="500"/>
      <c r="AM4270" s="500"/>
      <c r="AN4270" s="500"/>
      <c r="AO4270" s="500"/>
      <c r="AP4270" s="500"/>
    </row>
    <row r="4271" spans="1:42" ht="16.5" customHeight="1">
      <c r="A4271" s="434" t="s">
        <v>3414</v>
      </c>
      <c r="B4271" s="505" t="str">
        <f>" 보통인부 : "&amp;TEXT(I4271,"#,##0"&amp;IF(I4271&lt;&gt;INT(I4271),".###",""))&amp;" * "&amp;AA4271&amp;" 인  / Q1 = "&amp;TEXT(C4271,"#,##0.0")&amp;" "</f>
        <v xml:space="preserve"> 보통인부 : 172,068 * 1 인  / Q1 = 76.4 </v>
      </c>
      <c r="C4271" s="506">
        <f>E4271+D4271+F4271</f>
        <v>76.400000000000006</v>
      </c>
      <c r="D4271" s="506">
        <f>IF(H4271=0,0,ROUNDDOWN(J4271*H4271,1))</f>
        <v>76.400000000000006</v>
      </c>
      <c r="E4271" s="506">
        <f>IF(H4271=0,0,ROUNDDOWN(K4271*H4271,1))</f>
        <v>0</v>
      </c>
      <c r="F4271" s="506">
        <f>IF(H4271=0,0,ROUNDDOWN(L4271*H4271,1))</f>
        <v>0</v>
      </c>
      <c r="G4271" s="451" t="s">
        <v>3894</v>
      </c>
      <c r="H4271" s="507">
        <f>ROUNDUP(AE4271,14-LEN(ABS(INT(AE4271))))</f>
        <v>4.4444444449999996E-4</v>
      </c>
      <c r="I4271" s="508">
        <f>K4271+J4271+L4271</f>
        <v>172068</v>
      </c>
      <c r="J4271" s="509">
        <f>노무비목록표!E10</f>
        <v>172068</v>
      </c>
      <c r="M4271" s="501" t="s">
        <v>2363</v>
      </c>
      <c r="N4271" s="501" t="s">
        <v>3416</v>
      </c>
      <c r="O4271" s="501" t="s">
        <v>2355</v>
      </c>
      <c r="X4271" s="510" t="str">
        <f>노무비목록표!B10&amp;" / "&amp;노무비목록표!C10</f>
        <v xml:space="preserve">보통인부 / </v>
      </c>
      <c r="Y4271" s="433" t="str">
        <f ca="1">HYPERLINK("#"&amp;노무비목록표!G2&amp;"!A"&amp;ROW(노무비목록표!A10),"L00017 →")</f>
        <v>L00017 →</v>
      </c>
      <c r="Z4271" s="501" t="s">
        <v>3500</v>
      </c>
      <c r="AA4271" s="515">
        <v>1</v>
      </c>
      <c r="AB4271" s="501" t="s">
        <v>3428</v>
      </c>
      <c r="AC4271" s="512" t="str">
        <f>AD4262</f>
        <v>2,250.00</v>
      </c>
      <c r="AD4271" s="501" t="s">
        <v>3418</v>
      </c>
      <c r="AE4271" s="512">
        <f>1*AA4271/AD4262</f>
        <v>4.4444444444444447E-4</v>
      </c>
      <c r="AF4271" s="500"/>
      <c r="AG4271" s="500"/>
      <c r="AH4271" s="500"/>
      <c r="AI4271" s="500"/>
      <c r="AJ4271" s="500"/>
      <c r="AK4271" s="500"/>
      <c r="AL4271" s="500"/>
      <c r="AM4271" s="500"/>
      <c r="AN4271" s="500"/>
      <c r="AO4271" s="500"/>
      <c r="AP4271" s="500"/>
    </row>
    <row r="4272" spans="1:42" ht="16.5" customHeight="1">
      <c r="A4272" s="439"/>
      <c r="B4272" s="439"/>
      <c r="C4272" s="439"/>
      <c r="D4272" s="439"/>
      <c r="E4272" s="439"/>
      <c r="F4272" s="439"/>
      <c r="G4272" s="451" t="s">
        <v>3406</v>
      </c>
      <c r="Z4272" s="500"/>
      <c r="AA4272" s="500"/>
      <c r="AB4272" s="500"/>
      <c r="AC4272" s="500"/>
      <c r="AD4272" s="500"/>
      <c r="AE4272" s="500"/>
      <c r="AF4272" s="500"/>
      <c r="AG4272" s="500"/>
      <c r="AH4272" s="500"/>
      <c r="AI4272" s="500"/>
      <c r="AJ4272" s="500"/>
      <c r="AK4272" s="500"/>
      <c r="AL4272" s="500"/>
      <c r="AM4272" s="500"/>
      <c r="AN4272" s="500"/>
      <c r="AO4272" s="500"/>
      <c r="AP4272" s="500"/>
    </row>
    <row r="4273" spans="1:42" ht="16.5" customHeight="1">
      <c r="A4273" s="434"/>
      <c r="B4273" s="437" t="s">
        <v>3419</v>
      </c>
      <c r="C4273" s="513">
        <f>E4273+D4273+F4273</f>
        <v>377.79999999999995</v>
      </c>
      <c r="D4273" s="513">
        <f>SUMIF(N4257:N4272,M4273,D4257:D4272)</f>
        <v>377.79999999999995</v>
      </c>
      <c r="E4273" s="513">
        <f>SUMIF(N4257:N4272,M4273,E4257:E4272)</f>
        <v>0</v>
      </c>
      <c r="F4273" s="513">
        <f>SUMIF(N4257:N4272,M4273,F4257:F4272)</f>
        <v>0</v>
      </c>
      <c r="G4273" s="451" t="s">
        <v>3420</v>
      </c>
      <c r="M4273" s="501" t="s">
        <v>3416</v>
      </c>
      <c r="N4273" s="501" t="s">
        <v>3421</v>
      </c>
      <c r="Z4273" s="500"/>
      <c r="AA4273" s="500"/>
      <c r="AB4273" s="500"/>
      <c r="AC4273" s="500"/>
      <c r="AD4273" s="500"/>
      <c r="AE4273" s="500"/>
      <c r="AF4273" s="500"/>
      <c r="AG4273" s="500"/>
      <c r="AH4273" s="500"/>
      <c r="AI4273" s="500"/>
      <c r="AJ4273" s="500"/>
      <c r="AK4273" s="500"/>
      <c r="AL4273" s="500"/>
      <c r="AM4273" s="500"/>
      <c r="AN4273" s="500"/>
      <c r="AO4273" s="500"/>
      <c r="AP4273" s="500"/>
    </row>
    <row r="4274" spans="1:42" ht="16.5" customHeight="1">
      <c r="A4274" s="439"/>
      <c r="B4274" s="439"/>
      <c r="C4274" s="504"/>
      <c r="D4274" s="504"/>
      <c r="E4274" s="504"/>
      <c r="F4274" s="504"/>
      <c r="G4274" s="451" t="s">
        <v>3406</v>
      </c>
      <c r="Z4274" s="500"/>
      <c r="AA4274" s="500"/>
      <c r="AB4274" s="500"/>
      <c r="AC4274" s="500"/>
      <c r="AD4274" s="500"/>
      <c r="AE4274" s="500"/>
      <c r="AF4274" s="500"/>
      <c r="AG4274" s="500"/>
      <c r="AH4274" s="500"/>
      <c r="AI4274" s="500"/>
      <c r="AJ4274" s="500"/>
      <c r="AK4274" s="500"/>
      <c r="AL4274" s="500"/>
      <c r="AM4274" s="500"/>
      <c r="AN4274" s="500"/>
      <c r="AO4274" s="500"/>
      <c r="AP4274" s="500"/>
    </row>
    <row r="4275" spans="1:42" ht="16.5" customHeight="1">
      <c r="A4275" s="439"/>
      <c r="B4275" s="439"/>
      <c r="C4275" s="439"/>
      <c r="D4275" s="439"/>
      <c r="E4275" s="439"/>
      <c r="F4275" s="439"/>
      <c r="G4275" s="451" t="s">
        <v>3406</v>
      </c>
      <c r="Z4275" s="500"/>
      <c r="AA4275" s="500"/>
      <c r="AB4275" s="500"/>
      <c r="AC4275" s="500"/>
      <c r="AD4275" s="500"/>
      <c r="AE4275" s="500"/>
      <c r="AF4275" s="500"/>
      <c r="AG4275" s="500"/>
      <c r="AH4275" s="500"/>
      <c r="AI4275" s="500"/>
      <c r="AJ4275" s="500"/>
      <c r="AK4275" s="500"/>
      <c r="AL4275" s="500"/>
      <c r="AM4275" s="500"/>
      <c r="AN4275" s="500"/>
      <c r="AO4275" s="500"/>
      <c r="AP4275" s="500"/>
    </row>
    <row r="4276" spans="1:42" ht="16.5" customHeight="1">
      <c r="A4276" s="434"/>
      <c r="B4276" s="505" t="str">
        <f>" 2. 공구손료 및 기계경비(인력품의 6%) : "&amp;TEXT(I4276,"#,##0.0")&amp;" * "&amp;AA4276&amp;" %  = "&amp;TEXT(C4276,"#,##0.0")&amp;""</f>
        <v xml:space="preserve"> 2. 공구손료 및 기계경비(인력품의 6%) : 377.8 * 6 %  = 22.6</v>
      </c>
      <c r="C4276" s="506">
        <f>E4276+D4276+F4276</f>
        <v>22.6</v>
      </c>
      <c r="D4276" s="506">
        <f>IF(H4276=0,0,ROUNDDOWN(J4276*H4276/100,1))</f>
        <v>0</v>
      </c>
      <c r="E4276" s="506">
        <f>IF(H4276=0,0,ROUNDDOWN(K4276*H4276/100,1))</f>
        <v>0</v>
      </c>
      <c r="F4276" s="506">
        <f>IF(H4276=0,0,ROUNDDOWN(L4276*H4276/100,1))</f>
        <v>22.6</v>
      </c>
      <c r="G4276" s="451" t="s">
        <v>3895</v>
      </c>
      <c r="H4276" s="507">
        <f>ROUNDUP(AC4276,14-LEN(ABS(INT(AC4276))))</f>
        <v>6</v>
      </c>
      <c r="I4276" s="508">
        <f>K4276+J4276+L4276</f>
        <v>377.79999999999995</v>
      </c>
      <c r="J4276" s="456">
        <v>0</v>
      </c>
      <c r="K4276" s="456">
        <v>0</v>
      </c>
      <c r="L4276" s="509">
        <f>D4269+D4271</f>
        <v>377.79999999999995</v>
      </c>
      <c r="M4276" s="501" t="s">
        <v>3743</v>
      </c>
      <c r="N4276" s="501" t="s">
        <v>3416</v>
      </c>
      <c r="Z4276" s="501" t="s">
        <v>3500</v>
      </c>
      <c r="AA4276" s="515">
        <v>6</v>
      </c>
      <c r="AB4276" s="501" t="s">
        <v>3418</v>
      </c>
      <c r="AC4276" s="512">
        <f>1*AA4276</f>
        <v>6</v>
      </c>
      <c r="AD4276" s="500"/>
      <c r="AE4276" s="500"/>
      <c r="AF4276" s="500"/>
      <c r="AG4276" s="500"/>
      <c r="AH4276" s="500"/>
      <c r="AI4276" s="500"/>
      <c r="AJ4276" s="500"/>
      <c r="AK4276" s="500"/>
      <c r="AL4276" s="500"/>
      <c r="AM4276" s="500"/>
      <c r="AN4276" s="500"/>
      <c r="AO4276" s="500"/>
      <c r="AP4276" s="500"/>
    </row>
    <row r="4277" spans="1:42" ht="16.5" customHeight="1">
      <c r="A4277" s="439"/>
      <c r="B4277" s="439"/>
      <c r="C4277" s="439"/>
      <c r="D4277" s="439"/>
      <c r="E4277" s="439"/>
      <c r="F4277" s="439"/>
      <c r="G4277" s="451" t="s">
        <v>3406</v>
      </c>
      <c r="Z4277" s="500"/>
      <c r="AA4277" s="500"/>
      <c r="AB4277" s="500"/>
      <c r="AC4277" s="500"/>
      <c r="AD4277" s="500"/>
      <c r="AE4277" s="500"/>
      <c r="AF4277" s="500"/>
      <c r="AG4277" s="500"/>
      <c r="AH4277" s="500"/>
      <c r="AI4277" s="500"/>
      <c r="AJ4277" s="500"/>
      <c r="AK4277" s="500"/>
      <c r="AL4277" s="500"/>
      <c r="AM4277" s="500"/>
      <c r="AN4277" s="500"/>
      <c r="AO4277" s="500"/>
      <c r="AP4277" s="500"/>
    </row>
    <row r="4278" spans="1:42" ht="16.5" customHeight="1">
      <c r="A4278" s="434"/>
      <c r="B4278" s="437" t="s">
        <v>3419</v>
      </c>
      <c r="C4278" s="513">
        <f>E4278+D4278+F4278</f>
        <v>22.6</v>
      </c>
      <c r="D4278" s="513">
        <f>SUMIF(N4274:N4277,M4278,D4274:D4277)</f>
        <v>0</v>
      </c>
      <c r="E4278" s="513">
        <f>SUMIF(N4274:N4277,M4278,E4274:E4277)</f>
        <v>0</v>
      </c>
      <c r="F4278" s="513">
        <f>SUMIF(N4274:N4277,M4278,F4274:F4277)</f>
        <v>22.6</v>
      </c>
      <c r="G4278" s="451" t="s">
        <v>3420</v>
      </c>
      <c r="M4278" s="501" t="s">
        <v>3416</v>
      </c>
      <c r="N4278" s="501" t="s">
        <v>3421</v>
      </c>
      <c r="Z4278" s="500"/>
      <c r="AA4278" s="500"/>
      <c r="AB4278" s="500"/>
      <c r="AC4278" s="500"/>
      <c r="AD4278" s="500"/>
      <c r="AE4278" s="500"/>
      <c r="AF4278" s="500"/>
      <c r="AG4278" s="500"/>
      <c r="AH4278" s="500"/>
      <c r="AI4278" s="500"/>
      <c r="AJ4278" s="500"/>
      <c r="AK4278" s="500"/>
      <c r="AL4278" s="500"/>
      <c r="AM4278" s="500"/>
      <c r="AN4278" s="500"/>
      <c r="AO4278" s="500"/>
      <c r="AP4278" s="500"/>
    </row>
    <row r="4279" spans="1:42" ht="16.5" customHeight="1">
      <c r="A4279" s="439"/>
      <c r="B4279" s="439"/>
      <c r="C4279" s="504"/>
      <c r="D4279" s="504"/>
      <c r="E4279" s="504"/>
      <c r="F4279" s="504"/>
      <c r="G4279" s="451" t="s">
        <v>3406</v>
      </c>
      <c r="Z4279" s="500"/>
      <c r="AA4279" s="500"/>
      <c r="AB4279" s="500"/>
      <c r="AC4279" s="500"/>
      <c r="AD4279" s="500"/>
      <c r="AE4279" s="500"/>
      <c r="AF4279" s="500"/>
      <c r="AG4279" s="500"/>
      <c r="AH4279" s="500"/>
      <c r="AI4279" s="500"/>
      <c r="AJ4279" s="500"/>
      <c r="AK4279" s="500"/>
      <c r="AL4279" s="500"/>
      <c r="AM4279" s="500"/>
      <c r="AN4279" s="500"/>
      <c r="AO4279" s="500"/>
      <c r="AP4279" s="500"/>
    </row>
    <row r="4280" spans="1:42" ht="16.5" customHeight="1">
      <c r="A4280" s="439"/>
      <c r="B4280" s="439"/>
      <c r="C4280" s="439"/>
      <c r="D4280" s="439"/>
      <c r="E4280" s="439"/>
      <c r="F4280" s="439"/>
      <c r="G4280" s="451" t="s">
        <v>3406</v>
      </c>
      <c r="Z4280" s="500"/>
      <c r="AA4280" s="500"/>
      <c r="AB4280" s="500"/>
      <c r="AC4280" s="500"/>
      <c r="AD4280" s="500"/>
      <c r="AE4280" s="500"/>
      <c r="AF4280" s="500"/>
      <c r="AG4280" s="500"/>
      <c r="AH4280" s="500"/>
      <c r="AI4280" s="500"/>
      <c r="AJ4280" s="500"/>
      <c r="AK4280" s="500"/>
      <c r="AL4280" s="500"/>
      <c r="AM4280" s="500"/>
      <c r="AN4280" s="500"/>
      <c r="AO4280" s="500"/>
      <c r="AP4280" s="500"/>
    </row>
    <row r="4281" spans="1:42" ht="16.5" customHeight="1">
      <c r="A4281" s="434"/>
      <c r="B4281" s="437" t="s">
        <v>3440</v>
      </c>
      <c r="C4281" s="513">
        <f>E4281+D4281+F4281</f>
        <v>400.4</v>
      </c>
      <c r="D4281" s="513">
        <f>SUMIF(N4257:N4280,M4281,D4257:D4280)</f>
        <v>377.79999999999995</v>
      </c>
      <c r="E4281" s="513">
        <f>SUMIF(N4257:N4280,M4281,E4257:E4280)</f>
        <v>0</v>
      </c>
      <c r="F4281" s="513">
        <f>SUMIF(N4257:N4280,M4281,F4257:F4280)</f>
        <v>22.6</v>
      </c>
      <c r="G4281" s="451" t="s">
        <v>3484</v>
      </c>
      <c r="M4281" s="501" t="s">
        <v>3421</v>
      </c>
      <c r="N4281" s="501" t="s">
        <v>2354</v>
      </c>
      <c r="Z4281" s="500"/>
      <c r="AA4281" s="500"/>
      <c r="AB4281" s="500"/>
      <c r="AC4281" s="500"/>
      <c r="AD4281" s="500"/>
      <c r="AE4281" s="500"/>
      <c r="AF4281" s="500"/>
      <c r="AG4281" s="500"/>
      <c r="AH4281" s="500"/>
      <c r="AI4281" s="500"/>
      <c r="AJ4281" s="500"/>
      <c r="AK4281" s="500"/>
      <c r="AL4281" s="500"/>
      <c r="AM4281" s="500"/>
      <c r="AN4281" s="500"/>
      <c r="AO4281" s="500"/>
      <c r="AP4281" s="500"/>
    </row>
    <row r="4282" spans="1:42" ht="16.5" customHeight="1">
      <c r="A4282" s="439"/>
      <c r="B4282" s="439"/>
      <c r="C4282" s="504"/>
      <c r="D4282" s="504"/>
      <c r="E4282" s="504"/>
      <c r="F4282" s="504"/>
      <c r="Z4282" s="500"/>
      <c r="AA4282" s="500"/>
      <c r="AB4282" s="500"/>
      <c r="AC4282" s="500"/>
      <c r="AD4282" s="500"/>
      <c r="AE4282" s="500"/>
      <c r="AF4282" s="500"/>
      <c r="AG4282" s="500"/>
      <c r="AH4282" s="500"/>
      <c r="AI4282" s="500"/>
      <c r="AJ4282" s="500"/>
      <c r="AK4282" s="500"/>
      <c r="AL4282" s="500"/>
      <c r="AM4282" s="500"/>
      <c r="AN4282" s="500"/>
      <c r="AO4282" s="500"/>
      <c r="AP4282" s="500"/>
    </row>
    <row r="4283" spans="1:42" ht="16.5" customHeight="1">
      <c r="A4283" s="439"/>
      <c r="B4283" s="439"/>
      <c r="C4283" s="439"/>
      <c r="D4283" s="439"/>
      <c r="E4283" s="439"/>
      <c r="F4283" s="439"/>
      <c r="Z4283" s="500"/>
      <c r="AA4283" s="500"/>
      <c r="AB4283" s="500"/>
      <c r="AC4283" s="500"/>
      <c r="AD4283" s="500"/>
      <c r="AE4283" s="500"/>
      <c r="AF4283" s="500"/>
      <c r="AG4283" s="500"/>
      <c r="AH4283" s="500"/>
      <c r="AI4283" s="500"/>
      <c r="AJ4283" s="500"/>
      <c r="AK4283" s="500"/>
      <c r="AL4283" s="500"/>
      <c r="AM4283" s="500"/>
      <c r="AN4283" s="500"/>
      <c r="AO4283" s="500"/>
      <c r="AP4283" s="500"/>
    </row>
    <row r="4284" spans="1:42" ht="16.5" customHeight="1">
      <c r="A4284" s="439"/>
      <c r="B4284" s="439"/>
      <c r="C4284" s="439"/>
      <c r="D4284" s="439"/>
      <c r="E4284" s="439"/>
      <c r="F4284" s="439"/>
      <c r="Z4284" s="500"/>
      <c r="AA4284" s="500"/>
      <c r="AB4284" s="500"/>
      <c r="AC4284" s="500"/>
      <c r="AD4284" s="500"/>
      <c r="AE4284" s="500"/>
      <c r="AF4284" s="500"/>
      <c r="AG4284" s="500"/>
      <c r="AH4284" s="500"/>
      <c r="AI4284" s="500"/>
      <c r="AJ4284" s="500"/>
      <c r="AK4284" s="500"/>
      <c r="AL4284" s="500"/>
      <c r="AM4284" s="500"/>
      <c r="AN4284" s="500"/>
      <c r="AO4284" s="500"/>
      <c r="AP4284" s="500"/>
    </row>
    <row r="4285" spans="1:42" ht="16.5" customHeight="1">
      <c r="A4285" s="439"/>
      <c r="B4285" s="439"/>
      <c r="C4285" s="439"/>
      <c r="D4285" s="439"/>
      <c r="E4285" s="439"/>
      <c r="F4285" s="439"/>
      <c r="Z4285" s="500"/>
      <c r="AA4285" s="500"/>
      <c r="AB4285" s="500"/>
      <c r="AC4285" s="500"/>
      <c r="AD4285" s="500"/>
      <c r="AE4285" s="500"/>
      <c r="AF4285" s="500"/>
      <c r="AG4285" s="500"/>
      <c r="AH4285" s="500"/>
      <c r="AI4285" s="500"/>
      <c r="AJ4285" s="500"/>
      <c r="AK4285" s="500"/>
      <c r="AL4285" s="500"/>
      <c r="AM4285" s="500"/>
      <c r="AN4285" s="500"/>
      <c r="AO4285" s="500"/>
      <c r="AP4285" s="500"/>
    </row>
    <row r="4286" spans="1:42" ht="16.5" customHeight="1">
      <c r="A4286" s="439"/>
      <c r="B4286" s="439"/>
      <c r="C4286" s="439"/>
      <c r="D4286" s="439"/>
      <c r="E4286" s="439"/>
      <c r="F4286" s="439"/>
      <c r="Z4286" s="500"/>
      <c r="AA4286" s="500"/>
      <c r="AB4286" s="500"/>
      <c r="AC4286" s="500"/>
      <c r="AD4286" s="500"/>
      <c r="AE4286" s="500"/>
      <c r="AF4286" s="500"/>
      <c r="AG4286" s="500"/>
      <c r="AH4286" s="500"/>
      <c r="AI4286" s="500"/>
      <c r="AJ4286" s="500"/>
      <c r="AK4286" s="500"/>
      <c r="AL4286" s="500"/>
      <c r="AM4286" s="500"/>
      <c r="AN4286" s="500"/>
      <c r="AO4286" s="500"/>
      <c r="AP4286" s="500"/>
    </row>
    <row r="4287" spans="1:42" ht="16.5" customHeight="1">
      <c r="A4287" s="439"/>
      <c r="B4287" s="439"/>
      <c r="C4287" s="439"/>
      <c r="D4287" s="439"/>
      <c r="E4287" s="439"/>
      <c r="F4287" s="439"/>
      <c r="Z4287" s="500"/>
      <c r="AA4287" s="500"/>
      <c r="AB4287" s="500"/>
      <c r="AC4287" s="500"/>
      <c r="AD4287" s="500"/>
      <c r="AE4287" s="500"/>
      <c r="AF4287" s="500"/>
      <c r="AG4287" s="500"/>
      <c r="AH4287" s="500"/>
      <c r="AI4287" s="500"/>
      <c r="AJ4287" s="500"/>
      <c r="AK4287" s="500"/>
      <c r="AL4287" s="500"/>
      <c r="AM4287" s="500"/>
      <c r="AN4287" s="500"/>
      <c r="AO4287" s="500"/>
      <c r="AP4287" s="500"/>
    </row>
    <row r="4288" spans="1:42" ht="16.5" customHeight="1">
      <c r="A4288" s="439"/>
      <c r="B4288" s="439"/>
      <c r="C4288" s="439"/>
      <c r="D4288" s="439"/>
      <c r="E4288" s="439"/>
      <c r="F4288" s="439"/>
      <c r="Z4288" s="500"/>
      <c r="AA4288" s="500"/>
      <c r="AB4288" s="500"/>
      <c r="AC4288" s="500"/>
      <c r="AD4288" s="500"/>
      <c r="AE4288" s="500"/>
      <c r="AF4288" s="500"/>
      <c r="AG4288" s="500"/>
      <c r="AH4288" s="500"/>
      <c r="AI4288" s="500"/>
      <c r="AJ4288" s="500"/>
      <c r="AK4288" s="500"/>
      <c r="AL4288" s="500"/>
      <c r="AM4288" s="500"/>
      <c r="AN4288" s="500"/>
      <c r="AO4288" s="500"/>
      <c r="AP4288" s="500"/>
    </row>
    <row r="4289" spans="1:42" ht="16.5" customHeight="1">
      <c r="A4289" s="439"/>
      <c r="B4289" s="439"/>
      <c r="C4289" s="439"/>
      <c r="D4289" s="439"/>
      <c r="E4289" s="439"/>
      <c r="F4289" s="439"/>
      <c r="Z4289" s="500"/>
      <c r="AA4289" s="500"/>
      <c r="AB4289" s="500"/>
      <c r="AC4289" s="500"/>
      <c r="AD4289" s="500"/>
      <c r="AE4289" s="500"/>
      <c r="AF4289" s="500"/>
      <c r="AG4289" s="500"/>
      <c r="AH4289" s="500"/>
      <c r="AI4289" s="500"/>
      <c r="AJ4289" s="500"/>
      <c r="AK4289" s="500"/>
      <c r="AL4289" s="500"/>
      <c r="AM4289" s="500"/>
      <c r="AN4289" s="500"/>
      <c r="AO4289" s="500"/>
      <c r="AP4289" s="500"/>
    </row>
    <row r="4290" spans="1:42" ht="16.5" customHeight="1">
      <c r="A4290" s="439"/>
      <c r="B4290" s="439"/>
      <c r="C4290" s="439"/>
      <c r="D4290" s="439"/>
      <c r="E4290" s="439"/>
      <c r="F4290" s="439"/>
      <c r="Z4290" s="500"/>
      <c r="AA4290" s="500"/>
      <c r="AB4290" s="500"/>
      <c r="AC4290" s="500"/>
      <c r="AD4290" s="500"/>
      <c r="AE4290" s="500"/>
      <c r="AF4290" s="500"/>
      <c r="AG4290" s="500"/>
      <c r="AH4290" s="500"/>
      <c r="AI4290" s="500"/>
      <c r="AJ4290" s="500"/>
      <c r="AK4290" s="500"/>
      <c r="AL4290" s="500"/>
      <c r="AM4290" s="500"/>
      <c r="AN4290" s="500"/>
      <c r="AO4290" s="500"/>
      <c r="AP4290" s="500"/>
    </row>
    <row r="4291" spans="1:42" ht="16.5" customHeight="1">
      <c r="A4291" s="439"/>
      <c r="B4291" s="439"/>
      <c r="C4291" s="439"/>
      <c r="D4291" s="439"/>
      <c r="E4291" s="439"/>
      <c r="F4291" s="439"/>
      <c r="Z4291" s="500"/>
      <c r="AA4291" s="500"/>
      <c r="AB4291" s="500"/>
      <c r="AC4291" s="500"/>
      <c r="AD4291" s="500"/>
      <c r="AE4291" s="500"/>
      <c r="AF4291" s="500"/>
      <c r="AG4291" s="500"/>
      <c r="AH4291" s="500"/>
      <c r="AI4291" s="500"/>
      <c r="AJ4291" s="500"/>
      <c r="AK4291" s="500"/>
      <c r="AL4291" s="500"/>
      <c r="AM4291" s="500"/>
      <c r="AN4291" s="500"/>
      <c r="AO4291" s="500"/>
      <c r="AP4291" s="500"/>
    </row>
    <row r="4292" spans="1:42" ht="16.5" customHeight="1">
      <c r="A4292" s="439"/>
      <c r="B4292" s="439"/>
      <c r="C4292" s="439"/>
      <c r="D4292" s="439"/>
      <c r="E4292" s="439"/>
      <c r="F4292" s="439"/>
      <c r="Z4292" s="500"/>
      <c r="AA4292" s="500"/>
      <c r="AB4292" s="500"/>
      <c r="AC4292" s="500"/>
      <c r="AD4292" s="500"/>
      <c r="AE4292" s="500"/>
      <c r="AF4292" s="500"/>
      <c r="AG4292" s="500"/>
      <c r="AH4292" s="500"/>
      <c r="AI4292" s="500"/>
      <c r="AJ4292" s="500"/>
      <c r="AK4292" s="500"/>
      <c r="AL4292" s="500"/>
      <c r="AM4292" s="500"/>
      <c r="AN4292" s="500"/>
      <c r="AO4292" s="500"/>
      <c r="AP4292" s="500"/>
    </row>
    <row r="4293" spans="1:42" ht="16.5" customHeight="1">
      <c r="A4293" s="439"/>
      <c r="B4293" s="439"/>
      <c r="C4293" s="439"/>
      <c r="D4293" s="439"/>
      <c r="E4293" s="439"/>
      <c r="F4293" s="439"/>
      <c r="Z4293" s="500"/>
      <c r="AA4293" s="500"/>
      <c r="AB4293" s="500"/>
      <c r="AC4293" s="500"/>
      <c r="AD4293" s="500"/>
      <c r="AE4293" s="500"/>
      <c r="AF4293" s="500"/>
      <c r="AG4293" s="500"/>
      <c r="AH4293" s="500"/>
      <c r="AI4293" s="500"/>
      <c r="AJ4293" s="500"/>
      <c r="AK4293" s="500"/>
      <c r="AL4293" s="500"/>
      <c r="AM4293" s="500"/>
      <c r="AN4293" s="500"/>
      <c r="AO4293" s="500"/>
      <c r="AP4293" s="500"/>
    </row>
    <row r="4294" spans="1:42" ht="16.5" customHeight="1">
      <c r="A4294" s="439"/>
      <c r="B4294" s="439"/>
      <c r="C4294" s="439"/>
      <c r="D4294" s="439"/>
      <c r="E4294" s="439"/>
      <c r="F4294" s="439"/>
      <c r="Z4294" s="500"/>
      <c r="AA4294" s="500"/>
      <c r="AB4294" s="500"/>
      <c r="AC4294" s="500"/>
      <c r="AD4294" s="500"/>
      <c r="AE4294" s="500"/>
      <c r="AF4294" s="500"/>
      <c r="AG4294" s="500"/>
      <c r="AH4294" s="500"/>
      <c r="AI4294" s="500"/>
      <c r="AJ4294" s="500"/>
      <c r="AK4294" s="500"/>
      <c r="AL4294" s="500"/>
      <c r="AM4294" s="500"/>
      <c r="AN4294" s="500"/>
      <c r="AO4294" s="500"/>
      <c r="AP4294" s="500"/>
    </row>
    <row r="4295" spans="1:42" ht="16.5" customHeight="1">
      <c r="A4295" s="439"/>
      <c r="B4295" s="439"/>
      <c r="C4295" s="439"/>
      <c r="D4295" s="439"/>
      <c r="E4295" s="439"/>
      <c r="F4295" s="439"/>
      <c r="Z4295" s="500"/>
      <c r="AA4295" s="500"/>
      <c r="AB4295" s="500"/>
      <c r="AC4295" s="500"/>
      <c r="AD4295" s="500"/>
      <c r="AE4295" s="500"/>
      <c r="AF4295" s="500"/>
      <c r="AG4295" s="500"/>
      <c r="AH4295" s="500"/>
      <c r="AI4295" s="500"/>
      <c r="AJ4295" s="500"/>
      <c r="AK4295" s="500"/>
      <c r="AL4295" s="500"/>
      <c r="AM4295" s="500"/>
      <c r="AN4295" s="500"/>
      <c r="AO4295" s="500"/>
      <c r="AP4295" s="500"/>
    </row>
    <row r="4296" spans="1:42" ht="16.5" customHeight="1">
      <c r="A4296" s="439"/>
      <c r="B4296" s="439"/>
      <c r="C4296" s="439"/>
      <c r="D4296" s="439"/>
      <c r="E4296" s="439"/>
      <c r="F4296" s="439"/>
      <c r="Z4296" s="500"/>
      <c r="AA4296" s="500"/>
      <c r="AB4296" s="500"/>
      <c r="AC4296" s="500"/>
      <c r="AD4296" s="500"/>
      <c r="AE4296" s="500"/>
      <c r="AF4296" s="500"/>
      <c r="AG4296" s="500"/>
      <c r="AH4296" s="500"/>
      <c r="AI4296" s="500"/>
      <c r="AJ4296" s="500"/>
      <c r="AK4296" s="500"/>
      <c r="AL4296" s="500"/>
      <c r="AM4296" s="500"/>
      <c r="AN4296" s="500"/>
      <c r="AO4296" s="500"/>
      <c r="AP4296" s="500"/>
    </row>
    <row r="4297" spans="1:42" ht="16.5" customHeight="1">
      <c r="A4297" s="439"/>
      <c r="B4297" s="439"/>
      <c r="C4297" s="439"/>
      <c r="D4297" s="439"/>
      <c r="E4297" s="439"/>
      <c r="F4297" s="439"/>
      <c r="Z4297" s="500"/>
      <c r="AA4297" s="500"/>
      <c r="AB4297" s="500"/>
      <c r="AC4297" s="500"/>
      <c r="AD4297" s="500"/>
      <c r="AE4297" s="500"/>
      <c r="AF4297" s="500"/>
      <c r="AG4297" s="500"/>
      <c r="AH4297" s="500"/>
      <c r="AI4297" s="500"/>
      <c r="AJ4297" s="500"/>
      <c r="AK4297" s="500"/>
      <c r="AL4297" s="500"/>
      <c r="AM4297" s="500"/>
      <c r="AN4297" s="500"/>
      <c r="AO4297" s="500"/>
      <c r="AP4297" s="500"/>
    </row>
    <row r="4298" spans="1:42" ht="16.5" customHeight="1">
      <c r="A4298" s="439"/>
      <c r="B4298" s="439"/>
      <c r="C4298" s="439"/>
      <c r="D4298" s="439"/>
      <c r="E4298" s="439"/>
      <c r="F4298" s="439"/>
      <c r="Z4298" s="500"/>
      <c r="AA4298" s="500"/>
      <c r="AB4298" s="500"/>
      <c r="AC4298" s="500"/>
      <c r="AD4298" s="500"/>
      <c r="AE4298" s="500"/>
      <c r="AF4298" s="500"/>
      <c r="AG4298" s="500"/>
      <c r="AH4298" s="500"/>
      <c r="AI4298" s="500"/>
      <c r="AJ4298" s="500"/>
      <c r="AK4298" s="500"/>
      <c r="AL4298" s="500"/>
      <c r="AM4298" s="500"/>
      <c r="AN4298" s="500"/>
      <c r="AO4298" s="500"/>
      <c r="AP4298" s="500"/>
    </row>
    <row r="4299" spans="1:42" ht="16.5" customHeight="1">
      <c r="A4299" s="439"/>
      <c r="B4299" s="439"/>
      <c r="C4299" s="439"/>
      <c r="D4299" s="439"/>
      <c r="E4299" s="439"/>
      <c r="F4299" s="439"/>
      <c r="Z4299" s="500"/>
      <c r="AA4299" s="500"/>
      <c r="AB4299" s="500"/>
      <c r="AC4299" s="500"/>
      <c r="AD4299" s="500"/>
      <c r="AE4299" s="500"/>
      <c r="AF4299" s="500"/>
      <c r="AG4299" s="500"/>
      <c r="AH4299" s="500"/>
      <c r="AI4299" s="500"/>
      <c r="AJ4299" s="500"/>
      <c r="AK4299" s="500"/>
      <c r="AL4299" s="500"/>
      <c r="AM4299" s="500"/>
      <c r="AN4299" s="500"/>
      <c r="AO4299" s="500"/>
      <c r="AP4299" s="500"/>
    </row>
    <row r="4300" spans="1:42" ht="16.5" customHeight="1">
      <c r="A4300" s="439"/>
      <c r="B4300" s="439"/>
      <c r="C4300" s="439"/>
      <c r="D4300" s="439"/>
      <c r="E4300" s="439"/>
      <c r="F4300" s="439"/>
      <c r="Z4300" s="500"/>
      <c r="AA4300" s="500"/>
      <c r="AB4300" s="500"/>
      <c r="AC4300" s="500"/>
      <c r="AD4300" s="500"/>
      <c r="AE4300" s="500"/>
      <c r="AF4300" s="500"/>
      <c r="AG4300" s="500"/>
      <c r="AH4300" s="500"/>
      <c r="AI4300" s="500"/>
      <c r="AJ4300" s="500"/>
      <c r="AK4300" s="500"/>
      <c r="AL4300" s="500"/>
      <c r="AM4300" s="500"/>
      <c r="AN4300" s="500"/>
      <c r="AO4300" s="500"/>
      <c r="AP4300" s="500"/>
    </row>
    <row r="4301" spans="1:42" ht="16.5" customHeight="1">
      <c r="A4301" s="439"/>
      <c r="B4301" s="439"/>
      <c r="C4301" s="439"/>
      <c r="D4301" s="439"/>
      <c r="E4301" s="439"/>
      <c r="F4301" s="439"/>
      <c r="Z4301" s="500"/>
      <c r="AA4301" s="500"/>
      <c r="AB4301" s="500"/>
      <c r="AC4301" s="500"/>
      <c r="AD4301" s="500"/>
      <c r="AE4301" s="500"/>
      <c r="AF4301" s="500"/>
      <c r="AG4301" s="500"/>
      <c r="AH4301" s="500"/>
      <c r="AI4301" s="500"/>
      <c r="AJ4301" s="500"/>
      <c r="AK4301" s="500"/>
      <c r="AL4301" s="500"/>
      <c r="AM4301" s="500"/>
      <c r="AN4301" s="500"/>
      <c r="AO4301" s="500"/>
      <c r="AP4301" s="500"/>
    </row>
    <row r="4302" spans="1:42" ht="16.5" customHeight="1">
      <c r="A4302" s="439"/>
      <c r="B4302" s="439"/>
      <c r="C4302" s="439"/>
      <c r="D4302" s="439"/>
      <c r="E4302" s="439"/>
      <c r="F4302" s="439"/>
      <c r="Z4302" s="500"/>
      <c r="AA4302" s="500"/>
      <c r="AB4302" s="500"/>
      <c r="AC4302" s="500"/>
      <c r="AD4302" s="500"/>
      <c r="AE4302" s="500"/>
      <c r="AF4302" s="500"/>
      <c r="AG4302" s="500"/>
      <c r="AH4302" s="500"/>
      <c r="AI4302" s="500"/>
      <c r="AJ4302" s="500"/>
      <c r="AK4302" s="500"/>
      <c r="AL4302" s="500"/>
      <c r="AM4302" s="500"/>
      <c r="AN4302" s="500"/>
      <c r="AO4302" s="500"/>
      <c r="AP4302" s="500"/>
    </row>
    <row r="4303" spans="1:42" ht="16.5" customHeight="1">
      <c r="A4303" s="497"/>
      <c r="B4303" s="497"/>
      <c r="C4303" s="497"/>
      <c r="D4303" s="497"/>
      <c r="E4303" s="497"/>
      <c r="F4303" s="497"/>
      <c r="Z4303" s="500"/>
      <c r="AA4303" s="500"/>
      <c r="AB4303" s="500"/>
      <c r="AC4303" s="500"/>
      <c r="AD4303" s="500"/>
      <c r="AE4303" s="500"/>
      <c r="AF4303" s="500"/>
      <c r="AG4303" s="500"/>
      <c r="AH4303" s="500"/>
      <c r="AI4303" s="500"/>
      <c r="AJ4303" s="500"/>
      <c r="AK4303" s="500"/>
      <c r="AL4303" s="500"/>
      <c r="AM4303" s="500"/>
      <c r="AN4303" s="500"/>
      <c r="AO4303" s="500"/>
      <c r="AP4303" s="500"/>
    </row>
    <row r="4304" spans="1:42" ht="16.5" customHeight="1">
      <c r="A4304" s="616" t="s">
        <v>3487</v>
      </c>
      <c r="B4304" s="605"/>
      <c r="C4304" s="446">
        <f>E4304+D4304+F4304</f>
        <v>399</v>
      </c>
      <c r="D4304" s="453">
        <f>ROUNDDOWN(SUMIF(N4257:N4281,M4304,D4257:D4281),0)</f>
        <v>377</v>
      </c>
      <c r="E4304" s="454">
        <f>ROUNDDOWN(SUMIF(N4257:N4281,M4304,E4257:E4281),0)</f>
        <v>0</v>
      </c>
      <c r="F4304" s="446">
        <f>ROUNDDOWN(SUMIF(N4257:N4281,M4304,F4257:F4281),0)</f>
        <v>22</v>
      </c>
      <c r="M4304" s="501" t="s">
        <v>2354</v>
      </c>
      <c r="Z4304" s="500"/>
      <c r="AA4304" s="500"/>
      <c r="AB4304" s="500"/>
      <c r="AC4304" s="500"/>
      <c r="AD4304" s="500"/>
      <c r="AE4304" s="500"/>
      <c r="AF4304" s="500"/>
      <c r="AG4304" s="500"/>
      <c r="AH4304" s="500"/>
      <c r="AI4304" s="500"/>
      <c r="AJ4304" s="500"/>
      <c r="AK4304" s="500"/>
      <c r="AL4304" s="500"/>
      <c r="AM4304" s="500"/>
      <c r="AN4304" s="500"/>
      <c r="AO4304" s="500"/>
      <c r="AP4304" s="500"/>
    </row>
    <row r="4305" spans="1:42" ht="16.5" customHeight="1">
      <c r="A4305" s="502" t="s">
        <v>3371</v>
      </c>
      <c r="B4305" s="503" t="s">
        <v>1954</v>
      </c>
      <c r="C4305" s="615">
        <f>C4354</f>
        <v>68897</v>
      </c>
      <c r="D4305" s="615">
        <f>D4354</f>
        <v>57816</v>
      </c>
      <c r="E4305" s="615">
        <f>E4354</f>
        <v>2279</v>
      </c>
      <c r="F4305" s="615">
        <f>F4354</f>
        <v>8802</v>
      </c>
      <c r="G4305" s="486" t="str">
        <f>HYPERLINK("#G"&amp;ROW(G4343),"_x0005_`BDCOD|D01282_x0007_`POSS|"&amp;ROW(G4307)&amp;"_x0007_`POSE|"&amp;ROW(G4343)&amp;"_x0007_`")</f>
        <v>_x0005_`BDCOD|D01282_x0007_`POSS|4307_x0007_`POSE|4343_x0007_`</v>
      </c>
      <c r="Z4305" s="500"/>
      <c r="AA4305" s="500"/>
      <c r="AB4305" s="500"/>
      <c r="AC4305" s="500"/>
      <c r="AD4305" s="500"/>
      <c r="AE4305" s="500"/>
      <c r="AF4305" s="500"/>
      <c r="AG4305" s="500"/>
      <c r="AH4305" s="500"/>
      <c r="AI4305" s="500"/>
      <c r="AJ4305" s="500"/>
      <c r="AK4305" s="500"/>
      <c r="AL4305" s="500"/>
      <c r="AM4305" s="500"/>
      <c r="AN4305" s="500"/>
      <c r="AO4305" s="500"/>
      <c r="AP4305" s="500"/>
    </row>
    <row r="4306" spans="1:42" ht="16.5" customHeight="1">
      <c r="A4306" s="485"/>
      <c r="B4306" s="503" t="s">
        <v>3904</v>
      </c>
      <c r="C4306" s="593"/>
      <c r="D4306" s="593"/>
      <c r="E4306" s="593"/>
      <c r="F4306" s="593"/>
      <c r="M4306" s="501" t="s">
        <v>1954</v>
      </c>
      <c r="Z4306" s="500"/>
      <c r="AA4306" s="500"/>
      <c r="AB4306" s="500"/>
      <c r="AC4306" s="500"/>
      <c r="AD4306" s="500"/>
      <c r="AE4306" s="500"/>
      <c r="AF4306" s="500"/>
      <c r="AG4306" s="500"/>
      <c r="AH4306" s="500"/>
      <c r="AI4306" s="500"/>
      <c r="AJ4306" s="500"/>
      <c r="AK4306" s="500"/>
      <c r="AL4306" s="500"/>
      <c r="AM4306" s="500"/>
      <c r="AN4306" s="500"/>
      <c r="AO4306" s="500"/>
      <c r="AP4306" s="500"/>
    </row>
    <row r="4307" spans="1:42" ht="16.5" customHeight="1">
      <c r="A4307" s="439"/>
      <c r="B4307" s="439"/>
      <c r="C4307" s="504"/>
      <c r="D4307" s="504"/>
      <c r="E4307" s="504"/>
      <c r="F4307" s="504"/>
      <c r="G4307" s="451" t="s">
        <v>3406</v>
      </c>
      <c r="Z4307" s="500"/>
      <c r="AA4307" s="500"/>
      <c r="AB4307" s="500"/>
      <c r="AC4307" s="500"/>
      <c r="AD4307" s="500"/>
      <c r="AE4307" s="500"/>
      <c r="AF4307" s="500"/>
      <c r="AG4307" s="500"/>
      <c r="AH4307" s="500"/>
      <c r="AI4307" s="500"/>
      <c r="AJ4307" s="500"/>
      <c r="AK4307" s="500"/>
      <c r="AL4307" s="500"/>
      <c r="AM4307" s="500"/>
      <c r="AN4307" s="500"/>
      <c r="AO4307" s="500"/>
      <c r="AP4307" s="500"/>
    </row>
    <row r="4308" spans="1:42" ht="16.5" customHeight="1">
      <c r="A4308" s="434"/>
      <c r="B4308" s="437" t="s">
        <v>3905</v>
      </c>
      <c r="C4308" s="439"/>
      <c r="D4308" s="439"/>
      <c r="E4308" s="439"/>
      <c r="F4308" s="439"/>
      <c r="G4308" s="451" t="s">
        <v>3906</v>
      </c>
      <c r="Z4308" s="500"/>
      <c r="AA4308" s="500"/>
      <c r="AB4308" s="500"/>
      <c r="AC4308" s="500"/>
      <c r="AD4308" s="500"/>
      <c r="AE4308" s="500"/>
      <c r="AF4308" s="500"/>
      <c r="AG4308" s="500"/>
      <c r="AH4308" s="500"/>
      <c r="AI4308" s="500"/>
      <c r="AJ4308" s="500"/>
      <c r="AK4308" s="500"/>
      <c r="AL4308" s="500"/>
      <c r="AM4308" s="500"/>
      <c r="AN4308" s="500"/>
      <c r="AO4308" s="500"/>
      <c r="AP4308" s="500"/>
    </row>
    <row r="4309" spans="1:42" ht="16.5" customHeight="1">
      <c r="A4309" s="439"/>
      <c r="B4309" s="439"/>
      <c r="C4309" s="439"/>
      <c r="D4309" s="439"/>
      <c r="E4309" s="439"/>
      <c r="F4309" s="439"/>
      <c r="G4309" s="451" t="s">
        <v>3406</v>
      </c>
      <c r="Z4309" s="500"/>
      <c r="AA4309" s="500"/>
      <c r="AB4309" s="500"/>
      <c r="AC4309" s="500"/>
      <c r="AD4309" s="500"/>
      <c r="AE4309" s="500"/>
      <c r="AF4309" s="500"/>
      <c r="AG4309" s="500"/>
      <c r="AH4309" s="500"/>
      <c r="AI4309" s="500"/>
      <c r="AJ4309" s="500"/>
      <c r="AK4309" s="500"/>
      <c r="AL4309" s="500"/>
      <c r="AM4309" s="500"/>
      <c r="AN4309" s="500"/>
      <c r="AO4309" s="500"/>
      <c r="AP4309" s="500"/>
    </row>
    <row r="4310" spans="1:42" ht="16.5" customHeight="1">
      <c r="A4310" s="434"/>
      <c r="B4310" s="437" t="s">
        <v>3907</v>
      </c>
      <c r="C4310" s="439"/>
      <c r="D4310" s="439"/>
      <c r="E4310" s="439"/>
      <c r="F4310" s="439"/>
      <c r="G4310" s="451" t="s">
        <v>3908</v>
      </c>
      <c r="Z4310" s="500"/>
      <c r="AA4310" s="500"/>
      <c r="AB4310" s="500"/>
      <c r="AC4310" s="500"/>
      <c r="AD4310" s="500"/>
      <c r="AE4310" s="500"/>
      <c r="AF4310" s="500"/>
      <c r="AG4310" s="500"/>
      <c r="AH4310" s="500"/>
      <c r="AI4310" s="500"/>
      <c r="AJ4310" s="500"/>
      <c r="AK4310" s="500"/>
      <c r="AL4310" s="500"/>
      <c r="AM4310" s="500"/>
      <c r="AN4310" s="500"/>
      <c r="AO4310" s="500"/>
      <c r="AP4310" s="500"/>
    </row>
    <row r="4311" spans="1:42" ht="16.5" customHeight="1">
      <c r="A4311" s="439"/>
      <c r="B4311" s="439"/>
      <c r="C4311" s="439"/>
      <c r="D4311" s="439"/>
      <c r="E4311" s="439"/>
      <c r="F4311" s="439"/>
      <c r="G4311" s="451" t="s">
        <v>3406</v>
      </c>
      <c r="Z4311" s="500"/>
      <c r="AA4311" s="500"/>
      <c r="AB4311" s="500"/>
      <c r="AC4311" s="500"/>
      <c r="AD4311" s="500"/>
      <c r="AE4311" s="500"/>
      <c r="AF4311" s="500"/>
      <c r="AG4311" s="500"/>
      <c r="AH4311" s="500"/>
      <c r="AI4311" s="500"/>
      <c r="AJ4311" s="500"/>
      <c r="AK4311" s="500"/>
      <c r="AL4311" s="500"/>
      <c r="AM4311" s="500"/>
      <c r="AN4311" s="500"/>
      <c r="AO4311" s="500"/>
      <c r="AP4311" s="500"/>
    </row>
    <row r="4312" spans="1:42" ht="16.5" customHeight="1">
      <c r="A4312" s="439"/>
      <c r="B4312" s="439"/>
      <c r="C4312" s="439"/>
      <c r="D4312" s="439"/>
      <c r="E4312" s="439"/>
      <c r="F4312" s="439"/>
      <c r="G4312" s="451" t="s">
        <v>3406</v>
      </c>
      <c r="Z4312" s="500"/>
      <c r="AA4312" s="500"/>
      <c r="AB4312" s="500"/>
      <c r="AC4312" s="500"/>
      <c r="AD4312" s="500"/>
      <c r="AE4312" s="500"/>
      <c r="AF4312" s="500"/>
      <c r="AG4312" s="500"/>
      <c r="AH4312" s="500"/>
      <c r="AI4312" s="500"/>
      <c r="AJ4312" s="500"/>
      <c r="AK4312" s="500"/>
      <c r="AL4312" s="500"/>
      <c r="AM4312" s="500"/>
      <c r="AN4312" s="500"/>
      <c r="AO4312" s="500"/>
      <c r="AP4312" s="500"/>
    </row>
    <row r="4313" spans="1:42" ht="16.5" customHeight="1">
      <c r="A4313" s="434"/>
      <c r="B4313" s="437" t="str">
        <f>" 일당 작업량 :  Q = "&amp;Z4313&amp;" 주 "</f>
        <v xml:space="preserve"> 일당 작업량 :  Q = 18 주 </v>
      </c>
      <c r="C4313" s="439"/>
      <c r="D4313" s="439"/>
      <c r="E4313" s="439"/>
      <c r="F4313" s="439"/>
      <c r="G4313" s="451" t="s">
        <v>3909</v>
      </c>
      <c r="Z4313" s="515">
        <v>18</v>
      </c>
      <c r="AA4313" s="501" t="s">
        <v>3418</v>
      </c>
      <c r="AB4313" s="512">
        <f>Z4313</f>
        <v>18</v>
      </c>
      <c r="AC4313" s="500"/>
      <c r="AD4313" s="500"/>
      <c r="AE4313" s="500"/>
      <c r="AF4313" s="500"/>
      <c r="AG4313" s="500"/>
      <c r="AH4313" s="500"/>
      <c r="AI4313" s="500"/>
      <c r="AJ4313" s="500"/>
      <c r="AK4313" s="500"/>
      <c r="AL4313" s="500"/>
      <c r="AM4313" s="500"/>
      <c r="AN4313" s="500"/>
      <c r="AO4313" s="500"/>
      <c r="AP4313" s="500"/>
    </row>
    <row r="4314" spans="1:42" ht="16.5" customHeight="1">
      <c r="A4314" s="439"/>
      <c r="B4314" s="439"/>
      <c r="C4314" s="439"/>
      <c r="D4314" s="439"/>
      <c r="E4314" s="439"/>
      <c r="F4314" s="439"/>
      <c r="G4314" s="451" t="s">
        <v>3406</v>
      </c>
      <c r="Z4314" s="500"/>
      <c r="AA4314" s="500"/>
      <c r="AB4314" s="500"/>
      <c r="AC4314" s="500"/>
      <c r="AD4314" s="500"/>
      <c r="AE4314" s="500"/>
      <c r="AF4314" s="500"/>
      <c r="AG4314" s="500"/>
      <c r="AH4314" s="500"/>
      <c r="AI4314" s="500"/>
      <c r="AJ4314" s="500"/>
      <c r="AK4314" s="500"/>
      <c r="AL4314" s="500"/>
      <c r="AM4314" s="500"/>
      <c r="AN4314" s="500"/>
      <c r="AO4314" s="500"/>
      <c r="AP4314" s="500"/>
    </row>
    <row r="4315" spans="1:42" ht="16.5" customHeight="1">
      <c r="A4315" s="434"/>
      <c r="B4315" s="437" t="s">
        <v>3910</v>
      </c>
      <c r="C4315" s="439"/>
      <c r="D4315" s="439"/>
      <c r="E4315" s="439"/>
      <c r="F4315" s="439"/>
      <c r="G4315" s="451" t="s">
        <v>3911</v>
      </c>
      <c r="Z4315" s="500"/>
      <c r="AA4315" s="500"/>
      <c r="AB4315" s="500"/>
      <c r="AC4315" s="500"/>
      <c r="AD4315" s="500"/>
      <c r="AE4315" s="500"/>
      <c r="AF4315" s="500"/>
      <c r="AG4315" s="500"/>
      <c r="AH4315" s="500"/>
      <c r="AI4315" s="500"/>
      <c r="AJ4315" s="500"/>
      <c r="AK4315" s="500"/>
      <c r="AL4315" s="500"/>
      <c r="AM4315" s="500"/>
      <c r="AN4315" s="500"/>
      <c r="AO4315" s="500"/>
      <c r="AP4315" s="500"/>
    </row>
    <row r="4316" spans="1:42" ht="16.5" customHeight="1">
      <c r="A4316" s="439"/>
      <c r="B4316" s="439"/>
      <c r="C4316" s="439"/>
      <c r="D4316" s="439"/>
      <c r="E4316" s="439"/>
      <c r="F4316" s="439"/>
      <c r="G4316" s="451" t="s">
        <v>3406</v>
      </c>
      <c r="Z4316" s="500"/>
      <c r="AA4316" s="500"/>
      <c r="AB4316" s="500"/>
      <c r="AC4316" s="500"/>
      <c r="AD4316" s="500"/>
      <c r="AE4316" s="500"/>
      <c r="AF4316" s="500"/>
      <c r="AG4316" s="500"/>
      <c r="AH4316" s="500"/>
      <c r="AI4316" s="500"/>
      <c r="AJ4316" s="500"/>
      <c r="AK4316" s="500"/>
      <c r="AL4316" s="500"/>
      <c r="AM4316" s="500"/>
      <c r="AN4316" s="500"/>
      <c r="AO4316" s="500"/>
      <c r="AP4316" s="500"/>
    </row>
    <row r="4317" spans="1:42" ht="16.5" customHeight="1">
      <c r="A4317" s="439"/>
      <c r="B4317" s="439"/>
      <c r="C4317" s="439"/>
      <c r="D4317" s="439"/>
      <c r="E4317" s="439"/>
      <c r="F4317" s="439"/>
      <c r="G4317" s="451" t="s">
        <v>3406</v>
      </c>
      <c r="Z4317" s="500"/>
      <c r="AA4317" s="500"/>
      <c r="AB4317" s="500"/>
      <c r="AC4317" s="500"/>
      <c r="AD4317" s="500"/>
      <c r="AE4317" s="500"/>
      <c r="AF4317" s="500"/>
      <c r="AG4317" s="500"/>
      <c r="AH4317" s="500"/>
      <c r="AI4317" s="500"/>
      <c r="AJ4317" s="500"/>
      <c r="AK4317" s="500"/>
      <c r="AL4317" s="500"/>
      <c r="AM4317" s="500"/>
      <c r="AN4317" s="500"/>
      <c r="AO4317" s="500"/>
      <c r="AP4317" s="500"/>
    </row>
    <row r="4318" spans="1:42" ht="16.5" customHeight="1">
      <c r="A4318" s="434"/>
      <c r="B4318" s="437" t="s">
        <v>3496</v>
      </c>
      <c r="C4318" s="439"/>
      <c r="D4318" s="439"/>
      <c r="E4318" s="439"/>
      <c r="F4318" s="439"/>
      <c r="G4318" s="451" t="s">
        <v>3497</v>
      </c>
      <c r="Z4318" s="500"/>
      <c r="AA4318" s="500"/>
      <c r="AB4318" s="500"/>
      <c r="AC4318" s="500"/>
      <c r="AD4318" s="500"/>
      <c r="AE4318" s="500"/>
      <c r="AF4318" s="500"/>
      <c r="AG4318" s="500"/>
      <c r="AH4318" s="500"/>
      <c r="AI4318" s="500"/>
      <c r="AJ4318" s="500"/>
      <c r="AK4318" s="500"/>
      <c r="AL4318" s="500"/>
      <c r="AM4318" s="500"/>
      <c r="AN4318" s="500"/>
      <c r="AO4318" s="500"/>
      <c r="AP4318" s="500"/>
    </row>
    <row r="4319" spans="1:42" ht="16.5" customHeight="1">
      <c r="A4319" s="439"/>
      <c r="B4319" s="439"/>
      <c r="C4319" s="439"/>
      <c r="D4319" s="439"/>
      <c r="E4319" s="439"/>
      <c r="F4319" s="439"/>
      <c r="G4319" s="451" t="s">
        <v>3406</v>
      </c>
      <c r="Z4319" s="500"/>
      <c r="AA4319" s="500"/>
      <c r="AB4319" s="500"/>
      <c r="AC4319" s="500"/>
      <c r="AD4319" s="500"/>
      <c r="AE4319" s="500"/>
      <c r="AF4319" s="500"/>
      <c r="AG4319" s="500"/>
      <c r="AH4319" s="500"/>
      <c r="AI4319" s="500"/>
      <c r="AJ4319" s="500"/>
      <c r="AK4319" s="500"/>
      <c r="AL4319" s="500"/>
      <c r="AM4319" s="500"/>
      <c r="AN4319" s="500"/>
      <c r="AO4319" s="500"/>
      <c r="AP4319" s="500"/>
    </row>
    <row r="4320" spans="1:42" ht="16.5" customHeight="1">
      <c r="A4320" s="434" t="s">
        <v>3498</v>
      </c>
      <c r="B4320" s="505" t="str">
        <f>" 조 경 공 : "&amp;TEXT(I4320,"#,##0"&amp;IF(I4320&lt;&gt;INT(I4320),".###",""))&amp;" * "&amp;AA4320&amp;" 인  / Q = "&amp;TEXT(C4320,"#,##0.0")&amp;" "</f>
        <v xml:space="preserve"> 조 경 공 : 235,204 * 2 인  / Q = 26,133.7 </v>
      </c>
      <c r="C4320" s="506">
        <f>E4320+D4320+F4320</f>
        <v>26133.7</v>
      </c>
      <c r="D4320" s="506">
        <f>IF(H4320=0,0,ROUNDDOWN(J4320*H4320,1))</f>
        <v>26133.7</v>
      </c>
      <c r="E4320" s="506">
        <f>IF(H4320=0,0,ROUNDDOWN(K4320*H4320,1))</f>
        <v>0</v>
      </c>
      <c r="F4320" s="506">
        <f>IF(H4320=0,0,ROUNDDOWN(L4320*H4320,1))</f>
        <v>0</v>
      </c>
      <c r="G4320" s="451" t="s">
        <v>3912</v>
      </c>
      <c r="H4320" s="507">
        <f>ROUNDUP(AE4320,14-LEN(ABS(INT(AE4320))))</f>
        <v>0.11111111111120001</v>
      </c>
      <c r="I4320" s="508">
        <f>K4320+J4320+L4320</f>
        <v>235204</v>
      </c>
      <c r="J4320" s="509">
        <f>노무비목록표!E15</f>
        <v>235204</v>
      </c>
      <c r="M4320" s="501" t="s">
        <v>2359</v>
      </c>
      <c r="N4320" s="501" t="s">
        <v>3416</v>
      </c>
      <c r="O4320" s="501" t="s">
        <v>2355</v>
      </c>
      <c r="X4320" s="510" t="str">
        <f>노무비목록표!B15&amp;" / "&amp;노무비목록표!C15</f>
        <v xml:space="preserve">조경공 / </v>
      </c>
      <c r="Y4320" s="433" t="str">
        <f ca="1">HYPERLINK("#"&amp;노무비목록표!G2&amp;"!A"&amp;ROW(노무비목록표!A15),"L00184 →")</f>
        <v>L00184 →</v>
      </c>
      <c r="Z4320" s="501" t="s">
        <v>3500</v>
      </c>
      <c r="AA4320" s="515">
        <v>2</v>
      </c>
      <c r="AB4320" s="501" t="s">
        <v>3428</v>
      </c>
      <c r="AC4320" s="512">
        <f>AB4313</f>
        <v>18</v>
      </c>
      <c r="AD4320" s="501" t="s">
        <v>3418</v>
      </c>
      <c r="AE4320" s="512">
        <f>1*AA4320/AB4313</f>
        <v>0.1111111111111111</v>
      </c>
      <c r="AF4320" s="500"/>
      <c r="AG4320" s="500"/>
      <c r="AH4320" s="500"/>
      <c r="AI4320" s="500"/>
      <c r="AJ4320" s="500"/>
      <c r="AK4320" s="500"/>
      <c r="AL4320" s="500"/>
      <c r="AM4320" s="500"/>
      <c r="AN4320" s="500"/>
      <c r="AO4320" s="500"/>
      <c r="AP4320" s="500"/>
    </row>
    <row r="4321" spans="1:42" ht="16.5" customHeight="1">
      <c r="A4321" s="439"/>
      <c r="B4321" s="439"/>
      <c r="C4321" s="439"/>
      <c r="D4321" s="439"/>
      <c r="E4321" s="439"/>
      <c r="F4321" s="439"/>
      <c r="G4321" s="451" t="s">
        <v>3406</v>
      </c>
      <c r="Z4321" s="500"/>
      <c r="AA4321" s="500"/>
      <c r="AB4321" s="500"/>
      <c r="AC4321" s="500"/>
      <c r="AD4321" s="500"/>
      <c r="AE4321" s="500"/>
      <c r="AF4321" s="500"/>
      <c r="AG4321" s="500"/>
      <c r="AH4321" s="500"/>
      <c r="AI4321" s="500"/>
      <c r="AJ4321" s="500"/>
      <c r="AK4321" s="500"/>
      <c r="AL4321" s="500"/>
      <c r="AM4321" s="500"/>
      <c r="AN4321" s="500"/>
      <c r="AO4321" s="500"/>
      <c r="AP4321" s="500"/>
    </row>
    <row r="4322" spans="1:42" ht="16.5" customHeight="1">
      <c r="A4322" s="434" t="s">
        <v>3414</v>
      </c>
      <c r="B4322" s="505" t="str">
        <f>" 보통인부 : "&amp;TEXT(I4322,"#,##0"&amp;IF(I4322&lt;&gt;INT(I4322),".###",""))&amp;" * "&amp;AA4322&amp;" 인  / Q = "&amp;TEXT(C4322,"#,##0.0")&amp;" "</f>
        <v xml:space="preserve"> 보통인부 : 172,068 * 1 인  / Q = 9,559.3 </v>
      </c>
      <c r="C4322" s="506">
        <f>E4322+D4322+F4322</f>
        <v>9559.2999999999993</v>
      </c>
      <c r="D4322" s="506">
        <f>IF(H4322=0,0,ROUNDDOWN(J4322*H4322,1))</f>
        <v>9559.2999999999993</v>
      </c>
      <c r="E4322" s="506">
        <f>IF(H4322=0,0,ROUNDDOWN(K4322*H4322,1))</f>
        <v>0</v>
      </c>
      <c r="F4322" s="506">
        <f>IF(H4322=0,0,ROUNDDOWN(L4322*H4322,1))</f>
        <v>0</v>
      </c>
      <c r="G4322" s="451" t="s">
        <v>3913</v>
      </c>
      <c r="H4322" s="507">
        <f>ROUNDUP(AE4322,14-LEN(ABS(INT(AE4322))))</f>
        <v>5.5555555555600003E-2</v>
      </c>
      <c r="I4322" s="508">
        <f>K4322+J4322+L4322</f>
        <v>172068</v>
      </c>
      <c r="J4322" s="509">
        <f>노무비목록표!E10</f>
        <v>172068</v>
      </c>
      <c r="M4322" s="501" t="s">
        <v>2363</v>
      </c>
      <c r="N4322" s="501" t="s">
        <v>3416</v>
      </c>
      <c r="O4322" s="501" t="s">
        <v>2355</v>
      </c>
      <c r="X4322" s="510" t="str">
        <f>노무비목록표!B10&amp;" / "&amp;노무비목록표!C10</f>
        <v xml:space="preserve">보통인부 / </v>
      </c>
      <c r="Y4322" s="433" t="str">
        <f ca="1">HYPERLINK("#"&amp;노무비목록표!G2&amp;"!A"&amp;ROW(노무비목록표!A10),"L00017 →")</f>
        <v>L00017 →</v>
      </c>
      <c r="Z4322" s="501" t="s">
        <v>3500</v>
      </c>
      <c r="AA4322" s="515">
        <v>1</v>
      </c>
      <c r="AB4322" s="501" t="s">
        <v>3428</v>
      </c>
      <c r="AC4322" s="512">
        <f>AB4313</f>
        <v>18</v>
      </c>
      <c r="AD4322" s="501" t="s">
        <v>3418</v>
      </c>
      <c r="AE4322" s="512">
        <f>1*AA4322/AB4313</f>
        <v>5.5555555555555552E-2</v>
      </c>
      <c r="AF4322" s="500"/>
      <c r="AG4322" s="500"/>
      <c r="AH4322" s="500"/>
      <c r="AI4322" s="500"/>
      <c r="AJ4322" s="500"/>
      <c r="AK4322" s="500"/>
      <c r="AL4322" s="500"/>
      <c r="AM4322" s="500"/>
      <c r="AN4322" s="500"/>
      <c r="AO4322" s="500"/>
      <c r="AP4322" s="500"/>
    </row>
    <row r="4323" spans="1:42" ht="16.5" customHeight="1">
      <c r="A4323" s="439"/>
      <c r="B4323" s="439"/>
      <c r="C4323" s="439"/>
      <c r="D4323" s="439"/>
      <c r="E4323" s="439"/>
      <c r="F4323" s="439"/>
      <c r="G4323" s="451" t="s">
        <v>3406</v>
      </c>
      <c r="Z4323" s="500"/>
      <c r="AA4323" s="500"/>
      <c r="AB4323" s="500"/>
      <c r="AC4323" s="500"/>
      <c r="AD4323" s="500"/>
      <c r="AE4323" s="500"/>
      <c r="AF4323" s="500"/>
      <c r="AG4323" s="500"/>
      <c r="AH4323" s="500"/>
      <c r="AI4323" s="500"/>
      <c r="AJ4323" s="500"/>
      <c r="AK4323" s="500"/>
      <c r="AL4323" s="500"/>
      <c r="AM4323" s="500"/>
      <c r="AN4323" s="500"/>
      <c r="AO4323" s="500"/>
      <c r="AP4323" s="500"/>
    </row>
    <row r="4324" spans="1:42" ht="16.5" customHeight="1">
      <c r="A4324" s="434"/>
      <c r="B4324" s="437" t="s">
        <v>3419</v>
      </c>
      <c r="C4324" s="513">
        <f>E4324+D4324+F4324</f>
        <v>35693</v>
      </c>
      <c r="D4324" s="513">
        <f>SUMIF(N4307:N4323,M4324,D4307:D4323)</f>
        <v>35693</v>
      </c>
      <c r="E4324" s="513">
        <f>SUMIF(N4307:N4323,M4324,E4307:E4323)</f>
        <v>0</v>
      </c>
      <c r="F4324" s="513">
        <f>SUMIF(N4307:N4323,M4324,F4307:F4323)</f>
        <v>0</v>
      </c>
      <c r="G4324" s="451" t="s">
        <v>3420</v>
      </c>
      <c r="M4324" s="501" t="s">
        <v>3416</v>
      </c>
      <c r="N4324" s="501" t="s">
        <v>3421</v>
      </c>
      <c r="Z4324" s="500"/>
      <c r="AA4324" s="500"/>
      <c r="AB4324" s="500"/>
      <c r="AC4324" s="500"/>
      <c r="AD4324" s="500"/>
      <c r="AE4324" s="500"/>
      <c r="AF4324" s="500"/>
      <c r="AG4324" s="500"/>
      <c r="AH4324" s="500"/>
      <c r="AI4324" s="500"/>
      <c r="AJ4324" s="500"/>
      <c r="AK4324" s="500"/>
      <c r="AL4324" s="500"/>
      <c r="AM4324" s="500"/>
      <c r="AN4324" s="500"/>
      <c r="AO4324" s="500"/>
      <c r="AP4324" s="500"/>
    </row>
    <row r="4325" spans="1:42" ht="16.5" customHeight="1">
      <c r="A4325" s="439"/>
      <c r="B4325" s="439"/>
      <c r="C4325" s="504"/>
      <c r="D4325" s="504"/>
      <c r="E4325" s="504"/>
      <c r="F4325" s="504"/>
      <c r="G4325" s="451" t="s">
        <v>3406</v>
      </c>
      <c r="Z4325" s="500"/>
      <c r="AA4325" s="500"/>
      <c r="AB4325" s="500"/>
      <c r="AC4325" s="500"/>
      <c r="AD4325" s="500"/>
      <c r="AE4325" s="500"/>
      <c r="AF4325" s="500"/>
      <c r="AG4325" s="500"/>
      <c r="AH4325" s="500"/>
      <c r="AI4325" s="500"/>
      <c r="AJ4325" s="500"/>
      <c r="AK4325" s="500"/>
      <c r="AL4325" s="500"/>
      <c r="AM4325" s="500"/>
      <c r="AN4325" s="500"/>
      <c r="AO4325" s="500"/>
      <c r="AP4325" s="500"/>
    </row>
    <row r="4326" spans="1:42" ht="16.5" customHeight="1">
      <c r="A4326" s="439"/>
      <c r="B4326" s="439"/>
      <c r="C4326" s="439"/>
      <c r="D4326" s="439"/>
      <c r="E4326" s="439"/>
      <c r="F4326" s="439"/>
      <c r="G4326" s="451" t="s">
        <v>3406</v>
      </c>
      <c r="Z4326" s="500"/>
      <c r="AA4326" s="500"/>
      <c r="AB4326" s="500"/>
      <c r="AC4326" s="500"/>
      <c r="AD4326" s="500"/>
      <c r="AE4326" s="500"/>
      <c r="AF4326" s="500"/>
      <c r="AG4326" s="500"/>
      <c r="AH4326" s="500"/>
      <c r="AI4326" s="500"/>
      <c r="AJ4326" s="500"/>
      <c r="AK4326" s="500"/>
      <c r="AL4326" s="500"/>
      <c r="AM4326" s="500"/>
      <c r="AN4326" s="500"/>
      <c r="AO4326" s="500"/>
      <c r="AP4326" s="500"/>
    </row>
    <row r="4327" spans="1:42" ht="16.5" customHeight="1">
      <c r="A4327" s="434"/>
      <c r="B4327" s="437" t="s">
        <v>3914</v>
      </c>
      <c r="C4327" s="439"/>
      <c r="D4327" s="439"/>
      <c r="E4327" s="439"/>
      <c r="F4327" s="439"/>
      <c r="G4327" s="451" t="s">
        <v>3915</v>
      </c>
      <c r="Z4327" s="500"/>
      <c r="AA4327" s="500"/>
      <c r="AB4327" s="500"/>
      <c r="AC4327" s="500"/>
      <c r="AD4327" s="500"/>
      <c r="AE4327" s="500"/>
      <c r="AF4327" s="500"/>
      <c r="AG4327" s="500"/>
      <c r="AH4327" s="500"/>
      <c r="AI4327" s="500"/>
      <c r="AJ4327" s="500"/>
      <c r="AK4327" s="500"/>
      <c r="AL4327" s="500"/>
      <c r="AM4327" s="500"/>
      <c r="AN4327" s="500"/>
      <c r="AO4327" s="500"/>
      <c r="AP4327" s="500"/>
    </row>
    <row r="4328" spans="1:42" ht="16.5" customHeight="1">
      <c r="A4328" s="439"/>
      <c r="B4328" s="439"/>
      <c r="C4328" s="439"/>
      <c r="D4328" s="439"/>
      <c r="E4328" s="439"/>
      <c r="F4328" s="439"/>
      <c r="G4328" s="451" t="s">
        <v>3406</v>
      </c>
      <c r="Z4328" s="500"/>
      <c r="AA4328" s="500"/>
      <c r="AB4328" s="500"/>
      <c r="AC4328" s="500"/>
      <c r="AD4328" s="500"/>
      <c r="AE4328" s="500"/>
      <c r="AF4328" s="500"/>
      <c r="AG4328" s="500"/>
      <c r="AH4328" s="500"/>
      <c r="AI4328" s="500"/>
      <c r="AJ4328" s="500"/>
      <c r="AK4328" s="500"/>
      <c r="AL4328" s="500"/>
      <c r="AM4328" s="500"/>
      <c r="AN4328" s="500"/>
      <c r="AO4328" s="500"/>
      <c r="AP4328" s="500"/>
    </row>
    <row r="4329" spans="1:42" ht="16.5" customHeight="1">
      <c r="A4329" s="434" t="s">
        <v>3916</v>
      </c>
      <c r="B4329" s="505" t="str">
        <f>"  노 무 비 :  "&amp;TEXT(I4329,"#,##0"&amp;IF(I4329&lt;&gt;INT(I4329),".###",""))&amp;" / Q * "&amp;AC4329&amp;" = "&amp;TEXT(C4329,"#,##0.0")&amp;""</f>
        <v xml:space="preserve">  노 무 비 :  49,778 / Q * 8 = 22,123.5</v>
      </c>
      <c r="C4329" s="506">
        <f>E4329+D4329+F4329</f>
        <v>22123.5</v>
      </c>
      <c r="D4329" s="506">
        <f>IF(H4329=0,0,ROUNDDOWN(J4329*H4329,1))</f>
        <v>22123.5</v>
      </c>
      <c r="E4329" s="506">
        <f>IF(H4329=0,0,ROUNDDOWN(K4329*H4329,1))</f>
        <v>0</v>
      </c>
      <c r="F4329" s="506">
        <f>IF(H4329=0,0,ROUNDDOWN(L4329*H4329,1))</f>
        <v>0</v>
      </c>
      <c r="G4329" s="451" t="s">
        <v>3917</v>
      </c>
      <c r="H4329" s="507">
        <f>ROUNDUP(AE4329,14-LEN(ABS(INT(AE4329))))</f>
        <v>0.44444444444449999</v>
      </c>
      <c r="I4329" s="508">
        <f>K4329+J4329+L4329</f>
        <v>49778</v>
      </c>
      <c r="J4329" s="509">
        <f>중기목록표!F4</f>
        <v>49778</v>
      </c>
      <c r="M4329" s="501" t="s">
        <v>3918</v>
      </c>
      <c r="N4329" s="501" t="s">
        <v>3416</v>
      </c>
      <c r="X4329" s="510" t="str">
        <f>중기목록표!B4&amp;" / "&amp;중기목록표!C4</f>
        <v>고소작업차 / 3톤</v>
      </c>
      <c r="Y4329" s="433" t="str">
        <f ca="1">HYPERLINK("#"&amp;중기목록표!J2&amp;"!A"&amp;ROW(중기목록표!A4),"X00328 →")</f>
        <v>X00328 →</v>
      </c>
      <c r="Z4329" s="501" t="s">
        <v>3434</v>
      </c>
      <c r="AA4329" s="512">
        <f>AB4313</f>
        <v>18</v>
      </c>
      <c r="AB4329" s="501" t="s">
        <v>3368</v>
      </c>
      <c r="AC4329" s="515">
        <v>8</v>
      </c>
      <c r="AD4329" s="501" t="s">
        <v>3418</v>
      </c>
      <c r="AE4329" s="512">
        <f>1/AB4313*AC4329</f>
        <v>0.44444444444444442</v>
      </c>
      <c r="AF4329" s="500"/>
      <c r="AG4329" s="500"/>
      <c r="AH4329" s="500"/>
      <c r="AI4329" s="500"/>
      <c r="AJ4329" s="500"/>
      <c r="AK4329" s="500"/>
      <c r="AL4329" s="500"/>
      <c r="AM4329" s="500"/>
      <c r="AN4329" s="500"/>
      <c r="AO4329" s="500"/>
      <c r="AP4329" s="500"/>
    </row>
    <row r="4330" spans="1:42" ht="16.5" customHeight="1">
      <c r="A4330" s="439"/>
      <c r="B4330" s="439"/>
      <c r="C4330" s="439"/>
      <c r="D4330" s="439"/>
      <c r="E4330" s="439"/>
      <c r="F4330" s="439"/>
      <c r="G4330" s="451" t="s">
        <v>3406</v>
      </c>
      <c r="Z4330" s="500"/>
      <c r="AA4330" s="500"/>
      <c r="AB4330" s="500"/>
      <c r="AC4330" s="500"/>
      <c r="AD4330" s="500"/>
      <c r="AE4330" s="500"/>
      <c r="AF4330" s="500"/>
      <c r="AG4330" s="500"/>
      <c r="AH4330" s="500"/>
      <c r="AI4330" s="500"/>
      <c r="AJ4330" s="500"/>
      <c r="AK4330" s="500"/>
      <c r="AL4330" s="500"/>
      <c r="AM4330" s="500"/>
      <c r="AN4330" s="500"/>
      <c r="AO4330" s="500"/>
      <c r="AP4330" s="500"/>
    </row>
    <row r="4331" spans="1:42" ht="16.5" customHeight="1">
      <c r="A4331" s="434" t="s">
        <v>3919</v>
      </c>
      <c r="B4331" s="505" t="str">
        <f>"  재 료 비 :  "&amp;TEXT(I4331,"#,##0"&amp;IF(I4331&lt;&gt;INT(I4331),".###",""))&amp;" / Q * "&amp;AC4331&amp;" = "&amp;TEXT(C4331,"#,##0.0")&amp;""</f>
        <v xml:space="preserve">  재 료 비 :  5,129 / Q * 8 = 2,279.5</v>
      </c>
      <c r="C4331" s="506">
        <f>E4331+D4331+F4331</f>
        <v>2279.5</v>
      </c>
      <c r="D4331" s="506">
        <f>IF(H4331=0,0,ROUNDDOWN(J4331*H4331,1))</f>
        <v>0</v>
      </c>
      <c r="E4331" s="506">
        <f>IF(H4331=0,0,ROUNDDOWN(K4331*H4331,1))</f>
        <v>2279.5</v>
      </c>
      <c r="F4331" s="506">
        <f>IF(H4331=0,0,ROUNDDOWN(L4331*H4331,1))</f>
        <v>0</v>
      </c>
      <c r="G4331" s="451" t="s">
        <v>3920</v>
      </c>
      <c r="H4331" s="507">
        <f>ROUNDUP(AE4331,14-LEN(ABS(INT(AE4331))))</f>
        <v>0.44444444444449999</v>
      </c>
      <c r="I4331" s="508">
        <f>K4331+J4331+L4331</f>
        <v>5129</v>
      </c>
      <c r="K4331" s="509">
        <f>중기목록표!G4</f>
        <v>5129</v>
      </c>
      <c r="M4331" s="501" t="s">
        <v>3918</v>
      </c>
      <c r="N4331" s="501" t="s">
        <v>3416</v>
      </c>
      <c r="X4331" s="510" t="str">
        <f>중기목록표!B4&amp;" / "&amp;중기목록표!C4</f>
        <v>고소작업차 / 3톤</v>
      </c>
      <c r="Y4331" s="433" t="str">
        <f ca="1">HYPERLINK("#"&amp;중기목록표!J2&amp;"!A"&amp;ROW(중기목록표!A4),"X00328 →")</f>
        <v>X00328 →</v>
      </c>
      <c r="Z4331" s="501" t="s">
        <v>3434</v>
      </c>
      <c r="AA4331" s="512">
        <f>AB4313</f>
        <v>18</v>
      </c>
      <c r="AB4331" s="501" t="s">
        <v>3368</v>
      </c>
      <c r="AC4331" s="515">
        <v>8</v>
      </c>
      <c r="AD4331" s="501" t="s">
        <v>3418</v>
      </c>
      <c r="AE4331" s="512">
        <f>1/AB4313*AC4331</f>
        <v>0.44444444444444442</v>
      </c>
      <c r="AF4331" s="500"/>
      <c r="AG4331" s="500"/>
      <c r="AH4331" s="500"/>
      <c r="AI4331" s="500"/>
      <c r="AJ4331" s="500"/>
      <c r="AK4331" s="500"/>
      <c r="AL4331" s="500"/>
      <c r="AM4331" s="500"/>
      <c r="AN4331" s="500"/>
      <c r="AO4331" s="500"/>
      <c r="AP4331" s="500"/>
    </row>
    <row r="4332" spans="1:42" ht="16.5" customHeight="1">
      <c r="A4332" s="439"/>
      <c r="B4332" s="439"/>
      <c r="C4332" s="439"/>
      <c r="D4332" s="439"/>
      <c r="E4332" s="439"/>
      <c r="F4332" s="439"/>
      <c r="G4332" s="451" t="s">
        <v>3406</v>
      </c>
      <c r="Z4332" s="500"/>
      <c r="AA4332" s="500"/>
      <c r="AB4332" s="500"/>
      <c r="AC4332" s="500"/>
      <c r="AD4332" s="500"/>
      <c r="AE4332" s="500"/>
      <c r="AF4332" s="500"/>
      <c r="AG4332" s="500"/>
      <c r="AH4332" s="500"/>
      <c r="AI4332" s="500"/>
      <c r="AJ4332" s="500"/>
      <c r="AK4332" s="500"/>
      <c r="AL4332" s="500"/>
      <c r="AM4332" s="500"/>
      <c r="AN4332" s="500"/>
      <c r="AO4332" s="500"/>
      <c r="AP4332" s="500"/>
    </row>
    <row r="4333" spans="1:42" ht="16.5" customHeight="1">
      <c r="A4333" s="434" t="s">
        <v>3921</v>
      </c>
      <c r="B4333" s="505" t="str">
        <f>"  경    비 :  "&amp;TEXT(I4333,"#,##0"&amp;IF(I4333&lt;&gt;INT(I4333),".###",""))&amp;" / Q * "&amp;AC4333&amp;" = "&amp;TEXT(C4333,"#,##0.0")&amp;""</f>
        <v xml:space="preserve">  경    비 :  17,396 / Q * 8 = 7,731.5</v>
      </c>
      <c r="C4333" s="506">
        <f>E4333+D4333+F4333</f>
        <v>7731.5</v>
      </c>
      <c r="D4333" s="506">
        <f>IF(H4333=0,0,ROUNDDOWN(J4333*H4333,1))</f>
        <v>0</v>
      </c>
      <c r="E4333" s="506">
        <f>IF(H4333=0,0,ROUNDDOWN(K4333*H4333,1))</f>
        <v>0</v>
      </c>
      <c r="F4333" s="506">
        <f>IF(H4333=0,0,ROUNDDOWN(L4333*H4333,1))</f>
        <v>7731.5</v>
      </c>
      <c r="G4333" s="451" t="s">
        <v>3922</v>
      </c>
      <c r="H4333" s="507">
        <f>ROUNDUP(AE4333,14-LEN(ABS(INT(AE4333))))</f>
        <v>0.44444444444449999</v>
      </c>
      <c r="I4333" s="508">
        <f>K4333+J4333+L4333</f>
        <v>17396</v>
      </c>
      <c r="L4333" s="509">
        <f>중기목록표!H4</f>
        <v>17396</v>
      </c>
      <c r="M4333" s="501" t="s">
        <v>3918</v>
      </c>
      <c r="N4333" s="501" t="s">
        <v>3416</v>
      </c>
      <c r="X4333" s="510" t="str">
        <f>중기목록표!B4&amp;" / "&amp;중기목록표!C4</f>
        <v>고소작업차 / 3톤</v>
      </c>
      <c r="Y4333" s="433" t="str">
        <f ca="1">HYPERLINK("#"&amp;중기목록표!J2&amp;"!A"&amp;ROW(중기목록표!A4),"X00328 →")</f>
        <v>X00328 →</v>
      </c>
      <c r="Z4333" s="501" t="s">
        <v>3434</v>
      </c>
      <c r="AA4333" s="512">
        <f>AB4313</f>
        <v>18</v>
      </c>
      <c r="AB4333" s="501" t="s">
        <v>3368</v>
      </c>
      <c r="AC4333" s="515">
        <v>8</v>
      </c>
      <c r="AD4333" s="501" t="s">
        <v>3418</v>
      </c>
      <c r="AE4333" s="512">
        <f>1/AB4313*AC4333</f>
        <v>0.44444444444444442</v>
      </c>
      <c r="AF4333" s="500"/>
      <c r="AG4333" s="500"/>
      <c r="AH4333" s="500"/>
      <c r="AI4333" s="500"/>
      <c r="AJ4333" s="500"/>
      <c r="AK4333" s="500"/>
      <c r="AL4333" s="500"/>
      <c r="AM4333" s="500"/>
      <c r="AN4333" s="500"/>
      <c r="AO4333" s="500"/>
      <c r="AP4333" s="500"/>
    </row>
    <row r="4334" spans="1:42" ht="16.5" customHeight="1">
      <c r="A4334" s="439"/>
      <c r="B4334" s="439"/>
      <c r="C4334" s="439"/>
      <c r="D4334" s="439"/>
      <c r="E4334" s="439"/>
      <c r="F4334" s="439"/>
      <c r="G4334" s="451" t="s">
        <v>3406</v>
      </c>
      <c r="Z4334" s="500"/>
      <c r="AA4334" s="500"/>
      <c r="AB4334" s="500"/>
      <c r="AC4334" s="500"/>
      <c r="AD4334" s="500"/>
      <c r="AE4334" s="500"/>
      <c r="AF4334" s="500"/>
      <c r="AG4334" s="500"/>
      <c r="AH4334" s="500"/>
      <c r="AI4334" s="500"/>
      <c r="AJ4334" s="500"/>
      <c r="AK4334" s="500"/>
      <c r="AL4334" s="500"/>
      <c r="AM4334" s="500"/>
      <c r="AN4334" s="500"/>
      <c r="AO4334" s="500"/>
      <c r="AP4334" s="500"/>
    </row>
    <row r="4335" spans="1:42" ht="16.5" customHeight="1">
      <c r="A4335" s="439"/>
      <c r="B4335" s="439"/>
      <c r="C4335" s="439"/>
      <c r="D4335" s="439"/>
      <c r="E4335" s="439"/>
      <c r="F4335" s="439"/>
      <c r="G4335" s="451" t="s">
        <v>3406</v>
      </c>
      <c r="Z4335" s="500"/>
      <c r="AA4335" s="500"/>
      <c r="AB4335" s="500"/>
      <c r="AC4335" s="500"/>
      <c r="AD4335" s="500"/>
      <c r="AE4335" s="500"/>
      <c r="AF4335" s="500"/>
      <c r="AG4335" s="500"/>
      <c r="AH4335" s="500"/>
      <c r="AI4335" s="500"/>
      <c r="AJ4335" s="500"/>
      <c r="AK4335" s="500"/>
      <c r="AL4335" s="500"/>
      <c r="AM4335" s="500"/>
      <c r="AN4335" s="500"/>
      <c r="AO4335" s="500"/>
      <c r="AP4335" s="500"/>
    </row>
    <row r="4336" spans="1:42" ht="16.5" customHeight="1">
      <c r="A4336" s="439"/>
      <c r="B4336" s="439"/>
      <c r="C4336" s="439"/>
      <c r="D4336" s="439"/>
      <c r="E4336" s="439"/>
      <c r="F4336" s="439"/>
      <c r="G4336" s="451" t="s">
        <v>3406</v>
      </c>
      <c r="Z4336" s="500"/>
      <c r="AA4336" s="500"/>
      <c r="AB4336" s="500"/>
      <c r="AC4336" s="500"/>
      <c r="AD4336" s="500"/>
      <c r="AE4336" s="500"/>
      <c r="AF4336" s="500"/>
      <c r="AG4336" s="500"/>
      <c r="AH4336" s="500"/>
      <c r="AI4336" s="500"/>
      <c r="AJ4336" s="500"/>
      <c r="AK4336" s="500"/>
      <c r="AL4336" s="500"/>
      <c r="AM4336" s="500"/>
      <c r="AN4336" s="500"/>
      <c r="AO4336" s="500"/>
      <c r="AP4336" s="500"/>
    </row>
    <row r="4337" spans="1:42" ht="16.5" customHeight="1">
      <c r="A4337" s="439"/>
      <c r="B4337" s="439"/>
      <c r="C4337" s="439"/>
      <c r="D4337" s="439"/>
      <c r="E4337" s="439"/>
      <c r="F4337" s="439"/>
      <c r="G4337" s="451" t="s">
        <v>3406</v>
      </c>
      <c r="Z4337" s="500"/>
      <c r="AA4337" s="500"/>
      <c r="AB4337" s="500"/>
      <c r="AC4337" s="500"/>
      <c r="AD4337" s="500"/>
      <c r="AE4337" s="500"/>
      <c r="AF4337" s="500"/>
      <c r="AG4337" s="500"/>
      <c r="AH4337" s="500"/>
      <c r="AI4337" s="500"/>
      <c r="AJ4337" s="500"/>
      <c r="AK4337" s="500"/>
      <c r="AL4337" s="500"/>
      <c r="AM4337" s="500"/>
      <c r="AN4337" s="500"/>
      <c r="AO4337" s="500"/>
      <c r="AP4337" s="500"/>
    </row>
    <row r="4338" spans="1:42" ht="16.5" customHeight="1">
      <c r="A4338" s="434"/>
      <c r="B4338" s="505" t="str">
        <f>" 2. 기계경비(인력품의 3%) : "&amp;TEXT(I4338,"#,##0.0")&amp;" * "&amp;AA4338&amp;" %  = "&amp;TEXT(C4338,"#,##0.0")&amp;""</f>
        <v xml:space="preserve"> 2. 기계경비(인력품의 3%) : 35,693.0 * 3 %  = 1,070.7</v>
      </c>
      <c r="C4338" s="506">
        <f>E4338+D4338+F4338</f>
        <v>1070.7</v>
      </c>
      <c r="D4338" s="506">
        <f>IF(H4338=0,0,ROUNDDOWN(J4338*H4338/100,1))</f>
        <v>0</v>
      </c>
      <c r="E4338" s="506">
        <f>IF(H4338=0,0,ROUNDDOWN(K4338*H4338/100,1))</f>
        <v>0</v>
      </c>
      <c r="F4338" s="506">
        <f>IF(H4338=0,0,ROUNDDOWN(L4338*H4338/100,1))</f>
        <v>1070.7</v>
      </c>
      <c r="G4338" s="451" t="s">
        <v>3923</v>
      </c>
      <c r="H4338" s="507">
        <f>ROUNDUP(AC4338,14-LEN(ABS(INT(AC4338))))</f>
        <v>3</v>
      </c>
      <c r="I4338" s="508">
        <f>K4338+J4338+L4338</f>
        <v>35693</v>
      </c>
      <c r="J4338" s="456">
        <v>0</v>
      </c>
      <c r="K4338" s="456">
        <v>0</v>
      </c>
      <c r="L4338" s="509">
        <f>D4320+D4322</f>
        <v>35693</v>
      </c>
      <c r="M4338" s="501" t="s">
        <v>3743</v>
      </c>
      <c r="N4338" s="501" t="s">
        <v>3416</v>
      </c>
      <c r="Z4338" s="501" t="s">
        <v>3500</v>
      </c>
      <c r="AA4338" s="515">
        <v>3</v>
      </c>
      <c r="AB4338" s="501" t="s">
        <v>3418</v>
      </c>
      <c r="AC4338" s="512">
        <f>1*AA4338</f>
        <v>3</v>
      </c>
      <c r="AD4338" s="500"/>
      <c r="AE4338" s="500"/>
      <c r="AF4338" s="500"/>
      <c r="AG4338" s="500"/>
      <c r="AH4338" s="500"/>
      <c r="AI4338" s="500"/>
      <c r="AJ4338" s="500"/>
      <c r="AK4338" s="500"/>
      <c r="AL4338" s="500"/>
      <c r="AM4338" s="500"/>
      <c r="AN4338" s="500"/>
      <c r="AO4338" s="500"/>
      <c r="AP4338" s="500"/>
    </row>
    <row r="4339" spans="1:42" ht="16.5" customHeight="1">
      <c r="A4339" s="439"/>
      <c r="B4339" s="439"/>
      <c r="C4339" s="439"/>
      <c r="D4339" s="439"/>
      <c r="E4339" s="439"/>
      <c r="F4339" s="439"/>
      <c r="G4339" s="451" t="s">
        <v>3406</v>
      </c>
      <c r="Z4339" s="500"/>
      <c r="AA4339" s="500"/>
      <c r="AB4339" s="500"/>
      <c r="AC4339" s="500"/>
      <c r="AD4339" s="500"/>
      <c r="AE4339" s="500"/>
      <c r="AF4339" s="500"/>
      <c r="AG4339" s="500"/>
      <c r="AH4339" s="500"/>
      <c r="AI4339" s="500"/>
      <c r="AJ4339" s="500"/>
      <c r="AK4339" s="500"/>
      <c r="AL4339" s="500"/>
      <c r="AM4339" s="500"/>
      <c r="AN4339" s="500"/>
      <c r="AO4339" s="500"/>
      <c r="AP4339" s="500"/>
    </row>
    <row r="4340" spans="1:42" ht="16.5" customHeight="1">
      <c r="A4340" s="434"/>
      <c r="B4340" s="437" t="s">
        <v>3419</v>
      </c>
      <c r="C4340" s="513">
        <f>E4340+D4340+F4340</f>
        <v>33205.199999999997</v>
      </c>
      <c r="D4340" s="513">
        <f>SUMIF(N4325:N4339,M4340,D4325:D4339)</f>
        <v>22123.5</v>
      </c>
      <c r="E4340" s="513">
        <f>SUMIF(N4325:N4339,M4340,E4325:E4339)</f>
        <v>2279.5</v>
      </c>
      <c r="F4340" s="513">
        <f>SUMIF(N4325:N4339,M4340,F4325:F4339)</f>
        <v>8802.2000000000007</v>
      </c>
      <c r="G4340" s="451" t="s">
        <v>3420</v>
      </c>
      <c r="M4340" s="501" t="s">
        <v>3416</v>
      </c>
      <c r="N4340" s="501" t="s">
        <v>3421</v>
      </c>
      <c r="Z4340" s="500"/>
      <c r="AA4340" s="500"/>
      <c r="AB4340" s="500"/>
      <c r="AC4340" s="500"/>
      <c r="AD4340" s="500"/>
      <c r="AE4340" s="500"/>
      <c r="AF4340" s="500"/>
      <c r="AG4340" s="500"/>
      <c r="AH4340" s="500"/>
      <c r="AI4340" s="500"/>
      <c r="AJ4340" s="500"/>
      <c r="AK4340" s="500"/>
      <c r="AL4340" s="500"/>
      <c r="AM4340" s="500"/>
      <c r="AN4340" s="500"/>
      <c r="AO4340" s="500"/>
      <c r="AP4340" s="500"/>
    </row>
    <row r="4341" spans="1:42" ht="16.5" customHeight="1">
      <c r="A4341" s="439"/>
      <c r="B4341" s="439"/>
      <c r="C4341" s="504"/>
      <c r="D4341" s="504"/>
      <c r="E4341" s="504"/>
      <c r="F4341" s="504"/>
      <c r="G4341" s="451" t="s">
        <v>3406</v>
      </c>
      <c r="Z4341" s="500"/>
      <c r="AA4341" s="500"/>
      <c r="AB4341" s="500"/>
      <c r="AC4341" s="500"/>
      <c r="AD4341" s="500"/>
      <c r="AE4341" s="500"/>
      <c r="AF4341" s="500"/>
      <c r="AG4341" s="500"/>
      <c r="AH4341" s="500"/>
      <c r="AI4341" s="500"/>
      <c r="AJ4341" s="500"/>
      <c r="AK4341" s="500"/>
      <c r="AL4341" s="500"/>
      <c r="AM4341" s="500"/>
      <c r="AN4341" s="500"/>
      <c r="AO4341" s="500"/>
      <c r="AP4341" s="500"/>
    </row>
    <row r="4342" spans="1:42" ht="16.5" customHeight="1">
      <c r="A4342" s="439"/>
      <c r="B4342" s="439"/>
      <c r="C4342" s="439"/>
      <c r="D4342" s="439"/>
      <c r="E4342" s="439"/>
      <c r="F4342" s="439"/>
      <c r="G4342" s="451" t="s">
        <v>3406</v>
      </c>
      <c r="Z4342" s="500"/>
      <c r="AA4342" s="500"/>
      <c r="AB4342" s="500"/>
      <c r="AC4342" s="500"/>
      <c r="AD4342" s="500"/>
      <c r="AE4342" s="500"/>
      <c r="AF4342" s="500"/>
      <c r="AG4342" s="500"/>
      <c r="AH4342" s="500"/>
      <c r="AI4342" s="500"/>
      <c r="AJ4342" s="500"/>
      <c r="AK4342" s="500"/>
      <c r="AL4342" s="500"/>
      <c r="AM4342" s="500"/>
      <c r="AN4342" s="500"/>
      <c r="AO4342" s="500"/>
      <c r="AP4342" s="500"/>
    </row>
    <row r="4343" spans="1:42" ht="16.5" customHeight="1">
      <c r="A4343" s="434"/>
      <c r="B4343" s="437" t="s">
        <v>3440</v>
      </c>
      <c r="C4343" s="513">
        <f>E4343+D4343+F4343</f>
        <v>68898.2</v>
      </c>
      <c r="D4343" s="513">
        <f>SUMIF(N4307:N4342,M4343,D4307:D4342)</f>
        <v>57816.5</v>
      </c>
      <c r="E4343" s="513">
        <f>SUMIF(N4307:N4342,M4343,E4307:E4342)</f>
        <v>2279.5</v>
      </c>
      <c r="F4343" s="513">
        <f>SUMIF(N4307:N4342,M4343,F4307:F4342)</f>
        <v>8802.2000000000007</v>
      </c>
      <c r="G4343" s="451" t="s">
        <v>3484</v>
      </c>
      <c r="M4343" s="501" t="s">
        <v>3421</v>
      </c>
      <c r="N4343" s="501" t="s">
        <v>2354</v>
      </c>
      <c r="Z4343" s="500"/>
      <c r="AA4343" s="500"/>
      <c r="AB4343" s="500"/>
      <c r="AC4343" s="500"/>
      <c r="AD4343" s="500"/>
      <c r="AE4343" s="500"/>
      <c r="AF4343" s="500"/>
      <c r="AG4343" s="500"/>
      <c r="AH4343" s="500"/>
      <c r="AI4343" s="500"/>
      <c r="AJ4343" s="500"/>
      <c r="AK4343" s="500"/>
      <c r="AL4343" s="500"/>
      <c r="AM4343" s="500"/>
      <c r="AN4343" s="500"/>
      <c r="AO4343" s="500"/>
      <c r="AP4343" s="500"/>
    </row>
    <row r="4344" spans="1:42" ht="16.5" customHeight="1">
      <c r="A4344" s="439"/>
      <c r="B4344" s="439"/>
      <c r="C4344" s="504"/>
      <c r="D4344" s="504"/>
      <c r="E4344" s="504"/>
      <c r="F4344" s="504"/>
      <c r="Z4344" s="500"/>
      <c r="AA4344" s="500"/>
      <c r="AB4344" s="500"/>
      <c r="AC4344" s="500"/>
      <c r="AD4344" s="500"/>
      <c r="AE4344" s="500"/>
      <c r="AF4344" s="500"/>
      <c r="AG4344" s="500"/>
      <c r="AH4344" s="500"/>
      <c r="AI4344" s="500"/>
      <c r="AJ4344" s="500"/>
      <c r="AK4344" s="500"/>
      <c r="AL4344" s="500"/>
      <c r="AM4344" s="500"/>
      <c r="AN4344" s="500"/>
      <c r="AO4344" s="500"/>
      <c r="AP4344" s="500"/>
    </row>
    <row r="4345" spans="1:42" ht="16.5" customHeight="1">
      <c r="A4345" s="439"/>
      <c r="B4345" s="439"/>
      <c r="C4345" s="439"/>
      <c r="D4345" s="439"/>
      <c r="E4345" s="439"/>
      <c r="F4345" s="439"/>
      <c r="Z4345" s="500"/>
      <c r="AA4345" s="500"/>
      <c r="AB4345" s="500"/>
      <c r="AC4345" s="500"/>
      <c r="AD4345" s="500"/>
      <c r="AE4345" s="500"/>
      <c r="AF4345" s="500"/>
      <c r="AG4345" s="500"/>
      <c r="AH4345" s="500"/>
      <c r="AI4345" s="500"/>
      <c r="AJ4345" s="500"/>
      <c r="AK4345" s="500"/>
      <c r="AL4345" s="500"/>
      <c r="AM4345" s="500"/>
      <c r="AN4345" s="500"/>
      <c r="AO4345" s="500"/>
      <c r="AP4345" s="500"/>
    </row>
    <row r="4346" spans="1:42" ht="16.5" customHeight="1">
      <c r="A4346" s="439"/>
      <c r="B4346" s="439"/>
      <c r="C4346" s="439"/>
      <c r="D4346" s="439"/>
      <c r="E4346" s="439"/>
      <c r="F4346" s="439"/>
      <c r="Z4346" s="500"/>
      <c r="AA4346" s="500"/>
      <c r="AB4346" s="500"/>
      <c r="AC4346" s="500"/>
      <c r="AD4346" s="500"/>
      <c r="AE4346" s="500"/>
      <c r="AF4346" s="500"/>
      <c r="AG4346" s="500"/>
      <c r="AH4346" s="500"/>
      <c r="AI4346" s="500"/>
      <c r="AJ4346" s="500"/>
      <c r="AK4346" s="500"/>
      <c r="AL4346" s="500"/>
      <c r="AM4346" s="500"/>
      <c r="AN4346" s="500"/>
      <c r="AO4346" s="500"/>
      <c r="AP4346" s="500"/>
    </row>
    <row r="4347" spans="1:42" ht="16.5" customHeight="1">
      <c r="A4347" s="439"/>
      <c r="B4347" s="439"/>
      <c r="C4347" s="439"/>
      <c r="D4347" s="439"/>
      <c r="E4347" s="439"/>
      <c r="F4347" s="439"/>
      <c r="Z4347" s="500"/>
      <c r="AA4347" s="500"/>
      <c r="AB4347" s="500"/>
      <c r="AC4347" s="500"/>
      <c r="AD4347" s="500"/>
      <c r="AE4347" s="500"/>
      <c r="AF4347" s="500"/>
      <c r="AG4347" s="500"/>
      <c r="AH4347" s="500"/>
      <c r="AI4347" s="500"/>
      <c r="AJ4347" s="500"/>
      <c r="AK4347" s="500"/>
      <c r="AL4347" s="500"/>
      <c r="AM4347" s="500"/>
      <c r="AN4347" s="500"/>
      <c r="AO4347" s="500"/>
      <c r="AP4347" s="500"/>
    </row>
    <row r="4348" spans="1:42" ht="16.5" customHeight="1">
      <c r="A4348" s="439"/>
      <c r="B4348" s="439"/>
      <c r="C4348" s="439"/>
      <c r="D4348" s="439"/>
      <c r="E4348" s="439"/>
      <c r="F4348" s="439"/>
      <c r="Z4348" s="500"/>
      <c r="AA4348" s="500"/>
      <c r="AB4348" s="500"/>
      <c r="AC4348" s="500"/>
      <c r="AD4348" s="500"/>
      <c r="AE4348" s="500"/>
      <c r="AF4348" s="500"/>
      <c r="AG4348" s="500"/>
      <c r="AH4348" s="500"/>
      <c r="AI4348" s="500"/>
      <c r="AJ4348" s="500"/>
      <c r="AK4348" s="500"/>
      <c r="AL4348" s="500"/>
      <c r="AM4348" s="500"/>
      <c r="AN4348" s="500"/>
      <c r="AO4348" s="500"/>
      <c r="AP4348" s="500"/>
    </row>
    <row r="4349" spans="1:42" ht="16.5" customHeight="1">
      <c r="A4349" s="439"/>
      <c r="B4349" s="439"/>
      <c r="C4349" s="439"/>
      <c r="D4349" s="439"/>
      <c r="E4349" s="439"/>
      <c r="F4349" s="439"/>
      <c r="Z4349" s="500"/>
      <c r="AA4349" s="500"/>
      <c r="AB4349" s="500"/>
      <c r="AC4349" s="500"/>
      <c r="AD4349" s="500"/>
      <c r="AE4349" s="500"/>
      <c r="AF4349" s="500"/>
      <c r="AG4349" s="500"/>
      <c r="AH4349" s="500"/>
      <c r="AI4349" s="500"/>
      <c r="AJ4349" s="500"/>
      <c r="AK4349" s="500"/>
      <c r="AL4349" s="500"/>
      <c r="AM4349" s="500"/>
      <c r="AN4349" s="500"/>
      <c r="AO4349" s="500"/>
      <c r="AP4349" s="500"/>
    </row>
    <row r="4350" spans="1:42" ht="16.5" customHeight="1">
      <c r="A4350" s="439"/>
      <c r="B4350" s="439"/>
      <c r="C4350" s="439"/>
      <c r="D4350" s="439"/>
      <c r="E4350" s="439"/>
      <c r="F4350" s="439"/>
      <c r="Z4350" s="500"/>
      <c r="AA4350" s="500"/>
      <c r="AB4350" s="500"/>
      <c r="AC4350" s="500"/>
      <c r="AD4350" s="500"/>
      <c r="AE4350" s="500"/>
      <c r="AF4350" s="500"/>
      <c r="AG4350" s="500"/>
      <c r="AH4350" s="500"/>
      <c r="AI4350" s="500"/>
      <c r="AJ4350" s="500"/>
      <c r="AK4350" s="500"/>
      <c r="AL4350" s="500"/>
      <c r="AM4350" s="500"/>
      <c r="AN4350" s="500"/>
      <c r="AO4350" s="500"/>
      <c r="AP4350" s="500"/>
    </row>
    <row r="4351" spans="1:42" ht="16.5" customHeight="1">
      <c r="A4351" s="439"/>
      <c r="B4351" s="439"/>
      <c r="C4351" s="439"/>
      <c r="D4351" s="439"/>
      <c r="E4351" s="439"/>
      <c r="F4351" s="439"/>
      <c r="Z4351" s="500"/>
      <c r="AA4351" s="500"/>
      <c r="AB4351" s="500"/>
      <c r="AC4351" s="500"/>
      <c r="AD4351" s="500"/>
      <c r="AE4351" s="500"/>
      <c r="AF4351" s="500"/>
      <c r="AG4351" s="500"/>
      <c r="AH4351" s="500"/>
      <c r="AI4351" s="500"/>
      <c r="AJ4351" s="500"/>
      <c r="AK4351" s="500"/>
      <c r="AL4351" s="500"/>
      <c r="AM4351" s="500"/>
      <c r="AN4351" s="500"/>
      <c r="AO4351" s="500"/>
      <c r="AP4351" s="500"/>
    </row>
    <row r="4352" spans="1:42" ht="16.5" customHeight="1">
      <c r="A4352" s="439"/>
      <c r="B4352" s="439"/>
      <c r="C4352" s="439"/>
      <c r="D4352" s="439"/>
      <c r="E4352" s="439"/>
      <c r="F4352" s="439"/>
      <c r="Z4352" s="500"/>
      <c r="AA4352" s="500"/>
      <c r="AB4352" s="500"/>
      <c r="AC4352" s="500"/>
      <c r="AD4352" s="500"/>
      <c r="AE4352" s="500"/>
      <c r="AF4352" s="500"/>
      <c r="AG4352" s="500"/>
      <c r="AH4352" s="500"/>
      <c r="AI4352" s="500"/>
      <c r="AJ4352" s="500"/>
      <c r="AK4352" s="500"/>
      <c r="AL4352" s="500"/>
      <c r="AM4352" s="500"/>
      <c r="AN4352" s="500"/>
      <c r="AO4352" s="500"/>
      <c r="AP4352" s="500"/>
    </row>
    <row r="4353" spans="1:42" ht="16.5" customHeight="1">
      <c r="A4353" s="497"/>
      <c r="B4353" s="497"/>
      <c r="C4353" s="497"/>
      <c r="D4353" s="497"/>
      <c r="E4353" s="497"/>
      <c r="F4353" s="497"/>
      <c r="Z4353" s="500"/>
      <c r="AA4353" s="500"/>
      <c r="AB4353" s="500"/>
      <c r="AC4353" s="500"/>
      <c r="AD4353" s="500"/>
      <c r="AE4353" s="500"/>
      <c r="AF4353" s="500"/>
      <c r="AG4353" s="500"/>
      <c r="AH4353" s="500"/>
      <c r="AI4353" s="500"/>
      <c r="AJ4353" s="500"/>
      <c r="AK4353" s="500"/>
      <c r="AL4353" s="500"/>
      <c r="AM4353" s="500"/>
      <c r="AN4353" s="500"/>
      <c r="AO4353" s="500"/>
      <c r="AP4353" s="500"/>
    </row>
    <row r="4354" spans="1:42" ht="16.5" customHeight="1">
      <c r="A4354" s="616" t="s">
        <v>3487</v>
      </c>
      <c r="B4354" s="605"/>
      <c r="C4354" s="446">
        <f>E4354+D4354+F4354</f>
        <v>68897</v>
      </c>
      <c r="D4354" s="453">
        <f>ROUNDDOWN(SUMIF(N4307:N4343,M4354,D4307:D4343),0)</f>
        <v>57816</v>
      </c>
      <c r="E4354" s="454">
        <f>ROUNDDOWN(SUMIF(N4307:N4343,M4354,E4307:E4343),0)</f>
        <v>2279</v>
      </c>
      <c r="F4354" s="446">
        <f>ROUNDDOWN(SUMIF(N4307:N4343,M4354,F4307:F4343),0)</f>
        <v>8802</v>
      </c>
      <c r="M4354" s="501" t="s">
        <v>2354</v>
      </c>
      <c r="Z4354" s="500"/>
      <c r="AA4354" s="500"/>
      <c r="AB4354" s="500"/>
      <c r="AC4354" s="500"/>
      <c r="AD4354" s="500"/>
      <c r="AE4354" s="500"/>
      <c r="AF4354" s="500"/>
      <c r="AG4354" s="500"/>
      <c r="AH4354" s="500"/>
      <c r="AI4354" s="500"/>
      <c r="AJ4354" s="500"/>
      <c r="AK4354" s="500"/>
      <c r="AL4354" s="500"/>
      <c r="AM4354" s="500"/>
      <c r="AN4354" s="500"/>
      <c r="AO4354" s="500"/>
      <c r="AP4354" s="500"/>
    </row>
    <row r="4355" spans="1:42" ht="16.5" customHeight="1">
      <c r="A4355" s="502" t="s">
        <v>3371</v>
      </c>
      <c r="B4355" s="503" t="s">
        <v>1958</v>
      </c>
      <c r="C4355" s="615">
        <f>C4404</f>
        <v>95396</v>
      </c>
      <c r="D4355" s="615">
        <f>D4404</f>
        <v>80053</v>
      </c>
      <c r="E4355" s="615">
        <f>E4404</f>
        <v>3156</v>
      </c>
      <c r="F4355" s="615">
        <f>F4404</f>
        <v>12187</v>
      </c>
      <c r="G4355" s="486" t="str">
        <f>HYPERLINK("#G"&amp;ROW(G4393),"_x0005_`BDCOD|D01283_x0007_`POSS|"&amp;ROW(G4357)&amp;"_x0007_`POSE|"&amp;ROW(G4393)&amp;"_x0007_`")</f>
        <v>_x0005_`BDCOD|D01283_x0007_`POSS|4357_x0007_`POSE|4393_x0007_`</v>
      </c>
      <c r="Z4355" s="500"/>
      <c r="AA4355" s="500"/>
      <c r="AB4355" s="500"/>
      <c r="AC4355" s="500"/>
      <c r="AD4355" s="500"/>
      <c r="AE4355" s="500"/>
      <c r="AF4355" s="500"/>
      <c r="AG4355" s="500"/>
      <c r="AH4355" s="500"/>
      <c r="AI4355" s="500"/>
      <c r="AJ4355" s="500"/>
      <c r="AK4355" s="500"/>
      <c r="AL4355" s="500"/>
      <c r="AM4355" s="500"/>
      <c r="AN4355" s="500"/>
      <c r="AO4355" s="500"/>
      <c r="AP4355" s="500"/>
    </row>
    <row r="4356" spans="1:42" ht="16.5" customHeight="1">
      <c r="A4356" s="485"/>
      <c r="B4356" s="503" t="s">
        <v>3924</v>
      </c>
      <c r="C4356" s="593"/>
      <c r="D4356" s="593"/>
      <c r="E4356" s="593"/>
      <c r="F4356" s="593"/>
      <c r="M4356" s="501" t="s">
        <v>1958</v>
      </c>
      <c r="Z4356" s="500"/>
      <c r="AA4356" s="500"/>
      <c r="AB4356" s="500"/>
      <c r="AC4356" s="500"/>
      <c r="AD4356" s="500"/>
      <c r="AE4356" s="500"/>
      <c r="AF4356" s="500"/>
      <c r="AG4356" s="500"/>
      <c r="AH4356" s="500"/>
      <c r="AI4356" s="500"/>
      <c r="AJ4356" s="500"/>
      <c r="AK4356" s="500"/>
      <c r="AL4356" s="500"/>
      <c r="AM4356" s="500"/>
      <c r="AN4356" s="500"/>
      <c r="AO4356" s="500"/>
      <c r="AP4356" s="500"/>
    </row>
    <row r="4357" spans="1:42" ht="16.5" customHeight="1">
      <c r="A4357" s="439"/>
      <c r="B4357" s="439"/>
      <c r="C4357" s="504"/>
      <c r="D4357" s="504"/>
      <c r="E4357" s="504"/>
      <c r="F4357" s="504"/>
      <c r="G4357" s="451" t="s">
        <v>3406</v>
      </c>
      <c r="Z4357" s="500"/>
      <c r="AA4357" s="500"/>
      <c r="AB4357" s="500"/>
      <c r="AC4357" s="500"/>
      <c r="AD4357" s="500"/>
      <c r="AE4357" s="500"/>
      <c r="AF4357" s="500"/>
      <c r="AG4357" s="500"/>
      <c r="AH4357" s="500"/>
      <c r="AI4357" s="500"/>
      <c r="AJ4357" s="500"/>
      <c r="AK4357" s="500"/>
      <c r="AL4357" s="500"/>
      <c r="AM4357" s="500"/>
      <c r="AN4357" s="500"/>
      <c r="AO4357" s="500"/>
      <c r="AP4357" s="500"/>
    </row>
    <row r="4358" spans="1:42" ht="16.5" customHeight="1">
      <c r="A4358" s="434"/>
      <c r="B4358" s="437" t="s">
        <v>3925</v>
      </c>
      <c r="C4358" s="439"/>
      <c r="D4358" s="439"/>
      <c r="E4358" s="439"/>
      <c r="F4358" s="439"/>
      <c r="G4358" s="451" t="s">
        <v>3926</v>
      </c>
      <c r="Z4358" s="500"/>
      <c r="AA4358" s="500"/>
      <c r="AB4358" s="500"/>
      <c r="AC4358" s="500"/>
      <c r="AD4358" s="500"/>
      <c r="AE4358" s="500"/>
      <c r="AF4358" s="500"/>
      <c r="AG4358" s="500"/>
      <c r="AH4358" s="500"/>
      <c r="AI4358" s="500"/>
      <c r="AJ4358" s="500"/>
      <c r="AK4358" s="500"/>
      <c r="AL4358" s="500"/>
      <c r="AM4358" s="500"/>
      <c r="AN4358" s="500"/>
      <c r="AO4358" s="500"/>
      <c r="AP4358" s="500"/>
    </row>
    <row r="4359" spans="1:42" ht="16.5" customHeight="1">
      <c r="A4359" s="439"/>
      <c r="B4359" s="439"/>
      <c r="C4359" s="439"/>
      <c r="D4359" s="439"/>
      <c r="E4359" s="439"/>
      <c r="F4359" s="439"/>
      <c r="G4359" s="451" t="s">
        <v>3406</v>
      </c>
      <c r="Z4359" s="500"/>
      <c r="AA4359" s="500"/>
      <c r="AB4359" s="500"/>
      <c r="AC4359" s="500"/>
      <c r="AD4359" s="500"/>
      <c r="AE4359" s="500"/>
      <c r="AF4359" s="500"/>
      <c r="AG4359" s="500"/>
      <c r="AH4359" s="500"/>
      <c r="AI4359" s="500"/>
      <c r="AJ4359" s="500"/>
      <c r="AK4359" s="500"/>
      <c r="AL4359" s="500"/>
      <c r="AM4359" s="500"/>
      <c r="AN4359" s="500"/>
      <c r="AO4359" s="500"/>
      <c r="AP4359" s="500"/>
    </row>
    <row r="4360" spans="1:42" ht="16.5" customHeight="1">
      <c r="A4360" s="434"/>
      <c r="B4360" s="437" t="s">
        <v>3907</v>
      </c>
      <c r="C4360" s="439"/>
      <c r="D4360" s="439"/>
      <c r="E4360" s="439"/>
      <c r="F4360" s="439"/>
      <c r="G4360" s="451" t="s">
        <v>3908</v>
      </c>
      <c r="Z4360" s="500"/>
      <c r="AA4360" s="500"/>
      <c r="AB4360" s="500"/>
      <c r="AC4360" s="500"/>
      <c r="AD4360" s="500"/>
      <c r="AE4360" s="500"/>
      <c r="AF4360" s="500"/>
      <c r="AG4360" s="500"/>
      <c r="AH4360" s="500"/>
      <c r="AI4360" s="500"/>
      <c r="AJ4360" s="500"/>
      <c r="AK4360" s="500"/>
      <c r="AL4360" s="500"/>
      <c r="AM4360" s="500"/>
      <c r="AN4360" s="500"/>
      <c r="AO4360" s="500"/>
      <c r="AP4360" s="500"/>
    </row>
    <row r="4361" spans="1:42" ht="16.5" customHeight="1">
      <c r="A4361" s="439"/>
      <c r="B4361" s="439"/>
      <c r="C4361" s="439"/>
      <c r="D4361" s="439"/>
      <c r="E4361" s="439"/>
      <c r="F4361" s="439"/>
      <c r="G4361" s="451" t="s">
        <v>3406</v>
      </c>
      <c r="Z4361" s="500"/>
      <c r="AA4361" s="500"/>
      <c r="AB4361" s="500"/>
      <c r="AC4361" s="500"/>
      <c r="AD4361" s="500"/>
      <c r="AE4361" s="500"/>
      <c r="AF4361" s="500"/>
      <c r="AG4361" s="500"/>
      <c r="AH4361" s="500"/>
      <c r="AI4361" s="500"/>
      <c r="AJ4361" s="500"/>
      <c r="AK4361" s="500"/>
      <c r="AL4361" s="500"/>
      <c r="AM4361" s="500"/>
      <c r="AN4361" s="500"/>
      <c r="AO4361" s="500"/>
      <c r="AP4361" s="500"/>
    </row>
    <row r="4362" spans="1:42" ht="16.5" customHeight="1">
      <c r="A4362" s="439"/>
      <c r="B4362" s="439"/>
      <c r="C4362" s="439"/>
      <c r="D4362" s="439"/>
      <c r="E4362" s="439"/>
      <c r="F4362" s="439"/>
      <c r="G4362" s="451" t="s">
        <v>3406</v>
      </c>
      <c r="Z4362" s="500"/>
      <c r="AA4362" s="500"/>
      <c r="AB4362" s="500"/>
      <c r="AC4362" s="500"/>
      <c r="AD4362" s="500"/>
      <c r="AE4362" s="500"/>
      <c r="AF4362" s="500"/>
      <c r="AG4362" s="500"/>
      <c r="AH4362" s="500"/>
      <c r="AI4362" s="500"/>
      <c r="AJ4362" s="500"/>
      <c r="AK4362" s="500"/>
      <c r="AL4362" s="500"/>
      <c r="AM4362" s="500"/>
      <c r="AN4362" s="500"/>
      <c r="AO4362" s="500"/>
      <c r="AP4362" s="500"/>
    </row>
    <row r="4363" spans="1:42" ht="16.5" customHeight="1">
      <c r="A4363" s="434"/>
      <c r="B4363" s="437" t="str">
        <f>" 일당 작업량 :  Q = "&amp;Z4363&amp;" 주 "</f>
        <v xml:space="preserve"> 일당 작업량 :  Q = 13 주 </v>
      </c>
      <c r="C4363" s="439"/>
      <c r="D4363" s="439"/>
      <c r="E4363" s="439"/>
      <c r="F4363" s="439"/>
      <c r="G4363" s="451" t="s">
        <v>3927</v>
      </c>
      <c r="Z4363" s="515">
        <v>13</v>
      </c>
      <c r="AA4363" s="501" t="s">
        <v>3418</v>
      </c>
      <c r="AB4363" s="512">
        <f>Z4363</f>
        <v>13</v>
      </c>
      <c r="AC4363" s="500"/>
      <c r="AD4363" s="500"/>
      <c r="AE4363" s="500"/>
      <c r="AF4363" s="500"/>
      <c r="AG4363" s="500"/>
      <c r="AH4363" s="500"/>
      <c r="AI4363" s="500"/>
      <c r="AJ4363" s="500"/>
      <c r="AK4363" s="500"/>
      <c r="AL4363" s="500"/>
      <c r="AM4363" s="500"/>
      <c r="AN4363" s="500"/>
      <c r="AO4363" s="500"/>
      <c r="AP4363" s="500"/>
    </row>
    <row r="4364" spans="1:42" ht="16.5" customHeight="1">
      <c r="A4364" s="439"/>
      <c r="B4364" s="439"/>
      <c r="C4364" s="439"/>
      <c r="D4364" s="439"/>
      <c r="E4364" s="439"/>
      <c r="F4364" s="439"/>
      <c r="G4364" s="451" t="s">
        <v>3406</v>
      </c>
      <c r="Z4364" s="500"/>
      <c r="AA4364" s="500"/>
      <c r="AB4364" s="500"/>
      <c r="AC4364" s="500"/>
      <c r="AD4364" s="500"/>
      <c r="AE4364" s="500"/>
      <c r="AF4364" s="500"/>
      <c r="AG4364" s="500"/>
      <c r="AH4364" s="500"/>
      <c r="AI4364" s="500"/>
      <c r="AJ4364" s="500"/>
      <c r="AK4364" s="500"/>
      <c r="AL4364" s="500"/>
      <c r="AM4364" s="500"/>
      <c r="AN4364" s="500"/>
      <c r="AO4364" s="500"/>
      <c r="AP4364" s="500"/>
    </row>
    <row r="4365" spans="1:42" ht="16.5" customHeight="1">
      <c r="A4365" s="434"/>
      <c r="B4365" s="437" t="s">
        <v>3910</v>
      </c>
      <c r="C4365" s="439"/>
      <c r="D4365" s="439"/>
      <c r="E4365" s="439"/>
      <c r="F4365" s="439"/>
      <c r="G4365" s="451" t="s">
        <v>3911</v>
      </c>
      <c r="Z4365" s="500"/>
      <c r="AA4365" s="500"/>
      <c r="AB4365" s="500"/>
      <c r="AC4365" s="500"/>
      <c r="AD4365" s="500"/>
      <c r="AE4365" s="500"/>
      <c r="AF4365" s="500"/>
      <c r="AG4365" s="500"/>
      <c r="AH4365" s="500"/>
      <c r="AI4365" s="500"/>
      <c r="AJ4365" s="500"/>
      <c r="AK4365" s="500"/>
      <c r="AL4365" s="500"/>
      <c r="AM4365" s="500"/>
      <c r="AN4365" s="500"/>
      <c r="AO4365" s="500"/>
      <c r="AP4365" s="500"/>
    </row>
    <row r="4366" spans="1:42" ht="16.5" customHeight="1">
      <c r="A4366" s="439"/>
      <c r="B4366" s="439"/>
      <c r="C4366" s="439"/>
      <c r="D4366" s="439"/>
      <c r="E4366" s="439"/>
      <c r="F4366" s="439"/>
      <c r="G4366" s="451" t="s">
        <v>3406</v>
      </c>
      <c r="Z4366" s="500"/>
      <c r="AA4366" s="500"/>
      <c r="AB4366" s="500"/>
      <c r="AC4366" s="500"/>
      <c r="AD4366" s="500"/>
      <c r="AE4366" s="500"/>
      <c r="AF4366" s="500"/>
      <c r="AG4366" s="500"/>
      <c r="AH4366" s="500"/>
      <c r="AI4366" s="500"/>
      <c r="AJ4366" s="500"/>
      <c r="AK4366" s="500"/>
      <c r="AL4366" s="500"/>
      <c r="AM4366" s="500"/>
      <c r="AN4366" s="500"/>
      <c r="AO4366" s="500"/>
      <c r="AP4366" s="500"/>
    </row>
    <row r="4367" spans="1:42" ht="16.5" customHeight="1">
      <c r="A4367" s="439"/>
      <c r="B4367" s="439"/>
      <c r="C4367" s="439"/>
      <c r="D4367" s="439"/>
      <c r="E4367" s="439"/>
      <c r="F4367" s="439"/>
      <c r="G4367" s="451" t="s">
        <v>3406</v>
      </c>
      <c r="Z4367" s="500"/>
      <c r="AA4367" s="500"/>
      <c r="AB4367" s="500"/>
      <c r="AC4367" s="500"/>
      <c r="AD4367" s="500"/>
      <c r="AE4367" s="500"/>
      <c r="AF4367" s="500"/>
      <c r="AG4367" s="500"/>
      <c r="AH4367" s="500"/>
      <c r="AI4367" s="500"/>
      <c r="AJ4367" s="500"/>
      <c r="AK4367" s="500"/>
      <c r="AL4367" s="500"/>
      <c r="AM4367" s="500"/>
      <c r="AN4367" s="500"/>
      <c r="AO4367" s="500"/>
      <c r="AP4367" s="500"/>
    </row>
    <row r="4368" spans="1:42" ht="16.5" customHeight="1">
      <c r="A4368" s="434"/>
      <c r="B4368" s="437" t="s">
        <v>3496</v>
      </c>
      <c r="C4368" s="439"/>
      <c r="D4368" s="439"/>
      <c r="E4368" s="439"/>
      <c r="F4368" s="439"/>
      <c r="G4368" s="451" t="s">
        <v>3497</v>
      </c>
      <c r="Z4368" s="500"/>
      <c r="AA4368" s="500"/>
      <c r="AB4368" s="500"/>
      <c r="AC4368" s="500"/>
      <c r="AD4368" s="500"/>
      <c r="AE4368" s="500"/>
      <c r="AF4368" s="500"/>
      <c r="AG4368" s="500"/>
      <c r="AH4368" s="500"/>
      <c r="AI4368" s="500"/>
      <c r="AJ4368" s="500"/>
      <c r="AK4368" s="500"/>
      <c r="AL4368" s="500"/>
      <c r="AM4368" s="500"/>
      <c r="AN4368" s="500"/>
      <c r="AO4368" s="500"/>
      <c r="AP4368" s="500"/>
    </row>
    <row r="4369" spans="1:42" ht="16.5" customHeight="1">
      <c r="A4369" s="439"/>
      <c r="B4369" s="439"/>
      <c r="C4369" s="439"/>
      <c r="D4369" s="439"/>
      <c r="E4369" s="439"/>
      <c r="F4369" s="439"/>
      <c r="G4369" s="451" t="s">
        <v>3406</v>
      </c>
      <c r="Z4369" s="500"/>
      <c r="AA4369" s="500"/>
      <c r="AB4369" s="500"/>
      <c r="AC4369" s="500"/>
      <c r="AD4369" s="500"/>
      <c r="AE4369" s="500"/>
      <c r="AF4369" s="500"/>
      <c r="AG4369" s="500"/>
      <c r="AH4369" s="500"/>
      <c r="AI4369" s="500"/>
      <c r="AJ4369" s="500"/>
      <c r="AK4369" s="500"/>
      <c r="AL4369" s="500"/>
      <c r="AM4369" s="500"/>
      <c r="AN4369" s="500"/>
      <c r="AO4369" s="500"/>
      <c r="AP4369" s="500"/>
    </row>
    <row r="4370" spans="1:42" ht="16.5" customHeight="1">
      <c r="A4370" s="434" t="s">
        <v>3498</v>
      </c>
      <c r="B4370" s="505" t="str">
        <f>" 조 경 공 : "&amp;TEXT(I4370,"#,##0"&amp;IF(I4370&lt;&gt;INT(I4370),".###",""))&amp;" * "&amp;AA4370&amp;" 인  / Q = "&amp;TEXT(C4370,"#,##0.0")&amp;" "</f>
        <v xml:space="preserve"> 조 경 공 : 235,204 * 2 인  / Q = 36,185.2 </v>
      </c>
      <c r="C4370" s="506">
        <f>E4370+D4370+F4370</f>
        <v>36185.199999999997</v>
      </c>
      <c r="D4370" s="506">
        <f>IF(H4370=0,0,ROUNDDOWN(J4370*H4370,1))</f>
        <v>36185.199999999997</v>
      </c>
      <c r="E4370" s="506">
        <f>IF(H4370=0,0,ROUNDDOWN(K4370*H4370,1))</f>
        <v>0</v>
      </c>
      <c r="F4370" s="506">
        <f>IF(H4370=0,0,ROUNDDOWN(L4370*H4370,1))</f>
        <v>0</v>
      </c>
      <c r="G4370" s="451" t="s">
        <v>3912</v>
      </c>
      <c r="H4370" s="507">
        <f>ROUNDUP(AE4370,14-LEN(ABS(INT(AE4370))))</f>
        <v>0.15384615384620001</v>
      </c>
      <c r="I4370" s="508">
        <f>K4370+J4370+L4370</f>
        <v>235204</v>
      </c>
      <c r="J4370" s="509">
        <f>노무비목록표!E15</f>
        <v>235204</v>
      </c>
      <c r="M4370" s="501" t="s">
        <v>2359</v>
      </c>
      <c r="N4370" s="501" t="s">
        <v>3416</v>
      </c>
      <c r="O4370" s="501" t="s">
        <v>2355</v>
      </c>
      <c r="X4370" s="510" t="str">
        <f>노무비목록표!B15&amp;" / "&amp;노무비목록표!C15</f>
        <v xml:space="preserve">조경공 / </v>
      </c>
      <c r="Y4370" s="433" t="str">
        <f ca="1">HYPERLINK("#"&amp;노무비목록표!G2&amp;"!A"&amp;ROW(노무비목록표!A15),"L00184 →")</f>
        <v>L00184 →</v>
      </c>
      <c r="Z4370" s="501" t="s">
        <v>3500</v>
      </c>
      <c r="AA4370" s="515">
        <v>2</v>
      </c>
      <c r="AB4370" s="501" t="s">
        <v>3428</v>
      </c>
      <c r="AC4370" s="512">
        <f>AB4363</f>
        <v>13</v>
      </c>
      <c r="AD4370" s="501" t="s">
        <v>3418</v>
      </c>
      <c r="AE4370" s="512">
        <f>1*AA4370/AB4363</f>
        <v>0.15384615384615385</v>
      </c>
      <c r="AF4370" s="500"/>
      <c r="AG4370" s="500"/>
      <c r="AH4370" s="500"/>
      <c r="AI4370" s="500"/>
      <c r="AJ4370" s="500"/>
      <c r="AK4370" s="500"/>
      <c r="AL4370" s="500"/>
      <c r="AM4370" s="500"/>
      <c r="AN4370" s="500"/>
      <c r="AO4370" s="500"/>
      <c r="AP4370" s="500"/>
    </row>
    <row r="4371" spans="1:42" ht="16.5" customHeight="1">
      <c r="A4371" s="439"/>
      <c r="B4371" s="439"/>
      <c r="C4371" s="439"/>
      <c r="D4371" s="439"/>
      <c r="E4371" s="439"/>
      <c r="F4371" s="439"/>
      <c r="G4371" s="451" t="s">
        <v>3406</v>
      </c>
      <c r="Z4371" s="500"/>
      <c r="AA4371" s="500"/>
      <c r="AB4371" s="500"/>
      <c r="AC4371" s="500"/>
      <c r="AD4371" s="500"/>
      <c r="AE4371" s="500"/>
      <c r="AF4371" s="500"/>
      <c r="AG4371" s="500"/>
      <c r="AH4371" s="500"/>
      <c r="AI4371" s="500"/>
      <c r="AJ4371" s="500"/>
      <c r="AK4371" s="500"/>
      <c r="AL4371" s="500"/>
      <c r="AM4371" s="500"/>
      <c r="AN4371" s="500"/>
      <c r="AO4371" s="500"/>
      <c r="AP4371" s="500"/>
    </row>
    <row r="4372" spans="1:42" ht="16.5" customHeight="1">
      <c r="A4372" s="434" t="s">
        <v>3414</v>
      </c>
      <c r="B4372" s="505" t="str">
        <f>" 보통인부 : "&amp;TEXT(I4372,"#,##0"&amp;IF(I4372&lt;&gt;INT(I4372),".###",""))&amp;" * "&amp;AA4372&amp;" 인  / Q = "&amp;TEXT(C4372,"#,##0.0")&amp;" "</f>
        <v xml:space="preserve"> 보통인부 : 172,068 * 1 인  / Q = 13,236.0 </v>
      </c>
      <c r="C4372" s="506">
        <f>E4372+D4372+F4372</f>
        <v>13236</v>
      </c>
      <c r="D4372" s="506">
        <f>IF(H4372=0,0,ROUNDDOWN(J4372*H4372,1))</f>
        <v>13236</v>
      </c>
      <c r="E4372" s="506">
        <f>IF(H4372=0,0,ROUNDDOWN(K4372*H4372,1))</f>
        <v>0</v>
      </c>
      <c r="F4372" s="506">
        <f>IF(H4372=0,0,ROUNDDOWN(L4372*H4372,1))</f>
        <v>0</v>
      </c>
      <c r="G4372" s="451" t="s">
        <v>3913</v>
      </c>
      <c r="H4372" s="507">
        <f>ROUNDUP(AE4372,14-LEN(ABS(INT(AE4372))))</f>
        <v>7.6923076923100006E-2</v>
      </c>
      <c r="I4372" s="508">
        <f>K4372+J4372+L4372</f>
        <v>172068</v>
      </c>
      <c r="J4372" s="509">
        <f>노무비목록표!E10</f>
        <v>172068</v>
      </c>
      <c r="M4372" s="501" t="s">
        <v>2363</v>
      </c>
      <c r="N4372" s="501" t="s">
        <v>3416</v>
      </c>
      <c r="O4372" s="501" t="s">
        <v>2355</v>
      </c>
      <c r="X4372" s="510" t="str">
        <f>노무비목록표!B10&amp;" / "&amp;노무비목록표!C10</f>
        <v xml:space="preserve">보통인부 / </v>
      </c>
      <c r="Y4372" s="433" t="str">
        <f ca="1">HYPERLINK("#"&amp;노무비목록표!G2&amp;"!A"&amp;ROW(노무비목록표!A10),"L00017 →")</f>
        <v>L00017 →</v>
      </c>
      <c r="Z4372" s="501" t="s">
        <v>3500</v>
      </c>
      <c r="AA4372" s="515">
        <v>1</v>
      </c>
      <c r="AB4372" s="501" t="s">
        <v>3428</v>
      </c>
      <c r="AC4372" s="512">
        <f>AB4363</f>
        <v>13</v>
      </c>
      <c r="AD4372" s="501" t="s">
        <v>3418</v>
      </c>
      <c r="AE4372" s="512">
        <f>1*AA4372/AB4363</f>
        <v>7.6923076923076927E-2</v>
      </c>
      <c r="AF4372" s="500"/>
      <c r="AG4372" s="500"/>
      <c r="AH4372" s="500"/>
      <c r="AI4372" s="500"/>
      <c r="AJ4372" s="500"/>
      <c r="AK4372" s="500"/>
      <c r="AL4372" s="500"/>
      <c r="AM4372" s="500"/>
      <c r="AN4372" s="500"/>
      <c r="AO4372" s="500"/>
      <c r="AP4372" s="500"/>
    </row>
    <row r="4373" spans="1:42" ht="16.5" customHeight="1">
      <c r="A4373" s="439"/>
      <c r="B4373" s="439"/>
      <c r="C4373" s="439"/>
      <c r="D4373" s="439"/>
      <c r="E4373" s="439"/>
      <c r="F4373" s="439"/>
      <c r="G4373" s="451" t="s">
        <v>3406</v>
      </c>
      <c r="Z4373" s="500"/>
      <c r="AA4373" s="500"/>
      <c r="AB4373" s="500"/>
      <c r="AC4373" s="500"/>
      <c r="AD4373" s="500"/>
      <c r="AE4373" s="500"/>
      <c r="AF4373" s="500"/>
      <c r="AG4373" s="500"/>
      <c r="AH4373" s="500"/>
      <c r="AI4373" s="500"/>
      <c r="AJ4373" s="500"/>
      <c r="AK4373" s="500"/>
      <c r="AL4373" s="500"/>
      <c r="AM4373" s="500"/>
      <c r="AN4373" s="500"/>
      <c r="AO4373" s="500"/>
      <c r="AP4373" s="500"/>
    </row>
    <row r="4374" spans="1:42" ht="16.5" customHeight="1">
      <c r="A4374" s="434"/>
      <c r="B4374" s="437" t="s">
        <v>3419</v>
      </c>
      <c r="C4374" s="513">
        <f>E4374+D4374+F4374</f>
        <v>49421.2</v>
      </c>
      <c r="D4374" s="513">
        <f>SUMIF(N4357:N4373,M4374,D4357:D4373)</f>
        <v>49421.2</v>
      </c>
      <c r="E4374" s="513">
        <f>SUMIF(N4357:N4373,M4374,E4357:E4373)</f>
        <v>0</v>
      </c>
      <c r="F4374" s="513">
        <f>SUMIF(N4357:N4373,M4374,F4357:F4373)</f>
        <v>0</v>
      </c>
      <c r="G4374" s="451" t="s">
        <v>3420</v>
      </c>
      <c r="M4374" s="501" t="s">
        <v>3416</v>
      </c>
      <c r="N4374" s="501" t="s">
        <v>3421</v>
      </c>
      <c r="Z4374" s="500"/>
      <c r="AA4374" s="500"/>
      <c r="AB4374" s="500"/>
      <c r="AC4374" s="500"/>
      <c r="AD4374" s="500"/>
      <c r="AE4374" s="500"/>
      <c r="AF4374" s="500"/>
      <c r="AG4374" s="500"/>
      <c r="AH4374" s="500"/>
      <c r="AI4374" s="500"/>
      <c r="AJ4374" s="500"/>
      <c r="AK4374" s="500"/>
      <c r="AL4374" s="500"/>
      <c r="AM4374" s="500"/>
      <c r="AN4374" s="500"/>
      <c r="AO4374" s="500"/>
      <c r="AP4374" s="500"/>
    </row>
    <row r="4375" spans="1:42" ht="16.5" customHeight="1">
      <c r="A4375" s="439"/>
      <c r="B4375" s="439"/>
      <c r="C4375" s="504"/>
      <c r="D4375" s="504"/>
      <c r="E4375" s="504"/>
      <c r="F4375" s="504"/>
      <c r="G4375" s="451" t="s">
        <v>3406</v>
      </c>
      <c r="Z4375" s="500"/>
      <c r="AA4375" s="500"/>
      <c r="AB4375" s="500"/>
      <c r="AC4375" s="500"/>
      <c r="AD4375" s="500"/>
      <c r="AE4375" s="500"/>
      <c r="AF4375" s="500"/>
      <c r="AG4375" s="500"/>
      <c r="AH4375" s="500"/>
      <c r="AI4375" s="500"/>
      <c r="AJ4375" s="500"/>
      <c r="AK4375" s="500"/>
      <c r="AL4375" s="500"/>
      <c r="AM4375" s="500"/>
      <c r="AN4375" s="500"/>
      <c r="AO4375" s="500"/>
      <c r="AP4375" s="500"/>
    </row>
    <row r="4376" spans="1:42" ht="16.5" customHeight="1">
      <c r="A4376" s="439"/>
      <c r="B4376" s="439"/>
      <c r="C4376" s="439"/>
      <c r="D4376" s="439"/>
      <c r="E4376" s="439"/>
      <c r="F4376" s="439"/>
      <c r="G4376" s="451" t="s">
        <v>3406</v>
      </c>
      <c r="Z4376" s="500"/>
      <c r="AA4376" s="500"/>
      <c r="AB4376" s="500"/>
      <c r="AC4376" s="500"/>
      <c r="AD4376" s="500"/>
      <c r="AE4376" s="500"/>
      <c r="AF4376" s="500"/>
      <c r="AG4376" s="500"/>
      <c r="AH4376" s="500"/>
      <c r="AI4376" s="500"/>
      <c r="AJ4376" s="500"/>
      <c r="AK4376" s="500"/>
      <c r="AL4376" s="500"/>
      <c r="AM4376" s="500"/>
      <c r="AN4376" s="500"/>
      <c r="AO4376" s="500"/>
      <c r="AP4376" s="500"/>
    </row>
    <row r="4377" spans="1:42" ht="16.5" customHeight="1">
      <c r="A4377" s="434"/>
      <c r="B4377" s="437" t="s">
        <v>3914</v>
      </c>
      <c r="C4377" s="439"/>
      <c r="D4377" s="439"/>
      <c r="E4377" s="439"/>
      <c r="F4377" s="439"/>
      <c r="G4377" s="451" t="s">
        <v>3915</v>
      </c>
      <c r="Z4377" s="500"/>
      <c r="AA4377" s="500"/>
      <c r="AB4377" s="500"/>
      <c r="AC4377" s="500"/>
      <c r="AD4377" s="500"/>
      <c r="AE4377" s="500"/>
      <c r="AF4377" s="500"/>
      <c r="AG4377" s="500"/>
      <c r="AH4377" s="500"/>
      <c r="AI4377" s="500"/>
      <c r="AJ4377" s="500"/>
      <c r="AK4377" s="500"/>
      <c r="AL4377" s="500"/>
      <c r="AM4377" s="500"/>
      <c r="AN4377" s="500"/>
      <c r="AO4377" s="500"/>
      <c r="AP4377" s="500"/>
    </row>
    <row r="4378" spans="1:42" ht="16.5" customHeight="1">
      <c r="A4378" s="439"/>
      <c r="B4378" s="439"/>
      <c r="C4378" s="439"/>
      <c r="D4378" s="439"/>
      <c r="E4378" s="439"/>
      <c r="F4378" s="439"/>
      <c r="G4378" s="451" t="s">
        <v>3406</v>
      </c>
      <c r="Z4378" s="500"/>
      <c r="AA4378" s="500"/>
      <c r="AB4378" s="500"/>
      <c r="AC4378" s="500"/>
      <c r="AD4378" s="500"/>
      <c r="AE4378" s="500"/>
      <c r="AF4378" s="500"/>
      <c r="AG4378" s="500"/>
      <c r="AH4378" s="500"/>
      <c r="AI4378" s="500"/>
      <c r="AJ4378" s="500"/>
      <c r="AK4378" s="500"/>
      <c r="AL4378" s="500"/>
      <c r="AM4378" s="500"/>
      <c r="AN4378" s="500"/>
      <c r="AO4378" s="500"/>
      <c r="AP4378" s="500"/>
    </row>
    <row r="4379" spans="1:42" ht="16.5" customHeight="1">
      <c r="A4379" s="434" t="s">
        <v>3916</v>
      </c>
      <c r="B4379" s="505" t="str">
        <f>"  노 무 비 :  "&amp;TEXT(I4379,"#,##0"&amp;IF(I4379&lt;&gt;INT(I4379),".###",""))&amp;" / Q * "&amp;AC4379&amp;" = "&amp;TEXT(C4379,"#,##0.0")&amp;""</f>
        <v xml:space="preserve">  노 무 비 :  49,778 / Q * 8 = 30,632.6</v>
      </c>
      <c r="C4379" s="506">
        <f>E4379+D4379+F4379</f>
        <v>30632.6</v>
      </c>
      <c r="D4379" s="506">
        <f>IF(H4379=0,0,ROUNDDOWN(J4379*H4379,1))</f>
        <v>30632.6</v>
      </c>
      <c r="E4379" s="506">
        <f>IF(H4379=0,0,ROUNDDOWN(K4379*H4379,1))</f>
        <v>0</v>
      </c>
      <c r="F4379" s="506">
        <f>IF(H4379=0,0,ROUNDDOWN(L4379*H4379,1))</f>
        <v>0</v>
      </c>
      <c r="G4379" s="451" t="s">
        <v>3917</v>
      </c>
      <c r="H4379" s="507">
        <f>ROUNDUP(AE4379,14-LEN(ABS(INT(AE4379))))</f>
        <v>0.61538461538470002</v>
      </c>
      <c r="I4379" s="508">
        <f>K4379+J4379+L4379</f>
        <v>49778</v>
      </c>
      <c r="J4379" s="509">
        <f>중기목록표!F4</f>
        <v>49778</v>
      </c>
      <c r="M4379" s="501" t="s">
        <v>3918</v>
      </c>
      <c r="N4379" s="501" t="s">
        <v>3416</v>
      </c>
      <c r="X4379" s="510" t="str">
        <f>중기목록표!B4&amp;" / "&amp;중기목록표!C4</f>
        <v>고소작업차 / 3톤</v>
      </c>
      <c r="Y4379" s="433" t="str">
        <f ca="1">HYPERLINK("#"&amp;중기목록표!J2&amp;"!A"&amp;ROW(중기목록표!A4),"X00328 →")</f>
        <v>X00328 →</v>
      </c>
      <c r="Z4379" s="501" t="s">
        <v>3434</v>
      </c>
      <c r="AA4379" s="512">
        <f>AB4363</f>
        <v>13</v>
      </c>
      <c r="AB4379" s="501" t="s">
        <v>3368</v>
      </c>
      <c r="AC4379" s="515">
        <v>8</v>
      </c>
      <c r="AD4379" s="501" t="s">
        <v>3418</v>
      </c>
      <c r="AE4379" s="512">
        <f>1/AB4363*AC4379</f>
        <v>0.61538461538461542</v>
      </c>
      <c r="AF4379" s="500"/>
      <c r="AG4379" s="500"/>
      <c r="AH4379" s="500"/>
      <c r="AI4379" s="500"/>
      <c r="AJ4379" s="500"/>
      <c r="AK4379" s="500"/>
      <c r="AL4379" s="500"/>
      <c r="AM4379" s="500"/>
      <c r="AN4379" s="500"/>
      <c r="AO4379" s="500"/>
      <c r="AP4379" s="500"/>
    </row>
    <row r="4380" spans="1:42" ht="16.5" customHeight="1">
      <c r="A4380" s="439"/>
      <c r="B4380" s="439"/>
      <c r="C4380" s="439"/>
      <c r="D4380" s="439"/>
      <c r="E4380" s="439"/>
      <c r="F4380" s="439"/>
      <c r="G4380" s="451" t="s">
        <v>3406</v>
      </c>
      <c r="Z4380" s="500"/>
      <c r="AA4380" s="500"/>
      <c r="AB4380" s="500"/>
      <c r="AC4380" s="500"/>
      <c r="AD4380" s="500"/>
      <c r="AE4380" s="500"/>
      <c r="AF4380" s="500"/>
      <c r="AG4380" s="500"/>
      <c r="AH4380" s="500"/>
      <c r="AI4380" s="500"/>
      <c r="AJ4380" s="500"/>
      <c r="AK4380" s="500"/>
      <c r="AL4380" s="500"/>
      <c r="AM4380" s="500"/>
      <c r="AN4380" s="500"/>
      <c r="AO4380" s="500"/>
      <c r="AP4380" s="500"/>
    </row>
    <row r="4381" spans="1:42" ht="16.5" customHeight="1">
      <c r="A4381" s="434" t="s">
        <v>3919</v>
      </c>
      <c r="B4381" s="505" t="str">
        <f>"  재 료 비 :  "&amp;TEXT(I4381,"#,##0"&amp;IF(I4381&lt;&gt;INT(I4381),".###",""))&amp;" / Q * "&amp;AC4381&amp;" = "&amp;TEXT(C4381,"#,##0.0")&amp;""</f>
        <v xml:space="preserve">  재 료 비 :  5,129 / Q * 8 = 3,156.3</v>
      </c>
      <c r="C4381" s="506">
        <f>E4381+D4381+F4381</f>
        <v>3156.3</v>
      </c>
      <c r="D4381" s="506">
        <f>IF(H4381=0,0,ROUNDDOWN(J4381*H4381,1))</f>
        <v>0</v>
      </c>
      <c r="E4381" s="506">
        <f>IF(H4381=0,0,ROUNDDOWN(K4381*H4381,1))</f>
        <v>3156.3</v>
      </c>
      <c r="F4381" s="506">
        <f>IF(H4381=0,0,ROUNDDOWN(L4381*H4381,1))</f>
        <v>0</v>
      </c>
      <c r="G4381" s="451" t="s">
        <v>3920</v>
      </c>
      <c r="H4381" s="507">
        <f>ROUNDUP(AE4381,14-LEN(ABS(INT(AE4381))))</f>
        <v>0.61538461538470002</v>
      </c>
      <c r="I4381" s="508">
        <f>K4381+J4381+L4381</f>
        <v>5129</v>
      </c>
      <c r="K4381" s="509">
        <f>중기목록표!G4</f>
        <v>5129</v>
      </c>
      <c r="M4381" s="501" t="s">
        <v>3918</v>
      </c>
      <c r="N4381" s="501" t="s">
        <v>3416</v>
      </c>
      <c r="X4381" s="510" t="str">
        <f>중기목록표!B4&amp;" / "&amp;중기목록표!C4</f>
        <v>고소작업차 / 3톤</v>
      </c>
      <c r="Y4381" s="433" t="str">
        <f ca="1">HYPERLINK("#"&amp;중기목록표!J2&amp;"!A"&amp;ROW(중기목록표!A4),"X00328 →")</f>
        <v>X00328 →</v>
      </c>
      <c r="Z4381" s="501" t="s">
        <v>3434</v>
      </c>
      <c r="AA4381" s="512">
        <f>AB4363</f>
        <v>13</v>
      </c>
      <c r="AB4381" s="501" t="s">
        <v>3368</v>
      </c>
      <c r="AC4381" s="515">
        <v>8</v>
      </c>
      <c r="AD4381" s="501" t="s">
        <v>3418</v>
      </c>
      <c r="AE4381" s="512">
        <f>1/AB4363*AC4381</f>
        <v>0.61538461538461542</v>
      </c>
      <c r="AF4381" s="500"/>
      <c r="AG4381" s="500"/>
      <c r="AH4381" s="500"/>
      <c r="AI4381" s="500"/>
      <c r="AJ4381" s="500"/>
      <c r="AK4381" s="500"/>
      <c r="AL4381" s="500"/>
      <c r="AM4381" s="500"/>
      <c r="AN4381" s="500"/>
      <c r="AO4381" s="500"/>
      <c r="AP4381" s="500"/>
    </row>
    <row r="4382" spans="1:42" ht="16.5" customHeight="1">
      <c r="A4382" s="439"/>
      <c r="B4382" s="439"/>
      <c r="C4382" s="439"/>
      <c r="D4382" s="439"/>
      <c r="E4382" s="439"/>
      <c r="F4382" s="439"/>
      <c r="G4382" s="451" t="s">
        <v>3406</v>
      </c>
      <c r="Z4382" s="500"/>
      <c r="AA4382" s="500"/>
      <c r="AB4382" s="500"/>
      <c r="AC4382" s="500"/>
      <c r="AD4382" s="500"/>
      <c r="AE4382" s="500"/>
      <c r="AF4382" s="500"/>
      <c r="AG4382" s="500"/>
      <c r="AH4382" s="500"/>
      <c r="AI4382" s="500"/>
      <c r="AJ4382" s="500"/>
      <c r="AK4382" s="500"/>
      <c r="AL4382" s="500"/>
      <c r="AM4382" s="500"/>
      <c r="AN4382" s="500"/>
      <c r="AO4382" s="500"/>
      <c r="AP4382" s="500"/>
    </row>
    <row r="4383" spans="1:42" ht="16.5" customHeight="1">
      <c r="A4383" s="434" t="s">
        <v>3921</v>
      </c>
      <c r="B4383" s="505" t="str">
        <f>"  경    비 :  "&amp;TEXT(I4383,"#,##0"&amp;IF(I4383&lt;&gt;INT(I4383),".###",""))&amp;" / Q * "&amp;AC4383&amp;" = "&amp;TEXT(C4383,"#,##0.0")&amp;""</f>
        <v xml:space="preserve">  경    비 :  17,396 / Q * 8 = 10,705.2</v>
      </c>
      <c r="C4383" s="506">
        <f>E4383+D4383+F4383</f>
        <v>10705.2</v>
      </c>
      <c r="D4383" s="506">
        <f>IF(H4383=0,0,ROUNDDOWN(J4383*H4383,1))</f>
        <v>0</v>
      </c>
      <c r="E4383" s="506">
        <f>IF(H4383=0,0,ROUNDDOWN(K4383*H4383,1))</f>
        <v>0</v>
      </c>
      <c r="F4383" s="506">
        <f>IF(H4383=0,0,ROUNDDOWN(L4383*H4383,1))</f>
        <v>10705.2</v>
      </c>
      <c r="G4383" s="451" t="s">
        <v>3922</v>
      </c>
      <c r="H4383" s="507">
        <f>ROUNDUP(AE4383,14-LEN(ABS(INT(AE4383))))</f>
        <v>0.61538461538470002</v>
      </c>
      <c r="I4383" s="508">
        <f>K4383+J4383+L4383</f>
        <v>17396</v>
      </c>
      <c r="L4383" s="509">
        <f>중기목록표!H4</f>
        <v>17396</v>
      </c>
      <c r="M4383" s="501" t="s">
        <v>3918</v>
      </c>
      <c r="N4383" s="501" t="s">
        <v>3416</v>
      </c>
      <c r="X4383" s="510" t="str">
        <f>중기목록표!B4&amp;" / "&amp;중기목록표!C4</f>
        <v>고소작업차 / 3톤</v>
      </c>
      <c r="Y4383" s="433" t="str">
        <f ca="1">HYPERLINK("#"&amp;중기목록표!J2&amp;"!A"&amp;ROW(중기목록표!A4),"X00328 →")</f>
        <v>X00328 →</v>
      </c>
      <c r="Z4383" s="501" t="s">
        <v>3434</v>
      </c>
      <c r="AA4383" s="512">
        <f>AB4363</f>
        <v>13</v>
      </c>
      <c r="AB4383" s="501" t="s">
        <v>3368</v>
      </c>
      <c r="AC4383" s="515">
        <v>8</v>
      </c>
      <c r="AD4383" s="501" t="s">
        <v>3418</v>
      </c>
      <c r="AE4383" s="512">
        <f>1/AB4363*AC4383</f>
        <v>0.61538461538461542</v>
      </c>
      <c r="AF4383" s="500"/>
      <c r="AG4383" s="500"/>
      <c r="AH4383" s="500"/>
      <c r="AI4383" s="500"/>
      <c r="AJ4383" s="500"/>
      <c r="AK4383" s="500"/>
      <c r="AL4383" s="500"/>
      <c r="AM4383" s="500"/>
      <c r="AN4383" s="500"/>
      <c r="AO4383" s="500"/>
      <c r="AP4383" s="500"/>
    </row>
    <row r="4384" spans="1:42" ht="16.5" customHeight="1">
      <c r="A4384" s="439"/>
      <c r="B4384" s="439"/>
      <c r="C4384" s="439"/>
      <c r="D4384" s="439"/>
      <c r="E4384" s="439"/>
      <c r="F4384" s="439"/>
      <c r="G4384" s="451" t="s">
        <v>3406</v>
      </c>
      <c r="Z4384" s="500"/>
      <c r="AA4384" s="500"/>
      <c r="AB4384" s="500"/>
      <c r="AC4384" s="500"/>
      <c r="AD4384" s="500"/>
      <c r="AE4384" s="500"/>
      <c r="AF4384" s="500"/>
      <c r="AG4384" s="500"/>
      <c r="AH4384" s="500"/>
      <c r="AI4384" s="500"/>
      <c r="AJ4384" s="500"/>
      <c r="AK4384" s="500"/>
      <c r="AL4384" s="500"/>
      <c r="AM4384" s="500"/>
      <c r="AN4384" s="500"/>
      <c r="AO4384" s="500"/>
      <c r="AP4384" s="500"/>
    </row>
    <row r="4385" spans="1:42" ht="16.5" customHeight="1">
      <c r="A4385" s="439"/>
      <c r="B4385" s="439"/>
      <c r="C4385" s="439"/>
      <c r="D4385" s="439"/>
      <c r="E4385" s="439"/>
      <c r="F4385" s="439"/>
      <c r="G4385" s="451" t="s">
        <v>3406</v>
      </c>
      <c r="Z4385" s="500"/>
      <c r="AA4385" s="500"/>
      <c r="AB4385" s="500"/>
      <c r="AC4385" s="500"/>
      <c r="AD4385" s="500"/>
      <c r="AE4385" s="500"/>
      <c r="AF4385" s="500"/>
      <c r="AG4385" s="500"/>
      <c r="AH4385" s="500"/>
      <c r="AI4385" s="500"/>
      <c r="AJ4385" s="500"/>
      <c r="AK4385" s="500"/>
      <c r="AL4385" s="500"/>
      <c r="AM4385" s="500"/>
      <c r="AN4385" s="500"/>
      <c r="AO4385" s="500"/>
      <c r="AP4385" s="500"/>
    </row>
    <row r="4386" spans="1:42" ht="16.5" customHeight="1">
      <c r="A4386" s="439"/>
      <c r="B4386" s="439"/>
      <c r="C4386" s="439"/>
      <c r="D4386" s="439"/>
      <c r="E4386" s="439"/>
      <c r="F4386" s="439"/>
      <c r="G4386" s="451" t="s">
        <v>3406</v>
      </c>
      <c r="Z4386" s="500"/>
      <c r="AA4386" s="500"/>
      <c r="AB4386" s="500"/>
      <c r="AC4386" s="500"/>
      <c r="AD4386" s="500"/>
      <c r="AE4386" s="500"/>
      <c r="AF4386" s="500"/>
      <c r="AG4386" s="500"/>
      <c r="AH4386" s="500"/>
      <c r="AI4386" s="500"/>
      <c r="AJ4386" s="500"/>
      <c r="AK4386" s="500"/>
      <c r="AL4386" s="500"/>
      <c r="AM4386" s="500"/>
      <c r="AN4386" s="500"/>
      <c r="AO4386" s="500"/>
      <c r="AP4386" s="500"/>
    </row>
    <row r="4387" spans="1:42" ht="16.5" customHeight="1">
      <c r="A4387" s="439"/>
      <c r="B4387" s="439"/>
      <c r="C4387" s="439"/>
      <c r="D4387" s="439"/>
      <c r="E4387" s="439"/>
      <c r="F4387" s="439"/>
      <c r="G4387" s="451" t="s">
        <v>3406</v>
      </c>
      <c r="Z4387" s="500"/>
      <c r="AA4387" s="500"/>
      <c r="AB4387" s="500"/>
      <c r="AC4387" s="500"/>
      <c r="AD4387" s="500"/>
      <c r="AE4387" s="500"/>
      <c r="AF4387" s="500"/>
      <c r="AG4387" s="500"/>
      <c r="AH4387" s="500"/>
      <c r="AI4387" s="500"/>
      <c r="AJ4387" s="500"/>
      <c r="AK4387" s="500"/>
      <c r="AL4387" s="500"/>
      <c r="AM4387" s="500"/>
      <c r="AN4387" s="500"/>
      <c r="AO4387" s="500"/>
      <c r="AP4387" s="500"/>
    </row>
    <row r="4388" spans="1:42" ht="16.5" customHeight="1">
      <c r="A4388" s="434"/>
      <c r="B4388" s="505" t="str">
        <f>" 2. 기계경비(인력품의 3%) : "&amp;TEXT(I4388,"#,##0.0")&amp;" * "&amp;AA4388&amp;" %  = "&amp;TEXT(C4388,"#,##0.0")&amp;""</f>
        <v xml:space="preserve"> 2. 기계경비(인력품의 3%) : 49,421.2 * 3 %  = 1,482.6</v>
      </c>
      <c r="C4388" s="506">
        <f>E4388+D4388+F4388</f>
        <v>1482.6</v>
      </c>
      <c r="D4388" s="506">
        <f>IF(H4388=0,0,ROUNDDOWN(J4388*H4388/100,1))</f>
        <v>0</v>
      </c>
      <c r="E4388" s="506">
        <f>IF(H4388=0,0,ROUNDDOWN(K4388*H4388/100,1))</f>
        <v>0</v>
      </c>
      <c r="F4388" s="506">
        <f>IF(H4388=0,0,ROUNDDOWN(L4388*H4388/100,1))</f>
        <v>1482.6</v>
      </c>
      <c r="G4388" s="451" t="s">
        <v>3923</v>
      </c>
      <c r="H4388" s="507">
        <f>ROUNDUP(AC4388,14-LEN(ABS(INT(AC4388))))</f>
        <v>3</v>
      </c>
      <c r="I4388" s="508">
        <f>K4388+J4388+L4388</f>
        <v>49421.2</v>
      </c>
      <c r="J4388" s="456">
        <v>0</v>
      </c>
      <c r="K4388" s="456">
        <v>0</v>
      </c>
      <c r="L4388" s="509">
        <f>D4370+D4372</f>
        <v>49421.2</v>
      </c>
      <c r="M4388" s="501" t="s">
        <v>3743</v>
      </c>
      <c r="N4388" s="501" t="s">
        <v>3416</v>
      </c>
      <c r="Z4388" s="501" t="s">
        <v>3500</v>
      </c>
      <c r="AA4388" s="515">
        <v>3</v>
      </c>
      <c r="AB4388" s="501" t="s">
        <v>3418</v>
      </c>
      <c r="AC4388" s="512">
        <f>1*AA4388</f>
        <v>3</v>
      </c>
      <c r="AD4388" s="500"/>
      <c r="AE4388" s="500"/>
      <c r="AF4388" s="500"/>
      <c r="AG4388" s="500"/>
      <c r="AH4388" s="500"/>
      <c r="AI4388" s="500"/>
      <c r="AJ4388" s="500"/>
      <c r="AK4388" s="500"/>
      <c r="AL4388" s="500"/>
      <c r="AM4388" s="500"/>
      <c r="AN4388" s="500"/>
      <c r="AO4388" s="500"/>
      <c r="AP4388" s="500"/>
    </row>
    <row r="4389" spans="1:42" ht="16.5" customHeight="1">
      <c r="A4389" s="439"/>
      <c r="B4389" s="439"/>
      <c r="C4389" s="439"/>
      <c r="D4389" s="439"/>
      <c r="E4389" s="439"/>
      <c r="F4389" s="439"/>
      <c r="G4389" s="451" t="s">
        <v>3406</v>
      </c>
      <c r="Z4389" s="500"/>
      <c r="AA4389" s="500"/>
      <c r="AB4389" s="500"/>
      <c r="AC4389" s="500"/>
      <c r="AD4389" s="500"/>
      <c r="AE4389" s="500"/>
      <c r="AF4389" s="500"/>
      <c r="AG4389" s="500"/>
      <c r="AH4389" s="500"/>
      <c r="AI4389" s="500"/>
      <c r="AJ4389" s="500"/>
      <c r="AK4389" s="500"/>
      <c r="AL4389" s="500"/>
      <c r="AM4389" s="500"/>
      <c r="AN4389" s="500"/>
      <c r="AO4389" s="500"/>
      <c r="AP4389" s="500"/>
    </row>
    <row r="4390" spans="1:42" ht="16.5" customHeight="1">
      <c r="A4390" s="434"/>
      <c r="B4390" s="437" t="s">
        <v>3419</v>
      </c>
      <c r="C4390" s="513">
        <f>E4390+D4390+F4390</f>
        <v>45976.700000000004</v>
      </c>
      <c r="D4390" s="513">
        <f>SUMIF(N4375:N4389,M4390,D4375:D4389)</f>
        <v>30632.6</v>
      </c>
      <c r="E4390" s="513">
        <f>SUMIF(N4375:N4389,M4390,E4375:E4389)</f>
        <v>3156.3</v>
      </c>
      <c r="F4390" s="513">
        <f>SUMIF(N4375:N4389,M4390,F4375:F4389)</f>
        <v>12187.800000000001</v>
      </c>
      <c r="G4390" s="451" t="s">
        <v>3420</v>
      </c>
      <c r="M4390" s="501" t="s">
        <v>3416</v>
      </c>
      <c r="N4390" s="501" t="s">
        <v>3421</v>
      </c>
      <c r="Z4390" s="500"/>
      <c r="AA4390" s="500"/>
      <c r="AB4390" s="500"/>
      <c r="AC4390" s="500"/>
      <c r="AD4390" s="500"/>
      <c r="AE4390" s="500"/>
      <c r="AF4390" s="500"/>
      <c r="AG4390" s="500"/>
      <c r="AH4390" s="500"/>
      <c r="AI4390" s="500"/>
      <c r="AJ4390" s="500"/>
      <c r="AK4390" s="500"/>
      <c r="AL4390" s="500"/>
      <c r="AM4390" s="500"/>
      <c r="AN4390" s="500"/>
      <c r="AO4390" s="500"/>
      <c r="AP4390" s="500"/>
    </row>
    <row r="4391" spans="1:42" ht="16.5" customHeight="1">
      <c r="A4391" s="439"/>
      <c r="B4391" s="439"/>
      <c r="C4391" s="504"/>
      <c r="D4391" s="504"/>
      <c r="E4391" s="504"/>
      <c r="F4391" s="504"/>
      <c r="G4391" s="451" t="s">
        <v>3406</v>
      </c>
      <c r="Z4391" s="500"/>
      <c r="AA4391" s="500"/>
      <c r="AB4391" s="500"/>
      <c r="AC4391" s="500"/>
      <c r="AD4391" s="500"/>
      <c r="AE4391" s="500"/>
      <c r="AF4391" s="500"/>
      <c r="AG4391" s="500"/>
      <c r="AH4391" s="500"/>
      <c r="AI4391" s="500"/>
      <c r="AJ4391" s="500"/>
      <c r="AK4391" s="500"/>
      <c r="AL4391" s="500"/>
      <c r="AM4391" s="500"/>
      <c r="AN4391" s="500"/>
      <c r="AO4391" s="500"/>
      <c r="AP4391" s="500"/>
    </row>
    <row r="4392" spans="1:42" ht="16.5" customHeight="1">
      <c r="A4392" s="439"/>
      <c r="B4392" s="439"/>
      <c r="C4392" s="439"/>
      <c r="D4392" s="439"/>
      <c r="E4392" s="439"/>
      <c r="F4392" s="439"/>
      <c r="G4392" s="451" t="s">
        <v>3406</v>
      </c>
      <c r="Z4392" s="500"/>
      <c r="AA4392" s="500"/>
      <c r="AB4392" s="500"/>
      <c r="AC4392" s="500"/>
      <c r="AD4392" s="500"/>
      <c r="AE4392" s="500"/>
      <c r="AF4392" s="500"/>
      <c r="AG4392" s="500"/>
      <c r="AH4392" s="500"/>
      <c r="AI4392" s="500"/>
      <c r="AJ4392" s="500"/>
      <c r="AK4392" s="500"/>
      <c r="AL4392" s="500"/>
      <c r="AM4392" s="500"/>
      <c r="AN4392" s="500"/>
      <c r="AO4392" s="500"/>
      <c r="AP4392" s="500"/>
    </row>
    <row r="4393" spans="1:42" ht="16.5" customHeight="1">
      <c r="A4393" s="434"/>
      <c r="B4393" s="437" t="s">
        <v>3440</v>
      </c>
      <c r="C4393" s="513">
        <f>E4393+D4393+F4393</f>
        <v>95397.9</v>
      </c>
      <c r="D4393" s="513">
        <f>SUMIF(N4357:N4392,M4393,D4357:D4392)</f>
        <v>80053.799999999988</v>
      </c>
      <c r="E4393" s="513">
        <f>SUMIF(N4357:N4392,M4393,E4357:E4392)</f>
        <v>3156.3</v>
      </c>
      <c r="F4393" s="513">
        <f>SUMIF(N4357:N4392,M4393,F4357:F4392)</f>
        <v>12187.800000000001</v>
      </c>
      <c r="G4393" s="451" t="s">
        <v>3484</v>
      </c>
      <c r="M4393" s="501" t="s">
        <v>3421</v>
      </c>
      <c r="N4393" s="501" t="s">
        <v>2354</v>
      </c>
      <c r="Z4393" s="500"/>
      <c r="AA4393" s="500"/>
      <c r="AB4393" s="500"/>
      <c r="AC4393" s="500"/>
      <c r="AD4393" s="500"/>
      <c r="AE4393" s="500"/>
      <c r="AF4393" s="500"/>
      <c r="AG4393" s="500"/>
      <c r="AH4393" s="500"/>
      <c r="AI4393" s="500"/>
      <c r="AJ4393" s="500"/>
      <c r="AK4393" s="500"/>
      <c r="AL4393" s="500"/>
      <c r="AM4393" s="500"/>
      <c r="AN4393" s="500"/>
      <c r="AO4393" s="500"/>
      <c r="AP4393" s="500"/>
    </row>
    <row r="4394" spans="1:42" ht="16.5" customHeight="1">
      <c r="A4394" s="439"/>
      <c r="B4394" s="439"/>
      <c r="C4394" s="504"/>
      <c r="D4394" s="504"/>
      <c r="E4394" s="504"/>
      <c r="F4394" s="504"/>
      <c r="Z4394" s="500"/>
      <c r="AA4394" s="500"/>
      <c r="AB4394" s="500"/>
      <c r="AC4394" s="500"/>
      <c r="AD4394" s="500"/>
      <c r="AE4394" s="500"/>
      <c r="AF4394" s="500"/>
      <c r="AG4394" s="500"/>
      <c r="AH4394" s="500"/>
      <c r="AI4394" s="500"/>
      <c r="AJ4394" s="500"/>
      <c r="AK4394" s="500"/>
      <c r="AL4394" s="500"/>
      <c r="AM4394" s="500"/>
      <c r="AN4394" s="500"/>
      <c r="AO4394" s="500"/>
      <c r="AP4394" s="500"/>
    </row>
    <row r="4395" spans="1:42" ht="16.5" customHeight="1">
      <c r="A4395" s="439"/>
      <c r="B4395" s="439"/>
      <c r="C4395" s="439"/>
      <c r="D4395" s="439"/>
      <c r="E4395" s="439"/>
      <c r="F4395" s="439"/>
      <c r="Z4395" s="500"/>
      <c r="AA4395" s="500"/>
      <c r="AB4395" s="500"/>
      <c r="AC4395" s="500"/>
      <c r="AD4395" s="500"/>
      <c r="AE4395" s="500"/>
      <c r="AF4395" s="500"/>
      <c r="AG4395" s="500"/>
      <c r="AH4395" s="500"/>
      <c r="AI4395" s="500"/>
      <c r="AJ4395" s="500"/>
      <c r="AK4395" s="500"/>
      <c r="AL4395" s="500"/>
      <c r="AM4395" s="500"/>
      <c r="AN4395" s="500"/>
      <c r="AO4395" s="500"/>
      <c r="AP4395" s="500"/>
    </row>
    <row r="4396" spans="1:42" ht="16.5" customHeight="1">
      <c r="A4396" s="439"/>
      <c r="B4396" s="439"/>
      <c r="C4396" s="439"/>
      <c r="D4396" s="439"/>
      <c r="E4396" s="439"/>
      <c r="F4396" s="439"/>
      <c r="Z4396" s="500"/>
      <c r="AA4396" s="500"/>
      <c r="AB4396" s="500"/>
      <c r="AC4396" s="500"/>
      <c r="AD4396" s="500"/>
      <c r="AE4396" s="500"/>
      <c r="AF4396" s="500"/>
      <c r="AG4396" s="500"/>
      <c r="AH4396" s="500"/>
      <c r="AI4396" s="500"/>
      <c r="AJ4396" s="500"/>
      <c r="AK4396" s="500"/>
      <c r="AL4396" s="500"/>
      <c r="AM4396" s="500"/>
      <c r="AN4396" s="500"/>
      <c r="AO4396" s="500"/>
      <c r="AP4396" s="500"/>
    </row>
    <row r="4397" spans="1:42" ht="16.5" customHeight="1">
      <c r="A4397" s="439"/>
      <c r="B4397" s="439"/>
      <c r="C4397" s="439"/>
      <c r="D4397" s="439"/>
      <c r="E4397" s="439"/>
      <c r="F4397" s="439"/>
      <c r="Z4397" s="500"/>
      <c r="AA4397" s="500"/>
      <c r="AB4397" s="500"/>
      <c r="AC4397" s="500"/>
      <c r="AD4397" s="500"/>
      <c r="AE4397" s="500"/>
      <c r="AF4397" s="500"/>
      <c r="AG4397" s="500"/>
      <c r="AH4397" s="500"/>
      <c r="AI4397" s="500"/>
      <c r="AJ4397" s="500"/>
      <c r="AK4397" s="500"/>
      <c r="AL4397" s="500"/>
      <c r="AM4397" s="500"/>
      <c r="AN4397" s="500"/>
      <c r="AO4397" s="500"/>
      <c r="AP4397" s="500"/>
    </row>
    <row r="4398" spans="1:42" ht="16.5" customHeight="1">
      <c r="A4398" s="439"/>
      <c r="B4398" s="439"/>
      <c r="C4398" s="439"/>
      <c r="D4398" s="439"/>
      <c r="E4398" s="439"/>
      <c r="F4398" s="439"/>
      <c r="Z4398" s="500"/>
      <c r="AA4398" s="500"/>
      <c r="AB4398" s="500"/>
      <c r="AC4398" s="500"/>
      <c r="AD4398" s="500"/>
      <c r="AE4398" s="500"/>
      <c r="AF4398" s="500"/>
      <c r="AG4398" s="500"/>
      <c r="AH4398" s="500"/>
      <c r="AI4398" s="500"/>
      <c r="AJ4398" s="500"/>
      <c r="AK4398" s="500"/>
      <c r="AL4398" s="500"/>
      <c r="AM4398" s="500"/>
      <c r="AN4398" s="500"/>
      <c r="AO4398" s="500"/>
      <c r="AP4398" s="500"/>
    </row>
    <row r="4399" spans="1:42" ht="16.5" customHeight="1">
      <c r="A4399" s="439"/>
      <c r="B4399" s="439"/>
      <c r="C4399" s="439"/>
      <c r="D4399" s="439"/>
      <c r="E4399" s="439"/>
      <c r="F4399" s="439"/>
      <c r="Z4399" s="500"/>
      <c r="AA4399" s="500"/>
      <c r="AB4399" s="500"/>
      <c r="AC4399" s="500"/>
      <c r="AD4399" s="500"/>
      <c r="AE4399" s="500"/>
      <c r="AF4399" s="500"/>
      <c r="AG4399" s="500"/>
      <c r="AH4399" s="500"/>
      <c r="AI4399" s="500"/>
      <c r="AJ4399" s="500"/>
      <c r="AK4399" s="500"/>
      <c r="AL4399" s="500"/>
      <c r="AM4399" s="500"/>
      <c r="AN4399" s="500"/>
      <c r="AO4399" s="500"/>
      <c r="AP4399" s="500"/>
    </row>
    <row r="4400" spans="1:42" ht="16.5" customHeight="1">
      <c r="A4400" s="439"/>
      <c r="B4400" s="439"/>
      <c r="C4400" s="439"/>
      <c r="D4400" s="439"/>
      <c r="E4400" s="439"/>
      <c r="F4400" s="439"/>
      <c r="Z4400" s="500"/>
      <c r="AA4400" s="500"/>
      <c r="AB4400" s="500"/>
      <c r="AC4400" s="500"/>
      <c r="AD4400" s="500"/>
      <c r="AE4400" s="500"/>
      <c r="AF4400" s="500"/>
      <c r="AG4400" s="500"/>
      <c r="AH4400" s="500"/>
      <c r="AI4400" s="500"/>
      <c r="AJ4400" s="500"/>
      <c r="AK4400" s="500"/>
      <c r="AL4400" s="500"/>
      <c r="AM4400" s="500"/>
      <c r="AN4400" s="500"/>
      <c r="AO4400" s="500"/>
      <c r="AP4400" s="500"/>
    </row>
    <row r="4401" spans="1:42" ht="16.5" customHeight="1">
      <c r="A4401" s="439"/>
      <c r="B4401" s="439"/>
      <c r="C4401" s="439"/>
      <c r="D4401" s="439"/>
      <c r="E4401" s="439"/>
      <c r="F4401" s="439"/>
      <c r="Z4401" s="500"/>
      <c r="AA4401" s="500"/>
      <c r="AB4401" s="500"/>
      <c r="AC4401" s="500"/>
      <c r="AD4401" s="500"/>
      <c r="AE4401" s="500"/>
      <c r="AF4401" s="500"/>
      <c r="AG4401" s="500"/>
      <c r="AH4401" s="500"/>
      <c r="AI4401" s="500"/>
      <c r="AJ4401" s="500"/>
      <c r="AK4401" s="500"/>
      <c r="AL4401" s="500"/>
      <c r="AM4401" s="500"/>
      <c r="AN4401" s="500"/>
      <c r="AO4401" s="500"/>
      <c r="AP4401" s="500"/>
    </row>
    <row r="4402" spans="1:42" ht="16.5" customHeight="1">
      <c r="A4402" s="439"/>
      <c r="B4402" s="439"/>
      <c r="C4402" s="439"/>
      <c r="D4402" s="439"/>
      <c r="E4402" s="439"/>
      <c r="F4402" s="439"/>
      <c r="Z4402" s="500"/>
      <c r="AA4402" s="500"/>
      <c r="AB4402" s="500"/>
      <c r="AC4402" s="500"/>
      <c r="AD4402" s="500"/>
      <c r="AE4402" s="500"/>
      <c r="AF4402" s="500"/>
      <c r="AG4402" s="500"/>
      <c r="AH4402" s="500"/>
      <c r="AI4402" s="500"/>
      <c r="AJ4402" s="500"/>
      <c r="AK4402" s="500"/>
      <c r="AL4402" s="500"/>
      <c r="AM4402" s="500"/>
      <c r="AN4402" s="500"/>
      <c r="AO4402" s="500"/>
      <c r="AP4402" s="500"/>
    </row>
    <row r="4403" spans="1:42" ht="16.5" customHeight="1">
      <c r="A4403" s="497"/>
      <c r="B4403" s="497"/>
      <c r="C4403" s="497"/>
      <c r="D4403" s="497"/>
      <c r="E4403" s="497"/>
      <c r="F4403" s="497"/>
      <c r="Z4403" s="500"/>
      <c r="AA4403" s="500"/>
      <c r="AB4403" s="500"/>
      <c r="AC4403" s="500"/>
      <c r="AD4403" s="500"/>
      <c r="AE4403" s="500"/>
      <c r="AF4403" s="500"/>
      <c r="AG4403" s="500"/>
      <c r="AH4403" s="500"/>
      <c r="AI4403" s="500"/>
      <c r="AJ4403" s="500"/>
      <c r="AK4403" s="500"/>
      <c r="AL4403" s="500"/>
      <c r="AM4403" s="500"/>
      <c r="AN4403" s="500"/>
      <c r="AO4403" s="500"/>
      <c r="AP4403" s="500"/>
    </row>
    <row r="4404" spans="1:42" ht="16.5" customHeight="1">
      <c r="A4404" s="616" t="s">
        <v>3487</v>
      </c>
      <c r="B4404" s="605"/>
      <c r="C4404" s="446">
        <f>E4404+D4404+F4404</f>
        <v>95396</v>
      </c>
      <c r="D4404" s="453">
        <f>ROUNDDOWN(SUMIF(N4357:N4393,M4404,D4357:D4393),0)</f>
        <v>80053</v>
      </c>
      <c r="E4404" s="454">
        <f>ROUNDDOWN(SUMIF(N4357:N4393,M4404,E4357:E4393),0)</f>
        <v>3156</v>
      </c>
      <c r="F4404" s="446">
        <f>ROUNDDOWN(SUMIF(N4357:N4393,M4404,F4357:F4393),0)</f>
        <v>12187</v>
      </c>
      <c r="M4404" s="501" t="s">
        <v>2354</v>
      </c>
      <c r="Z4404" s="500"/>
      <c r="AA4404" s="500"/>
      <c r="AB4404" s="500"/>
      <c r="AC4404" s="500"/>
      <c r="AD4404" s="500"/>
      <c r="AE4404" s="500"/>
      <c r="AF4404" s="500"/>
      <c r="AG4404" s="500"/>
      <c r="AH4404" s="500"/>
      <c r="AI4404" s="500"/>
      <c r="AJ4404" s="500"/>
      <c r="AK4404" s="500"/>
      <c r="AL4404" s="500"/>
      <c r="AM4404" s="500"/>
      <c r="AN4404" s="500"/>
      <c r="AO4404" s="500"/>
      <c r="AP4404" s="500"/>
    </row>
    <row r="4405" spans="1:42" ht="16.5" customHeight="1">
      <c r="A4405" s="502" t="s">
        <v>3371</v>
      </c>
      <c r="B4405" s="503" t="s">
        <v>1962</v>
      </c>
      <c r="C4405" s="615">
        <f>C4454</f>
        <v>155021</v>
      </c>
      <c r="D4405" s="615">
        <f>D4454</f>
        <v>130087</v>
      </c>
      <c r="E4405" s="615">
        <f>E4454</f>
        <v>5129</v>
      </c>
      <c r="F4405" s="615">
        <f>F4454</f>
        <v>19805</v>
      </c>
      <c r="G4405" s="486" t="str">
        <f>HYPERLINK("#G"&amp;ROW(G4443),"_x0005_`BDCOD|D01284_x0007_`POSS|"&amp;ROW(G4407)&amp;"_x0007_`POSE|"&amp;ROW(G4443)&amp;"_x0007_`")</f>
        <v>_x0005_`BDCOD|D01284_x0007_`POSS|4407_x0007_`POSE|4443_x0007_`</v>
      </c>
      <c r="Z4405" s="500"/>
      <c r="AA4405" s="500"/>
      <c r="AB4405" s="500"/>
      <c r="AC4405" s="500"/>
      <c r="AD4405" s="500"/>
      <c r="AE4405" s="500"/>
      <c r="AF4405" s="500"/>
      <c r="AG4405" s="500"/>
      <c r="AH4405" s="500"/>
      <c r="AI4405" s="500"/>
      <c r="AJ4405" s="500"/>
      <c r="AK4405" s="500"/>
      <c r="AL4405" s="500"/>
      <c r="AM4405" s="500"/>
      <c r="AN4405" s="500"/>
      <c r="AO4405" s="500"/>
      <c r="AP4405" s="500"/>
    </row>
    <row r="4406" spans="1:42" ht="16.5" customHeight="1">
      <c r="A4406" s="485"/>
      <c r="B4406" s="503" t="s">
        <v>3928</v>
      </c>
      <c r="C4406" s="593"/>
      <c r="D4406" s="593"/>
      <c r="E4406" s="593"/>
      <c r="F4406" s="593"/>
      <c r="M4406" s="501" t="s">
        <v>1962</v>
      </c>
      <c r="Z4406" s="500"/>
      <c r="AA4406" s="500"/>
      <c r="AB4406" s="500"/>
      <c r="AC4406" s="500"/>
      <c r="AD4406" s="500"/>
      <c r="AE4406" s="500"/>
      <c r="AF4406" s="500"/>
      <c r="AG4406" s="500"/>
      <c r="AH4406" s="500"/>
      <c r="AI4406" s="500"/>
      <c r="AJ4406" s="500"/>
      <c r="AK4406" s="500"/>
      <c r="AL4406" s="500"/>
      <c r="AM4406" s="500"/>
      <c r="AN4406" s="500"/>
      <c r="AO4406" s="500"/>
      <c r="AP4406" s="500"/>
    </row>
    <row r="4407" spans="1:42" ht="16.5" customHeight="1">
      <c r="A4407" s="439"/>
      <c r="B4407" s="439"/>
      <c r="C4407" s="504"/>
      <c r="D4407" s="504"/>
      <c r="E4407" s="504"/>
      <c r="F4407" s="504"/>
      <c r="G4407" s="451" t="s">
        <v>3406</v>
      </c>
      <c r="Z4407" s="500"/>
      <c r="AA4407" s="500"/>
      <c r="AB4407" s="500"/>
      <c r="AC4407" s="500"/>
      <c r="AD4407" s="500"/>
      <c r="AE4407" s="500"/>
      <c r="AF4407" s="500"/>
      <c r="AG4407" s="500"/>
      <c r="AH4407" s="500"/>
      <c r="AI4407" s="500"/>
      <c r="AJ4407" s="500"/>
      <c r="AK4407" s="500"/>
      <c r="AL4407" s="500"/>
      <c r="AM4407" s="500"/>
      <c r="AN4407" s="500"/>
      <c r="AO4407" s="500"/>
      <c r="AP4407" s="500"/>
    </row>
    <row r="4408" spans="1:42" ht="16.5" customHeight="1">
      <c r="A4408" s="434"/>
      <c r="B4408" s="437" t="s">
        <v>3929</v>
      </c>
      <c r="C4408" s="439"/>
      <c r="D4408" s="439"/>
      <c r="E4408" s="439"/>
      <c r="F4408" s="439"/>
      <c r="G4408" s="451" t="s">
        <v>3930</v>
      </c>
      <c r="Z4408" s="500"/>
      <c r="AA4408" s="500"/>
      <c r="AB4408" s="500"/>
      <c r="AC4408" s="500"/>
      <c r="AD4408" s="500"/>
      <c r="AE4408" s="500"/>
      <c r="AF4408" s="500"/>
      <c r="AG4408" s="500"/>
      <c r="AH4408" s="500"/>
      <c r="AI4408" s="500"/>
      <c r="AJ4408" s="500"/>
      <c r="AK4408" s="500"/>
      <c r="AL4408" s="500"/>
      <c r="AM4408" s="500"/>
      <c r="AN4408" s="500"/>
      <c r="AO4408" s="500"/>
      <c r="AP4408" s="500"/>
    </row>
    <row r="4409" spans="1:42" ht="16.5" customHeight="1">
      <c r="A4409" s="439"/>
      <c r="B4409" s="439"/>
      <c r="C4409" s="439"/>
      <c r="D4409" s="439"/>
      <c r="E4409" s="439"/>
      <c r="F4409" s="439"/>
      <c r="G4409" s="451" t="s">
        <v>3406</v>
      </c>
      <c r="Z4409" s="500"/>
      <c r="AA4409" s="500"/>
      <c r="AB4409" s="500"/>
      <c r="AC4409" s="500"/>
      <c r="AD4409" s="500"/>
      <c r="AE4409" s="500"/>
      <c r="AF4409" s="500"/>
      <c r="AG4409" s="500"/>
      <c r="AH4409" s="500"/>
      <c r="AI4409" s="500"/>
      <c r="AJ4409" s="500"/>
      <c r="AK4409" s="500"/>
      <c r="AL4409" s="500"/>
      <c r="AM4409" s="500"/>
      <c r="AN4409" s="500"/>
      <c r="AO4409" s="500"/>
      <c r="AP4409" s="500"/>
    </row>
    <row r="4410" spans="1:42" ht="16.5" customHeight="1">
      <c r="A4410" s="434"/>
      <c r="B4410" s="437" t="s">
        <v>3907</v>
      </c>
      <c r="C4410" s="439"/>
      <c r="D4410" s="439"/>
      <c r="E4410" s="439"/>
      <c r="F4410" s="439"/>
      <c r="G4410" s="451" t="s">
        <v>3908</v>
      </c>
      <c r="Z4410" s="500"/>
      <c r="AA4410" s="500"/>
      <c r="AB4410" s="500"/>
      <c r="AC4410" s="500"/>
      <c r="AD4410" s="500"/>
      <c r="AE4410" s="500"/>
      <c r="AF4410" s="500"/>
      <c r="AG4410" s="500"/>
      <c r="AH4410" s="500"/>
      <c r="AI4410" s="500"/>
      <c r="AJ4410" s="500"/>
      <c r="AK4410" s="500"/>
      <c r="AL4410" s="500"/>
      <c r="AM4410" s="500"/>
      <c r="AN4410" s="500"/>
      <c r="AO4410" s="500"/>
      <c r="AP4410" s="500"/>
    </row>
    <row r="4411" spans="1:42" ht="16.5" customHeight="1">
      <c r="A4411" s="439"/>
      <c r="B4411" s="439"/>
      <c r="C4411" s="439"/>
      <c r="D4411" s="439"/>
      <c r="E4411" s="439"/>
      <c r="F4411" s="439"/>
      <c r="G4411" s="451" t="s">
        <v>3406</v>
      </c>
      <c r="Z4411" s="500"/>
      <c r="AA4411" s="500"/>
      <c r="AB4411" s="500"/>
      <c r="AC4411" s="500"/>
      <c r="AD4411" s="500"/>
      <c r="AE4411" s="500"/>
      <c r="AF4411" s="500"/>
      <c r="AG4411" s="500"/>
      <c r="AH4411" s="500"/>
      <c r="AI4411" s="500"/>
      <c r="AJ4411" s="500"/>
      <c r="AK4411" s="500"/>
      <c r="AL4411" s="500"/>
      <c r="AM4411" s="500"/>
      <c r="AN4411" s="500"/>
      <c r="AO4411" s="500"/>
      <c r="AP4411" s="500"/>
    </row>
    <row r="4412" spans="1:42" ht="16.5" customHeight="1">
      <c r="A4412" s="439"/>
      <c r="B4412" s="439"/>
      <c r="C4412" s="439"/>
      <c r="D4412" s="439"/>
      <c r="E4412" s="439"/>
      <c r="F4412" s="439"/>
      <c r="G4412" s="451" t="s">
        <v>3406</v>
      </c>
      <c r="Z4412" s="500"/>
      <c r="AA4412" s="500"/>
      <c r="AB4412" s="500"/>
      <c r="AC4412" s="500"/>
      <c r="AD4412" s="500"/>
      <c r="AE4412" s="500"/>
      <c r="AF4412" s="500"/>
      <c r="AG4412" s="500"/>
      <c r="AH4412" s="500"/>
      <c r="AI4412" s="500"/>
      <c r="AJ4412" s="500"/>
      <c r="AK4412" s="500"/>
      <c r="AL4412" s="500"/>
      <c r="AM4412" s="500"/>
      <c r="AN4412" s="500"/>
      <c r="AO4412" s="500"/>
      <c r="AP4412" s="500"/>
    </row>
    <row r="4413" spans="1:42" ht="16.5" customHeight="1">
      <c r="A4413" s="434"/>
      <c r="B4413" s="437" t="str">
        <f>" 일당 작업량 :  Q = "&amp;Z4413&amp;" 주 "</f>
        <v xml:space="preserve"> 일당 작업량 :  Q = 8 주 </v>
      </c>
      <c r="C4413" s="439"/>
      <c r="D4413" s="439"/>
      <c r="E4413" s="439"/>
      <c r="F4413" s="439"/>
      <c r="G4413" s="451" t="s">
        <v>3931</v>
      </c>
      <c r="Z4413" s="515">
        <v>8</v>
      </c>
      <c r="AA4413" s="501" t="s">
        <v>3418</v>
      </c>
      <c r="AB4413" s="512">
        <f>Z4413</f>
        <v>8</v>
      </c>
      <c r="AC4413" s="500"/>
      <c r="AD4413" s="500"/>
      <c r="AE4413" s="500"/>
      <c r="AF4413" s="500"/>
      <c r="AG4413" s="500"/>
      <c r="AH4413" s="500"/>
      <c r="AI4413" s="500"/>
      <c r="AJ4413" s="500"/>
      <c r="AK4413" s="500"/>
      <c r="AL4413" s="500"/>
      <c r="AM4413" s="500"/>
      <c r="AN4413" s="500"/>
      <c r="AO4413" s="500"/>
      <c r="AP4413" s="500"/>
    </row>
    <row r="4414" spans="1:42" ht="16.5" customHeight="1">
      <c r="A4414" s="439"/>
      <c r="B4414" s="439"/>
      <c r="C4414" s="439"/>
      <c r="D4414" s="439"/>
      <c r="E4414" s="439"/>
      <c r="F4414" s="439"/>
      <c r="G4414" s="451" t="s">
        <v>3406</v>
      </c>
      <c r="Z4414" s="500"/>
      <c r="AA4414" s="500"/>
      <c r="AB4414" s="500"/>
      <c r="AC4414" s="500"/>
      <c r="AD4414" s="500"/>
      <c r="AE4414" s="500"/>
      <c r="AF4414" s="500"/>
      <c r="AG4414" s="500"/>
      <c r="AH4414" s="500"/>
      <c r="AI4414" s="500"/>
      <c r="AJ4414" s="500"/>
      <c r="AK4414" s="500"/>
      <c r="AL4414" s="500"/>
      <c r="AM4414" s="500"/>
      <c r="AN4414" s="500"/>
      <c r="AO4414" s="500"/>
      <c r="AP4414" s="500"/>
    </row>
    <row r="4415" spans="1:42" ht="16.5" customHeight="1">
      <c r="A4415" s="434"/>
      <c r="B4415" s="437" t="s">
        <v>3910</v>
      </c>
      <c r="C4415" s="439"/>
      <c r="D4415" s="439"/>
      <c r="E4415" s="439"/>
      <c r="F4415" s="439"/>
      <c r="G4415" s="451" t="s">
        <v>3911</v>
      </c>
      <c r="Z4415" s="500"/>
      <c r="AA4415" s="500"/>
      <c r="AB4415" s="500"/>
      <c r="AC4415" s="500"/>
      <c r="AD4415" s="500"/>
      <c r="AE4415" s="500"/>
      <c r="AF4415" s="500"/>
      <c r="AG4415" s="500"/>
      <c r="AH4415" s="500"/>
      <c r="AI4415" s="500"/>
      <c r="AJ4415" s="500"/>
      <c r="AK4415" s="500"/>
      <c r="AL4415" s="500"/>
      <c r="AM4415" s="500"/>
      <c r="AN4415" s="500"/>
      <c r="AO4415" s="500"/>
      <c r="AP4415" s="500"/>
    </row>
    <row r="4416" spans="1:42" ht="16.5" customHeight="1">
      <c r="A4416" s="439"/>
      <c r="B4416" s="439"/>
      <c r="C4416" s="439"/>
      <c r="D4416" s="439"/>
      <c r="E4416" s="439"/>
      <c r="F4416" s="439"/>
      <c r="G4416" s="451" t="s">
        <v>3406</v>
      </c>
      <c r="Z4416" s="500"/>
      <c r="AA4416" s="500"/>
      <c r="AB4416" s="500"/>
      <c r="AC4416" s="500"/>
      <c r="AD4416" s="500"/>
      <c r="AE4416" s="500"/>
      <c r="AF4416" s="500"/>
      <c r="AG4416" s="500"/>
      <c r="AH4416" s="500"/>
      <c r="AI4416" s="500"/>
      <c r="AJ4416" s="500"/>
      <c r="AK4416" s="500"/>
      <c r="AL4416" s="500"/>
      <c r="AM4416" s="500"/>
      <c r="AN4416" s="500"/>
      <c r="AO4416" s="500"/>
      <c r="AP4416" s="500"/>
    </row>
    <row r="4417" spans="1:42" ht="16.5" customHeight="1">
      <c r="A4417" s="439"/>
      <c r="B4417" s="439"/>
      <c r="C4417" s="439"/>
      <c r="D4417" s="439"/>
      <c r="E4417" s="439"/>
      <c r="F4417" s="439"/>
      <c r="G4417" s="451" t="s">
        <v>3406</v>
      </c>
      <c r="Z4417" s="500"/>
      <c r="AA4417" s="500"/>
      <c r="AB4417" s="500"/>
      <c r="AC4417" s="500"/>
      <c r="AD4417" s="500"/>
      <c r="AE4417" s="500"/>
      <c r="AF4417" s="500"/>
      <c r="AG4417" s="500"/>
      <c r="AH4417" s="500"/>
      <c r="AI4417" s="500"/>
      <c r="AJ4417" s="500"/>
      <c r="AK4417" s="500"/>
      <c r="AL4417" s="500"/>
      <c r="AM4417" s="500"/>
      <c r="AN4417" s="500"/>
      <c r="AO4417" s="500"/>
      <c r="AP4417" s="500"/>
    </row>
    <row r="4418" spans="1:42" ht="16.5" customHeight="1">
      <c r="A4418" s="434"/>
      <c r="B4418" s="437" t="s">
        <v>3496</v>
      </c>
      <c r="C4418" s="439"/>
      <c r="D4418" s="439"/>
      <c r="E4418" s="439"/>
      <c r="F4418" s="439"/>
      <c r="G4418" s="451" t="s">
        <v>3497</v>
      </c>
      <c r="Z4418" s="500"/>
      <c r="AA4418" s="500"/>
      <c r="AB4418" s="500"/>
      <c r="AC4418" s="500"/>
      <c r="AD4418" s="500"/>
      <c r="AE4418" s="500"/>
      <c r="AF4418" s="500"/>
      <c r="AG4418" s="500"/>
      <c r="AH4418" s="500"/>
      <c r="AI4418" s="500"/>
      <c r="AJ4418" s="500"/>
      <c r="AK4418" s="500"/>
      <c r="AL4418" s="500"/>
      <c r="AM4418" s="500"/>
      <c r="AN4418" s="500"/>
      <c r="AO4418" s="500"/>
      <c r="AP4418" s="500"/>
    </row>
    <row r="4419" spans="1:42" ht="16.5" customHeight="1">
      <c r="A4419" s="439"/>
      <c r="B4419" s="439"/>
      <c r="C4419" s="439"/>
      <c r="D4419" s="439"/>
      <c r="E4419" s="439"/>
      <c r="F4419" s="439"/>
      <c r="G4419" s="451" t="s">
        <v>3406</v>
      </c>
      <c r="Z4419" s="500"/>
      <c r="AA4419" s="500"/>
      <c r="AB4419" s="500"/>
      <c r="AC4419" s="500"/>
      <c r="AD4419" s="500"/>
      <c r="AE4419" s="500"/>
      <c r="AF4419" s="500"/>
      <c r="AG4419" s="500"/>
      <c r="AH4419" s="500"/>
      <c r="AI4419" s="500"/>
      <c r="AJ4419" s="500"/>
      <c r="AK4419" s="500"/>
      <c r="AL4419" s="500"/>
      <c r="AM4419" s="500"/>
      <c r="AN4419" s="500"/>
      <c r="AO4419" s="500"/>
      <c r="AP4419" s="500"/>
    </row>
    <row r="4420" spans="1:42" ht="16.5" customHeight="1">
      <c r="A4420" s="434" t="s">
        <v>3498</v>
      </c>
      <c r="B4420" s="505" t="str">
        <f>" 조 경 공 : "&amp;TEXT(I4420,"#,##0"&amp;IF(I4420&lt;&gt;INT(I4420),".###",""))&amp;" * "&amp;AA4420&amp;" 인  / Q = "&amp;TEXT(C4420,"#,##0.0")&amp;" "</f>
        <v xml:space="preserve"> 조 경 공 : 235,204 * 2 인  / Q = 58,801.0 </v>
      </c>
      <c r="C4420" s="506">
        <f>E4420+D4420+F4420</f>
        <v>58801</v>
      </c>
      <c r="D4420" s="506">
        <f>IF(H4420=0,0,ROUNDDOWN(J4420*H4420,1))</f>
        <v>58801</v>
      </c>
      <c r="E4420" s="506">
        <f>IF(H4420=0,0,ROUNDDOWN(K4420*H4420,1))</f>
        <v>0</v>
      </c>
      <c r="F4420" s="506">
        <f>IF(H4420=0,0,ROUNDDOWN(L4420*H4420,1))</f>
        <v>0</v>
      </c>
      <c r="G4420" s="451" t="s">
        <v>3912</v>
      </c>
      <c r="H4420" s="507">
        <f>ROUNDUP(AE4420,14-LEN(ABS(INT(AE4420))))</f>
        <v>0.25</v>
      </c>
      <c r="I4420" s="508">
        <f>K4420+J4420+L4420</f>
        <v>235204</v>
      </c>
      <c r="J4420" s="509">
        <f>노무비목록표!E15</f>
        <v>235204</v>
      </c>
      <c r="M4420" s="501" t="s">
        <v>2359</v>
      </c>
      <c r="N4420" s="501" t="s">
        <v>3416</v>
      </c>
      <c r="O4420" s="501" t="s">
        <v>2355</v>
      </c>
      <c r="X4420" s="510" t="str">
        <f>노무비목록표!B15&amp;" / "&amp;노무비목록표!C15</f>
        <v xml:space="preserve">조경공 / </v>
      </c>
      <c r="Y4420" s="433" t="str">
        <f ca="1">HYPERLINK("#"&amp;노무비목록표!G2&amp;"!A"&amp;ROW(노무비목록표!A15),"L00184 →")</f>
        <v>L00184 →</v>
      </c>
      <c r="Z4420" s="501" t="s">
        <v>3500</v>
      </c>
      <c r="AA4420" s="515">
        <v>2</v>
      </c>
      <c r="AB4420" s="501" t="s">
        <v>3428</v>
      </c>
      <c r="AC4420" s="512">
        <f>AB4413</f>
        <v>8</v>
      </c>
      <c r="AD4420" s="501" t="s">
        <v>3418</v>
      </c>
      <c r="AE4420" s="512">
        <f>1*AA4420/AB4413</f>
        <v>0.25</v>
      </c>
      <c r="AF4420" s="500"/>
      <c r="AG4420" s="500"/>
      <c r="AH4420" s="500"/>
      <c r="AI4420" s="500"/>
      <c r="AJ4420" s="500"/>
      <c r="AK4420" s="500"/>
      <c r="AL4420" s="500"/>
      <c r="AM4420" s="500"/>
      <c r="AN4420" s="500"/>
      <c r="AO4420" s="500"/>
      <c r="AP4420" s="500"/>
    </row>
    <row r="4421" spans="1:42" ht="16.5" customHeight="1">
      <c r="A4421" s="439"/>
      <c r="B4421" s="439"/>
      <c r="C4421" s="439"/>
      <c r="D4421" s="439"/>
      <c r="E4421" s="439"/>
      <c r="F4421" s="439"/>
      <c r="G4421" s="451" t="s">
        <v>3406</v>
      </c>
      <c r="Z4421" s="500"/>
      <c r="AA4421" s="500"/>
      <c r="AB4421" s="500"/>
      <c r="AC4421" s="500"/>
      <c r="AD4421" s="500"/>
      <c r="AE4421" s="500"/>
      <c r="AF4421" s="500"/>
      <c r="AG4421" s="500"/>
      <c r="AH4421" s="500"/>
      <c r="AI4421" s="500"/>
      <c r="AJ4421" s="500"/>
      <c r="AK4421" s="500"/>
      <c r="AL4421" s="500"/>
      <c r="AM4421" s="500"/>
      <c r="AN4421" s="500"/>
      <c r="AO4421" s="500"/>
      <c r="AP4421" s="500"/>
    </row>
    <row r="4422" spans="1:42" ht="16.5" customHeight="1">
      <c r="A4422" s="434" t="s">
        <v>3414</v>
      </c>
      <c r="B4422" s="505" t="str">
        <f>" 보통인부 : "&amp;TEXT(I4422,"#,##0"&amp;IF(I4422&lt;&gt;INT(I4422),".###",""))&amp;" * "&amp;AA4422&amp;" 인  / Q = "&amp;TEXT(C4422,"#,##0.0")&amp;" "</f>
        <v xml:space="preserve"> 보통인부 : 172,068 * 1 인  / Q = 21,508.5 </v>
      </c>
      <c r="C4422" s="506">
        <f>E4422+D4422+F4422</f>
        <v>21508.5</v>
      </c>
      <c r="D4422" s="506">
        <f>IF(H4422=0,0,ROUNDDOWN(J4422*H4422,1))</f>
        <v>21508.5</v>
      </c>
      <c r="E4422" s="506">
        <f>IF(H4422=0,0,ROUNDDOWN(K4422*H4422,1))</f>
        <v>0</v>
      </c>
      <c r="F4422" s="506">
        <f>IF(H4422=0,0,ROUNDDOWN(L4422*H4422,1))</f>
        <v>0</v>
      </c>
      <c r="G4422" s="451" t="s">
        <v>3913</v>
      </c>
      <c r="H4422" s="507">
        <f>ROUNDUP(AE4422,14-LEN(ABS(INT(AE4422))))</f>
        <v>0.125</v>
      </c>
      <c r="I4422" s="508">
        <f>K4422+J4422+L4422</f>
        <v>172068</v>
      </c>
      <c r="J4422" s="509">
        <f>노무비목록표!E10</f>
        <v>172068</v>
      </c>
      <c r="M4422" s="501" t="s">
        <v>2363</v>
      </c>
      <c r="N4422" s="501" t="s">
        <v>3416</v>
      </c>
      <c r="O4422" s="501" t="s">
        <v>2355</v>
      </c>
      <c r="X4422" s="510" t="str">
        <f>노무비목록표!B10&amp;" / "&amp;노무비목록표!C10</f>
        <v xml:space="preserve">보통인부 / </v>
      </c>
      <c r="Y4422" s="433" t="str">
        <f ca="1">HYPERLINK("#"&amp;노무비목록표!G2&amp;"!A"&amp;ROW(노무비목록표!A10),"L00017 →")</f>
        <v>L00017 →</v>
      </c>
      <c r="Z4422" s="501" t="s">
        <v>3500</v>
      </c>
      <c r="AA4422" s="515">
        <v>1</v>
      </c>
      <c r="AB4422" s="501" t="s">
        <v>3428</v>
      </c>
      <c r="AC4422" s="512">
        <f>AB4413</f>
        <v>8</v>
      </c>
      <c r="AD4422" s="501" t="s">
        <v>3418</v>
      </c>
      <c r="AE4422" s="512">
        <f>1*AA4422/AB4413</f>
        <v>0.125</v>
      </c>
      <c r="AF4422" s="500"/>
      <c r="AG4422" s="500"/>
      <c r="AH4422" s="500"/>
      <c r="AI4422" s="500"/>
      <c r="AJ4422" s="500"/>
      <c r="AK4422" s="500"/>
      <c r="AL4422" s="500"/>
      <c r="AM4422" s="500"/>
      <c r="AN4422" s="500"/>
      <c r="AO4422" s="500"/>
      <c r="AP4422" s="500"/>
    </row>
    <row r="4423" spans="1:42" ht="16.5" customHeight="1">
      <c r="A4423" s="439"/>
      <c r="B4423" s="439"/>
      <c r="C4423" s="439"/>
      <c r="D4423" s="439"/>
      <c r="E4423" s="439"/>
      <c r="F4423" s="439"/>
      <c r="G4423" s="451" t="s">
        <v>3406</v>
      </c>
      <c r="Z4423" s="500"/>
      <c r="AA4423" s="500"/>
      <c r="AB4423" s="500"/>
      <c r="AC4423" s="500"/>
      <c r="AD4423" s="500"/>
      <c r="AE4423" s="500"/>
      <c r="AF4423" s="500"/>
      <c r="AG4423" s="500"/>
      <c r="AH4423" s="500"/>
      <c r="AI4423" s="500"/>
      <c r="AJ4423" s="500"/>
      <c r="AK4423" s="500"/>
      <c r="AL4423" s="500"/>
      <c r="AM4423" s="500"/>
      <c r="AN4423" s="500"/>
      <c r="AO4423" s="500"/>
      <c r="AP4423" s="500"/>
    </row>
    <row r="4424" spans="1:42" ht="16.5" customHeight="1">
      <c r="A4424" s="434"/>
      <c r="B4424" s="437" t="s">
        <v>3419</v>
      </c>
      <c r="C4424" s="513">
        <f>E4424+D4424+F4424</f>
        <v>80309.5</v>
      </c>
      <c r="D4424" s="513">
        <f>SUMIF(N4407:N4423,M4424,D4407:D4423)</f>
        <v>80309.5</v>
      </c>
      <c r="E4424" s="513">
        <f>SUMIF(N4407:N4423,M4424,E4407:E4423)</f>
        <v>0</v>
      </c>
      <c r="F4424" s="513">
        <f>SUMIF(N4407:N4423,M4424,F4407:F4423)</f>
        <v>0</v>
      </c>
      <c r="G4424" s="451" t="s">
        <v>3420</v>
      </c>
      <c r="M4424" s="501" t="s">
        <v>3416</v>
      </c>
      <c r="N4424" s="501" t="s">
        <v>3421</v>
      </c>
      <c r="Z4424" s="500"/>
      <c r="AA4424" s="500"/>
      <c r="AB4424" s="500"/>
      <c r="AC4424" s="500"/>
      <c r="AD4424" s="500"/>
      <c r="AE4424" s="500"/>
      <c r="AF4424" s="500"/>
      <c r="AG4424" s="500"/>
      <c r="AH4424" s="500"/>
      <c r="AI4424" s="500"/>
      <c r="AJ4424" s="500"/>
      <c r="AK4424" s="500"/>
      <c r="AL4424" s="500"/>
      <c r="AM4424" s="500"/>
      <c r="AN4424" s="500"/>
      <c r="AO4424" s="500"/>
      <c r="AP4424" s="500"/>
    </row>
    <row r="4425" spans="1:42" ht="16.5" customHeight="1">
      <c r="A4425" s="439"/>
      <c r="B4425" s="439"/>
      <c r="C4425" s="504"/>
      <c r="D4425" s="504"/>
      <c r="E4425" s="504"/>
      <c r="F4425" s="504"/>
      <c r="G4425" s="451" t="s">
        <v>3406</v>
      </c>
      <c r="Z4425" s="500"/>
      <c r="AA4425" s="500"/>
      <c r="AB4425" s="500"/>
      <c r="AC4425" s="500"/>
      <c r="AD4425" s="500"/>
      <c r="AE4425" s="500"/>
      <c r="AF4425" s="500"/>
      <c r="AG4425" s="500"/>
      <c r="AH4425" s="500"/>
      <c r="AI4425" s="500"/>
      <c r="AJ4425" s="500"/>
      <c r="AK4425" s="500"/>
      <c r="AL4425" s="500"/>
      <c r="AM4425" s="500"/>
      <c r="AN4425" s="500"/>
      <c r="AO4425" s="500"/>
      <c r="AP4425" s="500"/>
    </row>
    <row r="4426" spans="1:42" ht="16.5" customHeight="1">
      <c r="A4426" s="439"/>
      <c r="B4426" s="439"/>
      <c r="C4426" s="439"/>
      <c r="D4426" s="439"/>
      <c r="E4426" s="439"/>
      <c r="F4426" s="439"/>
      <c r="G4426" s="451" t="s">
        <v>3406</v>
      </c>
      <c r="Z4426" s="500"/>
      <c r="AA4426" s="500"/>
      <c r="AB4426" s="500"/>
      <c r="AC4426" s="500"/>
      <c r="AD4426" s="500"/>
      <c r="AE4426" s="500"/>
      <c r="AF4426" s="500"/>
      <c r="AG4426" s="500"/>
      <c r="AH4426" s="500"/>
      <c r="AI4426" s="500"/>
      <c r="AJ4426" s="500"/>
      <c r="AK4426" s="500"/>
      <c r="AL4426" s="500"/>
      <c r="AM4426" s="500"/>
      <c r="AN4426" s="500"/>
      <c r="AO4426" s="500"/>
      <c r="AP4426" s="500"/>
    </row>
    <row r="4427" spans="1:42" ht="16.5" customHeight="1">
      <c r="A4427" s="434"/>
      <c r="B4427" s="437" t="s">
        <v>3914</v>
      </c>
      <c r="C4427" s="439"/>
      <c r="D4427" s="439"/>
      <c r="E4427" s="439"/>
      <c r="F4427" s="439"/>
      <c r="G4427" s="451" t="s">
        <v>3915</v>
      </c>
      <c r="Z4427" s="500"/>
      <c r="AA4427" s="500"/>
      <c r="AB4427" s="500"/>
      <c r="AC4427" s="500"/>
      <c r="AD4427" s="500"/>
      <c r="AE4427" s="500"/>
      <c r="AF4427" s="500"/>
      <c r="AG4427" s="500"/>
      <c r="AH4427" s="500"/>
      <c r="AI4427" s="500"/>
      <c r="AJ4427" s="500"/>
      <c r="AK4427" s="500"/>
      <c r="AL4427" s="500"/>
      <c r="AM4427" s="500"/>
      <c r="AN4427" s="500"/>
      <c r="AO4427" s="500"/>
      <c r="AP4427" s="500"/>
    </row>
    <row r="4428" spans="1:42" ht="16.5" customHeight="1">
      <c r="A4428" s="439"/>
      <c r="B4428" s="439"/>
      <c r="C4428" s="439"/>
      <c r="D4428" s="439"/>
      <c r="E4428" s="439"/>
      <c r="F4428" s="439"/>
      <c r="G4428" s="451" t="s">
        <v>3406</v>
      </c>
      <c r="Z4428" s="500"/>
      <c r="AA4428" s="500"/>
      <c r="AB4428" s="500"/>
      <c r="AC4428" s="500"/>
      <c r="AD4428" s="500"/>
      <c r="AE4428" s="500"/>
      <c r="AF4428" s="500"/>
      <c r="AG4428" s="500"/>
      <c r="AH4428" s="500"/>
      <c r="AI4428" s="500"/>
      <c r="AJ4428" s="500"/>
      <c r="AK4428" s="500"/>
      <c r="AL4428" s="500"/>
      <c r="AM4428" s="500"/>
      <c r="AN4428" s="500"/>
      <c r="AO4428" s="500"/>
      <c r="AP4428" s="500"/>
    </row>
    <row r="4429" spans="1:42" ht="16.5" customHeight="1">
      <c r="A4429" s="434" t="s">
        <v>3916</v>
      </c>
      <c r="B4429" s="505" t="str">
        <f>"  노 무 비 :  "&amp;TEXT(I4429,"#,##0"&amp;IF(I4429&lt;&gt;INT(I4429),".###",""))&amp;" / Q * "&amp;AC4429&amp;" = "&amp;TEXT(C4429,"#,##0.0")&amp;""</f>
        <v xml:space="preserve">  노 무 비 :  49,778 / Q * 8 = 49,778.0</v>
      </c>
      <c r="C4429" s="506">
        <f>E4429+D4429+F4429</f>
        <v>49778</v>
      </c>
      <c r="D4429" s="506">
        <f>IF(H4429=0,0,ROUNDDOWN(J4429*H4429,1))</f>
        <v>49778</v>
      </c>
      <c r="E4429" s="506">
        <f>IF(H4429=0,0,ROUNDDOWN(K4429*H4429,1))</f>
        <v>0</v>
      </c>
      <c r="F4429" s="506">
        <f>IF(H4429=0,0,ROUNDDOWN(L4429*H4429,1))</f>
        <v>0</v>
      </c>
      <c r="G4429" s="451" t="s">
        <v>3917</v>
      </c>
      <c r="H4429" s="507">
        <f>ROUNDUP(AE4429,14-LEN(ABS(INT(AE4429))))</f>
        <v>1</v>
      </c>
      <c r="I4429" s="508">
        <f>K4429+J4429+L4429</f>
        <v>49778</v>
      </c>
      <c r="J4429" s="509">
        <f>중기목록표!F4</f>
        <v>49778</v>
      </c>
      <c r="M4429" s="501" t="s">
        <v>3918</v>
      </c>
      <c r="N4429" s="501" t="s">
        <v>3416</v>
      </c>
      <c r="X4429" s="510" t="str">
        <f>중기목록표!B4&amp;" / "&amp;중기목록표!C4</f>
        <v>고소작업차 / 3톤</v>
      </c>
      <c r="Y4429" s="433" t="str">
        <f ca="1">HYPERLINK("#"&amp;중기목록표!J2&amp;"!A"&amp;ROW(중기목록표!A4),"X00328 →")</f>
        <v>X00328 →</v>
      </c>
      <c r="Z4429" s="501" t="s">
        <v>3434</v>
      </c>
      <c r="AA4429" s="512">
        <f>AB4413</f>
        <v>8</v>
      </c>
      <c r="AB4429" s="501" t="s">
        <v>3368</v>
      </c>
      <c r="AC4429" s="515">
        <v>8</v>
      </c>
      <c r="AD4429" s="501" t="s">
        <v>3418</v>
      </c>
      <c r="AE4429" s="512">
        <f>1/AB4413*AC4429</f>
        <v>1</v>
      </c>
      <c r="AF4429" s="500"/>
      <c r="AG4429" s="500"/>
      <c r="AH4429" s="500"/>
      <c r="AI4429" s="500"/>
      <c r="AJ4429" s="500"/>
      <c r="AK4429" s="500"/>
      <c r="AL4429" s="500"/>
      <c r="AM4429" s="500"/>
      <c r="AN4429" s="500"/>
      <c r="AO4429" s="500"/>
      <c r="AP4429" s="500"/>
    </row>
    <row r="4430" spans="1:42" ht="16.5" customHeight="1">
      <c r="A4430" s="439"/>
      <c r="B4430" s="439"/>
      <c r="C4430" s="439"/>
      <c r="D4430" s="439"/>
      <c r="E4430" s="439"/>
      <c r="F4430" s="439"/>
      <c r="G4430" s="451" t="s">
        <v>3406</v>
      </c>
      <c r="Z4430" s="500"/>
      <c r="AA4430" s="500"/>
      <c r="AB4430" s="500"/>
      <c r="AC4430" s="500"/>
      <c r="AD4430" s="500"/>
      <c r="AE4430" s="500"/>
      <c r="AF4430" s="500"/>
      <c r="AG4430" s="500"/>
      <c r="AH4430" s="500"/>
      <c r="AI4430" s="500"/>
      <c r="AJ4430" s="500"/>
      <c r="AK4430" s="500"/>
      <c r="AL4430" s="500"/>
      <c r="AM4430" s="500"/>
      <c r="AN4430" s="500"/>
      <c r="AO4430" s="500"/>
      <c r="AP4430" s="500"/>
    </row>
    <row r="4431" spans="1:42" ht="16.5" customHeight="1">
      <c r="A4431" s="434" t="s">
        <v>3919</v>
      </c>
      <c r="B4431" s="505" t="str">
        <f>"  재 료 비 :  "&amp;TEXT(I4431,"#,##0"&amp;IF(I4431&lt;&gt;INT(I4431),".###",""))&amp;" / Q * "&amp;AC4431&amp;" = "&amp;TEXT(C4431,"#,##0.0")&amp;""</f>
        <v xml:space="preserve">  재 료 비 :  5,129 / Q * 8 = 5,129.0</v>
      </c>
      <c r="C4431" s="506">
        <f>E4431+D4431+F4431</f>
        <v>5129</v>
      </c>
      <c r="D4431" s="506">
        <f>IF(H4431=0,0,ROUNDDOWN(J4431*H4431,1))</f>
        <v>0</v>
      </c>
      <c r="E4431" s="506">
        <f>IF(H4431=0,0,ROUNDDOWN(K4431*H4431,1))</f>
        <v>5129</v>
      </c>
      <c r="F4431" s="506">
        <f>IF(H4431=0,0,ROUNDDOWN(L4431*H4431,1))</f>
        <v>0</v>
      </c>
      <c r="G4431" s="451" t="s">
        <v>3920</v>
      </c>
      <c r="H4431" s="507">
        <f>ROUNDUP(AE4431,14-LEN(ABS(INT(AE4431))))</f>
        <v>1</v>
      </c>
      <c r="I4431" s="508">
        <f>K4431+J4431+L4431</f>
        <v>5129</v>
      </c>
      <c r="K4431" s="509">
        <f>중기목록표!G4</f>
        <v>5129</v>
      </c>
      <c r="M4431" s="501" t="s">
        <v>3918</v>
      </c>
      <c r="N4431" s="501" t="s">
        <v>3416</v>
      </c>
      <c r="X4431" s="510" t="str">
        <f>중기목록표!B4&amp;" / "&amp;중기목록표!C4</f>
        <v>고소작업차 / 3톤</v>
      </c>
      <c r="Y4431" s="433" t="str">
        <f ca="1">HYPERLINK("#"&amp;중기목록표!J2&amp;"!A"&amp;ROW(중기목록표!A4),"X00328 →")</f>
        <v>X00328 →</v>
      </c>
      <c r="Z4431" s="501" t="s">
        <v>3434</v>
      </c>
      <c r="AA4431" s="512">
        <f>AB4413</f>
        <v>8</v>
      </c>
      <c r="AB4431" s="501" t="s">
        <v>3368</v>
      </c>
      <c r="AC4431" s="515">
        <v>8</v>
      </c>
      <c r="AD4431" s="501" t="s">
        <v>3418</v>
      </c>
      <c r="AE4431" s="512">
        <f>1/AB4413*AC4431</f>
        <v>1</v>
      </c>
      <c r="AF4431" s="500"/>
      <c r="AG4431" s="500"/>
      <c r="AH4431" s="500"/>
      <c r="AI4431" s="500"/>
      <c r="AJ4431" s="500"/>
      <c r="AK4431" s="500"/>
      <c r="AL4431" s="500"/>
      <c r="AM4431" s="500"/>
      <c r="AN4431" s="500"/>
      <c r="AO4431" s="500"/>
      <c r="AP4431" s="500"/>
    </row>
    <row r="4432" spans="1:42" ht="16.5" customHeight="1">
      <c r="A4432" s="439"/>
      <c r="B4432" s="439"/>
      <c r="C4432" s="439"/>
      <c r="D4432" s="439"/>
      <c r="E4432" s="439"/>
      <c r="F4432" s="439"/>
      <c r="G4432" s="451" t="s">
        <v>3406</v>
      </c>
      <c r="Z4432" s="500"/>
      <c r="AA4432" s="500"/>
      <c r="AB4432" s="500"/>
      <c r="AC4432" s="500"/>
      <c r="AD4432" s="500"/>
      <c r="AE4432" s="500"/>
      <c r="AF4432" s="500"/>
      <c r="AG4432" s="500"/>
      <c r="AH4432" s="500"/>
      <c r="AI4432" s="500"/>
      <c r="AJ4432" s="500"/>
      <c r="AK4432" s="500"/>
      <c r="AL4432" s="500"/>
      <c r="AM4432" s="500"/>
      <c r="AN4432" s="500"/>
      <c r="AO4432" s="500"/>
      <c r="AP4432" s="500"/>
    </row>
    <row r="4433" spans="1:42" ht="16.5" customHeight="1">
      <c r="A4433" s="434" t="s">
        <v>3921</v>
      </c>
      <c r="B4433" s="505" t="str">
        <f>"  경    비 :  "&amp;TEXT(I4433,"#,##0"&amp;IF(I4433&lt;&gt;INT(I4433),".###",""))&amp;" / Q * "&amp;AC4433&amp;" = "&amp;TEXT(C4433,"#,##0.0")&amp;""</f>
        <v xml:space="preserve">  경    비 :  17,396 / Q * 8 = 17,396.0</v>
      </c>
      <c r="C4433" s="506">
        <f>E4433+D4433+F4433</f>
        <v>17396</v>
      </c>
      <c r="D4433" s="506">
        <f>IF(H4433=0,0,ROUNDDOWN(J4433*H4433,1))</f>
        <v>0</v>
      </c>
      <c r="E4433" s="506">
        <f>IF(H4433=0,0,ROUNDDOWN(K4433*H4433,1))</f>
        <v>0</v>
      </c>
      <c r="F4433" s="506">
        <f>IF(H4433=0,0,ROUNDDOWN(L4433*H4433,1))</f>
        <v>17396</v>
      </c>
      <c r="G4433" s="451" t="s">
        <v>3922</v>
      </c>
      <c r="H4433" s="507">
        <f>ROUNDUP(AE4433,14-LEN(ABS(INT(AE4433))))</f>
        <v>1</v>
      </c>
      <c r="I4433" s="508">
        <f>K4433+J4433+L4433</f>
        <v>17396</v>
      </c>
      <c r="L4433" s="509">
        <f>중기목록표!H4</f>
        <v>17396</v>
      </c>
      <c r="M4433" s="501" t="s">
        <v>3918</v>
      </c>
      <c r="N4433" s="501" t="s">
        <v>3416</v>
      </c>
      <c r="X4433" s="510" t="str">
        <f>중기목록표!B4&amp;" / "&amp;중기목록표!C4</f>
        <v>고소작업차 / 3톤</v>
      </c>
      <c r="Y4433" s="433" t="str">
        <f ca="1">HYPERLINK("#"&amp;중기목록표!J2&amp;"!A"&amp;ROW(중기목록표!A4),"X00328 →")</f>
        <v>X00328 →</v>
      </c>
      <c r="Z4433" s="501" t="s">
        <v>3434</v>
      </c>
      <c r="AA4433" s="512">
        <f>AB4413</f>
        <v>8</v>
      </c>
      <c r="AB4433" s="501" t="s">
        <v>3368</v>
      </c>
      <c r="AC4433" s="515">
        <v>8</v>
      </c>
      <c r="AD4433" s="501" t="s">
        <v>3418</v>
      </c>
      <c r="AE4433" s="512">
        <f>1/AB4413*AC4433</f>
        <v>1</v>
      </c>
      <c r="AF4433" s="500"/>
      <c r="AG4433" s="500"/>
      <c r="AH4433" s="500"/>
      <c r="AI4433" s="500"/>
      <c r="AJ4433" s="500"/>
      <c r="AK4433" s="500"/>
      <c r="AL4433" s="500"/>
      <c r="AM4433" s="500"/>
      <c r="AN4433" s="500"/>
      <c r="AO4433" s="500"/>
      <c r="AP4433" s="500"/>
    </row>
    <row r="4434" spans="1:42" ht="16.5" customHeight="1">
      <c r="A4434" s="439"/>
      <c r="B4434" s="439"/>
      <c r="C4434" s="439"/>
      <c r="D4434" s="439"/>
      <c r="E4434" s="439"/>
      <c r="F4434" s="439"/>
      <c r="G4434" s="451" t="s">
        <v>3406</v>
      </c>
      <c r="Z4434" s="500"/>
      <c r="AA4434" s="500"/>
      <c r="AB4434" s="500"/>
      <c r="AC4434" s="500"/>
      <c r="AD4434" s="500"/>
      <c r="AE4434" s="500"/>
      <c r="AF4434" s="500"/>
      <c r="AG4434" s="500"/>
      <c r="AH4434" s="500"/>
      <c r="AI4434" s="500"/>
      <c r="AJ4434" s="500"/>
      <c r="AK4434" s="500"/>
      <c r="AL4434" s="500"/>
      <c r="AM4434" s="500"/>
      <c r="AN4434" s="500"/>
      <c r="AO4434" s="500"/>
      <c r="AP4434" s="500"/>
    </row>
    <row r="4435" spans="1:42" ht="16.5" customHeight="1">
      <c r="A4435" s="439"/>
      <c r="B4435" s="439"/>
      <c r="C4435" s="439"/>
      <c r="D4435" s="439"/>
      <c r="E4435" s="439"/>
      <c r="F4435" s="439"/>
      <c r="G4435" s="451" t="s">
        <v>3406</v>
      </c>
      <c r="Z4435" s="500"/>
      <c r="AA4435" s="500"/>
      <c r="AB4435" s="500"/>
      <c r="AC4435" s="500"/>
      <c r="AD4435" s="500"/>
      <c r="AE4435" s="500"/>
      <c r="AF4435" s="500"/>
      <c r="AG4435" s="500"/>
      <c r="AH4435" s="500"/>
      <c r="AI4435" s="500"/>
      <c r="AJ4435" s="500"/>
      <c r="AK4435" s="500"/>
      <c r="AL4435" s="500"/>
      <c r="AM4435" s="500"/>
      <c r="AN4435" s="500"/>
      <c r="AO4435" s="500"/>
      <c r="AP4435" s="500"/>
    </row>
    <row r="4436" spans="1:42" ht="16.5" customHeight="1">
      <c r="A4436" s="439"/>
      <c r="B4436" s="439"/>
      <c r="C4436" s="439"/>
      <c r="D4436" s="439"/>
      <c r="E4436" s="439"/>
      <c r="F4436" s="439"/>
      <c r="G4436" s="451" t="s">
        <v>3406</v>
      </c>
      <c r="Z4436" s="500"/>
      <c r="AA4436" s="500"/>
      <c r="AB4436" s="500"/>
      <c r="AC4436" s="500"/>
      <c r="AD4436" s="500"/>
      <c r="AE4436" s="500"/>
      <c r="AF4436" s="500"/>
      <c r="AG4436" s="500"/>
      <c r="AH4436" s="500"/>
      <c r="AI4436" s="500"/>
      <c r="AJ4436" s="500"/>
      <c r="AK4436" s="500"/>
      <c r="AL4436" s="500"/>
      <c r="AM4436" s="500"/>
      <c r="AN4436" s="500"/>
      <c r="AO4436" s="500"/>
      <c r="AP4436" s="500"/>
    </row>
    <row r="4437" spans="1:42" ht="16.5" customHeight="1">
      <c r="A4437" s="439"/>
      <c r="B4437" s="439"/>
      <c r="C4437" s="439"/>
      <c r="D4437" s="439"/>
      <c r="E4437" s="439"/>
      <c r="F4437" s="439"/>
      <c r="G4437" s="451" t="s">
        <v>3406</v>
      </c>
      <c r="Z4437" s="500"/>
      <c r="AA4437" s="500"/>
      <c r="AB4437" s="500"/>
      <c r="AC4437" s="500"/>
      <c r="AD4437" s="500"/>
      <c r="AE4437" s="500"/>
      <c r="AF4437" s="500"/>
      <c r="AG4437" s="500"/>
      <c r="AH4437" s="500"/>
      <c r="AI4437" s="500"/>
      <c r="AJ4437" s="500"/>
      <c r="AK4437" s="500"/>
      <c r="AL4437" s="500"/>
      <c r="AM4437" s="500"/>
      <c r="AN4437" s="500"/>
      <c r="AO4437" s="500"/>
      <c r="AP4437" s="500"/>
    </row>
    <row r="4438" spans="1:42" ht="16.5" customHeight="1">
      <c r="A4438" s="434"/>
      <c r="B4438" s="505" t="str">
        <f>" 2. 기계경비(인력품의 3%) : "&amp;TEXT(I4438,"#,##0.0")&amp;" * "&amp;AA4438&amp;" %  = "&amp;TEXT(C4438,"#,##0.0")&amp;""</f>
        <v xml:space="preserve"> 2. 기계경비(인력품의 3%) : 80,309.5 * 3 %  = 2,409.2</v>
      </c>
      <c r="C4438" s="506">
        <f>E4438+D4438+F4438</f>
        <v>2409.1999999999998</v>
      </c>
      <c r="D4438" s="506">
        <f>IF(H4438=0,0,ROUNDDOWN(J4438*H4438/100,1))</f>
        <v>0</v>
      </c>
      <c r="E4438" s="506">
        <f>IF(H4438=0,0,ROUNDDOWN(K4438*H4438/100,1))</f>
        <v>0</v>
      </c>
      <c r="F4438" s="506">
        <f>IF(H4438=0,0,ROUNDDOWN(L4438*H4438/100,1))</f>
        <v>2409.1999999999998</v>
      </c>
      <c r="G4438" s="451" t="s">
        <v>3923</v>
      </c>
      <c r="H4438" s="507">
        <f>ROUNDUP(AC4438,14-LEN(ABS(INT(AC4438))))</f>
        <v>3</v>
      </c>
      <c r="I4438" s="508">
        <f>K4438+J4438+L4438</f>
        <v>80309.5</v>
      </c>
      <c r="J4438" s="456">
        <v>0</v>
      </c>
      <c r="K4438" s="456">
        <v>0</v>
      </c>
      <c r="L4438" s="509">
        <f>D4420+D4422</f>
        <v>80309.5</v>
      </c>
      <c r="M4438" s="501" t="s">
        <v>3743</v>
      </c>
      <c r="N4438" s="501" t="s">
        <v>3416</v>
      </c>
      <c r="Z4438" s="501" t="s">
        <v>3500</v>
      </c>
      <c r="AA4438" s="515">
        <v>3</v>
      </c>
      <c r="AB4438" s="501" t="s">
        <v>3418</v>
      </c>
      <c r="AC4438" s="512">
        <f>1*AA4438</f>
        <v>3</v>
      </c>
      <c r="AD4438" s="500"/>
      <c r="AE4438" s="500"/>
      <c r="AF4438" s="500"/>
      <c r="AG4438" s="500"/>
      <c r="AH4438" s="500"/>
      <c r="AI4438" s="500"/>
      <c r="AJ4438" s="500"/>
      <c r="AK4438" s="500"/>
      <c r="AL4438" s="500"/>
      <c r="AM4438" s="500"/>
      <c r="AN4438" s="500"/>
      <c r="AO4438" s="500"/>
      <c r="AP4438" s="500"/>
    </row>
    <row r="4439" spans="1:42" ht="16.5" customHeight="1">
      <c r="A4439" s="439"/>
      <c r="B4439" s="439"/>
      <c r="C4439" s="439"/>
      <c r="D4439" s="439"/>
      <c r="E4439" s="439"/>
      <c r="F4439" s="439"/>
      <c r="G4439" s="451" t="s">
        <v>3406</v>
      </c>
      <c r="Z4439" s="500"/>
      <c r="AA4439" s="500"/>
      <c r="AB4439" s="500"/>
      <c r="AC4439" s="500"/>
      <c r="AD4439" s="500"/>
      <c r="AE4439" s="500"/>
      <c r="AF4439" s="500"/>
      <c r="AG4439" s="500"/>
      <c r="AH4439" s="500"/>
      <c r="AI4439" s="500"/>
      <c r="AJ4439" s="500"/>
      <c r="AK4439" s="500"/>
      <c r="AL4439" s="500"/>
      <c r="AM4439" s="500"/>
      <c r="AN4439" s="500"/>
      <c r="AO4439" s="500"/>
      <c r="AP4439" s="500"/>
    </row>
    <row r="4440" spans="1:42" ht="16.5" customHeight="1">
      <c r="A4440" s="434"/>
      <c r="B4440" s="437" t="s">
        <v>3419</v>
      </c>
      <c r="C4440" s="513">
        <f>E4440+D4440+F4440</f>
        <v>74712.2</v>
      </c>
      <c r="D4440" s="513">
        <f>SUMIF(N4425:N4439,M4440,D4425:D4439)</f>
        <v>49778</v>
      </c>
      <c r="E4440" s="513">
        <f>SUMIF(N4425:N4439,M4440,E4425:E4439)</f>
        <v>5129</v>
      </c>
      <c r="F4440" s="513">
        <f>SUMIF(N4425:N4439,M4440,F4425:F4439)</f>
        <v>19805.2</v>
      </c>
      <c r="G4440" s="451" t="s">
        <v>3420</v>
      </c>
      <c r="M4440" s="501" t="s">
        <v>3416</v>
      </c>
      <c r="N4440" s="501" t="s">
        <v>3421</v>
      </c>
      <c r="Z4440" s="500"/>
      <c r="AA4440" s="500"/>
      <c r="AB4440" s="500"/>
      <c r="AC4440" s="500"/>
      <c r="AD4440" s="500"/>
      <c r="AE4440" s="500"/>
      <c r="AF4440" s="500"/>
      <c r="AG4440" s="500"/>
      <c r="AH4440" s="500"/>
      <c r="AI4440" s="500"/>
      <c r="AJ4440" s="500"/>
      <c r="AK4440" s="500"/>
      <c r="AL4440" s="500"/>
      <c r="AM4440" s="500"/>
      <c r="AN4440" s="500"/>
      <c r="AO4440" s="500"/>
      <c r="AP4440" s="500"/>
    </row>
    <row r="4441" spans="1:42" ht="16.5" customHeight="1">
      <c r="A4441" s="439"/>
      <c r="B4441" s="439"/>
      <c r="C4441" s="504"/>
      <c r="D4441" s="504"/>
      <c r="E4441" s="504"/>
      <c r="F4441" s="504"/>
      <c r="G4441" s="451" t="s">
        <v>3406</v>
      </c>
      <c r="Z4441" s="500"/>
      <c r="AA4441" s="500"/>
      <c r="AB4441" s="500"/>
      <c r="AC4441" s="500"/>
      <c r="AD4441" s="500"/>
      <c r="AE4441" s="500"/>
      <c r="AF4441" s="500"/>
      <c r="AG4441" s="500"/>
      <c r="AH4441" s="500"/>
      <c r="AI4441" s="500"/>
      <c r="AJ4441" s="500"/>
      <c r="AK4441" s="500"/>
      <c r="AL4441" s="500"/>
      <c r="AM4441" s="500"/>
      <c r="AN4441" s="500"/>
      <c r="AO4441" s="500"/>
      <c r="AP4441" s="500"/>
    </row>
    <row r="4442" spans="1:42" ht="16.5" customHeight="1">
      <c r="A4442" s="439"/>
      <c r="B4442" s="439"/>
      <c r="C4442" s="439"/>
      <c r="D4442" s="439"/>
      <c r="E4442" s="439"/>
      <c r="F4442" s="439"/>
      <c r="G4442" s="451" t="s">
        <v>3406</v>
      </c>
      <c r="Z4442" s="500"/>
      <c r="AA4442" s="500"/>
      <c r="AB4442" s="500"/>
      <c r="AC4442" s="500"/>
      <c r="AD4442" s="500"/>
      <c r="AE4442" s="500"/>
      <c r="AF4442" s="500"/>
      <c r="AG4442" s="500"/>
      <c r="AH4442" s="500"/>
      <c r="AI4442" s="500"/>
      <c r="AJ4442" s="500"/>
      <c r="AK4442" s="500"/>
      <c r="AL4442" s="500"/>
      <c r="AM4442" s="500"/>
      <c r="AN4442" s="500"/>
      <c r="AO4442" s="500"/>
      <c r="AP4442" s="500"/>
    </row>
    <row r="4443" spans="1:42" ht="16.5" customHeight="1">
      <c r="A4443" s="434"/>
      <c r="B4443" s="437" t="s">
        <v>3440</v>
      </c>
      <c r="C4443" s="513">
        <f>E4443+D4443+F4443</f>
        <v>155021.70000000001</v>
      </c>
      <c r="D4443" s="513">
        <f>SUMIF(N4407:N4442,M4443,D4407:D4442)</f>
        <v>130087.5</v>
      </c>
      <c r="E4443" s="513">
        <f>SUMIF(N4407:N4442,M4443,E4407:E4442)</f>
        <v>5129</v>
      </c>
      <c r="F4443" s="513">
        <f>SUMIF(N4407:N4442,M4443,F4407:F4442)</f>
        <v>19805.2</v>
      </c>
      <c r="G4443" s="451" t="s">
        <v>3484</v>
      </c>
      <c r="M4443" s="501" t="s">
        <v>3421</v>
      </c>
      <c r="N4443" s="501" t="s">
        <v>2354</v>
      </c>
      <c r="Z4443" s="500"/>
      <c r="AA4443" s="500"/>
      <c r="AB4443" s="500"/>
      <c r="AC4443" s="500"/>
      <c r="AD4443" s="500"/>
      <c r="AE4443" s="500"/>
      <c r="AF4443" s="500"/>
      <c r="AG4443" s="500"/>
      <c r="AH4443" s="500"/>
      <c r="AI4443" s="500"/>
      <c r="AJ4443" s="500"/>
      <c r="AK4443" s="500"/>
      <c r="AL4443" s="500"/>
      <c r="AM4443" s="500"/>
      <c r="AN4443" s="500"/>
      <c r="AO4443" s="500"/>
      <c r="AP4443" s="500"/>
    </row>
    <row r="4444" spans="1:42" ht="16.5" customHeight="1">
      <c r="A4444" s="439"/>
      <c r="B4444" s="439"/>
      <c r="C4444" s="504"/>
      <c r="D4444" s="504"/>
      <c r="E4444" s="504"/>
      <c r="F4444" s="504"/>
      <c r="Z4444" s="500"/>
      <c r="AA4444" s="500"/>
      <c r="AB4444" s="500"/>
      <c r="AC4444" s="500"/>
      <c r="AD4444" s="500"/>
      <c r="AE4444" s="500"/>
      <c r="AF4444" s="500"/>
      <c r="AG4444" s="500"/>
      <c r="AH4444" s="500"/>
      <c r="AI4444" s="500"/>
      <c r="AJ4444" s="500"/>
      <c r="AK4444" s="500"/>
      <c r="AL4444" s="500"/>
      <c r="AM4444" s="500"/>
      <c r="AN4444" s="500"/>
      <c r="AO4444" s="500"/>
      <c r="AP4444" s="500"/>
    </row>
    <row r="4445" spans="1:42" ht="16.5" customHeight="1">
      <c r="A4445" s="439"/>
      <c r="B4445" s="439"/>
      <c r="C4445" s="439"/>
      <c r="D4445" s="439"/>
      <c r="E4445" s="439"/>
      <c r="F4445" s="439"/>
      <c r="Z4445" s="500"/>
      <c r="AA4445" s="500"/>
      <c r="AB4445" s="500"/>
      <c r="AC4445" s="500"/>
      <c r="AD4445" s="500"/>
      <c r="AE4445" s="500"/>
      <c r="AF4445" s="500"/>
      <c r="AG4445" s="500"/>
      <c r="AH4445" s="500"/>
      <c r="AI4445" s="500"/>
      <c r="AJ4445" s="500"/>
      <c r="AK4445" s="500"/>
      <c r="AL4445" s="500"/>
      <c r="AM4445" s="500"/>
      <c r="AN4445" s="500"/>
      <c r="AO4445" s="500"/>
      <c r="AP4445" s="500"/>
    </row>
    <row r="4446" spans="1:42" ht="16.5" customHeight="1">
      <c r="A4446" s="439"/>
      <c r="B4446" s="439"/>
      <c r="C4446" s="439"/>
      <c r="D4446" s="439"/>
      <c r="E4446" s="439"/>
      <c r="F4446" s="439"/>
      <c r="Z4446" s="500"/>
      <c r="AA4446" s="500"/>
      <c r="AB4446" s="500"/>
      <c r="AC4446" s="500"/>
      <c r="AD4446" s="500"/>
      <c r="AE4446" s="500"/>
      <c r="AF4446" s="500"/>
      <c r="AG4446" s="500"/>
      <c r="AH4446" s="500"/>
      <c r="AI4446" s="500"/>
      <c r="AJ4446" s="500"/>
      <c r="AK4446" s="500"/>
      <c r="AL4446" s="500"/>
      <c r="AM4446" s="500"/>
      <c r="AN4446" s="500"/>
      <c r="AO4446" s="500"/>
      <c r="AP4446" s="500"/>
    </row>
    <row r="4447" spans="1:42" ht="16.5" customHeight="1">
      <c r="A4447" s="439"/>
      <c r="B4447" s="439"/>
      <c r="C4447" s="439"/>
      <c r="D4447" s="439"/>
      <c r="E4447" s="439"/>
      <c r="F4447" s="439"/>
      <c r="Z4447" s="500"/>
      <c r="AA4447" s="500"/>
      <c r="AB4447" s="500"/>
      <c r="AC4447" s="500"/>
      <c r="AD4447" s="500"/>
      <c r="AE4447" s="500"/>
      <c r="AF4447" s="500"/>
      <c r="AG4447" s="500"/>
      <c r="AH4447" s="500"/>
      <c r="AI4447" s="500"/>
      <c r="AJ4447" s="500"/>
      <c r="AK4447" s="500"/>
      <c r="AL4447" s="500"/>
      <c r="AM4447" s="500"/>
      <c r="AN4447" s="500"/>
      <c r="AO4447" s="500"/>
      <c r="AP4447" s="500"/>
    </row>
    <row r="4448" spans="1:42" ht="16.5" customHeight="1">
      <c r="A4448" s="439"/>
      <c r="B4448" s="439"/>
      <c r="C4448" s="439"/>
      <c r="D4448" s="439"/>
      <c r="E4448" s="439"/>
      <c r="F4448" s="439"/>
      <c r="Z4448" s="500"/>
      <c r="AA4448" s="500"/>
      <c r="AB4448" s="500"/>
      <c r="AC4448" s="500"/>
      <c r="AD4448" s="500"/>
      <c r="AE4448" s="500"/>
      <c r="AF4448" s="500"/>
      <c r="AG4448" s="500"/>
      <c r="AH4448" s="500"/>
      <c r="AI4448" s="500"/>
      <c r="AJ4448" s="500"/>
      <c r="AK4448" s="500"/>
      <c r="AL4448" s="500"/>
      <c r="AM4448" s="500"/>
      <c r="AN4448" s="500"/>
      <c r="AO4448" s="500"/>
      <c r="AP4448" s="500"/>
    </row>
    <row r="4449" spans="1:42" ht="16.5" customHeight="1">
      <c r="A4449" s="439"/>
      <c r="B4449" s="439"/>
      <c r="C4449" s="439"/>
      <c r="D4449" s="439"/>
      <c r="E4449" s="439"/>
      <c r="F4449" s="439"/>
      <c r="Z4449" s="500"/>
      <c r="AA4449" s="500"/>
      <c r="AB4449" s="500"/>
      <c r="AC4449" s="500"/>
      <c r="AD4449" s="500"/>
      <c r="AE4449" s="500"/>
      <c r="AF4449" s="500"/>
      <c r="AG4449" s="500"/>
      <c r="AH4449" s="500"/>
      <c r="AI4449" s="500"/>
      <c r="AJ4449" s="500"/>
      <c r="AK4449" s="500"/>
      <c r="AL4449" s="500"/>
      <c r="AM4449" s="500"/>
      <c r="AN4449" s="500"/>
      <c r="AO4449" s="500"/>
      <c r="AP4449" s="500"/>
    </row>
    <row r="4450" spans="1:42" ht="16.5" customHeight="1">
      <c r="A4450" s="439"/>
      <c r="B4450" s="439"/>
      <c r="C4450" s="439"/>
      <c r="D4450" s="439"/>
      <c r="E4450" s="439"/>
      <c r="F4450" s="439"/>
      <c r="Z4450" s="500"/>
      <c r="AA4450" s="500"/>
      <c r="AB4450" s="500"/>
      <c r="AC4450" s="500"/>
      <c r="AD4450" s="500"/>
      <c r="AE4450" s="500"/>
      <c r="AF4450" s="500"/>
      <c r="AG4450" s="500"/>
      <c r="AH4450" s="500"/>
      <c r="AI4450" s="500"/>
      <c r="AJ4450" s="500"/>
      <c r="AK4450" s="500"/>
      <c r="AL4450" s="500"/>
      <c r="AM4450" s="500"/>
      <c r="AN4450" s="500"/>
      <c r="AO4450" s="500"/>
      <c r="AP4450" s="500"/>
    </row>
    <row r="4451" spans="1:42" ht="16.5" customHeight="1">
      <c r="A4451" s="439"/>
      <c r="B4451" s="439"/>
      <c r="C4451" s="439"/>
      <c r="D4451" s="439"/>
      <c r="E4451" s="439"/>
      <c r="F4451" s="439"/>
      <c r="Z4451" s="500"/>
      <c r="AA4451" s="500"/>
      <c r="AB4451" s="500"/>
      <c r="AC4451" s="500"/>
      <c r="AD4451" s="500"/>
      <c r="AE4451" s="500"/>
      <c r="AF4451" s="500"/>
      <c r="AG4451" s="500"/>
      <c r="AH4451" s="500"/>
      <c r="AI4451" s="500"/>
      <c r="AJ4451" s="500"/>
      <c r="AK4451" s="500"/>
      <c r="AL4451" s="500"/>
      <c r="AM4451" s="500"/>
      <c r="AN4451" s="500"/>
      <c r="AO4451" s="500"/>
      <c r="AP4451" s="500"/>
    </row>
    <row r="4452" spans="1:42" ht="16.5" customHeight="1">
      <c r="A4452" s="439"/>
      <c r="B4452" s="439"/>
      <c r="C4452" s="439"/>
      <c r="D4452" s="439"/>
      <c r="E4452" s="439"/>
      <c r="F4452" s="439"/>
      <c r="Z4452" s="500"/>
      <c r="AA4452" s="500"/>
      <c r="AB4452" s="500"/>
      <c r="AC4452" s="500"/>
      <c r="AD4452" s="500"/>
      <c r="AE4452" s="500"/>
      <c r="AF4452" s="500"/>
      <c r="AG4452" s="500"/>
      <c r="AH4452" s="500"/>
      <c r="AI4452" s="500"/>
      <c r="AJ4452" s="500"/>
      <c r="AK4452" s="500"/>
      <c r="AL4452" s="500"/>
      <c r="AM4452" s="500"/>
      <c r="AN4452" s="500"/>
      <c r="AO4452" s="500"/>
      <c r="AP4452" s="500"/>
    </row>
    <row r="4453" spans="1:42" ht="16.5" customHeight="1">
      <c r="A4453" s="497"/>
      <c r="B4453" s="497"/>
      <c r="C4453" s="497"/>
      <c r="D4453" s="497"/>
      <c r="E4453" s="497"/>
      <c r="F4453" s="497"/>
      <c r="Z4453" s="500"/>
      <c r="AA4453" s="500"/>
      <c r="AB4453" s="500"/>
      <c r="AC4453" s="500"/>
      <c r="AD4453" s="500"/>
      <c r="AE4453" s="500"/>
      <c r="AF4453" s="500"/>
      <c r="AG4453" s="500"/>
      <c r="AH4453" s="500"/>
      <c r="AI4453" s="500"/>
      <c r="AJ4453" s="500"/>
      <c r="AK4453" s="500"/>
      <c r="AL4453" s="500"/>
      <c r="AM4453" s="500"/>
      <c r="AN4453" s="500"/>
      <c r="AO4453" s="500"/>
      <c r="AP4453" s="500"/>
    </row>
    <row r="4454" spans="1:42" ht="16.5" customHeight="1">
      <c r="A4454" s="616" t="s">
        <v>3487</v>
      </c>
      <c r="B4454" s="605"/>
      <c r="C4454" s="446">
        <f>E4454+D4454+F4454</f>
        <v>155021</v>
      </c>
      <c r="D4454" s="453">
        <f>ROUNDDOWN(SUMIF(N4407:N4443,M4454,D4407:D4443),0)</f>
        <v>130087</v>
      </c>
      <c r="E4454" s="454">
        <f>ROUNDDOWN(SUMIF(N4407:N4443,M4454,E4407:E4443),0)</f>
        <v>5129</v>
      </c>
      <c r="F4454" s="446">
        <f>ROUNDDOWN(SUMIF(N4407:N4443,M4454,F4407:F4443),0)</f>
        <v>19805</v>
      </c>
      <c r="M4454" s="501" t="s">
        <v>2354</v>
      </c>
      <c r="Z4454" s="500"/>
      <c r="AA4454" s="500"/>
      <c r="AB4454" s="500"/>
      <c r="AC4454" s="500"/>
      <c r="AD4454" s="500"/>
      <c r="AE4454" s="500"/>
      <c r="AF4454" s="500"/>
      <c r="AG4454" s="500"/>
      <c r="AH4454" s="500"/>
      <c r="AI4454" s="500"/>
      <c r="AJ4454" s="500"/>
      <c r="AK4454" s="500"/>
      <c r="AL4454" s="500"/>
      <c r="AM4454" s="500"/>
      <c r="AN4454" s="500"/>
      <c r="AO4454" s="500"/>
      <c r="AP4454" s="500"/>
    </row>
    <row r="4455" spans="1:42" ht="16.5" customHeight="1">
      <c r="A4455" s="502" t="s">
        <v>3371</v>
      </c>
      <c r="B4455" s="503" t="s">
        <v>1966</v>
      </c>
      <c r="C4455" s="615">
        <f>C4504</f>
        <v>206693</v>
      </c>
      <c r="D4455" s="615">
        <f>D4504</f>
        <v>173449</v>
      </c>
      <c r="E4455" s="615">
        <f>E4504</f>
        <v>6838</v>
      </c>
      <c r="F4455" s="615">
        <f>F4504</f>
        <v>26406</v>
      </c>
      <c r="G4455" s="486" t="str">
        <f>HYPERLINK("#G"&amp;ROW(G4493),"_x0005_`BDCOD|D01285_x0007_`POSS|"&amp;ROW(G4457)&amp;"_x0007_`POSE|"&amp;ROW(G4493)&amp;"_x0007_`")</f>
        <v>_x0005_`BDCOD|D01285_x0007_`POSS|4457_x0007_`POSE|4493_x0007_`</v>
      </c>
      <c r="Z4455" s="500"/>
      <c r="AA4455" s="500"/>
      <c r="AB4455" s="500"/>
      <c r="AC4455" s="500"/>
      <c r="AD4455" s="500"/>
      <c r="AE4455" s="500"/>
      <c r="AF4455" s="500"/>
      <c r="AG4455" s="500"/>
      <c r="AH4455" s="500"/>
      <c r="AI4455" s="500"/>
      <c r="AJ4455" s="500"/>
      <c r="AK4455" s="500"/>
      <c r="AL4455" s="500"/>
      <c r="AM4455" s="500"/>
      <c r="AN4455" s="500"/>
      <c r="AO4455" s="500"/>
      <c r="AP4455" s="500"/>
    </row>
    <row r="4456" spans="1:42" ht="16.5" customHeight="1">
      <c r="A4456" s="485"/>
      <c r="B4456" s="503" t="s">
        <v>3932</v>
      </c>
      <c r="C4456" s="593"/>
      <c r="D4456" s="593"/>
      <c r="E4456" s="593"/>
      <c r="F4456" s="593"/>
      <c r="M4456" s="501" t="s">
        <v>1966</v>
      </c>
      <c r="Z4456" s="500"/>
      <c r="AA4456" s="500"/>
      <c r="AB4456" s="500"/>
      <c r="AC4456" s="500"/>
      <c r="AD4456" s="500"/>
      <c r="AE4456" s="500"/>
      <c r="AF4456" s="500"/>
      <c r="AG4456" s="500"/>
      <c r="AH4456" s="500"/>
      <c r="AI4456" s="500"/>
      <c r="AJ4456" s="500"/>
      <c r="AK4456" s="500"/>
      <c r="AL4456" s="500"/>
      <c r="AM4456" s="500"/>
      <c r="AN4456" s="500"/>
      <c r="AO4456" s="500"/>
      <c r="AP4456" s="500"/>
    </row>
    <row r="4457" spans="1:42" ht="16.5" customHeight="1">
      <c r="A4457" s="439"/>
      <c r="B4457" s="439"/>
      <c r="C4457" s="504"/>
      <c r="D4457" s="504"/>
      <c r="E4457" s="504"/>
      <c r="F4457" s="504"/>
      <c r="G4457" s="451" t="s">
        <v>3406</v>
      </c>
      <c r="Z4457" s="500"/>
      <c r="AA4457" s="500"/>
      <c r="AB4457" s="500"/>
      <c r="AC4457" s="500"/>
      <c r="AD4457" s="500"/>
      <c r="AE4457" s="500"/>
      <c r="AF4457" s="500"/>
      <c r="AG4457" s="500"/>
      <c r="AH4457" s="500"/>
      <c r="AI4457" s="500"/>
      <c r="AJ4457" s="500"/>
      <c r="AK4457" s="500"/>
      <c r="AL4457" s="500"/>
      <c r="AM4457" s="500"/>
      <c r="AN4457" s="500"/>
      <c r="AO4457" s="500"/>
      <c r="AP4457" s="500"/>
    </row>
    <row r="4458" spans="1:42" ht="16.5" customHeight="1">
      <c r="A4458" s="434"/>
      <c r="B4458" s="437" t="s">
        <v>3933</v>
      </c>
      <c r="C4458" s="439"/>
      <c r="D4458" s="439"/>
      <c r="E4458" s="439"/>
      <c r="F4458" s="439"/>
      <c r="G4458" s="451" t="s">
        <v>3934</v>
      </c>
      <c r="Z4458" s="500"/>
      <c r="AA4458" s="500"/>
      <c r="AB4458" s="500"/>
      <c r="AC4458" s="500"/>
      <c r="AD4458" s="500"/>
      <c r="AE4458" s="500"/>
      <c r="AF4458" s="500"/>
      <c r="AG4458" s="500"/>
      <c r="AH4458" s="500"/>
      <c r="AI4458" s="500"/>
      <c r="AJ4458" s="500"/>
      <c r="AK4458" s="500"/>
      <c r="AL4458" s="500"/>
      <c r="AM4458" s="500"/>
      <c r="AN4458" s="500"/>
      <c r="AO4458" s="500"/>
      <c r="AP4458" s="500"/>
    </row>
    <row r="4459" spans="1:42" ht="16.5" customHeight="1">
      <c r="A4459" s="439"/>
      <c r="B4459" s="439"/>
      <c r="C4459" s="439"/>
      <c r="D4459" s="439"/>
      <c r="E4459" s="439"/>
      <c r="F4459" s="439"/>
      <c r="G4459" s="451" t="s">
        <v>3406</v>
      </c>
      <c r="Z4459" s="500"/>
      <c r="AA4459" s="500"/>
      <c r="AB4459" s="500"/>
      <c r="AC4459" s="500"/>
      <c r="AD4459" s="500"/>
      <c r="AE4459" s="500"/>
      <c r="AF4459" s="500"/>
      <c r="AG4459" s="500"/>
      <c r="AH4459" s="500"/>
      <c r="AI4459" s="500"/>
      <c r="AJ4459" s="500"/>
      <c r="AK4459" s="500"/>
      <c r="AL4459" s="500"/>
      <c r="AM4459" s="500"/>
      <c r="AN4459" s="500"/>
      <c r="AO4459" s="500"/>
      <c r="AP4459" s="500"/>
    </row>
    <row r="4460" spans="1:42" ht="16.5" customHeight="1">
      <c r="A4460" s="434"/>
      <c r="B4460" s="437" t="s">
        <v>3907</v>
      </c>
      <c r="C4460" s="439"/>
      <c r="D4460" s="439"/>
      <c r="E4460" s="439"/>
      <c r="F4460" s="439"/>
      <c r="G4460" s="451" t="s">
        <v>3908</v>
      </c>
      <c r="Z4460" s="500"/>
      <c r="AA4460" s="500"/>
      <c r="AB4460" s="500"/>
      <c r="AC4460" s="500"/>
      <c r="AD4460" s="500"/>
      <c r="AE4460" s="500"/>
      <c r="AF4460" s="500"/>
      <c r="AG4460" s="500"/>
      <c r="AH4460" s="500"/>
      <c r="AI4460" s="500"/>
      <c r="AJ4460" s="500"/>
      <c r="AK4460" s="500"/>
      <c r="AL4460" s="500"/>
      <c r="AM4460" s="500"/>
      <c r="AN4460" s="500"/>
      <c r="AO4460" s="500"/>
      <c r="AP4460" s="500"/>
    </row>
    <row r="4461" spans="1:42" ht="16.5" customHeight="1">
      <c r="A4461" s="439"/>
      <c r="B4461" s="439"/>
      <c r="C4461" s="439"/>
      <c r="D4461" s="439"/>
      <c r="E4461" s="439"/>
      <c r="F4461" s="439"/>
      <c r="G4461" s="451" t="s">
        <v>3406</v>
      </c>
      <c r="Z4461" s="500"/>
      <c r="AA4461" s="500"/>
      <c r="AB4461" s="500"/>
      <c r="AC4461" s="500"/>
      <c r="AD4461" s="500"/>
      <c r="AE4461" s="500"/>
      <c r="AF4461" s="500"/>
      <c r="AG4461" s="500"/>
      <c r="AH4461" s="500"/>
      <c r="AI4461" s="500"/>
      <c r="AJ4461" s="500"/>
      <c r="AK4461" s="500"/>
      <c r="AL4461" s="500"/>
      <c r="AM4461" s="500"/>
      <c r="AN4461" s="500"/>
      <c r="AO4461" s="500"/>
      <c r="AP4461" s="500"/>
    </row>
    <row r="4462" spans="1:42" ht="16.5" customHeight="1">
      <c r="A4462" s="439"/>
      <c r="B4462" s="439"/>
      <c r="C4462" s="439"/>
      <c r="D4462" s="439"/>
      <c r="E4462" s="439"/>
      <c r="F4462" s="439"/>
      <c r="G4462" s="451" t="s">
        <v>3406</v>
      </c>
      <c r="Z4462" s="500"/>
      <c r="AA4462" s="500"/>
      <c r="AB4462" s="500"/>
      <c r="AC4462" s="500"/>
      <c r="AD4462" s="500"/>
      <c r="AE4462" s="500"/>
      <c r="AF4462" s="500"/>
      <c r="AG4462" s="500"/>
      <c r="AH4462" s="500"/>
      <c r="AI4462" s="500"/>
      <c r="AJ4462" s="500"/>
      <c r="AK4462" s="500"/>
      <c r="AL4462" s="500"/>
      <c r="AM4462" s="500"/>
      <c r="AN4462" s="500"/>
      <c r="AO4462" s="500"/>
      <c r="AP4462" s="500"/>
    </row>
    <row r="4463" spans="1:42" ht="16.5" customHeight="1">
      <c r="A4463" s="434"/>
      <c r="B4463" s="437" t="str">
        <f>" 일당 작업량 :  Q = "&amp;Z4463&amp;" 주 "</f>
        <v xml:space="preserve"> 일당 작업량 :  Q = 6 주 </v>
      </c>
      <c r="C4463" s="439"/>
      <c r="D4463" s="439"/>
      <c r="E4463" s="439"/>
      <c r="F4463" s="439"/>
      <c r="G4463" s="451" t="s">
        <v>3935</v>
      </c>
      <c r="Z4463" s="515">
        <v>6</v>
      </c>
      <c r="AA4463" s="501" t="s">
        <v>3418</v>
      </c>
      <c r="AB4463" s="512">
        <f>Z4463</f>
        <v>6</v>
      </c>
      <c r="AC4463" s="500"/>
      <c r="AD4463" s="500"/>
      <c r="AE4463" s="500"/>
      <c r="AF4463" s="500"/>
      <c r="AG4463" s="500"/>
      <c r="AH4463" s="500"/>
      <c r="AI4463" s="500"/>
      <c r="AJ4463" s="500"/>
      <c r="AK4463" s="500"/>
      <c r="AL4463" s="500"/>
      <c r="AM4463" s="500"/>
      <c r="AN4463" s="500"/>
      <c r="AO4463" s="500"/>
      <c r="AP4463" s="500"/>
    </row>
    <row r="4464" spans="1:42" ht="16.5" customHeight="1">
      <c r="A4464" s="439"/>
      <c r="B4464" s="439"/>
      <c r="C4464" s="439"/>
      <c r="D4464" s="439"/>
      <c r="E4464" s="439"/>
      <c r="F4464" s="439"/>
      <c r="G4464" s="451" t="s">
        <v>3406</v>
      </c>
      <c r="Z4464" s="500"/>
      <c r="AA4464" s="500"/>
      <c r="AB4464" s="500"/>
      <c r="AC4464" s="500"/>
      <c r="AD4464" s="500"/>
      <c r="AE4464" s="500"/>
      <c r="AF4464" s="500"/>
      <c r="AG4464" s="500"/>
      <c r="AH4464" s="500"/>
      <c r="AI4464" s="500"/>
      <c r="AJ4464" s="500"/>
      <c r="AK4464" s="500"/>
      <c r="AL4464" s="500"/>
      <c r="AM4464" s="500"/>
      <c r="AN4464" s="500"/>
      <c r="AO4464" s="500"/>
      <c r="AP4464" s="500"/>
    </row>
    <row r="4465" spans="1:42" ht="16.5" customHeight="1">
      <c r="A4465" s="434"/>
      <c r="B4465" s="437" t="s">
        <v>3910</v>
      </c>
      <c r="C4465" s="439"/>
      <c r="D4465" s="439"/>
      <c r="E4465" s="439"/>
      <c r="F4465" s="439"/>
      <c r="G4465" s="451" t="s">
        <v>3911</v>
      </c>
      <c r="Z4465" s="500"/>
      <c r="AA4465" s="500"/>
      <c r="AB4465" s="500"/>
      <c r="AC4465" s="500"/>
      <c r="AD4465" s="500"/>
      <c r="AE4465" s="500"/>
      <c r="AF4465" s="500"/>
      <c r="AG4465" s="500"/>
      <c r="AH4465" s="500"/>
      <c r="AI4465" s="500"/>
      <c r="AJ4465" s="500"/>
      <c r="AK4465" s="500"/>
      <c r="AL4465" s="500"/>
      <c r="AM4465" s="500"/>
      <c r="AN4465" s="500"/>
      <c r="AO4465" s="500"/>
      <c r="AP4465" s="500"/>
    </row>
    <row r="4466" spans="1:42" ht="16.5" customHeight="1">
      <c r="A4466" s="439"/>
      <c r="B4466" s="439"/>
      <c r="C4466" s="439"/>
      <c r="D4466" s="439"/>
      <c r="E4466" s="439"/>
      <c r="F4466" s="439"/>
      <c r="G4466" s="451" t="s">
        <v>3406</v>
      </c>
      <c r="Z4466" s="500"/>
      <c r="AA4466" s="500"/>
      <c r="AB4466" s="500"/>
      <c r="AC4466" s="500"/>
      <c r="AD4466" s="500"/>
      <c r="AE4466" s="500"/>
      <c r="AF4466" s="500"/>
      <c r="AG4466" s="500"/>
      <c r="AH4466" s="500"/>
      <c r="AI4466" s="500"/>
      <c r="AJ4466" s="500"/>
      <c r="AK4466" s="500"/>
      <c r="AL4466" s="500"/>
      <c r="AM4466" s="500"/>
      <c r="AN4466" s="500"/>
      <c r="AO4466" s="500"/>
      <c r="AP4466" s="500"/>
    </row>
    <row r="4467" spans="1:42" ht="16.5" customHeight="1">
      <c r="A4467" s="439"/>
      <c r="B4467" s="439"/>
      <c r="C4467" s="439"/>
      <c r="D4467" s="439"/>
      <c r="E4467" s="439"/>
      <c r="F4467" s="439"/>
      <c r="G4467" s="451" t="s">
        <v>3406</v>
      </c>
      <c r="Z4467" s="500"/>
      <c r="AA4467" s="500"/>
      <c r="AB4467" s="500"/>
      <c r="AC4467" s="500"/>
      <c r="AD4467" s="500"/>
      <c r="AE4467" s="500"/>
      <c r="AF4467" s="500"/>
      <c r="AG4467" s="500"/>
      <c r="AH4467" s="500"/>
      <c r="AI4467" s="500"/>
      <c r="AJ4467" s="500"/>
      <c r="AK4467" s="500"/>
      <c r="AL4467" s="500"/>
      <c r="AM4467" s="500"/>
      <c r="AN4467" s="500"/>
      <c r="AO4467" s="500"/>
      <c r="AP4467" s="500"/>
    </row>
    <row r="4468" spans="1:42" ht="16.5" customHeight="1">
      <c r="A4468" s="434"/>
      <c r="B4468" s="437" t="s">
        <v>3496</v>
      </c>
      <c r="C4468" s="439"/>
      <c r="D4468" s="439"/>
      <c r="E4468" s="439"/>
      <c r="F4468" s="439"/>
      <c r="G4468" s="451" t="s">
        <v>3497</v>
      </c>
      <c r="Z4468" s="500"/>
      <c r="AA4468" s="500"/>
      <c r="AB4468" s="500"/>
      <c r="AC4468" s="500"/>
      <c r="AD4468" s="500"/>
      <c r="AE4468" s="500"/>
      <c r="AF4468" s="500"/>
      <c r="AG4468" s="500"/>
      <c r="AH4468" s="500"/>
      <c r="AI4468" s="500"/>
      <c r="AJ4468" s="500"/>
      <c r="AK4468" s="500"/>
      <c r="AL4468" s="500"/>
      <c r="AM4468" s="500"/>
      <c r="AN4468" s="500"/>
      <c r="AO4468" s="500"/>
      <c r="AP4468" s="500"/>
    </row>
    <row r="4469" spans="1:42" ht="16.5" customHeight="1">
      <c r="A4469" s="439"/>
      <c r="B4469" s="439"/>
      <c r="C4469" s="439"/>
      <c r="D4469" s="439"/>
      <c r="E4469" s="439"/>
      <c r="F4469" s="439"/>
      <c r="G4469" s="451" t="s">
        <v>3406</v>
      </c>
      <c r="Z4469" s="500"/>
      <c r="AA4469" s="500"/>
      <c r="AB4469" s="500"/>
      <c r="AC4469" s="500"/>
      <c r="AD4469" s="500"/>
      <c r="AE4469" s="500"/>
      <c r="AF4469" s="500"/>
      <c r="AG4469" s="500"/>
      <c r="AH4469" s="500"/>
      <c r="AI4469" s="500"/>
      <c r="AJ4469" s="500"/>
      <c r="AK4469" s="500"/>
      <c r="AL4469" s="500"/>
      <c r="AM4469" s="500"/>
      <c r="AN4469" s="500"/>
      <c r="AO4469" s="500"/>
      <c r="AP4469" s="500"/>
    </row>
    <row r="4470" spans="1:42" ht="16.5" customHeight="1">
      <c r="A4470" s="434" t="s">
        <v>3498</v>
      </c>
      <c r="B4470" s="505" t="str">
        <f>" 조 경 공 : "&amp;TEXT(I4470,"#,##0"&amp;IF(I4470&lt;&gt;INT(I4470),".###",""))&amp;" * "&amp;AA4470&amp;" 인  / Q = "&amp;TEXT(C4470,"#,##0.0")&amp;" "</f>
        <v xml:space="preserve"> 조 경 공 : 235,204 * 2 인  / Q = 78,401.3 </v>
      </c>
      <c r="C4470" s="506">
        <f>E4470+D4470+F4470</f>
        <v>78401.3</v>
      </c>
      <c r="D4470" s="506">
        <f>IF(H4470=0,0,ROUNDDOWN(J4470*H4470,1))</f>
        <v>78401.3</v>
      </c>
      <c r="E4470" s="506">
        <f>IF(H4470=0,0,ROUNDDOWN(K4470*H4470,1))</f>
        <v>0</v>
      </c>
      <c r="F4470" s="506">
        <f>IF(H4470=0,0,ROUNDDOWN(L4470*H4470,1))</f>
        <v>0</v>
      </c>
      <c r="G4470" s="451" t="s">
        <v>3912</v>
      </c>
      <c r="H4470" s="507">
        <f>ROUNDUP(AE4470,14-LEN(ABS(INT(AE4470))))</f>
        <v>0.33333333333339998</v>
      </c>
      <c r="I4470" s="508">
        <f>K4470+J4470+L4470</f>
        <v>235204</v>
      </c>
      <c r="J4470" s="509">
        <f>노무비목록표!E15</f>
        <v>235204</v>
      </c>
      <c r="M4470" s="501" t="s">
        <v>2359</v>
      </c>
      <c r="N4470" s="501" t="s">
        <v>3416</v>
      </c>
      <c r="O4470" s="501" t="s">
        <v>2355</v>
      </c>
      <c r="X4470" s="510" t="str">
        <f>노무비목록표!B15&amp;" / "&amp;노무비목록표!C15</f>
        <v xml:space="preserve">조경공 / </v>
      </c>
      <c r="Y4470" s="433" t="str">
        <f ca="1">HYPERLINK("#"&amp;노무비목록표!G2&amp;"!A"&amp;ROW(노무비목록표!A15),"L00184 →")</f>
        <v>L00184 →</v>
      </c>
      <c r="Z4470" s="501" t="s">
        <v>3500</v>
      </c>
      <c r="AA4470" s="515">
        <v>2</v>
      </c>
      <c r="AB4470" s="501" t="s">
        <v>3428</v>
      </c>
      <c r="AC4470" s="512">
        <f>AB4463</f>
        <v>6</v>
      </c>
      <c r="AD4470" s="501" t="s">
        <v>3418</v>
      </c>
      <c r="AE4470" s="512">
        <f>1*AA4470/AB4463</f>
        <v>0.33333333333333331</v>
      </c>
      <c r="AF4470" s="500"/>
      <c r="AG4470" s="500"/>
      <c r="AH4470" s="500"/>
      <c r="AI4470" s="500"/>
      <c r="AJ4470" s="500"/>
      <c r="AK4470" s="500"/>
      <c r="AL4470" s="500"/>
      <c r="AM4470" s="500"/>
      <c r="AN4470" s="500"/>
      <c r="AO4470" s="500"/>
      <c r="AP4470" s="500"/>
    </row>
    <row r="4471" spans="1:42" ht="16.5" customHeight="1">
      <c r="A4471" s="439"/>
      <c r="B4471" s="439"/>
      <c r="C4471" s="439"/>
      <c r="D4471" s="439"/>
      <c r="E4471" s="439"/>
      <c r="F4471" s="439"/>
      <c r="G4471" s="451" t="s">
        <v>3406</v>
      </c>
      <c r="Z4471" s="500"/>
      <c r="AA4471" s="500"/>
      <c r="AB4471" s="500"/>
      <c r="AC4471" s="500"/>
      <c r="AD4471" s="500"/>
      <c r="AE4471" s="500"/>
      <c r="AF4471" s="500"/>
      <c r="AG4471" s="500"/>
      <c r="AH4471" s="500"/>
      <c r="AI4471" s="500"/>
      <c r="AJ4471" s="500"/>
      <c r="AK4471" s="500"/>
      <c r="AL4471" s="500"/>
      <c r="AM4471" s="500"/>
      <c r="AN4471" s="500"/>
      <c r="AO4471" s="500"/>
      <c r="AP4471" s="500"/>
    </row>
    <row r="4472" spans="1:42" ht="16.5" customHeight="1">
      <c r="A4472" s="434" t="s">
        <v>3414</v>
      </c>
      <c r="B4472" s="505" t="str">
        <f>" 보통인부 : "&amp;TEXT(I4472,"#,##0"&amp;IF(I4472&lt;&gt;INT(I4472),".###",""))&amp;" * "&amp;AA4472&amp;" 인  / Q = "&amp;TEXT(C4472,"#,##0.0")&amp;" "</f>
        <v xml:space="preserve"> 보통인부 : 172,068 * 1 인  / Q = 28,678.0 </v>
      </c>
      <c r="C4472" s="506">
        <f>E4472+D4472+F4472</f>
        <v>28678</v>
      </c>
      <c r="D4472" s="506">
        <f>IF(H4472=0,0,ROUNDDOWN(J4472*H4472,1))</f>
        <v>28678</v>
      </c>
      <c r="E4472" s="506">
        <f>IF(H4472=0,0,ROUNDDOWN(K4472*H4472,1))</f>
        <v>0</v>
      </c>
      <c r="F4472" s="506">
        <f>IF(H4472=0,0,ROUNDDOWN(L4472*H4472,1))</f>
        <v>0</v>
      </c>
      <c r="G4472" s="451" t="s">
        <v>3913</v>
      </c>
      <c r="H4472" s="507">
        <f>ROUNDUP(AE4472,14-LEN(ABS(INT(AE4472))))</f>
        <v>0.16666666666669999</v>
      </c>
      <c r="I4472" s="508">
        <f>K4472+J4472+L4472</f>
        <v>172068</v>
      </c>
      <c r="J4472" s="509">
        <f>노무비목록표!E10</f>
        <v>172068</v>
      </c>
      <c r="M4472" s="501" t="s">
        <v>2363</v>
      </c>
      <c r="N4472" s="501" t="s">
        <v>3416</v>
      </c>
      <c r="O4472" s="501" t="s">
        <v>2355</v>
      </c>
      <c r="X4472" s="510" t="str">
        <f>노무비목록표!B10&amp;" / "&amp;노무비목록표!C10</f>
        <v xml:space="preserve">보통인부 / </v>
      </c>
      <c r="Y4472" s="433" t="str">
        <f ca="1">HYPERLINK("#"&amp;노무비목록표!G2&amp;"!A"&amp;ROW(노무비목록표!A10),"L00017 →")</f>
        <v>L00017 →</v>
      </c>
      <c r="Z4472" s="501" t="s">
        <v>3500</v>
      </c>
      <c r="AA4472" s="515">
        <v>1</v>
      </c>
      <c r="AB4472" s="501" t="s">
        <v>3428</v>
      </c>
      <c r="AC4472" s="512">
        <f>AB4463</f>
        <v>6</v>
      </c>
      <c r="AD4472" s="501" t="s">
        <v>3418</v>
      </c>
      <c r="AE4472" s="512">
        <f>1*AA4472/AB4463</f>
        <v>0.16666666666666666</v>
      </c>
      <c r="AF4472" s="500"/>
      <c r="AG4472" s="500"/>
      <c r="AH4472" s="500"/>
      <c r="AI4472" s="500"/>
      <c r="AJ4472" s="500"/>
      <c r="AK4472" s="500"/>
      <c r="AL4472" s="500"/>
      <c r="AM4472" s="500"/>
      <c r="AN4472" s="500"/>
      <c r="AO4472" s="500"/>
      <c r="AP4472" s="500"/>
    </row>
    <row r="4473" spans="1:42" ht="16.5" customHeight="1">
      <c r="A4473" s="439"/>
      <c r="B4473" s="439"/>
      <c r="C4473" s="439"/>
      <c r="D4473" s="439"/>
      <c r="E4473" s="439"/>
      <c r="F4473" s="439"/>
      <c r="G4473" s="451" t="s">
        <v>3406</v>
      </c>
      <c r="Z4473" s="500"/>
      <c r="AA4473" s="500"/>
      <c r="AB4473" s="500"/>
      <c r="AC4473" s="500"/>
      <c r="AD4473" s="500"/>
      <c r="AE4473" s="500"/>
      <c r="AF4473" s="500"/>
      <c r="AG4473" s="500"/>
      <c r="AH4473" s="500"/>
      <c r="AI4473" s="500"/>
      <c r="AJ4473" s="500"/>
      <c r="AK4473" s="500"/>
      <c r="AL4473" s="500"/>
      <c r="AM4473" s="500"/>
      <c r="AN4473" s="500"/>
      <c r="AO4473" s="500"/>
      <c r="AP4473" s="500"/>
    </row>
    <row r="4474" spans="1:42" ht="16.5" customHeight="1">
      <c r="A4474" s="434"/>
      <c r="B4474" s="437" t="s">
        <v>3419</v>
      </c>
      <c r="C4474" s="513">
        <f>E4474+D4474+F4474</f>
        <v>107079.3</v>
      </c>
      <c r="D4474" s="513">
        <f>SUMIF(N4457:N4473,M4474,D4457:D4473)</f>
        <v>107079.3</v>
      </c>
      <c r="E4474" s="513">
        <f>SUMIF(N4457:N4473,M4474,E4457:E4473)</f>
        <v>0</v>
      </c>
      <c r="F4474" s="513">
        <f>SUMIF(N4457:N4473,M4474,F4457:F4473)</f>
        <v>0</v>
      </c>
      <c r="G4474" s="451" t="s">
        <v>3420</v>
      </c>
      <c r="M4474" s="501" t="s">
        <v>3416</v>
      </c>
      <c r="N4474" s="501" t="s">
        <v>3421</v>
      </c>
      <c r="Z4474" s="500"/>
      <c r="AA4474" s="500"/>
      <c r="AB4474" s="500"/>
      <c r="AC4474" s="500"/>
      <c r="AD4474" s="500"/>
      <c r="AE4474" s="500"/>
      <c r="AF4474" s="500"/>
      <c r="AG4474" s="500"/>
      <c r="AH4474" s="500"/>
      <c r="AI4474" s="500"/>
      <c r="AJ4474" s="500"/>
      <c r="AK4474" s="500"/>
      <c r="AL4474" s="500"/>
      <c r="AM4474" s="500"/>
      <c r="AN4474" s="500"/>
      <c r="AO4474" s="500"/>
      <c r="AP4474" s="500"/>
    </row>
    <row r="4475" spans="1:42" ht="16.5" customHeight="1">
      <c r="A4475" s="439"/>
      <c r="B4475" s="439"/>
      <c r="C4475" s="504"/>
      <c r="D4475" s="504"/>
      <c r="E4475" s="504"/>
      <c r="F4475" s="504"/>
      <c r="G4475" s="451" t="s">
        <v>3406</v>
      </c>
      <c r="Z4475" s="500"/>
      <c r="AA4475" s="500"/>
      <c r="AB4475" s="500"/>
      <c r="AC4475" s="500"/>
      <c r="AD4475" s="500"/>
      <c r="AE4475" s="500"/>
      <c r="AF4475" s="500"/>
      <c r="AG4475" s="500"/>
      <c r="AH4475" s="500"/>
      <c r="AI4475" s="500"/>
      <c r="AJ4475" s="500"/>
      <c r="AK4475" s="500"/>
      <c r="AL4475" s="500"/>
      <c r="AM4475" s="500"/>
      <c r="AN4475" s="500"/>
      <c r="AO4475" s="500"/>
      <c r="AP4475" s="500"/>
    </row>
    <row r="4476" spans="1:42" ht="16.5" customHeight="1">
      <c r="A4476" s="439"/>
      <c r="B4476" s="439"/>
      <c r="C4476" s="439"/>
      <c r="D4476" s="439"/>
      <c r="E4476" s="439"/>
      <c r="F4476" s="439"/>
      <c r="G4476" s="451" t="s">
        <v>3406</v>
      </c>
      <c r="Z4476" s="500"/>
      <c r="AA4476" s="500"/>
      <c r="AB4476" s="500"/>
      <c r="AC4476" s="500"/>
      <c r="AD4476" s="500"/>
      <c r="AE4476" s="500"/>
      <c r="AF4476" s="500"/>
      <c r="AG4476" s="500"/>
      <c r="AH4476" s="500"/>
      <c r="AI4476" s="500"/>
      <c r="AJ4476" s="500"/>
      <c r="AK4476" s="500"/>
      <c r="AL4476" s="500"/>
      <c r="AM4476" s="500"/>
      <c r="AN4476" s="500"/>
      <c r="AO4476" s="500"/>
      <c r="AP4476" s="500"/>
    </row>
    <row r="4477" spans="1:42" ht="16.5" customHeight="1">
      <c r="A4477" s="434"/>
      <c r="B4477" s="437" t="s">
        <v>3914</v>
      </c>
      <c r="C4477" s="439"/>
      <c r="D4477" s="439"/>
      <c r="E4477" s="439"/>
      <c r="F4477" s="439"/>
      <c r="G4477" s="451" t="s">
        <v>3915</v>
      </c>
      <c r="Z4477" s="500"/>
      <c r="AA4477" s="500"/>
      <c r="AB4477" s="500"/>
      <c r="AC4477" s="500"/>
      <c r="AD4477" s="500"/>
      <c r="AE4477" s="500"/>
      <c r="AF4477" s="500"/>
      <c r="AG4477" s="500"/>
      <c r="AH4477" s="500"/>
      <c r="AI4477" s="500"/>
      <c r="AJ4477" s="500"/>
      <c r="AK4477" s="500"/>
      <c r="AL4477" s="500"/>
      <c r="AM4477" s="500"/>
      <c r="AN4477" s="500"/>
      <c r="AO4477" s="500"/>
      <c r="AP4477" s="500"/>
    </row>
    <row r="4478" spans="1:42" ht="16.5" customHeight="1">
      <c r="A4478" s="439"/>
      <c r="B4478" s="439"/>
      <c r="C4478" s="439"/>
      <c r="D4478" s="439"/>
      <c r="E4478" s="439"/>
      <c r="F4478" s="439"/>
      <c r="G4478" s="451" t="s">
        <v>3406</v>
      </c>
      <c r="Z4478" s="500"/>
      <c r="AA4478" s="500"/>
      <c r="AB4478" s="500"/>
      <c r="AC4478" s="500"/>
      <c r="AD4478" s="500"/>
      <c r="AE4478" s="500"/>
      <c r="AF4478" s="500"/>
      <c r="AG4478" s="500"/>
      <c r="AH4478" s="500"/>
      <c r="AI4478" s="500"/>
      <c r="AJ4478" s="500"/>
      <c r="AK4478" s="500"/>
      <c r="AL4478" s="500"/>
      <c r="AM4478" s="500"/>
      <c r="AN4478" s="500"/>
      <c r="AO4478" s="500"/>
      <c r="AP4478" s="500"/>
    </row>
    <row r="4479" spans="1:42" ht="16.5" customHeight="1">
      <c r="A4479" s="434" t="s">
        <v>3916</v>
      </c>
      <c r="B4479" s="505" t="str">
        <f>"  노 무 비 :  "&amp;TEXT(I4479,"#,##0"&amp;IF(I4479&lt;&gt;INT(I4479),".###",""))&amp;" / Q * "&amp;AC4479&amp;" = "&amp;TEXT(C4479,"#,##0.0")&amp;""</f>
        <v xml:space="preserve">  노 무 비 :  49,778 / Q * 8 = 66,370.6</v>
      </c>
      <c r="C4479" s="506">
        <f>E4479+D4479+F4479</f>
        <v>66370.600000000006</v>
      </c>
      <c r="D4479" s="506">
        <f>IF(H4479=0,0,ROUNDDOWN(J4479*H4479,1))</f>
        <v>66370.600000000006</v>
      </c>
      <c r="E4479" s="506">
        <f>IF(H4479=0,0,ROUNDDOWN(K4479*H4479,1))</f>
        <v>0</v>
      </c>
      <c r="F4479" s="506">
        <f>IF(H4479=0,0,ROUNDDOWN(L4479*H4479,1))</f>
        <v>0</v>
      </c>
      <c r="G4479" s="451" t="s">
        <v>3917</v>
      </c>
      <c r="H4479" s="507">
        <f>ROUNDUP(AE4479,14-LEN(ABS(INT(AE4479))))</f>
        <v>1.3333333333333999</v>
      </c>
      <c r="I4479" s="508">
        <f>K4479+J4479+L4479</f>
        <v>49778</v>
      </c>
      <c r="J4479" s="509">
        <f>중기목록표!F4</f>
        <v>49778</v>
      </c>
      <c r="M4479" s="501" t="s">
        <v>3918</v>
      </c>
      <c r="N4479" s="501" t="s">
        <v>3416</v>
      </c>
      <c r="X4479" s="510" t="str">
        <f>중기목록표!B4&amp;" / "&amp;중기목록표!C4</f>
        <v>고소작업차 / 3톤</v>
      </c>
      <c r="Y4479" s="433" t="str">
        <f ca="1">HYPERLINK("#"&amp;중기목록표!J2&amp;"!A"&amp;ROW(중기목록표!A4),"X00328 →")</f>
        <v>X00328 →</v>
      </c>
      <c r="Z4479" s="501" t="s">
        <v>3434</v>
      </c>
      <c r="AA4479" s="512">
        <f>AB4463</f>
        <v>6</v>
      </c>
      <c r="AB4479" s="501" t="s">
        <v>3368</v>
      </c>
      <c r="AC4479" s="515">
        <v>8</v>
      </c>
      <c r="AD4479" s="501" t="s">
        <v>3418</v>
      </c>
      <c r="AE4479" s="512">
        <f>1/AB4463*AC4479</f>
        <v>1.3333333333333333</v>
      </c>
      <c r="AF4479" s="500"/>
      <c r="AG4479" s="500"/>
      <c r="AH4479" s="500"/>
      <c r="AI4479" s="500"/>
      <c r="AJ4479" s="500"/>
      <c r="AK4479" s="500"/>
      <c r="AL4479" s="500"/>
      <c r="AM4479" s="500"/>
      <c r="AN4479" s="500"/>
      <c r="AO4479" s="500"/>
      <c r="AP4479" s="500"/>
    </row>
    <row r="4480" spans="1:42" ht="16.5" customHeight="1">
      <c r="A4480" s="439"/>
      <c r="B4480" s="439"/>
      <c r="C4480" s="439"/>
      <c r="D4480" s="439"/>
      <c r="E4480" s="439"/>
      <c r="F4480" s="439"/>
      <c r="G4480" s="451" t="s">
        <v>3406</v>
      </c>
      <c r="Z4480" s="500"/>
      <c r="AA4480" s="500"/>
      <c r="AB4480" s="500"/>
      <c r="AC4480" s="500"/>
      <c r="AD4480" s="500"/>
      <c r="AE4480" s="500"/>
      <c r="AF4480" s="500"/>
      <c r="AG4480" s="500"/>
      <c r="AH4480" s="500"/>
      <c r="AI4480" s="500"/>
      <c r="AJ4480" s="500"/>
      <c r="AK4480" s="500"/>
      <c r="AL4480" s="500"/>
      <c r="AM4480" s="500"/>
      <c r="AN4480" s="500"/>
      <c r="AO4480" s="500"/>
      <c r="AP4480" s="500"/>
    </row>
    <row r="4481" spans="1:42" ht="16.5" customHeight="1">
      <c r="A4481" s="434" t="s">
        <v>3919</v>
      </c>
      <c r="B4481" s="505" t="str">
        <f>"  재 료 비 :  "&amp;TEXT(I4481,"#,##0"&amp;IF(I4481&lt;&gt;INT(I4481),".###",""))&amp;" / Q * "&amp;AC4481&amp;" = "&amp;TEXT(C4481,"#,##0.0")&amp;""</f>
        <v xml:space="preserve">  재 료 비 :  5,129 / Q * 8 = 6,838.6</v>
      </c>
      <c r="C4481" s="506">
        <f>E4481+D4481+F4481</f>
        <v>6838.6</v>
      </c>
      <c r="D4481" s="506">
        <f>IF(H4481=0,0,ROUNDDOWN(J4481*H4481,1))</f>
        <v>0</v>
      </c>
      <c r="E4481" s="506">
        <f>IF(H4481=0,0,ROUNDDOWN(K4481*H4481,1))</f>
        <v>6838.6</v>
      </c>
      <c r="F4481" s="506">
        <f>IF(H4481=0,0,ROUNDDOWN(L4481*H4481,1))</f>
        <v>0</v>
      </c>
      <c r="G4481" s="451" t="s">
        <v>3920</v>
      </c>
      <c r="H4481" s="507">
        <f>ROUNDUP(AE4481,14-LEN(ABS(INT(AE4481))))</f>
        <v>1.3333333333333999</v>
      </c>
      <c r="I4481" s="508">
        <f>K4481+J4481+L4481</f>
        <v>5129</v>
      </c>
      <c r="K4481" s="509">
        <f>중기목록표!G4</f>
        <v>5129</v>
      </c>
      <c r="M4481" s="501" t="s">
        <v>3918</v>
      </c>
      <c r="N4481" s="501" t="s">
        <v>3416</v>
      </c>
      <c r="X4481" s="510" t="str">
        <f>중기목록표!B4&amp;" / "&amp;중기목록표!C4</f>
        <v>고소작업차 / 3톤</v>
      </c>
      <c r="Y4481" s="433" t="str">
        <f ca="1">HYPERLINK("#"&amp;중기목록표!J2&amp;"!A"&amp;ROW(중기목록표!A4),"X00328 →")</f>
        <v>X00328 →</v>
      </c>
      <c r="Z4481" s="501" t="s">
        <v>3434</v>
      </c>
      <c r="AA4481" s="512">
        <f>AB4463</f>
        <v>6</v>
      </c>
      <c r="AB4481" s="501" t="s">
        <v>3368</v>
      </c>
      <c r="AC4481" s="515">
        <v>8</v>
      </c>
      <c r="AD4481" s="501" t="s">
        <v>3418</v>
      </c>
      <c r="AE4481" s="512">
        <f>1/AB4463*AC4481</f>
        <v>1.3333333333333333</v>
      </c>
      <c r="AF4481" s="500"/>
      <c r="AG4481" s="500"/>
      <c r="AH4481" s="500"/>
      <c r="AI4481" s="500"/>
      <c r="AJ4481" s="500"/>
      <c r="AK4481" s="500"/>
      <c r="AL4481" s="500"/>
      <c r="AM4481" s="500"/>
      <c r="AN4481" s="500"/>
      <c r="AO4481" s="500"/>
      <c r="AP4481" s="500"/>
    </row>
    <row r="4482" spans="1:42" ht="16.5" customHeight="1">
      <c r="A4482" s="439"/>
      <c r="B4482" s="439"/>
      <c r="C4482" s="439"/>
      <c r="D4482" s="439"/>
      <c r="E4482" s="439"/>
      <c r="F4482" s="439"/>
      <c r="G4482" s="451" t="s">
        <v>3406</v>
      </c>
      <c r="Z4482" s="500"/>
      <c r="AA4482" s="500"/>
      <c r="AB4482" s="500"/>
      <c r="AC4482" s="500"/>
      <c r="AD4482" s="500"/>
      <c r="AE4482" s="500"/>
      <c r="AF4482" s="500"/>
      <c r="AG4482" s="500"/>
      <c r="AH4482" s="500"/>
      <c r="AI4482" s="500"/>
      <c r="AJ4482" s="500"/>
      <c r="AK4482" s="500"/>
      <c r="AL4482" s="500"/>
      <c r="AM4482" s="500"/>
      <c r="AN4482" s="500"/>
      <c r="AO4482" s="500"/>
      <c r="AP4482" s="500"/>
    </row>
    <row r="4483" spans="1:42" ht="16.5" customHeight="1">
      <c r="A4483" s="434" t="s">
        <v>3921</v>
      </c>
      <c r="B4483" s="505" t="str">
        <f>"  경    비 :  "&amp;TEXT(I4483,"#,##0"&amp;IF(I4483&lt;&gt;INT(I4483),".###",""))&amp;" / Q * "&amp;AC4483&amp;" = "&amp;TEXT(C4483,"#,##0.0")&amp;""</f>
        <v xml:space="preserve">  경    비 :  17,396 / Q * 8 = 23,194.6</v>
      </c>
      <c r="C4483" s="506">
        <f>E4483+D4483+F4483</f>
        <v>23194.6</v>
      </c>
      <c r="D4483" s="506">
        <f>IF(H4483=0,0,ROUNDDOWN(J4483*H4483,1))</f>
        <v>0</v>
      </c>
      <c r="E4483" s="506">
        <f>IF(H4483=0,0,ROUNDDOWN(K4483*H4483,1))</f>
        <v>0</v>
      </c>
      <c r="F4483" s="506">
        <f>IF(H4483=0,0,ROUNDDOWN(L4483*H4483,1))</f>
        <v>23194.6</v>
      </c>
      <c r="G4483" s="451" t="s">
        <v>3922</v>
      </c>
      <c r="H4483" s="507">
        <f>ROUNDUP(AE4483,14-LEN(ABS(INT(AE4483))))</f>
        <v>1.3333333333333999</v>
      </c>
      <c r="I4483" s="508">
        <f>K4483+J4483+L4483</f>
        <v>17396</v>
      </c>
      <c r="L4483" s="509">
        <f>중기목록표!H4</f>
        <v>17396</v>
      </c>
      <c r="M4483" s="501" t="s">
        <v>3918</v>
      </c>
      <c r="N4483" s="501" t="s">
        <v>3416</v>
      </c>
      <c r="X4483" s="510" t="str">
        <f>중기목록표!B4&amp;" / "&amp;중기목록표!C4</f>
        <v>고소작업차 / 3톤</v>
      </c>
      <c r="Y4483" s="433" t="str">
        <f ca="1">HYPERLINK("#"&amp;중기목록표!J2&amp;"!A"&amp;ROW(중기목록표!A4),"X00328 →")</f>
        <v>X00328 →</v>
      </c>
      <c r="Z4483" s="501" t="s">
        <v>3434</v>
      </c>
      <c r="AA4483" s="512">
        <f>AB4463</f>
        <v>6</v>
      </c>
      <c r="AB4483" s="501" t="s">
        <v>3368</v>
      </c>
      <c r="AC4483" s="515">
        <v>8</v>
      </c>
      <c r="AD4483" s="501" t="s">
        <v>3418</v>
      </c>
      <c r="AE4483" s="512">
        <f>1/AB4463*AC4483</f>
        <v>1.3333333333333333</v>
      </c>
      <c r="AF4483" s="500"/>
      <c r="AG4483" s="500"/>
      <c r="AH4483" s="500"/>
      <c r="AI4483" s="500"/>
      <c r="AJ4483" s="500"/>
      <c r="AK4483" s="500"/>
      <c r="AL4483" s="500"/>
      <c r="AM4483" s="500"/>
      <c r="AN4483" s="500"/>
      <c r="AO4483" s="500"/>
      <c r="AP4483" s="500"/>
    </row>
    <row r="4484" spans="1:42" ht="16.5" customHeight="1">
      <c r="A4484" s="439"/>
      <c r="B4484" s="439"/>
      <c r="C4484" s="439"/>
      <c r="D4484" s="439"/>
      <c r="E4484" s="439"/>
      <c r="F4484" s="439"/>
      <c r="G4484" s="451" t="s">
        <v>3406</v>
      </c>
      <c r="Z4484" s="500"/>
      <c r="AA4484" s="500"/>
      <c r="AB4484" s="500"/>
      <c r="AC4484" s="500"/>
      <c r="AD4484" s="500"/>
      <c r="AE4484" s="500"/>
      <c r="AF4484" s="500"/>
      <c r="AG4484" s="500"/>
      <c r="AH4484" s="500"/>
      <c r="AI4484" s="500"/>
      <c r="AJ4484" s="500"/>
      <c r="AK4484" s="500"/>
      <c r="AL4484" s="500"/>
      <c r="AM4484" s="500"/>
      <c r="AN4484" s="500"/>
      <c r="AO4484" s="500"/>
      <c r="AP4484" s="500"/>
    </row>
    <row r="4485" spans="1:42" ht="16.5" customHeight="1">
      <c r="A4485" s="439"/>
      <c r="B4485" s="439"/>
      <c r="C4485" s="439"/>
      <c r="D4485" s="439"/>
      <c r="E4485" s="439"/>
      <c r="F4485" s="439"/>
      <c r="G4485" s="451" t="s">
        <v>3406</v>
      </c>
      <c r="Z4485" s="500"/>
      <c r="AA4485" s="500"/>
      <c r="AB4485" s="500"/>
      <c r="AC4485" s="500"/>
      <c r="AD4485" s="500"/>
      <c r="AE4485" s="500"/>
      <c r="AF4485" s="500"/>
      <c r="AG4485" s="500"/>
      <c r="AH4485" s="500"/>
      <c r="AI4485" s="500"/>
      <c r="AJ4485" s="500"/>
      <c r="AK4485" s="500"/>
      <c r="AL4485" s="500"/>
      <c r="AM4485" s="500"/>
      <c r="AN4485" s="500"/>
      <c r="AO4485" s="500"/>
      <c r="AP4485" s="500"/>
    </row>
    <row r="4486" spans="1:42" ht="16.5" customHeight="1">
      <c r="A4486" s="439"/>
      <c r="B4486" s="439"/>
      <c r="C4486" s="439"/>
      <c r="D4486" s="439"/>
      <c r="E4486" s="439"/>
      <c r="F4486" s="439"/>
      <c r="G4486" s="451" t="s">
        <v>3406</v>
      </c>
      <c r="Z4486" s="500"/>
      <c r="AA4486" s="500"/>
      <c r="AB4486" s="500"/>
      <c r="AC4486" s="500"/>
      <c r="AD4486" s="500"/>
      <c r="AE4486" s="500"/>
      <c r="AF4486" s="500"/>
      <c r="AG4486" s="500"/>
      <c r="AH4486" s="500"/>
      <c r="AI4486" s="500"/>
      <c r="AJ4486" s="500"/>
      <c r="AK4486" s="500"/>
      <c r="AL4486" s="500"/>
      <c r="AM4486" s="500"/>
      <c r="AN4486" s="500"/>
      <c r="AO4486" s="500"/>
      <c r="AP4486" s="500"/>
    </row>
    <row r="4487" spans="1:42" ht="16.5" customHeight="1">
      <c r="A4487" s="439"/>
      <c r="B4487" s="439"/>
      <c r="C4487" s="439"/>
      <c r="D4487" s="439"/>
      <c r="E4487" s="439"/>
      <c r="F4487" s="439"/>
      <c r="G4487" s="451" t="s">
        <v>3406</v>
      </c>
      <c r="Z4487" s="500"/>
      <c r="AA4487" s="500"/>
      <c r="AB4487" s="500"/>
      <c r="AC4487" s="500"/>
      <c r="AD4487" s="500"/>
      <c r="AE4487" s="500"/>
      <c r="AF4487" s="500"/>
      <c r="AG4487" s="500"/>
      <c r="AH4487" s="500"/>
      <c r="AI4487" s="500"/>
      <c r="AJ4487" s="500"/>
      <c r="AK4487" s="500"/>
      <c r="AL4487" s="500"/>
      <c r="AM4487" s="500"/>
      <c r="AN4487" s="500"/>
      <c r="AO4487" s="500"/>
      <c r="AP4487" s="500"/>
    </row>
    <row r="4488" spans="1:42" ht="16.5" customHeight="1">
      <c r="A4488" s="434"/>
      <c r="B4488" s="505" t="str">
        <f>" 2. 기계경비(인력품의 3%) : "&amp;TEXT(I4488,"#,##0.0")&amp;" * "&amp;AA4488&amp;" %  = "&amp;TEXT(C4488,"#,##0.0")&amp;""</f>
        <v xml:space="preserve"> 2. 기계경비(인력품의 3%) : 107,079.3 * 3 %  = 3,212.3</v>
      </c>
      <c r="C4488" s="506">
        <f>E4488+D4488+F4488</f>
        <v>3212.3</v>
      </c>
      <c r="D4488" s="506">
        <f>IF(H4488=0,0,ROUNDDOWN(J4488*H4488/100,1))</f>
        <v>0</v>
      </c>
      <c r="E4488" s="506">
        <f>IF(H4488=0,0,ROUNDDOWN(K4488*H4488/100,1))</f>
        <v>0</v>
      </c>
      <c r="F4488" s="506">
        <f>IF(H4488=0,0,ROUNDDOWN(L4488*H4488/100,1))</f>
        <v>3212.3</v>
      </c>
      <c r="G4488" s="451" t="s">
        <v>3923</v>
      </c>
      <c r="H4488" s="507">
        <f>ROUNDUP(AC4488,14-LEN(ABS(INT(AC4488))))</f>
        <v>3</v>
      </c>
      <c r="I4488" s="508">
        <f>K4488+J4488+L4488</f>
        <v>107079.3</v>
      </c>
      <c r="J4488" s="456">
        <v>0</v>
      </c>
      <c r="K4488" s="456">
        <v>0</v>
      </c>
      <c r="L4488" s="509">
        <f>D4470+D4472</f>
        <v>107079.3</v>
      </c>
      <c r="M4488" s="501" t="s">
        <v>3743</v>
      </c>
      <c r="N4488" s="501" t="s">
        <v>3416</v>
      </c>
      <c r="Z4488" s="501" t="s">
        <v>3500</v>
      </c>
      <c r="AA4488" s="515">
        <v>3</v>
      </c>
      <c r="AB4488" s="501" t="s">
        <v>3418</v>
      </c>
      <c r="AC4488" s="512">
        <f>1*AA4488</f>
        <v>3</v>
      </c>
      <c r="AD4488" s="500"/>
      <c r="AE4488" s="500"/>
      <c r="AF4488" s="500"/>
      <c r="AG4488" s="500"/>
      <c r="AH4488" s="500"/>
      <c r="AI4488" s="500"/>
      <c r="AJ4488" s="500"/>
      <c r="AK4488" s="500"/>
      <c r="AL4488" s="500"/>
      <c r="AM4488" s="500"/>
      <c r="AN4488" s="500"/>
      <c r="AO4488" s="500"/>
      <c r="AP4488" s="500"/>
    </row>
    <row r="4489" spans="1:42" ht="16.5" customHeight="1">
      <c r="A4489" s="439"/>
      <c r="B4489" s="439"/>
      <c r="C4489" s="439"/>
      <c r="D4489" s="439"/>
      <c r="E4489" s="439"/>
      <c r="F4489" s="439"/>
      <c r="G4489" s="451" t="s">
        <v>3406</v>
      </c>
      <c r="Z4489" s="500"/>
      <c r="AA4489" s="500"/>
      <c r="AB4489" s="500"/>
      <c r="AC4489" s="500"/>
      <c r="AD4489" s="500"/>
      <c r="AE4489" s="500"/>
      <c r="AF4489" s="500"/>
      <c r="AG4489" s="500"/>
      <c r="AH4489" s="500"/>
      <c r="AI4489" s="500"/>
      <c r="AJ4489" s="500"/>
      <c r="AK4489" s="500"/>
      <c r="AL4489" s="500"/>
      <c r="AM4489" s="500"/>
      <c r="AN4489" s="500"/>
      <c r="AO4489" s="500"/>
      <c r="AP4489" s="500"/>
    </row>
    <row r="4490" spans="1:42" ht="16.5" customHeight="1">
      <c r="A4490" s="434"/>
      <c r="B4490" s="437" t="s">
        <v>3419</v>
      </c>
      <c r="C4490" s="513">
        <f>E4490+D4490+F4490</f>
        <v>99616.1</v>
      </c>
      <c r="D4490" s="513">
        <f>SUMIF(N4475:N4489,M4490,D4475:D4489)</f>
        <v>66370.600000000006</v>
      </c>
      <c r="E4490" s="513">
        <f>SUMIF(N4475:N4489,M4490,E4475:E4489)</f>
        <v>6838.6</v>
      </c>
      <c r="F4490" s="513">
        <f>SUMIF(N4475:N4489,M4490,F4475:F4489)</f>
        <v>26406.899999999998</v>
      </c>
      <c r="G4490" s="451" t="s">
        <v>3420</v>
      </c>
      <c r="M4490" s="501" t="s">
        <v>3416</v>
      </c>
      <c r="N4490" s="501" t="s">
        <v>3421</v>
      </c>
      <c r="Z4490" s="500"/>
      <c r="AA4490" s="500"/>
      <c r="AB4490" s="500"/>
      <c r="AC4490" s="500"/>
      <c r="AD4490" s="500"/>
      <c r="AE4490" s="500"/>
      <c r="AF4490" s="500"/>
      <c r="AG4490" s="500"/>
      <c r="AH4490" s="500"/>
      <c r="AI4490" s="500"/>
      <c r="AJ4490" s="500"/>
      <c r="AK4490" s="500"/>
      <c r="AL4490" s="500"/>
      <c r="AM4490" s="500"/>
      <c r="AN4490" s="500"/>
      <c r="AO4490" s="500"/>
      <c r="AP4490" s="500"/>
    </row>
    <row r="4491" spans="1:42" ht="16.5" customHeight="1">
      <c r="A4491" s="439"/>
      <c r="B4491" s="439"/>
      <c r="C4491" s="504"/>
      <c r="D4491" s="504"/>
      <c r="E4491" s="504"/>
      <c r="F4491" s="504"/>
      <c r="G4491" s="451" t="s">
        <v>3406</v>
      </c>
      <c r="Z4491" s="500"/>
      <c r="AA4491" s="500"/>
      <c r="AB4491" s="500"/>
      <c r="AC4491" s="500"/>
      <c r="AD4491" s="500"/>
      <c r="AE4491" s="500"/>
      <c r="AF4491" s="500"/>
      <c r="AG4491" s="500"/>
      <c r="AH4491" s="500"/>
      <c r="AI4491" s="500"/>
      <c r="AJ4491" s="500"/>
      <c r="AK4491" s="500"/>
      <c r="AL4491" s="500"/>
      <c r="AM4491" s="500"/>
      <c r="AN4491" s="500"/>
      <c r="AO4491" s="500"/>
      <c r="AP4491" s="500"/>
    </row>
    <row r="4492" spans="1:42" ht="16.5" customHeight="1">
      <c r="A4492" s="439"/>
      <c r="B4492" s="439"/>
      <c r="C4492" s="439"/>
      <c r="D4492" s="439"/>
      <c r="E4492" s="439"/>
      <c r="F4492" s="439"/>
      <c r="G4492" s="451" t="s">
        <v>3406</v>
      </c>
      <c r="Z4492" s="500"/>
      <c r="AA4492" s="500"/>
      <c r="AB4492" s="500"/>
      <c r="AC4492" s="500"/>
      <c r="AD4492" s="500"/>
      <c r="AE4492" s="500"/>
      <c r="AF4492" s="500"/>
      <c r="AG4492" s="500"/>
      <c r="AH4492" s="500"/>
      <c r="AI4492" s="500"/>
      <c r="AJ4492" s="500"/>
      <c r="AK4492" s="500"/>
      <c r="AL4492" s="500"/>
      <c r="AM4492" s="500"/>
      <c r="AN4492" s="500"/>
      <c r="AO4492" s="500"/>
      <c r="AP4492" s="500"/>
    </row>
    <row r="4493" spans="1:42" ht="16.5" customHeight="1">
      <c r="A4493" s="434"/>
      <c r="B4493" s="437" t="s">
        <v>3440</v>
      </c>
      <c r="C4493" s="513">
        <f>E4493+D4493+F4493</f>
        <v>206695.40000000002</v>
      </c>
      <c r="D4493" s="513">
        <f>SUMIF(N4457:N4492,M4493,D4457:D4492)</f>
        <v>173449.90000000002</v>
      </c>
      <c r="E4493" s="513">
        <f>SUMIF(N4457:N4492,M4493,E4457:E4492)</f>
        <v>6838.6</v>
      </c>
      <c r="F4493" s="513">
        <f>SUMIF(N4457:N4492,M4493,F4457:F4492)</f>
        <v>26406.899999999998</v>
      </c>
      <c r="G4493" s="451" t="s">
        <v>3484</v>
      </c>
      <c r="M4493" s="501" t="s">
        <v>3421</v>
      </c>
      <c r="N4493" s="501" t="s">
        <v>2354</v>
      </c>
      <c r="Z4493" s="500"/>
      <c r="AA4493" s="500"/>
      <c r="AB4493" s="500"/>
      <c r="AC4493" s="500"/>
      <c r="AD4493" s="500"/>
      <c r="AE4493" s="500"/>
      <c r="AF4493" s="500"/>
      <c r="AG4493" s="500"/>
      <c r="AH4493" s="500"/>
      <c r="AI4493" s="500"/>
      <c r="AJ4493" s="500"/>
      <c r="AK4493" s="500"/>
      <c r="AL4493" s="500"/>
      <c r="AM4493" s="500"/>
      <c r="AN4493" s="500"/>
      <c r="AO4493" s="500"/>
      <c r="AP4493" s="500"/>
    </row>
    <row r="4494" spans="1:42" ht="16.5" customHeight="1">
      <c r="A4494" s="439"/>
      <c r="B4494" s="439"/>
      <c r="C4494" s="504"/>
      <c r="D4494" s="504"/>
      <c r="E4494" s="504"/>
      <c r="F4494" s="504"/>
      <c r="Z4494" s="500"/>
      <c r="AA4494" s="500"/>
      <c r="AB4494" s="500"/>
      <c r="AC4494" s="500"/>
      <c r="AD4494" s="500"/>
      <c r="AE4494" s="500"/>
      <c r="AF4494" s="500"/>
      <c r="AG4494" s="500"/>
      <c r="AH4494" s="500"/>
      <c r="AI4494" s="500"/>
      <c r="AJ4494" s="500"/>
      <c r="AK4494" s="500"/>
      <c r="AL4494" s="500"/>
      <c r="AM4494" s="500"/>
      <c r="AN4494" s="500"/>
      <c r="AO4494" s="500"/>
      <c r="AP4494" s="500"/>
    </row>
    <row r="4495" spans="1:42" ht="16.5" customHeight="1">
      <c r="A4495" s="439"/>
      <c r="B4495" s="439"/>
      <c r="C4495" s="439"/>
      <c r="D4495" s="439"/>
      <c r="E4495" s="439"/>
      <c r="F4495" s="439"/>
      <c r="Z4495" s="500"/>
      <c r="AA4495" s="500"/>
      <c r="AB4495" s="500"/>
      <c r="AC4495" s="500"/>
      <c r="AD4495" s="500"/>
      <c r="AE4495" s="500"/>
      <c r="AF4495" s="500"/>
      <c r="AG4495" s="500"/>
      <c r="AH4495" s="500"/>
      <c r="AI4495" s="500"/>
      <c r="AJ4495" s="500"/>
      <c r="AK4495" s="500"/>
      <c r="AL4495" s="500"/>
      <c r="AM4495" s="500"/>
      <c r="AN4495" s="500"/>
      <c r="AO4495" s="500"/>
      <c r="AP4495" s="500"/>
    </row>
    <row r="4496" spans="1:42" ht="16.5" customHeight="1">
      <c r="A4496" s="439"/>
      <c r="B4496" s="439"/>
      <c r="C4496" s="439"/>
      <c r="D4496" s="439"/>
      <c r="E4496" s="439"/>
      <c r="F4496" s="439"/>
      <c r="Z4496" s="500"/>
      <c r="AA4496" s="500"/>
      <c r="AB4496" s="500"/>
      <c r="AC4496" s="500"/>
      <c r="AD4496" s="500"/>
      <c r="AE4496" s="500"/>
      <c r="AF4496" s="500"/>
      <c r="AG4496" s="500"/>
      <c r="AH4496" s="500"/>
      <c r="AI4496" s="500"/>
      <c r="AJ4496" s="500"/>
      <c r="AK4496" s="500"/>
      <c r="AL4496" s="500"/>
      <c r="AM4496" s="500"/>
      <c r="AN4496" s="500"/>
      <c r="AO4496" s="500"/>
      <c r="AP4496" s="500"/>
    </row>
    <row r="4497" spans="1:42" ht="16.5" customHeight="1">
      <c r="A4497" s="439"/>
      <c r="B4497" s="439"/>
      <c r="C4497" s="439"/>
      <c r="D4497" s="439"/>
      <c r="E4497" s="439"/>
      <c r="F4497" s="439"/>
      <c r="Z4497" s="500"/>
      <c r="AA4497" s="500"/>
      <c r="AB4497" s="500"/>
      <c r="AC4497" s="500"/>
      <c r="AD4497" s="500"/>
      <c r="AE4497" s="500"/>
      <c r="AF4497" s="500"/>
      <c r="AG4497" s="500"/>
      <c r="AH4497" s="500"/>
      <c r="AI4497" s="500"/>
      <c r="AJ4497" s="500"/>
      <c r="AK4497" s="500"/>
      <c r="AL4497" s="500"/>
      <c r="AM4497" s="500"/>
      <c r="AN4497" s="500"/>
      <c r="AO4497" s="500"/>
      <c r="AP4497" s="500"/>
    </row>
    <row r="4498" spans="1:42" ht="16.5" customHeight="1">
      <c r="A4498" s="439"/>
      <c r="B4498" s="439"/>
      <c r="C4498" s="439"/>
      <c r="D4498" s="439"/>
      <c r="E4498" s="439"/>
      <c r="F4498" s="439"/>
      <c r="Z4498" s="500"/>
      <c r="AA4498" s="500"/>
      <c r="AB4498" s="500"/>
      <c r="AC4498" s="500"/>
      <c r="AD4498" s="500"/>
      <c r="AE4498" s="500"/>
      <c r="AF4498" s="500"/>
      <c r="AG4498" s="500"/>
      <c r="AH4498" s="500"/>
      <c r="AI4498" s="500"/>
      <c r="AJ4498" s="500"/>
      <c r="AK4498" s="500"/>
      <c r="AL4498" s="500"/>
      <c r="AM4498" s="500"/>
      <c r="AN4498" s="500"/>
      <c r="AO4498" s="500"/>
      <c r="AP4498" s="500"/>
    </row>
    <row r="4499" spans="1:42" ht="16.5" customHeight="1">
      <c r="A4499" s="439"/>
      <c r="B4499" s="439"/>
      <c r="C4499" s="439"/>
      <c r="D4499" s="439"/>
      <c r="E4499" s="439"/>
      <c r="F4499" s="439"/>
      <c r="Z4499" s="500"/>
      <c r="AA4499" s="500"/>
      <c r="AB4499" s="500"/>
      <c r="AC4499" s="500"/>
      <c r="AD4499" s="500"/>
      <c r="AE4499" s="500"/>
      <c r="AF4499" s="500"/>
      <c r="AG4499" s="500"/>
      <c r="AH4499" s="500"/>
      <c r="AI4499" s="500"/>
      <c r="AJ4499" s="500"/>
      <c r="AK4499" s="500"/>
      <c r="AL4499" s="500"/>
      <c r="AM4499" s="500"/>
      <c r="AN4499" s="500"/>
      <c r="AO4499" s="500"/>
      <c r="AP4499" s="500"/>
    </row>
    <row r="4500" spans="1:42" ht="16.5" customHeight="1">
      <c r="A4500" s="439"/>
      <c r="B4500" s="439"/>
      <c r="C4500" s="439"/>
      <c r="D4500" s="439"/>
      <c r="E4500" s="439"/>
      <c r="F4500" s="439"/>
      <c r="Z4500" s="500"/>
      <c r="AA4500" s="500"/>
      <c r="AB4500" s="500"/>
      <c r="AC4500" s="500"/>
      <c r="AD4500" s="500"/>
      <c r="AE4500" s="500"/>
      <c r="AF4500" s="500"/>
      <c r="AG4500" s="500"/>
      <c r="AH4500" s="500"/>
      <c r="AI4500" s="500"/>
      <c r="AJ4500" s="500"/>
      <c r="AK4500" s="500"/>
      <c r="AL4500" s="500"/>
      <c r="AM4500" s="500"/>
      <c r="AN4500" s="500"/>
      <c r="AO4500" s="500"/>
      <c r="AP4500" s="500"/>
    </row>
    <row r="4501" spans="1:42" ht="16.5" customHeight="1">
      <c r="A4501" s="439"/>
      <c r="B4501" s="439"/>
      <c r="C4501" s="439"/>
      <c r="D4501" s="439"/>
      <c r="E4501" s="439"/>
      <c r="F4501" s="439"/>
      <c r="Z4501" s="500"/>
      <c r="AA4501" s="500"/>
      <c r="AB4501" s="500"/>
      <c r="AC4501" s="500"/>
      <c r="AD4501" s="500"/>
      <c r="AE4501" s="500"/>
      <c r="AF4501" s="500"/>
      <c r="AG4501" s="500"/>
      <c r="AH4501" s="500"/>
      <c r="AI4501" s="500"/>
      <c r="AJ4501" s="500"/>
      <c r="AK4501" s="500"/>
      <c r="AL4501" s="500"/>
      <c r="AM4501" s="500"/>
      <c r="AN4501" s="500"/>
      <c r="AO4501" s="500"/>
      <c r="AP4501" s="500"/>
    </row>
    <row r="4502" spans="1:42" ht="16.5" customHeight="1">
      <c r="A4502" s="439"/>
      <c r="B4502" s="439"/>
      <c r="C4502" s="439"/>
      <c r="D4502" s="439"/>
      <c r="E4502" s="439"/>
      <c r="F4502" s="439"/>
      <c r="Z4502" s="500"/>
      <c r="AA4502" s="500"/>
      <c r="AB4502" s="500"/>
      <c r="AC4502" s="500"/>
      <c r="AD4502" s="500"/>
      <c r="AE4502" s="500"/>
      <c r="AF4502" s="500"/>
      <c r="AG4502" s="500"/>
      <c r="AH4502" s="500"/>
      <c r="AI4502" s="500"/>
      <c r="AJ4502" s="500"/>
      <c r="AK4502" s="500"/>
      <c r="AL4502" s="500"/>
      <c r="AM4502" s="500"/>
      <c r="AN4502" s="500"/>
      <c r="AO4502" s="500"/>
      <c r="AP4502" s="500"/>
    </row>
    <row r="4503" spans="1:42" ht="16.5" customHeight="1">
      <c r="A4503" s="497"/>
      <c r="B4503" s="497"/>
      <c r="C4503" s="497"/>
      <c r="D4503" s="497"/>
      <c r="E4503" s="497"/>
      <c r="F4503" s="497"/>
      <c r="Z4503" s="500"/>
      <c r="AA4503" s="500"/>
      <c r="AB4503" s="500"/>
      <c r="AC4503" s="500"/>
      <c r="AD4503" s="500"/>
      <c r="AE4503" s="500"/>
      <c r="AF4503" s="500"/>
      <c r="AG4503" s="500"/>
      <c r="AH4503" s="500"/>
      <c r="AI4503" s="500"/>
      <c r="AJ4503" s="500"/>
      <c r="AK4503" s="500"/>
      <c r="AL4503" s="500"/>
      <c r="AM4503" s="500"/>
      <c r="AN4503" s="500"/>
      <c r="AO4503" s="500"/>
      <c r="AP4503" s="500"/>
    </row>
    <row r="4504" spans="1:42" ht="16.5" customHeight="1">
      <c r="A4504" s="616" t="s">
        <v>3487</v>
      </c>
      <c r="B4504" s="605"/>
      <c r="C4504" s="446">
        <f>E4504+D4504+F4504</f>
        <v>206693</v>
      </c>
      <c r="D4504" s="453">
        <f>ROUNDDOWN(SUMIF(N4457:N4493,M4504,D4457:D4493),0)</f>
        <v>173449</v>
      </c>
      <c r="E4504" s="454">
        <f>ROUNDDOWN(SUMIF(N4457:N4493,M4504,E4457:E4493),0)</f>
        <v>6838</v>
      </c>
      <c r="F4504" s="446">
        <f>ROUNDDOWN(SUMIF(N4457:N4493,M4504,F4457:F4493),0)</f>
        <v>26406</v>
      </c>
      <c r="M4504" s="501" t="s">
        <v>2354</v>
      </c>
      <c r="Z4504" s="500"/>
      <c r="AA4504" s="500"/>
      <c r="AB4504" s="500"/>
      <c r="AC4504" s="500"/>
      <c r="AD4504" s="500"/>
      <c r="AE4504" s="500"/>
      <c r="AF4504" s="500"/>
      <c r="AG4504" s="500"/>
      <c r="AH4504" s="500"/>
      <c r="AI4504" s="500"/>
      <c r="AJ4504" s="500"/>
      <c r="AK4504" s="500"/>
      <c r="AL4504" s="500"/>
      <c r="AM4504" s="500"/>
      <c r="AN4504" s="500"/>
      <c r="AO4504" s="500"/>
      <c r="AP4504" s="500"/>
    </row>
    <row r="4505" spans="1:42" ht="16.5" customHeight="1">
      <c r="A4505" s="502" t="s">
        <v>3371</v>
      </c>
      <c r="B4505" s="503" t="s">
        <v>1982</v>
      </c>
      <c r="C4505" s="615">
        <f>C4554</f>
        <v>56370</v>
      </c>
      <c r="D4505" s="615">
        <f>D4554</f>
        <v>47304</v>
      </c>
      <c r="E4505" s="615">
        <f>E4554</f>
        <v>1865</v>
      </c>
      <c r="F4505" s="615">
        <f>F4554</f>
        <v>7201</v>
      </c>
      <c r="G4505" s="486" t="str">
        <f>HYPERLINK("#G"&amp;ROW(G4543),"_x0005_`BDCOD|D01286_x0007_`POSS|"&amp;ROW(G4507)&amp;"_x0007_`POSE|"&amp;ROW(G4543)&amp;"_x0007_`")</f>
        <v>_x0005_`BDCOD|D01286_x0007_`POSS|4507_x0007_`POSE|4543_x0007_`</v>
      </c>
      <c r="Z4505" s="500"/>
      <c r="AA4505" s="500"/>
      <c r="AB4505" s="500"/>
      <c r="AC4505" s="500"/>
      <c r="AD4505" s="500"/>
      <c r="AE4505" s="500"/>
      <c r="AF4505" s="500"/>
      <c r="AG4505" s="500"/>
      <c r="AH4505" s="500"/>
      <c r="AI4505" s="500"/>
      <c r="AJ4505" s="500"/>
      <c r="AK4505" s="500"/>
      <c r="AL4505" s="500"/>
      <c r="AM4505" s="500"/>
      <c r="AN4505" s="500"/>
      <c r="AO4505" s="500"/>
      <c r="AP4505" s="500"/>
    </row>
    <row r="4506" spans="1:42" ht="16.5" customHeight="1">
      <c r="A4506" s="485"/>
      <c r="B4506" s="503" t="s">
        <v>3936</v>
      </c>
      <c r="C4506" s="593"/>
      <c r="D4506" s="593"/>
      <c r="E4506" s="593"/>
      <c r="F4506" s="593"/>
      <c r="M4506" s="501" t="s">
        <v>1982</v>
      </c>
      <c r="Z4506" s="500"/>
      <c r="AA4506" s="500"/>
      <c r="AB4506" s="500"/>
      <c r="AC4506" s="500"/>
      <c r="AD4506" s="500"/>
      <c r="AE4506" s="500"/>
      <c r="AF4506" s="500"/>
      <c r="AG4506" s="500"/>
      <c r="AH4506" s="500"/>
      <c r="AI4506" s="500"/>
      <c r="AJ4506" s="500"/>
      <c r="AK4506" s="500"/>
      <c r="AL4506" s="500"/>
      <c r="AM4506" s="500"/>
      <c r="AN4506" s="500"/>
      <c r="AO4506" s="500"/>
      <c r="AP4506" s="500"/>
    </row>
    <row r="4507" spans="1:42" ht="16.5" customHeight="1">
      <c r="A4507" s="439"/>
      <c r="B4507" s="439"/>
      <c r="C4507" s="504"/>
      <c r="D4507" s="504"/>
      <c r="E4507" s="504"/>
      <c r="F4507" s="504"/>
      <c r="G4507" s="451" t="s">
        <v>3406</v>
      </c>
      <c r="Z4507" s="500"/>
      <c r="AA4507" s="500"/>
      <c r="AB4507" s="500"/>
      <c r="AC4507" s="500"/>
      <c r="AD4507" s="500"/>
      <c r="AE4507" s="500"/>
      <c r="AF4507" s="500"/>
      <c r="AG4507" s="500"/>
      <c r="AH4507" s="500"/>
      <c r="AI4507" s="500"/>
      <c r="AJ4507" s="500"/>
      <c r="AK4507" s="500"/>
      <c r="AL4507" s="500"/>
      <c r="AM4507" s="500"/>
      <c r="AN4507" s="500"/>
      <c r="AO4507" s="500"/>
      <c r="AP4507" s="500"/>
    </row>
    <row r="4508" spans="1:42" ht="16.5" customHeight="1">
      <c r="A4508" s="434"/>
      <c r="B4508" s="437" t="s">
        <v>3937</v>
      </c>
      <c r="C4508" s="439"/>
      <c r="D4508" s="439"/>
      <c r="E4508" s="439"/>
      <c r="F4508" s="439"/>
      <c r="G4508" s="451" t="s">
        <v>3938</v>
      </c>
      <c r="Z4508" s="500"/>
      <c r="AA4508" s="500"/>
      <c r="AB4508" s="500"/>
      <c r="AC4508" s="500"/>
      <c r="AD4508" s="500"/>
      <c r="AE4508" s="500"/>
      <c r="AF4508" s="500"/>
      <c r="AG4508" s="500"/>
      <c r="AH4508" s="500"/>
      <c r="AI4508" s="500"/>
      <c r="AJ4508" s="500"/>
      <c r="AK4508" s="500"/>
      <c r="AL4508" s="500"/>
      <c r="AM4508" s="500"/>
      <c r="AN4508" s="500"/>
      <c r="AO4508" s="500"/>
      <c r="AP4508" s="500"/>
    </row>
    <row r="4509" spans="1:42" ht="16.5" customHeight="1">
      <c r="A4509" s="439"/>
      <c r="B4509" s="439"/>
      <c r="C4509" s="439"/>
      <c r="D4509" s="439"/>
      <c r="E4509" s="439"/>
      <c r="F4509" s="439"/>
      <c r="G4509" s="451" t="s">
        <v>3406</v>
      </c>
      <c r="Z4509" s="500"/>
      <c r="AA4509" s="500"/>
      <c r="AB4509" s="500"/>
      <c r="AC4509" s="500"/>
      <c r="AD4509" s="500"/>
      <c r="AE4509" s="500"/>
      <c r="AF4509" s="500"/>
      <c r="AG4509" s="500"/>
      <c r="AH4509" s="500"/>
      <c r="AI4509" s="500"/>
      <c r="AJ4509" s="500"/>
      <c r="AK4509" s="500"/>
      <c r="AL4509" s="500"/>
      <c r="AM4509" s="500"/>
      <c r="AN4509" s="500"/>
      <c r="AO4509" s="500"/>
      <c r="AP4509" s="500"/>
    </row>
    <row r="4510" spans="1:42" ht="16.5" customHeight="1">
      <c r="A4510" s="434"/>
      <c r="B4510" s="437" t="s">
        <v>3907</v>
      </c>
      <c r="C4510" s="439"/>
      <c r="D4510" s="439"/>
      <c r="E4510" s="439"/>
      <c r="F4510" s="439"/>
      <c r="G4510" s="451" t="s">
        <v>3908</v>
      </c>
      <c r="Z4510" s="500"/>
      <c r="AA4510" s="500"/>
      <c r="AB4510" s="500"/>
      <c r="AC4510" s="500"/>
      <c r="AD4510" s="500"/>
      <c r="AE4510" s="500"/>
      <c r="AF4510" s="500"/>
      <c r="AG4510" s="500"/>
      <c r="AH4510" s="500"/>
      <c r="AI4510" s="500"/>
      <c r="AJ4510" s="500"/>
      <c r="AK4510" s="500"/>
      <c r="AL4510" s="500"/>
      <c r="AM4510" s="500"/>
      <c r="AN4510" s="500"/>
      <c r="AO4510" s="500"/>
      <c r="AP4510" s="500"/>
    </row>
    <row r="4511" spans="1:42" ht="16.5" customHeight="1">
      <c r="A4511" s="439"/>
      <c r="B4511" s="439"/>
      <c r="C4511" s="439"/>
      <c r="D4511" s="439"/>
      <c r="E4511" s="439"/>
      <c r="F4511" s="439"/>
      <c r="G4511" s="451" t="s">
        <v>3406</v>
      </c>
      <c r="Z4511" s="500"/>
      <c r="AA4511" s="500"/>
      <c r="AB4511" s="500"/>
      <c r="AC4511" s="500"/>
      <c r="AD4511" s="500"/>
      <c r="AE4511" s="500"/>
      <c r="AF4511" s="500"/>
      <c r="AG4511" s="500"/>
      <c r="AH4511" s="500"/>
      <c r="AI4511" s="500"/>
      <c r="AJ4511" s="500"/>
      <c r="AK4511" s="500"/>
      <c r="AL4511" s="500"/>
      <c r="AM4511" s="500"/>
      <c r="AN4511" s="500"/>
      <c r="AO4511" s="500"/>
      <c r="AP4511" s="500"/>
    </row>
    <row r="4512" spans="1:42" ht="16.5" customHeight="1">
      <c r="A4512" s="439"/>
      <c r="B4512" s="439"/>
      <c r="C4512" s="439"/>
      <c r="D4512" s="439"/>
      <c r="E4512" s="439"/>
      <c r="F4512" s="439"/>
      <c r="G4512" s="451" t="s">
        <v>3406</v>
      </c>
      <c r="Z4512" s="500"/>
      <c r="AA4512" s="500"/>
      <c r="AB4512" s="500"/>
      <c r="AC4512" s="500"/>
      <c r="AD4512" s="500"/>
      <c r="AE4512" s="500"/>
      <c r="AF4512" s="500"/>
      <c r="AG4512" s="500"/>
      <c r="AH4512" s="500"/>
      <c r="AI4512" s="500"/>
      <c r="AJ4512" s="500"/>
      <c r="AK4512" s="500"/>
      <c r="AL4512" s="500"/>
      <c r="AM4512" s="500"/>
      <c r="AN4512" s="500"/>
      <c r="AO4512" s="500"/>
      <c r="AP4512" s="500"/>
    </row>
    <row r="4513" spans="1:42" ht="16.5" customHeight="1">
      <c r="A4513" s="434"/>
      <c r="B4513" s="437" t="str">
        <f>" 일당 작업량 :  Q = "&amp;Z4513&amp;" 주 "</f>
        <v xml:space="preserve"> 일당 작업량 :  Q = 22 주 </v>
      </c>
      <c r="C4513" s="439"/>
      <c r="D4513" s="439"/>
      <c r="E4513" s="439"/>
      <c r="F4513" s="439"/>
      <c r="G4513" s="451" t="s">
        <v>3939</v>
      </c>
      <c r="Z4513" s="515">
        <v>22</v>
      </c>
      <c r="AA4513" s="501" t="s">
        <v>3418</v>
      </c>
      <c r="AB4513" s="512">
        <f>Z4513</f>
        <v>22</v>
      </c>
      <c r="AC4513" s="500"/>
      <c r="AD4513" s="500"/>
      <c r="AE4513" s="500"/>
      <c r="AF4513" s="500"/>
      <c r="AG4513" s="500"/>
      <c r="AH4513" s="500"/>
      <c r="AI4513" s="500"/>
      <c r="AJ4513" s="500"/>
      <c r="AK4513" s="500"/>
      <c r="AL4513" s="500"/>
      <c r="AM4513" s="500"/>
      <c r="AN4513" s="500"/>
      <c r="AO4513" s="500"/>
      <c r="AP4513" s="500"/>
    </row>
    <row r="4514" spans="1:42" ht="16.5" customHeight="1">
      <c r="A4514" s="439"/>
      <c r="B4514" s="439"/>
      <c r="C4514" s="439"/>
      <c r="D4514" s="439"/>
      <c r="E4514" s="439"/>
      <c r="F4514" s="439"/>
      <c r="G4514" s="451" t="s">
        <v>3406</v>
      </c>
      <c r="Z4514" s="500"/>
      <c r="AA4514" s="500"/>
      <c r="AB4514" s="500"/>
      <c r="AC4514" s="500"/>
      <c r="AD4514" s="500"/>
      <c r="AE4514" s="500"/>
      <c r="AF4514" s="500"/>
      <c r="AG4514" s="500"/>
      <c r="AH4514" s="500"/>
      <c r="AI4514" s="500"/>
      <c r="AJ4514" s="500"/>
      <c r="AK4514" s="500"/>
      <c r="AL4514" s="500"/>
      <c r="AM4514" s="500"/>
      <c r="AN4514" s="500"/>
      <c r="AO4514" s="500"/>
      <c r="AP4514" s="500"/>
    </row>
    <row r="4515" spans="1:42" ht="16.5" customHeight="1">
      <c r="A4515" s="434"/>
      <c r="B4515" s="437" t="s">
        <v>3910</v>
      </c>
      <c r="C4515" s="439"/>
      <c r="D4515" s="439"/>
      <c r="E4515" s="439"/>
      <c r="F4515" s="439"/>
      <c r="G4515" s="451" t="s">
        <v>3911</v>
      </c>
      <c r="Z4515" s="500"/>
      <c r="AA4515" s="500"/>
      <c r="AB4515" s="500"/>
      <c r="AC4515" s="500"/>
      <c r="AD4515" s="500"/>
      <c r="AE4515" s="500"/>
      <c r="AF4515" s="500"/>
      <c r="AG4515" s="500"/>
      <c r="AH4515" s="500"/>
      <c r="AI4515" s="500"/>
      <c r="AJ4515" s="500"/>
      <c r="AK4515" s="500"/>
      <c r="AL4515" s="500"/>
      <c r="AM4515" s="500"/>
      <c r="AN4515" s="500"/>
      <c r="AO4515" s="500"/>
      <c r="AP4515" s="500"/>
    </row>
    <row r="4516" spans="1:42" ht="16.5" customHeight="1">
      <c r="A4516" s="439"/>
      <c r="B4516" s="439"/>
      <c r="C4516" s="439"/>
      <c r="D4516" s="439"/>
      <c r="E4516" s="439"/>
      <c r="F4516" s="439"/>
      <c r="G4516" s="451" t="s">
        <v>3406</v>
      </c>
      <c r="Z4516" s="500"/>
      <c r="AA4516" s="500"/>
      <c r="AB4516" s="500"/>
      <c r="AC4516" s="500"/>
      <c r="AD4516" s="500"/>
      <c r="AE4516" s="500"/>
      <c r="AF4516" s="500"/>
      <c r="AG4516" s="500"/>
      <c r="AH4516" s="500"/>
      <c r="AI4516" s="500"/>
      <c r="AJ4516" s="500"/>
      <c r="AK4516" s="500"/>
      <c r="AL4516" s="500"/>
      <c r="AM4516" s="500"/>
      <c r="AN4516" s="500"/>
      <c r="AO4516" s="500"/>
      <c r="AP4516" s="500"/>
    </row>
    <row r="4517" spans="1:42" ht="16.5" customHeight="1">
      <c r="A4517" s="439"/>
      <c r="B4517" s="439"/>
      <c r="C4517" s="439"/>
      <c r="D4517" s="439"/>
      <c r="E4517" s="439"/>
      <c r="F4517" s="439"/>
      <c r="G4517" s="451" t="s">
        <v>3406</v>
      </c>
      <c r="Z4517" s="500"/>
      <c r="AA4517" s="500"/>
      <c r="AB4517" s="500"/>
      <c r="AC4517" s="500"/>
      <c r="AD4517" s="500"/>
      <c r="AE4517" s="500"/>
      <c r="AF4517" s="500"/>
      <c r="AG4517" s="500"/>
      <c r="AH4517" s="500"/>
      <c r="AI4517" s="500"/>
      <c r="AJ4517" s="500"/>
      <c r="AK4517" s="500"/>
      <c r="AL4517" s="500"/>
      <c r="AM4517" s="500"/>
      <c r="AN4517" s="500"/>
      <c r="AO4517" s="500"/>
      <c r="AP4517" s="500"/>
    </row>
    <row r="4518" spans="1:42" ht="16.5" customHeight="1">
      <c r="A4518" s="434"/>
      <c r="B4518" s="437" t="s">
        <v>3496</v>
      </c>
      <c r="C4518" s="439"/>
      <c r="D4518" s="439"/>
      <c r="E4518" s="439"/>
      <c r="F4518" s="439"/>
      <c r="G4518" s="451" t="s">
        <v>3497</v>
      </c>
      <c r="Z4518" s="500"/>
      <c r="AA4518" s="500"/>
      <c r="AB4518" s="500"/>
      <c r="AC4518" s="500"/>
      <c r="AD4518" s="500"/>
      <c r="AE4518" s="500"/>
      <c r="AF4518" s="500"/>
      <c r="AG4518" s="500"/>
      <c r="AH4518" s="500"/>
      <c r="AI4518" s="500"/>
      <c r="AJ4518" s="500"/>
      <c r="AK4518" s="500"/>
      <c r="AL4518" s="500"/>
      <c r="AM4518" s="500"/>
      <c r="AN4518" s="500"/>
      <c r="AO4518" s="500"/>
      <c r="AP4518" s="500"/>
    </row>
    <row r="4519" spans="1:42" ht="16.5" customHeight="1">
      <c r="A4519" s="439"/>
      <c r="B4519" s="439"/>
      <c r="C4519" s="439"/>
      <c r="D4519" s="439"/>
      <c r="E4519" s="439"/>
      <c r="F4519" s="439"/>
      <c r="G4519" s="451" t="s">
        <v>3406</v>
      </c>
      <c r="Z4519" s="500"/>
      <c r="AA4519" s="500"/>
      <c r="AB4519" s="500"/>
      <c r="AC4519" s="500"/>
      <c r="AD4519" s="500"/>
      <c r="AE4519" s="500"/>
      <c r="AF4519" s="500"/>
      <c r="AG4519" s="500"/>
      <c r="AH4519" s="500"/>
      <c r="AI4519" s="500"/>
      <c r="AJ4519" s="500"/>
      <c r="AK4519" s="500"/>
      <c r="AL4519" s="500"/>
      <c r="AM4519" s="500"/>
      <c r="AN4519" s="500"/>
      <c r="AO4519" s="500"/>
      <c r="AP4519" s="500"/>
    </row>
    <row r="4520" spans="1:42" ht="16.5" customHeight="1">
      <c r="A4520" s="434" t="s">
        <v>3498</v>
      </c>
      <c r="B4520" s="505" t="str">
        <f>" 조 경 공 : "&amp;TEXT(I4520,"#,##0"&amp;IF(I4520&lt;&gt;INT(I4520),".###",""))&amp;" * "&amp;AA4520&amp;" 인  / Q = "&amp;TEXT(C4520,"#,##0.0")&amp;" "</f>
        <v xml:space="preserve"> 조 경 공 : 235,204 * 2 인  / Q = 21,382.1 </v>
      </c>
      <c r="C4520" s="506">
        <f>E4520+D4520+F4520</f>
        <v>21382.1</v>
      </c>
      <c r="D4520" s="506">
        <f>IF(H4520=0,0,ROUNDDOWN(J4520*H4520,1))</f>
        <v>21382.1</v>
      </c>
      <c r="E4520" s="506">
        <f>IF(H4520=0,0,ROUNDDOWN(K4520*H4520,1))</f>
        <v>0</v>
      </c>
      <c r="F4520" s="506">
        <f>IF(H4520=0,0,ROUNDDOWN(L4520*H4520,1))</f>
        <v>0</v>
      </c>
      <c r="G4520" s="451" t="s">
        <v>3912</v>
      </c>
      <c r="H4520" s="507">
        <f>ROUNDUP(AE4520,14-LEN(ABS(INT(AE4520))))</f>
        <v>9.0909090909100002E-2</v>
      </c>
      <c r="I4520" s="508">
        <f>K4520+J4520+L4520</f>
        <v>235204</v>
      </c>
      <c r="J4520" s="509">
        <f>노무비목록표!E15</f>
        <v>235204</v>
      </c>
      <c r="M4520" s="501" t="s">
        <v>2359</v>
      </c>
      <c r="N4520" s="501" t="s">
        <v>3416</v>
      </c>
      <c r="O4520" s="501" t="s">
        <v>2355</v>
      </c>
      <c r="X4520" s="510" t="str">
        <f>노무비목록표!B15&amp;" / "&amp;노무비목록표!C15</f>
        <v xml:space="preserve">조경공 / </v>
      </c>
      <c r="Y4520" s="433" t="str">
        <f ca="1">HYPERLINK("#"&amp;노무비목록표!G2&amp;"!A"&amp;ROW(노무비목록표!A15),"L00184 →")</f>
        <v>L00184 →</v>
      </c>
      <c r="Z4520" s="501" t="s">
        <v>3500</v>
      </c>
      <c r="AA4520" s="515">
        <v>2</v>
      </c>
      <c r="AB4520" s="501" t="s">
        <v>3428</v>
      </c>
      <c r="AC4520" s="512">
        <f>AB4513</f>
        <v>22</v>
      </c>
      <c r="AD4520" s="501" t="s">
        <v>3418</v>
      </c>
      <c r="AE4520" s="512">
        <f>1*AA4520/AB4513</f>
        <v>9.0909090909090912E-2</v>
      </c>
      <c r="AF4520" s="500"/>
      <c r="AG4520" s="500"/>
      <c r="AH4520" s="500"/>
      <c r="AI4520" s="500"/>
      <c r="AJ4520" s="500"/>
      <c r="AK4520" s="500"/>
      <c r="AL4520" s="500"/>
      <c r="AM4520" s="500"/>
      <c r="AN4520" s="500"/>
      <c r="AO4520" s="500"/>
      <c r="AP4520" s="500"/>
    </row>
    <row r="4521" spans="1:42" ht="16.5" customHeight="1">
      <c r="A4521" s="439"/>
      <c r="B4521" s="439"/>
      <c r="C4521" s="439"/>
      <c r="D4521" s="439"/>
      <c r="E4521" s="439"/>
      <c r="F4521" s="439"/>
      <c r="G4521" s="451" t="s">
        <v>3406</v>
      </c>
      <c r="Z4521" s="500"/>
      <c r="AA4521" s="500"/>
      <c r="AB4521" s="500"/>
      <c r="AC4521" s="500"/>
      <c r="AD4521" s="500"/>
      <c r="AE4521" s="500"/>
      <c r="AF4521" s="500"/>
      <c r="AG4521" s="500"/>
      <c r="AH4521" s="500"/>
      <c r="AI4521" s="500"/>
      <c r="AJ4521" s="500"/>
      <c r="AK4521" s="500"/>
      <c r="AL4521" s="500"/>
      <c r="AM4521" s="500"/>
      <c r="AN4521" s="500"/>
      <c r="AO4521" s="500"/>
      <c r="AP4521" s="500"/>
    </row>
    <row r="4522" spans="1:42" ht="16.5" customHeight="1">
      <c r="A4522" s="434" t="s">
        <v>3414</v>
      </c>
      <c r="B4522" s="505" t="str">
        <f>" 보통인부 : "&amp;TEXT(I4522,"#,##0"&amp;IF(I4522&lt;&gt;INT(I4522),".###",""))&amp;" * "&amp;AA4522&amp;" 인  / Q = "&amp;TEXT(C4522,"#,##0.0")&amp;" "</f>
        <v xml:space="preserve"> 보통인부 : 172,068 * 1 인  / Q = 7,821.2 </v>
      </c>
      <c r="C4522" s="506">
        <f>E4522+D4522+F4522</f>
        <v>7821.2</v>
      </c>
      <c r="D4522" s="506">
        <f>IF(H4522=0,0,ROUNDDOWN(J4522*H4522,1))</f>
        <v>7821.2</v>
      </c>
      <c r="E4522" s="506">
        <f>IF(H4522=0,0,ROUNDDOWN(K4522*H4522,1))</f>
        <v>0</v>
      </c>
      <c r="F4522" s="506">
        <f>IF(H4522=0,0,ROUNDDOWN(L4522*H4522,1))</f>
        <v>0</v>
      </c>
      <c r="G4522" s="451" t="s">
        <v>3913</v>
      </c>
      <c r="H4522" s="507">
        <f>ROUNDUP(AE4522,14-LEN(ABS(INT(AE4522))))</f>
        <v>4.5454545454600002E-2</v>
      </c>
      <c r="I4522" s="508">
        <f>K4522+J4522+L4522</f>
        <v>172068</v>
      </c>
      <c r="J4522" s="509">
        <f>노무비목록표!E10</f>
        <v>172068</v>
      </c>
      <c r="M4522" s="501" t="s">
        <v>2363</v>
      </c>
      <c r="N4522" s="501" t="s">
        <v>3416</v>
      </c>
      <c r="O4522" s="501" t="s">
        <v>2355</v>
      </c>
      <c r="X4522" s="510" t="str">
        <f>노무비목록표!B10&amp;" / "&amp;노무비목록표!C10</f>
        <v xml:space="preserve">보통인부 / </v>
      </c>
      <c r="Y4522" s="433" t="str">
        <f ca="1">HYPERLINK("#"&amp;노무비목록표!G2&amp;"!A"&amp;ROW(노무비목록표!A10),"L00017 →")</f>
        <v>L00017 →</v>
      </c>
      <c r="Z4522" s="501" t="s">
        <v>3500</v>
      </c>
      <c r="AA4522" s="515">
        <v>1</v>
      </c>
      <c r="AB4522" s="501" t="s">
        <v>3428</v>
      </c>
      <c r="AC4522" s="512">
        <f>AB4513</f>
        <v>22</v>
      </c>
      <c r="AD4522" s="501" t="s">
        <v>3418</v>
      </c>
      <c r="AE4522" s="512">
        <f>1*AA4522/AB4513</f>
        <v>4.5454545454545456E-2</v>
      </c>
      <c r="AF4522" s="500"/>
      <c r="AG4522" s="500"/>
      <c r="AH4522" s="500"/>
      <c r="AI4522" s="500"/>
      <c r="AJ4522" s="500"/>
      <c r="AK4522" s="500"/>
      <c r="AL4522" s="500"/>
      <c r="AM4522" s="500"/>
      <c r="AN4522" s="500"/>
      <c r="AO4522" s="500"/>
      <c r="AP4522" s="500"/>
    </row>
    <row r="4523" spans="1:42" ht="16.5" customHeight="1">
      <c r="A4523" s="439"/>
      <c r="B4523" s="439"/>
      <c r="C4523" s="439"/>
      <c r="D4523" s="439"/>
      <c r="E4523" s="439"/>
      <c r="F4523" s="439"/>
      <c r="G4523" s="451" t="s">
        <v>3406</v>
      </c>
      <c r="Z4523" s="500"/>
      <c r="AA4523" s="500"/>
      <c r="AB4523" s="500"/>
      <c r="AC4523" s="500"/>
      <c r="AD4523" s="500"/>
      <c r="AE4523" s="500"/>
      <c r="AF4523" s="500"/>
      <c r="AG4523" s="500"/>
      <c r="AH4523" s="500"/>
      <c r="AI4523" s="500"/>
      <c r="AJ4523" s="500"/>
      <c r="AK4523" s="500"/>
      <c r="AL4523" s="500"/>
      <c r="AM4523" s="500"/>
      <c r="AN4523" s="500"/>
      <c r="AO4523" s="500"/>
      <c r="AP4523" s="500"/>
    </row>
    <row r="4524" spans="1:42" ht="16.5" customHeight="1">
      <c r="A4524" s="434"/>
      <c r="B4524" s="437" t="s">
        <v>3419</v>
      </c>
      <c r="C4524" s="513">
        <f>E4524+D4524+F4524</f>
        <v>29203.3</v>
      </c>
      <c r="D4524" s="513">
        <f>SUMIF(N4507:N4523,M4524,D4507:D4523)</f>
        <v>29203.3</v>
      </c>
      <c r="E4524" s="513">
        <f>SUMIF(N4507:N4523,M4524,E4507:E4523)</f>
        <v>0</v>
      </c>
      <c r="F4524" s="513">
        <f>SUMIF(N4507:N4523,M4524,F4507:F4523)</f>
        <v>0</v>
      </c>
      <c r="G4524" s="451" t="s">
        <v>3420</v>
      </c>
      <c r="M4524" s="501" t="s">
        <v>3416</v>
      </c>
      <c r="N4524" s="501" t="s">
        <v>3421</v>
      </c>
      <c r="Z4524" s="500"/>
      <c r="AA4524" s="500"/>
      <c r="AB4524" s="500"/>
      <c r="AC4524" s="500"/>
      <c r="AD4524" s="500"/>
      <c r="AE4524" s="500"/>
      <c r="AF4524" s="500"/>
      <c r="AG4524" s="500"/>
      <c r="AH4524" s="500"/>
      <c r="AI4524" s="500"/>
      <c r="AJ4524" s="500"/>
      <c r="AK4524" s="500"/>
      <c r="AL4524" s="500"/>
      <c r="AM4524" s="500"/>
      <c r="AN4524" s="500"/>
      <c r="AO4524" s="500"/>
      <c r="AP4524" s="500"/>
    </row>
    <row r="4525" spans="1:42" ht="16.5" customHeight="1">
      <c r="A4525" s="439"/>
      <c r="B4525" s="439"/>
      <c r="C4525" s="504"/>
      <c r="D4525" s="504"/>
      <c r="E4525" s="504"/>
      <c r="F4525" s="504"/>
      <c r="G4525" s="451" t="s">
        <v>3406</v>
      </c>
      <c r="Z4525" s="500"/>
      <c r="AA4525" s="500"/>
      <c r="AB4525" s="500"/>
      <c r="AC4525" s="500"/>
      <c r="AD4525" s="500"/>
      <c r="AE4525" s="500"/>
      <c r="AF4525" s="500"/>
      <c r="AG4525" s="500"/>
      <c r="AH4525" s="500"/>
      <c r="AI4525" s="500"/>
      <c r="AJ4525" s="500"/>
      <c r="AK4525" s="500"/>
      <c r="AL4525" s="500"/>
      <c r="AM4525" s="500"/>
      <c r="AN4525" s="500"/>
      <c r="AO4525" s="500"/>
      <c r="AP4525" s="500"/>
    </row>
    <row r="4526" spans="1:42" ht="16.5" customHeight="1">
      <c r="A4526" s="439"/>
      <c r="B4526" s="439"/>
      <c r="C4526" s="439"/>
      <c r="D4526" s="439"/>
      <c r="E4526" s="439"/>
      <c r="F4526" s="439"/>
      <c r="G4526" s="451" t="s">
        <v>3406</v>
      </c>
      <c r="Z4526" s="500"/>
      <c r="AA4526" s="500"/>
      <c r="AB4526" s="500"/>
      <c r="AC4526" s="500"/>
      <c r="AD4526" s="500"/>
      <c r="AE4526" s="500"/>
      <c r="AF4526" s="500"/>
      <c r="AG4526" s="500"/>
      <c r="AH4526" s="500"/>
      <c r="AI4526" s="500"/>
      <c r="AJ4526" s="500"/>
      <c r="AK4526" s="500"/>
      <c r="AL4526" s="500"/>
      <c r="AM4526" s="500"/>
      <c r="AN4526" s="500"/>
      <c r="AO4526" s="500"/>
      <c r="AP4526" s="500"/>
    </row>
    <row r="4527" spans="1:42" ht="16.5" customHeight="1">
      <c r="A4527" s="434"/>
      <c r="B4527" s="437" t="s">
        <v>3914</v>
      </c>
      <c r="C4527" s="439"/>
      <c r="D4527" s="439"/>
      <c r="E4527" s="439"/>
      <c r="F4527" s="439"/>
      <c r="G4527" s="451" t="s">
        <v>3915</v>
      </c>
      <c r="Z4527" s="500"/>
      <c r="AA4527" s="500"/>
      <c r="AB4527" s="500"/>
      <c r="AC4527" s="500"/>
      <c r="AD4527" s="500"/>
      <c r="AE4527" s="500"/>
      <c r="AF4527" s="500"/>
      <c r="AG4527" s="500"/>
      <c r="AH4527" s="500"/>
      <c r="AI4527" s="500"/>
      <c r="AJ4527" s="500"/>
      <c r="AK4527" s="500"/>
      <c r="AL4527" s="500"/>
      <c r="AM4527" s="500"/>
      <c r="AN4527" s="500"/>
      <c r="AO4527" s="500"/>
      <c r="AP4527" s="500"/>
    </row>
    <row r="4528" spans="1:42" ht="16.5" customHeight="1">
      <c r="A4528" s="439"/>
      <c r="B4528" s="439"/>
      <c r="C4528" s="439"/>
      <c r="D4528" s="439"/>
      <c r="E4528" s="439"/>
      <c r="F4528" s="439"/>
      <c r="G4528" s="451" t="s">
        <v>3406</v>
      </c>
      <c r="Z4528" s="500"/>
      <c r="AA4528" s="500"/>
      <c r="AB4528" s="500"/>
      <c r="AC4528" s="500"/>
      <c r="AD4528" s="500"/>
      <c r="AE4528" s="500"/>
      <c r="AF4528" s="500"/>
      <c r="AG4528" s="500"/>
      <c r="AH4528" s="500"/>
      <c r="AI4528" s="500"/>
      <c r="AJ4528" s="500"/>
      <c r="AK4528" s="500"/>
      <c r="AL4528" s="500"/>
      <c r="AM4528" s="500"/>
      <c r="AN4528" s="500"/>
      <c r="AO4528" s="500"/>
      <c r="AP4528" s="500"/>
    </row>
    <row r="4529" spans="1:42" ht="16.5" customHeight="1">
      <c r="A4529" s="434" t="s">
        <v>3916</v>
      </c>
      <c r="B4529" s="505" t="str">
        <f>"  노 무 비 :  "&amp;TEXT(I4529,"#,##0"&amp;IF(I4529&lt;&gt;INT(I4529),".###",""))&amp;" / Q * "&amp;AC4529&amp;" = "&amp;TEXT(C4529,"#,##0.0")&amp;""</f>
        <v xml:space="preserve">  노 무 비 :  49,778 / Q * 8 = 18,101.0</v>
      </c>
      <c r="C4529" s="506">
        <f>E4529+D4529+F4529</f>
        <v>18101</v>
      </c>
      <c r="D4529" s="506">
        <f>IF(H4529=0,0,ROUNDDOWN(J4529*H4529,1))</f>
        <v>18101</v>
      </c>
      <c r="E4529" s="506">
        <f>IF(H4529=0,0,ROUNDDOWN(K4529*H4529,1))</f>
        <v>0</v>
      </c>
      <c r="F4529" s="506">
        <f>IF(H4529=0,0,ROUNDDOWN(L4529*H4529,1))</f>
        <v>0</v>
      </c>
      <c r="G4529" s="451" t="s">
        <v>3917</v>
      </c>
      <c r="H4529" s="507">
        <f>ROUNDUP(AE4529,14-LEN(ABS(INT(AE4529))))</f>
        <v>0.36363636363639995</v>
      </c>
      <c r="I4529" s="508">
        <f>K4529+J4529+L4529</f>
        <v>49778</v>
      </c>
      <c r="J4529" s="509">
        <f>중기목록표!F4</f>
        <v>49778</v>
      </c>
      <c r="M4529" s="501" t="s">
        <v>3918</v>
      </c>
      <c r="N4529" s="501" t="s">
        <v>3416</v>
      </c>
      <c r="X4529" s="510" t="str">
        <f>중기목록표!B4&amp;" / "&amp;중기목록표!C4</f>
        <v>고소작업차 / 3톤</v>
      </c>
      <c r="Y4529" s="433" t="str">
        <f ca="1">HYPERLINK("#"&amp;중기목록표!J2&amp;"!A"&amp;ROW(중기목록표!A4),"X00328 →")</f>
        <v>X00328 →</v>
      </c>
      <c r="Z4529" s="501" t="s">
        <v>3434</v>
      </c>
      <c r="AA4529" s="512">
        <f>AB4513</f>
        <v>22</v>
      </c>
      <c r="AB4529" s="501" t="s">
        <v>3368</v>
      </c>
      <c r="AC4529" s="515">
        <v>8</v>
      </c>
      <c r="AD4529" s="501" t="s">
        <v>3418</v>
      </c>
      <c r="AE4529" s="512">
        <f>1/AB4513*AC4529</f>
        <v>0.36363636363636365</v>
      </c>
      <c r="AF4529" s="500"/>
      <c r="AG4529" s="500"/>
      <c r="AH4529" s="500"/>
      <c r="AI4529" s="500"/>
      <c r="AJ4529" s="500"/>
      <c r="AK4529" s="500"/>
      <c r="AL4529" s="500"/>
      <c r="AM4529" s="500"/>
      <c r="AN4529" s="500"/>
      <c r="AO4529" s="500"/>
      <c r="AP4529" s="500"/>
    </row>
    <row r="4530" spans="1:42" ht="16.5" customHeight="1">
      <c r="A4530" s="439"/>
      <c r="B4530" s="439"/>
      <c r="C4530" s="439"/>
      <c r="D4530" s="439"/>
      <c r="E4530" s="439"/>
      <c r="F4530" s="439"/>
      <c r="G4530" s="451" t="s">
        <v>3406</v>
      </c>
      <c r="Z4530" s="500"/>
      <c r="AA4530" s="500"/>
      <c r="AB4530" s="500"/>
      <c r="AC4530" s="500"/>
      <c r="AD4530" s="500"/>
      <c r="AE4530" s="500"/>
      <c r="AF4530" s="500"/>
      <c r="AG4530" s="500"/>
      <c r="AH4530" s="500"/>
      <c r="AI4530" s="500"/>
      <c r="AJ4530" s="500"/>
      <c r="AK4530" s="500"/>
      <c r="AL4530" s="500"/>
      <c r="AM4530" s="500"/>
      <c r="AN4530" s="500"/>
      <c r="AO4530" s="500"/>
      <c r="AP4530" s="500"/>
    </row>
    <row r="4531" spans="1:42" ht="16.5" customHeight="1">
      <c r="A4531" s="434" t="s">
        <v>3919</v>
      </c>
      <c r="B4531" s="505" t="str">
        <f>"  재 료 비 :  "&amp;TEXT(I4531,"#,##0"&amp;IF(I4531&lt;&gt;INT(I4531),".###",""))&amp;" / Q * "&amp;AC4531&amp;" = "&amp;TEXT(C4531,"#,##0.0")&amp;""</f>
        <v xml:space="preserve">  재 료 비 :  5,129 / Q * 8 = 1,865.0</v>
      </c>
      <c r="C4531" s="506">
        <f>E4531+D4531+F4531</f>
        <v>1865</v>
      </c>
      <c r="D4531" s="506">
        <f>IF(H4531=0,0,ROUNDDOWN(J4531*H4531,1))</f>
        <v>0</v>
      </c>
      <c r="E4531" s="506">
        <f>IF(H4531=0,0,ROUNDDOWN(K4531*H4531,1))</f>
        <v>1865</v>
      </c>
      <c r="F4531" s="506">
        <f>IF(H4531=0,0,ROUNDDOWN(L4531*H4531,1))</f>
        <v>0</v>
      </c>
      <c r="G4531" s="451" t="s">
        <v>3920</v>
      </c>
      <c r="H4531" s="507">
        <f>ROUNDUP(AE4531,14-LEN(ABS(INT(AE4531))))</f>
        <v>0.36363636363639995</v>
      </c>
      <c r="I4531" s="508">
        <f>K4531+J4531+L4531</f>
        <v>5129</v>
      </c>
      <c r="K4531" s="509">
        <f>중기목록표!G4</f>
        <v>5129</v>
      </c>
      <c r="M4531" s="501" t="s">
        <v>3918</v>
      </c>
      <c r="N4531" s="501" t="s">
        <v>3416</v>
      </c>
      <c r="X4531" s="510" t="str">
        <f>중기목록표!B4&amp;" / "&amp;중기목록표!C4</f>
        <v>고소작업차 / 3톤</v>
      </c>
      <c r="Y4531" s="433" t="str">
        <f ca="1">HYPERLINK("#"&amp;중기목록표!J2&amp;"!A"&amp;ROW(중기목록표!A4),"X00328 →")</f>
        <v>X00328 →</v>
      </c>
      <c r="Z4531" s="501" t="s">
        <v>3434</v>
      </c>
      <c r="AA4531" s="512">
        <f>AB4513</f>
        <v>22</v>
      </c>
      <c r="AB4531" s="501" t="s">
        <v>3368</v>
      </c>
      <c r="AC4531" s="515">
        <v>8</v>
      </c>
      <c r="AD4531" s="501" t="s">
        <v>3418</v>
      </c>
      <c r="AE4531" s="512">
        <f>1/AB4513*AC4531</f>
        <v>0.36363636363636365</v>
      </c>
      <c r="AF4531" s="500"/>
      <c r="AG4531" s="500"/>
      <c r="AH4531" s="500"/>
      <c r="AI4531" s="500"/>
      <c r="AJ4531" s="500"/>
      <c r="AK4531" s="500"/>
      <c r="AL4531" s="500"/>
      <c r="AM4531" s="500"/>
      <c r="AN4531" s="500"/>
      <c r="AO4531" s="500"/>
      <c r="AP4531" s="500"/>
    </row>
    <row r="4532" spans="1:42" ht="16.5" customHeight="1">
      <c r="A4532" s="439"/>
      <c r="B4532" s="439"/>
      <c r="C4532" s="439"/>
      <c r="D4532" s="439"/>
      <c r="E4532" s="439"/>
      <c r="F4532" s="439"/>
      <c r="G4532" s="451" t="s">
        <v>3406</v>
      </c>
      <c r="Z4532" s="500"/>
      <c r="AA4532" s="500"/>
      <c r="AB4532" s="500"/>
      <c r="AC4532" s="500"/>
      <c r="AD4532" s="500"/>
      <c r="AE4532" s="500"/>
      <c r="AF4532" s="500"/>
      <c r="AG4532" s="500"/>
      <c r="AH4532" s="500"/>
      <c r="AI4532" s="500"/>
      <c r="AJ4532" s="500"/>
      <c r="AK4532" s="500"/>
      <c r="AL4532" s="500"/>
      <c r="AM4532" s="500"/>
      <c r="AN4532" s="500"/>
      <c r="AO4532" s="500"/>
      <c r="AP4532" s="500"/>
    </row>
    <row r="4533" spans="1:42" ht="16.5" customHeight="1">
      <c r="A4533" s="434" t="s">
        <v>3921</v>
      </c>
      <c r="B4533" s="505" t="str">
        <f>"  경    비 :  "&amp;TEXT(I4533,"#,##0"&amp;IF(I4533&lt;&gt;INT(I4533),".###",""))&amp;" / Q * "&amp;AC4533&amp;" = "&amp;TEXT(C4533,"#,##0.0")&amp;""</f>
        <v xml:space="preserve">  경    비 :  17,396 / Q * 8 = 6,325.8</v>
      </c>
      <c r="C4533" s="506">
        <f>E4533+D4533+F4533</f>
        <v>6325.8</v>
      </c>
      <c r="D4533" s="506">
        <f>IF(H4533=0,0,ROUNDDOWN(J4533*H4533,1))</f>
        <v>0</v>
      </c>
      <c r="E4533" s="506">
        <f>IF(H4533=0,0,ROUNDDOWN(K4533*H4533,1))</f>
        <v>0</v>
      </c>
      <c r="F4533" s="506">
        <f>IF(H4533=0,0,ROUNDDOWN(L4533*H4533,1))</f>
        <v>6325.8</v>
      </c>
      <c r="G4533" s="451" t="s">
        <v>3922</v>
      </c>
      <c r="H4533" s="507">
        <f>ROUNDUP(AE4533,14-LEN(ABS(INT(AE4533))))</f>
        <v>0.36363636363639995</v>
      </c>
      <c r="I4533" s="508">
        <f>K4533+J4533+L4533</f>
        <v>17396</v>
      </c>
      <c r="L4533" s="509">
        <f>중기목록표!H4</f>
        <v>17396</v>
      </c>
      <c r="M4533" s="501" t="s">
        <v>3918</v>
      </c>
      <c r="N4533" s="501" t="s">
        <v>3416</v>
      </c>
      <c r="X4533" s="510" t="str">
        <f>중기목록표!B4&amp;" / "&amp;중기목록표!C4</f>
        <v>고소작업차 / 3톤</v>
      </c>
      <c r="Y4533" s="433" t="str">
        <f ca="1">HYPERLINK("#"&amp;중기목록표!J2&amp;"!A"&amp;ROW(중기목록표!A4),"X00328 →")</f>
        <v>X00328 →</v>
      </c>
      <c r="Z4533" s="501" t="s">
        <v>3434</v>
      </c>
      <c r="AA4533" s="512">
        <f>AB4513</f>
        <v>22</v>
      </c>
      <c r="AB4533" s="501" t="s">
        <v>3368</v>
      </c>
      <c r="AC4533" s="515">
        <v>8</v>
      </c>
      <c r="AD4533" s="501" t="s">
        <v>3418</v>
      </c>
      <c r="AE4533" s="512">
        <f>1/AB4513*AC4533</f>
        <v>0.36363636363636365</v>
      </c>
      <c r="AF4533" s="500"/>
      <c r="AG4533" s="500"/>
      <c r="AH4533" s="500"/>
      <c r="AI4533" s="500"/>
      <c r="AJ4533" s="500"/>
      <c r="AK4533" s="500"/>
      <c r="AL4533" s="500"/>
      <c r="AM4533" s="500"/>
      <c r="AN4533" s="500"/>
      <c r="AO4533" s="500"/>
      <c r="AP4533" s="500"/>
    </row>
    <row r="4534" spans="1:42" ht="16.5" customHeight="1">
      <c r="A4534" s="439"/>
      <c r="B4534" s="439"/>
      <c r="C4534" s="439"/>
      <c r="D4534" s="439"/>
      <c r="E4534" s="439"/>
      <c r="F4534" s="439"/>
      <c r="G4534" s="451" t="s">
        <v>3406</v>
      </c>
      <c r="Z4534" s="500"/>
      <c r="AA4534" s="500"/>
      <c r="AB4534" s="500"/>
      <c r="AC4534" s="500"/>
      <c r="AD4534" s="500"/>
      <c r="AE4534" s="500"/>
      <c r="AF4534" s="500"/>
      <c r="AG4534" s="500"/>
      <c r="AH4534" s="500"/>
      <c r="AI4534" s="500"/>
      <c r="AJ4534" s="500"/>
      <c r="AK4534" s="500"/>
      <c r="AL4534" s="500"/>
      <c r="AM4534" s="500"/>
      <c r="AN4534" s="500"/>
      <c r="AO4534" s="500"/>
      <c r="AP4534" s="500"/>
    </row>
    <row r="4535" spans="1:42" ht="16.5" customHeight="1">
      <c r="A4535" s="439"/>
      <c r="B4535" s="439"/>
      <c r="C4535" s="439"/>
      <c r="D4535" s="439"/>
      <c r="E4535" s="439"/>
      <c r="F4535" s="439"/>
      <c r="G4535" s="451" t="s">
        <v>3406</v>
      </c>
      <c r="Z4535" s="500"/>
      <c r="AA4535" s="500"/>
      <c r="AB4535" s="500"/>
      <c r="AC4535" s="500"/>
      <c r="AD4535" s="500"/>
      <c r="AE4535" s="500"/>
      <c r="AF4535" s="500"/>
      <c r="AG4535" s="500"/>
      <c r="AH4535" s="500"/>
      <c r="AI4535" s="500"/>
      <c r="AJ4535" s="500"/>
      <c r="AK4535" s="500"/>
      <c r="AL4535" s="500"/>
      <c r="AM4535" s="500"/>
      <c r="AN4535" s="500"/>
      <c r="AO4535" s="500"/>
      <c r="AP4535" s="500"/>
    </row>
    <row r="4536" spans="1:42" ht="16.5" customHeight="1">
      <c r="A4536" s="439"/>
      <c r="B4536" s="439"/>
      <c r="C4536" s="439"/>
      <c r="D4536" s="439"/>
      <c r="E4536" s="439"/>
      <c r="F4536" s="439"/>
      <c r="G4536" s="451" t="s">
        <v>3406</v>
      </c>
      <c r="Z4536" s="500"/>
      <c r="AA4536" s="500"/>
      <c r="AB4536" s="500"/>
      <c r="AC4536" s="500"/>
      <c r="AD4536" s="500"/>
      <c r="AE4536" s="500"/>
      <c r="AF4536" s="500"/>
      <c r="AG4536" s="500"/>
      <c r="AH4536" s="500"/>
      <c r="AI4536" s="500"/>
      <c r="AJ4536" s="500"/>
      <c r="AK4536" s="500"/>
      <c r="AL4536" s="500"/>
      <c r="AM4536" s="500"/>
      <c r="AN4536" s="500"/>
      <c r="AO4536" s="500"/>
      <c r="AP4536" s="500"/>
    </row>
    <row r="4537" spans="1:42" ht="16.5" customHeight="1">
      <c r="A4537" s="439"/>
      <c r="B4537" s="439"/>
      <c r="C4537" s="439"/>
      <c r="D4537" s="439"/>
      <c r="E4537" s="439"/>
      <c r="F4537" s="439"/>
      <c r="G4537" s="451" t="s">
        <v>3406</v>
      </c>
      <c r="Z4537" s="500"/>
      <c r="AA4537" s="500"/>
      <c r="AB4537" s="500"/>
      <c r="AC4537" s="500"/>
      <c r="AD4537" s="500"/>
      <c r="AE4537" s="500"/>
      <c r="AF4537" s="500"/>
      <c r="AG4537" s="500"/>
      <c r="AH4537" s="500"/>
      <c r="AI4537" s="500"/>
      <c r="AJ4537" s="500"/>
      <c r="AK4537" s="500"/>
      <c r="AL4537" s="500"/>
      <c r="AM4537" s="500"/>
      <c r="AN4537" s="500"/>
      <c r="AO4537" s="500"/>
      <c r="AP4537" s="500"/>
    </row>
    <row r="4538" spans="1:42" ht="16.5" customHeight="1">
      <c r="A4538" s="434"/>
      <c r="B4538" s="505" t="str">
        <f>" 2. 기계경비(인력품의 3%) : "&amp;TEXT(I4538,"#,##0.0")&amp;" * "&amp;AA4538&amp;" %  = "&amp;TEXT(C4538,"#,##0.0")&amp;""</f>
        <v xml:space="preserve"> 2. 기계경비(인력품의 3%) : 29,203.3 * 3 %  = 876.0</v>
      </c>
      <c r="C4538" s="506">
        <f>E4538+D4538+F4538</f>
        <v>876</v>
      </c>
      <c r="D4538" s="506">
        <f>IF(H4538=0,0,ROUNDDOWN(J4538*H4538/100,1))</f>
        <v>0</v>
      </c>
      <c r="E4538" s="506">
        <f>IF(H4538=0,0,ROUNDDOWN(K4538*H4538/100,1))</f>
        <v>0</v>
      </c>
      <c r="F4538" s="506">
        <f>IF(H4538=0,0,ROUNDDOWN(L4538*H4538/100,1))</f>
        <v>876</v>
      </c>
      <c r="G4538" s="451" t="s">
        <v>3923</v>
      </c>
      <c r="H4538" s="507">
        <f>ROUNDUP(AC4538,14-LEN(ABS(INT(AC4538))))</f>
        <v>3</v>
      </c>
      <c r="I4538" s="508">
        <f>K4538+J4538+L4538</f>
        <v>29203.3</v>
      </c>
      <c r="J4538" s="456">
        <v>0</v>
      </c>
      <c r="K4538" s="456">
        <v>0</v>
      </c>
      <c r="L4538" s="509">
        <f>D4520+D4522</f>
        <v>29203.3</v>
      </c>
      <c r="M4538" s="501" t="s">
        <v>3743</v>
      </c>
      <c r="N4538" s="501" t="s">
        <v>3416</v>
      </c>
      <c r="Z4538" s="501" t="s">
        <v>3500</v>
      </c>
      <c r="AA4538" s="515">
        <v>3</v>
      </c>
      <c r="AB4538" s="501" t="s">
        <v>3418</v>
      </c>
      <c r="AC4538" s="512">
        <f>1*AA4538</f>
        <v>3</v>
      </c>
      <c r="AD4538" s="500"/>
      <c r="AE4538" s="500"/>
      <c r="AF4538" s="500"/>
      <c r="AG4538" s="500"/>
      <c r="AH4538" s="500"/>
      <c r="AI4538" s="500"/>
      <c r="AJ4538" s="500"/>
      <c r="AK4538" s="500"/>
      <c r="AL4538" s="500"/>
      <c r="AM4538" s="500"/>
      <c r="AN4538" s="500"/>
      <c r="AO4538" s="500"/>
      <c r="AP4538" s="500"/>
    </row>
    <row r="4539" spans="1:42" ht="16.5" customHeight="1">
      <c r="A4539" s="439"/>
      <c r="B4539" s="439"/>
      <c r="C4539" s="439"/>
      <c r="D4539" s="439"/>
      <c r="E4539" s="439"/>
      <c r="F4539" s="439"/>
      <c r="G4539" s="451" t="s">
        <v>3406</v>
      </c>
      <c r="Z4539" s="500"/>
      <c r="AA4539" s="500"/>
      <c r="AB4539" s="500"/>
      <c r="AC4539" s="500"/>
      <c r="AD4539" s="500"/>
      <c r="AE4539" s="500"/>
      <c r="AF4539" s="500"/>
      <c r="AG4539" s="500"/>
      <c r="AH4539" s="500"/>
      <c r="AI4539" s="500"/>
      <c r="AJ4539" s="500"/>
      <c r="AK4539" s="500"/>
      <c r="AL4539" s="500"/>
      <c r="AM4539" s="500"/>
      <c r="AN4539" s="500"/>
      <c r="AO4539" s="500"/>
      <c r="AP4539" s="500"/>
    </row>
    <row r="4540" spans="1:42" ht="16.5" customHeight="1">
      <c r="A4540" s="434"/>
      <c r="B4540" s="437" t="s">
        <v>3419</v>
      </c>
      <c r="C4540" s="513">
        <f>E4540+D4540+F4540</f>
        <v>27167.8</v>
      </c>
      <c r="D4540" s="513">
        <f>SUMIF(N4525:N4539,M4540,D4525:D4539)</f>
        <v>18101</v>
      </c>
      <c r="E4540" s="513">
        <f>SUMIF(N4525:N4539,M4540,E4525:E4539)</f>
        <v>1865</v>
      </c>
      <c r="F4540" s="513">
        <f>SUMIF(N4525:N4539,M4540,F4525:F4539)</f>
        <v>7201.8</v>
      </c>
      <c r="G4540" s="451" t="s">
        <v>3420</v>
      </c>
      <c r="M4540" s="501" t="s">
        <v>3416</v>
      </c>
      <c r="N4540" s="501" t="s">
        <v>3421</v>
      </c>
      <c r="Z4540" s="500"/>
      <c r="AA4540" s="500"/>
      <c r="AB4540" s="500"/>
      <c r="AC4540" s="500"/>
      <c r="AD4540" s="500"/>
      <c r="AE4540" s="500"/>
      <c r="AF4540" s="500"/>
      <c r="AG4540" s="500"/>
      <c r="AH4540" s="500"/>
      <c r="AI4540" s="500"/>
      <c r="AJ4540" s="500"/>
      <c r="AK4540" s="500"/>
      <c r="AL4540" s="500"/>
      <c r="AM4540" s="500"/>
      <c r="AN4540" s="500"/>
      <c r="AO4540" s="500"/>
      <c r="AP4540" s="500"/>
    </row>
    <row r="4541" spans="1:42" ht="16.5" customHeight="1">
      <c r="A4541" s="439"/>
      <c r="B4541" s="439"/>
      <c r="C4541" s="504"/>
      <c r="D4541" s="504"/>
      <c r="E4541" s="504"/>
      <c r="F4541" s="504"/>
      <c r="G4541" s="451" t="s">
        <v>3406</v>
      </c>
      <c r="Z4541" s="500"/>
      <c r="AA4541" s="500"/>
      <c r="AB4541" s="500"/>
      <c r="AC4541" s="500"/>
      <c r="AD4541" s="500"/>
      <c r="AE4541" s="500"/>
      <c r="AF4541" s="500"/>
      <c r="AG4541" s="500"/>
      <c r="AH4541" s="500"/>
      <c r="AI4541" s="500"/>
      <c r="AJ4541" s="500"/>
      <c r="AK4541" s="500"/>
      <c r="AL4541" s="500"/>
      <c r="AM4541" s="500"/>
      <c r="AN4541" s="500"/>
      <c r="AO4541" s="500"/>
      <c r="AP4541" s="500"/>
    </row>
    <row r="4542" spans="1:42" ht="16.5" customHeight="1">
      <c r="A4542" s="439"/>
      <c r="B4542" s="439"/>
      <c r="C4542" s="439"/>
      <c r="D4542" s="439"/>
      <c r="E4542" s="439"/>
      <c r="F4542" s="439"/>
      <c r="G4542" s="451" t="s">
        <v>3406</v>
      </c>
      <c r="Z4542" s="500"/>
      <c r="AA4542" s="500"/>
      <c r="AB4542" s="500"/>
      <c r="AC4542" s="500"/>
      <c r="AD4542" s="500"/>
      <c r="AE4542" s="500"/>
      <c r="AF4542" s="500"/>
      <c r="AG4542" s="500"/>
      <c r="AH4542" s="500"/>
      <c r="AI4542" s="500"/>
      <c r="AJ4542" s="500"/>
      <c r="AK4542" s="500"/>
      <c r="AL4542" s="500"/>
      <c r="AM4542" s="500"/>
      <c r="AN4542" s="500"/>
      <c r="AO4542" s="500"/>
      <c r="AP4542" s="500"/>
    </row>
    <row r="4543" spans="1:42" ht="16.5" customHeight="1">
      <c r="A4543" s="434"/>
      <c r="B4543" s="437" t="s">
        <v>3440</v>
      </c>
      <c r="C4543" s="513">
        <f>E4543+D4543+F4543</f>
        <v>56371.100000000006</v>
      </c>
      <c r="D4543" s="513">
        <f>SUMIF(N4507:N4542,M4543,D4507:D4542)</f>
        <v>47304.3</v>
      </c>
      <c r="E4543" s="513">
        <f>SUMIF(N4507:N4542,M4543,E4507:E4542)</f>
        <v>1865</v>
      </c>
      <c r="F4543" s="513">
        <f>SUMIF(N4507:N4542,M4543,F4507:F4542)</f>
        <v>7201.8</v>
      </c>
      <c r="G4543" s="451" t="s">
        <v>3484</v>
      </c>
      <c r="M4543" s="501" t="s">
        <v>3421</v>
      </c>
      <c r="N4543" s="501" t="s">
        <v>2354</v>
      </c>
      <c r="Z4543" s="500"/>
      <c r="AA4543" s="500"/>
      <c r="AB4543" s="500"/>
      <c r="AC4543" s="500"/>
      <c r="AD4543" s="500"/>
      <c r="AE4543" s="500"/>
      <c r="AF4543" s="500"/>
      <c r="AG4543" s="500"/>
      <c r="AH4543" s="500"/>
      <c r="AI4543" s="500"/>
      <c r="AJ4543" s="500"/>
      <c r="AK4543" s="500"/>
      <c r="AL4543" s="500"/>
      <c r="AM4543" s="500"/>
      <c r="AN4543" s="500"/>
      <c r="AO4543" s="500"/>
      <c r="AP4543" s="500"/>
    </row>
    <row r="4544" spans="1:42" ht="16.5" customHeight="1">
      <c r="A4544" s="439"/>
      <c r="B4544" s="439"/>
      <c r="C4544" s="504"/>
      <c r="D4544" s="504"/>
      <c r="E4544" s="504"/>
      <c r="F4544" s="504"/>
      <c r="Z4544" s="500"/>
      <c r="AA4544" s="500"/>
      <c r="AB4544" s="500"/>
      <c r="AC4544" s="500"/>
      <c r="AD4544" s="500"/>
      <c r="AE4544" s="500"/>
      <c r="AF4544" s="500"/>
      <c r="AG4544" s="500"/>
      <c r="AH4544" s="500"/>
      <c r="AI4544" s="500"/>
      <c r="AJ4544" s="500"/>
      <c r="AK4544" s="500"/>
      <c r="AL4544" s="500"/>
      <c r="AM4544" s="500"/>
      <c r="AN4544" s="500"/>
      <c r="AO4544" s="500"/>
      <c r="AP4544" s="500"/>
    </row>
    <row r="4545" spans="1:42" ht="16.5" customHeight="1">
      <c r="A4545" s="439"/>
      <c r="B4545" s="439"/>
      <c r="C4545" s="439"/>
      <c r="D4545" s="439"/>
      <c r="E4545" s="439"/>
      <c r="F4545" s="439"/>
      <c r="Z4545" s="500"/>
      <c r="AA4545" s="500"/>
      <c r="AB4545" s="500"/>
      <c r="AC4545" s="500"/>
      <c r="AD4545" s="500"/>
      <c r="AE4545" s="500"/>
      <c r="AF4545" s="500"/>
      <c r="AG4545" s="500"/>
      <c r="AH4545" s="500"/>
      <c r="AI4545" s="500"/>
      <c r="AJ4545" s="500"/>
      <c r="AK4545" s="500"/>
      <c r="AL4545" s="500"/>
      <c r="AM4545" s="500"/>
      <c r="AN4545" s="500"/>
      <c r="AO4545" s="500"/>
      <c r="AP4545" s="500"/>
    </row>
    <row r="4546" spans="1:42" ht="16.5" customHeight="1">
      <c r="A4546" s="439"/>
      <c r="B4546" s="439"/>
      <c r="C4546" s="439"/>
      <c r="D4546" s="439"/>
      <c r="E4546" s="439"/>
      <c r="F4546" s="439"/>
      <c r="Z4546" s="500"/>
      <c r="AA4546" s="500"/>
      <c r="AB4546" s="500"/>
      <c r="AC4546" s="500"/>
      <c r="AD4546" s="500"/>
      <c r="AE4546" s="500"/>
      <c r="AF4546" s="500"/>
      <c r="AG4546" s="500"/>
      <c r="AH4546" s="500"/>
      <c r="AI4546" s="500"/>
      <c r="AJ4546" s="500"/>
      <c r="AK4546" s="500"/>
      <c r="AL4546" s="500"/>
      <c r="AM4546" s="500"/>
      <c r="AN4546" s="500"/>
      <c r="AO4546" s="500"/>
      <c r="AP4546" s="500"/>
    </row>
    <row r="4547" spans="1:42" ht="16.5" customHeight="1">
      <c r="A4547" s="439"/>
      <c r="B4547" s="439"/>
      <c r="C4547" s="439"/>
      <c r="D4547" s="439"/>
      <c r="E4547" s="439"/>
      <c r="F4547" s="439"/>
      <c r="Z4547" s="500"/>
      <c r="AA4547" s="500"/>
      <c r="AB4547" s="500"/>
      <c r="AC4547" s="500"/>
      <c r="AD4547" s="500"/>
      <c r="AE4547" s="500"/>
      <c r="AF4547" s="500"/>
      <c r="AG4547" s="500"/>
      <c r="AH4547" s="500"/>
      <c r="AI4547" s="500"/>
      <c r="AJ4547" s="500"/>
      <c r="AK4547" s="500"/>
      <c r="AL4547" s="500"/>
      <c r="AM4547" s="500"/>
      <c r="AN4547" s="500"/>
      <c r="AO4547" s="500"/>
      <c r="AP4547" s="500"/>
    </row>
    <row r="4548" spans="1:42" ht="16.5" customHeight="1">
      <c r="A4548" s="439"/>
      <c r="B4548" s="439"/>
      <c r="C4548" s="439"/>
      <c r="D4548" s="439"/>
      <c r="E4548" s="439"/>
      <c r="F4548" s="439"/>
      <c r="Z4548" s="500"/>
      <c r="AA4548" s="500"/>
      <c r="AB4548" s="500"/>
      <c r="AC4548" s="500"/>
      <c r="AD4548" s="500"/>
      <c r="AE4548" s="500"/>
      <c r="AF4548" s="500"/>
      <c r="AG4548" s="500"/>
      <c r="AH4548" s="500"/>
      <c r="AI4548" s="500"/>
      <c r="AJ4548" s="500"/>
      <c r="AK4548" s="500"/>
      <c r="AL4548" s="500"/>
      <c r="AM4548" s="500"/>
      <c r="AN4548" s="500"/>
      <c r="AO4548" s="500"/>
      <c r="AP4548" s="500"/>
    </row>
    <row r="4549" spans="1:42" ht="16.5" customHeight="1">
      <c r="A4549" s="439"/>
      <c r="B4549" s="439"/>
      <c r="C4549" s="439"/>
      <c r="D4549" s="439"/>
      <c r="E4549" s="439"/>
      <c r="F4549" s="439"/>
      <c r="Z4549" s="500"/>
      <c r="AA4549" s="500"/>
      <c r="AB4549" s="500"/>
      <c r="AC4549" s="500"/>
      <c r="AD4549" s="500"/>
      <c r="AE4549" s="500"/>
      <c r="AF4549" s="500"/>
      <c r="AG4549" s="500"/>
      <c r="AH4549" s="500"/>
      <c r="AI4549" s="500"/>
      <c r="AJ4549" s="500"/>
      <c r="AK4549" s="500"/>
      <c r="AL4549" s="500"/>
      <c r="AM4549" s="500"/>
      <c r="AN4549" s="500"/>
      <c r="AO4549" s="500"/>
      <c r="AP4549" s="500"/>
    </row>
    <row r="4550" spans="1:42" ht="16.5" customHeight="1">
      <c r="A4550" s="439"/>
      <c r="B4550" s="439"/>
      <c r="C4550" s="439"/>
      <c r="D4550" s="439"/>
      <c r="E4550" s="439"/>
      <c r="F4550" s="439"/>
      <c r="Z4550" s="500"/>
      <c r="AA4550" s="500"/>
      <c r="AB4550" s="500"/>
      <c r="AC4550" s="500"/>
      <c r="AD4550" s="500"/>
      <c r="AE4550" s="500"/>
      <c r="AF4550" s="500"/>
      <c r="AG4550" s="500"/>
      <c r="AH4550" s="500"/>
      <c r="AI4550" s="500"/>
      <c r="AJ4550" s="500"/>
      <c r="AK4550" s="500"/>
      <c r="AL4550" s="500"/>
      <c r="AM4550" s="500"/>
      <c r="AN4550" s="500"/>
      <c r="AO4550" s="500"/>
      <c r="AP4550" s="500"/>
    </row>
    <row r="4551" spans="1:42" ht="16.5" customHeight="1">
      <c r="A4551" s="439"/>
      <c r="B4551" s="439"/>
      <c r="C4551" s="439"/>
      <c r="D4551" s="439"/>
      <c r="E4551" s="439"/>
      <c r="F4551" s="439"/>
      <c r="Z4551" s="500"/>
      <c r="AA4551" s="500"/>
      <c r="AB4551" s="500"/>
      <c r="AC4551" s="500"/>
      <c r="AD4551" s="500"/>
      <c r="AE4551" s="500"/>
      <c r="AF4551" s="500"/>
      <c r="AG4551" s="500"/>
      <c r="AH4551" s="500"/>
      <c r="AI4551" s="500"/>
      <c r="AJ4551" s="500"/>
      <c r="AK4551" s="500"/>
      <c r="AL4551" s="500"/>
      <c r="AM4551" s="500"/>
      <c r="AN4551" s="500"/>
      <c r="AO4551" s="500"/>
      <c r="AP4551" s="500"/>
    </row>
    <row r="4552" spans="1:42" ht="16.5" customHeight="1">
      <c r="A4552" s="439"/>
      <c r="B4552" s="439"/>
      <c r="C4552" s="439"/>
      <c r="D4552" s="439"/>
      <c r="E4552" s="439"/>
      <c r="F4552" s="439"/>
      <c r="Z4552" s="500"/>
      <c r="AA4552" s="500"/>
      <c r="AB4552" s="500"/>
      <c r="AC4552" s="500"/>
      <c r="AD4552" s="500"/>
      <c r="AE4552" s="500"/>
      <c r="AF4552" s="500"/>
      <c r="AG4552" s="500"/>
      <c r="AH4552" s="500"/>
      <c r="AI4552" s="500"/>
      <c r="AJ4552" s="500"/>
      <c r="AK4552" s="500"/>
      <c r="AL4552" s="500"/>
      <c r="AM4552" s="500"/>
      <c r="AN4552" s="500"/>
      <c r="AO4552" s="500"/>
      <c r="AP4552" s="500"/>
    </row>
    <row r="4553" spans="1:42" ht="16.5" customHeight="1">
      <c r="A4553" s="497"/>
      <c r="B4553" s="497"/>
      <c r="C4553" s="497"/>
      <c r="D4553" s="497"/>
      <c r="E4553" s="497"/>
      <c r="F4553" s="497"/>
      <c r="Z4553" s="500"/>
      <c r="AA4553" s="500"/>
      <c r="AB4553" s="500"/>
      <c r="AC4553" s="500"/>
      <c r="AD4553" s="500"/>
      <c r="AE4553" s="500"/>
      <c r="AF4553" s="500"/>
      <c r="AG4553" s="500"/>
      <c r="AH4553" s="500"/>
      <c r="AI4553" s="500"/>
      <c r="AJ4553" s="500"/>
      <c r="AK4553" s="500"/>
      <c r="AL4553" s="500"/>
      <c r="AM4553" s="500"/>
      <c r="AN4553" s="500"/>
      <c r="AO4553" s="500"/>
      <c r="AP4553" s="500"/>
    </row>
    <row r="4554" spans="1:42" ht="16.5" customHeight="1">
      <c r="A4554" s="616" t="s">
        <v>3487</v>
      </c>
      <c r="B4554" s="605"/>
      <c r="C4554" s="446">
        <f>E4554+D4554+F4554</f>
        <v>56370</v>
      </c>
      <c r="D4554" s="453">
        <f>ROUNDDOWN(SUMIF(N4507:N4543,M4554,D4507:D4543),0)</f>
        <v>47304</v>
      </c>
      <c r="E4554" s="454">
        <f>ROUNDDOWN(SUMIF(N4507:N4543,M4554,E4507:E4543),0)</f>
        <v>1865</v>
      </c>
      <c r="F4554" s="446">
        <f>ROUNDDOWN(SUMIF(N4507:N4543,M4554,F4507:F4543),0)</f>
        <v>7201</v>
      </c>
      <c r="M4554" s="501" t="s">
        <v>2354</v>
      </c>
      <c r="Z4554" s="500"/>
      <c r="AA4554" s="500"/>
      <c r="AB4554" s="500"/>
      <c r="AC4554" s="500"/>
      <c r="AD4554" s="500"/>
      <c r="AE4554" s="500"/>
      <c r="AF4554" s="500"/>
      <c r="AG4554" s="500"/>
      <c r="AH4554" s="500"/>
      <c r="AI4554" s="500"/>
      <c r="AJ4554" s="500"/>
      <c r="AK4554" s="500"/>
      <c r="AL4554" s="500"/>
      <c r="AM4554" s="500"/>
      <c r="AN4554" s="500"/>
      <c r="AO4554" s="500"/>
      <c r="AP4554" s="500"/>
    </row>
    <row r="4555" spans="1:42" ht="16.5" customHeight="1">
      <c r="A4555" s="502" t="s">
        <v>3371</v>
      </c>
      <c r="B4555" s="503" t="s">
        <v>1986</v>
      </c>
      <c r="C4555" s="615">
        <f>C4604</f>
        <v>82676</v>
      </c>
      <c r="D4555" s="615">
        <f>D4604</f>
        <v>69379</v>
      </c>
      <c r="E4555" s="615">
        <f>E4604</f>
        <v>2735</v>
      </c>
      <c r="F4555" s="615">
        <f>F4604</f>
        <v>10562</v>
      </c>
      <c r="G4555" s="486" t="str">
        <f>HYPERLINK("#G"&amp;ROW(G4593),"_x0005_`BDCOD|D01287_x0007_`POSS|"&amp;ROW(G4557)&amp;"_x0007_`POSE|"&amp;ROW(G4593)&amp;"_x0007_`")</f>
        <v>_x0005_`BDCOD|D01287_x0007_`POSS|4557_x0007_`POSE|4593_x0007_`</v>
      </c>
      <c r="Z4555" s="500"/>
      <c r="AA4555" s="500"/>
      <c r="AB4555" s="500"/>
      <c r="AC4555" s="500"/>
      <c r="AD4555" s="500"/>
      <c r="AE4555" s="500"/>
      <c r="AF4555" s="500"/>
      <c r="AG4555" s="500"/>
      <c r="AH4555" s="500"/>
      <c r="AI4555" s="500"/>
      <c r="AJ4555" s="500"/>
      <c r="AK4555" s="500"/>
      <c r="AL4555" s="500"/>
      <c r="AM4555" s="500"/>
      <c r="AN4555" s="500"/>
      <c r="AO4555" s="500"/>
      <c r="AP4555" s="500"/>
    </row>
    <row r="4556" spans="1:42" ht="16.5" customHeight="1">
      <c r="A4556" s="485"/>
      <c r="B4556" s="503" t="s">
        <v>3940</v>
      </c>
      <c r="C4556" s="593"/>
      <c r="D4556" s="593"/>
      <c r="E4556" s="593"/>
      <c r="F4556" s="593"/>
      <c r="M4556" s="501" t="s">
        <v>1986</v>
      </c>
      <c r="Z4556" s="500"/>
      <c r="AA4556" s="500"/>
      <c r="AB4556" s="500"/>
      <c r="AC4556" s="500"/>
      <c r="AD4556" s="500"/>
      <c r="AE4556" s="500"/>
      <c r="AF4556" s="500"/>
      <c r="AG4556" s="500"/>
      <c r="AH4556" s="500"/>
      <c r="AI4556" s="500"/>
      <c r="AJ4556" s="500"/>
      <c r="AK4556" s="500"/>
      <c r="AL4556" s="500"/>
      <c r="AM4556" s="500"/>
      <c r="AN4556" s="500"/>
      <c r="AO4556" s="500"/>
      <c r="AP4556" s="500"/>
    </row>
    <row r="4557" spans="1:42" ht="16.5" customHeight="1">
      <c r="A4557" s="439"/>
      <c r="B4557" s="439"/>
      <c r="C4557" s="504"/>
      <c r="D4557" s="504"/>
      <c r="E4557" s="504"/>
      <c r="F4557" s="504"/>
      <c r="G4557" s="451" t="s">
        <v>3406</v>
      </c>
      <c r="Z4557" s="500"/>
      <c r="AA4557" s="500"/>
      <c r="AB4557" s="500"/>
      <c r="AC4557" s="500"/>
      <c r="AD4557" s="500"/>
      <c r="AE4557" s="500"/>
      <c r="AF4557" s="500"/>
      <c r="AG4557" s="500"/>
      <c r="AH4557" s="500"/>
      <c r="AI4557" s="500"/>
      <c r="AJ4557" s="500"/>
      <c r="AK4557" s="500"/>
      <c r="AL4557" s="500"/>
      <c r="AM4557" s="500"/>
      <c r="AN4557" s="500"/>
      <c r="AO4557" s="500"/>
      <c r="AP4557" s="500"/>
    </row>
    <row r="4558" spans="1:42" ht="16.5" customHeight="1">
      <c r="A4558" s="434"/>
      <c r="B4558" s="437" t="s">
        <v>3941</v>
      </c>
      <c r="C4558" s="439"/>
      <c r="D4558" s="439"/>
      <c r="E4558" s="439"/>
      <c r="F4558" s="439"/>
      <c r="G4558" s="451" t="s">
        <v>3942</v>
      </c>
      <c r="Z4558" s="500"/>
      <c r="AA4558" s="500"/>
      <c r="AB4558" s="500"/>
      <c r="AC4558" s="500"/>
      <c r="AD4558" s="500"/>
      <c r="AE4558" s="500"/>
      <c r="AF4558" s="500"/>
      <c r="AG4558" s="500"/>
      <c r="AH4558" s="500"/>
      <c r="AI4558" s="500"/>
      <c r="AJ4558" s="500"/>
      <c r="AK4558" s="500"/>
      <c r="AL4558" s="500"/>
      <c r="AM4558" s="500"/>
      <c r="AN4558" s="500"/>
      <c r="AO4558" s="500"/>
      <c r="AP4558" s="500"/>
    </row>
    <row r="4559" spans="1:42" ht="16.5" customHeight="1">
      <c r="A4559" s="439"/>
      <c r="B4559" s="439"/>
      <c r="C4559" s="439"/>
      <c r="D4559" s="439"/>
      <c r="E4559" s="439"/>
      <c r="F4559" s="439"/>
      <c r="G4559" s="451" t="s">
        <v>3406</v>
      </c>
      <c r="Z4559" s="500"/>
      <c r="AA4559" s="500"/>
      <c r="AB4559" s="500"/>
      <c r="AC4559" s="500"/>
      <c r="AD4559" s="500"/>
      <c r="AE4559" s="500"/>
      <c r="AF4559" s="500"/>
      <c r="AG4559" s="500"/>
      <c r="AH4559" s="500"/>
      <c r="AI4559" s="500"/>
      <c r="AJ4559" s="500"/>
      <c r="AK4559" s="500"/>
      <c r="AL4559" s="500"/>
      <c r="AM4559" s="500"/>
      <c r="AN4559" s="500"/>
      <c r="AO4559" s="500"/>
      <c r="AP4559" s="500"/>
    </row>
    <row r="4560" spans="1:42" ht="16.5" customHeight="1">
      <c r="A4560" s="434"/>
      <c r="B4560" s="437" t="s">
        <v>3907</v>
      </c>
      <c r="C4560" s="439"/>
      <c r="D4560" s="439"/>
      <c r="E4560" s="439"/>
      <c r="F4560" s="439"/>
      <c r="G4560" s="451" t="s">
        <v>3908</v>
      </c>
      <c r="Z4560" s="500"/>
      <c r="AA4560" s="500"/>
      <c r="AB4560" s="500"/>
      <c r="AC4560" s="500"/>
      <c r="AD4560" s="500"/>
      <c r="AE4560" s="500"/>
      <c r="AF4560" s="500"/>
      <c r="AG4560" s="500"/>
      <c r="AH4560" s="500"/>
      <c r="AI4560" s="500"/>
      <c r="AJ4560" s="500"/>
      <c r="AK4560" s="500"/>
      <c r="AL4560" s="500"/>
      <c r="AM4560" s="500"/>
      <c r="AN4560" s="500"/>
      <c r="AO4560" s="500"/>
      <c r="AP4560" s="500"/>
    </row>
    <row r="4561" spans="1:42" ht="16.5" customHeight="1">
      <c r="A4561" s="439"/>
      <c r="B4561" s="439"/>
      <c r="C4561" s="439"/>
      <c r="D4561" s="439"/>
      <c r="E4561" s="439"/>
      <c r="F4561" s="439"/>
      <c r="G4561" s="451" t="s">
        <v>3406</v>
      </c>
      <c r="Z4561" s="500"/>
      <c r="AA4561" s="500"/>
      <c r="AB4561" s="500"/>
      <c r="AC4561" s="500"/>
      <c r="AD4561" s="500"/>
      <c r="AE4561" s="500"/>
      <c r="AF4561" s="500"/>
      <c r="AG4561" s="500"/>
      <c r="AH4561" s="500"/>
      <c r="AI4561" s="500"/>
      <c r="AJ4561" s="500"/>
      <c r="AK4561" s="500"/>
      <c r="AL4561" s="500"/>
      <c r="AM4561" s="500"/>
      <c r="AN4561" s="500"/>
      <c r="AO4561" s="500"/>
      <c r="AP4561" s="500"/>
    </row>
    <row r="4562" spans="1:42" ht="16.5" customHeight="1">
      <c r="A4562" s="439"/>
      <c r="B4562" s="439"/>
      <c r="C4562" s="439"/>
      <c r="D4562" s="439"/>
      <c r="E4562" s="439"/>
      <c r="F4562" s="439"/>
      <c r="G4562" s="451" t="s">
        <v>3406</v>
      </c>
      <c r="Z4562" s="500"/>
      <c r="AA4562" s="500"/>
      <c r="AB4562" s="500"/>
      <c r="AC4562" s="500"/>
      <c r="AD4562" s="500"/>
      <c r="AE4562" s="500"/>
      <c r="AF4562" s="500"/>
      <c r="AG4562" s="500"/>
      <c r="AH4562" s="500"/>
      <c r="AI4562" s="500"/>
      <c r="AJ4562" s="500"/>
      <c r="AK4562" s="500"/>
      <c r="AL4562" s="500"/>
      <c r="AM4562" s="500"/>
      <c r="AN4562" s="500"/>
      <c r="AO4562" s="500"/>
      <c r="AP4562" s="500"/>
    </row>
    <row r="4563" spans="1:42" ht="16.5" customHeight="1">
      <c r="A4563" s="434"/>
      <c r="B4563" s="437" t="str">
        <f>" 일당 작업량 :  Q = "&amp;Z4563&amp;" 주 "</f>
        <v xml:space="preserve"> 일당 작업량 :  Q = 15 주 </v>
      </c>
      <c r="C4563" s="439"/>
      <c r="D4563" s="439"/>
      <c r="E4563" s="439"/>
      <c r="F4563" s="439"/>
      <c r="G4563" s="451" t="s">
        <v>3943</v>
      </c>
      <c r="Z4563" s="515">
        <v>15</v>
      </c>
      <c r="AA4563" s="501" t="s">
        <v>3418</v>
      </c>
      <c r="AB4563" s="512">
        <f>Z4563</f>
        <v>15</v>
      </c>
      <c r="AC4563" s="500"/>
      <c r="AD4563" s="500"/>
      <c r="AE4563" s="500"/>
      <c r="AF4563" s="500"/>
      <c r="AG4563" s="500"/>
      <c r="AH4563" s="500"/>
      <c r="AI4563" s="500"/>
      <c r="AJ4563" s="500"/>
      <c r="AK4563" s="500"/>
      <c r="AL4563" s="500"/>
      <c r="AM4563" s="500"/>
      <c r="AN4563" s="500"/>
      <c r="AO4563" s="500"/>
      <c r="AP4563" s="500"/>
    </row>
    <row r="4564" spans="1:42" ht="16.5" customHeight="1">
      <c r="A4564" s="439"/>
      <c r="B4564" s="439"/>
      <c r="C4564" s="439"/>
      <c r="D4564" s="439"/>
      <c r="E4564" s="439"/>
      <c r="F4564" s="439"/>
      <c r="G4564" s="451" t="s">
        <v>3406</v>
      </c>
      <c r="Z4564" s="500"/>
      <c r="AA4564" s="500"/>
      <c r="AB4564" s="500"/>
      <c r="AC4564" s="500"/>
      <c r="AD4564" s="500"/>
      <c r="AE4564" s="500"/>
      <c r="AF4564" s="500"/>
      <c r="AG4564" s="500"/>
      <c r="AH4564" s="500"/>
      <c r="AI4564" s="500"/>
      <c r="AJ4564" s="500"/>
      <c r="AK4564" s="500"/>
      <c r="AL4564" s="500"/>
      <c r="AM4564" s="500"/>
      <c r="AN4564" s="500"/>
      <c r="AO4564" s="500"/>
      <c r="AP4564" s="500"/>
    </row>
    <row r="4565" spans="1:42" ht="16.5" customHeight="1">
      <c r="A4565" s="434"/>
      <c r="B4565" s="437" t="s">
        <v>3910</v>
      </c>
      <c r="C4565" s="439"/>
      <c r="D4565" s="439"/>
      <c r="E4565" s="439"/>
      <c r="F4565" s="439"/>
      <c r="G4565" s="451" t="s">
        <v>3911</v>
      </c>
      <c r="Z4565" s="500"/>
      <c r="AA4565" s="500"/>
      <c r="AB4565" s="500"/>
      <c r="AC4565" s="500"/>
      <c r="AD4565" s="500"/>
      <c r="AE4565" s="500"/>
      <c r="AF4565" s="500"/>
      <c r="AG4565" s="500"/>
      <c r="AH4565" s="500"/>
      <c r="AI4565" s="500"/>
      <c r="AJ4565" s="500"/>
      <c r="AK4565" s="500"/>
      <c r="AL4565" s="500"/>
      <c r="AM4565" s="500"/>
      <c r="AN4565" s="500"/>
      <c r="AO4565" s="500"/>
      <c r="AP4565" s="500"/>
    </row>
    <row r="4566" spans="1:42" ht="16.5" customHeight="1">
      <c r="A4566" s="439"/>
      <c r="B4566" s="439"/>
      <c r="C4566" s="439"/>
      <c r="D4566" s="439"/>
      <c r="E4566" s="439"/>
      <c r="F4566" s="439"/>
      <c r="G4566" s="451" t="s">
        <v>3406</v>
      </c>
      <c r="Z4566" s="500"/>
      <c r="AA4566" s="500"/>
      <c r="AB4566" s="500"/>
      <c r="AC4566" s="500"/>
      <c r="AD4566" s="500"/>
      <c r="AE4566" s="500"/>
      <c r="AF4566" s="500"/>
      <c r="AG4566" s="500"/>
      <c r="AH4566" s="500"/>
      <c r="AI4566" s="500"/>
      <c r="AJ4566" s="500"/>
      <c r="AK4566" s="500"/>
      <c r="AL4566" s="500"/>
      <c r="AM4566" s="500"/>
      <c r="AN4566" s="500"/>
      <c r="AO4566" s="500"/>
      <c r="AP4566" s="500"/>
    </row>
    <row r="4567" spans="1:42" ht="16.5" customHeight="1">
      <c r="A4567" s="439"/>
      <c r="B4567" s="439"/>
      <c r="C4567" s="439"/>
      <c r="D4567" s="439"/>
      <c r="E4567" s="439"/>
      <c r="F4567" s="439"/>
      <c r="G4567" s="451" t="s">
        <v>3406</v>
      </c>
      <c r="Z4567" s="500"/>
      <c r="AA4567" s="500"/>
      <c r="AB4567" s="500"/>
      <c r="AC4567" s="500"/>
      <c r="AD4567" s="500"/>
      <c r="AE4567" s="500"/>
      <c r="AF4567" s="500"/>
      <c r="AG4567" s="500"/>
      <c r="AH4567" s="500"/>
      <c r="AI4567" s="500"/>
      <c r="AJ4567" s="500"/>
      <c r="AK4567" s="500"/>
      <c r="AL4567" s="500"/>
      <c r="AM4567" s="500"/>
      <c r="AN4567" s="500"/>
      <c r="AO4567" s="500"/>
      <c r="AP4567" s="500"/>
    </row>
    <row r="4568" spans="1:42" ht="16.5" customHeight="1">
      <c r="A4568" s="434"/>
      <c r="B4568" s="437" t="s">
        <v>3496</v>
      </c>
      <c r="C4568" s="439"/>
      <c r="D4568" s="439"/>
      <c r="E4568" s="439"/>
      <c r="F4568" s="439"/>
      <c r="G4568" s="451" t="s">
        <v>3497</v>
      </c>
      <c r="Z4568" s="500"/>
      <c r="AA4568" s="500"/>
      <c r="AB4568" s="500"/>
      <c r="AC4568" s="500"/>
      <c r="AD4568" s="500"/>
      <c r="AE4568" s="500"/>
      <c r="AF4568" s="500"/>
      <c r="AG4568" s="500"/>
      <c r="AH4568" s="500"/>
      <c r="AI4568" s="500"/>
      <c r="AJ4568" s="500"/>
      <c r="AK4568" s="500"/>
      <c r="AL4568" s="500"/>
      <c r="AM4568" s="500"/>
      <c r="AN4568" s="500"/>
      <c r="AO4568" s="500"/>
      <c r="AP4568" s="500"/>
    </row>
    <row r="4569" spans="1:42" ht="16.5" customHeight="1">
      <c r="A4569" s="439"/>
      <c r="B4569" s="439"/>
      <c r="C4569" s="439"/>
      <c r="D4569" s="439"/>
      <c r="E4569" s="439"/>
      <c r="F4569" s="439"/>
      <c r="G4569" s="451" t="s">
        <v>3406</v>
      </c>
      <c r="Z4569" s="500"/>
      <c r="AA4569" s="500"/>
      <c r="AB4569" s="500"/>
      <c r="AC4569" s="500"/>
      <c r="AD4569" s="500"/>
      <c r="AE4569" s="500"/>
      <c r="AF4569" s="500"/>
      <c r="AG4569" s="500"/>
      <c r="AH4569" s="500"/>
      <c r="AI4569" s="500"/>
      <c r="AJ4569" s="500"/>
      <c r="AK4569" s="500"/>
      <c r="AL4569" s="500"/>
      <c r="AM4569" s="500"/>
      <c r="AN4569" s="500"/>
      <c r="AO4569" s="500"/>
      <c r="AP4569" s="500"/>
    </row>
    <row r="4570" spans="1:42" ht="16.5" customHeight="1">
      <c r="A4570" s="434" t="s">
        <v>3498</v>
      </c>
      <c r="B4570" s="505" t="str">
        <f>" 조 경 공 : "&amp;TEXT(I4570,"#,##0"&amp;IF(I4570&lt;&gt;INT(I4570),".###",""))&amp;" * "&amp;AA4570&amp;" 인  / Q = "&amp;TEXT(C4570,"#,##0.0")&amp;" "</f>
        <v xml:space="preserve"> 조 경 공 : 235,204 * 2 인  / Q = 31,360.5 </v>
      </c>
      <c r="C4570" s="506">
        <f>E4570+D4570+F4570</f>
        <v>31360.5</v>
      </c>
      <c r="D4570" s="506">
        <f>IF(H4570=0,0,ROUNDDOWN(J4570*H4570,1))</f>
        <v>31360.5</v>
      </c>
      <c r="E4570" s="506">
        <f>IF(H4570=0,0,ROUNDDOWN(K4570*H4570,1))</f>
        <v>0</v>
      </c>
      <c r="F4570" s="506">
        <f>IF(H4570=0,0,ROUNDDOWN(L4570*H4570,1))</f>
        <v>0</v>
      </c>
      <c r="G4570" s="451" t="s">
        <v>3912</v>
      </c>
      <c r="H4570" s="507">
        <f>ROUNDUP(AE4570,14-LEN(ABS(INT(AE4570))))</f>
        <v>0.1333333333334</v>
      </c>
      <c r="I4570" s="508">
        <f>K4570+J4570+L4570</f>
        <v>235204</v>
      </c>
      <c r="J4570" s="509">
        <f>노무비목록표!E15</f>
        <v>235204</v>
      </c>
      <c r="M4570" s="501" t="s">
        <v>2359</v>
      </c>
      <c r="N4570" s="501" t="s">
        <v>3416</v>
      </c>
      <c r="O4570" s="501" t="s">
        <v>2355</v>
      </c>
      <c r="X4570" s="510" t="str">
        <f>노무비목록표!B15&amp;" / "&amp;노무비목록표!C15</f>
        <v xml:space="preserve">조경공 / </v>
      </c>
      <c r="Y4570" s="433" t="str">
        <f ca="1">HYPERLINK("#"&amp;노무비목록표!G2&amp;"!A"&amp;ROW(노무비목록표!A15),"L00184 →")</f>
        <v>L00184 →</v>
      </c>
      <c r="Z4570" s="501" t="s">
        <v>3500</v>
      </c>
      <c r="AA4570" s="515">
        <v>2</v>
      </c>
      <c r="AB4570" s="501" t="s">
        <v>3428</v>
      </c>
      <c r="AC4570" s="512">
        <f>AB4563</f>
        <v>15</v>
      </c>
      <c r="AD4570" s="501" t="s">
        <v>3418</v>
      </c>
      <c r="AE4570" s="512">
        <f>1*AA4570/AB4563</f>
        <v>0.13333333333333333</v>
      </c>
      <c r="AF4570" s="500"/>
      <c r="AG4570" s="500"/>
      <c r="AH4570" s="500"/>
      <c r="AI4570" s="500"/>
      <c r="AJ4570" s="500"/>
      <c r="AK4570" s="500"/>
      <c r="AL4570" s="500"/>
      <c r="AM4570" s="500"/>
      <c r="AN4570" s="500"/>
      <c r="AO4570" s="500"/>
      <c r="AP4570" s="500"/>
    </row>
    <row r="4571" spans="1:42" ht="16.5" customHeight="1">
      <c r="A4571" s="439"/>
      <c r="B4571" s="439"/>
      <c r="C4571" s="439"/>
      <c r="D4571" s="439"/>
      <c r="E4571" s="439"/>
      <c r="F4571" s="439"/>
      <c r="G4571" s="451" t="s">
        <v>3406</v>
      </c>
      <c r="Z4571" s="500"/>
      <c r="AA4571" s="500"/>
      <c r="AB4571" s="500"/>
      <c r="AC4571" s="500"/>
      <c r="AD4571" s="500"/>
      <c r="AE4571" s="500"/>
      <c r="AF4571" s="500"/>
      <c r="AG4571" s="500"/>
      <c r="AH4571" s="500"/>
      <c r="AI4571" s="500"/>
      <c r="AJ4571" s="500"/>
      <c r="AK4571" s="500"/>
      <c r="AL4571" s="500"/>
      <c r="AM4571" s="500"/>
      <c r="AN4571" s="500"/>
      <c r="AO4571" s="500"/>
      <c r="AP4571" s="500"/>
    </row>
    <row r="4572" spans="1:42" ht="16.5" customHeight="1">
      <c r="A4572" s="434" t="s">
        <v>3414</v>
      </c>
      <c r="B4572" s="505" t="str">
        <f>" 보통인부 : "&amp;TEXT(I4572,"#,##0"&amp;IF(I4572&lt;&gt;INT(I4572),".###",""))&amp;" * "&amp;AA4572&amp;" 인  / Q = "&amp;TEXT(C4572,"#,##0.0")&amp;" "</f>
        <v xml:space="preserve"> 보통인부 : 172,068 * 1 인  / Q = 11,471.2 </v>
      </c>
      <c r="C4572" s="506">
        <f>E4572+D4572+F4572</f>
        <v>11471.2</v>
      </c>
      <c r="D4572" s="506">
        <f>IF(H4572=0,0,ROUNDDOWN(J4572*H4572,1))</f>
        <v>11471.2</v>
      </c>
      <c r="E4572" s="506">
        <f>IF(H4572=0,0,ROUNDDOWN(K4572*H4572,1))</f>
        <v>0</v>
      </c>
      <c r="F4572" s="506">
        <f>IF(H4572=0,0,ROUNDDOWN(L4572*H4572,1))</f>
        <v>0</v>
      </c>
      <c r="G4572" s="451" t="s">
        <v>3913</v>
      </c>
      <c r="H4572" s="507">
        <f>ROUNDUP(AE4572,14-LEN(ABS(INT(AE4572))))</f>
        <v>6.66666666667E-2</v>
      </c>
      <c r="I4572" s="508">
        <f>K4572+J4572+L4572</f>
        <v>172068</v>
      </c>
      <c r="J4572" s="509">
        <f>노무비목록표!E10</f>
        <v>172068</v>
      </c>
      <c r="M4572" s="501" t="s">
        <v>2363</v>
      </c>
      <c r="N4572" s="501" t="s">
        <v>3416</v>
      </c>
      <c r="O4572" s="501" t="s">
        <v>2355</v>
      </c>
      <c r="X4572" s="510" t="str">
        <f>노무비목록표!B10&amp;" / "&amp;노무비목록표!C10</f>
        <v xml:space="preserve">보통인부 / </v>
      </c>
      <c r="Y4572" s="433" t="str">
        <f ca="1">HYPERLINK("#"&amp;노무비목록표!G2&amp;"!A"&amp;ROW(노무비목록표!A10),"L00017 →")</f>
        <v>L00017 →</v>
      </c>
      <c r="Z4572" s="501" t="s">
        <v>3500</v>
      </c>
      <c r="AA4572" s="515">
        <v>1</v>
      </c>
      <c r="AB4572" s="501" t="s">
        <v>3428</v>
      </c>
      <c r="AC4572" s="512">
        <f>AB4563</f>
        <v>15</v>
      </c>
      <c r="AD4572" s="501" t="s">
        <v>3418</v>
      </c>
      <c r="AE4572" s="512">
        <f>1*AA4572/AB4563</f>
        <v>6.6666666666666666E-2</v>
      </c>
      <c r="AF4572" s="500"/>
      <c r="AG4572" s="500"/>
      <c r="AH4572" s="500"/>
      <c r="AI4572" s="500"/>
      <c r="AJ4572" s="500"/>
      <c r="AK4572" s="500"/>
      <c r="AL4572" s="500"/>
      <c r="AM4572" s="500"/>
      <c r="AN4572" s="500"/>
      <c r="AO4572" s="500"/>
      <c r="AP4572" s="500"/>
    </row>
    <row r="4573" spans="1:42" ht="16.5" customHeight="1">
      <c r="A4573" s="439"/>
      <c r="B4573" s="439"/>
      <c r="C4573" s="439"/>
      <c r="D4573" s="439"/>
      <c r="E4573" s="439"/>
      <c r="F4573" s="439"/>
      <c r="G4573" s="451" t="s">
        <v>3406</v>
      </c>
      <c r="Z4573" s="500"/>
      <c r="AA4573" s="500"/>
      <c r="AB4573" s="500"/>
      <c r="AC4573" s="500"/>
      <c r="AD4573" s="500"/>
      <c r="AE4573" s="500"/>
      <c r="AF4573" s="500"/>
      <c r="AG4573" s="500"/>
      <c r="AH4573" s="500"/>
      <c r="AI4573" s="500"/>
      <c r="AJ4573" s="500"/>
      <c r="AK4573" s="500"/>
      <c r="AL4573" s="500"/>
      <c r="AM4573" s="500"/>
      <c r="AN4573" s="500"/>
      <c r="AO4573" s="500"/>
      <c r="AP4573" s="500"/>
    </row>
    <row r="4574" spans="1:42" ht="16.5" customHeight="1">
      <c r="A4574" s="434"/>
      <c r="B4574" s="437" t="s">
        <v>3419</v>
      </c>
      <c r="C4574" s="513">
        <f>E4574+D4574+F4574</f>
        <v>42831.7</v>
      </c>
      <c r="D4574" s="513">
        <f>SUMIF(N4557:N4573,M4574,D4557:D4573)</f>
        <v>42831.7</v>
      </c>
      <c r="E4574" s="513">
        <f>SUMIF(N4557:N4573,M4574,E4557:E4573)</f>
        <v>0</v>
      </c>
      <c r="F4574" s="513">
        <f>SUMIF(N4557:N4573,M4574,F4557:F4573)</f>
        <v>0</v>
      </c>
      <c r="G4574" s="451" t="s">
        <v>3420</v>
      </c>
      <c r="M4574" s="501" t="s">
        <v>3416</v>
      </c>
      <c r="N4574" s="501" t="s">
        <v>3421</v>
      </c>
      <c r="Z4574" s="500"/>
      <c r="AA4574" s="500"/>
      <c r="AB4574" s="500"/>
      <c r="AC4574" s="500"/>
      <c r="AD4574" s="500"/>
      <c r="AE4574" s="500"/>
      <c r="AF4574" s="500"/>
      <c r="AG4574" s="500"/>
      <c r="AH4574" s="500"/>
      <c r="AI4574" s="500"/>
      <c r="AJ4574" s="500"/>
      <c r="AK4574" s="500"/>
      <c r="AL4574" s="500"/>
      <c r="AM4574" s="500"/>
      <c r="AN4574" s="500"/>
      <c r="AO4574" s="500"/>
      <c r="AP4574" s="500"/>
    </row>
    <row r="4575" spans="1:42" ht="16.5" customHeight="1">
      <c r="A4575" s="439"/>
      <c r="B4575" s="439"/>
      <c r="C4575" s="504"/>
      <c r="D4575" s="504"/>
      <c r="E4575" s="504"/>
      <c r="F4575" s="504"/>
      <c r="G4575" s="451" t="s">
        <v>3406</v>
      </c>
      <c r="Z4575" s="500"/>
      <c r="AA4575" s="500"/>
      <c r="AB4575" s="500"/>
      <c r="AC4575" s="500"/>
      <c r="AD4575" s="500"/>
      <c r="AE4575" s="500"/>
      <c r="AF4575" s="500"/>
      <c r="AG4575" s="500"/>
      <c r="AH4575" s="500"/>
      <c r="AI4575" s="500"/>
      <c r="AJ4575" s="500"/>
      <c r="AK4575" s="500"/>
      <c r="AL4575" s="500"/>
      <c r="AM4575" s="500"/>
      <c r="AN4575" s="500"/>
      <c r="AO4575" s="500"/>
      <c r="AP4575" s="500"/>
    </row>
    <row r="4576" spans="1:42" ht="16.5" customHeight="1">
      <c r="A4576" s="439"/>
      <c r="B4576" s="439"/>
      <c r="C4576" s="439"/>
      <c r="D4576" s="439"/>
      <c r="E4576" s="439"/>
      <c r="F4576" s="439"/>
      <c r="G4576" s="451" t="s">
        <v>3406</v>
      </c>
      <c r="Z4576" s="500"/>
      <c r="AA4576" s="500"/>
      <c r="AB4576" s="500"/>
      <c r="AC4576" s="500"/>
      <c r="AD4576" s="500"/>
      <c r="AE4576" s="500"/>
      <c r="AF4576" s="500"/>
      <c r="AG4576" s="500"/>
      <c r="AH4576" s="500"/>
      <c r="AI4576" s="500"/>
      <c r="AJ4576" s="500"/>
      <c r="AK4576" s="500"/>
      <c r="AL4576" s="500"/>
      <c r="AM4576" s="500"/>
      <c r="AN4576" s="500"/>
      <c r="AO4576" s="500"/>
      <c r="AP4576" s="500"/>
    </row>
    <row r="4577" spans="1:42" ht="16.5" customHeight="1">
      <c r="A4577" s="434"/>
      <c r="B4577" s="437" t="s">
        <v>3914</v>
      </c>
      <c r="C4577" s="439"/>
      <c r="D4577" s="439"/>
      <c r="E4577" s="439"/>
      <c r="F4577" s="439"/>
      <c r="G4577" s="451" t="s">
        <v>3915</v>
      </c>
      <c r="Z4577" s="500"/>
      <c r="AA4577" s="500"/>
      <c r="AB4577" s="500"/>
      <c r="AC4577" s="500"/>
      <c r="AD4577" s="500"/>
      <c r="AE4577" s="500"/>
      <c r="AF4577" s="500"/>
      <c r="AG4577" s="500"/>
      <c r="AH4577" s="500"/>
      <c r="AI4577" s="500"/>
      <c r="AJ4577" s="500"/>
      <c r="AK4577" s="500"/>
      <c r="AL4577" s="500"/>
      <c r="AM4577" s="500"/>
      <c r="AN4577" s="500"/>
      <c r="AO4577" s="500"/>
      <c r="AP4577" s="500"/>
    </row>
    <row r="4578" spans="1:42" ht="16.5" customHeight="1">
      <c r="A4578" s="439"/>
      <c r="B4578" s="439"/>
      <c r="C4578" s="439"/>
      <c r="D4578" s="439"/>
      <c r="E4578" s="439"/>
      <c r="F4578" s="439"/>
      <c r="G4578" s="451" t="s">
        <v>3406</v>
      </c>
      <c r="Z4578" s="500"/>
      <c r="AA4578" s="500"/>
      <c r="AB4578" s="500"/>
      <c r="AC4578" s="500"/>
      <c r="AD4578" s="500"/>
      <c r="AE4578" s="500"/>
      <c r="AF4578" s="500"/>
      <c r="AG4578" s="500"/>
      <c r="AH4578" s="500"/>
      <c r="AI4578" s="500"/>
      <c r="AJ4578" s="500"/>
      <c r="AK4578" s="500"/>
      <c r="AL4578" s="500"/>
      <c r="AM4578" s="500"/>
      <c r="AN4578" s="500"/>
      <c r="AO4578" s="500"/>
      <c r="AP4578" s="500"/>
    </row>
    <row r="4579" spans="1:42" ht="16.5" customHeight="1">
      <c r="A4579" s="434" t="s">
        <v>3916</v>
      </c>
      <c r="B4579" s="505" t="str">
        <f>"  노 무 비 :  "&amp;TEXT(I4579,"#,##0"&amp;IF(I4579&lt;&gt;INT(I4579),".###",""))&amp;" / Q * "&amp;AC4579&amp;" = "&amp;TEXT(C4579,"#,##0.0")&amp;""</f>
        <v xml:space="preserve">  노 무 비 :  49,778 / Q * 8 = 26,548.2</v>
      </c>
      <c r="C4579" s="506">
        <f>E4579+D4579+F4579</f>
        <v>26548.2</v>
      </c>
      <c r="D4579" s="506">
        <f>IF(H4579=0,0,ROUNDDOWN(J4579*H4579,1))</f>
        <v>26548.2</v>
      </c>
      <c r="E4579" s="506">
        <f>IF(H4579=0,0,ROUNDDOWN(K4579*H4579,1))</f>
        <v>0</v>
      </c>
      <c r="F4579" s="506">
        <f>IF(H4579=0,0,ROUNDDOWN(L4579*H4579,1))</f>
        <v>0</v>
      </c>
      <c r="G4579" s="451" t="s">
        <v>3917</v>
      </c>
      <c r="H4579" s="507">
        <f>ROUNDUP(AE4579,14-LEN(ABS(INT(AE4579))))</f>
        <v>0.53333333333340005</v>
      </c>
      <c r="I4579" s="508">
        <f>K4579+J4579+L4579</f>
        <v>49778</v>
      </c>
      <c r="J4579" s="509">
        <f>중기목록표!F4</f>
        <v>49778</v>
      </c>
      <c r="M4579" s="501" t="s">
        <v>3918</v>
      </c>
      <c r="N4579" s="501" t="s">
        <v>3416</v>
      </c>
      <c r="X4579" s="510" t="str">
        <f>중기목록표!B4&amp;" / "&amp;중기목록표!C4</f>
        <v>고소작업차 / 3톤</v>
      </c>
      <c r="Y4579" s="433" t="str">
        <f ca="1">HYPERLINK("#"&amp;중기목록표!J2&amp;"!A"&amp;ROW(중기목록표!A4),"X00328 →")</f>
        <v>X00328 →</v>
      </c>
      <c r="Z4579" s="501" t="s">
        <v>3434</v>
      </c>
      <c r="AA4579" s="512">
        <f>AB4563</f>
        <v>15</v>
      </c>
      <c r="AB4579" s="501" t="s">
        <v>3368</v>
      </c>
      <c r="AC4579" s="515">
        <v>8</v>
      </c>
      <c r="AD4579" s="501" t="s">
        <v>3418</v>
      </c>
      <c r="AE4579" s="512">
        <f>1/AB4563*AC4579</f>
        <v>0.53333333333333333</v>
      </c>
      <c r="AF4579" s="500"/>
      <c r="AG4579" s="500"/>
      <c r="AH4579" s="500"/>
      <c r="AI4579" s="500"/>
      <c r="AJ4579" s="500"/>
      <c r="AK4579" s="500"/>
      <c r="AL4579" s="500"/>
      <c r="AM4579" s="500"/>
      <c r="AN4579" s="500"/>
      <c r="AO4579" s="500"/>
      <c r="AP4579" s="500"/>
    </row>
    <row r="4580" spans="1:42" ht="16.5" customHeight="1">
      <c r="A4580" s="439"/>
      <c r="B4580" s="439"/>
      <c r="C4580" s="439"/>
      <c r="D4580" s="439"/>
      <c r="E4580" s="439"/>
      <c r="F4580" s="439"/>
      <c r="G4580" s="451" t="s">
        <v>3406</v>
      </c>
      <c r="Z4580" s="500"/>
      <c r="AA4580" s="500"/>
      <c r="AB4580" s="500"/>
      <c r="AC4580" s="500"/>
      <c r="AD4580" s="500"/>
      <c r="AE4580" s="500"/>
      <c r="AF4580" s="500"/>
      <c r="AG4580" s="500"/>
      <c r="AH4580" s="500"/>
      <c r="AI4580" s="500"/>
      <c r="AJ4580" s="500"/>
      <c r="AK4580" s="500"/>
      <c r="AL4580" s="500"/>
      <c r="AM4580" s="500"/>
      <c r="AN4580" s="500"/>
      <c r="AO4580" s="500"/>
      <c r="AP4580" s="500"/>
    </row>
    <row r="4581" spans="1:42" ht="16.5" customHeight="1">
      <c r="A4581" s="434" t="s">
        <v>3919</v>
      </c>
      <c r="B4581" s="505" t="str">
        <f>"  재 료 비 :  "&amp;TEXT(I4581,"#,##0"&amp;IF(I4581&lt;&gt;INT(I4581),".###",""))&amp;" / Q * "&amp;AC4581&amp;" = "&amp;TEXT(C4581,"#,##0.0")&amp;""</f>
        <v xml:space="preserve">  재 료 비 :  5,129 / Q * 8 = 2,735.4</v>
      </c>
      <c r="C4581" s="506">
        <f>E4581+D4581+F4581</f>
        <v>2735.4</v>
      </c>
      <c r="D4581" s="506">
        <f>IF(H4581=0,0,ROUNDDOWN(J4581*H4581,1))</f>
        <v>0</v>
      </c>
      <c r="E4581" s="506">
        <f>IF(H4581=0,0,ROUNDDOWN(K4581*H4581,1))</f>
        <v>2735.4</v>
      </c>
      <c r="F4581" s="506">
        <f>IF(H4581=0,0,ROUNDDOWN(L4581*H4581,1))</f>
        <v>0</v>
      </c>
      <c r="G4581" s="451" t="s">
        <v>3920</v>
      </c>
      <c r="H4581" s="507">
        <f>ROUNDUP(AE4581,14-LEN(ABS(INT(AE4581))))</f>
        <v>0.53333333333340005</v>
      </c>
      <c r="I4581" s="508">
        <f>K4581+J4581+L4581</f>
        <v>5129</v>
      </c>
      <c r="K4581" s="509">
        <f>중기목록표!G4</f>
        <v>5129</v>
      </c>
      <c r="M4581" s="501" t="s">
        <v>3918</v>
      </c>
      <c r="N4581" s="501" t="s">
        <v>3416</v>
      </c>
      <c r="X4581" s="510" t="str">
        <f>중기목록표!B4&amp;" / "&amp;중기목록표!C4</f>
        <v>고소작업차 / 3톤</v>
      </c>
      <c r="Y4581" s="433" t="str">
        <f ca="1">HYPERLINK("#"&amp;중기목록표!J2&amp;"!A"&amp;ROW(중기목록표!A4),"X00328 →")</f>
        <v>X00328 →</v>
      </c>
      <c r="Z4581" s="501" t="s">
        <v>3434</v>
      </c>
      <c r="AA4581" s="512">
        <f>AB4563</f>
        <v>15</v>
      </c>
      <c r="AB4581" s="501" t="s">
        <v>3368</v>
      </c>
      <c r="AC4581" s="515">
        <v>8</v>
      </c>
      <c r="AD4581" s="501" t="s">
        <v>3418</v>
      </c>
      <c r="AE4581" s="512">
        <f>1/AB4563*AC4581</f>
        <v>0.53333333333333333</v>
      </c>
      <c r="AF4581" s="500"/>
      <c r="AG4581" s="500"/>
      <c r="AH4581" s="500"/>
      <c r="AI4581" s="500"/>
      <c r="AJ4581" s="500"/>
      <c r="AK4581" s="500"/>
      <c r="AL4581" s="500"/>
      <c r="AM4581" s="500"/>
      <c r="AN4581" s="500"/>
      <c r="AO4581" s="500"/>
      <c r="AP4581" s="500"/>
    </row>
    <row r="4582" spans="1:42" ht="16.5" customHeight="1">
      <c r="A4582" s="439"/>
      <c r="B4582" s="439"/>
      <c r="C4582" s="439"/>
      <c r="D4582" s="439"/>
      <c r="E4582" s="439"/>
      <c r="F4582" s="439"/>
      <c r="G4582" s="451" t="s">
        <v>3406</v>
      </c>
      <c r="Z4582" s="500"/>
      <c r="AA4582" s="500"/>
      <c r="AB4582" s="500"/>
      <c r="AC4582" s="500"/>
      <c r="AD4582" s="500"/>
      <c r="AE4582" s="500"/>
      <c r="AF4582" s="500"/>
      <c r="AG4582" s="500"/>
      <c r="AH4582" s="500"/>
      <c r="AI4582" s="500"/>
      <c r="AJ4582" s="500"/>
      <c r="AK4582" s="500"/>
      <c r="AL4582" s="500"/>
      <c r="AM4582" s="500"/>
      <c r="AN4582" s="500"/>
      <c r="AO4582" s="500"/>
      <c r="AP4582" s="500"/>
    </row>
    <row r="4583" spans="1:42" ht="16.5" customHeight="1">
      <c r="A4583" s="434" t="s">
        <v>3921</v>
      </c>
      <c r="B4583" s="505" t="str">
        <f>"  경    비 :  "&amp;TEXT(I4583,"#,##0"&amp;IF(I4583&lt;&gt;INT(I4583),".###",""))&amp;" / Q * "&amp;AC4583&amp;" = "&amp;TEXT(C4583,"#,##0.0")&amp;""</f>
        <v xml:space="preserve">  경    비 :  17,396 / Q * 8 = 9,277.8</v>
      </c>
      <c r="C4583" s="506">
        <f>E4583+D4583+F4583</f>
        <v>9277.7999999999993</v>
      </c>
      <c r="D4583" s="506">
        <f>IF(H4583=0,0,ROUNDDOWN(J4583*H4583,1))</f>
        <v>0</v>
      </c>
      <c r="E4583" s="506">
        <f>IF(H4583=0,0,ROUNDDOWN(K4583*H4583,1))</f>
        <v>0</v>
      </c>
      <c r="F4583" s="506">
        <f>IF(H4583=0,0,ROUNDDOWN(L4583*H4583,1))</f>
        <v>9277.7999999999993</v>
      </c>
      <c r="G4583" s="451" t="s">
        <v>3922</v>
      </c>
      <c r="H4583" s="507">
        <f>ROUNDUP(AE4583,14-LEN(ABS(INT(AE4583))))</f>
        <v>0.53333333333340005</v>
      </c>
      <c r="I4583" s="508">
        <f>K4583+J4583+L4583</f>
        <v>17396</v>
      </c>
      <c r="L4583" s="509">
        <f>중기목록표!H4</f>
        <v>17396</v>
      </c>
      <c r="M4583" s="501" t="s">
        <v>3918</v>
      </c>
      <c r="N4583" s="501" t="s">
        <v>3416</v>
      </c>
      <c r="X4583" s="510" t="str">
        <f>중기목록표!B4&amp;" / "&amp;중기목록표!C4</f>
        <v>고소작업차 / 3톤</v>
      </c>
      <c r="Y4583" s="433" t="str">
        <f ca="1">HYPERLINK("#"&amp;중기목록표!J2&amp;"!A"&amp;ROW(중기목록표!A4),"X00328 →")</f>
        <v>X00328 →</v>
      </c>
      <c r="Z4583" s="501" t="s">
        <v>3434</v>
      </c>
      <c r="AA4583" s="512">
        <f>AB4563</f>
        <v>15</v>
      </c>
      <c r="AB4583" s="501" t="s">
        <v>3368</v>
      </c>
      <c r="AC4583" s="515">
        <v>8</v>
      </c>
      <c r="AD4583" s="501" t="s">
        <v>3418</v>
      </c>
      <c r="AE4583" s="512">
        <f>1/AB4563*AC4583</f>
        <v>0.53333333333333333</v>
      </c>
      <c r="AF4583" s="500"/>
      <c r="AG4583" s="500"/>
      <c r="AH4583" s="500"/>
      <c r="AI4583" s="500"/>
      <c r="AJ4583" s="500"/>
      <c r="AK4583" s="500"/>
      <c r="AL4583" s="500"/>
      <c r="AM4583" s="500"/>
      <c r="AN4583" s="500"/>
      <c r="AO4583" s="500"/>
      <c r="AP4583" s="500"/>
    </row>
    <row r="4584" spans="1:42" ht="16.5" customHeight="1">
      <c r="A4584" s="439"/>
      <c r="B4584" s="439"/>
      <c r="C4584" s="439"/>
      <c r="D4584" s="439"/>
      <c r="E4584" s="439"/>
      <c r="F4584" s="439"/>
      <c r="G4584" s="451" t="s">
        <v>3406</v>
      </c>
      <c r="Z4584" s="500"/>
      <c r="AA4584" s="500"/>
      <c r="AB4584" s="500"/>
      <c r="AC4584" s="500"/>
      <c r="AD4584" s="500"/>
      <c r="AE4584" s="500"/>
      <c r="AF4584" s="500"/>
      <c r="AG4584" s="500"/>
      <c r="AH4584" s="500"/>
      <c r="AI4584" s="500"/>
      <c r="AJ4584" s="500"/>
      <c r="AK4584" s="500"/>
      <c r="AL4584" s="500"/>
      <c r="AM4584" s="500"/>
      <c r="AN4584" s="500"/>
      <c r="AO4584" s="500"/>
      <c r="AP4584" s="500"/>
    </row>
    <row r="4585" spans="1:42" ht="16.5" customHeight="1">
      <c r="A4585" s="439"/>
      <c r="B4585" s="439"/>
      <c r="C4585" s="439"/>
      <c r="D4585" s="439"/>
      <c r="E4585" s="439"/>
      <c r="F4585" s="439"/>
      <c r="G4585" s="451" t="s">
        <v>3406</v>
      </c>
      <c r="Z4585" s="500"/>
      <c r="AA4585" s="500"/>
      <c r="AB4585" s="500"/>
      <c r="AC4585" s="500"/>
      <c r="AD4585" s="500"/>
      <c r="AE4585" s="500"/>
      <c r="AF4585" s="500"/>
      <c r="AG4585" s="500"/>
      <c r="AH4585" s="500"/>
      <c r="AI4585" s="500"/>
      <c r="AJ4585" s="500"/>
      <c r="AK4585" s="500"/>
      <c r="AL4585" s="500"/>
      <c r="AM4585" s="500"/>
      <c r="AN4585" s="500"/>
      <c r="AO4585" s="500"/>
      <c r="AP4585" s="500"/>
    </row>
    <row r="4586" spans="1:42" ht="16.5" customHeight="1">
      <c r="A4586" s="439"/>
      <c r="B4586" s="439"/>
      <c r="C4586" s="439"/>
      <c r="D4586" s="439"/>
      <c r="E4586" s="439"/>
      <c r="F4586" s="439"/>
      <c r="G4586" s="451" t="s">
        <v>3406</v>
      </c>
      <c r="Z4586" s="500"/>
      <c r="AA4586" s="500"/>
      <c r="AB4586" s="500"/>
      <c r="AC4586" s="500"/>
      <c r="AD4586" s="500"/>
      <c r="AE4586" s="500"/>
      <c r="AF4586" s="500"/>
      <c r="AG4586" s="500"/>
      <c r="AH4586" s="500"/>
      <c r="AI4586" s="500"/>
      <c r="AJ4586" s="500"/>
      <c r="AK4586" s="500"/>
      <c r="AL4586" s="500"/>
      <c r="AM4586" s="500"/>
      <c r="AN4586" s="500"/>
      <c r="AO4586" s="500"/>
      <c r="AP4586" s="500"/>
    </row>
    <row r="4587" spans="1:42" ht="16.5" customHeight="1">
      <c r="A4587" s="439"/>
      <c r="B4587" s="439"/>
      <c r="C4587" s="439"/>
      <c r="D4587" s="439"/>
      <c r="E4587" s="439"/>
      <c r="F4587" s="439"/>
      <c r="G4587" s="451" t="s">
        <v>3406</v>
      </c>
      <c r="Z4587" s="500"/>
      <c r="AA4587" s="500"/>
      <c r="AB4587" s="500"/>
      <c r="AC4587" s="500"/>
      <c r="AD4587" s="500"/>
      <c r="AE4587" s="500"/>
      <c r="AF4587" s="500"/>
      <c r="AG4587" s="500"/>
      <c r="AH4587" s="500"/>
      <c r="AI4587" s="500"/>
      <c r="AJ4587" s="500"/>
      <c r="AK4587" s="500"/>
      <c r="AL4587" s="500"/>
      <c r="AM4587" s="500"/>
      <c r="AN4587" s="500"/>
      <c r="AO4587" s="500"/>
      <c r="AP4587" s="500"/>
    </row>
    <row r="4588" spans="1:42" ht="16.5" customHeight="1">
      <c r="A4588" s="434"/>
      <c r="B4588" s="505" t="str">
        <f>" 2. 기계경비(인력품의 3%) : "&amp;TEXT(I4588,"#,##0.0")&amp;" * "&amp;AA4588&amp;" %  = "&amp;TEXT(C4588,"#,##0.0")&amp;""</f>
        <v xml:space="preserve"> 2. 기계경비(인력품의 3%) : 42,831.7 * 3 %  = 1,284.9</v>
      </c>
      <c r="C4588" s="506">
        <f>E4588+D4588+F4588</f>
        <v>1284.9000000000001</v>
      </c>
      <c r="D4588" s="506">
        <f>IF(H4588=0,0,ROUNDDOWN(J4588*H4588/100,1))</f>
        <v>0</v>
      </c>
      <c r="E4588" s="506">
        <f>IF(H4588=0,0,ROUNDDOWN(K4588*H4588/100,1))</f>
        <v>0</v>
      </c>
      <c r="F4588" s="506">
        <f>IF(H4588=0,0,ROUNDDOWN(L4588*H4588/100,1))</f>
        <v>1284.9000000000001</v>
      </c>
      <c r="G4588" s="451" t="s">
        <v>3923</v>
      </c>
      <c r="H4588" s="507">
        <f>ROUNDUP(AC4588,14-LEN(ABS(INT(AC4588))))</f>
        <v>3</v>
      </c>
      <c r="I4588" s="508">
        <f>K4588+J4588+L4588</f>
        <v>42831.7</v>
      </c>
      <c r="J4588" s="456">
        <v>0</v>
      </c>
      <c r="K4588" s="456">
        <v>0</v>
      </c>
      <c r="L4588" s="509">
        <f>D4570+D4572</f>
        <v>42831.7</v>
      </c>
      <c r="M4588" s="501" t="s">
        <v>3743</v>
      </c>
      <c r="N4588" s="501" t="s">
        <v>3416</v>
      </c>
      <c r="Z4588" s="501" t="s">
        <v>3500</v>
      </c>
      <c r="AA4588" s="515">
        <v>3</v>
      </c>
      <c r="AB4588" s="501" t="s">
        <v>3418</v>
      </c>
      <c r="AC4588" s="512">
        <f>1*AA4588</f>
        <v>3</v>
      </c>
      <c r="AD4588" s="500"/>
      <c r="AE4588" s="500"/>
      <c r="AF4588" s="500"/>
      <c r="AG4588" s="500"/>
      <c r="AH4588" s="500"/>
      <c r="AI4588" s="500"/>
      <c r="AJ4588" s="500"/>
      <c r="AK4588" s="500"/>
      <c r="AL4588" s="500"/>
      <c r="AM4588" s="500"/>
      <c r="AN4588" s="500"/>
      <c r="AO4588" s="500"/>
      <c r="AP4588" s="500"/>
    </row>
    <row r="4589" spans="1:42" ht="16.5" customHeight="1">
      <c r="A4589" s="439"/>
      <c r="B4589" s="439"/>
      <c r="C4589" s="439"/>
      <c r="D4589" s="439"/>
      <c r="E4589" s="439"/>
      <c r="F4589" s="439"/>
      <c r="G4589" s="451" t="s">
        <v>3406</v>
      </c>
      <c r="Z4589" s="500"/>
      <c r="AA4589" s="500"/>
      <c r="AB4589" s="500"/>
      <c r="AC4589" s="500"/>
      <c r="AD4589" s="500"/>
      <c r="AE4589" s="500"/>
      <c r="AF4589" s="500"/>
      <c r="AG4589" s="500"/>
      <c r="AH4589" s="500"/>
      <c r="AI4589" s="500"/>
      <c r="AJ4589" s="500"/>
      <c r="AK4589" s="500"/>
      <c r="AL4589" s="500"/>
      <c r="AM4589" s="500"/>
      <c r="AN4589" s="500"/>
      <c r="AO4589" s="500"/>
      <c r="AP4589" s="500"/>
    </row>
    <row r="4590" spans="1:42" ht="16.5" customHeight="1">
      <c r="A4590" s="434"/>
      <c r="B4590" s="437" t="s">
        <v>3419</v>
      </c>
      <c r="C4590" s="513">
        <f>E4590+D4590+F4590</f>
        <v>39846.300000000003</v>
      </c>
      <c r="D4590" s="513">
        <f>SUMIF(N4575:N4589,M4590,D4575:D4589)</f>
        <v>26548.2</v>
      </c>
      <c r="E4590" s="513">
        <f>SUMIF(N4575:N4589,M4590,E4575:E4589)</f>
        <v>2735.4</v>
      </c>
      <c r="F4590" s="513">
        <f>SUMIF(N4575:N4589,M4590,F4575:F4589)</f>
        <v>10562.699999999999</v>
      </c>
      <c r="G4590" s="451" t="s">
        <v>3420</v>
      </c>
      <c r="M4590" s="501" t="s">
        <v>3416</v>
      </c>
      <c r="N4590" s="501" t="s">
        <v>3421</v>
      </c>
      <c r="Z4590" s="500"/>
      <c r="AA4590" s="500"/>
      <c r="AB4590" s="500"/>
      <c r="AC4590" s="500"/>
      <c r="AD4590" s="500"/>
      <c r="AE4590" s="500"/>
      <c r="AF4590" s="500"/>
      <c r="AG4590" s="500"/>
      <c r="AH4590" s="500"/>
      <c r="AI4590" s="500"/>
      <c r="AJ4590" s="500"/>
      <c r="AK4590" s="500"/>
      <c r="AL4590" s="500"/>
      <c r="AM4590" s="500"/>
      <c r="AN4590" s="500"/>
      <c r="AO4590" s="500"/>
      <c r="AP4590" s="500"/>
    </row>
    <row r="4591" spans="1:42" ht="16.5" customHeight="1">
      <c r="A4591" s="439"/>
      <c r="B4591" s="439"/>
      <c r="C4591" s="504"/>
      <c r="D4591" s="504"/>
      <c r="E4591" s="504"/>
      <c r="F4591" s="504"/>
      <c r="G4591" s="451" t="s">
        <v>3406</v>
      </c>
      <c r="Z4591" s="500"/>
      <c r="AA4591" s="500"/>
      <c r="AB4591" s="500"/>
      <c r="AC4591" s="500"/>
      <c r="AD4591" s="500"/>
      <c r="AE4591" s="500"/>
      <c r="AF4591" s="500"/>
      <c r="AG4591" s="500"/>
      <c r="AH4591" s="500"/>
      <c r="AI4591" s="500"/>
      <c r="AJ4591" s="500"/>
      <c r="AK4591" s="500"/>
      <c r="AL4591" s="500"/>
      <c r="AM4591" s="500"/>
      <c r="AN4591" s="500"/>
      <c r="AO4591" s="500"/>
      <c r="AP4591" s="500"/>
    </row>
    <row r="4592" spans="1:42" ht="16.5" customHeight="1">
      <c r="A4592" s="439"/>
      <c r="B4592" s="439"/>
      <c r="C4592" s="439"/>
      <c r="D4592" s="439"/>
      <c r="E4592" s="439"/>
      <c r="F4592" s="439"/>
      <c r="G4592" s="451" t="s">
        <v>3406</v>
      </c>
      <c r="Z4592" s="500"/>
      <c r="AA4592" s="500"/>
      <c r="AB4592" s="500"/>
      <c r="AC4592" s="500"/>
      <c r="AD4592" s="500"/>
      <c r="AE4592" s="500"/>
      <c r="AF4592" s="500"/>
      <c r="AG4592" s="500"/>
      <c r="AH4592" s="500"/>
      <c r="AI4592" s="500"/>
      <c r="AJ4592" s="500"/>
      <c r="AK4592" s="500"/>
      <c r="AL4592" s="500"/>
      <c r="AM4592" s="500"/>
      <c r="AN4592" s="500"/>
      <c r="AO4592" s="500"/>
      <c r="AP4592" s="500"/>
    </row>
    <row r="4593" spans="1:42" ht="16.5" customHeight="1">
      <c r="A4593" s="434"/>
      <c r="B4593" s="437" t="s">
        <v>3440</v>
      </c>
      <c r="C4593" s="513">
        <f>E4593+D4593+F4593</f>
        <v>82677.999999999985</v>
      </c>
      <c r="D4593" s="513">
        <f>SUMIF(N4557:N4592,M4593,D4557:D4592)</f>
        <v>69379.899999999994</v>
      </c>
      <c r="E4593" s="513">
        <f>SUMIF(N4557:N4592,M4593,E4557:E4592)</f>
        <v>2735.4</v>
      </c>
      <c r="F4593" s="513">
        <f>SUMIF(N4557:N4592,M4593,F4557:F4592)</f>
        <v>10562.699999999999</v>
      </c>
      <c r="G4593" s="451" t="s">
        <v>3484</v>
      </c>
      <c r="M4593" s="501" t="s">
        <v>3421</v>
      </c>
      <c r="N4593" s="501" t="s">
        <v>2354</v>
      </c>
      <c r="Z4593" s="500"/>
      <c r="AA4593" s="500"/>
      <c r="AB4593" s="500"/>
      <c r="AC4593" s="500"/>
      <c r="AD4593" s="500"/>
      <c r="AE4593" s="500"/>
      <c r="AF4593" s="500"/>
      <c r="AG4593" s="500"/>
      <c r="AH4593" s="500"/>
      <c r="AI4593" s="500"/>
      <c r="AJ4593" s="500"/>
      <c r="AK4593" s="500"/>
      <c r="AL4593" s="500"/>
      <c r="AM4593" s="500"/>
      <c r="AN4593" s="500"/>
      <c r="AO4593" s="500"/>
      <c r="AP4593" s="500"/>
    </row>
    <row r="4594" spans="1:42" ht="16.5" customHeight="1">
      <c r="A4594" s="439"/>
      <c r="B4594" s="439"/>
      <c r="C4594" s="504"/>
      <c r="D4594" s="504"/>
      <c r="E4594" s="504"/>
      <c r="F4594" s="504"/>
      <c r="Z4594" s="500"/>
      <c r="AA4594" s="500"/>
      <c r="AB4594" s="500"/>
      <c r="AC4594" s="500"/>
      <c r="AD4594" s="500"/>
      <c r="AE4594" s="500"/>
      <c r="AF4594" s="500"/>
      <c r="AG4594" s="500"/>
      <c r="AH4594" s="500"/>
      <c r="AI4594" s="500"/>
      <c r="AJ4594" s="500"/>
      <c r="AK4594" s="500"/>
      <c r="AL4594" s="500"/>
      <c r="AM4594" s="500"/>
      <c r="AN4594" s="500"/>
      <c r="AO4594" s="500"/>
      <c r="AP4594" s="500"/>
    </row>
    <row r="4595" spans="1:42" ht="16.5" customHeight="1">
      <c r="A4595" s="439"/>
      <c r="B4595" s="439"/>
      <c r="C4595" s="439"/>
      <c r="D4595" s="439"/>
      <c r="E4595" s="439"/>
      <c r="F4595" s="439"/>
      <c r="Z4595" s="500"/>
      <c r="AA4595" s="500"/>
      <c r="AB4595" s="500"/>
      <c r="AC4595" s="500"/>
      <c r="AD4595" s="500"/>
      <c r="AE4595" s="500"/>
      <c r="AF4595" s="500"/>
      <c r="AG4595" s="500"/>
      <c r="AH4595" s="500"/>
      <c r="AI4595" s="500"/>
      <c r="AJ4595" s="500"/>
      <c r="AK4595" s="500"/>
      <c r="AL4595" s="500"/>
      <c r="AM4595" s="500"/>
      <c r="AN4595" s="500"/>
      <c r="AO4595" s="500"/>
      <c r="AP4595" s="500"/>
    </row>
    <row r="4596" spans="1:42" ht="16.5" customHeight="1">
      <c r="A4596" s="439"/>
      <c r="B4596" s="439"/>
      <c r="C4596" s="439"/>
      <c r="D4596" s="439"/>
      <c r="E4596" s="439"/>
      <c r="F4596" s="439"/>
      <c r="Z4596" s="500"/>
      <c r="AA4596" s="500"/>
      <c r="AB4596" s="500"/>
      <c r="AC4596" s="500"/>
      <c r="AD4596" s="500"/>
      <c r="AE4596" s="500"/>
      <c r="AF4596" s="500"/>
      <c r="AG4596" s="500"/>
      <c r="AH4596" s="500"/>
      <c r="AI4596" s="500"/>
      <c r="AJ4596" s="500"/>
      <c r="AK4596" s="500"/>
      <c r="AL4596" s="500"/>
      <c r="AM4596" s="500"/>
      <c r="AN4596" s="500"/>
      <c r="AO4596" s="500"/>
      <c r="AP4596" s="500"/>
    </row>
    <row r="4597" spans="1:42" ht="16.5" customHeight="1">
      <c r="A4597" s="439"/>
      <c r="B4597" s="439"/>
      <c r="C4597" s="439"/>
      <c r="D4597" s="439"/>
      <c r="E4597" s="439"/>
      <c r="F4597" s="439"/>
      <c r="Z4597" s="500"/>
      <c r="AA4597" s="500"/>
      <c r="AB4597" s="500"/>
      <c r="AC4597" s="500"/>
      <c r="AD4597" s="500"/>
      <c r="AE4597" s="500"/>
      <c r="AF4597" s="500"/>
      <c r="AG4597" s="500"/>
      <c r="AH4597" s="500"/>
      <c r="AI4597" s="500"/>
      <c r="AJ4597" s="500"/>
      <c r="AK4597" s="500"/>
      <c r="AL4597" s="500"/>
      <c r="AM4597" s="500"/>
      <c r="AN4597" s="500"/>
      <c r="AO4597" s="500"/>
      <c r="AP4597" s="500"/>
    </row>
    <row r="4598" spans="1:42" ht="16.5" customHeight="1">
      <c r="A4598" s="439"/>
      <c r="B4598" s="439"/>
      <c r="C4598" s="439"/>
      <c r="D4598" s="439"/>
      <c r="E4598" s="439"/>
      <c r="F4598" s="439"/>
      <c r="Z4598" s="500"/>
      <c r="AA4598" s="500"/>
      <c r="AB4598" s="500"/>
      <c r="AC4598" s="500"/>
      <c r="AD4598" s="500"/>
      <c r="AE4598" s="500"/>
      <c r="AF4598" s="500"/>
      <c r="AG4598" s="500"/>
      <c r="AH4598" s="500"/>
      <c r="AI4598" s="500"/>
      <c r="AJ4598" s="500"/>
      <c r="AK4598" s="500"/>
      <c r="AL4598" s="500"/>
      <c r="AM4598" s="500"/>
      <c r="AN4598" s="500"/>
      <c r="AO4598" s="500"/>
      <c r="AP4598" s="500"/>
    </row>
    <row r="4599" spans="1:42" ht="16.5" customHeight="1">
      <c r="A4599" s="439"/>
      <c r="B4599" s="439"/>
      <c r="C4599" s="439"/>
      <c r="D4599" s="439"/>
      <c r="E4599" s="439"/>
      <c r="F4599" s="439"/>
      <c r="Z4599" s="500"/>
      <c r="AA4599" s="500"/>
      <c r="AB4599" s="500"/>
      <c r="AC4599" s="500"/>
      <c r="AD4599" s="500"/>
      <c r="AE4599" s="500"/>
      <c r="AF4599" s="500"/>
      <c r="AG4599" s="500"/>
      <c r="AH4599" s="500"/>
      <c r="AI4599" s="500"/>
      <c r="AJ4599" s="500"/>
      <c r="AK4599" s="500"/>
      <c r="AL4599" s="500"/>
      <c r="AM4599" s="500"/>
      <c r="AN4599" s="500"/>
      <c r="AO4599" s="500"/>
      <c r="AP4599" s="500"/>
    </row>
    <row r="4600" spans="1:42" ht="16.5" customHeight="1">
      <c r="A4600" s="439"/>
      <c r="B4600" s="439"/>
      <c r="C4600" s="439"/>
      <c r="D4600" s="439"/>
      <c r="E4600" s="439"/>
      <c r="F4600" s="439"/>
      <c r="Z4600" s="500"/>
      <c r="AA4600" s="500"/>
      <c r="AB4600" s="500"/>
      <c r="AC4600" s="500"/>
      <c r="AD4600" s="500"/>
      <c r="AE4600" s="500"/>
      <c r="AF4600" s="500"/>
      <c r="AG4600" s="500"/>
      <c r="AH4600" s="500"/>
      <c r="AI4600" s="500"/>
      <c r="AJ4600" s="500"/>
      <c r="AK4600" s="500"/>
      <c r="AL4600" s="500"/>
      <c r="AM4600" s="500"/>
      <c r="AN4600" s="500"/>
      <c r="AO4600" s="500"/>
      <c r="AP4600" s="500"/>
    </row>
    <row r="4601" spans="1:42" ht="16.5" customHeight="1">
      <c r="A4601" s="439"/>
      <c r="B4601" s="439"/>
      <c r="C4601" s="439"/>
      <c r="D4601" s="439"/>
      <c r="E4601" s="439"/>
      <c r="F4601" s="439"/>
      <c r="Z4601" s="500"/>
      <c r="AA4601" s="500"/>
      <c r="AB4601" s="500"/>
      <c r="AC4601" s="500"/>
      <c r="AD4601" s="500"/>
      <c r="AE4601" s="500"/>
      <c r="AF4601" s="500"/>
      <c r="AG4601" s="500"/>
      <c r="AH4601" s="500"/>
      <c r="AI4601" s="500"/>
      <c r="AJ4601" s="500"/>
      <c r="AK4601" s="500"/>
      <c r="AL4601" s="500"/>
      <c r="AM4601" s="500"/>
      <c r="AN4601" s="500"/>
      <c r="AO4601" s="500"/>
      <c r="AP4601" s="500"/>
    </row>
    <row r="4602" spans="1:42" ht="16.5" customHeight="1">
      <c r="A4602" s="439"/>
      <c r="B4602" s="439"/>
      <c r="C4602" s="439"/>
      <c r="D4602" s="439"/>
      <c r="E4602" s="439"/>
      <c r="F4602" s="439"/>
      <c r="Z4602" s="500"/>
      <c r="AA4602" s="500"/>
      <c r="AB4602" s="500"/>
      <c r="AC4602" s="500"/>
      <c r="AD4602" s="500"/>
      <c r="AE4602" s="500"/>
      <c r="AF4602" s="500"/>
      <c r="AG4602" s="500"/>
      <c r="AH4602" s="500"/>
      <c r="AI4602" s="500"/>
      <c r="AJ4602" s="500"/>
      <c r="AK4602" s="500"/>
      <c r="AL4602" s="500"/>
      <c r="AM4602" s="500"/>
      <c r="AN4602" s="500"/>
      <c r="AO4602" s="500"/>
      <c r="AP4602" s="500"/>
    </row>
    <row r="4603" spans="1:42" ht="16.5" customHeight="1">
      <c r="A4603" s="497"/>
      <c r="B4603" s="497"/>
      <c r="C4603" s="497"/>
      <c r="D4603" s="497"/>
      <c r="E4603" s="497"/>
      <c r="F4603" s="497"/>
      <c r="Z4603" s="500"/>
      <c r="AA4603" s="500"/>
      <c r="AB4603" s="500"/>
      <c r="AC4603" s="500"/>
      <c r="AD4603" s="500"/>
      <c r="AE4603" s="500"/>
      <c r="AF4603" s="500"/>
      <c r="AG4603" s="500"/>
      <c r="AH4603" s="500"/>
      <c r="AI4603" s="500"/>
      <c r="AJ4603" s="500"/>
      <c r="AK4603" s="500"/>
      <c r="AL4603" s="500"/>
      <c r="AM4603" s="500"/>
      <c r="AN4603" s="500"/>
      <c r="AO4603" s="500"/>
      <c r="AP4603" s="500"/>
    </row>
    <row r="4604" spans="1:42" ht="16.5" customHeight="1">
      <c r="A4604" s="616" t="s">
        <v>3487</v>
      </c>
      <c r="B4604" s="605"/>
      <c r="C4604" s="446">
        <f>E4604+D4604+F4604</f>
        <v>82676</v>
      </c>
      <c r="D4604" s="453">
        <f>ROUNDDOWN(SUMIF(N4557:N4593,M4604,D4557:D4593),0)</f>
        <v>69379</v>
      </c>
      <c r="E4604" s="454">
        <f>ROUNDDOWN(SUMIF(N4557:N4593,M4604,E4557:E4593),0)</f>
        <v>2735</v>
      </c>
      <c r="F4604" s="446">
        <f>ROUNDDOWN(SUMIF(N4557:N4593,M4604,F4557:F4593),0)</f>
        <v>10562</v>
      </c>
      <c r="M4604" s="501" t="s">
        <v>2354</v>
      </c>
      <c r="Z4604" s="500"/>
      <c r="AA4604" s="500"/>
      <c r="AB4604" s="500"/>
      <c r="AC4604" s="500"/>
      <c r="AD4604" s="500"/>
      <c r="AE4604" s="500"/>
      <c r="AF4604" s="500"/>
      <c r="AG4604" s="500"/>
      <c r="AH4604" s="500"/>
      <c r="AI4604" s="500"/>
      <c r="AJ4604" s="500"/>
      <c r="AK4604" s="500"/>
      <c r="AL4604" s="500"/>
      <c r="AM4604" s="500"/>
      <c r="AN4604" s="500"/>
      <c r="AO4604" s="500"/>
      <c r="AP4604" s="500"/>
    </row>
    <row r="4605" spans="1:42" ht="16.5" customHeight="1">
      <c r="A4605" s="502" t="s">
        <v>3371</v>
      </c>
      <c r="B4605" s="503" t="s">
        <v>1990</v>
      </c>
      <c r="C4605" s="615">
        <f>C4654</f>
        <v>124017</v>
      </c>
      <c r="D4605" s="615">
        <f>D4654</f>
        <v>104070</v>
      </c>
      <c r="E4605" s="615">
        <f>E4654</f>
        <v>4103</v>
      </c>
      <c r="F4605" s="615">
        <f>F4654</f>
        <v>15844</v>
      </c>
      <c r="G4605" s="486" t="str">
        <f>HYPERLINK("#G"&amp;ROW(G4643),"_x0005_`BDCOD|D01288_x0007_`POSS|"&amp;ROW(G4607)&amp;"_x0007_`POSE|"&amp;ROW(G4643)&amp;"_x0007_`")</f>
        <v>_x0005_`BDCOD|D01288_x0007_`POSS|4607_x0007_`POSE|4643_x0007_`</v>
      </c>
      <c r="Z4605" s="500"/>
      <c r="AA4605" s="500"/>
      <c r="AB4605" s="500"/>
      <c r="AC4605" s="500"/>
      <c r="AD4605" s="500"/>
      <c r="AE4605" s="500"/>
      <c r="AF4605" s="500"/>
      <c r="AG4605" s="500"/>
      <c r="AH4605" s="500"/>
      <c r="AI4605" s="500"/>
      <c r="AJ4605" s="500"/>
      <c r="AK4605" s="500"/>
      <c r="AL4605" s="500"/>
      <c r="AM4605" s="500"/>
      <c r="AN4605" s="500"/>
      <c r="AO4605" s="500"/>
      <c r="AP4605" s="500"/>
    </row>
    <row r="4606" spans="1:42" ht="16.5" customHeight="1">
      <c r="A4606" s="485"/>
      <c r="B4606" s="503" t="s">
        <v>3944</v>
      </c>
      <c r="C4606" s="593"/>
      <c r="D4606" s="593"/>
      <c r="E4606" s="593"/>
      <c r="F4606" s="593"/>
      <c r="M4606" s="501" t="s">
        <v>1990</v>
      </c>
      <c r="Z4606" s="500"/>
      <c r="AA4606" s="500"/>
      <c r="AB4606" s="500"/>
      <c r="AC4606" s="500"/>
      <c r="AD4606" s="500"/>
      <c r="AE4606" s="500"/>
      <c r="AF4606" s="500"/>
      <c r="AG4606" s="500"/>
      <c r="AH4606" s="500"/>
      <c r="AI4606" s="500"/>
      <c r="AJ4606" s="500"/>
      <c r="AK4606" s="500"/>
      <c r="AL4606" s="500"/>
      <c r="AM4606" s="500"/>
      <c r="AN4606" s="500"/>
      <c r="AO4606" s="500"/>
      <c r="AP4606" s="500"/>
    </row>
    <row r="4607" spans="1:42" ht="16.5" customHeight="1">
      <c r="A4607" s="439"/>
      <c r="B4607" s="439"/>
      <c r="C4607" s="504"/>
      <c r="D4607" s="504"/>
      <c r="E4607" s="504"/>
      <c r="F4607" s="504"/>
      <c r="G4607" s="451" t="s">
        <v>3406</v>
      </c>
      <c r="Z4607" s="500"/>
      <c r="AA4607" s="500"/>
      <c r="AB4607" s="500"/>
      <c r="AC4607" s="500"/>
      <c r="AD4607" s="500"/>
      <c r="AE4607" s="500"/>
      <c r="AF4607" s="500"/>
      <c r="AG4607" s="500"/>
      <c r="AH4607" s="500"/>
      <c r="AI4607" s="500"/>
      <c r="AJ4607" s="500"/>
      <c r="AK4607" s="500"/>
      <c r="AL4607" s="500"/>
      <c r="AM4607" s="500"/>
      <c r="AN4607" s="500"/>
      <c r="AO4607" s="500"/>
      <c r="AP4607" s="500"/>
    </row>
    <row r="4608" spans="1:42" ht="16.5" customHeight="1">
      <c r="A4608" s="434"/>
      <c r="B4608" s="437" t="s">
        <v>3945</v>
      </c>
      <c r="C4608" s="439"/>
      <c r="D4608" s="439"/>
      <c r="E4608" s="439"/>
      <c r="F4608" s="439"/>
      <c r="G4608" s="451" t="s">
        <v>3946</v>
      </c>
      <c r="Z4608" s="500"/>
      <c r="AA4608" s="500"/>
      <c r="AB4608" s="500"/>
      <c r="AC4608" s="500"/>
      <c r="AD4608" s="500"/>
      <c r="AE4608" s="500"/>
      <c r="AF4608" s="500"/>
      <c r="AG4608" s="500"/>
      <c r="AH4608" s="500"/>
      <c r="AI4608" s="500"/>
      <c r="AJ4608" s="500"/>
      <c r="AK4608" s="500"/>
      <c r="AL4608" s="500"/>
      <c r="AM4608" s="500"/>
      <c r="AN4608" s="500"/>
      <c r="AO4608" s="500"/>
      <c r="AP4608" s="500"/>
    </row>
    <row r="4609" spans="1:42" ht="16.5" customHeight="1">
      <c r="A4609" s="439"/>
      <c r="B4609" s="439"/>
      <c r="C4609" s="439"/>
      <c r="D4609" s="439"/>
      <c r="E4609" s="439"/>
      <c r="F4609" s="439"/>
      <c r="G4609" s="451" t="s">
        <v>3406</v>
      </c>
      <c r="Z4609" s="500"/>
      <c r="AA4609" s="500"/>
      <c r="AB4609" s="500"/>
      <c r="AC4609" s="500"/>
      <c r="AD4609" s="500"/>
      <c r="AE4609" s="500"/>
      <c r="AF4609" s="500"/>
      <c r="AG4609" s="500"/>
      <c r="AH4609" s="500"/>
      <c r="AI4609" s="500"/>
      <c r="AJ4609" s="500"/>
      <c r="AK4609" s="500"/>
      <c r="AL4609" s="500"/>
      <c r="AM4609" s="500"/>
      <c r="AN4609" s="500"/>
      <c r="AO4609" s="500"/>
      <c r="AP4609" s="500"/>
    </row>
    <row r="4610" spans="1:42" ht="16.5" customHeight="1">
      <c r="A4610" s="434"/>
      <c r="B4610" s="437" t="s">
        <v>3907</v>
      </c>
      <c r="C4610" s="439"/>
      <c r="D4610" s="439"/>
      <c r="E4610" s="439"/>
      <c r="F4610" s="439"/>
      <c r="G4610" s="451" t="s">
        <v>3908</v>
      </c>
      <c r="Z4610" s="500"/>
      <c r="AA4610" s="500"/>
      <c r="AB4610" s="500"/>
      <c r="AC4610" s="500"/>
      <c r="AD4610" s="500"/>
      <c r="AE4610" s="500"/>
      <c r="AF4610" s="500"/>
      <c r="AG4610" s="500"/>
      <c r="AH4610" s="500"/>
      <c r="AI4610" s="500"/>
      <c r="AJ4610" s="500"/>
      <c r="AK4610" s="500"/>
      <c r="AL4610" s="500"/>
      <c r="AM4610" s="500"/>
      <c r="AN4610" s="500"/>
      <c r="AO4610" s="500"/>
      <c r="AP4610" s="500"/>
    </row>
    <row r="4611" spans="1:42" ht="16.5" customHeight="1">
      <c r="A4611" s="439"/>
      <c r="B4611" s="439"/>
      <c r="C4611" s="439"/>
      <c r="D4611" s="439"/>
      <c r="E4611" s="439"/>
      <c r="F4611" s="439"/>
      <c r="G4611" s="451" t="s">
        <v>3406</v>
      </c>
      <c r="Z4611" s="500"/>
      <c r="AA4611" s="500"/>
      <c r="AB4611" s="500"/>
      <c r="AC4611" s="500"/>
      <c r="AD4611" s="500"/>
      <c r="AE4611" s="500"/>
      <c r="AF4611" s="500"/>
      <c r="AG4611" s="500"/>
      <c r="AH4611" s="500"/>
      <c r="AI4611" s="500"/>
      <c r="AJ4611" s="500"/>
      <c r="AK4611" s="500"/>
      <c r="AL4611" s="500"/>
      <c r="AM4611" s="500"/>
      <c r="AN4611" s="500"/>
      <c r="AO4611" s="500"/>
      <c r="AP4611" s="500"/>
    </row>
    <row r="4612" spans="1:42" ht="16.5" customHeight="1">
      <c r="A4612" s="439"/>
      <c r="B4612" s="439"/>
      <c r="C4612" s="439"/>
      <c r="D4612" s="439"/>
      <c r="E4612" s="439"/>
      <c r="F4612" s="439"/>
      <c r="G4612" s="451" t="s">
        <v>3406</v>
      </c>
      <c r="Z4612" s="500"/>
      <c r="AA4612" s="500"/>
      <c r="AB4612" s="500"/>
      <c r="AC4612" s="500"/>
      <c r="AD4612" s="500"/>
      <c r="AE4612" s="500"/>
      <c r="AF4612" s="500"/>
      <c r="AG4612" s="500"/>
      <c r="AH4612" s="500"/>
      <c r="AI4612" s="500"/>
      <c r="AJ4612" s="500"/>
      <c r="AK4612" s="500"/>
      <c r="AL4612" s="500"/>
      <c r="AM4612" s="500"/>
      <c r="AN4612" s="500"/>
      <c r="AO4612" s="500"/>
      <c r="AP4612" s="500"/>
    </row>
    <row r="4613" spans="1:42" ht="16.5" customHeight="1">
      <c r="A4613" s="434"/>
      <c r="B4613" s="437" t="str">
        <f>" 일당 작업량 :  Q = "&amp;Z4613&amp;" 주 "</f>
        <v xml:space="preserve"> 일당 작업량 :  Q = 10 주 </v>
      </c>
      <c r="C4613" s="439"/>
      <c r="D4613" s="439"/>
      <c r="E4613" s="439"/>
      <c r="F4613" s="439"/>
      <c r="G4613" s="451" t="s">
        <v>3947</v>
      </c>
      <c r="Z4613" s="515">
        <v>10</v>
      </c>
      <c r="AA4613" s="501" t="s">
        <v>3418</v>
      </c>
      <c r="AB4613" s="512">
        <f>Z4613</f>
        <v>10</v>
      </c>
      <c r="AC4613" s="500"/>
      <c r="AD4613" s="500"/>
      <c r="AE4613" s="500"/>
      <c r="AF4613" s="500"/>
      <c r="AG4613" s="500"/>
      <c r="AH4613" s="500"/>
      <c r="AI4613" s="500"/>
      <c r="AJ4613" s="500"/>
      <c r="AK4613" s="500"/>
      <c r="AL4613" s="500"/>
      <c r="AM4613" s="500"/>
      <c r="AN4613" s="500"/>
      <c r="AO4613" s="500"/>
      <c r="AP4613" s="500"/>
    </row>
    <row r="4614" spans="1:42" ht="16.5" customHeight="1">
      <c r="A4614" s="439"/>
      <c r="B4614" s="439"/>
      <c r="C4614" s="439"/>
      <c r="D4614" s="439"/>
      <c r="E4614" s="439"/>
      <c r="F4614" s="439"/>
      <c r="G4614" s="451" t="s">
        <v>3406</v>
      </c>
      <c r="Z4614" s="500"/>
      <c r="AA4614" s="500"/>
      <c r="AB4614" s="500"/>
      <c r="AC4614" s="500"/>
      <c r="AD4614" s="500"/>
      <c r="AE4614" s="500"/>
      <c r="AF4614" s="500"/>
      <c r="AG4614" s="500"/>
      <c r="AH4614" s="500"/>
      <c r="AI4614" s="500"/>
      <c r="AJ4614" s="500"/>
      <c r="AK4614" s="500"/>
      <c r="AL4614" s="500"/>
      <c r="AM4614" s="500"/>
      <c r="AN4614" s="500"/>
      <c r="AO4614" s="500"/>
      <c r="AP4614" s="500"/>
    </row>
    <row r="4615" spans="1:42" ht="16.5" customHeight="1">
      <c r="A4615" s="434"/>
      <c r="B4615" s="437" t="s">
        <v>3910</v>
      </c>
      <c r="C4615" s="439"/>
      <c r="D4615" s="439"/>
      <c r="E4615" s="439"/>
      <c r="F4615" s="439"/>
      <c r="G4615" s="451" t="s">
        <v>3911</v>
      </c>
      <c r="Z4615" s="500"/>
      <c r="AA4615" s="500"/>
      <c r="AB4615" s="500"/>
      <c r="AC4615" s="500"/>
      <c r="AD4615" s="500"/>
      <c r="AE4615" s="500"/>
      <c r="AF4615" s="500"/>
      <c r="AG4615" s="500"/>
      <c r="AH4615" s="500"/>
      <c r="AI4615" s="500"/>
      <c r="AJ4615" s="500"/>
      <c r="AK4615" s="500"/>
      <c r="AL4615" s="500"/>
      <c r="AM4615" s="500"/>
      <c r="AN4615" s="500"/>
      <c r="AO4615" s="500"/>
      <c r="AP4615" s="500"/>
    </row>
    <row r="4616" spans="1:42" ht="16.5" customHeight="1">
      <c r="A4616" s="439"/>
      <c r="B4616" s="439"/>
      <c r="C4616" s="439"/>
      <c r="D4616" s="439"/>
      <c r="E4616" s="439"/>
      <c r="F4616" s="439"/>
      <c r="G4616" s="451" t="s">
        <v>3406</v>
      </c>
      <c r="Z4616" s="500"/>
      <c r="AA4616" s="500"/>
      <c r="AB4616" s="500"/>
      <c r="AC4616" s="500"/>
      <c r="AD4616" s="500"/>
      <c r="AE4616" s="500"/>
      <c r="AF4616" s="500"/>
      <c r="AG4616" s="500"/>
      <c r="AH4616" s="500"/>
      <c r="AI4616" s="500"/>
      <c r="AJ4616" s="500"/>
      <c r="AK4616" s="500"/>
      <c r="AL4616" s="500"/>
      <c r="AM4616" s="500"/>
      <c r="AN4616" s="500"/>
      <c r="AO4616" s="500"/>
      <c r="AP4616" s="500"/>
    </row>
    <row r="4617" spans="1:42" ht="16.5" customHeight="1">
      <c r="A4617" s="439"/>
      <c r="B4617" s="439"/>
      <c r="C4617" s="439"/>
      <c r="D4617" s="439"/>
      <c r="E4617" s="439"/>
      <c r="F4617" s="439"/>
      <c r="G4617" s="451" t="s">
        <v>3406</v>
      </c>
      <c r="Z4617" s="500"/>
      <c r="AA4617" s="500"/>
      <c r="AB4617" s="500"/>
      <c r="AC4617" s="500"/>
      <c r="AD4617" s="500"/>
      <c r="AE4617" s="500"/>
      <c r="AF4617" s="500"/>
      <c r="AG4617" s="500"/>
      <c r="AH4617" s="500"/>
      <c r="AI4617" s="500"/>
      <c r="AJ4617" s="500"/>
      <c r="AK4617" s="500"/>
      <c r="AL4617" s="500"/>
      <c r="AM4617" s="500"/>
      <c r="AN4617" s="500"/>
      <c r="AO4617" s="500"/>
      <c r="AP4617" s="500"/>
    </row>
    <row r="4618" spans="1:42" ht="16.5" customHeight="1">
      <c r="A4618" s="434"/>
      <c r="B4618" s="437" t="s">
        <v>3496</v>
      </c>
      <c r="C4618" s="439"/>
      <c r="D4618" s="439"/>
      <c r="E4618" s="439"/>
      <c r="F4618" s="439"/>
      <c r="G4618" s="451" t="s">
        <v>3497</v>
      </c>
      <c r="Z4618" s="500"/>
      <c r="AA4618" s="500"/>
      <c r="AB4618" s="500"/>
      <c r="AC4618" s="500"/>
      <c r="AD4618" s="500"/>
      <c r="AE4618" s="500"/>
      <c r="AF4618" s="500"/>
      <c r="AG4618" s="500"/>
      <c r="AH4618" s="500"/>
      <c r="AI4618" s="500"/>
      <c r="AJ4618" s="500"/>
      <c r="AK4618" s="500"/>
      <c r="AL4618" s="500"/>
      <c r="AM4618" s="500"/>
      <c r="AN4618" s="500"/>
      <c r="AO4618" s="500"/>
      <c r="AP4618" s="500"/>
    </row>
    <row r="4619" spans="1:42" ht="16.5" customHeight="1">
      <c r="A4619" s="439"/>
      <c r="B4619" s="439"/>
      <c r="C4619" s="439"/>
      <c r="D4619" s="439"/>
      <c r="E4619" s="439"/>
      <c r="F4619" s="439"/>
      <c r="G4619" s="451" t="s">
        <v>3406</v>
      </c>
      <c r="Z4619" s="500"/>
      <c r="AA4619" s="500"/>
      <c r="AB4619" s="500"/>
      <c r="AC4619" s="500"/>
      <c r="AD4619" s="500"/>
      <c r="AE4619" s="500"/>
      <c r="AF4619" s="500"/>
      <c r="AG4619" s="500"/>
      <c r="AH4619" s="500"/>
      <c r="AI4619" s="500"/>
      <c r="AJ4619" s="500"/>
      <c r="AK4619" s="500"/>
      <c r="AL4619" s="500"/>
      <c r="AM4619" s="500"/>
      <c r="AN4619" s="500"/>
      <c r="AO4619" s="500"/>
      <c r="AP4619" s="500"/>
    </row>
    <row r="4620" spans="1:42" ht="16.5" customHeight="1">
      <c r="A4620" s="434" t="s">
        <v>3498</v>
      </c>
      <c r="B4620" s="505" t="str">
        <f>" 조 경 공 : "&amp;TEXT(I4620,"#,##0"&amp;IF(I4620&lt;&gt;INT(I4620),".###",""))&amp;" * "&amp;AA4620&amp;" 인  / Q = "&amp;TEXT(C4620,"#,##0.0")&amp;" "</f>
        <v xml:space="preserve"> 조 경 공 : 235,204 * 2 인  / Q = 47,040.8 </v>
      </c>
      <c r="C4620" s="506">
        <f>E4620+D4620+F4620</f>
        <v>47040.800000000003</v>
      </c>
      <c r="D4620" s="506">
        <f>IF(H4620=0,0,ROUNDDOWN(J4620*H4620,1))</f>
        <v>47040.800000000003</v>
      </c>
      <c r="E4620" s="506">
        <f>IF(H4620=0,0,ROUNDDOWN(K4620*H4620,1))</f>
        <v>0</v>
      </c>
      <c r="F4620" s="506">
        <f>IF(H4620=0,0,ROUNDDOWN(L4620*H4620,1))</f>
        <v>0</v>
      </c>
      <c r="G4620" s="451" t="s">
        <v>3912</v>
      </c>
      <c r="H4620" s="507">
        <f>ROUNDUP(AE4620,14-LEN(ABS(INT(AE4620))))</f>
        <v>0.2</v>
      </c>
      <c r="I4620" s="508">
        <f>K4620+J4620+L4620</f>
        <v>235204</v>
      </c>
      <c r="J4620" s="509">
        <f>노무비목록표!E15</f>
        <v>235204</v>
      </c>
      <c r="M4620" s="501" t="s">
        <v>2359</v>
      </c>
      <c r="N4620" s="501" t="s">
        <v>3416</v>
      </c>
      <c r="O4620" s="501" t="s">
        <v>2355</v>
      </c>
      <c r="X4620" s="510" t="str">
        <f>노무비목록표!B15&amp;" / "&amp;노무비목록표!C15</f>
        <v xml:space="preserve">조경공 / </v>
      </c>
      <c r="Y4620" s="433" t="str">
        <f ca="1">HYPERLINK("#"&amp;노무비목록표!G2&amp;"!A"&amp;ROW(노무비목록표!A15),"L00184 →")</f>
        <v>L00184 →</v>
      </c>
      <c r="Z4620" s="501" t="s">
        <v>3500</v>
      </c>
      <c r="AA4620" s="515">
        <v>2</v>
      </c>
      <c r="AB4620" s="501" t="s">
        <v>3428</v>
      </c>
      <c r="AC4620" s="512">
        <f>AB4613</f>
        <v>10</v>
      </c>
      <c r="AD4620" s="501" t="s">
        <v>3418</v>
      </c>
      <c r="AE4620" s="512">
        <f>1*AA4620/AB4613</f>
        <v>0.2</v>
      </c>
      <c r="AF4620" s="500"/>
      <c r="AG4620" s="500"/>
      <c r="AH4620" s="500"/>
      <c r="AI4620" s="500"/>
      <c r="AJ4620" s="500"/>
      <c r="AK4620" s="500"/>
      <c r="AL4620" s="500"/>
      <c r="AM4620" s="500"/>
      <c r="AN4620" s="500"/>
      <c r="AO4620" s="500"/>
      <c r="AP4620" s="500"/>
    </row>
    <row r="4621" spans="1:42" ht="16.5" customHeight="1">
      <c r="A4621" s="439"/>
      <c r="B4621" s="439"/>
      <c r="C4621" s="439"/>
      <c r="D4621" s="439"/>
      <c r="E4621" s="439"/>
      <c r="F4621" s="439"/>
      <c r="G4621" s="451" t="s">
        <v>3406</v>
      </c>
      <c r="Z4621" s="500"/>
      <c r="AA4621" s="500"/>
      <c r="AB4621" s="500"/>
      <c r="AC4621" s="500"/>
      <c r="AD4621" s="500"/>
      <c r="AE4621" s="500"/>
      <c r="AF4621" s="500"/>
      <c r="AG4621" s="500"/>
      <c r="AH4621" s="500"/>
      <c r="AI4621" s="500"/>
      <c r="AJ4621" s="500"/>
      <c r="AK4621" s="500"/>
      <c r="AL4621" s="500"/>
      <c r="AM4621" s="500"/>
      <c r="AN4621" s="500"/>
      <c r="AO4621" s="500"/>
      <c r="AP4621" s="500"/>
    </row>
    <row r="4622" spans="1:42" ht="16.5" customHeight="1">
      <c r="A4622" s="434" t="s">
        <v>3414</v>
      </c>
      <c r="B4622" s="505" t="str">
        <f>" 보통인부 : "&amp;TEXT(I4622,"#,##0"&amp;IF(I4622&lt;&gt;INT(I4622),".###",""))&amp;" * "&amp;AA4622&amp;" 인  / Q = "&amp;TEXT(C4622,"#,##0.0")&amp;" "</f>
        <v xml:space="preserve"> 보통인부 : 172,068 * 1 인  / Q = 17,206.8 </v>
      </c>
      <c r="C4622" s="506">
        <f>E4622+D4622+F4622</f>
        <v>17206.8</v>
      </c>
      <c r="D4622" s="506">
        <f>IF(H4622=0,0,ROUNDDOWN(J4622*H4622,1))</f>
        <v>17206.8</v>
      </c>
      <c r="E4622" s="506">
        <f>IF(H4622=0,0,ROUNDDOWN(K4622*H4622,1))</f>
        <v>0</v>
      </c>
      <c r="F4622" s="506">
        <f>IF(H4622=0,0,ROUNDDOWN(L4622*H4622,1))</f>
        <v>0</v>
      </c>
      <c r="G4622" s="451" t="s">
        <v>3913</v>
      </c>
      <c r="H4622" s="507">
        <f>ROUNDUP(AE4622,14-LEN(ABS(INT(AE4622))))</f>
        <v>0.1</v>
      </c>
      <c r="I4622" s="508">
        <f>K4622+J4622+L4622</f>
        <v>172068</v>
      </c>
      <c r="J4622" s="509">
        <f>노무비목록표!E10</f>
        <v>172068</v>
      </c>
      <c r="M4622" s="501" t="s">
        <v>2363</v>
      </c>
      <c r="N4622" s="501" t="s">
        <v>3416</v>
      </c>
      <c r="O4622" s="501" t="s">
        <v>2355</v>
      </c>
      <c r="X4622" s="510" t="str">
        <f>노무비목록표!B10&amp;" / "&amp;노무비목록표!C10</f>
        <v xml:space="preserve">보통인부 / </v>
      </c>
      <c r="Y4622" s="433" t="str">
        <f ca="1">HYPERLINK("#"&amp;노무비목록표!G2&amp;"!A"&amp;ROW(노무비목록표!A10),"L00017 →")</f>
        <v>L00017 →</v>
      </c>
      <c r="Z4622" s="501" t="s">
        <v>3500</v>
      </c>
      <c r="AA4622" s="515">
        <v>1</v>
      </c>
      <c r="AB4622" s="501" t="s">
        <v>3428</v>
      </c>
      <c r="AC4622" s="512">
        <f>AB4613</f>
        <v>10</v>
      </c>
      <c r="AD4622" s="501" t="s">
        <v>3418</v>
      </c>
      <c r="AE4622" s="512">
        <f>1*AA4622/AB4613</f>
        <v>0.1</v>
      </c>
      <c r="AF4622" s="500"/>
      <c r="AG4622" s="500"/>
      <c r="AH4622" s="500"/>
      <c r="AI4622" s="500"/>
      <c r="AJ4622" s="500"/>
      <c r="AK4622" s="500"/>
      <c r="AL4622" s="500"/>
      <c r="AM4622" s="500"/>
      <c r="AN4622" s="500"/>
      <c r="AO4622" s="500"/>
      <c r="AP4622" s="500"/>
    </row>
    <row r="4623" spans="1:42" ht="16.5" customHeight="1">
      <c r="A4623" s="439"/>
      <c r="B4623" s="439"/>
      <c r="C4623" s="439"/>
      <c r="D4623" s="439"/>
      <c r="E4623" s="439"/>
      <c r="F4623" s="439"/>
      <c r="G4623" s="451" t="s">
        <v>3406</v>
      </c>
      <c r="Z4623" s="500"/>
      <c r="AA4623" s="500"/>
      <c r="AB4623" s="500"/>
      <c r="AC4623" s="500"/>
      <c r="AD4623" s="500"/>
      <c r="AE4623" s="500"/>
      <c r="AF4623" s="500"/>
      <c r="AG4623" s="500"/>
      <c r="AH4623" s="500"/>
      <c r="AI4623" s="500"/>
      <c r="AJ4623" s="500"/>
      <c r="AK4623" s="500"/>
      <c r="AL4623" s="500"/>
      <c r="AM4623" s="500"/>
      <c r="AN4623" s="500"/>
      <c r="AO4623" s="500"/>
      <c r="AP4623" s="500"/>
    </row>
    <row r="4624" spans="1:42" ht="16.5" customHeight="1">
      <c r="A4624" s="434"/>
      <c r="B4624" s="437" t="s">
        <v>3419</v>
      </c>
      <c r="C4624" s="513">
        <f>E4624+D4624+F4624</f>
        <v>64247.600000000006</v>
      </c>
      <c r="D4624" s="513">
        <f>SUMIF(N4607:N4623,M4624,D4607:D4623)</f>
        <v>64247.600000000006</v>
      </c>
      <c r="E4624" s="513">
        <f>SUMIF(N4607:N4623,M4624,E4607:E4623)</f>
        <v>0</v>
      </c>
      <c r="F4624" s="513">
        <f>SUMIF(N4607:N4623,M4624,F4607:F4623)</f>
        <v>0</v>
      </c>
      <c r="G4624" s="451" t="s">
        <v>3420</v>
      </c>
      <c r="M4624" s="501" t="s">
        <v>3416</v>
      </c>
      <c r="N4624" s="501" t="s">
        <v>3421</v>
      </c>
      <c r="Z4624" s="500"/>
      <c r="AA4624" s="500"/>
      <c r="AB4624" s="500"/>
      <c r="AC4624" s="500"/>
      <c r="AD4624" s="500"/>
      <c r="AE4624" s="500"/>
      <c r="AF4624" s="500"/>
      <c r="AG4624" s="500"/>
      <c r="AH4624" s="500"/>
      <c r="AI4624" s="500"/>
      <c r="AJ4624" s="500"/>
      <c r="AK4624" s="500"/>
      <c r="AL4624" s="500"/>
      <c r="AM4624" s="500"/>
      <c r="AN4624" s="500"/>
      <c r="AO4624" s="500"/>
      <c r="AP4624" s="500"/>
    </row>
    <row r="4625" spans="1:42" ht="16.5" customHeight="1">
      <c r="A4625" s="439"/>
      <c r="B4625" s="439"/>
      <c r="C4625" s="504"/>
      <c r="D4625" s="504"/>
      <c r="E4625" s="504"/>
      <c r="F4625" s="504"/>
      <c r="G4625" s="451" t="s">
        <v>3406</v>
      </c>
      <c r="Z4625" s="500"/>
      <c r="AA4625" s="500"/>
      <c r="AB4625" s="500"/>
      <c r="AC4625" s="500"/>
      <c r="AD4625" s="500"/>
      <c r="AE4625" s="500"/>
      <c r="AF4625" s="500"/>
      <c r="AG4625" s="500"/>
      <c r="AH4625" s="500"/>
      <c r="AI4625" s="500"/>
      <c r="AJ4625" s="500"/>
      <c r="AK4625" s="500"/>
      <c r="AL4625" s="500"/>
      <c r="AM4625" s="500"/>
      <c r="AN4625" s="500"/>
      <c r="AO4625" s="500"/>
      <c r="AP4625" s="500"/>
    </row>
    <row r="4626" spans="1:42" ht="16.5" customHeight="1">
      <c r="A4626" s="439"/>
      <c r="B4626" s="439"/>
      <c r="C4626" s="439"/>
      <c r="D4626" s="439"/>
      <c r="E4626" s="439"/>
      <c r="F4626" s="439"/>
      <c r="G4626" s="451" t="s">
        <v>3406</v>
      </c>
      <c r="Z4626" s="500"/>
      <c r="AA4626" s="500"/>
      <c r="AB4626" s="500"/>
      <c r="AC4626" s="500"/>
      <c r="AD4626" s="500"/>
      <c r="AE4626" s="500"/>
      <c r="AF4626" s="500"/>
      <c r="AG4626" s="500"/>
      <c r="AH4626" s="500"/>
      <c r="AI4626" s="500"/>
      <c r="AJ4626" s="500"/>
      <c r="AK4626" s="500"/>
      <c r="AL4626" s="500"/>
      <c r="AM4626" s="500"/>
      <c r="AN4626" s="500"/>
      <c r="AO4626" s="500"/>
      <c r="AP4626" s="500"/>
    </row>
    <row r="4627" spans="1:42" ht="16.5" customHeight="1">
      <c r="A4627" s="434"/>
      <c r="B4627" s="437" t="s">
        <v>3914</v>
      </c>
      <c r="C4627" s="439"/>
      <c r="D4627" s="439"/>
      <c r="E4627" s="439"/>
      <c r="F4627" s="439"/>
      <c r="G4627" s="451" t="s">
        <v>3915</v>
      </c>
      <c r="Z4627" s="500"/>
      <c r="AA4627" s="500"/>
      <c r="AB4627" s="500"/>
      <c r="AC4627" s="500"/>
      <c r="AD4627" s="500"/>
      <c r="AE4627" s="500"/>
      <c r="AF4627" s="500"/>
      <c r="AG4627" s="500"/>
      <c r="AH4627" s="500"/>
      <c r="AI4627" s="500"/>
      <c r="AJ4627" s="500"/>
      <c r="AK4627" s="500"/>
      <c r="AL4627" s="500"/>
      <c r="AM4627" s="500"/>
      <c r="AN4627" s="500"/>
      <c r="AO4627" s="500"/>
      <c r="AP4627" s="500"/>
    </row>
    <row r="4628" spans="1:42" ht="16.5" customHeight="1">
      <c r="A4628" s="439"/>
      <c r="B4628" s="439"/>
      <c r="C4628" s="439"/>
      <c r="D4628" s="439"/>
      <c r="E4628" s="439"/>
      <c r="F4628" s="439"/>
      <c r="G4628" s="451" t="s">
        <v>3406</v>
      </c>
      <c r="Z4628" s="500"/>
      <c r="AA4628" s="500"/>
      <c r="AB4628" s="500"/>
      <c r="AC4628" s="500"/>
      <c r="AD4628" s="500"/>
      <c r="AE4628" s="500"/>
      <c r="AF4628" s="500"/>
      <c r="AG4628" s="500"/>
      <c r="AH4628" s="500"/>
      <c r="AI4628" s="500"/>
      <c r="AJ4628" s="500"/>
      <c r="AK4628" s="500"/>
      <c r="AL4628" s="500"/>
      <c r="AM4628" s="500"/>
      <c r="AN4628" s="500"/>
      <c r="AO4628" s="500"/>
      <c r="AP4628" s="500"/>
    </row>
    <row r="4629" spans="1:42" ht="16.5" customHeight="1">
      <c r="A4629" s="434" t="s">
        <v>3916</v>
      </c>
      <c r="B4629" s="505" t="str">
        <f>"  노 무 비 :  "&amp;TEXT(I4629,"#,##0"&amp;IF(I4629&lt;&gt;INT(I4629),".###",""))&amp;" / Q * "&amp;AC4629&amp;" = "&amp;TEXT(C4629,"#,##0.0")&amp;""</f>
        <v xml:space="preserve">  노 무 비 :  49,778 / Q * 8 = 39,822.4</v>
      </c>
      <c r="C4629" s="506">
        <f>E4629+D4629+F4629</f>
        <v>39822.400000000001</v>
      </c>
      <c r="D4629" s="506">
        <f>IF(H4629=0,0,ROUNDDOWN(J4629*H4629,1))</f>
        <v>39822.400000000001</v>
      </c>
      <c r="E4629" s="506">
        <f>IF(H4629=0,0,ROUNDDOWN(K4629*H4629,1))</f>
        <v>0</v>
      </c>
      <c r="F4629" s="506">
        <f>IF(H4629=0,0,ROUNDDOWN(L4629*H4629,1))</f>
        <v>0</v>
      </c>
      <c r="G4629" s="451" t="s">
        <v>3917</v>
      </c>
      <c r="H4629" s="507">
        <f>ROUNDUP(AE4629,14-LEN(ABS(INT(AE4629))))</f>
        <v>0.8</v>
      </c>
      <c r="I4629" s="508">
        <f>K4629+J4629+L4629</f>
        <v>49778</v>
      </c>
      <c r="J4629" s="509">
        <f>중기목록표!F4</f>
        <v>49778</v>
      </c>
      <c r="M4629" s="501" t="s">
        <v>3918</v>
      </c>
      <c r="N4629" s="501" t="s">
        <v>3416</v>
      </c>
      <c r="X4629" s="510" t="str">
        <f>중기목록표!B4&amp;" / "&amp;중기목록표!C4</f>
        <v>고소작업차 / 3톤</v>
      </c>
      <c r="Y4629" s="433" t="str">
        <f ca="1">HYPERLINK("#"&amp;중기목록표!J2&amp;"!A"&amp;ROW(중기목록표!A4),"X00328 →")</f>
        <v>X00328 →</v>
      </c>
      <c r="Z4629" s="501" t="s">
        <v>3434</v>
      </c>
      <c r="AA4629" s="512">
        <f>AB4613</f>
        <v>10</v>
      </c>
      <c r="AB4629" s="501" t="s">
        <v>3368</v>
      </c>
      <c r="AC4629" s="515">
        <v>8</v>
      </c>
      <c r="AD4629" s="501" t="s">
        <v>3418</v>
      </c>
      <c r="AE4629" s="512">
        <f>1/AB4613*AC4629</f>
        <v>0.8</v>
      </c>
      <c r="AF4629" s="500"/>
      <c r="AG4629" s="500"/>
      <c r="AH4629" s="500"/>
      <c r="AI4629" s="500"/>
      <c r="AJ4629" s="500"/>
      <c r="AK4629" s="500"/>
      <c r="AL4629" s="500"/>
      <c r="AM4629" s="500"/>
      <c r="AN4629" s="500"/>
      <c r="AO4629" s="500"/>
      <c r="AP4629" s="500"/>
    </row>
    <row r="4630" spans="1:42" ht="16.5" customHeight="1">
      <c r="A4630" s="439"/>
      <c r="B4630" s="439"/>
      <c r="C4630" s="439"/>
      <c r="D4630" s="439"/>
      <c r="E4630" s="439"/>
      <c r="F4630" s="439"/>
      <c r="G4630" s="451" t="s">
        <v>3406</v>
      </c>
      <c r="Z4630" s="500"/>
      <c r="AA4630" s="500"/>
      <c r="AB4630" s="500"/>
      <c r="AC4630" s="500"/>
      <c r="AD4630" s="500"/>
      <c r="AE4630" s="500"/>
      <c r="AF4630" s="500"/>
      <c r="AG4630" s="500"/>
      <c r="AH4630" s="500"/>
      <c r="AI4630" s="500"/>
      <c r="AJ4630" s="500"/>
      <c r="AK4630" s="500"/>
      <c r="AL4630" s="500"/>
      <c r="AM4630" s="500"/>
      <c r="AN4630" s="500"/>
      <c r="AO4630" s="500"/>
      <c r="AP4630" s="500"/>
    </row>
    <row r="4631" spans="1:42" ht="16.5" customHeight="1">
      <c r="A4631" s="434" t="s">
        <v>3919</v>
      </c>
      <c r="B4631" s="505" t="str">
        <f>"  재 료 비 :  "&amp;TEXT(I4631,"#,##0"&amp;IF(I4631&lt;&gt;INT(I4631),".###",""))&amp;" / Q * "&amp;AC4631&amp;" = "&amp;TEXT(C4631,"#,##0.0")&amp;""</f>
        <v xml:space="preserve">  재 료 비 :  5,129 / Q * 8 = 4,103.2</v>
      </c>
      <c r="C4631" s="506">
        <f>E4631+D4631+F4631</f>
        <v>4103.2</v>
      </c>
      <c r="D4631" s="506">
        <f>IF(H4631=0,0,ROUNDDOWN(J4631*H4631,1))</f>
        <v>0</v>
      </c>
      <c r="E4631" s="506">
        <f>IF(H4631=0,0,ROUNDDOWN(K4631*H4631,1))</f>
        <v>4103.2</v>
      </c>
      <c r="F4631" s="506">
        <f>IF(H4631=0,0,ROUNDDOWN(L4631*H4631,1))</f>
        <v>0</v>
      </c>
      <c r="G4631" s="451" t="s">
        <v>3920</v>
      </c>
      <c r="H4631" s="507">
        <f>ROUNDUP(AE4631,14-LEN(ABS(INT(AE4631))))</f>
        <v>0.8</v>
      </c>
      <c r="I4631" s="508">
        <f>K4631+J4631+L4631</f>
        <v>5129</v>
      </c>
      <c r="K4631" s="509">
        <f>중기목록표!G4</f>
        <v>5129</v>
      </c>
      <c r="M4631" s="501" t="s">
        <v>3918</v>
      </c>
      <c r="N4631" s="501" t="s">
        <v>3416</v>
      </c>
      <c r="X4631" s="510" t="str">
        <f>중기목록표!B4&amp;" / "&amp;중기목록표!C4</f>
        <v>고소작업차 / 3톤</v>
      </c>
      <c r="Y4631" s="433" t="str">
        <f ca="1">HYPERLINK("#"&amp;중기목록표!J2&amp;"!A"&amp;ROW(중기목록표!A4),"X00328 →")</f>
        <v>X00328 →</v>
      </c>
      <c r="Z4631" s="501" t="s">
        <v>3434</v>
      </c>
      <c r="AA4631" s="512">
        <f>AB4613</f>
        <v>10</v>
      </c>
      <c r="AB4631" s="501" t="s">
        <v>3368</v>
      </c>
      <c r="AC4631" s="515">
        <v>8</v>
      </c>
      <c r="AD4631" s="501" t="s">
        <v>3418</v>
      </c>
      <c r="AE4631" s="512">
        <f>1/AB4613*AC4631</f>
        <v>0.8</v>
      </c>
      <c r="AF4631" s="500"/>
      <c r="AG4631" s="500"/>
      <c r="AH4631" s="500"/>
      <c r="AI4631" s="500"/>
      <c r="AJ4631" s="500"/>
      <c r="AK4631" s="500"/>
      <c r="AL4631" s="500"/>
      <c r="AM4631" s="500"/>
      <c r="AN4631" s="500"/>
      <c r="AO4631" s="500"/>
      <c r="AP4631" s="500"/>
    </row>
    <row r="4632" spans="1:42" ht="16.5" customHeight="1">
      <c r="A4632" s="439"/>
      <c r="B4632" s="439"/>
      <c r="C4632" s="439"/>
      <c r="D4632" s="439"/>
      <c r="E4632" s="439"/>
      <c r="F4632" s="439"/>
      <c r="G4632" s="451" t="s">
        <v>3406</v>
      </c>
      <c r="Z4632" s="500"/>
      <c r="AA4632" s="500"/>
      <c r="AB4632" s="500"/>
      <c r="AC4632" s="500"/>
      <c r="AD4632" s="500"/>
      <c r="AE4632" s="500"/>
      <c r="AF4632" s="500"/>
      <c r="AG4632" s="500"/>
      <c r="AH4632" s="500"/>
      <c r="AI4632" s="500"/>
      <c r="AJ4632" s="500"/>
      <c r="AK4632" s="500"/>
      <c r="AL4632" s="500"/>
      <c r="AM4632" s="500"/>
      <c r="AN4632" s="500"/>
      <c r="AO4632" s="500"/>
      <c r="AP4632" s="500"/>
    </row>
    <row r="4633" spans="1:42" ht="16.5" customHeight="1">
      <c r="A4633" s="434" t="s">
        <v>3921</v>
      </c>
      <c r="B4633" s="505" t="str">
        <f>"  경    비 :  "&amp;TEXT(I4633,"#,##0"&amp;IF(I4633&lt;&gt;INT(I4633),".###",""))&amp;" / Q * "&amp;AC4633&amp;" = "&amp;TEXT(C4633,"#,##0.0")&amp;""</f>
        <v xml:space="preserve">  경    비 :  17,396 / Q * 8 = 13,916.8</v>
      </c>
      <c r="C4633" s="506">
        <f>E4633+D4633+F4633</f>
        <v>13916.8</v>
      </c>
      <c r="D4633" s="506">
        <f>IF(H4633=0,0,ROUNDDOWN(J4633*H4633,1))</f>
        <v>0</v>
      </c>
      <c r="E4633" s="506">
        <f>IF(H4633=0,0,ROUNDDOWN(K4633*H4633,1))</f>
        <v>0</v>
      </c>
      <c r="F4633" s="506">
        <f>IF(H4633=0,0,ROUNDDOWN(L4633*H4633,1))</f>
        <v>13916.8</v>
      </c>
      <c r="G4633" s="451" t="s">
        <v>3922</v>
      </c>
      <c r="H4633" s="507">
        <f>ROUNDUP(AE4633,14-LEN(ABS(INT(AE4633))))</f>
        <v>0.8</v>
      </c>
      <c r="I4633" s="508">
        <f>K4633+J4633+L4633</f>
        <v>17396</v>
      </c>
      <c r="L4633" s="509">
        <f>중기목록표!H4</f>
        <v>17396</v>
      </c>
      <c r="M4633" s="501" t="s">
        <v>3918</v>
      </c>
      <c r="N4633" s="501" t="s">
        <v>3416</v>
      </c>
      <c r="X4633" s="510" t="str">
        <f>중기목록표!B4&amp;" / "&amp;중기목록표!C4</f>
        <v>고소작업차 / 3톤</v>
      </c>
      <c r="Y4633" s="433" t="str">
        <f ca="1">HYPERLINK("#"&amp;중기목록표!J2&amp;"!A"&amp;ROW(중기목록표!A4),"X00328 →")</f>
        <v>X00328 →</v>
      </c>
      <c r="Z4633" s="501" t="s">
        <v>3434</v>
      </c>
      <c r="AA4633" s="512">
        <f>AB4613</f>
        <v>10</v>
      </c>
      <c r="AB4633" s="501" t="s">
        <v>3368</v>
      </c>
      <c r="AC4633" s="515">
        <v>8</v>
      </c>
      <c r="AD4633" s="501" t="s">
        <v>3418</v>
      </c>
      <c r="AE4633" s="512">
        <f>1/AB4613*AC4633</f>
        <v>0.8</v>
      </c>
      <c r="AF4633" s="500"/>
      <c r="AG4633" s="500"/>
      <c r="AH4633" s="500"/>
      <c r="AI4633" s="500"/>
      <c r="AJ4633" s="500"/>
      <c r="AK4633" s="500"/>
      <c r="AL4633" s="500"/>
      <c r="AM4633" s="500"/>
      <c r="AN4633" s="500"/>
      <c r="AO4633" s="500"/>
      <c r="AP4633" s="500"/>
    </row>
    <row r="4634" spans="1:42" ht="16.5" customHeight="1">
      <c r="A4634" s="439"/>
      <c r="B4634" s="439"/>
      <c r="C4634" s="439"/>
      <c r="D4634" s="439"/>
      <c r="E4634" s="439"/>
      <c r="F4634" s="439"/>
      <c r="G4634" s="451" t="s">
        <v>3406</v>
      </c>
      <c r="Z4634" s="500"/>
      <c r="AA4634" s="500"/>
      <c r="AB4634" s="500"/>
      <c r="AC4634" s="500"/>
      <c r="AD4634" s="500"/>
      <c r="AE4634" s="500"/>
      <c r="AF4634" s="500"/>
      <c r="AG4634" s="500"/>
      <c r="AH4634" s="500"/>
      <c r="AI4634" s="500"/>
      <c r="AJ4634" s="500"/>
      <c r="AK4634" s="500"/>
      <c r="AL4634" s="500"/>
      <c r="AM4634" s="500"/>
      <c r="AN4634" s="500"/>
      <c r="AO4634" s="500"/>
      <c r="AP4634" s="500"/>
    </row>
    <row r="4635" spans="1:42" ht="16.5" customHeight="1">
      <c r="A4635" s="439"/>
      <c r="B4635" s="439"/>
      <c r="C4635" s="439"/>
      <c r="D4635" s="439"/>
      <c r="E4635" s="439"/>
      <c r="F4635" s="439"/>
      <c r="G4635" s="451" t="s">
        <v>3406</v>
      </c>
      <c r="Z4635" s="500"/>
      <c r="AA4635" s="500"/>
      <c r="AB4635" s="500"/>
      <c r="AC4635" s="500"/>
      <c r="AD4635" s="500"/>
      <c r="AE4635" s="500"/>
      <c r="AF4635" s="500"/>
      <c r="AG4635" s="500"/>
      <c r="AH4635" s="500"/>
      <c r="AI4635" s="500"/>
      <c r="AJ4635" s="500"/>
      <c r="AK4635" s="500"/>
      <c r="AL4635" s="500"/>
      <c r="AM4635" s="500"/>
      <c r="AN4635" s="500"/>
      <c r="AO4635" s="500"/>
      <c r="AP4635" s="500"/>
    </row>
    <row r="4636" spans="1:42" ht="16.5" customHeight="1">
      <c r="A4636" s="439"/>
      <c r="B4636" s="439"/>
      <c r="C4636" s="439"/>
      <c r="D4636" s="439"/>
      <c r="E4636" s="439"/>
      <c r="F4636" s="439"/>
      <c r="G4636" s="451" t="s">
        <v>3406</v>
      </c>
      <c r="Z4636" s="500"/>
      <c r="AA4636" s="500"/>
      <c r="AB4636" s="500"/>
      <c r="AC4636" s="500"/>
      <c r="AD4636" s="500"/>
      <c r="AE4636" s="500"/>
      <c r="AF4636" s="500"/>
      <c r="AG4636" s="500"/>
      <c r="AH4636" s="500"/>
      <c r="AI4636" s="500"/>
      <c r="AJ4636" s="500"/>
      <c r="AK4636" s="500"/>
      <c r="AL4636" s="500"/>
      <c r="AM4636" s="500"/>
      <c r="AN4636" s="500"/>
      <c r="AO4636" s="500"/>
      <c r="AP4636" s="500"/>
    </row>
    <row r="4637" spans="1:42" ht="16.5" customHeight="1">
      <c r="A4637" s="439"/>
      <c r="B4637" s="439"/>
      <c r="C4637" s="439"/>
      <c r="D4637" s="439"/>
      <c r="E4637" s="439"/>
      <c r="F4637" s="439"/>
      <c r="G4637" s="451" t="s">
        <v>3406</v>
      </c>
      <c r="Z4637" s="500"/>
      <c r="AA4637" s="500"/>
      <c r="AB4637" s="500"/>
      <c r="AC4637" s="500"/>
      <c r="AD4637" s="500"/>
      <c r="AE4637" s="500"/>
      <c r="AF4637" s="500"/>
      <c r="AG4637" s="500"/>
      <c r="AH4637" s="500"/>
      <c r="AI4637" s="500"/>
      <c r="AJ4637" s="500"/>
      <c r="AK4637" s="500"/>
      <c r="AL4637" s="500"/>
      <c r="AM4637" s="500"/>
      <c r="AN4637" s="500"/>
      <c r="AO4637" s="500"/>
      <c r="AP4637" s="500"/>
    </row>
    <row r="4638" spans="1:42" ht="16.5" customHeight="1">
      <c r="A4638" s="434"/>
      <c r="B4638" s="505" t="str">
        <f>" 2. 기계경비(인력품의 3%) : "&amp;TEXT(I4638,"#,##0.0")&amp;" * "&amp;AA4638&amp;" %  = "&amp;TEXT(C4638,"#,##0.0")&amp;""</f>
        <v xml:space="preserve"> 2. 기계경비(인력품의 3%) : 64,247.6 * 3 %  = 1,927.4</v>
      </c>
      <c r="C4638" s="506">
        <f>E4638+D4638+F4638</f>
        <v>1927.4</v>
      </c>
      <c r="D4638" s="506">
        <f>IF(H4638=0,0,ROUNDDOWN(J4638*H4638/100,1))</f>
        <v>0</v>
      </c>
      <c r="E4638" s="506">
        <f>IF(H4638=0,0,ROUNDDOWN(K4638*H4638/100,1))</f>
        <v>0</v>
      </c>
      <c r="F4638" s="506">
        <f>IF(H4638=0,0,ROUNDDOWN(L4638*H4638/100,1))</f>
        <v>1927.4</v>
      </c>
      <c r="G4638" s="451" t="s">
        <v>3923</v>
      </c>
      <c r="H4638" s="507">
        <f>ROUNDUP(AC4638,14-LEN(ABS(INT(AC4638))))</f>
        <v>3</v>
      </c>
      <c r="I4638" s="508">
        <f>K4638+J4638+L4638</f>
        <v>64247.600000000006</v>
      </c>
      <c r="J4638" s="456">
        <v>0</v>
      </c>
      <c r="K4638" s="456">
        <v>0</v>
      </c>
      <c r="L4638" s="509">
        <f>D4620+D4622</f>
        <v>64247.600000000006</v>
      </c>
      <c r="M4638" s="501" t="s">
        <v>3743</v>
      </c>
      <c r="N4638" s="501" t="s">
        <v>3416</v>
      </c>
      <c r="Z4638" s="501" t="s">
        <v>3500</v>
      </c>
      <c r="AA4638" s="515">
        <v>3</v>
      </c>
      <c r="AB4638" s="501" t="s">
        <v>3418</v>
      </c>
      <c r="AC4638" s="512">
        <f>1*AA4638</f>
        <v>3</v>
      </c>
      <c r="AD4638" s="500"/>
      <c r="AE4638" s="500"/>
      <c r="AF4638" s="500"/>
      <c r="AG4638" s="500"/>
      <c r="AH4638" s="500"/>
      <c r="AI4638" s="500"/>
      <c r="AJ4638" s="500"/>
      <c r="AK4638" s="500"/>
      <c r="AL4638" s="500"/>
      <c r="AM4638" s="500"/>
      <c r="AN4638" s="500"/>
      <c r="AO4638" s="500"/>
      <c r="AP4638" s="500"/>
    </row>
    <row r="4639" spans="1:42" ht="16.5" customHeight="1">
      <c r="A4639" s="439"/>
      <c r="B4639" s="439"/>
      <c r="C4639" s="439"/>
      <c r="D4639" s="439"/>
      <c r="E4639" s="439"/>
      <c r="F4639" s="439"/>
      <c r="G4639" s="451" t="s">
        <v>3406</v>
      </c>
      <c r="Z4639" s="500"/>
      <c r="AA4639" s="500"/>
      <c r="AB4639" s="500"/>
      <c r="AC4639" s="500"/>
      <c r="AD4639" s="500"/>
      <c r="AE4639" s="500"/>
      <c r="AF4639" s="500"/>
      <c r="AG4639" s="500"/>
      <c r="AH4639" s="500"/>
      <c r="AI4639" s="500"/>
      <c r="AJ4639" s="500"/>
      <c r="AK4639" s="500"/>
      <c r="AL4639" s="500"/>
      <c r="AM4639" s="500"/>
      <c r="AN4639" s="500"/>
      <c r="AO4639" s="500"/>
      <c r="AP4639" s="500"/>
    </row>
    <row r="4640" spans="1:42" ht="16.5" customHeight="1">
      <c r="A4640" s="434"/>
      <c r="B4640" s="437" t="s">
        <v>3419</v>
      </c>
      <c r="C4640" s="513">
        <f>E4640+D4640+F4640</f>
        <v>59769.799999999996</v>
      </c>
      <c r="D4640" s="513">
        <f>SUMIF(N4625:N4639,M4640,D4625:D4639)</f>
        <v>39822.400000000001</v>
      </c>
      <c r="E4640" s="513">
        <f>SUMIF(N4625:N4639,M4640,E4625:E4639)</f>
        <v>4103.2</v>
      </c>
      <c r="F4640" s="513">
        <f>SUMIF(N4625:N4639,M4640,F4625:F4639)</f>
        <v>15844.199999999999</v>
      </c>
      <c r="G4640" s="451" t="s">
        <v>3420</v>
      </c>
      <c r="M4640" s="501" t="s">
        <v>3416</v>
      </c>
      <c r="N4640" s="501" t="s">
        <v>3421</v>
      </c>
      <c r="Z4640" s="500"/>
      <c r="AA4640" s="500"/>
      <c r="AB4640" s="500"/>
      <c r="AC4640" s="500"/>
      <c r="AD4640" s="500"/>
      <c r="AE4640" s="500"/>
      <c r="AF4640" s="500"/>
      <c r="AG4640" s="500"/>
      <c r="AH4640" s="500"/>
      <c r="AI4640" s="500"/>
      <c r="AJ4640" s="500"/>
      <c r="AK4640" s="500"/>
      <c r="AL4640" s="500"/>
      <c r="AM4640" s="500"/>
      <c r="AN4640" s="500"/>
      <c r="AO4640" s="500"/>
      <c r="AP4640" s="500"/>
    </row>
    <row r="4641" spans="1:42" ht="16.5" customHeight="1">
      <c r="A4641" s="439"/>
      <c r="B4641" s="439"/>
      <c r="C4641" s="504"/>
      <c r="D4641" s="504"/>
      <c r="E4641" s="504"/>
      <c r="F4641" s="504"/>
      <c r="G4641" s="451" t="s">
        <v>3406</v>
      </c>
      <c r="Z4641" s="500"/>
      <c r="AA4641" s="500"/>
      <c r="AB4641" s="500"/>
      <c r="AC4641" s="500"/>
      <c r="AD4641" s="500"/>
      <c r="AE4641" s="500"/>
      <c r="AF4641" s="500"/>
      <c r="AG4641" s="500"/>
      <c r="AH4641" s="500"/>
      <c r="AI4641" s="500"/>
      <c r="AJ4641" s="500"/>
      <c r="AK4641" s="500"/>
      <c r="AL4641" s="500"/>
      <c r="AM4641" s="500"/>
      <c r="AN4641" s="500"/>
      <c r="AO4641" s="500"/>
      <c r="AP4641" s="500"/>
    </row>
    <row r="4642" spans="1:42" ht="16.5" customHeight="1">
      <c r="A4642" s="439"/>
      <c r="B4642" s="439"/>
      <c r="C4642" s="439"/>
      <c r="D4642" s="439"/>
      <c r="E4642" s="439"/>
      <c r="F4642" s="439"/>
      <c r="G4642" s="451" t="s">
        <v>3406</v>
      </c>
      <c r="Z4642" s="500"/>
      <c r="AA4642" s="500"/>
      <c r="AB4642" s="500"/>
      <c r="AC4642" s="500"/>
      <c r="AD4642" s="500"/>
      <c r="AE4642" s="500"/>
      <c r="AF4642" s="500"/>
      <c r="AG4642" s="500"/>
      <c r="AH4642" s="500"/>
      <c r="AI4642" s="500"/>
      <c r="AJ4642" s="500"/>
      <c r="AK4642" s="500"/>
      <c r="AL4642" s="500"/>
      <c r="AM4642" s="500"/>
      <c r="AN4642" s="500"/>
      <c r="AO4642" s="500"/>
      <c r="AP4642" s="500"/>
    </row>
    <row r="4643" spans="1:42" ht="16.5" customHeight="1">
      <c r="A4643" s="434"/>
      <c r="B4643" s="437" t="s">
        <v>3440</v>
      </c>
      <c r="C4643" s="513">
        <f>E4643+D4643+F4643</f>
        <v>124017.4</v>
      </c>
      <c r="D4643" s="513">
        <f>SUMIF(N4607:N4642,M4643,D4607:D4642)</f>
        <v>104070</v>
      </c>
      <c r="E4643" s="513">
        <f>SUMIF(N4607:N4642,M4643,E4607:E4642)</f>
        <v>4103.2</v>
      </c>
      <c r="F4643" s="513">
        <f>SUMIF(N4607:N4642,M4643,F4607:F4642)</f>
        <v>15844.199999999999</v>
      </c>
      <c r="G4643" s="451" t="s">
        <v>3484</v>
      </c>
      <c r="M4643" s="501" t="s">
        <v>3421</v>
      </c>
      <c r="N4643" s="501" t="s">
        <v>2354</v>
      </c>
      <c r="Z4643" s="500"/>
      <c r="AA4643" s="500"/>
      <c r="AB4643" s="500"/>
      <c r="AC4643" s="500"/>
      <c r="AD4643" s="500"/>
      <c r="AE4643" s="500"/>
      <c r="AF4643" s="500"/>
      <c r="AG4643" s="500"/>
      <c r="AH4643" s="500"/>
      <c r="AI4643" s="500"/>
      <c r="AJ4643" s="500"/>
      <c r="AK4643" s="500"/>
      <c r="AL4643" s="500"/>
      <c r="AM4643" s="500"/>
      <c r="AN4643" s="500"/>
      <c r="AO4643" s="500"/>
      <c r="AP4643" s="500"/>
    </row>
    <row r="4644" spans="1:42" ht="16.5" customHeight="1">
      <c r="A4644" s="439"/>
      <c r="B4644" s="439"/>
      <c r="C4644" s="504"/>
      <c r="D4644" s="504"/>
      <c r="E4644" s="504"/>
      <c r="F4644" s="504"/>
      <c r="Z4644" s="500"/>
      <c r="AA4644" s="500"/>
      <c r="AB4644" s="500"/>
      <c r="AC4644" s="500"/>
      <c r="AD4644" s="500"/>
      <c r="AE4644" s="500"/>
      <c r="AF4644" s="500"/>
      <c r="AG4644" s="500"/>
      <c r="AH4644" s="500"/>
      <c r="AI4644" s="500"/>
      <c r="AJ4644" s="500"/>
      <c r="AK4644" s="500"/>
      <c r="AL4644" s="500"/>
      <c r="AM4644" s="500"/>
      <c r="AN4644" s="500"/>
      <c r="AO4644" s="500"/>
      <c r="AP4644" s="500"/>
    </row>
    <row r="4645" spans="1:42" ht="16.5" customHeight="1">
      <c r="A4645" s="439"/>
      <c r="B4645" s="439"/>
      <c r="C4645" s="439"/>
      <c r="D4645" s="439"/>
      <c r="E4645" s="439"/>
      <c r="F4645" s="439"/>
      <c r="Z4645" s="500"/>
      <c r="AA4645" s="500"/>
      <c r="AB4645" s="500"/>
      <c r="AC4645" s="500"/>
      <c r="AD4645" s="500"/>
      <c r="AE4645" s="500"/>
      <c r="AF4645" s="500"/>
      <c r="AG4645" s="500"/>
      <c r="AH4645" s="500"/>
      <c r="AI4645" s="500"/>
      <c r="AJ4645" s="500"/>
      <c r="AK4645" s="500"/>
      <c r="AL4645" s="500"/>
      <c r="AM4645" s="500"/>
      <c r="AN4645" s="500"/>
      <c r="AO4645" s="500"/>
      <c r="AP4645" s="500"/>
    </row>
    <row r="4646" spans="1:42" ht="16.5" customHeight="1">
      <c r="A4646" s="439"/>
      <c r="B4646" s="439"/>
      <c r="C4646" s="439"/>
      <c r="D4646" s="439"/>
      <c r="E4646" s="439"/>
      <c r="F4646" s="439"/>
      <c r="Z4646" s="500"/>
      <c r="AA4646" s="500"/>
      <c r="AB4646" s="500"/>
      <c r="AC4646" s="500"/>
      <c r="AD4646" s="500"/>
      <c r="AE4646" s="500"/>
      <c r="AF4646" s="500"/>
      <c r="AG4646" s="500"/>
      <c r="AH4646" s="500"/>
      <c r="AI4646" s="500"/>
      <c r="AJ4646" s="500"/>
      <c r="AK4646" s="500"/>
      <c r="AL4646" s="500"/>
      <c r="AM4646" s="500"/>
      <c r="AN4646" s="500"/>
      <c r="AO4646" s="500"/>
      <c r="AP4646" s="500"/>
    </row>
    <row r="4647" spans="1:42" ht="16.5" customHeight="1">
      <c r="A4647" s="439"/>
      <c r="B4647" s="439"/>
      <c r="C4647" s="439"/>
      <c r="D4647" s="439"/>
      <c r="E4647" s="439"/>
      <c r="F4647" s="439"/>
      <c r="Z4647" s="500"/>
      <c r="AA4647" s="500"/>
      <c r="AB4647" s="500"/>
      <c r="AC4647" s="500"/>
      <c r="AD4647" s="500"/>
      <c r="AE4647" s="500"/>
      <c r="AF4647" s="500"/>
      <c r="AG4647" s="500"/>
      <c r="AH4647" s="500"/>
      <c r="AI4647" s="500"/>
      <c r="AJ4647" s="500"/>
      <c r="AK4647" s="500"/>
      <c r="AL4647" s="500"/>
      <c r="AM4647" s="500"/>
      <c r="AN4647" s="500"/>
      <c r="AO4647" s="500"/>
      <c r="AP4647" s="500"/>
    </row>
    <row r="4648" spans="1:42" ht="16.5" customHeight="1">
      <c r="A4648" s="439"/>
      <c r="B4648" s="439"/>
      <c r="C4648" s="439"/>
      <c r="D4648" s="439"/>
      <c r="E4648" s="439"/>
      <c r="F4648" s="439"/>
      <c r="Z4648" s="500"/>
      <c r="AA4648" s="500"/>
      <c r="AB4648" s="500"/>
      <c r="AC4648" s="500"/>
      <c r="AD4648" s="500"/>
      <c r="AE4648" s="500"/>
      <c r="AF4648" s="500"/>
      <c r="AG4648" s="500"/>
      <c r="AH4648" s="500"/>
      <c r="AI4648" s="500"/>
      <c r="AJ4648" s="500"/>
      <c r="AK4648" s="500"/>
      <c r="AL4648" s="500"/>
      <c r="AM4648" s="500"/>
      <c r="AN4648" s="500"/>
      <c r="AO4648" s="500"/>
      <c r="AP4648" s="500"/>
    </row>
    <row r="4649" spans="1:42" ht="16.5" customHeight="1">
      <c r="A4649" s="439"/>
      <c r="B4649" s="439"/>
      <c r="C4649" s="439"/>
      <c r="D4649" s="439"/>
      <c r="E4649" s="439"/>
      <c r="F4649" s="439"/>
      <c r="Z4649" s="500"/>
      <c r="AA4649" s="500"/>
      <c r="AB4649" s="500"/>
      <c r="AC4649" s="500"/>
      <c r="AD4649" s="500"/>
      <c r="AE4649" s="500"/>
      <c r="AF4649" s="500"/>
      <c r="AG4649" s="500"/>
      <c r="AH4649" s="500"/>
      <c r="AI4649" s="500"/>
      <c r="AJ4649" s="500"/>
      <c r="AK4649" s="500"/>
      <c r="AL4649" s="500"/>
      <c r="AM4649" s="500"/>
      <c r="AN4649" s="500"/>
      <c r="AO4649" s="500"/>
      <c r="AP4649" s="500"/>
    </row>
    <row r="4650" spans="1:42" ht="16.5" customHeight="1">
      <c r="A4650" s="439"/>
      <c r="B4650" s="439"/>
      <c r="C4650" s="439"/>
      <c r="D4650" s="439"/>
      <c r="E4650" s="439"/>
      <c r="F4650" s="439"/>
      <c r="Z4650" s="500"/>
      <c r="AA4650" s="500"/>
      <c r="AB4650" s="500"/>
      <c r="AC4650" s="500"/>
      <c r="AD4650" s="500"/>
      <c r="AE4650" s="500"/>
      <c r="AF4650" s="500"/>
      <c r="AG4650" s="500"/>
      <c r="AH4650" s="500"/>
      <c r="AI4650" s="500"/>
      <c r="AJ4650" s="500"/>
      <c r="AK4650" s="500"/>
      <c r="AL4650" s="500"/>
      <c r="AM4650" s="500"/>
      <c r="AN4650" s="500"/>
      <c r="AO4650" s="500"/>
      <c r="AP4650" s="500"/>
    </row>
    <row r="4651" spans="1:42" ht="16.5" customHeight="1">
      <c r="A4651" s="439"/>
      <c r="B4651" s="439"/>
      <c r="C4651" s="439"/>
      <c r="D4651" s="439"/>
      <c r="E4651" s="439"/>
      <c r="F4651" s="439"/>
      <c r="Z4651" s="500"/>
      <c r="AA4651" s="500"/>
      <c r="AB4651" s="500"/>
      <c r="AC4651" s="500"/>
      <c r="AD4651" s="500"/>
      <c r="AE4651" s="500"/>
      <c r="AF4651" s="500"/>
      <c r="AG4651" s="500"/>
      <c r="AH4651" s="500"/>
      <c r="AI4651" s="500"/>
      <c r="AJ4651" s="500"/>
      <c r="AK4651" s="500"/>
      <c r="AL4651" s="500"/>
      <c r="AM4651" s="500"/>
      <c r="AN4651" s="500"/>
      <c r="AO4651" s="500"/>
      <c r="AP4651" s="500"/>
    </row>
    <row r="4652" spans="1:42" ht="16.5" customHeight="1">
      <c r="A4652" s="439"/>
      <c r="B4652" s="439"/>
      <c r="C4652" s="439"/>
      <c r="D4652" s="439"/>
      <c r="E4652" s="439"/>
      <c r="F4652" s="439"/>
      <c r="Z4652" s="500"/>
      <c r="AA4652" s="500"/>
      <c r="AB4652" s="500"/>
      <c r="AC4652" s="500"/>
      <c r="AD4652" s="500"/>
      <c r="AE4652" s="500"/>
      <c r="AF4652" s="500"/>
      <c r="AG4652" s="500"/>
      <c r="AH4652" s="500"/>
      <c r="AI4652" s="500"/>
      <c r="AJ4652" s="500"/>
      <c r="AK4652" s="500"/>
      <c r="AL4652" s="500"/>
      <c r="AM4652" s="500"/>
      <c r="AN4652" s="500"/>
      <c r="AO4652" s="500"/>
      <c r="AP4652" s="500"/>
    </row>
    <row r="4653" spans="1:42" ht="16.5" customHeight="1">
      <c r="A4653" s="497"/>
      <c r="B4653" s="497"/>
      <c r="C4653" s="497"/>
      <c r="D4653" s="497"/>
      <c r="E4653" s="497"/>
      <c r="F4653" s="497"/>
      <c r="Z4653" s="500"/>
      <c r="AA4653" s="500"/>
      <c r="AB4653" s="500"/>
      <c r="AC4653" s="500"/>
      <c r="AD4653" s="500"/>
      <c r="AE4653" s="500"/>
      <c r="AF4653" s="500"/>
      <c r="AG4653" s="500"/>
      <c r="AH4653" s="500"/>
      <c r="AI4653" s="500"/>
      <c r="AJ4653" s="500"/>
      <c r="AK4653" s="500"/>
      <c r="AL4653" s="500"/>
      <c r="AM4653" s="500"/>
      <c r="AN4653" s="500"/>
      <c r="AO4653" s="500"/>
      <c r="AP4653" s="500"/>
    </row>
    <row r="4654" spans="1:42" ht="16.5" customHeight="1">
      <c r="A4654" s="616" t="s">
        <v>3487</v>
      </c>
      <c r="B4654" s="605"/>
      <c r="C4654" s="446">
        <f>E4654+D4654+F4654</f>
        <v>124017</v>
      </c>
      <c r="D4654" s="453">
        <f>ROUNDDOWN(SUMIF(N4607:N4643,M4654,D4607:D4643),0)</f>
        <v>104070</v>
      </c>
      <c r="E4654" s="454">
        <f>ROUNDDOWN(SUMIF(N4607:N4643,M4654,E4607:E4643),0)</f>
        <v>4103</v>
      </c>
      <c r="F4654" s="446">
        <f>ROUNDDOWN(SUMIF(N4607:N4643,M4654,F4607:F4643),0)</f>
        <v>15844</v>
      </c>
      <c r="M4654" s="501" t="s">
        <v>2354</v>
      </c>
      <c r="Z4654" s="500"/>
      <c r="AA4654" s="500"/>
      <c r="AB4654" s="500"/>
      <c r="AC4654" s="500"/>
      <c r="AD4654" s="500"/>
      <c r="AE4654" s="500"/>
      <c r="AF4654" s="500"/>
      <c r="AG4654" s="500"/>
      <c r="AH4654" s="500"/>
      <c r="AI4654" s="500"/>
      <c r="AJ4654" s="500"/>
      <c r="AK4654" s="500"/>
      <c r="AL4654" s="500"/>
      <c r="AM4654" s="500"/>
      <c r="AN4654" s="500"/>
      <c r="AO4654" s="500"/>
      <c r="AP4654" s="500"/>
    </row>
    <row r="4655" spans="1:42" ht="16.5" customHeight="1">
      <c r="A4655" s="502" t="s">
        <v>3371</v>
      </c>
      <c r="B4655" s="503" t="s">
        <v>1994</v>
      </c>
      <c r="C4655" s="615">
        <f>C4704</f>
        <v>177166</v>
      </c>
      <c r="D4655" s="615">
        <f>D4704</f>
        <v>148671</v>
      </c>
      <c r="E4655" s="615">
        <f>E4704</f>
        <v>5861</v>
      </c>
      <c r="F4655" s="615">
        <f>F4704</f>
        <v>22634</v>
      </c>
      <c r="G4655" s="486" t="str">
        <f>HYPERLINK("#G"&amp;ROW(G4693),"_x0005_`BDCOD|D01289_x0007_`POSS|"&amp;ROW(G4657)&amp;"_x0007_`POSE|"&amp;ROW(G4693)&amp;"_x0007_`")</f>
        <v>_x0005_`BDCOD|D01289_x0007_`POSS|4657_x0007_`POSE|4693_x0007_`</v>
      </c>
      <c r="Z4655" s="500"/>
      <c r="AA4655" s="500"/>
      <c r="AB4655" s="500"/>
      <c r="AC4655" s="500"/>
      <c r="AD4655" s="500"/>
      <c r="AE4655" s="500"/>
      <c r="AF4655" s="500"/>
      <c r="AG4655" s="500"/>
      <c r="AH4655" s="500"/>
      <c r="AI4655" s="500"/>
      <c r="AJ4655" s="500"/>
      <c r="AK4655" s="500"/>
      <c r="AL4655" s="500"/>
      <c r="AM4655" s="500"/>
      <c r="AN4655" s="500"/>
      <c r="AO4655" s="500"/>
      <c r="AP4655" s="500"/>
    </row>
    <row r="4656" spans="1:42" ht="16.5" customHeight="1">
      <c r="A4656" s="485"/>
      <c r="B4656" s="503" t="s">
        <v>3948</v>
      </c>
      <c r="C4656" s="593"/>
      <c r="D4656" s="593"/>
      <c r="E4656" s="593"/>
      <c r="F4656" s="593"/>
      <c r="M4656" s="501" t="s">
        <v>1994</v>
      </c>
      <c r="Z4656" s="500"/>
      <c r="AA4656" s="500"/>
      <c r="AB4656" s="500"/>
      <c r="AC4656" s="500"/>
      <c r="AD4656" s="500"/>
      <c r="AE4656" s="500"/>
      <c r="AF4656" s="500"/>
      <c r="AG4656" s="500"/>
      <c r="AH4656" s="500"/>
      <c r="AI4656" s="500"/>
      <c r="AJ4656" s="500"/>
      <c r="AK4656" s="500"/>
      <c r="AL4656" s="500"/>
      <c r="AM4656" s="500"/>
      <c r="AN4656" s="500"/>
      <c r="AO4656" s="500"/>
      <c r="AP4656" s="500"/>
    </row>
    <row r="4657" spans="1:42" ht="16.5" customHeight="1">
      <c r="A4657" s="439"/>
      <c r="B4657" s="439"/>
      <c r="C4657" s="504"/>
      <c r="D4657" s="504"/>
      <c r="E4657" s="504"/>
      <c r="F4657" s="504"/>
      <c r="G4657" s="451" t="s">
        <v>3406</v>
      </c>
      <c r="Z4657" s="500"/>
      <c r="AA4657" s="500"/>
      <c r="AB4657" s="500"/>
      <c r="AC4657" s="500"/>
      <c r="AD4657" s="500"/>
      <c r="AE4657" s="500"/>
      <c r="AF4657" s="500"/>
      <c r="AG4657" s="500"/>
      <c r="AH4657" s="500"/>
      <c r="AI4657" s="500"/>
      <c r="AJ4657" s="500"/>
      <c r="AK4657" s="500"/>
      <c r="AL4657" s="500"/>
      <c r="AM4657" s="500"/>
      <c r="AN4657" s="500"/>
      <c r="AO4657" s="500"/>
      <c r="AP4657" s="500"/>
    </row>
    <row r="4658" spans="1:42" ht="16.5" customHeight="1">
      <c r="A4658" s="434"/>
      <c r="B4658" s="437" t="s">
        <v>3949</v>
      </c>
      <c r="C4658" s="439"/>
      <c r="D4658" s="439"/>
      <c r="E4658" s="439"/>
      <c r="F4658" s="439"/>
      <c r="G4658" s="451" t="s">
        <v>3950</v>
      </c>
      <c r="Z4658" s="500"/>
      <c r="AA4658" s="500"/>
      <c r="AB4658" s="500"/>
      <c r="AC4658" s="500"/>
      <c r="AD4658" s="500"/>
      <c r="AE4658" s="500"/>
      <c r="AF4658" s="500"/>
      <c r="AG4658" s="500"/>
      <c r="AH4658" s="500"/>
      <c r="AI4658" s="500"/>
      <c r="AJ4658" s="500"/>
      <c r="AK4658" s="500"/>
      <c r="AL4658" s="500"/>
      <c r="AM4658" s="500"/>
      <c r="AN4658" s="500"/>
      <c r="AO4658" s="500"/>
      <c r="AP4658" s="500"/>
    </row>
    <row r="4659" spans="1:42" ht="16.5" customHeight="1">
      <c r="A4659" s="439"/>
      <c r="B4659" s="439"/>
      <c r="C4659" s="439"/>
      <c r="D4659" s="439"/>
      <c r="E4659" s="439"/>
      <c r="F4659" s="439"/>
      <c r="G4659" s="451" t="s">
        <v>3406</v>
      </c>
      <c r="Z4659" s="500"/>
      <c r="AA4659" s="500"/>
      <c r="AB4659" s="500"/>
      <c r="AC4659" s="500"/>
      <c r="AD4659" s="500"/>
      <c r="AE4659" s="500"/>
      <c r="AF4659" s="500"/>
      <c r="AG4659" s="500"/>
      <c r="AH4659" s="500"/>
      <c r="AI4659" s="500"/>
      <c r="AJ4659" s="500"/>
      <c r="AK4659" s="500"/>
      <c r="AL4659" s="500"/>
      <c r="AM4659" s="500"/>
      <c r="AN4659" s="500"/>
      <c r="AO4659" s="500"/>
      <c r="AP4659" s="500"/>
    </row>
    <row r="4660" spans="1:42" ht="16.5" customHeight="1">
      <c r="A4660" s="434"/>
      <c r="B4660" s="437" t="s">
        <v>3907</v>
      </c>
      <c r="C4660" s="439"/>
      <c r="D4660" s="439"/>
      <c r="E4660" s="439"/>
      <c r="F4660" s="439"/>
      <c r="G4660" s="451" t="s">
        <v>3908</v>
      </c>
      <c r="Z4660" s="500"/>
      <c r="AA4660" s="500"/>
      <c r="AB4660" s="500"/>
      <c r="AC4660" s="500"/>
      <c r="AD4660" s="500"/>
      <c r="AE4660" s="500"/>
      <c r="AF4660" s="500"/>
      <c r="AG4660" s="500"/>
      <c r="AH4660" s="500"/>
      <c r="AI4660" s="500"/>
      <c r="AJ4660" s="500"/>
      <c r="AK4660" s="500"/>
      <c r="AL4660" s="500"/>
      <c r="AM4660" s="500"/>
      <c r="AN4660" s="500"/>
      <c r="AO4660" s="500"/>
      <c r="AP4660" s="500"/>
    </row>
    <row r="4661" spans="1:42" ht="16.5" customHeight="1">
      <c r="A4661" s="439"/>
      <c r="B4661" s="439"/>
      <c r="C4661" s="439"/>
      <c r="D4661" s="439"/>
      <c r="E4661" s="439"/>
      <c r="F4661" s="439"/>
      <c r="G4661" s="451" t="s">
        <v>3406</v>
      </c>
      <c r="Z4661" s="500"/>
      <c r="AA4661" s="500"/>
      <c r="AB4661" s="500"/>
      <c r="AC4661" s="500"/>
      <c r="AD4661" s="500"/>
      <c r="AE4661" s="500"/>
      <c r="AF4661" s="500"/>
      <c r="AG4661" s="500"/>
      <c r="AH4661" s="500"/>
      <c r="AI4661" s="500"/>
      <c r="AJ4661" s="500"/>
      <c r="AK4661" s="500"/>
      <c r="AL4661" s="500"/>
      <c r="AM4661" s="500"/>
      <c r="AN4661" s="500"/>
      <c r="AO4661" s="500"/>
      <c r="AP4661" s="500"/>
    </row>
    <row r="4662" spans="1:42" ht="16.5" customHeight="1">
      <c r="A4662" s="439"/>
      <c r="B4662" s="439"/>
      <c r="C4662" s="439"/>
      <c r="D4662" s="439"/>
      <c r="E4662" s="439"/>
      <c r="F4662" s="439"/>
      <c r="G4662" s="451" t="s">
        <v>3406</v>
      </c>
      <c r="Z4662" s="500"/>
      <c r="AA4662" s="500"/>
      <c r="AB4662" s="500"/>
      <c r="AC4662" s="500"/>
      <c r="AD4662" s="500"/>
      <c r="AE4662" s="500"/>
      <c r="AF4662" s="500"/>
      <c r="AG4662" s="500"/>
      <c r="AH4662" s="500"/>
      <c r="AI4662" s="500"/>
      <c r="AJ4662" s="500"/>
      <c r="AK4662" s="500"/>
      <c r="AL4662" s="500"/>
      <c r="AM4662" s="500"/>
      <c r="AN4662" s="500"/>
      <c r="AO4662" s="500"/>
      <c r="AP4662" s="500"/>
    </row>
    <row r="4663" spans="1:42" ht="16.5" customHeight="1">
      <c r="A4663" s="434"/>
      <c r="B4663" s="437" t="str">
        <f>" 일당 작업량 :  Q = "&amp;Z4663&amp;" 주 "</f>
        <v xml:space="preserve"> 일당 작업량 :  Q = 7 주 </v>
      </c>
      <c r="C4663" s="439"/>
      <c r="D4663" s="439"/>
      <c r="E4663" s="439"/>
      <c r="F4663" s="439"/>
      <c r="G4663" s="451" t="s">
        <v>3951</v>
      </c>
      <c r="Z4663" s="515">
        <v>7</v>
      </c>
      <c r="AA4663" s="501" t="s">
        <v>3418</v>
      </c>
      <c r="AB4663" s="512">
        <f>Z4663</f>
        <v>7</v>
      </c>
      <c r="AC4663" s="500"/>
      <c r="AD4663" s="500"/>
      <c r="AE4663" s="500"/>
      <c r="AF4663" s="500"/>
      <c r="AG4663" s="500"/>
      <c r="AH4663" s="500"/>
      <c r="AI4663" s="500"/>
      <c r="AJ4663" s="500"/>
      <c r="AK4663" s="500"/>
      <c r="AL4663" s="500"/>
      <c r="AM4663" s="500"/>
      <c r="AN4663" s="500"/>
      <c r="AO4663" s="500"/>
      <c r="AP4663" s="500"/>
    </row>
    <row r="4664" spans="1:42" ht="16.5" customHeight="1">
      <c r="A4664" s="439"/>
      <c r="B4664" s="439"/>
      <c r="C4664" s="439"/>
      <c r="D4664" s="439"/>
      <c r="E4664" s="439"/>
      <c r="F4664" s="439"/>
      <c r="G4664" s="451" t="s">
        <v>3406</v>
      </c>
      <c r="Z4664" s="500"/>
      <c r="AA4664" s="500"/>
      <c r="AB4664" s="500"/>
      <c r="AC4664" s="500"/>
      <c r="AD4664" s="500"/>
      <c r="AE4664" s="500"/>
      <c r="AF4664" s="500"/>
      <c r="AG4664" s="500"/>
      <c r="AH4664" s="500"/>
      <c r="AI4664" s="500"/>
      <c r="AJ4664" s="500"/>
      <c r="AK4664" s="500"/>
      <c r="AL4664" s="500"/>
      <c r="AM4664" s="500"/>
      <c r="AN4664" s="500"/>
      <c r="AO4664" s="500"/>
      <c r="AP4664" s="500"/>
    </row>
    <row r="4665" spans="1:42" ht="16.5" customHeight="1">
      <c r="A4665" s="434"/>
      <c r="B4665" s="437" t="s">
        <v>3910</v>
      </c>
      <c r="C4665" s="439"/>
      <c r="D4665" s="439"/>
      <c r="E4665" s="439"/>
      <c r="F4665" s="439"/>
      <c r="G4665" s="451" t="s">
        <v>3911</v>
      </c>
      <c r="Z4665" s="500"/>
      <c r="AA4665" s="500"/>
      <c r="AB4665" s="500"/>
      <c r="AC4665" s="500"/>
      <c r="AD4665" s="500"/>
      <c r="AE4665" s="500"/>
      <c r="AF4665" s="500"/>
      <c r="AG4665" s="500"/>
      <c r="AH4665" s="500"/>
      <c r="AI4665" s="500"/>
      <c r="AJ4665" s="500"/>
      <c r="AK4665" s="500"/>
      <c r="AL4665" s="500"/>
      <c r="AM4665" s="500"/>
      <c r="AN4665" s="500"/>
      <c r="AO4665" s="500"/>
      <c r="AP4665" s="500"/>
    </row>
    <row r="4666" spans="1:42" ht="16.5" customHeight="1">
      <c r="A4666" s="439"/>
      <c r="B4666" s="439"/>
      <c r="C4666" s="439"/>
      <c r="D4666" s="439"/>
      <c r="E4666" s="439"/>
      <c r="F4666" s="439"/>
      <c r="G4666" s="451" t="s">
        <v>3406</v>
      </c>
      <c r="Z4666" s="500"/>
      <c r="AA4666" s="500"/>
      <c r="AB4666" s="500"/>
      <c r="AC4666" s="500"/>
      <c r="AD4666" s="500"/>
      <c r="AE4666" s="500"/>
      <c r="AF4666" s="500"/>
      <c r="AG4666" s="500"/>
      <c r="AH4666" s="500"/>
      <c r="AI4666" s="500"/>
      <c r="AJ4666" s="500"/>
      <c r="AK4666" s="500"/>
      <c r="AL4666" s="500"/>
      <c r="AM4666" s="500"/>
      <c r="AN4666" s="500"/>
      <c r="AO4666" s="500"/>
      <c r="AP4666" s="500"/>
    </row>
    <row r="4667" spans="1:42" ht="16.5" customHeight="1">
      <c r="A4667" s="439"/>
      <c r="B4667" s="439"/>
      <c r="C4667" s="439"/>
      <c r="D4667" s="439"/>
      <c r="E4667" s="439"/>
      <c r="F4667" s="439"/>
      <c r="G4667" s="451" t="s">
        <v>3406</v>
      </c>
      <c r="Z4667" s="500"/>
      <c r="AA4667" s="500"/>
      <c r="AB4667" s="500"/>
      <c r="AC4667" s="500"/>
      <c r="AD4667" s="500"/>
      <c r="AE4667" s="500"/>
      <c r="AF4667" s="500"/>
      <c r="AG4667" s="500"/>
      <c r="AH4667" s="500"/>
      <c r="AI4667" s="500"/>
      <c r="AJ4667" s="500"/>
      <c r="AK4667" s="500"/>
      <c r="AL4667" s="500"/>
      <c r="AM4667" s="500"/>
      <c r="AN4667" s="500"/>
      <c r="AO4667" s="500"/>
      <c r="AP4667" s="500"/>
    </row>
    <row r="4668" spans="1:42" ht="16.5" customHeight="1">
      <c r="A4668" s="434"/>
      <c r="B4668" s="437" t="s">
        <v>3496</v>
      </c>
      <c r="C4668" s="439"/>
      <c r="D4668" s="439"/>
      <c r="E4668" s="439"/>
      <c r="F4668" s="439"/>
      <c r="G4668" s="451" t="s">
        <v>3497</v>
      </c>
      <c r="Z4668" s="500"/>
      <c r="AA4668" s="500"/>
      <c r="AB4668" s="500"/>
      <c r="AC4668" s="500"/>
      <c r="AD4668" s="500"/>
      <c r="AE4668" s="500"/>
      <c r="AF4668" s="500"/>
      <c r="AG4668" s="500"/>
      <c r="AH4668" s="500"/>
      <c r="AI4668" s="500"/>
      <c r="AJ4668" s="500"/>
      <c r="AK4668" s="500"/>
      <c r="AL4668" s="500"/>
      <c r="AM4668" s="500"/>
      <c r="AN4668" s="500"/>
      <c r="AO4668" s="500"/>
      <c r="AP4668" s="500"/>
    </row>
    <row r="4669" spans="1:42" ht="16.5" customHeight="1">
      <c r="A4669" s="439"/>
      <c r="B4669" s="439"/>
      <c r="C4669" s="439"/>
      <c r="D4669" s="439"/>
      <c r="E4669" s="439"/>
      <c r="F4669" s="439"/>
      <c r="G4669" s="451" t="s">
        <v>3406</v>
      </c>
      <c r="Z4669" s="500"/>
      <c r="AA4669" s="500"/>
      <c r="AB4669" s="500"/>
      <c r="AC4669" s="500"/>
      <c r="AD4669" s="500"/>
      <c r="AE4669" s="500"/>
      <c r="AF4669" s="500"/>
      <c r="AG4669" s="500"/>
      <c r="AH4669" s="500"/>
      <c r="AI4669" s="500"/>
      <c r="AJ4669" s="500"/>
      <c r="AK4669" s="500"/>
      <c r="AL4669" s="500"/>
      <c r="AM4669" s="500"/>
      <c r="AN4669" s="500"/>
      <c r="AO4669" s="500"/>
      <c r="AP4669" s="500"/>
    </row>
    <row r="4670" spans="1:42" ht="16.5" customHeight="1">
      <c r="A4670" s="434" t="s">
        <v>3498</v>
      </c>
      <c r="B4670" s="505" t="str">
        <f>" 조 경 공 : "&amp;TEXT(I4670,"#,##0"&amp;IF(I4670&lt;&gt;INT(I4670),".###",""))&amp;" * "&amp;AA4670&amp;" 인  / Q = "&amp;TEXT(C4670,"#,##0.0")&amp;" "</f>
        <v xml:space="preserve"> 조 경 공 : 235,204 * 2 인  / Q = 67,201.1 </v>
      </c>
      <c r="C4670" s="506">
        <f>E4670+D4670+F4670</f>
        <v>67201.100000000006</v>
      </c>
      <c r="D4670" s="506">
        <f>IF(H4670=0,0,ROUNDDOWN(J4670*H4670,1))</f>
        <v>67201.100000000006</v>
      </c>
      <c r="E4670" s="506">
        <f>IF(H4670=0,0,ROUNDDOWN(K4670*H4670,1))</f>
        <v>0</v>
      </c>
      <c r="F4670" s="506">
        <f>IF(H4670=0,0,ROUNDDOWN(L4670*H4670,1))</f>
        <v>0</v>
      </c>
      <c r="G4670" s="451" t="s">
        <v>3912</v>
      </c>
      <c r="H4670" s="507">
        <f>ROUNDUP(AE4670,14-LEN(ABS(INT(AE4670))))</f>
        <v>0.28571428571429996</v>
      </c>
      <c r="I4670" s="508">
        <f>K4670+J4670+L4670</f>
        <v>235204</v>
      </c>
      <c r="J4670" s="509">
        <f>노무비목록표!E15</f>
        <v>235204</v>
      </c>
      <c r="M4670" s="501" t="s">
        <v>2359</v>
      </c>
      <c r="N4670" s="501" t="s">
        <v>3416</v>
      </c>
      <c r="O4670" s="501" t="s">
        <v>2355</v>
      </c>
      <c r="X4670" s="510" t="str">
        <f>노무비목록표!B15&amp;" / "&amp;노무비목록표!C15</f>
        <v xml:space="preserve">조경공 / </v>
      </c>
      <c r="Y4670" s="433" t="str">
        <f ca="1">HYPERLINK("#"&amp;노무비목록표!G2&amp;"!A"&amp;ROW(노무비목록표!A15),"L00184 →")</f>
        <v>L00184 →</v>
      </c>
      <c r="Z4670" s="501" t="s">
        <v>3500</v>
      </c>
      <c r="AA4670" s="515">
        <v>2</v>
      </c>
      <c r="AB4670" s="501" t="s">
        <v>3428</v>
      </c>
      <c r="AC4670" s="512">
        <f>AB4663</f>
        <v>7</v>
      </c>
      <c r="AD4670" s="501" t="s">
        <v>3418</v>
      </c>
      <c r="AE4670" s="512">
        <f>1*AA4670/AB4663</f>
        <v>0.2857142857142857</v>
      </c>
      <c r="AF4670" s="500"/>
      <c r="AG4670" s="500"/>
      <c r="AH4670" s="500"/>
      <c r="AI4670" s="500"/>
      <c r="AJ4670" s="500"/>
      <c r="AK4670" s="500"/>
      <c r="AL4670" s="500"/>
      <c r="AM4670" s="500"/>
      <c r="AN4670" s="500"/>
      <c r="AO4670" s="500"/>
      <c r="AP4670" s="500"/>
    </row>
    <row r="4671" spans="1:42" ht="16.5" customHeight="1">
      <c r="A4671" s="439"/>
      <c r="B4671" s="439"/>
      <c r="C4671" s="439"/>
      <c r="D4671" s="439"/>
      <c r="E4671" s="439"/>
      <c r="F4671" s="439"/>
      <c r="G4671" s="451" t="s">
        <v>3406</v>
      </c>
      <c r="Z4671" s="500"/>
      <c r="AA4671" s="500"/>
      <c r="AB4671" s="500"/>
      <c r="AC4671" s="500"/>
      <c r="AD4671" s="500"/>
      <c r="AE4671" s="500"/>
      <c r="AF4671" s="500"/>
      <c r="AG4671" s="500"/>
      <c r="AH4671" s="500"/>
      <c r="AI4671" s="500"/>
      <c r="AJ4671" s="500"/>
      <c r="AK4671" s="500"/>
      <c r="AL4671" s="500"/>
      <c r="AM4671" s="500"/>
      <c r="AN4671" s="500"/>
      <c r="AO4671" s="500"/>
      <c r="AP4671" s="500"/>
    </row>
    <row r="4672" spans="1:42" ht="16.5" customHeight="1">
      <c r="A4672" s="434" t="s">
        <v>3414</v>
      </c>
      <c r="B4672" s="505" t="str">
        <f>" 보통인부 : "&amp;TEXT(I4672,"#,##0"&amp;IF(I4672&lt;&gt;INT(I4672),".###",""))&amp;" * "&amp;AA4672&amp;" 인  / Q = "&amp;TEXT(C4672,"#,##0.0")&amp;" "</f>
        <v xml:space="preserve"> 보통인부 : 172,068 * 1 인  / Q = 24,581.1 </v>
      </c>
      <c r="C4672" s="506">
        <f>E4672+D4672+F4672</f>
        <v>24581.1</v>
      </c>
      <c r="D4672" s="506">
        <f>IF(H4672=0,0,ROUNDDOWN(J4672*H4672,1))</f>
        <v>24581.1</v>
      </c>
      <c r="E4672" s="506">
        <f>IF(H4672=0,0,ROUNDDOWN(K4672*H4672,1))</f>
        <v>0</v>
      </c>
      <c r="F4672" s="506">
        <f>IF(H4672=0,0,ROUNDDOWN(L4672*H4672,1))</f>
        <v>0</v>
      </c>
      <c r="G4672" s="451" t="s">
        <v>3913</v>
      </c>
      <c r="H4672" s="507">
        <f>ROUNDUP(AE4672,14-LEN(ABS(INT(AE4672))))</f>
        <v>0.1428571428572</v>
      </c>
      <c r="I4672" s="508">
        <f>K4672+J4672+L4672</f>
        <v>172068</v>
      </c>
      <c r="J4672" s="509">
        <f>노무비목록표!E10</f>
        <v>172068</v>
      </c>
      <c r="M4672" s="501" t="s">
        <v>2363</v>
      </c>
      <c r="N4672" s="501" t="s">
        <v>3416</v>
      </c>
      <c r="O4672" s="501" t="s">
        <v>2355</v>
      </c>
      <c r="X4672" s="510" t="str">
        <f>노무비목록표!B10&amp;" / "&amp;노무비목록표!C10</f>
        <v xml:space="preserve">보통인부 / </v>
      </c>
      <c r="Y4672" s="433" t="str">
        <f ca="1">HYPERLINK("#"&amp;노무비목록표!G2&amp;"!A"&amp;ROW(노무비목록표!A10),"L00017 →")</f>
        <v>L00017 →</v>
      </c>
      <c r="Z4672" s="501" t="s">
        <v>3500</v>
      </c>
      <c r="AA4672" s="515">
        <v>1</v>
      </c>
      <c r="AB4672" s="501" t="s">
        <v>3428</v>
      </c>
      <c r="AC4672" s="512">
        <f>AB4663</f>
        <v>7</v>
      </c>
      <c r="AD4672" s="501" t="s">
        <v>3418</v>
      </c>
      <c r="AE4672" s="512">
        <f>1*AA4672/AB4663</f>
        <v>0.14285714285714285</v>
      </c>
      <c r="AF4672" s="500"/>
      <c r="AG4672" s="500"/>
      <c r="AH4672" s="500"/>
      <c r="AI4672" s="500"/>
      <c r="AJ4672" s="500"/>
      <c r="AK4672" s="500"/>
      <c r="AL4672" s="500"/>
      <c r="AM4672" s="500"/>
      <c r="AN4672" s="500"/>
      <c r="AO4672" s="500"/>
      <c r="AP4672" s="500"/>
    </row>
    <row r="4673" spans="1:42" ht="16.5" customHeight="1">
      <c r="A4673" s="439"/>
      <c r="B4673" s="439"/>
      <c r="C4673" s="439"/>
      <c r="D4673" s="439"/>
      <c r="E4673" s="439"/>
      <c r="F4673" s="439"/>
      <c r="G4673" s="451" t="s">
        <v>3406</v>
      </c>
      <c r="Z4673" s="500"/>
      <c r="AA4673" s="500"/>
      <c r="AB4673" s="500"/>
      <c r="AC4673" s="500"/>
      <c r="AD4673" s="500"/>
      <c r="AE4673" s="500"/>
      <c r="AF4673" s="500"/>
      <c r="AG4673" s="500"/>
      <c r="AH4673" s="500"/>
      <c r="AI4673" s="500"/>
      <c r="AJ4673" s="500"/>
      <c r="AK4673" s="500"/>
      <c r="AL4673" s="500"/>
      <c r="AM4673" s="500"/>
      <c r="AN4673" s="500"/>
      <c r="AO4673" s="500"/>
      <c r="AP4673" s="500"/>
    </row>
    <row r="4674" spans="1:42" ht="16.5" customHeight="1">
      <c r="A4674" s="434"/>
      <c r="B4674" s="437" t="s">
        <v>3419</v>
      </c>
      <c r="C4674" s="513">
        <f>E4674+D4674+F4674</f>
        <v>91782.200000000012</v>
      </c>
      <c r="D4674" s="513">
        <f>SUMIF(N4657:N4673,M4674,D4657:D4673)</f>
        <v>91782.200000000012</v>
      </c>
      <c r="E4674" s="513">
        <f>SUMIF(N4657:N4673,M4674,E4657:E4673)</f>
        <v>0</v>
      </c>
      <c r="F4674" s="513">
        <f>SUMIF(N4657:N4673,M4674,F4657:F4673)</f>
        <v>0</v>
      </c>
      <c r="G4674" s="451" t="s">
        <v>3420</v>
      </c>
      <c r="M4674" s="501" t="s">
        <v>3416</v>
      </c>
      <c r="N4674" s="501" t="s">
        <v>3421</v>
      </c>
      <c r="Z4674" s="500"/>
      <c r="AA4674" s="500"/>
      <c r="AB4674" s="500"/>
      <c r="AC4674" s="500"/>
      <c r="AD4674" s="500"/>
      <c r="AE4674" s="500"/>
      <c r="AF4674" s="500"/>
      <c r="AG4674" s="500"/>
      <c r="AH4674" s="500"/>
      <c r="AI4674" s="500"/>
      <c r="AJ4674" s="500"/>
      <c r="AK4674" s="500"/>
      <c r="AL4674" s="500"/>
      <c r="AM4674" s="500"/>
      <c r="AN4674" s="500"/>
      <c r="AO4674" s="500"/>
      <c r="AP4674" s="500"/>
    </row>
    <row r="4675" spans="1:42" ht="16.5" customHeight="1">
      <c r="A4675" s="439"/>
      <c r="B4675" s="439"/>
      <c r="C4675" s="504"/>
      <c r="D4675" s="504"/>
      <c r="E4675" s="504"/>
      <c r="F4675" s="504"/>
      <c r="G4675" s="451" t="s">
        <v>3406</v>
      </c>
      <c r="Z4675" s="500"/>
      <c r="AA4675" s="500"/>
      <c r="AB4675" s="500"/>
      <c r="AC4675" s="500"/>
      <c r="AD4675" s="500"/>
      <c r="AE4675" s="500"/>
      <c r="AF4675" s="500"/>
      <c r="AG4675" s="500"/>
      <c r="AH4675" s="500"/>
      <c r="AI4675" s="500"/>
      <c r="AJ4675" s="500"/>
      <c r="AK4675" s="500"/>
      <c r="AL4675" s="500"/>
      <c r="AM4675" s="500"/>
      <c r="AN4675" s="500"/>
      <c r="AO4675" s="500"/>
      <c r="AP4675" s="500"/>
    </row>
    <row r="4676" spans="1:42" ht="16.5" customHeight="1">
      <c r="A4676" s="439"/>
      <c r="B4676" s="439"/>
      <c r="C4676" s="439"/>
      <c r="D4676" s="439"/>
      <c r="E4676" s="439"/>
      <c r="F4676" s="439"/>
      <c r="G4676" s="451" t="s">
        <v>3406</v>
      </c>
      <c r="Z4676" s="500"/>
      <c r="AA4676" s="500"/>
      <c r="AB4676" s="500"/>
      <c r="AC4676" s="500"/>
      <c r="AD4676" s="500"/>
      <c r="AE4676" s="500"/>
      <c r="AF4676" s="500"/>
      <c r="AG4676" s="500"/>
      <c r="AH4676" s="500"/>
      <c r="AI4676" s="500"/>
      <c r="AJ4676" s="500"/>
      <c r="AK4676" s="500"/>
      <c r="AL4676" s="500"/>
      <c r="AM4676" s="500"/>
      <c r="AN4676" s="500"/>
      <c r="AO4676" s="500"/>
      <c r="AP4676" s="500"/>
    </row>
    <row r="4677" spans="1:42" ht="16.5" customHeight="1">
      <c r="A4677" s="434"/>
      <c r="B4677" s="437" t="s">
        <v>3914</v>
      </c>
      <c r="C4677" s="439"/>
      <c r="D4677" s="439"/>
      <c r="E4677" s="439"/>
      <c r="F4677" s="439"/>
      <c r="G4677" s="451" t="s">
        <v>3915</v>
      </c>
      <c r="Z4677" s="500"/>
      <c r="AA4677" s="500"/>
      <c r="AB4677" s="500"/>
      <c r="AC4677" s="500"/>
      <c r="AD4677" s="500"/>
      <c r="AE4677" s="500"/>
      <c r="AF4677" s="500"/>
      <c r="AG4677" s="500"/>
      <c r="AH4677" s="500"/>
      <c r="AI4677" s="500"/>
      <c r="AJ4677" s="500"/>
      <c r="AK4677" s="500"/>
      <c r="AL4677" s="500"/>
      <c r="AM4677" s="500"/>
      <c r="AN4677" s="500"/>
      <c r="AO4677" s="500"/>
      <c r="AP4677" s="500"/>
    </row>
    <row r="4678" spans="1:42" ht="16.5" customHeight="1">
      <c r="A4678" s="439"/>
      <c r="B4678" s="439"/>
      <c r="C4678" s="439"/>
      <c r="D4678" s="439"/>
      <c r="E4678" s="439"/>
      <c r="F4678" s="439"/>
      <c r="G4678" s="451" t="s">
        <v>3406</v>
      </c>
      <c r="Z4678" s="500"/>
      <c r="AA4678" s="500"/>
      <c r="AB4678" s="500"/>
      <c r="AC4678" s="500"/>
      <c r="AD4678" s="500"/>
      <c r="AE4678" s="500"/>
      <c r="AF4678" s="500"/>
      <c r="AG4678" s="500"/>
      <c r="AH4678" s="500"/>
      <c r="AI4678" s="500"/>
      <c r="AJ4678" s="500"/>
      <c r="AK4678" s="500"/>
      <c r="AL4678" s="500"/>
      <c r="AM4678" s="500"/>
      <c r="AN4678" s="500"/>
      <c r="AO4678" s="500"/>
      <c r="AP4678" s="500"/>
    </row>
    <row r="4679" spans="1:42" ht="16.5" customHeight="1">
      <c r="A4679" s="434" t="s">
        <v>3916</v>
      </c>
      <c r="B4679" s="505" t="str">
        <f>"  노 무 비 :  "&amp;TEXT(I4679,"#,##0"&amp;IF(I4679&lt;&gt;INT(I4679),".###",""))&amp;" / Q * "&amp;AC4679&amp;" = "&amp;TEXT(C4679,"#,##0.0")&amp;""</f>
        <v xml:space="preserve">  노 무 비 :  49,778 / Q * 8 = 56,889.1</v>
      </c>
      <c r="C4679" s="506">
        <f>E4679+D4679+F4679</f>
        <v>56889.1</v>
      </c>
      <c r="D4679" s="506">
        <f>IF(H4679=0,0,ROUNDDOWN(J4679*H4679,1))</f>
        <v>56889.1</v>
      </c>
      <c r="E4679" s="506">
        <f>IF(H4679=0,0,ROUNDDOWN(K4679*H4679,1))</f>
        <v>0</v>
      </c>
      <c r="F4679" s="506">
        <f>IF(H4679=0,0,ROUNDDOWN(L4679*H4679,1))</f>
        <v>0</v>
      </c>
      <c r="G4679" s="451" t="s">
        <v>3917</v>
      </c>
      <c r="H4679" s="507">
        <f>ROUNDUP(AE4679,14-LEN(ABS(INT(AE4679))))</f>
        <v>1.1428571428571999</v>
      </c>
      <c r="I4679" s="508">
        <f>K4679+J4679+L4679</f>
        <v>49778</v>
      </c>
      <c r="J4679" s="509">
        <f>중기목록표!F4</f>
        <v>49778</v>
      </c>
      <c r="M4679" s="501" t="s">
        <v>3918</v>
      </c>
      <c r="N4679" s="501" t="s">
        <v>3416</v>
      </c>
      <c r="X4679" s="510" t="str">
        <f>중기목록표!B4&amp;" / "&amp;중기목록표!C4</f>
        <v>고소작업차 / 3톤</v>
      </c>
      <c r="Y4679" s="433" t="str">
        <f ca="1">HYPERLINK("#"&amp;중기목록표!J2&amp;"!A"&amp;ROW(중기목록표!A4),"X00328 →")</f>
        <v>X00328 →</v>
      </c>
      <c r="Z4679" s="501" t="s">
        <v>3434</v>
      </c>
      <c r="AA4679" s="512">
        <f>AB4663</f>
        <v>7</v>
      </c>
      <c r="AB4679" s="501" t="s">
        <v>3368</v>
      </c>
      <c r="AC4679" s="515">
        <v>8</v>
      </c>
      <c r="AD4679" s="501" t="s">
        <v>3418</v>
      </c>
      <c r="AE4679" s="512">
        <f>1/AB4663*AC4679</f>
        <v>1.1428571428571428</v>
      </c>
      <c r="AF4679" s="500"/>
      <c r="AG4679" s="500"/>
      <c r="AH4679" s="500"/>
      <c r="AI4679" s="500"/>
      <c r="AJ4679" s="500"/>
      <c r="AK4679" s="500"/>
      <c r="AL4679" s="500"/>
      <c r="AM4679" s="500"/>
      <c r="AN4679" s="500"/>
      <c r="AO4679" s="500"/>
      <c r="AP4679" s="500"/>
    </row>
    <row r="4680" spans="1:42" ht="16.5" customHeight="1">
      <c r="A4680" s="439"/>
      <c r="B4680" s="439"/>
      <c r="C4680" s="439"/>
      <c r="D4680" s="439"/>
      <c r="E4680" s="439"/>
      <c r="F4680" s="439"/>
      <c r="G4680" s="451" t="s">
        <v>3406</v>
      </c>
      <c r="Z4680" s="500"/>
      <c r="AA4680" s="500"/>
      <c r="AB4680" s="500"/>
      <c r="AC4680" s="500"/>
      <c r="AD4680" s="500"/>
      <c r="AE4680" s="500"/>
      <c r="AF4680" s="500"/>
      <c r="AG4680" s="500"/>
      <c r="AH4680" s="500"/>
      <c r="AI4680" s="500"/>
      <c r="AJ4680" s="500"/>
      <c r="AK4680" s="500"/>
      <c r="AL4680" s="500"/>
      <c r="AM4680" s="500"/>
      <c r="AN4680" s="500"/>
      <c r="AO4680" s="500"/>
      <c r="AP4680" s="500"/>
    </row>
    <row r="4681" spans="1:42" ht="16.5" customHeight="1">
      <c r="A4681" s="434" t="s">
        <v>3919</v>
      </c>
      <c r="B4681" s="505" t="str">
        <f>"  재 료 비 :  "&amp;TEXT(I4681,"#,##0"&amp;IF(I4681&lt;&gt;INT(I4681),".###",""))&amp;" / Q * "&amp;AC4681&amp;" = "&amp;TEXT(C4681,"#,##0.0")&amp;""</f>
        <v xml:space="preserve">  재 료 비 :  5,129 / Q * 8 = 5,861.7</v>
      </c>
      <c r="C4681" s="506">
        <f>E4681+D4681+F4681</f>
        <v>5861.7</v>
      </c>
      <c r="D4681" s="506">
        <f>IF(H4681=0,0,ROUNDDOWN(J4681*H4681,1))</f>
        <v>0</v>
      </c>
      <c r="E4681" s="506">
        <f>IF(H4681=0,0,ROUNDDOWN(K4681*H4681,1))</f>
        <v>5861.7</v>
      </c>
      <c r="F4681" s="506">
        <f>IF(H4681=0,0,ROUNDDOWN(L4681*H4681,1))</f>
        <v>0</v>
      </c>
      <c r="G4681" s="451" t="s">
        <v>3920</v>
      </c>
      <c r="H4681" s="507">
        <f>ROUNDUP(AE4681,14-LEN(ABS(INT(AE4681))))</f>
        <v>1.1428571428571999</v>
      </c>
      <c r="I4681" s="508">
        <f>K4681+J4681+L4681</f>
        <v>5129</v>
      </c>
      <c r="K4681" s="509">
        <f>중기목록표!G4</f>
        <v>5129</v>
      </c>
      <c r="M4681" s="501" t="s">
        <v>3918</v>
      </c>
      <c r="N4681" s="501" t="s">
        <v>3416</v>
      </c>
      <c r="X4681" s="510" t="str">
        <f>중기목록표!B4&amp;" / "&amp;중기목록표!C4</f>
        <v>고소작업차 / 3톤</v>
      </c>
      <c r="Y4681" s="433" t="str">
        <f ca="1">HYPERLINK("#"&amp;중기목록표!J2&amp;"!A"&amp;ROW(중기목록표!A4),"X00328 →")</f>
        <v>X00328 →</v>
      </c>
      <c r="Z4681" s="501" t="s">
        <v>3434</v>
      </c>
      <c r="AA4681" s="512">
        <f>AB4663</f>
        <v>7</v>
      </c>
      <c r="AB4681" s="501" t="s">
        <v>3368</v>
      </c>
      <c r="AC4681" s="515">
        <v>8</v>
      </c>
      <c r="AD4681" s="501" t="s">
        <v>3418</v>
      </c>
      <c r="AE4681" s="512">
        <f>1/AB4663*AC4681</f>
        <v>1.1428571428571428</v>
      </c>
      <c r="AF4681" s="500"/>
      <c r="AG4681" s="500"/>
      <c r="AH4681" s="500"/>
      <c r="AI4681" s="500"/>
      <c r="AJ4681" s="500"/>
      <c r="AK4681" s="500"/>
      <c r="AL4681" s="500"/>
      <c r="AM4681" s="500"/>
      <c r="AN4681" s="500"/>
      <c r="AO4681" s="500"/>
      <c r="AP4681" s="500"/>
    </row>
    <row r="4682" spans="1:42" ht="16.5" customHeight="1">
      <c r="A4682" s="439"/>
      <c r="B4682" s="439"/>
      <c r="C4682" s="439"/>
      <c r="D4682" s="439"/>
      <c r="E4682" s="439"/>
      <c r="F4682" s="439"/>
      <c r="G4682" s="451" t="s">
        <v>3406</v>
      </c>
      <c r="Z4682" s="500"/>
      <c r="AA4682" s="500"/>
      <c r="AB4682" s="500"/>
      <c r="AC4682" s="500"/>
      <c r="AD4682" s="500"/>
      <c r="AE4682" s="500"/>
      <c r="AF4682" s="500"/>
      <c r="AG4682" s="500"/>
      <c r="AH4682" s="500"/>
      <c r="AI4682" s="500"/>
      <c r="AJ4682" s="500"/>
      <c r="AK4682" s="500"/>
      <c r="AL4682" s="500"/>
      <c r="AM4682" s="500"/>
      <c r="AN4682" s="500"/>
      <c r="AO4682" s="500"/>
      <c r="AP4682" s="500"/>
    </row>
    <row r="4683" spans="1:42" ht="16.5" customHeight="1">
      <c r="A4683" s="434" t="s">
        <v>3921</v>
      </c>
      <c r="B4683" s="505" t="str">
        <f>"  경    비 :  "&amp;TEXT(I4683,"#,##0"&amp;IF(I4683&lt;&gt;INT(I4683),".###",""))&amp;" / Q * "&amp;AC4683&amp;" = "&amp;TEXT(C4683,"#,##0.0")&amp;""</f>
        <v xml:space="preserve">  경    비 :  17,396 / Q * 8 = 19,881.1</v>
      </c>
      <c r="C4683" s="506">
        <f>E4683+D4683+F4683</f>
        <v>19881.099999999999</v>
      </c>
      <c r="D4683" s="506">
        <f>IF(H4683=0,0,ROUNDDOWN(J4683*H4683,1))</f>
        <v>0</v>
      </c>
      <c r="E4683" s="506">
        <f>IF(H4683=0,0,ROUNDDOWN(K4683*H4683,1))</f>
        <v>0</v>
      </c>
      <c r="F4683" s="506">
        <f>IF(H4683=0,0,ROUNDDOWN(L4683*H4683,1))</f>
        <v>19881.099999999999</v>
      </c>
      <c r="G4683" s="451" t="s">
        <v>3922</v>
      </c>
      <c r="H4683" s="507">
        <f>ROUNDUP(AE4683,14-LEN(ABS(INT(AE4683))))</f>
        <v>1.1428571428571999</v>
      </c>
      <c r="I4683" s="508">
        <f>K4683+J4683+L4683</f>
        <v>17396</v>
      </c>
      <c r="L4683" s="509">
        <f>중기목록표!H4</f>
        <v>17396</v>
      </c>
      <c r="M4683" s="501" t="s">
        <v>3918</v>
      </c>
      <c r="N4683" s="501" t="s">
        <v>3416</v>
      </c>
      <c r="X4683" s="510" t="str">
        <f>중기목록표!B4&amp;" / "&amp;중기목록표!C4</f>
        <v>고소작업차 / 3톤</v>
      </c>
      <c r="Y4683" s="433" t="str">
        <f ca="1">HYPERLINK("#"&amp;중기목록표!J2&amp;"!A"&amp;ROW(중기목록표!A4),"X00328 →")</f>
        <v>X00328 →</v>
      </c>
      <c r="Z4683" s="501" t="s">
        <v>3434</v>
      </c>
      <c r="AA4683" s="512">
        <f>AB4663</f>
        <v>7</v>
      </c>
      <c r="AB4683" s="501" t="s">
        <v>3368</v>
      </c>
      <c r="AC4683" s="515">
        <v>8</v>
      </c>
      <c r="AD4683" s="501" t="s">
        <v>3418</v>
      </c>
      <c r="AE4683" s="512">
        <f>1/AB4663*AC4683</f>
        <v>1.1428571428571428</v>
      </c>
      <c r="AF4683" s="500"/>
      <c r="AG4683" s="500"/>
      <c r="AH4683" s="500"/>
      <c r="AI4683" s="500"/>
      <c r="AJ4683" s="500"/>
      <c r="AK4683" s="500"/>
      <c r="AL4683" s="500"/>
      <c r="AM4683" s="500"/>
      <c r="AN4683" s="500"/>
      <c r="AO4683" s="500"/>
      <c r="AP4683" s="500"/>
    </row>
    <row r="4684" spans="1:42" ht="16.5" customHeight="1">
      <c r="A4684" s="439"/>
      <c r="B4684" s="439"/>
      <c r="C4684" s="439"/>
      <c r="D4684" s="439"/>
      <c r="E4684" s="439"/>
      <c r="F4684" s="439"/>
      <c r="G4684" s="451" t="s">
        <v>3406</v>
      </c>
      <c r="Z4684" s="500"/>
      <c r="AA4684" s="500"/>
      <c r="AB4684" s="500"/>
      <c r="AC4684" s="500"/>
      <c r="AD4684" s="500"/>
      <c r="AE4684" s="500"/>
      <c r="AF4684" s="500"/>
      <c r="AG4684" s="500"/>
      <c r="AH4684" s="500"/>
      <c r="AI4684" s="500"/>
      <c r="AJ4684" s="500"/>
      <c r="AK4684" s="500"/>
      <c r="AL4684" s="500"/>
      <c r="AM4684" s="500"/>
      <c r="AN4684" s="500"/>
      <c r="AO4684" s="500"/>
      <c r="AP4684" s="500"/>
    </row>
    <row r="4685" spans="1:42" ht="16.5" customHeight="1">
      <c r="A4685" s="439"/>
      <c r="B4685" s="439"/>
      <c r="C4685" s="439"/>
      <c r="D4685" s="439"/>
      <c r="E4685" s="439"/>
      <c r="F4685" s="439"/>
      <c r="G4685" s="451" t="s">
        <v>3406</v>
      </c>
      <c r="Z4685" s="500"/>
      <c r="AA4685" s="500"/>
      <c r="AB4685" s="500"/>
      <c r="AC4685" s="500"/>
      <c r="AD4685" s="500"/>
      <c r="AE4685" s="500"/>
      <c r="AF4685" s="500"/>
      <c r="AG4685" s="500"/>
      <c r="AH4685" s="500"/>
      <c r="AI4685" s="500"/>
      <c r="AJ4685" s="500"/>
      <c r="AK4685" s="500"/>
      <c r="AL4685" s="500"/>
      <c r="AM4685" s="500"/>
      <c r="AN4685" s="500"/>
      <c r="AO4685" s="500"/>
      <c r="AP4685" s="500"/>
    </row>
    <row r="4686" spans="1:42" ht="16.5" customHeight="1">
      <c r="A4686" s="439"/>
      <c r="B4686" s="439"/>
      <c r="C4686" s="439"/>
      <c r="D4686" s="439"/>
      <c r="E4686" s="439"/>
      <c r="F4686" s="439"/>
      <c r="G4686" s="451" t="s">
        <v>3406</v>
      </c>
      <c r="Z4686" s="500"/>
      <c r="AA4686" s="500"/>
      <c r="AB4686" s="500"/>
      <c r="AC4686" s="500"/>
      <c r="AD4686" s="500"/>
      <c r="AE4686" s="500"/>
      <c r="AF4686" s="500"/>
      <c r="AG4686" s="500"/>
      <c r="AH4686" s="500"/>
      <c r="AI4686" s="500"/>
      <c r="AJ4686" s="500"/>
      <c r="AK4686" s="500"/>
      <c r="AL4686" s="500"/>
      <c r="AM4686" s="500"/>
      <c r="AN4686" s="500"/>
      <c r="AO4686" s="500"/>
      <c r="AP4686" s="500"/>
    </row>
    <row r="4687" spans="1:42" ht="16.5" customHeight="1">
      <c r="A4687" s="439"/>
      <c r="B4687" s="439"/>
      <c r="C4687" s="439"/>
      <c r="D4687" s="439"/>
      <c r="E4687" s="439"/>
      <c r="F4687" s="439"/>
      <c r="G4687" s="451" t="s">
        <v>3406</v>
      </c>
      <c r="Z4687" s="500"/>
      <c r="AA4687" s="500"/>
      <c r="AB4687" s="500"/>
      <c r="AC4687" s="500"/>
      <c r="AD4687" s="500"/>
      <c r="AE4687" s="500"/>
      <c r="AF4687" s="500"/>
      <c r="AG4687" s="500"/>
      <c r="AH4687" s="500"/>
      <c r="AI4687" s="500"/>
      <c r="AJ4687" s="500"/>
      <c r="AK4687" s="500"/>
      <c r="AL4687" s="500"/>
      <c r="AM4687" s="500"/>
      <c r="AN4687" s="500"/>
      <c r="AO4687" s="500"/>
      <c r="AP4687" s="500"/>
    </row>
    <row r="4688" spans="1:42" ht="16.5" customHeight="1">
      <c r="A4688" s="434"/>
      <c r="B4688" s="505" t="str">
        <f>" 2. 기계경비(인력품의 3%) : "&amp;TEXT(I4688,"#,##0.0")&amp;" * "&amp;AA4688&amp;" %  = "&amp;TEXT(C4688,"#,##0.0")&amp;""</f>
        <v xml:space="preserve"> 2. 기계경비(인력품의 3%) : 91,782.2 * 3 %  = 2,753.4</v>
      </c>
      <c r="C4688" s="506">
        <f>E4688+D4688+F4688</f>
        <v>2753.4</v>
      </c>
      <c r="D4688" s="506">
        <f>IF(H4688=0,0,ROUNDDOWN(J4688*H4688/100,1))</f>
        <v>0</v>
      </c>
      <c r="E4688" s="506">
        <f>IF(H4688=0,0,ROUNDDOWN(K4688*H4688/100,1))</f>
        <v>0</v>
      </c>
      <c r="F4688" s="506">
        <f>IF(H4688=0,0,ROUNDDOWN(L4688*H4688/100,1))</f>
        <v>2753.4</v>
      </c>
      <c r="G4688" s="451" t="s">
        <v>3923</v>
      </c>
      <c r="H4688" s="507">
        <f>ROUNDUP(AC4688,14-LEN(ABS(INT(AC4688))))</f>
        <v>3</v>
      </c>
      <c r="I4688" s="508">
        <f>K4688+J4688+L4688</f>
        <v>91782.200000000012</v>
      </c>
      <c r="J4688" s="456">
        <v>0</v>
      </c>
      <c r="K4688" s="456">
        <v>0</v>
      </c>
      <c r="L4688" s="509">
        <f>D4670+D4672</f>
        <v>91782.200000000012</v>
      </c>
      <c r="M4688" s="501" t="s">
        <v>3743</v>
      </c>
      <c r="N4688" s="501" t="s">
        <v>3416</v>
      </c>
      <c r="Z4688" s="501" t="s">
        <v>3500</v>
      </c>
      <c r="AA4688" s="515">
        <v>3</v>
      </c>
      <c r="AB4688" s="501" t="s">
        <v>3418</v>
      </c>
      <c r="AC4688" s="512">
        <f>1*AA4688</f>
        <v>3</v>
      </c>
      <c r="AD4688" s="500"/>
      <c r="AE4688" s="500"/>
      <c r="AF4688" s="500"/>
      <c r="AG4688" s="500"/>
      <c r="AH4688" s="500"/>
      <c r="AI4688" s="500"/>
      <c r="AJ4688" s="500"/>
      <c r="AK4688" s="500"/>
      <c r="AL4688" s="500"/>
      <c r="AM4688" s="500"/>
      <c r="AN4688" s="500"/>
      <c r="AO4688" s="500"/>
      <c r="AP4688" s="500"/>
    </row>
    <row r="4689" spans="1:42" ht="16.5" customHeight="1">
      <c r="A4689" s="439"/>
      <c r="B4689" s="439"/>
      <c r="C4689" s="439"/>
      <c r="D4689" s="439"/>
      <c r="E4689" s="439"/>
      <c r="F4689" s="439"/>
      <c r="G4689" s="451" t="s">
        <v>3406</v>
      </c>
      <c r="Z4689" s="500"/>
      <c r="AA4689" s="500"/>
      <c r="AB4689" s="500"/>
      <c r="AC4689" s="500"/>
      <c r="AD4689" s="500"/>
      <c r="AE4689" s="500"/>
      <c r="AF4689" s="500"/>
      <c r="AG4689" s="500"/>
      <c r="AH4689" s="500"/>
      <c r="AI4689" s="500"/>
      <c r="AJ4689" s="500"/>
      <c r="AK4689" s="500"/>
      <c r="AL4689" s="500"/>
      <c r="AM4689" s="500"/>
      <c r="AN4689" s="500"/>
      <c r="AO4689" s="500"/>
      <c r="AP4689" s="500"/>
    </row>
    <row r="4690" spans="1:42" ht="16.5" customHeight="1">
      <c r="A4690" s="434"/>
      <c r="B4690" s="437" t="s">
        <v>3419</v>
      </c>
      <c r="C4690" s="513">
        <f>E4690+D4690+F4690</f>
        <v>85385.299999999988</v>
      </c>
      <c r="D4690" s="513">
        <f>SUMIF(N4675:N4689,M4690,D4675:D4689)</f>
        <v>56889.1</v>
      </c>
      <c r="E4690" s="513">
        <f>SUMIF(N4675:N4689,M4690,E4675:E4689)</f>
        <v>5861.7</v>
      </c>
      <c r="F4690" s="513">
        <f>SUMIF(N4675:N4689,M4690,F4675:F4689)</f>
        <v>22634.5</v>
      </c>
      <c r="G4690" s="451" t="s">
        <v>3420</v>
      </c>
      <c r="M4690" s="501" t="s">
        <v>3416</v>
      </c>
      <c r="N4690" s="501" t="s">
        <v>3421</v>
      </c>
      <c r="Z4690" s="500"/>
      <c r="AA4690" s="500"/>
      <c r="AB4690" s="500"/>
      <c r="AC4690" s="500"/>
      <c r="AD4690" s="500"/>
      <c r="AE4690" s="500"/>
      <c r="AF4690" s="500"/>
      <c r="AG4690" s="500"/>
      <c r="AH4690" s="500"/>
      <c r="AI4690" s="500"/>
      <c r="AJ4690" s="500"/>
      <c r="AK4690" s="500"/>
      <c r="AL4690" s="500"/>
      <c r="AM4690" s="500"/>
      <c r="AN4690" s="500"/>
      <c r="AO4690" s="500"/>
      <c r="AP4690" s="500"/>
    </row>
    <row r="4691" spans="1:42" ht="16.5" customHeight="1">
      <c r="A4691" s="439"/>
      <c r="B4691" s="439"/>
      <c r="C4691" s="504"/>
      <c r="D4691" s="504"/>
      <c r="E4691" s="504"/>
      <c r="F4691" s="504"/>
      <c r="G4691" s="451" t="s">
        <v>3406</v>
      </c>
      <c r="Z4691" s="500"/>
      <c r="AA4691" s="500"/>
      <c r="AB4691" s="500"/>
      <c r="AC4691" s="500"/>
      <c r="AD4691" s="500"/>
      <c r="AE4691" s="500"/>
      <c r="AF4691" s="500"/>
      <c r="AG4691" s="500"/>
      <c r="AH4691" s="500"/>
      <c r="AI4691" s="500"/>
      <c r="AJ4691" s="500"/>
      <c r="AK4691" s="500"/>
      <c r="AL4691" s="500"/>
      <c r="AM4691" s="500"/>
      <c r="AN4691" s="500"/>
      <c r="AO4691" s="500"/>
      <c r="AP4691" s="500"/>
    </row>
    <row r="4692" spans="1:42" ht="16.5" customHeight="1">
      <c r="A4692" s="439"/>
      <c r="B4692" s="439"/>
      <c r="C4692" s="439"/>
      <c r="D4692" s="439"/>
      <c r="E4692" s="439"/>
      <c r="F4692" s="439"/>
      <c r="G4692" s="451" t="s">
        <v>3406</v>
      </c>
      <c r="Z4692" s="500"/>
      <c r="AA4692" s="500"/>
      <c r="AB4692" s="500"/>
      <c r="AC4692" s="500"/>
      <c r="AD4692" s="500"/>
      <c r="AE4692" s="500"/>
      <c r="AF4692" s="500"/>
      <c r="AG4692" s="500"/>
      <c r="AH4692" s="500"/>
      <c r="AI4692" s="500"/>
      <c r="AJ4692" s="500"/>
      <c r="AK4692" s="500"/>
      <c r="AL4692" s="500"/>
      <c r="AM4692" s="500"/>
      <c r="AN4692" s="500"/>
      <c r="AO4692" s="500"/>
      <c r="AP4692" s="500"/>
    </row>
    <row r="4693" spans="1:42" ht="16.5" customHeight="1">
      <c r="A4693" s="434"/>
      <c r="B4693" s="437" t="s">
        <v>3440</v>
      </c>
      <c r="C4693" s="513">
        <f>E4693+D4693+F4693</f>
        <v>177167.50000000003</v>
      </c>
      <c r="D4693" s="513">
        <f>SUMIF(N4657:N4692,M4693,D4657:D4692)</f>
        <v>148671.30000000002</v>
      </c>
      <c r="E4693" s="513">
        <f>SUMIF(N4657:N4692,M4693,E4657:E4692)</f>
        <v>5861.7</v>
      </c>
      <c r="F4693" s="513">
        <f>SUMIF(N4657:N4692,M4693,F4657:F4692)</f>
        <v>22634.5</v>
      </c>
      <c r="G4693" s="451" t="s">
        <v>3484</v>
      </c>
      <c r="M4693" s="501" t="s">
        <v>3421</v>
      </c>
      <c r="N4693" s="501" t="s">
        <v>2354</v>
      </c>
      <c r="Z4693" s="500"/>
      <c r="AA4693" s="500"/>
      <c r="AB4693" s="500"/>
      <c r="AC4693" s="500"/>
      <c r="AD4693" s="500"/>
      <c r="AE4693" s="500"/>
      <c r="AF4693" s="500"/>
      <c r="AG4693" s="500"/>
      <c r="AH4693" s="500"/>
      <c r="AI4693" s="500"/>
      <c r="AJ4693" s="500"/>
      <c r="AK4693" s="500"/>
      <c r="AL4693" s="500"/>
      <c r="AM4693" s="500"/>
      <c r="AN4693" s="500"/>
      <c r="AO4693" s="500"/>
      <c r="AP4693" s="500"/>
    </row>
    <row r="4694" spans="1:42" ht="16.5" customHeight="1">
      <c r="A4694" s="439"/>
      <c r="B4694" s="439"/>
      <c r="C4694" s="504"/>
      <c r="D4694" s="504"/>
      <c r="E4694" s="504"/>
      <c r="F4694" s="504"/>
      <c r="Z4694" s="500"/>
      <c r="AA4694" s="500"/>
      <c r="AB4694" s="500"/>
      <c r="AC4694" s="500"/>
      <c r="AD4694" s="500"/>
      <c r="AE4694" s="500"/>
      <c r="AF4694" s="500"/>
      <c r="AG4694" s="500"/>
      <c r="AH4694" s="500"/>
      <c r="AI4694" s="500"/>
      <c r="AJ4694" s="500"/>
      <c r="AK4694" s="500"/>
      <c r="AL4694" s="500"/>
      <c r="AM4694" s="500"/>
      <c r="AN4694" s="500"/>
      <c r="AO4694" s="500"/>
      <c r="AP4694" s="500"/>
    </row>
    <row r="4695" spans="1:42" ht="16.5" customHeight="1">
      <c r="A4695" s="439"/>
      <c r="B4695" s="439"/>
      <c r="C4695" s="439"/>
      <c r="D4695" s="439"/>
      <c r="E4695" s="439"/>
      <c r="F4695" s="439"/>
      <c r="Z4695" s="500"/>
      <c r="AA4695" s="500"/>
      <c r="AB4695" s="500"/>
      <c r="AC4695" s="500"/>
      <c r="AD4695" s="500"/>
      <c r="AE4695" s="500"/>
      <c r="AF4695" s="500"/>
      <c r="AG4695" s="500"/>
      <c r="AH4695" s="500"/>
      <c r="AI4695" s="500"/>
      <c r="AJ4695" s="500"/>
      <c r="AK4695" s="500"/>
      <c r="AL4695" s="500"/>
      <c r="AM4695" s="500"/>
      <c r="AN4695" s="500"/>
      <c r="AO4695" s="500"/>
      <c r="AP4695" s="500"/>
    </row>
    <row r="4696" spans="1:42" ht="16.5" customHeight="1">
      <c r="A4696" s="439"/>
      <c r="B4696" s="439"/>
      <c r="C4696" s="439"/>
      <c r="D4696" s="439"/>
      <c r="E4696" s="439"/>
      <c r="F4696" s="439"/>
      <c r="Z4696" s="500"/>
      <c r="AA4696" s="500"/>
      <c r="AB4696" s="500"/>
      <c r="AC4696" s="500"/>
      <c r="AD4696" s="500"/>
      <c r="AE4696" s="500"/>
      <c r="AF4696" s="500"/>
      <c r="AG4696" s="500"/>
      <c r="AH4696" s="500"/>
      <c r="AI4696" s="500"/>
      <c r="AJ4696" s="500"/>
      <c r="AK4696" s="500"/>
      <c r="AL4696" s="500"/>
      <c r="AM4696" s="500"/>
      <c r="AN4696" s="500"/>
      <c r="AO4696" s="500"/>
      <c r="AP4696" s="500"/>
    </row>
    <row r="4697" spans="1:42" ht="16.5" customHeight="1">
      <c r="A4697" s="439"/>
      <c r="B4697" s="439"/>
      <c r="C4697" s="439"/>
      <c r="D4697" s="439"/>
      <c r="E4697" s="439"/>
      <c r="F4697" s="439"/>
      <c r="Z4697" s="500"/>
      <c r="AA4697" s="500"/>
      <c r="AB4697" s="500"/>
      <c r="AC4697" s="500"/>
      <c r="AD4697" s="500"/>
      <c r="AE4697" s="500"/>
      <c r="AF4697" s="500"/>
      <c r="AG4697" s="500"/>
      <c r="AH4697" s="500"/>
      <c r="AI4697" s="500"/>
      <c r="AJ4697" s="500"/>
      <c r="AK4697" s="500"/>
      <c r="AL4697" s="500"/>
      <c r="AM4697" s="500"/>
      <c r="AN4697" s="500"/>
      <c r="AO4697" s="500"/>
      <c r="AP4697" s="500"/>
    </row>
    <row r="4698" spans="1:42" ht="16.5" customHeight="1">
      <c r="A4698" s="439"/>
      <c r="B4698" s="439"/>
      <c r="C4698" s="439"/>
      <c r="D4698" s="439"/>
      <c r="E4698" s="439"/>
      <c r="F4698" s="439"/>
      <c r="Z4698" s="500"/>
      <c r="AA4698" s="500"/>
      <c r="AB4698" s="500"/>
      <c r="AC4698" s="500"/>
      <c r="AD4698" s="500"/>
      <c r="AE4698" s="500"/>
      <c r="AF4698" s="500"/>
      <c r="AG4698" s="500"/>
      <c r="AH4698" s="500"/>
      <c r="AI4698" s="500"/>
      <c r="AJ4698" s="500"/>
      <c r="AK4698" s="500"/>
      <c r="AL4698" s="500"/>
      <c r="AM4698" s="500"/>
      <c r="AN4698" s="500"/>
      <c r="AO4698" s="500"/>
      <c r="AP4698" s="500"/>
    </row>
    <row r="4699" spans="1:42" ht="16.5" customHeight="1">
      <c r="A4699" s="439"/>
      <c r="B4699" s="439"/>
      <c r="C4699" s="439"/>
      <c r="D4699" s="439"/>
      <c r="E4699" s="439"/>
      <c r="F4699" s="439"/>
      <c r="Z4699" s="500"/>
      <c r="AA4699" s="500"/>
      <c r="AB4699" s="500"/>
      <c r="AC4699" s="500"/>
      <c r="AD4699" s="500"/>
      <c r="AE4699" s="500"/>
      <c r="AF4699" s="500"/>
      <c r="AG4699" s="500"/>
      <c r="AH4699" s="500"/>
      <c r="AI4699" s="500"/>
      <c r="AJ4699" s="500"/>
      <c r="AK4699" s="500"/>
      <c r="AL4699" s="500"/>
      <c r="AM4699" s="500"/>
      <c r="AN4699" s="500"/>
      <c r="AO4699" s="500"/>
      <c r="AP4699" s="500"/>
    </row>
    <row r="4700" spans="1:42" ht="16.5" customHeight="1">
      <c r="A4700" s="439"/>
      <c r="B4700" s="439"/>
      <c r="C4700" s="439"/>
      <c r="D4700" s="439"/>
      <c r="E4700" s="439"/>
      <c r="F4700" s="439"/>
      <c r="Z4700" s="500"/>
      <c r="AA4700" s="500"/>
      <c r="AB4700" s="500"/>
      <c r="AC4700" s="500"/>
      <c r="AD4700" s="500"/>
      <c r="AE4700" s="500"/>
      <c r="AF4700" s="500"/>
      <c r="AG4700" s="500"/>
      <c r="AH4700" s="500"/>
      <c r="AI4700" s="500"/>
      <c r="AJ4700" s="500"/>
      <c r="AK4700" s="500"/>
      <c r="AL4700" s="500"/>
      <c r="AM4700" s="500"/>
      <c r="AN4700" s="500"/>
      <c r="AO4700" s="500"/>
      <c r="AP4700" s="500"/>
    </row>
    <row r="4701" spans="1:42" ht="16.5" customHeight="1">
      <c r="A4701" s="439"/>
      <c r="B4701" s="439"/>
      <c r="C4701" s="439"/>
      <c r="D4701" s="439"/>
      <c r="E4701" s="439"/>
      <c r="F4701" s="439"/>
      <c r="Z4701" s="500"/>
      <c r="AA4701" s="500"/>
      <c r="AB4701" s="500"/>
      <c r="AC4701" s="500"/>
      <c r="AD4701" s="500"/>
      <c r="AE4701" s="500"/>
      <c r="AF4701" s="500"/>
      <c r="AG4701" s="500"/>
      <c r="AH4701" s="500"/>
      <c r="AI4701" s="500"/>
      <c r="AJ4701" s="500"/>
      <c r="AK4701" s="500"/>
      <c r="AL4701" s="500"/>
      <c r="AM4701" s="500"/>
      <c r="AN4701" s="500"/>
      <c r="AO4701" s="500"/>
      <c r="AP4701" s="500"/>
    </row>
    <row r="4702" spans="1:42" ht="16.5" customHeight="1">
      <c r="A4702" s="439"/>
      <c r="B4702" s="439"/>
      <c r="C4702" s="439"/>
      <c r="D4702" s="439"/>
      <c r="E4702" s="439"/>
      <c r="F4702" s="439"/>
      <c r="Z4702" s="500"/>
      <c r="AA4702" s="500"/>
      <c r="AB4702" s="500"/>
      <c r="AC4702" s="500"/>
      <c r="AD4702" s="500"/>
      <c r="AE4702" s="500"/>
      <c r="AF4702" s="500"/>
      <c r="AG4702" s="500"/>
      <c r="AH4702" s="500"/>
      <c r="AI4702" s="500"/>
      <c r="AJ4702" s="500"/>
      <c r="AK4702" s="500"/>
      <c r="AL4702" s="500"/>
      <c r="AM4702" s="500"/>
      <c r="AN4702" s="500"/>
      <c r="AO4702" s="500"/>
      <c r="AP4702" s="500"/>
    </row>
    <row r="4703" spans="1:42" ht="16.5" customHeight="1">
      <c r="A4703" s="497"/>
      <c r="B4703" s="497"/>
      <c r="C4703" s="497"/>
      <c r="D4703" s="497"/>
      <c r="E4703" s="497"/>
      <c r="F4703" s="497"/>
      <c r="Z4703" s="500"/>
      <c r="AA4703" s="500"/>
      <c r="AB4703" s="500"/>
      <c r="AC4703" s="500"/>
      <c r="AD4703" s="500"/>
      <c r="AE4703" s="500"/>
      <c r="AF4703" s="500"/>
      <c r="AG4703" s="500"/>
      <c r="AH4703" s="500"/>
      <c r="AI4703" s="500"/>
      <c r="AJ4703" s="500"/>
      <c r="AK4703" s="500"/>
      <c r="AL4703" s="500"/>
      <c r="AM4703" s="500"/>
      <c r="AN4703" s="500"/>
      <c r="AO4703" s="500"/>
      <c r="AP4703" s="500"/>
    </row>
    <row r="4704" spans="1:42" ht="16.5" customHeight="1">
      <c r="A4704" s="616" t="s">
        <v>3487</v>
      </c>
      <c r="B4704" s="605"/>
      <c r="C4704" s="446">
        <f>E4704+D4704+F4704</f>
        <v>177166</v>
      </c>
      <c r="D4704" s="453">
        <f>ROUNDDOWN(SUMIF(N4657:N4693,M4704,D4657:D4693),0)</f>
        <v>148671</v>
      </c>
      <c r="E4704" s="454">
        <f>ROUNDDOWN(SUMIF(N4657:N4693,M4704,E4657:E4693),0)</f>
        <v>5861</v>
      </c>
      <c r="F4704" s="446">
        <f>ROUNDDOWN(SUMIF(N4657:N4693,M4704,F4657:F4693),0)</f>
        <v>22634</v>
      </c>
      <c r="M4704" s="501" t="s">
        <v>2354</v>
      </c>
      <c r="Z4704" s="500"/>
      <c r="AA4704" s="500"/>
      <c r="AB4704" s="500"/>
      <c r="AC4704" s="500"/>
      <c r="AD4704" s="500"/>
      <c r="AE4704" s="500"/>
      <c r="AF4704" s="500"/>
      <c r="AG4704" s="500"/>
      <c r="AH4704" s="500"/>
      <c r="AI4704" s="500"/>
      <c r="AJ4704" s="500"/>
      <c r="AK4704" s="500"/>
      <c r="AL4704" s="500"/>
      <c r="AM4704" s="500"/>
      <c r="AN4704" s="500"/>
      <c r="AO4704" s="500"/>
      <c r="AP4704" s="500"/>
    </row>
    <row r="4705" spans="1:42" ht="16.5" customHeight="1">
      <c r="A4705" s="502" t="s">
        <v>3371</v>
      </c>
      <c r="B4705" s="503" t="s">
        <v>1941</v>
      </c>
      <c r="C4705" s="615">
        <f>C4754</f>
        <v>18381</v>
      </c>
      <c r="D4705" s="615">
        <f>D4754</f>
        <v>17846</v>
      </c>
      <c r="E4705" s="615">
        <f>E4754</f>
        <v>0</v>
      </c>
      <c r="F4705" s="615">
        <f>F4754</f>
        <v>535</v>
      </c>
      <c r="G4705" s="486" t="str">
        <f>HYPERLINK("#G"&amp;ROW(G4733),"_x0005_`BDCOD|D01279_x0007_`POSS|"&amp;ROW(G4707)&amp;"_x0007_`POSE|"&amp;ROW(G4733)&amp;"_x0007_`")</f>
        <v>_x0005_`BDCOD|D01279_x0007_`POSS|4707_x0007_`POSE|4733_x0007_`</v>
      </c>
      <c r="Z4705" s="500"/>
      <c r="AA4705" s="500"/>
      <c r="AB4705" s="500"/>
      <c r="AC4705" s="500"/>
      <c r="AD4705" s="500"/>
      <c r="AE4705" s="500"/>
      <c r="AF4705" s="500"/>
      <c r="AG4705" s="500"/>
      <c r="AH4705" s="500"/>
      <c r="AI4705" s="500"/>
      <c r="AJ4705" s="500"/>
      <c r="AK4705" s="500"/>
      <c r="AL4705" s="500"/>
      <c r="AM4705" s="500"/>
      <c r="AN4705" s="500"/>
      <c r="AO4705" s="500"/>
      <c r="AP4705" s="500"/>
    </row>
    <row r="4706" spans="1:42" ht="16.5" customHeight="1">
      <c r="A4706" s="485"/>
      <c r="B4706" s="503" t="s">
        <v>3952</v>
      </c>
      <c r="C4706" s="593"/>
      <c r="D4706" s="593"/>
      <c r="E4706" s="593"/>
      <c r="F4706" s="593"/>
      <c r="M4706" s="501" t="s">
        <v>1941</v>
      </c>
      <c r="Z4706" s="500"/>
      <c r="AA4706" s="500"/>
      <c r="AB4706" s="500"/>
      <c r="AC4706" s="500"/>
      <c r="AD4706" s="500"/>
      <c r="AE4706" s="500"/>
      <c r="AF4706" s="500"/>
      <c r="AG4706" s="500"/>
      <c r="AH4706" s="500"/>
      <c r="AI4706" s="500"/>
      <c r="AJ4706" s="500"/>
      <c r="AK4706" s="500"/>
      <c r="AL4706" s="500"/>
      <c r="AM4706" s="500"/>
      <c r="AN4706" s="500"/>
      <c r="AO4706" s="500"/>
      <c r="AP4706" s="500"/>
    </row>
    <row r="4707" spans="1:42" ht="16.5" customHeight="1">
      <c r="A4707" s="439"/>
      <c r="B4707" s="439"/>
      <c r="C4707" s="504"/>
      <c r="D4707" s="504"/>
      <c r="E4707" s="504"/>
      <c r="F4707" s="504"/>
      <c r="G4707" s="451" t="s">
        <v>3406</v>
      </c>
      <c r="Z4707" s="500"/>
      <c r="AA4707" s="500"/>
      <c r="AB4707" s="500"/>
      <c r="AC4707" s="500"/>
      <c r="AD4707" s="500"/>
      <c r="AE4707" s="500"/>
      <c r="AF4707" s="500"/>
      <c r="AG4707" s="500"/>
      <c r="AH4707" s="500"/>
      <c r="AI4707" s="500"/>
      <c r="AJ4707" s="500"/>
      <c r="AK4707" s="500"/>
      <c r="AL4707" s="500"/>
      <c r="AM4707" s="500"/>
      <c r="AN4707" s="500"/>
      <c r="AO4707" s="500"/>
      <c r="AP4707" s="500"/>
    </row>
    <row r="4708" spans="1:42" ht="16.5" customHeight="1">
      <c r="A4708" s="434"/>
      <c r="B4708" s="437" t="s">
        <v>3953</v>
      </c>
      <c r="C4708" s="439"/>
      <c r="D4708" s="439"/>
      <c r="E4708" s="439"/>
      <c r="F4708" s="439"/>
      <c r="G4708" s="451" t="s">
        <v>3954</v>
      </c>
      <c r="Z4708" s="500"/>
      <c r="AA4708" s="500"/>
      <c r="AB4708" s="500"/>
      <c r="AC4708" s="500"/>
      <c r="AD4708" s="500"/>
      <c r="AE4708" s="500"/>
      <c r="AF4708" s="500"/>
      <c r="AG4708" s="500"/>
      <c r="AH4708" s="500"/>
      <c r="AI4708" s="500"/>
      <c r="AJ4708" s="500"/>
      <c r="AK4708" s="500"/>
      <c r="AL4708" s="500"/>
      <c r="AM4708" s="500"/>
      <c r="AN4708" s="500"/>
      <c r="AO4708" s="500"/>
      <c r="AP4708" s="500"/>
    </row>
    <row r="4709" spans="1:42" ht="16.5" customHeight="1">
      <c r="A4709" s="439"/>
      <c r="B4709" s="439"/>
      <c r="C4709" s="439"/>
      <c r="D4709" s="439"/>
      <c r="E4709" s="439"/>
      <c r="F4709" s="439"/>
      <c r="G4709" s="451" t="s">
        <v>3406</v>
      </c>
      <c r="Z4709" s="500"/>
      <c r="AA4709" s="500"/>
      <c r="AB4709" s="500"/>
      <c r="AC4709" s="500"/>
      <c r="AD4709" s="500"/>
      <c r="AE4709" s="500"/>
      <c r="AF4709" s="500"/>
      <c r="AG4709" s="500"/>
      <c r="AH4709" s="500"/>
      <c r="AI4709" s="500"/>
      <c r="AJ4709" s="500"/>
      <c r="AK4709" s="500"/>
      <c r="AL4709" s="500"/>
      <c r="AM4709" s="500"/>
      <c r="AN4709" s="500"/>
      <c r="AO4709" s="500"/>
      <c r="AP4709" s="500"/>
    </row>
    <row r="4710" spans="1:42" ht="16.5" customHeight="1">
      <c r="A4710" s="434"/>
      <c r="B4710" s="437" t="s">
        <v>3907</v>
      </c>
      <c r="C4710" s="439"/>
      <c r="D4710" s="439"/>
      <c r="E4710" s="439"/>
      <c r="F4710" s="439"/>
      <c r="G4710" s="451" t="s">
        <v>3908</v>
      </c>
      <c r="Z4710" s="500"/>
      <c r="AA4710" s="500"/>
      <c r="AB4710" s="500"/>
      <c r="AC4710" s="500"/>
      <c r="AD4710" s="500"/>
      <c r="AE4710" s="500"/>
      <c r="AF4710" s="500"/>
      <c r="AG4710" s="500"/>
      <c r="AH4710" s="500"/>
      <c r="AI4710" s="500"/>
      <c r="AJ4710" s="500"/>
      <c r="AK4710" s="500"/>
      <c r="AL4710" s="500"/>
      <c r="AM4710" s="500"/>
      <c r="AN4710" s="500"/>
      <c r="AO4710" s="500"/>
      <c r="AP4710" s="500"/>
    </row>
    <row r="4711" spans="1:42" ht="16.5" customHeight="1">
      <c r="A4711" s="439"/>
      <c r="B4711" s="439"/>
      <c r="C4711" s="439"/>
      <c r="D4711" s="439"/>
      <c r="E4711" s="439"/>
      <c r="F4711" s="439"/>
      <c r="G4711" s="451" t="s">
        <v>3406</v>
      </c>
      <c r="Z4711" s="500"/>
      <c r="AA4711" s="500"/>
      <c r="AB4711" s="500"/>
      <c r="AC4711" s="500"/>
      <c r="AD4711" s="500"/>
      <c r="AE4711" s="500"/>
      <c r="AF4711" s="500"/>
      <c r="AG4711" s="500"/>
      <c r="AH4711" s="500"/>
      <c r="AI4711" s="500"/>
      <c r="AJ4711" s="500"/>
      <c r="AK4711" s="500"/>
      <c r="AL4711" s="500"/>
      <c r="AM4711" s="500"/>
      <c r="AN4711" s="500"/>
      <c r="AO4711" s="500"/>
      <c r="AP4711" s="500"/>
    </row>
    <row r="4712" spans="1:42" ht="16.5" customHeight="1">
      <c r="A4712" s="434"/>
      <c r="B4712" s="437" t="s">
        <v>3955</v>
      </c>
      <c r="C4712" s="439"/>
      <c r="D4712" s="439"/>
      <c r="E4712" s="439"/>
      <c r="F4712" s="439"/>
      <c r="G4712" s="451" t="s">
        <v>3956</v>
      </c>
      <c r="Z4712" s="500"/>
      <c r="AA4712" s="500"/>
      <c r="AB4712" s="500"/>
      <c r="AC4712" s="500"/>
      <c r="AD4712" s="500"/>
      <c r="AE4712" s="500"/>
      <c r="AF4712" s="500"/>
      <c r="AG4712" s="500"/>
      <c r="AH4712" s="500"/>
      <c r="AI4712" s="500"/>
      <c r="AJ4712" s="500"/>
      <c r="AK4712" s="500"/>
      <c r="AL4712" s="500"/>
      <c r="AM4712" s="500"/>
      <c r="AN4712" s="500"/>
      <c r="AO4712" s="500"/>
      <c r="AP4712" s="500"/>
    </row>
    <row r="4713" spans="1:42" ht="16.5" customHeight="1">
      <c r="A4713" s="439"/>
      <c r="B4713" s="439"/>
      <c r="C4713" s="439"/>
      <c r="D4713" s="439"/>
      <c r="E4713" s="439"/>
      <c r="F4713" s="439"/>
      <c r="G4713" s="451" t="s">
        <v>3406</v>
      </c>
      <c r="Z4713" s="500"/>
      <c r="AA4713" s="500"/>
      <c r="AB4713" s="500"/>
      <c r="AC4713" s="500"/>
      <c r="AD4713" s="500"/>
      <c r="AE4713" s="500"/>
      <c r="AF4713" s="500"/>
      <c r="AG4713" s="500"/>
      <c r="AH4713" s="500"/>
      <c r="AI4713" s="500"/>
      <c r="AJ4713" s="500"/>
      <c r="AK4713" s="500"/>
      <c r="AL4713" s="500"/>
      <c r="AM4713" s="500"/>
      <c r="AN4713" s="500"/>
      <c r="AO4713" s="500"/>
      <c r="AP4713" s="500"/>
    </row>
    <row r="4714" spans="1:42" ht="16.5" customHeight="1">
      <c r="A4714" s="434"/>
      <c r="B4714" s="437" t="str">
        <f>" 일당 작업량 :  Q1 = "&amp;Z4714&amp;" 주 "</f>
        <v xml:space="preserve"> 일당 작업량 :  Q1 = 36 주 </v>
      </c>
      <c r="C4714" s="439"/>
      <c r="D4714" s="439"/>
      <c r="E4714" s="439"/>
      <c r="F4714" s="439"/>
      <c r="G4714" s="451" t="s">
        <v>3957</v>
      </c>
      <c r="Z4714" s="515">
        <v>36</v>
      </c>
      <c r="AA4714" s="501" t="s">
        <v>3418</v>
      </c>
      <c r="AB4714" s="512">
        <f>Z4714</f>
        <v>36</v>
      </c>
      <c r="AC4714" s="500"/>
      <c r="AD4714" s="500"/>
      <c r="AE4714" s="500"/>
      <c r="AF4714" s="500"/>
      <c r="AG4714" s="500"/>
      <c r="AH4714" s="500"/>
      <c r="AI4714" s="500"/>
      <c r="AJ4714" s="500"/>
      <c r="AK4714" s="500"/>
      <c r="AL4714" s="500"/>
      <c r="AM4714" s="500"/>
      <c r="AN4714" s="500"/>
      <c r="AO4714" s="500"/>
      <c r="AP4714" s="500"/>
    </row>
    <row r="4715" spans="1:42" ht="16.5" customHeight="1">
      <c r="A4715" s="439"/>
      <c r="B4715" s="439"/>
      <c r="C4715" s="439"/>
      <c r="D4715" s="439"/>
      <c r="E4715" s="439"/>
      <c r="F4715" s="439"/>
      <c r="G4715" s="451" t="s">
        <v>3406</v>
      </c>
      <c r="Z4715" s="500"/>
      <c r="AA4715" s="500"/>
      <c r="AB4715" s="500"/>
      <c r="AC4715" s="500"/>
      <c r="AD4715" s="500"/>
      <c r="AE4715" s="500"/>
      <c r="AF4715" s="500"/>
      <c r="AG4715" s="500"/>
      <c r="AH4715" s="500"/>
      <c r="AI4715" s="500"/>
      <c r="AJ4715" s="500"/>
      <c r="AK4715" s="500"/>
      <c r="AL4715" s="500"/>
      <c r="AM4715" s="500"/>
      <c r="AN4715" s="500"/>
      <c r="AO4715" s="500"/>
      <c r="AP4715" s="500"/>
    </row>
    <row r="4716" spans="1:42" ht="16.5" customHeight="1">
      <c r="A4716" s="434"/>
      <c r="B4716" s="437" t="s">
        <v>3958</v>
      </c>
      <c r="C4716" s="439"/>
      <c r="D4716" s="439"/>
      <c r="E4716" s="439"/>
      <c r="F4716" s="439"/>
      <c r="G4716" s="451" t="s">
        <v>3959</v>
      </c>
      <c r="Z4716" s="500"/>
      <c r="AA4716" s="500"/>
      <c r="AB4716" s="500"/>
      <c r="AC4716" s="500"/>
      <c r="AD4716" s="500"/>
      <c r="AE4716" s="500"/>
      <c r="AF4716" s="500"/>
      <c r="AG4716" s="500"/>
      <c r="AH4716" s="500"/>
      <c r="AI4716" s="500"/>
      <c r="AJ4716" s="500"/>
      <c r="AK4716" s="500"/>
      <c r="AL4716" s="500"/>
      <c r="AM4716" s="500"/>
      <c r="AN4716" s="500"/>
      <c r="AO4716" s="500"/>
      <c r="AP4716" s="500"/>
    </row>
    <row r="4717" spans="1:42" ht="16.5" customHeight="1">
      <c r="A4717" s="439"/>
      <c r="B4717" s="439"/>
      <c r="C4717" s="439"/>
      <c r="D4717" s="439"/>
      <c r="E4717" s="439"/>
      <c r="F4717" s="439"/>
      <c r="G4717" s="451" t="s">
        <v>3406</v>
      </c>
      <c r="Z4717" s="500"/>
      <c r="AA4717" s="500"/>
      <c r="AB4717" s="500"/>
      <c r="AC4717" s="500"/>
      <c r="AD4717" s="500"/>
      <c r="AE4717" s="500"/>
      <c r="AF4717" s="500"/>
      <c r="AG4717" s="500"/>
      <c r="AH4717" s="500"/>
      <c r="AI4717" s="500"/>
      <c r="AJ4717" s="500"/>
      <c r="AK4717" s="500"/>
      <c r="AL4717" s="500"/>
      <c r="AM4717" s="500"/>
      <c r="AN4717" s="500"/>
      <c r="AO4717" s="500"/>
      <c r="AP4717" s="500"/>
    </row>
    <row r="4718" spans="1:42" ht="16.5" customHeight="1">
      <c r="A4718" s="439"/>
      <c r="B4718" s="439"/>
      <c r="C4718" s="439"/>
      <c r="D4718" s="439"/>
      <c r="E4718" s="439"/>
      <c r="F4718" s="439"/>
      <c r="G4718" s="451" t="s">
        <v>3406</v>
      </c>
      <c r="Z4718" s="500"/>
      <c r="AA4718" s="500"/>
      <c r="AB4718" s="500"/>
      <c r="AC4718" s="500"/>
      <c r="AD4718" s="500"/>
      <c r="AE4718" s="500"/>
      <c r="AF4718" s="500"/>
      <c r="AG4718" s="500"/>
      <c r="AH4718" s="500"/>
      <c r="AI4718" s="500"/>
      <c r="AJ4718" s="500"/>
      <c r="AK4718" s="500"/>
      <c r="AL4718" s="500"/>
      <c r="AM4718" s="500"/>
      <c r="AN4718" s="500"/>
      <c r="AO4718" s="500"/>
      <c r="AP4718" s="500"/>
    </row>
    <row r="4719" spans="1:42" ht="16.5" customHeight="1">
      <c r="A4719" s="434"/>
      <c r="B4719" s="437" t="s">
        <v>3496</v>
      </c>
      <c r="C4719" s="439"/>
      <c r="D4719" s="439"/>
      <c r="E4719" s="439"/>
      <c r="F4719" s="439"/>
      <c r="G4719" s="451" t="s">
        <v>3497</v>
      </c>
      <c r="Z4719" s="500"/>
      <c r="AA4719" s="500"/>
      <c r="AB4719" s="500"/>
      <c r="AC4719" s="500"/>
      <c r="AD4719" s="500"/>
      <c r="AE4719" s="500"/>
      <c r="AF4719" s="500"/>
      <c r="AG4719" s="500"/>
      <c r="AH4719" s="500"/>
      <c r="AI4719" s="500"/>
      <c r="AJ4719" s="500"/>
      <c r="AK4719" s="500"/>
      <c r="AL4719" s="500"/>
      <c r="AM4719" s="500"/>
      <c r="AN4719" s="500"/>
      <c r="AO4719" s="500"/>
      <c r="AP4719" s="500"/>
    </row>
    <row r="4720" spans="1:42" ht="16.5" customHeight="1">
      <c r="A4720" s="439"/>
      <c r="B4720" s="439"/>
      <c r="C4720" s="439"/>
      <c r="D4720" s="439"/>
      <c r="E4720" s="439"/>
      <c r="F4720" s="439"/>
      <c r="G4720" s="451" t="s">
        <v>3406</v>
      </c>
      <c r="Z4720" s="500"/>
      <c r="AA4720" s="500"/>
      <c r="AB4720" s="500"/>
      <c r="AC4720" s="500"/>
      <c r="AD4720" s="500"/>
      <c r="AE4720" s="500"/>
      <c r="AF4720" s="500"/>
      <c r="AG4720" s="500"/>
      <c r="AH4720" s="500"/>
      <c r="AI4720" s="500"/>
      <c r="AJ4720" s="500"/>
      <c r="AK4720" s="500"/>
      <c r="AL4720" s="500"/>
      <c r="AM4720" s="500"/>
      <c r="AN4720" s="500"/>
      <c r="AO4720" s="500"/>
      <c r="AP4720" s="500"/>
    </row>
    <row r="4721" spans="1:42" ht="16.5" customHeight="1">
      <c r="A4721" s="434" t="s">
        <v>3498</v>
      </c>
      <c r="B4721" s="505" t="str">
        <f>" 조 경 공 : "&amp;TEXT(I4721,"#,##0"&amp;IF(I4721&lt;&gt;INT(I4721),".###",""))&amp;" * "&amp;AA4721&amp;" 인  / Q1 = "&amp;TEXT(C4721,"#,##0.0")&amp;" "</f>
        <v xml:space="preserve"> 조 경 공 : 235,204 * 2 인  / Q1 = 13,066.8 </v>
      </c>
      <c r="C4721" s="506">
        <f>E4721+D4721+F4721</f>
        <v>13066.8</v>
      </c>
      <c r="D4721" s="506">
        <f>IF(H4721=0,0,ROUNDDOWN(J4721*H4721,1))</f>
        <v>13066.8</v>
      </c>
      <c r="E4721" s="506">
        <f>IF(H4721=0,0,ROUNDDOWN(K4721*H4721,1))</f>
        <v>0</v>
      </c>
      <c r="F4721" s="506">
        <f>IF(H4721=0,0,ROUNDDOWN(L4721*H4721,1))</f>
        <v>0</v>
      </c>
      <c r="G4721" s="451" t="s">
        <v>3960</v>
      </c>
      <c r="H4721" s="507">
        <f>ROUNDUP(AE4721,14-LEN(ABS(INT(AE4721))))</f>
        <v>5.5555555555600003E-2</v>
      </c>
      <c r="I4721" s="508">
        <f>K4721+J4721+L4721</f>
        <v>235204</v>
      </c>
      <c r="J4721" s="509">
        <f>노무비목록표!E15</f>
        <v>235204</v>
      </c>
      <c r="M4721" s="501" t="s">
        <v>2359</v>
      </c>
      <c r="N4721" s="501" t="s">
        <v>3416</v>
      </c>
      <c r="O4721" s="501" t="s">
        <v>2355</v>
      </c>
      <c r="X4721" s="510" t="str">
        <f>노무비목록표!B15&amp;" / "&amp;노무비목록표!C15</f>
        <v xml:space="preserve">조경공 / </v>
      </c>
      <c r="Y4721" s="433" t="str">
        <f ca="1">HYPERLINK("#"&amp;노무비목록표!G2&amp;"!A"&amp;ROW(노무비목록표!A15),"L00184 →")</f>
        <v>L00184 →</v>
      </c>
      <c r="Z4721" s="501" t="s">
        <v>3500</v>
      </c>
      <c r="AA4721" s="515">
        <v>2</v>
      </c>
      <c r="AB4721" s="501" t="s">
        <v>3428</v>
      </c>
      <c r="AC4721" s="512">
        <f>AB4714</f>
        <v>36</v>
      </c>
      <c r="AD4721" s="501" t="s">
        <v>3418</v>
      </c>
      <c r="AE4721" s="512">
        <f>1*AA4721/AB4714</f>
        <v>5.5555555555555552E-2</v>
      </c>
      <c r="AF4721" s="500"/>
      <c r="AG4721" s="500"/>
      <c r="AH4721" s="500"/>
      <c r="AI4721" s="500"/>
      <c r="AJ4721" s="500"/>
      <c r="AK4721" s="500"/>
      <c r="AL4721" s="500"/>
      <c r="AM4721" s="500"/>
      <c r="AN4721" s="500"/>
      <c r="AO4721" s="500"/>
      <c r="AP4721" s="500"/>
    </row>
    <row r="4722" spans="1:42" ht="16.5" customHeight="1">
      <c r="A4722" s="439"/>
      <c r="B4722" s="439"/>
      <c r="C4722" s="439"/>
      <c r="D4722" s="439"/>
      <c r="E4722" s="439"/>
      <c r="F4722" s="439"/>
      <c r="G4722" s="451" t="s">
        <v>3406</v>
      </c>
      <c r="Z4722" s="500"/>
      <c r="AA4722" s="500"/>
      <c r="AB4722" s="500"/>
      <c r="AC4722" s="500"/>
      <c r="AD4722" s="500"/>
      <c r="AE4722" s="500"/>
      <c r="AF4722" s="500"/>
      <c r="AG4722" s="500"/>
      <c r="AH4722" s="500"/>
      <c r="AI4722" s="500"/>
      <c r="AJ4722" s="500"/>
      <c r="AK4722" s="500"/>
      <c r="AL4722" s="500"/>
      <c r="AM4722" s="500"/>
      <c r="AN4722" s="500"/>
      <c r="AO4722" s="500"/>
      <c r="AP4722" s="500"/>
    </row>
    <row r="4723" spans="1:42" ht="16.5" customHeight="1">
      <c r="A4723" s="434" t="s">
        <v>3414</v>
      </c>
      <c r="B4723" s="505" t="str">
        <f>" 보통인부 : "&amp;TEXT(I4723,"#,##0"&amp;IF(I4723&lt;&gt;INT(I4723),".###",""))&amp;" * "&amp;AA4723&amp;" 인  / Q1 = "&amp;TEXT(C4723,"#,##0.0")&amp;" "</f>
        <v xml:space="preserve"> 보통인부 : 172,068 * 1 인  / Q1 = 4,779.6 </v>
      </c>
      <c r="C4723" s="506">
        <f>E4723+D4723+F4723</f>
        <v>4779.6000000000004</v>
      </c>
      <c r="D4723" s="506">
        <f>IF(H4723=0,0,ROUNDDOWN(J4723*H4723,1))</f>
        <v>4779.6000000000004</v>
      </c>
      <c r="E4723" s="506">
        <f>IF(H4723=0,0,ROUNDDOWN(K4723*H4723,1))</f>
        <v>0</v>
      </c>
      <c r="F4723" s="506">
        <f>IF(H4723=0,0,ROUNDDOWN(L4723*H4723,1))</f>
        <v>0</v>
      </c>
      <c r="G4723" s="451" t="s">
        <v>3894</v>
      </c>
      <c r="H4723" s="507">
        <f>ROUNDUP(AE4723,14-LEN(ABS(INT(AE4723))))</f>
        <v>2.7777777777800002E-2</v>
      </c>
      <c r="I4723" s="508">
        <f>K4723+J4723+L4723</f>
        <v>172068</v>
      </c>
      <c r="J4723" s="509">
        <f>노무비목록표!E10</f>
        <v>172068</v>
      </c>
      <c r="M4723" s="501" t="s">
        <v>2363</v>
      </c>
      <c r="N4723" s="501" t="s">
        <v>3416</v>
      </c>
      <c r="O4723" s="501" t="s">
        <v>2355</v>
      </c>
      <c r="X4723" s="510" t="str">
        <f>노무비목록표!B10&amp;" / "&amp;노무비목록표!C10</f>
        <v xml:space="preserve">보통인부 / </v>
      </c>
      <c r="Y4723" s="433" t="str">
        <f ca="1">HYPERLINK("#"&amp;노무비목록표!G2&amp;"!A"&amp;ROW(노무비목록표!A10),"L00017 →")</f>
        <v>L00017 →</v>
      </c>
      <c r="Z4723" s="501" t="s">
        <v>3500</v>
      </c>
      <c r="AA4723" s="515">
        <v>1</v>
      </c>
      <c r="AB4723" s="501" t="s">
        <v>3428</v>
      </c>
      <c r="AC4723" s="512">
        <f>AB4714</f>
        <v>36</v>
      </c>
      <c r="AD4723" s="501" t="s">
        <v>3418</v>
      </c>
      <c r="AE4723" s="512">
        <f>1*AA4723/AB4714</f>
        <v>2.7777777777777776E-2</v>
      </c>
      <c r="AF4723" s="500"/>
      <c r="AG4723" s="500"/>
      <c r="AH4723" s="500"/>
      <c r="AI4723" s="500"/>
      <c r="AJ4723" s="500"/>
      <c r="AK4723" s="500"/>
      <c r="AL4723" s="500"/>
      <c r="AM4723" s="500"/>
      <c r="AN4723" s="500"/>
      <c r="AO4723" s="500"/>
      <c r="AP4723" s="500"/>
    </row>
    <row r="4724" spans="1:42" ht="16.5" customHeight="1">
      <c r="A4724" s="439"/>
      <c r="B4724" s="439"/>
      <c r="C4724" s="439"/>
      <c r="D4724" s="439"/>
      <c r="E4724" s="439"/>
      <c r="F4724" s="439"/>
      <c r="G4724" s="451" t="s">
        <v>3406</v>
      </c>
      <c r="Z4724" s="500"/>
      <c r="AA4724" s="500"/>
      <c r="AB4724" s="500"/>
      <c r="AC4724" s="500"/>
      <c r="AD4724" s="500"/>
      <c r="AE4724" s="500"/>
      <c r="AF4724" s="500"/>
      <c r="AG4724" s="500"/>
      <c r="AH4724" s="500"/>
      <c r="AI4724" s="500"/>
      <c r="AJ4724" s="500"/>
      <c r="AK4724" s="500"/>
      <c r="AL4724" s="500"/>
      <c r="AM4724" s="500"/>
      <c r="AN4724" s="500"/>
      <c r="AO4724" s="500"/>
      <c r="AP4724" s="500"/>
    </row>
    <row r="4725" spans="1:42" ht="16.5" customHeight="1">
      <c r="A4725" s="434"/>
      <c r="B4725" s="437" t="s">
        <v>3419</v>
      </c>
      <c r="C4725" s="513">
        <f>E4725+D4725+F4725</f>
        <v>17846.400000000001</v>
      </c>
      <c r="D4725" s="513">
        <f>SUMIF(N4707:N4724,M4725,D4707:D4724)</f>
        <v>17846.400000000001</v>
      </c>
      <c r="E4725" s="513">
        <f>SUMIF(N4707:N4724,M4725,E4707:E4724)</f>
        <v>0</v>
      </c>
      <c r="F4725" s="513">
        <f>SUMIF(N4707:N4724,M4725,F4707:F4724)</f>
        <v>0</v>
      </c>
      <c r="G4725" s="451" t="s">
        <v>3420</v>
      </c>
      <c r="M4725" s="501" t="s">
        <v>3416</v>
      </c>
      <c r="N4725" s="501" t="s">
        <v>3421</v>
      </c>
      <c r="Z4725" s="500"/>
      <c r="AA4725" s="500"/>
      <c r="AB4725" s="500"/>
      <c r="AC4725" s="500"/>
      <c r="AD4725" s="500"/>
      <c r="AE4725" s="500"/>
      <c r="AF4725" s="500"/>
      <c r="AG4725" s="500"/>
      <c r="AH4725" s="500"/>
      <c r="AI4725" s="500"/>
      <c r="AJ4725" s="500"/>
      <c r="AK4725" s="500"/>
      <c r="AL4725" s="500"/>
      <c r="AM4725" s="500"/>
      <c r="AN4725" s="500"/>
      <c r="AO4725" s="500"/>
      <c r="AP4725" s="500"/>
    </row>
    <row r="4726" spans="1:42" ht="16.5" customHeight="1">
      <c r="A4726" s="439"/>
      <c r="B4726" s="439"/>
      <c r="C4726" s="504"/>
      <c r="D4726" s="504"/>
      <c r="E4726" s="504"/>
      <c r="F4726" s="504"/>
      <c r="G4726" s="451" t="s">
        <v>3406</v>
      </c>
      <c r="Z4726" s="500"/>
      <c r="AA4726" s="500"/>
      <c r="AB4726" s="500"/>
      <c r="AC4726" s="500"/>
      <c r="AD4726" s="500"/>
      <c r="AE4726" s="500"/>
      <c r="AF4726" s="500"/>
      <c r="AG4726" s="500"/>
      <c r="AH4726" s="500"/>
      <c r="AI4726" s="500"/>
      <c r="AJ4726" s="500"/>
      <c r="AK4726" s="500"/>
      <c r="AL4726" s="500"/>
      <c r="AM4726" s="500"/>
      <c r="AN4726" s="500"/>
      <c r="AO4726" s="500"/>
      <c r="AP4726" s="500"/>
    </row>
    <row r="4727" spans="1:42" ht="16.5" customHeight="1">
      <c r="A4727" s="439"/>
      <c r="B4727" s="439"/>
      <c r="C4727" s="439"/>
      <c r="D4727" s="439"/>
      <c r="E4727" s="439"/>
      <c r="F4727" s="439"/>
      <c r="G4727" s="451" t="s">
        <v>3406</v>
      </c>
      <c r="Z4727" s="500"/>
      <c r="AA4727" s="500"/>
      <c r="AB4727" s="500"/>
      <c r="AC4727" s="500"/>
      <c r="AD4727" s="500"/>
      <c r="AE4727" s="500"/>
      <c r="AF4727" s="500"/>
      <c r="AG4727" s="500"/>
      <c r="AH4727" s="500"/>
      <c r="AI4727" s="500"/>
      <c r="AJ4727" s="500"/>
      <c r="AK4727" s="500"/>
      <c r="AL4727" s="500"/>
      <c r="AM4727" s="500"/>
      <c r="AN4727" s="500"/>
      <c r="AO4727" s="500"/>
      <c r="AP4727" s="500"/>
    </row>
    <row r="4728" spans="1:42" ht="16.5" customHeight="1">
      <c r="A4728" s="434"/>
      <c r="B4728" s="505" t="str">
        <f>" 2. 기계경비(인력품의 3%) : "&amp;TEXT(I4728,"#,##0.0")&amp;" * "&amp;AA4728&amp;" %  = "&amp;TEXT(C4728,"#,##0.0")&amp;""</f>
        <v xml:space="preserve"> 2. 기계경비(인력품의 3%) : 17,846.4 * 3 %  = 535.3</v>
      </c>
      <c r="C4728" s="506">
        <f>E4728+D4728+F4728</f>
        <v>535.29999999999995</v>
      </c>
      <c r="D4728" s="506">
        <f>IF(H4728=0,0,ROUNDDOWN(J4728*H4728/100,1))</f>
        <v>0</v>
      </c>
      <c r="E4728" s="506">
        <f>IF(H4728=0,0,ROUNDDOWN(K4728*H4728/100,1))</f>
        <v>0</v>
      </c>
      <c r="F4728" s="506">
        <f>IF(H4728=0,0,ROUNDDOWN(L4728*H4728/100,1))</f>
        <v>535.29999999999995</v>
      </c>
      <c r="G4728" s="451" t="s">
        <v>3923</v>
      </c>
      <c r="H4728" s="507">
        <f>ROUNDUP(AC4728,14-LEN(ABS(INT(AC4728))))</f>
        <v>3</v>
      </c>
      <c r="I4728" s="508">
        <f>K4728+J4728+L4728</f>
        <v>17846.400000000001</v>
      </c>
      <c r="J4728" s="456">
        <v>0</v>
      </c>
      <c r="K4728" s="456">
        <v>0</v>
      </c>
      <c r="L4728" s="509">
        <f>D4721+D4723</f>
        <v>17846.400000000001</v>
      </c>
      <c r="M4728" s="501" t="s">
        <v>3743</v>
      </c>
      <c r="N4728" s="501" t="s">
        <v>3416</v>
      </c>
      <c r="Z4728" s="501" t="s">
        <v>3500</v>
      </c>
      <c r="AA4728" s="515">
        <v>3</v>
      </c>
      <c r="AB4728" s="501" t="s">
        <v>3418</v>
      </c>
      <c r="AC4728" s="512">
        <f>1*AA4728</f>
        <v>3</v>
      </c>
      <c r="AD4728" s="500"/>
      <c r="AE4728" s="500"/>
      <c r="AF4728" s="500"/>
      <c r="AG4728" s="500"/>
      <c r="AH4728" s="500"/>
      <c r="AI4728" s="500"/>
      <c r="AJ4728" s="500"/>
      <c r="AK4728" s="500"/>
      <c r="AL4728" s="500"/>
      <c r="AM4728" s="500"/>
      <c r="AN4728" s="500"/>
      <c r="AO4728" s="500"/>
      <c r="AP4728" s="500"/>
    </row>
    <row r="4729" spans="1:42" ht="16.5" customHeight="1">
      <c r="A4729" s="439"/>
      <c r="B4729" s="439"/>
      <c r="C4729" s="439"/>
      <c r="D4729" s="439"/>
      <c r="E4729" s="439"/>
      <c r="F4729" s="439"/>
      <c r="G4729" s="451" t="s">
        <v>3406</v>
      </c>
      <c r="Z4729" s="500"/>
      <c r="AA4729" s="500"/>
      <c r="AB4729" s="500"/>
      <c r="AC4729" s="500"/>
      <c r="AD4729" s="500"/>
      <c r="AE4729" s="500"/>
      <c r="AF4729" s="500"/>
      <c r="AG4729" s="500"/>
      <c r="AH4729" s="500"/>
      <c r="AI4729" s="500"/>
      <c r="AJ4729" s="500"/>
      <c r="AK4729" s="500"/>
      <c r="AL4729" s="500"/>
      <c r="AM4729" s="500"/>
      <c r="AN4729" s="500"/>
      <c r="AO4729" s="500"/>
      <c r="AP4729" s="500"/>
    </row>
    <row r="4730" spans="1:42" ht="16.5" customHeight="1">
      <c r="A4730" s="434"/>
      <c r="B4730" s="437" t="s">
        <v>3419</v>
      </c>
      <c r="C4730" s="513">
        <f>E4730+D4730+F4730</f>
        <v>535.29999999999995</v>
      </c>
      <c r="D4730" s="513">
        <f>SUMIF(N4726:N4729,M4730,D4726:D4729)</f>
        <v>0</v>
      </c>
      <c r="E4730" s="513">
        <f>SUMIF(N4726:N4729,M4730,E4726:E4729)</f>
        <v>0</v>
      </c>
      <c r="F4730" s="513">
        <f>SUMIF(N4726:N4729,M4730,F4726:F4729)</f>
        <v>535.29999999999995</v>
      </c>
      <c r="G4730" s="451" t="s">
        <v>3420</v>
      </c>
      <c r="M4730" s="501" t="s">
        <v>3416</v>
      </c>
      <c r="N4730" s="501" t="s">
        <v>3421</v>
      </c>
      <c r="Z4730" s="500"/>
      <c r="AA4730" s="500"/>
      <c r="AB4730" s="500"/>
      <c r="AC4730" s="500"/>
      <c r="AD4730" s="500"/>
      <c r="AE4730" s="500"/>
      <c r="AF4730" s="500"/>
      <c r="AG4730" s="500"/>
      <c r="AH4730" s="500"/>
      <c r="AI4730" s="500"/>
      <c r="AJ4730" s="500"/>
      <c r="AK4730" s="500"/>
      <c r="AL4730" s="500"/>
      <c r="AM4730" s="500"/>
      <c r="AN4730" s="500"/>
      <c r="AO4730" s="500"/>
      <c r="AP4730" s="500"/>
    </row>
    <row r="4731" spans="1:42" ht="16.5" customHeight="1">
      <c r="A4731" s="439"/>
      <c r="B4731" s="439"/>
      <c r="C4731" s="504"/>
      <c r="D4731" s="504"/>
      <c r="E4731" s="504"/>
      <c r="F4731" s="504"/>
      <c r="G4731" s="451" t="s">
        <v>3406</v>
      </c>
      <c r="Z4731" s="500"/>
      <c r="AA4731" s="500"/>
      <c r="AB4731" s="500"/>
      <c r="AC4731" s="500"/>
      <c r="AD4731" s="500"/>
      <c r="AE4731" s="500"/>
      <c r="AF4731" s="500"/>
      <c r="AG4731" s="500"/>
      <c r="AH4731" s="500"/>
      <c r="AI4731" s="500"/>
      <c r="AJ4731" s="500"/>
      <c r="AK4731" s="500"/>
      <c r="AL4731" s="500"/>
      <c r="AM4731" s="500"/>
      <c r="AN4731" s="500"/>
      <c r="AO4731" s="500"/>
      <c r="AP4731" s="500"/>
    </row>
    <row r="4732" spans="1:42" ht="16.5" customHeight="1">
      <c r="A4732" s="439"/>
      <c r="B4732" s="439"/>
      <c r="C4732" s="439"/>
      <c r="D4732" s="439"/>
      <c r="E4732" s="439"/>
      <c r="F4732" s="439"/>
      <c r="G4732" s="451" t="s">
        <v>3406</v>
      </c>
      <c r="Z4732" s="500"/>
      <c r="AA4732" s="500"/>
      <c r="AB4732" s="500"/>
      <c r="AC4732" s="500"/>
      <c r="AD4732" s="500"/>
      <c r="AE4732" s="500"/>
      <c r="AF4732" s="500"/>
      <c r="AG4732" s="500"/>
      <c r="AH4732" s="500"/>
      <c r="AI4732" s="500"/>
      <c r="AJ4732" s="500"/>
      <c r="AK4732" s="500"/>
      <c r="AL4732" s="500"/>
      <c r="AM4732" s="500"/>
      <c r="AN4732" s="500"/>
      <c r="AO4732" s="500"/>
      <c r="AP4732" s="500"/>
    </row>
    <row r="4733" spans="1:42" ht="16.5" customHeight="1">
      <c r="A4733" s="434"/>
      <c r="B4733" s="437" t="s">
        <v>3440</v>
      </c>
      <c r="C4733" s="513">
        <f>E4733+D4733+F4733</f>
        <v>18381.7</v>
      </c>
      <c r="D4733" s="513">
        <f>SUMIF(N4707:N4732,M4733,D4707:D4732)</f>
        <v>17846.400000000001</v>
      </c>
      <c r="E4733" s="513">
        <f>SUMIF(N4707:N4732,M4733,E4707:E4732)</f>
        <v>0</v>
      </c>
      <c r="F4733" s="513">
        <f>SUMIF(N4707:N4732,M4733,F4707:F4732)</f>
        <v>535.29999999999995</v>
      </c>
      <c r="G4733" s="451" t="s">
        <v>3484</v>
      </c>
      <c r="M4733" s="501" t="s">
        <v>3421</v>
      </c>
      <c r="N4733" s="501" t="s">
        <v>2354</v>
      </c>
      <c r="Z4733" s="500"/>
      <c r="AA4733" s="500"/>
      <c r="AB4733" s="500"/>
      <c r="AC4733" s="500"/>
      <c r="AD4733" s="500"/>
      <c r="AE4733" s="500"/>
      <c r="AF4733" s="500"/>
      <c r="AG4733" s="500"/>
      <c r="AH4733" s="500"/>
      <c r="AI4733" s="500"/>
      <c r="AJ4733" s="500"/>
      <c r="AK4733" s="500"/>
      <c r="AL4733" s="500"/>
      <c r="AM4733" s="500"/>
      <c r="AN4733" s="500"/>
      <c r="AO4733" s="500"/>
      <c r="AP4733" s="500"/>
    </row>
    <row r="4734" spans="1:42" ht="16.5" customHeight="1">
      <c r="A4734" s="439"/>
      <c r="B4734" s="439"/>
      <c r="C4734" s="504"/>
      <c r="D4734" s="504"/>
      <c r="E4734" s="504"/>
      <c r="F4734" s="504"/>
      <c r="Z4734" s="500"/>
      <c r="AA4734" s="500"/>
      <c r="AB4734" s="500"/>
      <c r="AC4734" s="500"/>
      <c r="AD4734" s="500"/>
      <c r="AE4734" s="500"/>
      <c r="AF4734" s="500"/>
      <c r="AG4734" s="500"/>
      <c r="AH4734" s="500"/>
      <c r="AI4734" s="500"/>
      <c r="AJ4734" s="500"/>
      <c r="AK4734" s="500"/>
      <c r="AL4734" s="500"/>
      <c r="AM4734" s="500"/>
      <c r="AN4734" s="500"/>
      <c r="AO4734" s="500"/>
      <c r="AP4734" s="500"/>
    </row>
    <row r="4735" spans="1:42" ht="16.5" customHeight="1">
      <c r="A4735" s="439"/>
      <c r="B4735" s="439"/>
      <c r="C4735" s="439"/>
      <c r="D4735" s="439"/>
      <c r="E4735" s="439"/>
      <c r="F4735" s="439"/>
      <c r="Z4735" s="500"/>
      <c r="AA4735" s="500"/>
      <c r="AB4735" s="500"/>
      <c r="AC4735" s="500"/>
      <c r="AD4735" s="500"/>
      <c r="AE4735" s="500"/>
      <c r="AF4735" s="500"/>
      <c r="AG4735" s="500"/>
      <c r="AH4735" s="500"/>
      <c r="AI4735" s="500"/>
      <c r="AJ4735" s="500"/>
      <c r="AK4735" s="500"/>
      <c r="AL4735" s="500"/>
      <c r="AM4735" s="500"/>
      <c r="AN4735" s="500"/>
      <c r="AO4735" s="500"/>
      <c r="AP4735" s="500"/>
    </row>
    <row r="4736" spans="1:42" ht="16.5" customHeight="1">
      <c r="A4736" s="439"/>
      <c r="B4736" s="439"/>
      <c r="C4736" s="439"/>
      <c r="D4736" s="439"/>
      <c r="E4736" s="439"/>
      <c r="F4736" s="439"/>
      <c r="Z4736" s="500"/>
      <c r="AA4736" s="500"/>
      <c r="AB4736" s="500"/>
      <c r="AC4736" s="500"/>
      <c r="AD4736" s="500"/>
      <c r="AE4736" s="500"/>
      <c r="AF4736" s="500"/>
      <c r="AG4736" s="500"/>
      <c r="AH4736" s="500"/>
      <c r="AI4736" s="500"/>
      <c r="AJ4736" s="500"/>
      <c r="AK4736" s="500"/>
      <c r="AL4736" s="500"/>
      <c r="AM4736" s="500"/>
      <c r="AN4736" s="500"/>
      <c r="AO4736" s="500"/>
      <c r="AP4736" s="500"/>
    </row>
    <row r="4737" spans="1:42" ht="16.5" customHeight="1">
      <c r="A4737" s="439"/>
      <c r="B4737" s="439"/>
      <c r="C4737" s="439"/>
      <c r="D4737" s="439"/>
      <c r="E4737" s="439"/>
      <c r="F4737" s="439"/>
      <c r="Z4737" s="500"/>
      <c r="AA4737" s="500"/>
      <c r="AB4737" s="500"/>
      <c r="AC4737" s="500"/>
      <c r="AD4737" s="500"/>
      <c r="AE4737" s="500"/>
      <c r="AF4737" s="500"/>
      <c r="AG4737" s="500"/>
      <c r="AH4737" s="500"/>
      <c r="AI4737" s="500"/>
      <c r="AJ4737" s="500"/>
      <c r="AK4737" s="500"/>
      <c r="AL4737" s="500"/>
      <c r="AM4737" s="500"/>
      <c r="AN4737" s="500"/>
      <c r="AO4737" s="500"/>
      <c r="AP4737" s="500"/>
    </row>
    <row r="4738" spans="1:42" ht="16.5" customHeight="1">
      <c r="A4738" s="439"/>
      <c r="B4738" s="439"/>
      <c r="C4738" s="439"/>
      <c r="D4738" s="439"/>
      <c r="E4738" s="439"/>
      <c r="F4738" s="439"/>
      <c r="Z4738" s="500"/>
      <c r="AA4738" s="500"/>
      <c r="AB4738" s="500"/>
      <c r="AC4738" s="500"/>
      <c r="AD4738" s="500"/>
      <c r="AE4738" s="500"/>
      <c r="AF4738" s="500"/>
      <c r="AG4738" s="500"/>
      <c r="AH4738" s="500"/>
      <c r="AI4738" s="500"/>
      <c r="AJ4738" s="500"/>
      <c r="AK4738" s="500"/>
      <c r="AL4738" s="500"/>
      <c r="AM4738" s="500"/>
      <c r="AN4738" s="500"/>
      <c r="AO4738" s="500"/>
      <c r="AP4738" s="500"/>
    </row>
    <row r="4739" spans="1:42" ht="16.5" customHeight="1">
      <c r="A4739" s="439"/>
      <c r="B4739" s="439"/>
      <c r="C4739" s="439"/>
      <c r="D4739" s="439"/>
      <c r="E4739" s="439"/>
      <c r="F4739" s="439"/>
      <c r="Z4739" s="500"/>
      <c r="AA4739" s="500"/>
      <c r="AB4739" s="500"/>
      <c r="AC4739" s="500"/>
      <c r="AD4739" s="500"/>
      <c r="AE4739" s="500"/>
      <c r="AF4739" s="500"/>
      <c r="AG4739" s="500"/>
      <c r="AH4739" s="500"/>
      <c r="AI4739" s="500"/>
      <c r="AJ4739" s="500"/>
      <c r="AK4739" s="500"/>
      <c r="AL4739" s="500"/>
      <c r="AM4739" s="500"/>
      <c r="AN4739" s="500"/>
      <c r="AO4739" s="500"/>
      <c r="AP4739" s="500"/>
    </row>
    <row r="4740" spans="1:42" ht="16.5" customHeight="1">
      <c r="A4740" s="439"/>
      <c r="B4740" s="439"/>
      <c r="C4740" s="439"/>
      <c r="D4740" s="439"/>
      <c r="E4740" s="439"/>
      <c r="F4740" s="439"/>
      <c r="Z4740" s="500"/>
      <c r="AA4740" s="500"/>
      <c r="AB4740" s="500"/>
      <c r="AC4740" s="500"/>
      <c r="AD4740" s="500"/>
      <c r="AE4740" s="500"/>
      <c r="AF4740" s="500"/>
      <c r="AG4740" s="500"/>
      <c r="AH4740" s="500"/>
      <c r="AI4740" s="500"/>
      <c r="AJ4740" s="500"/>
      <c r="AK4740" s="500"/>
      <c r="AL4740" s="500"/>
      <c r="AM4740" s="500"/>
      <c r="AN4740" s="500"/>
      <c r="AO4740" s="500"/>
      <c r="AP4740" s="500"/>
    </row>
    <row r="4741" spans="1:42" ht="16.5" customHeight="1">
      <c r="A4741" s="439"/>
      <c r="B4741" s="439"/>
      <c r="C4741" s="439"/>
      <c r="D4741" s="439"/>
      <c r="E4741" s="439"/>
      <c r="F4741" s="439"/>
      <c r="Z4741" s="500"/>
      <c r="AA4741" s="500"/>
      <c r="AB4741" s="500"/>
      <c r="AC4741" s="500"/>
      <c r="AD4741" s="500"/>
      <c r="AE4741" s="500"/>
      <c r="AF4741" s="500"/>
      <c r="AG4741" s="500"/>
      <c r="AH4741" s="500"/>
      <c r="AI4741" s="500"/>
      <c r="AJ4741" s="500"/>
      <c r="AK4741" s="500"/>
      <c r="AL4741" s="500"/>
      <c r="AM4741" s="500"/>
      <c r="AN4741" s="500"/>
      <c r="AO4741" s="500"/>
      <c r="AP4741" s="500"/>
    </row>
    <row r="4742" spans="1:42" ht="16.5" customHeight="1">
      <c r="A4742" s="439"/>
      <c r="B4742" s="439"/>
      <c r="C4742" s="439"/>
      <c r="D4742" s="439"/>
      <c r="E4742" s="439"/>
      <c r="F4742" s="439"/>
      <c r="Z4742" s="500"/>
      <c r="AA4742" s="500"/>
      <c r="AB4742" s="500"/>
      <c r="AC4742" s="500"/>
      <c r="AD4742" s="500"/>
      <c r="AE4742" s="500"/>
      <c r="AF4742" s="500"/>
      <c r="AG4742" s="500"/>
      <c r="AH4742" s="500"/>
      <c r="AI4742" s="500"/>
      <c r="AJ4742" s="500"/>
      <c r="AK4742" s="500"/>
      <c r="AL4742" s="500"/>
      <c r="AM4742" s="500"/>
      <c r="AN4742" s="500"/>
      <c r="AO4742" s="500"/>
      <c r="AP4742" s="500"/>
    </row>
    <row r="4743" spans="1:42" ht="16.5" customHeight="1">
      <c r="A4743" s="439"/>
      <c r="B4743" s="439"/>
      <c r="C4743" s="439"/>
      <c r="D4743" s="439"/>
      <c r="E4743" s="439"/>
      <c r="F4743" s="439"/>
      <c r="Z4743" s="500"/>
      <c r="AA4743" s="500"/>
      <c r="AB4743" s="500"/>
      <c r="AC4743" s="500"/>
      <c r="AD4743" s="500"/>
      <c r="AE4743" s="500"/>
      <c r="AF4743" s="500"/>
      <c r="AG4743" s="500"/>
      <c r="AH4743" s="500"/>
      <c r="AI4743" s="500"/>
      <c r="AJ4743" s="500"/>
      <c r="AK4743" s="500"/>
      <c r="AL4743" s="500"/>
      <c r="AM4743" s="500"/>
      <c r="AN4743" s="500"/>
      <c r="AO4743" s="500"/>
      <c r="AP4743" s="500"/>
    </row>
    <row r="4744" spans="1:42" ht="16.5" customHeight="1">
      <c r="A4744" s="439"/>
      <c r="B4744" s="439"/>
      <c r="C4744" s="439"/>
      <c r="D4744" s="439"/>
      <c r="E4744" s="439"/>
      <c r="F4744" s="439"/>
      <c r="Z4744" s="500"/>
      <c r="AA4744" s="500"/>
      <c r="AB4744" s="500"/>
      <c r="AC4744" s="500"/>
      <c r="AD4744" s="500"/>
      <c r="AE4744" s="500"/>
      <c r="AF4744" s="500"/>
      <c r="AG4744" s="500"/>
      <c r="AH4744" s="500"/>
      <c r="AI4744" s="500"/>
      <c r="AJ4744" s="500"/>
      <c r="AK4744" s="500"/>
      <c r="AL4744" s="500"/>
      <c r="AM4744" s="500"/>
      <c r="AN4744" s="500"/>
      <c r="AO4744" s="500"/>
      <c r="AP4744" s="500"/>
    </row>
    <row r="4745" spans="1:42" ht="16.5" customHeight="1">
      <c r="A4745" s="439"/>
      <c r="B4745" s="439"/>
      <c r="C4745" s="439"/>
      <c r="D4745" s="439"/>
      <c r="E4745" s="439"/>
      <c r="F4745" s="439"/>
      <c r="Z4745" s="500"/>
      <c r="AA4745" s="500"/>
      <c r="AB4745" s="500"/>
      <c r="AC4745" s="500"/>
      <c r="AD4745" s="500"/>
      <c r="AE4745" s="500"/>
      <c r="AF4745" s="500"/>
      <c r="AG4745" s="500"/>
      <c r="AH4745" s="500"/>
      <c r="AI4745" s="500"/>
      <c r="AJ4745" s="500"/>
      <c r="AK4745" s="500"/>
      <c r="AL4745" s="500"/>
      <c r="AM4745" s="500"/>
      <c r="AN4745" s="500"/>
      <c r="AO4745" s="500"/>
      <c r="AP4745" s="500"/>
    </row>
    <row r="4746" spans="1:42" ht="16.5" customHeight="1">
      <c r="A4746" s="439"/>
      <c r="B4746" s="439"/>
      <c r="C4746" s="439"/>
      <c r="D4746" s="439"/>
      <c r="E4746" s="439"/>
      <c r="F4746" s="439"/>
      <c r="Z4746" s="500"/>
      <c r="AA4746" s="500"/>
      <c r="AB4746" s="500"/>
      <c r="AC4746" s="500"/>
      <c r="AD4746" s="500"/>
      <c r="AE4746" s="500"/>
      <c r="AF4746" s="500"/>
      <c r="AG4746" s="500"/>
      <c r="AH4746" s="500"/>
      <c r="AI4746" s="500"/>
      <c r="AJ4746" s="500"/>
      <c r="AK4746" s="500"/>
      <c r="AL4746" s="500"/>
      <c r="AM4746" s="500"/>
      <c r="AN4746" s="500"/>
      <c r="AO4746" s="500"/>
      <c r="AP4746" s="500"/>
    </row>
    <row r="4747" spans="1:42" ht="16.5" customHeight="1">
      <c r="A4747" s="439"/>
      <c r="B4747" s="439"/>
      <c r="C4747" s="439"/>
      <c r="D4747" s="439"/>
      <c r="E4747" s="439"/>
      <c r="F4747" s="439"/>
      <c r="Z4747" s="500"/>
      <c r="AA4747" s="500"/>
      <c r="AB4747" s="500"/>
      <c r="AC4747" s="500"/>
      <c r="AD4747" s="500"/>
      <c r="AE4747" s="500"/>
      <c r="AF4747" s="500"/>
      <c r="AG4747" s="500"/>
      <c r="AH4747" s="500"/>
      <c r="AI4747" s="500"/>
      <c r="AJ4747" s="500"/>
      <c r="AK4747" s="500"/>
      <c r="AL4747" s="500"/>
      <c r="AM4747" s="500"/>
      <c r="AN4747" s="500"/>
      <c r="AO4747" s="500"/>
      <c r="AP4747" s="500"/>
    </row>
    <row r="4748" spans="1:42" ht="16.5" customHeight="1">
      <c r="A4748" s="439"/>
      <c r="B4748" s="439"/>
      <c r="C4748" s="439"/>
      <c r="D4748" s="439"/>
      <c r="E4748" s="439"/>
      <c r="F4748" s="439"/>
      <c r="Z4748" s="500"/>
      <c r="AA4748" s="500"/>
      <c r="AB4748" s="500"/>
      <c r="AC4748" s="500"/>
      <c r="AD4748" s="500"/>
      <c r="AE4748" s="500"/>
      <c r="AF4748" s="500"/>
      <c r="AG4748" s="500"/>
      <c r="AH4748" s="500"/>
      <c r="AI4748" s="500"/>
      <c r="AJ4748" s="500"/>
      <c r="AK4748" s="500"/>
      <c r="AL4748" s="500"/>
      <c r="AM4748" s="500"/>
      <c r="AN4748" s="500"/>
      <c r="AO4748" s="500"/>
      <c r="AP4748" s="500"/>
    </row>
    <row r="4749" spans="1:42" ht="16.5" customHeight="1">
      <c r="A4749" s="439"/>
      <c r="B4749" s="439"/>
      <c r="C4749" s="439"/>
      <c r="D4749" s="439"/>
      <c r="E4749" s="439"/>
      <c r="F4749" s="439"/>
      <c r="Z4749" s="500"/>
      <c r="AA4749" s="500"/>
      <c r="AB4749" s="500"/>
      <c r="AC4749" s="500"/>
      <c r="AD4749" s="500"/>
      <c r="AE4749" s="500"/>
      <c r="AF4749" s="500"/>
      <c r="AG4749" s="500"/>
      <c r="AH4749" s="500"/>
      <c r="AI4749" s="500"/>
      <c r="AJ4749" s="500"/>
      <c r="AK4749" s="500"/>
      <c r="AL4749" s="500"/>
      <c r="AM4749" s="500"/>
      <c r="AN4749" s="500"/>
      <c r="AO4749" s="500"/>
      <c r="AP4749" s="500"/>
    </row>
    <row r="4750" spans="1:42" ht="16.5" customHeight="1">
      <c r="A4750" s="439"/>
      <c r="B4750" s="439"/>
      <c r="C4750" s="439"/>
      <c r="D4750" s="439"/>
      <c r="E4750" s="439"/>
      <c r="F4750" s="439"/>
      <c r="Z4750" s="500"/>
      <c r="AA4750" s="500"/>
      <c r="AB4750" s="500"/>
      <c r="AC4750" s="500"/>
      <c r="AD4750" s="500"/>
      <c r="AE4750" s="500"/>
      <c r="AF4750" s="500"/>
      <c r="AG4750" s="500"/>
      <c r="AH4750" s="500"/>
      <c r="AI4750" s="500"/>
      <c r="AJ4750" s="500"/>
      <c r="AK4750" s="500"/>
      <c r="AL4750" s="500"/>
      <c r="AM4750" s="500"/>
      <c r="AN4750" s="500"/>
      <c r="AO4750" s="500"/>
      <c r="AP4750" s="500"/>
    </row>
    <row r="4751" spans="1:42" ht="16.5" customHeight="1">
      <c r="A4751" s="439"/>
      <c r="B4751" s="439"/>
      <c r="C4751" s="439"/>
      <c r="D4751" s="439"/>
      <c r="E4751" s="439"/>
      <c r="F4751" s="439"/>
      <c r="Z4751" s="500"/>
      <c r="AA4751" s="500"/>
      <c r="AB4751" s="500"/>
      <c r="AC4751" s="500"/>
      <c r="AD4751" s="500"/>
      <c r="AE4751" s="500"/>
      <c r="AF4751" s="500"/>
      <c r="AG4751" s="500"/>
      <c r="AH4751" s="500"/>
      <c r="AI4751" s="500"/>
      <c r="AJ4751" s="500"/>
      <c r="AK4751" s="500"/>
      <c r="AL4751" s="500"/>
      <c r="AM4751" s="500"/>
      <c r="AN4751" s="500"/>
      <c r="AO4751" s="500"/>
      <c r="AP4751" s="500"/>
    </row>
    <row r="4752" spans="1:42" ht="16.5" customHeight="1">
      <c r="A4752" s="439"/>
      <c r="B4752" s="439"/>
      <c r="C4752" s="439"/>
      <c r="D4752" s="439"/>
      <c r="E4752" s="439"/>
      <c r="F4752" s="439"/>
      <c r="Z4752" s="500"/>
      <c r="AA4752" s="500"/>
      <c r="AB4752" s="500"/>
      <c r="AC4752" s="500"/>
      <c r="AD4752" s="500"/>
      <c r="AE4752" s="500"/>
      <c r="AF4752" s="500"/>
      <c r="AG4752" s="500"/>
      <c r="AH4752" s="500"/>
      <c r="AI4752" s="500"/>
      <c r="AJ4752" s="500"/>
      <c r="AK4752" s="500"/>
      <c r="AL4752" s="500"/>
      <c r="AM4752" s="500"/>
      <c r="AN4752" s="500"/>
      <c r="AO4752" s="500"/>
      <c r="AP4752" s="500"/>
    </row>
    <row r="4753" spans="1:42" ht="16.5" customHeight="1">
      <c r="A4753" s="497"/>
      <c r="B4753" s="497"/>
      <c r="C4753" s="497"/>
      <c r="D4753" s="497"/>
      <c r="E4753" s="497"/>
      <c r="F4753" s="497"/>
      <c r="Z4753" s="500"/>
      <c r="AA4753" s="500"/>
      <c r="AB4753" s="500"/>
      <c r="AC4753" s="500"/>
      <c r="AD4753" s="500"/>
      <c r="AE4753" s="500"/>
      <c r="AF4753" s="500"/>
      <c r="AG4753" s="500"/>
      <c r="AH4753" s="500"/>
      <c r="AI4753" s="500"/>
      <c r="AJ4753" s="500"/>
      <c r="AK4753" s="500"/>
      <c r="AL4753" s="500"/>
      <c r="AM4753" s="500"/>
      <c r="AN4753" s="500"/>
      <c r="AO4753" s="500"/>
      <c r="AP4753" s="500"/>
    </row>
    <row r="4754" spans="1:42" ht="16.5" customHeight="1">
      <c r="A4754" s="616" t="s">
        <v>3487</v>
      </c>
      <c r="B4754" s="605"/>
      <c r="C4754" s="446">
        <f>E4754+D4754+F4754</f>
        <v>18381</v>
      </c>
      <c r="D4754" s="453">
        <f>ROUNDDOWN(SUMIF(N4707:N4733,M4754,D4707:D4733),0)</f>
        <v>17846</v>
      </c>
      <c r="E4754" s="454">
        <f>ROUNDDOWN(SUMIF(N4707:N4733,M4754,E4707:E4733),0)</f>
        <v>0</v>
      </c>
      <c r="F4754" s="446">
        <f>ROUNDDOWN(SUMIF(N4707:N4733,M4754,F4707:F4733),0)</f>
        <v>535</v>
      </c>
      <c r="M4754" s="501" t="s">
        <v>2354</v>
      </c>
      <c r="Z4754" s="500"/>
      <c r="AA4754" s="500"/>
      <c r="AB4754" s="500"/>
      <c r="AC4754" s="500"/>
      <c r="AD4754" s="500"/>
      <c r="AE4754" s="500"/>
      <c r="AF4754" s="500"/>
      <c r="AG4754" s="500"/>
      <c r="AH4754" s="500"/>
      <c r="AI4754" s="500"/>
      <c r="AJ4754" s="500"/>
      <c r="AK4754" s="500"/>
      <c r="AL4754" s="500"/>
      <c r="AM4754" s="500"/>
      <c r="AN4754" s="500"/>
      <c r="AO4754" s="500"/>
      <c r="AP4754" s="500"/>
    </row>
    <row r="4755" spans="1:42" ht="16.5" customHeight="1">
      <c r="A4755" s="502" t="s">
        <v>3371</v>
      </c>
      <c r="B4755" s="503" t="s">
        <v>1945</v>
      </c>
      <c r="C4755" s="615">
        <f>C4804</f>
        <v>30079</v>
      </c>
      <c r="D4755" s="615">
        <f>D4804</f>
        <v>29203</v>
      </c>
      <c r="E4755" s="615">
        <f>E4804</f>
        <v>0</v>
      </c>
      <c r="F4755" s="615">
        <f>F4804</f>
        <v>876</v>
      </c>
      <c r="G4755" s="486" t="str">
        <f>HYPERLINK("#G"&amp;ROW(G4783),"_x0005_`BDCOD|D01235_x0007_`POSS|"&amp;ROW(G4757)&amp;"_x0007_`POSE|"&amp;ROW(G4783)&amp;"_x0007_`")</f>
        <v>_x0005_`BDCOD|D01235_x0007_`POSS|4757_x0007_`POSE|4783_x0007_`</v>
      </c>
      <c r="Z4755" s="500"/>
      <c r="AA4755" s="500"/>
      <c r="AB4755" s="500"/>
      <c r="AC4755" s="500"/>
      <c r="AD4755" s="500"/>
      <c r="AE4755" s="500"/>
      <c r="AF4755" s="500"/>
      <c r="AG4755" s="500"/>
      <c r="AH4755" s="500"/>
      <c r="AI4755" s="500"/>
      <c r="AJ4755" s="500"/>
      <c r="AK4755" s="500"/>
      <c r="AL4755" s="500"/>
      <c r="AM4755" s="500"/>
      <c r="AN4755" s="500"/>
      <c r="AO4755" s="500"/>
      <c r="AP4755" s="500"/>
    </row>
    <row r="4756" spans="1:42" ht="16.5" customHeight="1">
      <c r="A4756" s="485"/>
      <c r="B4756" s="503" t="s">
        <v>3961</v>
      </c>
      <c r="C4756" s="593"/>
      <c r="D4756" s="593"/>
      <c r="E4756" s="593"/>
      <c r="F4756" s="593"/>
      <c r="M4756" s="501" t="s">
        <v>1945</v>
      </c>
      <c r="Z4756" s="500"/>
      <c r="AA4756" s="500"/>
      <c r="AB4756" s="500"/>
      <c r="AC4756" s="500"/>
      <c r="AD4756" s="500"/>
      <c r="AE4756" s="500"/>
      <c r="AF4756" s="500"/>
      <c r="AG4756" s="500"/>
      <c r="AH4756" s="500"/>
      <c r="AI4756" s="500"/>
      <c r="AJ4756" s="500"/>
      <c r="AK4756" s="500"/>
      <c r="AL4756" s="500"/>
      <c r="AM4756" s="500"/>
      <c r="AN4756" s="500"/>
      <c r="AO4756" s="500"/>
      <c r="AP4756" s="500"/>
    </row>
    <row r="4757" spans="1:42" ht="16.5" customHeight="1">
      <c r="A4757" s="439"/>
      <c r="B4757" s="439"/>
      <c r="C4757" s="504"/>
      <c r="D4757" s="504"/>
      <c r="E4757" s="504"/>
      <c r="F4757" s="504"/>
      <c r="G4757" s="451" t="s">
        <v>3406</v>
      </c>
      <c r="Z4757" s="500"/>
      <c r="AA4757" s="500"/>
      <c r="AB4757" s="500"/>
      <c r="AC4757" s="500"/>
      <c r="AD4757" s="500"/>
      <c r="AE4757" s="500"/>
      <c r="AF4757" s="500"/>
      <c r="AG4757" s="500"/>
      <c r="AH4757" s="500"/>
      <c r="AI4757" s="500"/>
      <c r="AJ4757" s="500"/>
      <c r="AK4757" s="500"/>
      <c r="AL4757" s="500"/>
      <c r="AM4757" s="500"/>
      <c r="AN4757" s="500"/>
      <c r="AO4757" s="500"/>
      <c r="AP4757" s="500"/>
    </row>
    <row r="4758" spans="1:42" ht="16.5" customHeight="1">
      <c r="A4758" s="434"/>
      <c r="B4758" s="437" t="s">
        <v>3953</v>
      </c>
      <c r="C4758" s="439"/>
      <c r="D4758" s="439"/>
      <c r="E4758" s="439"/>
      <c r="F4758" s="439"/>
      <c r="G4758" s="451" t="s">
        <v>3954</v>
      </c>
      <c r="Z4758" s="500"/>
      <c r="AA4758" s="500"/>
      <c r="AB4758" s="500"/>
      <c r="AC4758" s="500"/>
      <c r="AD4758" s="500"/>
      <c r="AE4758" s="500"/>
      <c r="AF4758" s="500"/>
      <c r="AG4758" s="500"/>
      <c r="AH4758" s="500"/>
      <c r="AI4758" s="500"/>
      <c r="AJ4758" s="500"/>
      <c r="AK4758" s="500"/>
      <c r="AL4758" s="500"/>
      <c r="AM4758" s="500"/>
      <c r="AN4758" s="500"/>
      <c r="AO4758" s="500"/>
      <c r="AP4758" s="500"/>
    </row>
    <row r="4759" spans="1:42" ht="16.5" customHeight="1">
      <c r="A4759" s="439"/>
      <c r="B4759" s="439"/>
      <c r="C4759" s="439"/>
      <c r="D4759" s="439"/>
      <c r="E4759" s="439"/>
      <c r="F4759" s="439"/>
      <c r="G4759" s="451" t="s">
        <v>3406</v>
      </c>
      <c r="Z4759" s="500"/>
      <c r="AA4759" s="500"/>
      <c r="AB4759" s="500"/>
      <c r="AC4759" s="500"/>
      <c r="AD4759" s="500"/>
      <c r="AE4759" s="500"/>
      <c r="AF4759" s="500"/>
      <c r="AG4759" s="500"/>
      <c r="AH4759" s="500"/>
      <c r="AI4759" s="500"/>
      <c r="AJ4759" s="500"/>
      <c r="AK4759" s="500"/>
      <c r="AL4759" s="500"/>
      <c r="AM4759" s="500"/>
      <c r="AN4759" s="500"/>
      <c r="AO4759" s="500"/>
      <c r="AP4759" s="500"/>
    </row>
    <row r="4760" spans="1:42" ht="16.5" customHeight="1">
      <c r="A4760" s="434"/>
      <c r="B4760" s="437" t="s">
        <v>3907</v>
      </c>
      <c r="C4760" s="439"/>
      <c r="D4760" s="439"/>
      <c r="E4760" s="439"/>
      <c r="F4760" s="439"/>
      <c r="G4760" s="451" t="s">
        <v>3908</v>
      </c>
      <c r="Z4760" s="500"/>
      <c r="AA4760" s="500"/>
      <c r="AB4760" s="500"/>
      <c r="AC4760" s="500"/>
      <c r="AD4760" s="500"/>
      <c r="AE4760" s="500"/>
      <c r="AF4760" s="500"/>
      <c r="AG4760" s="500"/>
      <c r="AH4760" s="500"/>
      <c r="AI4760" s="500"/>
      <c r="AJ4760" s="500"/>
      <c r="AK4760" s="500"/>
      <c r="AL4760" s="500"/>
      <c r="AM4760" s="500"/>
      <c r="AN4760" s="500"/>
      <c r="AO4760" s="500"/>
      <c r="AP4760" s="500"/>
    </row>
    <row r="4761" spans="1:42" ht="16.5" customHeight="1">
      <c r="A4761" s="439"/>
      <c r="B4761" s="439"/>
      <c r="C4761" s="439"/>
      <c r="D4761" s="439"/>
      <c r="E4761" s="439"/>
      <c r="F4761" s="439"/>
      <c r="G4761" s="451" t="s">
        <v>3406</v>
      </c>
      <c r="Z4761" s="500"/>
      <c r="AA4761" s="500"/>
      <c r="AB4761" s="500"/>
      <c r="AC4761" s="500"/>
      <c r="AD4761" s="500"/>
      <c r="AE4761" s="500"/>
      <c r="AF4761" s="500"/>
      <c r="AG4761" s="500"/>
      <c r="AH4761" s="500"/>
      <c r="AI4761" s="500"/>
      <c r="AJ4761" s="500"/>
      <c r="AK4761" s="500"/>
      <c r="AL4761" s="500"/>
      <c r="AM4761" s="500"/>
      <c r="AN4761" s="500"/>
      <c r="AO4761" s="500"/>
      <c r="AP4761" s="500"/>
    </row>
    <row r="4762" spans="1:42" ht="16.5" customHeight="1">
      <c r="A4762" s="434"/>
      <c r="B4762" s="437" t="s">
        <v>3955</v>
      </c>
      <c r="C4762" s="439"/>
      <c r="D4762" s="439"/>
      <c r="E4762" s="439"/>
      <c r="F4762" s="439"/>
      <c r="G4762" s="451" t="s">
        <v>3956</v>
      </c>
      <c r="Z4762" s="500"/>
      <c r="AA4762" s="500"/>
      <c r="AB4762" s="500"/>
      <c r="AC4762" s="500"/>
      <c r="AD4762" s="500"/>
      <c r="AE4762" s="500"/>
      <c r="AF4762" s="500"/>
      <c r="AG4762" s="500"/>
      <c r="AH4762" s="500"/>
      <c r="AI4762" s="500"/>
      <c r="AJ4762" s="500"/>
      <c r="AK4762" s="500"/>
      <c r="AL4762" s="500"/>
      <c r="AM4762" s="500"/>
      <c r="AN4762" s="500"/>
      <c r="AO4762" s="500"/>
      <c r="AP4762" s="500"/>
    </row>
    <row r="4763" spans="1:42" ht="16.5" customHeight="1">
      <c r="A4763" s="439"/>
      <c r="B4763" s="439"/>
      <c r="C4763" s="439"/>
      <c r="D4763" s="439"/>
      <c r="E4763" s="439"/>
      <c r="F4763" s="439"/>
      <c r="G4763" s="451" t="s">
        <v>3406</v>
      </c>
      <c r="Z4763" s="500"/>
      <c r="AA4763" s="500"/>
      <c r="AB4763" s="500"/>
      <c r="AC4763" s="500"/>
      <c r="AD4763" s="500"/>
      <c r="AE4763" s="500"/>
      <c r="AF4763" s="500"/>
      <c r="AG4763" s="500"/>
      <c r="AH4763" s="500"/>
      <c r="AI4763" s="500"/>
      <c r="AJ4763" s="500"/>
      <c r="AK4763" s="500"/>
      <c r="AL4763" s="500"/>
      <c r="AM4763" s="500"/>
      <c r="AN4763" s="500"/>
      <c r="AO4763" s="500"/>
      <c r="AP4763" s="500"/>
    </row>
    <row r="4764" spans="1:42" ht="16.5" customHeight="1">
      <c r="A4764" s="434"/>
      <c r="B4764" s="437" t="str">
        <f>" 일당 작업량 :  Q1 = "&amp;Z4764&amp;" 주 "</f>
        <v xml:space="preserve"> 일당 작업량 :  Q1 = 22 주 </v>
      </c>
      <c r="C4764" s="439"/>
      <c r="D4764" s="439"/>
      <c r="E4764" s="439"/>
      <c r="F4764" s="439"/>
      <c r="G4764" s="451" t="s">
        <v>3962</v>
      </c>
      <c r="Z4764" s="515">
        <v>22</v>
      </c>
      <c r="AA4764" s="501" t="s">
        <v>3418</v>
      </c>
      <c r="AB4764" s="512">
        <f>Z4764</f>
        <v>22</v>
      </c>
      <c r="AC4764" s="500"/>
      <c r="AD4764" s="500"/>
      <c r="AE4764" s="500"/>
      <c r="AF4764" s="500"/>
      <c r="AG4764" s="500"/>
      <c r="AH4764" s="500"/>
      <c r="AI4764" s="500"/>
      <c r="AJ4764" s="500"/>
      <c r="AK4764" s="500"/>
      <c r="AL4764" s="500"/>
      <c r="AM4764" s="500"/>
      <c r="AN4764" s="500"/>
      <c r="AO4764" s="500"/>
      <c r="AP4764" s="500"/>
    </row>
    <row r="4765" spans="1:42" ht="16.5" customHeight="1">
      <c r="A4765" s="439"/>
      <c r="B4765" s="439"/>
      <c r="C4765" s="439"/>
      <c r="D4765" s="439"/>
      <c r="E4765" s="439"/>
      <c r="F4765" s="439"/>
      <c r="G4765" s="451" t="s">
        <v>3406</v>
      </c>
      <c r="Z4765" s="500"/>
      <c r="AA4765" s="500"/>
      <c r="AB4765" s="500"/>
      <c r="AC4765" s="500"/>
      <c r="AD4765" s="500"/>
      <c r="AE4765" s="500"/>
      <c r="AF4765" s="500"/>
      <c r="AG4765" s="500"/>
      <c r="AH4765" s="500"/>
      <c r="AI4765" s="500"/>
      <c r="AJ4765" s="500"/>
      <c r="AK4765" s="500"/>
      <c r="AL4765" s="500"/>
      <c r="AM4765" s="500"/>
      <c r="AN4765" s="500"/>
      <c r="AO4765" s="500"/>
      <c r="AP4765" s="500"/>
    </row>
    <row r="4766" spans="1:42" ht="16.5" customHeight="1">
      <c r="A4766" s="434"/>
      <c r="B4766" s="437" t="s">
        <v>3958</v>
      </c>
      <c r="C4766" s="439"/>
      <c r="D4766" s="439"/>
      <c r="E4766" s="439"/>
      <c r="F4766" s="439"/>
      <c r="G4766" s="451" t="s">
        <v>3959</v>
      </c>
      <c r="Z4766" s="500"/>
      <c r="AA4766" s="500"/>
      <c r="AB4766" s="500"/>
      <c r="AC4766" s="500"/>
      <c r="AD4766" s="500"/>
      <c r="AE4766" s="500"/>
      <c r="AF4766" s="500"/>
      <c r="AG4766" s="500"/>
      <c r="AH4766" s="500"/>
      <c r="AI4766" s="500"/>
      <c r="AJ4766" s="500"/>
      <c r="AK4766" s="500"/>
      <c r="AL4766" s="500"/>
      <c r="AM4766" s="500"/>
      <c r="AN4766" s="500"/>
      <c r="AO4766" s="500"/>
      <c r="AP4766" s="500"/>
    </row>
    <row r="4767" spans="1:42" ht="16.5" customHeight="1">
      <c r="A4767" s="439"/>
      <c r="B4767" s="439"/>
      <c r="C4767" s="439"/>
      <c r="D4767" s="439"/>
      <c r="E4767" s="439"/>
      <c r="F4767" s="439"/>
      <c r="G4767" s="451" t="s">
        <v>3406</v>
      </c>
      <c r="Z4767" s="500"/>
      <c r="AA4767" s="500"/>
      <c r="AB4767" s="500"/>
      <c r="AC4767" s="500"/>
      <c r="AD4767" s="500"/>
      <c r="AE4767" s="500"/>
      <c r="AF4767" s="500"/>
      <c r="AG4767" s="500"/>
      <c r="AH4767" s="500"/>
      <c r="AI4767" s="500"/>
      <c r="AJ4767" s="500"/>
      <c r="AK4767" s="500"/>
      <c r="AL4767" s="500"/>
      <c r="AM4767" s="500"/>
      <c r="AN4767" s="500"/>
      <c r="AO4767" s="500"/>
      <c r="AP4767" s="500"/>
    </row>
    <row r="4768" spans="1:42" ht="16.5" customHeight="1">
      <c r="A4768" s="439"/>
      <c r="B4768" s="439"/>
      <c r="C4768" s="439"/>
      <c r="D4768" s="439"/>
      <c r="E4768" s="439"/>
      <c r="F4768" s="439"/>
      <c r="G4768" s="451" t="s">
        <v>3406</v>
      </c>
      <c r="Z4768" s="500"/>
      <c r="AA4768" s="500"/>
      <c r="AB4768" s="500"/>
      <c r="AC4768" s="500"/>
      <c r="AD4768" s="500"/>
      <c r="AE4768" s="500"/>
      <c r="AF4768" s="500"/>
      <c r="AG4768" s="500"/>
      <c r="AH4768" s="500"/>
      <c r="AI4768" s="500"/>
      <c r="AJ4768" s="500"/>
      <c r="AK4768" s="500"/>
      <c r="AL4768" s="500"/>
      <c r="AM4768" s="500"/>
      <c r="AN4768" s="500"/>
      <c r="AO4768" s="500"/>
      <c r="AP4768" s="500"/>
    </row>
    <row r="4769" spans="1:42" ht="16.5" customHeight="1">
      <c r="A4769" s="434"/>
      <c r="B4769" s="437" t="s">
        <v>3496</v>
      </c>
      <c r="C4769" s="439"/>
      <c r="D4769" s="439"/>
      <c r="E4769" s="439"/>
      <c r="F4769" s="439"/>
      <c r="G4769" s="451" t="s">
        <v>3497</v>
      </c>
      <c r="Z4769" s="500"/>
      <c r="AA4769" s="500"/>
      <c r="AB4769" s="500"/>
      <c r="AC4769" s="500"/>
      <c r="AD4769" s="500"/>
      <c r="AE4769" s="500"/>
      <c r="AF4769" s="500"/>
      <c r="AG4769" s="500"/>
      <c r="AH4769" s="500"/>
      <c r="AI4769" s="500"/>
      <c r="AJ4769" s="500"/>
      <c r="AK4769" s="500"/>
      <c r="AL4769" s="500"/>
      <c r="AM4769" s="500"/>
      <c r="AN4769" s="500"/>
      <c r="AO4769" s="500"/>
      <c r="AP4769" s="500"/>
    </row>
    <row r="4770" spans="1:42" ht="16.5" customHeight="1">
      <c r="A4770" s="439"/>
      <c r="B4770" s="439"/>
      <c r="C4770" s="439"/>
      <c r="D4770" s="439"/>
      <c r="E4770" s="439"/>
      <c r="F4770" s="439"/>
      <c r="G4770" s="451" t="s">
        <v>3406</v>
      </c>
      <c r="Z4770" s="500"/>
      <c r="AA4770" s="500"/>
      <c r="AB4770" s="500"/>
      <c r="AC4770" s="500"/>
      <c r="AD4770" s="500"/>
      <c r="AE4770" s="500"/>
      <c r="AF4770" s="500"/>
      <c r="AG4770" s="500"/>
      <c r="AH4770" s="500"/>
      <c r="AI4770" s="500"/>
      <c r="AJ4770" s="500"/>
      <c r="AK4770" s="500"/>
      <c r="AL4770" s="500"/>
      <c r="AM4770" s="500"/>
      <c r="AN4770" s="500"/>
      <c r="AO4770" s="500"/>
      <c r="AP4770" s="500"/>
    </row>
    <row r="4771" spans="1:42" ht="16.5" customHeight="1">
      <c r="A4771" s="434" t="s">
        <v>3498</v>
      </c>
      <c r="B4771" s="505" t="str">
        <f>" 조 경 공 : "&amp;TEXT(I4771,"#,##0"&amp;IF(I4771&lt;&gt;INT(I4771),".###",""))&amp;" * "&amp;AA4771&amp;" 인  / Q1 = "&amp;TEXT(C4771,"#,##0.0")&amp;" "</f>
        <v xml:space="preserve"> 조 경 공 : 235,204 * 2 인  / Q1 = 21,382.1 </v>
      </c>
      <c r="C4771" s="506">
        <f>E4771+D4771+F4771</f>
        <v>21382.1</v>
      </c>
      <c r="D4771" s="506">
        <f>IF(H4771=0,0,ROUNDDOWN(J4771*H4771,1))</f>
        <v>21382.1</v>
      </c>
      <c r="E4771" s="506">
        <f>IF(H4771=0,0,ROUNDDOWN(K4771*H4771,1))</f>
        <v>0</v>
      </c>
      <c r="F4771" s="506">
        <f>IF(H4771=0,0,ROUNDDOWN(L4771*H4771,1))</f>
        <v>0</v>
      </c>
      <c r="G4771" s="451" t="s">
        <v>3960</v>
      </c>
      <c r="H4771" s="507">
        <f>ROUNDUP(AE4771,14-LEN(ABS(INT(AE4771))))</f>
        <v>9.0909090909100002E-2</v>
      </c>
      <c r="I4771" s="508">
        <f>K4771+J4771+L4771</f>
        <v>235204</v>
      </c>
      <c r="J4771" s="509">
        <f>노무비목록표!E15</f>
        <v>235204</v>
      </c>
      <c r="M4771" s="501" t="s">
        <v>2359</v>
      </c>
      <c r="N4771" s="501" t="s">
        <v>3416</v>
      </c>
      <c r="O4771" s="501" t="s">
        <v>2355</v>
      </c>
      <c r="X4771" s="510" t="str">
        <f>노무비목록표!B15&amp;" / "&amp;노무비목록표!C15</f>
        <v xml:space="preserve">조경공 / </v>
      </c>
      <c r="Y4771" s="433" t="str">
        <f ca="1">HYPERLINK("#"&amp;노무비목록표!G2&amp;"!A"&amp;ROW(노무비목록표!A15),"L00184 →")</f>
        <v>L00184 →</v>
      </c>
      <c r="Z4771" s="501" t="s">
        <v>3500</v>
      </c>
      <c r="AA4771" s="515">
        <v>2</v>
      </c>
      <c r="AB4771" s="501" t="s">
        <v>3428</v>
      </c>
      <c r="AC4771" s="512">
        <f>AB4764</f>
        <v>22</v>
      </c>
      <c r="AD4771" s="501" t="s">
        <v>3418</v>
      </c>
      <c r="AE4771" s="512">
        <f>1*AA4771/AB4764</f>
        <v>9.0909090909090912E-2</v>
      </c>
      <c r="AF4771" s="500"/>
      <c r="AG4771" s="500"/>
      <c r="AH4771" s="500"/>
      <c r="AI4771" s="500"/>
      <c r="AJ4771" s="500"/>
      <c r="AK4771" s="500"/>
      <c r="AL4771" s="500"/>
      <c r="AM4771" s="500"/>
      <c r="AN4771" s="500"/>
      <c r="AO4771" s="500"/>
      <c r="AP4771" s="500"/>
    </row>
    <row r="4772" spans="1:42" ht="16.5" customHeight="1">
      <c r="A4772" s="439"/>
      <c r="B4772" s="439"/>
      <c r="C4772" s="439"/>
      <c r="D4772" s="439"/>
      <c r="E4772" s="439"/>
      <c r="F4772" s="439"/>
      <c r="G4772" s="451" t="s">
        <v>3406</v>
      </c>
      <c r="Z4772" s="500"/>
      <c r="AA4772" s="500"/>
      <c r="AB4772" s="500"/>
      <c r="AC4772" s="500"/>
      <c r="AD4772" s="500"/>
      <c r="AE4772" s="500"/>
      <c r="AF4772" s="500"/>
      <c r="AG4772" s="500"/>
      <c r="AH4772" s="500"/>
      <c r="AI4772" s="500"/>
      <c r="AJ4772" s="500"/>
      <c r="AK4772" s="500"/>
      <c r="AL4772" s="500"/>
      <c r="AM4772" s="500"/>
      <c r="AN4772" s="500"/>
      <c r="AO4772" s="500"/>
      <c r="AP4772" s="500"/>
    </row>
    <row r="4773" spans="1:42" ht="16.5" customHeight="1">
      <c r="A4773" s="434" t="s">
        <v>3414</v>
      </c>
      <c r="B4773" s="505" t="str">
        <f>" 보통인부 : "&amp;TEXT(I4773,"#,##0"&amp;IF(I4773&lt;&gt;INT(I4773),".###",""))&amp;" * "&amp;AA4773&amp;" 인  / Q1 = "&amp;TEXT(C4773,"#,##0.0")&amp;" "</f>
        <v xml:space="preserve"> 보통인부 : 172,068 * 1 인  / Q1 = 7,821.2 </v>
      </c>
      <c r="C4773" s="506">
        <f>E4773+D4773+F4773</f>
        <v>7821.2</v>
      </c>
      <c r="D4773" s="506">
        <f>IF(H4773=0,0,ROUNDDOWN(J4773*H4773,1))</f>
        <v>7821.2</v>
      </c>
      <c r="E4773" s="506">
        <f>IF(H4773=0,0,ROUNDDOWN(K4773*H4773,1))</f>
        <v>0</v>
      </c>
      <c r="F4773" s="506">
        <f>IF(H4773=0,0,ROUNDDOWN(L4773*H4773,1))</f>
        <v>0</v>
      </c>
      <c r="G4773" s="451" t="s">
        <v>3894</v>
      </c>
      <c r="H4773" s="507">
        <f>ROUNDUP(AE4773,14-LEN(ABS(INT(AE4773))))</f>
        <v>4.5454545454600002E-2</v>
      </c>
      <c r="I4773" s="508">
        <f>K4773+J4773+L4773</f>
        <v>172068</v>
      </c>
      <c r="J4773" s="509">
        <f>노무비목록표!E10</f>
        <v>172068</v>
      </c>
      <c r="M4773" s="501" t="s">
        <v>2363</v>
      </c>
      <c r="N4773" s="501" t="s">
        <v>3416</v>
      </c>
      <c r="O4773" s="501" t="s">
        <v>2355</v>
      </c>
      <c r="X4773" s="510" t="str">
        <f>노무비목록표!B10&amp;" / "&amp;노무비목록표!C10</f>
        <v xml:space="preserve">보통인부 / </v>
      </c>
      <c r="Y4773" s="433" t="str">
        <f ca="1">HYPERLINK("#"&amp;노무비목록표!G2&amp;"!A"&amp;ROW(노무비목록표!A10),"L00017 →")</f>
        <v>L00017 →</v>
      </c>
      <c r="Z4773" s="501" t="s">
        <v>3500</v>
      </c>
      <c r="AA4773" s="515">
        <v>1</v>
      </c>
      <c r="AB4773" s="501" t="s">
        <v>3428</v>
      </c>
      <c r="AC4773" s="512">
        <f>AB4764</f>
        <v>22</v>
      </c>
      <c r="AD4773" s="501" t="s">
        <v>3418</v>
      </c>
      <c r="AE4773" s="512">
        <f>1*AA4773/AB4764</f>
        <v>4.5454545454545456E-2</v>
      </c>
      <c r="AF4773" s="500"/>
      <c r="AG4773" s="500"/>
      <c r="AH4773" s="500"/>
      <c r="AI4773" s="500"/>
      <c r="AJ4773" s="500"/>
      <c r="AK4773" s="500"/>
      <c r="AL4773" s="500"/>
      <c r="AM4773" s="500"/>
      <c r="AN4773" s="500"/>
      <c r="AO4773" s="500"/>
      <c r="AP4773" s="500"/>
    </row>
    <row r="4774" spans="1:42" ht="16.5" customHeight="1">
      <c r="A4774" s="439"/>
      <c r="B4774" s="439"/>
      <c r="C4774" s="439"/>
      <c r="D4774" s="439"/>
      <c r="E4774" s="439"/>
      <c r="F4774" s="439"/>
      <c r="G4774" s="451" t="s">
        <v>3406</v>
      </c>
      <c r="Z4774" s="500"/>
      <c r="AA4774" s="500"/>
      <c r="AB4774" s="500"/>
      <c r="AC4774" s="500"/>
      <c r="AD4774" s="500"/>
      <c r="AE4774" s="500"/>
      <c r="AF4774" s="500"/>
      <c r="AG4774" s="500"/>
      <c r="AH4774" s="500"/>
      <c r="AI4774" s="500"/>
      <c r="AJ4774" s="500"/>
      <c r="AK4774" s="500"/>
      <c r="AL4774" s="500"/>
      <c r="AM4774" s="500"/>
      <c r="AN4774" s="500"/>
      <c r="AO4774" s="500"/>
      <c r="AP4774" s="500"/>
    </row>
    <row r="4775" spans="1:42" ht="16.5" customHeight="1">
      <c r="A4775" s="434"/>
      <c r="B4775" s="437" t="s">
        <v>3419</v>
      </c>
      <c r="C4775" s="513">
        <f>E4775+D4775+F4775</f>
        <v>29203.3</v>
      </c>
      <c r="D4775" s="513">
        <f>SUMIF(N4757:N4774,M4775,D4757:D4774)</f>
        <v>29203.3</v>
      </c>
      <c r="E4775" s="513">
        <f>SUMIF(N4757:N4774,M4775,E4757:E4774)</f>
        <v>0</v>
      </c>
      <c r="F4775" s="513">
        <f>SUMIF(N4757:N4774,M4775,F4757:F4774)</f>
        <v>0</v>
      </c>
      <c r="G4775" s="451" t="s">
        <v>3420</v>
      </c>
      <c r="M4775" s="501" t="s">
        <v>3416</v>
      </c>
      <c r="N4775" s="501" t="s">
        <v>3421</v>
      </c>
      <c r="Z4775" s="500"/>
      <c r="AA4775" s="500"/>
      <c r="AB4775" s="500"/>
      <c r="AC4775" s="500"/>
      <c r="AD4775" s="500"/>
      <c r="AE4775" s="500"/>
      <c r="AF4775" s="500"/>
      <c r="AG4775" s="500"/>
      <c r="AH4775" s="500"/>
      <c r="AI4775" s="500"/>
      <c r="AJ4775" s="500"/>
      <c r="AK4775" s="500"/>
      <c r="AL4775" s="500"/>
      <c r="AM4775" s="500"/>
      <c r="AN4775" s="500"/>
      <c r="AO4775" s="500"/>
      <c r="AP4775" s="500"/>
    </row>
    <row r="4776" spans="1:42" ht="16.5" customHeight="1">
      <c r="A4776" s="439"/>
      <c r="B4776" s="439"/>
      <c r="C4776" s="504"/>
      <c r="D4776" s="504"/>
      <c r="E4776" s="504"/>
      <c r="F4776" s="504"/>
      <c r="G4776" s="451" t="s">
        <v>3406</v>
      </c>
      <c r="Z4776" s="500"/>
      <c r="AA4776" s="500"/>
      <c r="AB4776" s="500"/>
      <c r="AC4776" s="500"/>
      <c r="AD4776" s="500"/>
      <c r="AE4776" s="500"/>
      <c r="AF4776" s="500"/>
      <c r="AG4776" s="500"/>
      <c r="AH4776" s="500"/>
      <c r="AI4776" s="500"/>
      <c r="AJ4776" s="500"/>
      <c r="AK4776" s="500"/>
      <c r="AL4776" s="500"/>
      <c r="AM4776" s="500"/>
      <c r="AN4776" s="500"/>
      <c r="AO4776" s="500"/>
      <c r="AP4776" s="500"/>
    </row>
    <row r="4777" spans="1:42" ht="16.5" customHeight="1">
      <c r="A4777" s="439"/>
      <c r="B4777" s="439"/>
      <c r="C4777" s="439"/>
      <c r="D4777" s="439"/>
      <c r="E4777" s="439"/>
      <c r="F4777" s="439"/>
      <c r="G4777" s="451" t="s">
        <v>3406</v>
      </c>
      <c r="Z4777" s="500"/>
      <c r="AA4777" s="500"/>
      <c r="AB4777" s="500"/>
      <c r="AC4777" s="500"/>
      <c r="AD4777" s="500"/>
      <c r="AE4777" s="500"/>
      <c r="AF4777" s="500"/>
      <c r="AG4777" s="500"/>
      <c r="AH4777" s="500"/>
      <c r="AI4777" s="500"/>
      <c r="AJ4777" s="500"/>
      <c r="AK4777" s="500"/>
      <c r="AL4777" s="500"/>
      <c r="AM4777" s="500"/>
      <c r="AN4777" s="500"/>
      <c r="AO4777" s="500"/>
      <c r="AP4777" s="500"/>
    </row>
    <row r="4778" spans="1:42" ht="16.5" customHeight="1">
      <c r="A4778" s="434"/>
      <c r="B4778" s="505" t="str">
        <f>" 2. 기계경비(인력품의 3%) : "&amp;TEXT(I4778,"#,##0.0")&amp;" * "&amp;AA4778&amp;" %  = "&amp;TEXT(C4778,"#,##0.0")&amp;""</f>
        <v xml:space="preserve"> 2. 기계경비(인력품의 3%) : 29,203.3 * 3 %  = 876.0</v>
      </c>
      <c r="C4778" s="506">
        <f>E4778+D4778+F4778</f>
        <v>876</v>
      </c>
      <c r="D4778" s="506">
        <f>IF(H4778=0,0,ROUNDDOWN(J4778*H4778/100,1))</f>
        <v>0</v>
      </c>
      <c r="E4778" s="506">
        <f>IF(H4778=0,0,ROUNDDOWN(K4778*H4778/100,1))</f>
        <v>0</v>
      </c>
      <c r="F4778" s="506">
        <f>IF(H4778=0,0,ROUNDDOWN(L4778*H4778/100,1))</f>
        <v>876</v>
      </c>
      <c r="G4778" s="451" t="s">
        <v>3923</v>
      </c>
      <c r="H4778" s="507">
        <f>ROUNDUP(AC4778,14-LEN(ABS(INT(AC4778))))</f>
        <v>3</v>
      </c>
      <c r="I4778" s="508">
        <f>K4778+J4778+L4778</f>
        <v>29203.3</v>
      </c>
      <c r="J4778" s="456">
        <v>0</v>
      </c>
      <c r="K4778" s="456">
        <v>0</v>
      </c>
      <c r="L4778" s="509">
        <f>D4771+D4773</f>
        <v>29203.3</v>
      </c>
      <c r="M4778" s="501" t="s">
        <v>3743</v>
      </c>
      <c r="N4778" s="501" t="s">
        <v>3416</v>
      </c>
      <c r="Z4778" s="501" t="s">
        <v>3500</v>
      </c>
      <c r="AA4778" s="515">
        <v>3</v>
      </c>
      <c r="AB4778" s="501" t="s">
        <v>3418</v>
      </c>
      <c r="AC4778" s="512">
        <f>1*AA4778</f>
        <v>3</v>
      </c>
      <c r="AD4778" s="500"/>
      <c r="AE4778" s="500"/>
      <c r="AF4778" s="500"/>
      <c r="AG4778" s="500"/>
      <c r="AH4778" s="500"/>
      <c r="AI4778" s="500"/>
      <c r="AJ4778" s="500"/>
      <c r="AK4778" s="500"/>
      <c r="AL4778" s="500"/>
      <c r="AM4778" s="500"/>
      <c r="AN4778" s="500"/>
      <c r="AO4778" s="500"/>
      <c r="AP4778" s="500"/>
    </row>
    <row r="4779" spans="1:42" ht="16.5" customHeight="1">
      <c r="A4779" s="439"/>
      <c r="B4779" s="439"/>
      <c r="C4779" s="439"/>
      <c r="D4779" s="439"/>
      <c r="E4779" s="439"/>
      <c r="F4779" s="439"/>
      <c r="G4779" s="451" t="s">
        <v>3406</v>
      </c>
      <c r="Z4779" s="500"/>
      <c r="AA4779" s="500"/>
      <c r="AB4779" s="500"/>
      <c r="AC4779" s="500"/>
      <c r="AD4779" s="500"/>
      <c r="AE4779" s="500"/>
      <c r="AF4779" s="500"/>
      <c r="AG4779" s="500"/>
      <c r="AH4779" s="500"/>
      <c r="AI4779" s="500"/>
      <c r="AJ4779" s="500"/>
      <c r="AK4779" s="500"/>
      <c r="AL4779" s="500"/>
      <c r="AM4779" s="500"/>
      <c r="AN4779" s="500"/>
      <c r="AO4779" s="500"/>
      <c r="AP4779" s="500"/>
    </row>
    <row r="4780" spans="1:42" ht="16.5" customHeight="1">
      <c r="A4780" s="434"/>
      <c r="B4780" s="437" t="s">
        <v>3419</v>
      </c>
      <c r="C4780" s="513">
        <f>E4780+D4780+F4780</f>
        <v>876</v>
      </c>
      <c r="D4780" s="513">
        <f>SUMIF(N4776:N4779,M4780,D4776:D4779)</f>
        <v>0</v>
      </c>
      <c r="E4780" s="513">
        <f>SUMIF(N4776:N4779,M4780,E4776:E4779)</f>
        <v>0</v>
      </c>
      <c r="F4780" s="513">
        <f>SUMIF(N4776:N4779,M4780,F4776:F4779)</f>
        <v>876</v>
      </c>
      <c r="G4780" s="451" t="s">
        <v>3420</v>
      </c>
      <c r="M4780" s="501" t="s">
        <v>3416</v>
      </c>
      <c r="N4780" s="501" t="s">
        <v>3421</v>
      </c>
      <c r="Z4780" s="500"/>
      <c r="AA4780" s="500"/>
      <c r="AB4780" s="500"/>
      <c r="AC4780" s="500"/>
      <c r="AD4780" s="500"/>
      <c r="AE4780" s="500"/>
      <c r="AF4780" s="500"/>
      <c r="AG4780" s="500"/>
      <c r="AH4780" s="500"/>
      <c r="AI4780" s="500"/>
      <c r="AJ4780" s="500"/>
      <c r="AK4780" s="500"/>
      <c r="AL4780" s="500"/>
      <c r="AM4780" s="500"/>
      <c r="AN4780" s="500"/>
      <c r="AO4780" s="500"/>
      <c r="AP4780" s="500"/>
    </row>
    <row r="4781" spans="1:42" ht="16.5" customHeight="1">
      <c r="A4781" s="439"/>
      <c r="B4781" s="439"/>
      <c r="C4781" s="504"/>
      <c r="D4781" s="504"/>
      <c r="E4781" s="504"/>
      <c r="F4781" s="504"/>
      <c r="G4781" s="451" t="s">
        <v>3406</v>
      </c>
      <c r="Z4781" s="500"/>
      <c r="AA4781" s="500"/>
      <c r="AB4781" s="500"/>
      <c r="AC4781" s="500"/>
      <c r="AD4781" s="500"/>
      <c r="AE4781" s="500"/>
      <c r="AF4781" s="500"/>
      <c r="AG4781" s="500"/>
      <c r="AH4781" s="500"/>
      <c r="AI4781" s="500"/>
      <c r="AJ4781" s="500"/>
      <c r="AK4781" s="500"/>
      <c r="AL4781" s="500"/>
      <c r="AM4781" s="500"/>
      <c r="AN4781" s="500"/>
      <c r="AO4781" s="500"/>
      <c r="AP4781" s="500"/>
    </row>
    <row r="4782" spans="1:42" ht="16.5" customHeight="1">
      <c r="A4782" s="439"/>
      <c r="B4782" s="439"/>
      <c r="C4782" s="439"/>
      <c r="D4782" s="439"/>
      <c r="E4782" s="439"/>
      <c r="F4782" s="439"/>
      <c r="G4782" s="451" t="s">
        <v>3406</v>
      </c>
      <c r="Z4782" s="500"/>
      <c r="AA4782" s="500"/>
      <c r="AB4782" s="500"/>
      <c r="AC4782" s="500"/>
      <c r="AD4782" s="500"/>
      <c r="AE4782" s="500"/>
      <c r="AF4782" s="500"/>
      <c r="AG4782" s="500"/>
      <c r="AH4782" s="500"/>
      <c r="AI4782" s="500"/>
      <c r="AJ4782" s="500"/>
      <c r="AK4782" s="500"/>
      <c r="AL4782" s="500"/>
      <c r="AM4782" s="500"/>
      <c r="AN4782" s="500"/>
      <c r="AO4782" s="500"/>
      <c r="AP4782" s="500"/>
    </row>
    <row r="4783" spans="1:42" ht="16.5" customHeight="1">
      <c r="A4783" s="434"/>
      <c r="B4783" s="437" t="s">
        <v>3440</v>
      </c>
      <c r="C4783" s="513">
        <f>E4783+D4783+F4783</f>
        <v>30079.3</v>
      </c>
      <c r="D4783" s="513">
        <f>SUMIF(N4757:N4782,M4783,D4757:D4782)</f>
        <v>29203.3</v>
      </c>
      <c r="E4783" s="513">
        <f>SUMIF(N4757:N4782,M4783,E4757:E4782)</f>
        <v>0</v>
      </c>
      <c r="F4783" s="513">
        <f>SUMIF(N4757:N4782,M4783,F4757:F4782)</f>
        <v>876</v>
      </c>
      <c r="G4783" s="451" t="s">
        <v>3484</v>
      </c>
      <c r="M4783" s="501" t="s">
        <v>3421</v>
      </c>
      <c r="N4783" s="501" t="s">
        <v>2354</v>
      </c>
      <c r="Z4783" s="500"/>
      <c r="AA4783" s="500"/>
      <c r="AB4783" s="500"/>
      <c r="AC4783" s="500"/>
      <c r="AD4783" s="500"/>
      <c r="AE4783" s="500"/>
      <c r="AF4783" s="500"/>
      <c r="AG4783" s="500"/>
      <c r="AH4783" s="500"/>
      <c r="AI4783" s="500"/>
      <c r="AJ4783" s="500"/>
      <c r="AK4783" s="500"/>
      <c r="AL4783" s="500"/>
      <c r="AM4783" s="500"/>
      <c r="AN4783" s="500"/>
      <c r="AO4783" s="500"/>
      <c r="AP4783" s="500"/>
    </row>
    <row r="4784" spans="1:42" ht="16.5" customHeight="1">
      <c r="A4784" s="439"/>
      <c r="B4784" s="439"/>
      <c r="C4784" s="504"/>
      <c r="D4784" s="504"/>
      <c r="E4784" s="504"/>
      <c r="F4784" s="504"/>
      <c r="Z4784" s="500"/>
      <c r="AA4784" s="500"/>
      <c r="AB4784" s="500"/>
      <c r="AC4784" s="500"/>
      <c r="AD4784" s="500"/>
      <c r="AE4784" s="500"/>
      <c r="AF4784" s="500"/>
      <c r="AG4784" s="500"/>
      <c r="AH4784" s="500"/>
      <c r="AI4784" s="500"/>
      <c r="AJ4784" s="500"/>
      <c r="AK4784" s="500"/>
      <c r="AL4784" s="500"/>
      <c r="AM4784" s="500"/>
      <c r="AN4784" s="500"/>
      <c r="AO4784" s="500"/>
      <c r="AP4784" s="500"/>
    </row>
    <row r="4785" spans="1:42" ht="16.5" customHeight="1">
      <c r="A4785" s="439"/>
      <c r="B4785" s="439"/>
      <c r="C4785" s="439"/>
      <c r="D4785" s="439"/>
      <c r="E4785" s="439"/>
      <c r="F4785" s="439"/>
      <c r="Z4785" s="500"/>
      <c r="AA4785" s="500"/>
      <c r="AB4785" s="500"/>
      <c r="AC4785" s="500"/>
      <c r="AD4785" s="500"/>
      <c r="AE4785" s="500"/>
      <c r="AF4785" s="500"/>
      <c r="AG4785" s="500"/>
      <c r="AH4785" s="500"/>
      <c r="AI4785" s="500"/>
      <c r="AJ4785" s="500"/>
      <c r="AK4785" s="500"/>
      <c r="AL4785" s="500"/>
      <c r="AM4785" s="500"/>
      <c r="AN4785" s="500"/>
      <c r="AO4785" s="500"/>
      <c r="AP4785" s="500"/>
    </row>
    <row r="4786" spans="1:42" ht="16.5" customHeight="1">
      <c r="A4786" s="439"/>
      <c r="B4786" s="439"/>
      <c r="C4786" s="439"/>
      <c r="D4786" s="439"/>
      <c r="E4786" s="439"/>
      <c r="F4786" s="439"/>
      <c r="Z4786" s="500"/>
      <c r="AA4786" s="500"/>
      <c r="AB4786" s="500"/>
      <c r="AC4786" s="500"/>
      <c r="AD4786" s="500"/>
      <c r="AE4786" s="500"/>
      <c r="AF4786" s="500"/>
      <c r="AG4786" s="500"/>
      <c r="AH4786" s="500"/>
      <c r="AI4786" s="500"/>
      <c r="AJ4786" s="500"/>
      <c r="AK4786" s="500"/>
      <c r="AL4786" s="500"/>
      <c r="AM4786" s="500"/>
      <c r="AN4786" s="500"/>
      <c r="AO4786" s="500"/>
      <c r="AP4786" s="500"/>
    </row>
    <row r="4787" spans="1:42" ht="16.5" customHeight="1">
      <c r="A4787" s="439"/>
      <c r="B4787" s="439"/>
      <c r="C4787" s="439"/>
      <c r="D4787" s="439"/>
      <c r="E4787" s="439"/>
      <c r="F4787" s="439"/>
      <c r="Z4787" s="500"/>
      <c r="AA4787" s="500"/>
      <c r="AB4787" s="500"/>
      <c r="AC4787" s="500"/>
      <c r="AD4787" s="500"/>
      <c r="AE4787" s="500"/>
      <c r="AF4787" s="500"/>
      <c r="AG4787" s="500"/>
      <c r="AH4787" s="500"/>
      <c r="AI4787" s="500"/>
      <c r="AJ4787" s="500"/>
      <c r="AK4787" s="500"/>
      <c r="AL4787" s="500"/>
      <c r="AM4787" s="500"/>
      <c r="AN4787" s="500"/>
      <c r="AO4787" s="500"/>
      <c r="AP4787" s="500"/>
    </row>
    <row r="4788" spans="1:42" ht="16.5" customHeight="1">
      <c r="A4788" s="439"/>
      <c r="B4788" s="439"/>
      <c r="C4788" s="439"/>
      <c r="D4788" s="439"/>
      <c r="E4788" s="439"/>
      <c r="F4788" s="439"/>
      <c r="Z4788" s="500"/>
      <c r="AA4788" s="500"/>
      <c r="AB4788" s="500"/>
      <c r="AC4788" s="500"/>
      <c r="AD4788" s="500"/>
      <c r="AE4788" s="500"/>
      <c r="AF4788" s="500"/>
      <c r="AG4788" s="500"/>
      <c r="AH4788" s="500"/>
      <c r="AI4788" s="500"/>
      <c r="AJ4788" s="500"/>
      <c r="AK4788" s="500"/>
      <c r="AL4788" s="500"/>
      <c r="AM4788" s="500"/>
      <c r="AN4788" s="500"/>
      <c r="AO4788" s="500"/>
      <c r="AP4788" s="500"/>
    </row>
    <row r="4789" spans="1:42" ht="16.5" customHeight="1">
      <c r="A4789" s="439"/>
      <c r="B4789" s="439"/>
      <c r="C4789" s="439"/>
      <c r="D4789" s="439"/>
      <c r="E4789" s="439"/>
      <c r="F4789" s="439"/>
      <c r="Z4789" s="500"/>
      <c r="AA4789" s="500"/>
      <c r="AB4789" s="500"/>
      <c r="AC4789" s="500"/>
      <c r="AD4789" s="500"/>
      <c r="AE4789" s="500"/>
      <c r="AF4789" s="500"/>
      <c r="AG4789" s="500"/>
      <c r="AH4789" s="500"/>
      <c r="AI4789" s="500"/>
      <c r="AJ4789" s="500"/>
      <c r="AK4789" s="500"/>
      <c r="AL4789" s="500"/>
      <c r="AM4789" s="500"/>
      <c r="AN4789" s="500"/>
      <c r="AO4789" s="500"/>
      <c r="AP4789" s="500"/>
    </row>
    <row r="4790" spans="1:42" ht="16.5" customHeight="1">
      <c r="A4790" s="439"/>
      <c r="B4790" s="439"/>
      <c r="C4790" s="439"/>
      <c r="D4790" s="439"/>
      <c r="E4790" s="439"/>
      <c r="F4790" s="439"/>
      <c r="Z4790" s="500"/>
      <c r="AA4790" s="500"/>
      <c r="AB4790" s="500"/>
      <c r="AC4790" s="500"/>
      <c r="AD4790" s="500"/>
      <c r="AE4790" s="500"/>
      <c r="AF4790" s="500"/>
      <c r="AG4790" s="500"/>
      <c r="AH4790" s="500"/>
      <c r="AI4790" s="500"/>
      <c r="AJ4790" s="500"/>
      <c r="AK4790" s="500"/>
      <c r="AL4790" s="500"/>
      <c r="AM4790" s="500"/>
      <c r="AN4790" s="500"/>
      <c r="AO4790" s="500"/>
      <c r="AP4790" s="500"/>
    </row>
    <row r="4791" spans="1:42" ht="16.5" customHeight="1">
      <c r="A4791" s="439"/>
      <c r="B4791" s="439"/>
      <c r="C4791" s="439"/>
      <c r="D4791" s="439"/>
      <c r="E4791" s="439"/>
      <c r="F4791" s="439"/>
      <c r="Z4791" s="500"/>
      <c r="AA4791" s="500"/>
      <c r="AB4791" s="500"/>
      <c r="AC4791" s="500"/>
      <c r="AD4791" s="500"/>
      <c r="AE4791" s="500"/>
      <c r="AF4791" s="500"/>
      <c r="AG4791" s="500"/>
      <c r="AH4791" s="500"/>
      <c r="AI4791" s="500"/>
      <c r="AJ4791" s="500"/>
      <c r="AK4791" s="500"/>
      <c r="AL4791" s="500"/>
      <c r="AM4791" s="500"/>
      <c r="AN4791" s="500"/>
      <c r="AO4791" s="500"/>
      <c r="AP4791" s="500"/>
    </row>
    <row r="4792" spans="1:42" ht="16.5" customHeight="1">
      <c r="A4792" s="439"/>
      <c r="B4792" s="439"/>
      <c r="C4792" s="439"/>
      <c r="D4792" s="439"/>
      <c r="E4792" s="439"/>
      <c r="F4792" s="439"/>
      <c r="Z4792" s="500"/>
      <c r="AA4792" s="500"/>
      <c r="AB4792" s="500"/>
      <c r="AC4792" s="500"/>
      <c r="AD4792" s="500"/>
      <c r="AE4792" s="500"/>
      <c r="AF4792" s="500"/>
      <c r="AG4792" s="500"/>
      <c r="AH4792" s="500"/>
      <c r="AI4792" s="500"/>
      <c r="AJ4792" s="500"/>
      <c r="AK4792" s="500"/>
      <c r="AL4792" s="500"/>
      <c r="AM4792" s="500"/>
      <c r="AN4792" s="500"/>
      <c r="AO4792" s="500"/>
      <c r="AP4792" s="500"/>
    </row>
    <row r="4793" spans="1:42" ht="16.5" customHeight="1">
      <c r="A4793" s="439"/>
      <c r="B4793" s="439"/>
      <c r="C4793" s="439"/>
      <c r="D4793" s="439"/>
      <c r="E4793" s="439"/>
      <c r="F4793" s="439"/>
      <c r="Z4793" s="500"/>
      <c r="AA4793" s="500"/>
      <c r="AB4793" s="500"/>
      <c r="AC4793" s="500"/>
      <c r="AD4793" s="500"/>
      <c r="AE4793" s="500"/>
      <c r="AF4793" s="500"/>
      <c r="AG4793" s="500"/>
      <c r="AH4793" s="500"/>
      <c r="AI4793" s="500"/>
      <c r="AJ4793" s="500"/>
      <c r="AK4793" s="500"/>
      <c r="AL4793" s="500"/>
      <c r="AM4793" s="500"/>
      <c r="AN4793" s="500"/>
      <c r="AO4793" s="500"/>
      <c r="AP4793" s="500"/>
    </row>
    <row r="4794" spans="1:42" ht="16.5" customHeight="1">
      <c r="A4794" s="439"/>
      <c r="B4794" s="439"/>
      <c r="C4794" s="439"/>
      <c r="D4794" s="439"/>
      <c r="E4794" s="439"/>
      <c r="F4794" s="439"/>
      <c r="Z4794" s="500"/>
      <c r="AA4794" s="500"/>
      <c r="AB4794" s="500"/>
      <c r="AC4794" s="500"/>
      <c r="AD4794" s="500"/>
      <c r="AE4794" s="500"/>
      <c r="AF4794" s="500"/>
      <c r="AG4794" s="500"/>
      <c r="AH4794" s="500"/>
      <c r="AI4794" s="500"/>
      <c r="AJ4794" s="500"/>
      <c r="AK4794" s="500"/>
      <c r="AL4794" s="500"/>
      <c r="AM4794" s="500"/>
      <c r="AN4794" s="500"/>
      <c r="AO4794" s="500"/>
      <c r="AP4794" s="500"/>
    </row>
    <row r="4795" spans="1:42" ht="16.5" customHeight="1">
      <c r="A4795" s="439"/>
      <c r="B4795" s="439"/>
      <c r="C4795" s="439"/>
      <c r="D4795" s="439"/>
      <c r="E4795" s="439"/>
      <c r="F4795" s="439"/>
      <c r="Z4795" s="500"/>
      <c r="AA4795" s="500"/>
      <c r="AB4795" s="500"/>
      <c r="AC4795" s="500"/>
      <c r="AD4795" s="500"/>
      <c r="AE4795" s="500"/>
      <c r="AF4795" s="500"/>
      <c r="AG4795" s="500"/>
      <c r="AH4795" s="500"/>
      <c r="AI4795" s="500"/>
      <c r="AJ4795" s="500"/>
      <c r="AK4795" s="500"/>
      <c r="AL4795" s="500"/>
      <c r="AM4795" s="500"/>
      <c r="AN4795" s="500"/>
      <c r="AO4795" s="500"/>
      <c r="AP4795" s="500"/>
    </row>
    <row r="4796" spans="1:42" ht="16.5" customHeight="1">
      <c r="A4796" s="439"/>
      <c r="B4796" s="439"/>
      <c r="C4796" s="439"/>
      <c r="D4796" s="439"/>
      <c r="E4796" s="439"/>
      <c r="F4796" s="439"/>
      <c r="Z4796" s="500"/>
      <c r="AA4796" s="500"/>
      <c r="AB4796" s="500"/>
      <c r="AC4796" s="500"/>
      <c r="AD4796" s="500"/>
      <c r="AE4796" s="500"/>
      <c r="AF4796" s="500"/>
      <c r="AG4796" s="500"/>
      <c r="AH4796" s="500"/>
      <c r="AI4796" s="500"/>
      <c r="AJ4796" s="500"/>
      <c r="AK4796" s="500"/>
      <c r="AL4796" s="500"/>
      <c r="AM4796" s="500"/>
      <c r="AN4796" s="500"/>
      <c r="AO4796" s="500"/>
      <c r="AP4796" s="500"/>
    </row>
    <row r="4797" spans="1:42" ht="16.5" customHeight="1">
      <c r="A4797" s="439"/>
      <c r="B4797" s="439"/>
      <c r="C4797" s="439"/>
      <c r="D4797" s="439"/>
      <c r="E4797" s="439"/>
      <c r="F4797" s="439"/>
      <c r="Z4797" s="500"/>
      <c r="AA4797" s="500"/>
      <c r="AB4797" s="500"/>
      <c r="AC4797" s="500"/>
      <c r="AD4797" s="500"/>
      <c r="AE4797" s="500"/>
      <c r="AF4797" s="500"/>
      <c r="AG4797" s="500"/>
      <c r="AH4797" s="500"/>
      <c r="AI4797" s="500"/>
      <c r="AJ4797" s="500"/>
      <c r="AK4797" s="500"/>
      <c r="AL4797" s="500"/>
      <c r="AM4797" s="500"/>
      <c r="AN4797" s="500"/>
      <c r="AO4797" s="500"/>
      <c r="AP4797" s="500"/>
    </row>
    <row r="4798" spans="1:42" ht="16.5" customHeight="1">
      <c r="A4798" s="439"/>
      <c r="B4798" s="439"/>
      <c r="C4798" s="439"/>
      <c r="D4798" s="439"/>
      <c r="E4798" s="439"/>
      <c r="F4798" s="439"/>
      <c r="Z4798" s="500"/>
      <c r="AA4798" s="500"/>
      <c r="AB4798" s="500"/>
      <c r="AC4798" s="500"/>
      <c r="AD4798" s="500"/>
      <c r="AE4798" s="500"/>
      <c r="AF4798" s="500"/>
      <c r="AG4798" s="500"/>
      <c r="AH4798" s="500"/>
      <c r="AI4798" s="500"/>
      <c r="AJ4798" s="500"/>
      <c r="AK4798" s="500"/>
      <c r="AL4798" s="500"/>
      <c r="AM4798" s="500"/>
      <c r="AN4798" s="500"/>
      <c r="AO4798" s="500"/>
      <c r="AP4798" s="500"/>
    </row>
    <row r="4799" spans="1:42" ht="16.5" customHeight="1">
      <c r="A4799" s="439"/>
      <c r="B4799" s="439"/>
      <c r="C4799" s="439"/>
      <c r="D4799" s="439"/>
      <c r="E4799" s="439"/>
      <c r="F4799" s="439"/>
      <c r="Z4799" s="500"/>
      <c r="AA4799" s="500"/>
      <c r="AB4799" s="500"/>
      <c r="AC4799" s="500"/>
      <c r="AD4799" s="500"/>
      <c r="AE4799" s="500"/>
      <c r="AF4799" s="500"/>
      <c r="AG4799" s="500"/>
      <c r="AH4799" s="500"/>
      <c r="AI4799" s="500"/>
      <c r="AJ4799" s="500"/>
      <c r="AK4799" s="500"/>
      <c r="AL4799" s="500"/>
      <c r="AM4799" s="500"/>
      <c r="AN4799" s="500"/>
      <c r="AO4799" s="500"/>
      <c r="AP4799" s="500"/>
    </row>
    <row r="4800" spans="1:42" ht="16.5" customHeight="1">
      <c r="A4800" s="439"/>
      <c r="B4800" s="439"/>
      <c r="C4800" s="439"/>
      <c r="D4800" s="439"/>
      <c r="E4800" s="439"/>
      <c r="F4800" s="439"/>
      <c r="Z4800" s="500"/>
      <c r="AA4800" s="500"/>
      <c r="AB4800" s="500"/>
      <c r="AC4800" s="500"/>
      <c r="AD4800" s="500"/>
      <c r="AE4800" s="500"/>
      <c r="AF4800" s="500"/>
      <c r="AG4800" s="500"/>
      <c r="AH4800" s="500"/>
      <c r="AI4800" s="500"/>
      <c r="AJ4800" s="500"/>
      <c r="AK4800" s="500"/>
      <c r="AL4800" s="500"/>
      <c r="AM4800" s="500"/>
      <c r="AN4800" s="500"/>
      <c r="AO4800" s="500"/>
      <c r="AP4800" s="500"/>
    </row>
    <row r="4801" spans="1:42" ht="16.5" customHeight="1">
      <c r="A4801" s="439"/>
      <c r="B4801" s="439"/>
      <c r="C4801" s="439"/>
      <c r="D4801" s="439"/>
      <c r="E4801" s="439"/>
      <c r="F4801" s="439"/>
      <c r="Z4801" s="500"/>
      <c r="AA4801" s="500"/>
      <c r="AB4801" s="500"/>
      <c r="AC4801" s="500"/>
      <c r="AD4801" s="500"/>
      <c r="AE4801" s="500"/>
      <c r="AF4801" s="500"/>
      <c r="AG4801" s="500"/>
      <c r="AH4801" s="500"/>
      <c r="AI4801" s="500"/>
      <c r="AJ4801" s="500"/>
      <c r="AK4801" s="500"/>
      <c r="AL4801" s="500"/>
      <c r="AM4801" s="500"/>
      <c r="AN4801" s="500"/>
      <c r="AO4801" s="500"/>
      <c r="AP4801" s="500"/>
    </row>
    <row r="4802" spans="1:42" ht="16.5" customHeight="1">
      <c r="A4802" s="439"/>
      <c r="B4802" s="439"/>
      <c r="C4802" s="439"/>
      <c r="D4802" s="439"/>
      <c r="E4802" s="439"/>
      <c r="F4802" s="439"/>
      <c r="Z4802" s="500"/>
      <c r="AA4802" s="500"/>
      <c r="AB4802" s="500"/>
      <c r="AC4802" s="500"/>
      <c r="AD4802" s="500"/>
      <c r="AE4802" s="500"/>
      <c r="AF4802" s="500"/>
      <c r="AG4802" s="500"/>
      <c r="AH4802" s="500"/>
      <c r="AI4802" s="500"/>
      <c r="AJ4802" s="500"/>
      <c r="AK4802" s="500"/>
      <c r="AL4802" s="500"/>
      <c r="AM4802" s="500"/>
      <c r="AN4802" s="500"/>
      <c r="AO4802" s="500"/>
      <c r="AP4802" s="500"/>
    </row>
    <row r="4803" spans="1:42" ht="16.5" customHeight="1">
      <c r="A4803" s="497"/>
      <c r="B4803" s="497"/>
      <c r="C4803" s="497"/>
      <c r="D4803" s="497"/>
      <c r="E4803" s="497"/>
      <c r="F4803" s="497"/>
      <c r="Z4803" s="500"/>
      <c r="AA4803" s="500"/>
      <c r="AB4803" s="500"/>
      <c r="AC4803" s="500"/>
      <c r="AD4803" s="500"/>
      <c r="AE4803" s="500"/>
      <c r="AF4803" s="500"/>
      <c r="AG4803" s="500"/>
      <c r="AH4803" s="500"/>
      <c r="AI4803" s="500"/>
      <c r="AJ4803" s="500"/>
      <c r="AK4803" s="500"/>
      <c r="AL4803" s="500"/>
      <c r="AM4803" s="500"/>
      <c r="AN4803" s="500"/>
      <c r="AO4803" s="500"/>
      <c r="AP4803" s="500"/>
    </row>
    <row r="4804" spans="1:42" ht="16.5" customHeight="1">
      <c r="A4804" s="616" t="s">
        <v>3487</v>
      </c>
      <c r="B4804" s="605"/>
      <c r="C4804" s="446">
        <f>E4804+D4804+F4804</f>
        <v>30079</v>
      </c>
      <c r="D4804" s="453">
        <f>ROUNDDOWN(SUMIF(N4757:N4783,M4804,D4757:D4783),0)</f>
        <v>29203</v>
      </c>
      <c r="E4804" s="454">
        <f>ROUNDDOWN(SUMIF(N4757:N4783,M4804,E4757:E4783),0)</f>
        <v>0</v>
      </c>
      <c r="F4804" s="446">
        <f>ROUNDDOWN(SUMIF(N4757:N4783,M4804,F4757:F4783),0)</f>
        <v>876</v>
      </c>
      <c r="M4804" s="501" t="s">
        <v>2354</v>
      </c>
      <c r="Z4804" s="500"/>
      <c r="AA4804" s="500"/>
      <c r="AB4804" s="500"/>
      <c r="AC4804" s="500"/>
      <c r="AD4804" s="500"/>
      <c r="AE4804" s="500"/>
      <c r="AF4804" s="500"/>
      <c r="AG4804" s="500"/>
      <c r="AH4804" s="500"/>
      <c r="AI4804" s="500"/>
      <c r="AJ4804" s="500"/>
      <c r="AK4804" s="500"/>
      <c r="AL4804" s="500"/>
      <c r="AM4804" s="500"/>
      <c r="AN4804" s="500"/>
      <c r="AO4804" s="500"/>
      <c r="AP4804" s="500"/>
    </row>
    <row r="4805" spans="1:42" ht="16.5" customHeight="1">
      <c r="A4805" s="502" t="s">
        <v>3371</v>
      </c>
      <c r="B4805" s="503" t="s">
        <v>1949</v>
      </c>
      <c r="C4805" s="615">
        <f>C4854</f>
        <v>50903</v>
      </c>
      <c r="D4805" s="615">
        <f>D4854</f>
        <v>49421</v>
      </c>
      <c r="E4805" s="615">
        <f>E4854</f>
        <v>0</v>
      </c>
      <c r="F4805" s="615">
        <f>F4854</f>
        <v>1482</v>
      </c>
      <c r="G4805" s="486" t="str">
        <f>HYPERLINK("#G"&amp;ROW(G4833),"_x0005_`BDCOD|D01236_x0007_`POSS|"&amp;ROW(G4807)&amp;"_x0007_`POSE|"&amp;ROW(G4833)&amp;"_x0007_`")</f>
        <v>_x0005_`BDCOD|D01236_x0007_`POSS|4807_x0007_`POSE|4833_x0007_`</v>
      </c>
      <c r="Z4805" s="500"/>
      <c r="AA4805" s="500"/>
      <c r="AB4805" s="500"/>
      <c r="AC4805" s="500"/>
      <c r="AD4805" s="500"/>
      <c r="AE4805" s="500"/>
      <c r="AF4805" s="500"/>
      <c r="AG4805" s="500"/>
      <c r="AH4805" s="500"/>
      <c r="AI4805" s="500"/>
      <c r="AJ4805" s="500"/>
      <c r="AK4805" s="500"/>
      <c r="AL4805" s="500"/>
      <c r="AM4805" s="500"/>
      <c r="AN4805" s="500"/>
      <c r="AO4805" s="500"/>
      <c r="AP4805" s="500"/>
    </row>
    <row r="4806" spans="1:42" ht="16.5" customHeight="1">
      <c r="A4806" s="485"/>
      <c r="B4806" s="503" t="s">
        <v>3963</v>
      </c>
      <c r="C4806" s="593"/>
      <c r="D4806" s="593"/>
      <c r="E4806" s="593"/>
      <c r="F4806" s="593"/>
      <c r="M4806" s="501" t="s">
        <v>1949</v>
      </c>
      <c r="Z4806" s="500"/>
      <c r="AA4806" s="500"/>
      <c r="AB4806" s="500"/>
      <c r="AC4806" s="500"/>
      <c r="AD4806" s="500"/>
      <c r="AE4806" s="500"/>
      <c r="AF4806" s="500"/>
      <c r="AG4806" s="500"/>
      <c r="AH4806" s="500"/>
      <c r="AI4806" s="500"/>
      <c r="AJ4806" s="500"/>
      <c r="AK4806" s="500"/>
      <c r="AL4806" s="500"/>
      <c r="AM4806" s="500"/>
      <c r="AN4806" s="500"/>
      <c r="AO4806" s="500"/>
      <c r="AP4806" s="500"/>
    </row>
    <row r="4807" spans="1:42" ht="16.5" customHeight="1">
      <c r="A4807" s="439"/>
      <c r="B4807" s="439"/>
      <c r="C4807" s="504"/>
      <c r="D4807" s="504"/>
      <c r="E4807" s="504"/>
      <c r="F4807" s="504"/>
      <c r="G4807" s="451" t="s">
        <v>3406</v>
      </c>
      <c r="Z4807" s="500"/>
      <c r="AA4807" s="500"/>
      <c r="AB4807" s="500"/>
      <c r="AC4807" s="500"/>
      <c r="AD4807" s="500"/>
      <c r="AE4807" s="500"/>
      <c r="AF4807" s="500"/>
      <c r="AG4807" s="500"/>
      <c r="AH4807" s="500"/>
      <c r="AI4807" s="500"/>
      <c r="AJ4807" s="500"/>
      <c r="AK4807" s="500"/>
      <c r="AL4807" s="500"/>
      <c r="AM4807" s="500"/>
      <c r="AN4807" s="500"/>
      <c r="AO4807" s="500"/>
      <c r="AP4807" s="500"/>
    </row>
    <row r="4808" spans="1:42" ht="16.5" customHeight="1">
      <c r="A4808" s="434"/>
      <c r="B4808" s="437" t="s">
        <v>3964</v>
      </c>
      <c r="C4808" s="439"/>
      <c r="D4808" s="439"/>
      <c r="E4808" s="439"/>
      <c r="F4808" s="439"/>
      <c r="G4808" s="451" t="s">
        <v>3965</v>
      </c>
      <c r="Z4808" s="500"/>
      <c r="AA4808" s="500"/>
      <c r="AB4808" s="500"/>
      <c r="AC4808" s="500"/>
      <c r="AD4808" s="500"/>
      <c r="AE4808" s="500"/>
      <c r="AF4808" s="500"/>
      <c r="AG4808" s="500"/>
      <c r="AH4808" s="500"/>
      <c r="AI4808" s="500"/>
      <c r="AJ4808" s="500"/>
      <c r="AK4808" s="500"/>
      <c r="AL4808" s="500"/>
      <c r="AM4808" s="500"/>
      <c r="AN4808" s="500"/>
      <c r="AO4808" s="500"/>
      <c r="AP4808" s="500"/>
    </row>
    <row r="4809" spans="1:42" ht="16.5" customHeight="1">
      <c r="A4809" s="439"/>
      <c r="B4809" s="439"/>
      <c r="C4809" s="439"/>
      <c r="D4809" s="439"/>
      <c r="E4809" s="439"/>
      <c r="F4809" s="439"/>
      <c r="G4809" s="451" t="s">
        <v>3406</v>
      </c>
      <c r="Z4809" s="500"/>
      <c r="AA4809" s="500"/>
      <c r="AB4809" s="500"/>
      <c r="AC4809" s="500"/>
      <c r="AD4809" s="500"/>
      <c r="AE4809" s="500"/>
      <c r="AF4809" s="500"/>
      <c r="AG4809" s="500"/>
      <c r="AH4809" s="500"/>
      <c r="AI4809" s="500"/>
      <c r="AJ4809" s="500"/>
      <c r="AK4809" s="500"/>
      <c r="AL4809" s="500"/>
      <c r="AM4809" s="500"/>
      <c r="AN4809" s="500"/>
      <c r="AO4809" s="500"/>
      <c r="AP4809" s="500"/>
    </row>
    <row r="4810" spans="1:42" ht="16.5" customHeight="1">
      <c r="A4810" s="434"/>
      <c r="B4810" s="437" t="s">
        <v>3907</v>
      </c>
      <c r="C4810" s="439"/>
      <c r="D4810" s="439"/>
      <c r="E4810" s="439"/>
      <c r="F4810" s="439"/>
      <c r="G4810" s="451" t="s">
        <v>3908</v>
      </c>
      <c r="Z4810" s="500"/>
      <c r="AA4810" s="500"/>
      <c r="AB4810" s="500"/>
      <c r="AC4810" s="500"/>
      <c r="AD4810" s="500"/>
      <c r="AE4810" s="500"/>
      <c r="AF4810" s="500"/>
      <c r="AG4810" s="500"/>
      <c r="AH4810" s="500"/>
      <c r="AI4810" s="500"/>
      <c r="AJ4810" s="500"/>
      <c r="AK4810" s="500"/>
      <c r="AL4810" s="500"/>
      <c r="AM4810" s="500"/>
      <c r="AN4810" s="500"/>
      <c r="AO4810" s="500"/>
      <c r="AP4810" s="500"/>
    </row>
    <row r="4811" spans="1:42" ht="16.5" customHeight="1">
      <c r="A4811" s="439"/>
      <c r="B4811" s="439"/>
      <c r="C4811" s="439"/>
      <c r="D4811" s="439"/>
      <c r="E4811" s="439"/>
      <c r="F4811" s="439"/>
      <c r="G4811" s="451" t="s">
        <v>3406</v>
      </c>
      <c r="Z4811" s="500"/>
      <c r="AA4811" s="500"/>
      <c r="AB4811" s="500"/>
      <c r="AC4811" s="500"/>
      <c r="AD4811" s="500"/>
      <c r="AE4811" s="500"/>
      <c r="AF4811" s="500"/>
      <c r="AG4811" s="500"/>
      <c r="AH4811" s="500"/>
      <c r="AI4811" s="500"/>
      <c r="AJ4811" s="500"/>
      <c r="AK4811" s="500"/>
      <c r="AL4811" s="500"/>
      <c r="AM4811" s="500"/>
      <c r="AN4811" s="500"/>
      <c r="AO4811" s="500"/>
      <c r="AP4811" s="500"/>
    </row>
    <row r="4812" spans="1:42" ht="16.5" customHeight="1">
      <c r="A4812" s="434"/>
      <c r="B4812" s="437" t="s">
        <v>3955</v>
      </c>
      <c r="C4812" s="439"/>
      <c r="D4812" s="439"/>
      <c r="E4812" s="439"/>
      <c r="F4812" s="439"/>
      <c r="G4812" s="451" t="s">
        <v>3956</v>
      </c>
      <c r="Z4812" s="500"/>
      <c r="AA4812" s="500"/>
      <c r="AB4812" s="500"/>
      <c r="AC4812" s="500"/>
      <c r="AD4812" s="500"/>
      <c r="AE4812" s="500"/>
      <c r="AF4812" s="500"/>
      <c r="AG4812" s="500"/>
      <c r="AH4812" s="500"/>
      <c r="AI4812" s="500"/>
      <c r="AJ4812" s="500"/>
      <c r="AK4812" s="500"/>
      <c r="AL4812" s="500"/>
      <c r="AM4812" s="500"/>
      <c r="AN4812" s="500"/>
      <c r="AO4812" s="500"/>
      <c r="AP4812" s="500"/>
    </row>
    <row r="4813" spans="1:42" ht="16.5" customHeight="1">
      <c r="A4813" s="439"/>
      <c r="B4813" s="439"/>
      <c r="C4813" s="439"/>
      <c r="D4813" s="439"/>
      <c r="E4813" s="439"/>
      <c r="F4813" s="439"/>
      <c r="G4813" s="451" t="s">
        <v>3406</v>
      </c>
      <c r="Z4813" s="500"/>
      <c r="AA4813" s="500"/>
      <c r="AB4813" s="500"/>
      <c r="AC4813" s="500"/>
      <c r="AD4813" s="500"/>
      <c r="AE4813" s="500"/>
      <c r="AF4813" s="500"/>
      <c r="AG4813" s="500"/>
      <c r="AH4813" s="500"/>
      <c r="AI4813" s="500"/>
      <c r="AJ4813" s="500"/>
      <c r="AK4813" s="500"/>
      <c r="AL4813" s="500"/>
      <c r="AM4813" s="500"/>
      <c r="AN4813" s="500"/>
      <c r="AO4813" s="500"/>
      <c r="AP4813" s="500"/>
    </row>
    <row r="4814" spans="1:42" ht="16.5" customHeight="1">
      <c r="A4814" s="434"/>
      <c r="B4814" s="437" t="str">
        <f>" 일당 작업량 :  Q1 = "&amp;Z4814&amp;" 주 "</f>
        <v xml:space="preserve"> 일당 작업량 :  Q1 = 13 주 </v>
      </c>
      <c r="C4814" s="439"/>
      <c r="D4814" s="439"/>
      <c r="E4814" s="439"/>
      <c r="F4814" s="439"/>
      <c r="G4814" s="451" t="s">
        <v>3966</v>
      </c>
      <c r="Z4814" s="515">
        <v>13</v>
      </c>
      <c r="AA4814" s="501" t="s">
        <v>3418</v>
      </c>
      <c r="AB4814" s="512">
        <f>Z4814</f>
        <v>13</v>
      </c>
      <c r="AC4814" s="500"/>
      <c r="AD4814" s="500"/>
      <c r="AE4814" s="500"/>
      <c r="AF4814" s="500"/>
      <c r="AG4814" s="500"/>
      <c r="AH4814" s="500"/>
      <c r="AI4814" s="500"/>
      <c r="AJ4814" s="500"/>
      <c r="AK4814" s="500"/>
      <c r="AL4814" s="500"/>
      <c r="AM4814" s="500"/>
      <c r="AN4814" s="500"/>
      <c r="AO4814" s="500"/>
      <c r="AP4814" s="500"/>
    </row>
    <row r="4815" spans="1:42" ht="16.5" customHeight="1">
      <c r="A4815" s="439"/>
      <c r="B4815" s="439"/>
      <c r="C4815" s="439"/>
      <c r="D4815" s="439"/>
      <c r="E4815" s="439"/>
      <c r="F4815" s="439"/>
      <c r="G4815" s="451" t="s">
        <v>3406</v>
      </c>
      <c r="Z4815" s="500"/>
      <c r="AA4815" s="500"/>
      <c r="AB4815" s="500"/>
      <c r="AC4815" s="500"/>
      <c r="AD4815" s="500"/>
      <c r="AE4815" s="500"/>
      <c r="AF4815" s="500"/>
      <c r="AG4815" s="500"/>
      <c r="AH4815" s="500"/>
      <c r="AI4815" s="500"/>
      <c r="AJ4815" s="500"/>
      <c r="AK4815" s="500"/>
      <c r="AL4815" s="500"/>
      <c r="AM4815" s="500"/>
      <c r="AN4815" s="500"/>
      <c r="AO4815" s="500"/>
      <c r="AP4815" s="500"/>
    </row>
    <row r="4816" spans="1:42" ht="16.5" customHeight="1">
      <c r="A4816" s="434"/>
      <c r="B4816" s="437" t="s">
        <v>3958</v>
      </c>
      <c r="C4816" s="439"/>
      <c r="D4816" s="439"/>
      <c r="E4816" s="439"/>
      <c r="F4816" s="439"/>
      <c r="G4816" s="451" t="s">
        <v>3959</v>
      </c>
      <c r="Z4816" s="500"/>
      <c r="AA4816" s="500"/>
      <c r="AB4816" s="500"/>
      <c r="AC4816" s="500"/>
      <c r="AD4816" s="500"/>
      <c r="AE4816" s="500"/>
      <c r="AF4816" s="500"/>
      <c r="AG4816" s="500"/>
      <c r="AH4816" s="500"/>
      <c r="AI4816" s="500"/>
      <c r="AJ4816" s="500"/>
      <c r="AK4816" s="500"/>
      <c r="AL4816" s="500"/>
      <c r="AM4816" s="500"/>
      <c r="AN4816" s="500"/>
      <c r="AO4816" s="500"/>
      <c r="AP4816" s="500"/>
    </row>
    <row r="4817" spans="1:42" ht="16.5" customHeight="1">
      <c r="A4817" s="439"/>
      <c r="B4817" s="439"/>
      <c r="C4817" s="439"/>
      <c r="D4817" s="439"/>
      <c r="E4817" s="439"/>
      <c r="F4817" s="439"/>
      <c r="G4817" s="451" t="s">
        <v>3406</v>
      </c>
      <c r="Z4817" s="500"/>
      <c r="AA4817" s="500"/>
      <c r="AB4817" s="500"/>
      <c r="AC4817" s="500"/>
      <c r="AD4817" s="500"/>
      <c r="AE4817" s="500"/>
      <c r="AF4817" s="500"/>
      <c r="AG4817" s="500"/>
      <c r="AH4817" s="500"/>
      <c r="AI4817" s="500"/>
      <c r="AJ4817" s="500"/>
      <c r="AK4817" s="500"/>
      <c r="AL4817" s="500"/>
      <c r="AM4817" s="500"/>
      <c r="AN4817" s="500"/>
      <c r="AO4817" s="500"/>
      <c r="AP4817" s="500"/>
    </row>
    <row r="4818" spans="1:42" ht="16.5" customHeight="1">
      <c r="A4818" s="439"/>
      <c r="B4818" s="439"/>
      <c r="C4818" s="439"/>
      <c r="D4818" s="439"/>
      <c r="E4818" s="439"/>
      <c r="F4818" s="439"/>
      <c r="G4818" s="451" t="s">
        <v>3406</v>
      </c>
      <c r="Z4818" s="500"/>
      <c r="AA4818" s="500"/>
      <c r="AB4818" s="500"/>
      <c r="AC4818" s="500"/>
      <c r="AD4818" s="500"/>
      <c r="AE4818" s="500"/>
      <c r="AF4818" s="500"/>
      <c r="AG4818" s="500"/>
      <c r="AH4818" s="500"/>
      <c r="AI4818" s="500"/>
      <c r="AJ4818" s="500"/>
      <c r="AK4818" s="500"/>
      <c r="AL4818" s="500"/>
      <c r="AM4818" s="500"/>
      <c r="AN4818" s="500"/>
      <c r="AO4818" s="500"/>
      <c r="AP4818" s="500"/>
    </row>
    <row r="4819" spans="1:42" ht="16.5" customHeight="1">
      <c r="A4819" s="434"/>
      <c r="B4819" s="437" t="s">
        <v>3496</v>
      </c>
      <c r="C4819" s="439"/>
      <c r="D4819" s="439"/>
      <c r="E4819" s="439"/>
      <c r="F4819" s="439"/>
      <c r="G4819" s="451" t="s">
        <v>3497</v>
      </c>
      <c r="Z4819" s="500"/>
      <c r="AA4819" s="500"/>
      <c r="AB4819" s="500"/>
      <c r="AC4819" s="500"/>
      <c r="AD4819" s="500"/>
      <c r="AE4819" s="500"/>
      <c r="AF4819" s="500"/>
      <c r="AG4819" s="500"/>
      <c r="AH4819" s="500"/>
      <c r="AI4819" s="500"/>
      <c r="AJ4819" s="500"/>
      <c r="AK4819" s="500"/>
      <c r="AL4819" s="500"/>
      <c r="AM4819" s="500"/>
      <c r="AN4819" s="500"/>
      <c r="AO4819" s="500"/>
      <c r="AP4819" s="500"/>
    </row>
    <row r="4820" spans="1:42" ht="16.5" customHeight="1">
      <c r="A4820" s="439"/>
      <c r="B4820" s="439"/>
      <c r="C4820" s="439"/>
      <c r="D4820" s="439"/>
      <c r="E4820" s="439"/>
      <c r="F4820" s="439"/>
      <c r="G4820" s="451" t="s">
        <v>3406</v>
      </c>
      <c r="Z4820" s="500"/>
      <c r="AA4820" s="500"/>
      <c r="AB4820" s="500"/>
      <c r="AC4820" s="500"/>
      <c r="AD4820" s="500"/>
      <c r="AE4820" s="500"/>
      <c r="AF4820" s="500"/>
      <c r="AG4820" s="500"/>
      <c r="AH4820" s="500"/>
      <c r="AI4820" s="500"/>
      <c r="AJ4820" s="500"/>
      <c r="AK4820" s="500"/>
      <c r="AL4820" s="500"/>
      <c r="AM4820" s="500"/>
      <c r="AN4820" s="500"/>
      <c r="AO4820" s="500"/>
      <c r="AP4820" s="500"/>
    </row>
    <row r="4821" spans="1:42" ht="16.5" customHeight="1">
      <c r="A4821" s="434" t="s">
        <v>3498</v>
      </c>
      <c r="B4821" s="505" t="str">
        <f>" 조 경 공 : "&amp;TEXT(I4821,"#,##0"&amp;IF(I4821&lt;&gt;INT(I4821),".###",""))&amp;" * "&amp;AA4821&amp;" 인  / Q1 = "&amp;TEXT(C4821,"#,##0.0")&amp;" "</f>
        <v xml:space="preserve"> 조 경 공 : 235,204 * 2 인  / Q1 = 36,185.2 </v>
      </c>
      <c r="C4821" s="506">
        <f>E4821+D4821+F4821</f>
        <v>36185.199999999997</v>
      </c>
      <c r="D4821" s="506">
        <f>IF(H4821=0,0,ROUNDDOWN(J4821*H4821,1))</f>
        <v>36185.199999999997</v>
      </c>
      <c r="E4821" s="506">
        <f>IF(H4821=0,0,ROUNDDOWN(K4821*H4821,1))</f>
        <v>0</v>
      </c>
      <c r="F4821" s="506">
        <f>IF(H4821=0,0,ROUNDDOWN(L4821*H4821,1))</f>
        <v>0</v>
      </c>
      <c r="G4821" s="451" t="s">
        <v>3960</v>
      </c>
      <c r="H4821" s="507">
        <f>ROUNDUP(AE4821,14-LEN(ABS(INT(AE4821))))</f>
        <v>0.15384615384620001</v>
      </c>
      <c r="I4821" s="508">
        <f>K4821+J4821+L4821</f>
        <v>235204</v>
      </c>
      <c r="J4821" s="509">
        <f>노무비목록표!E15</f>
        <v>235204</v>
      </c>
      <c r="M4821" s="501" t="s">
        <v>2359</v>
      </c>
      <c r="N4821" s="501" t="s">
        <v>3416</v>
      </c>
      <c r="O4821" s="501" t="s">
        <v>2355</v>
      </c>
      <c r="X4821" s="510" t="str">
        <f>노무비목록표!B15&amp;" / "&amp;노무비목록표!C15</f>
        <v xml:space="preserve">조경공 / </v>
      </c>
      <c r="Y4821" s="433" t="str">
        <f ca="1">HYPERLINK("#"&amp;노무비목록표!G2&amp;"!A"&amp;ROW(노무비목록표!A15),"L00184 →")</f>
        <v>L00184 →</v>
      </c>
      <c r="Z4821" s="501" t="s">
        <v>3500</v>
      </c>
      <c r="AA4821" s="515">
        <v>2</v>
      </c>
      <c r="AB4821" s="501" t="s">
        <v>3428</v>
      </c>
      <c r="AC4821" s="512">
        <f>AB4814</f>
        <v>13</v>
      </c>
      <c r="AD4821" s="501" t="s">
        <v>3418</v>
      </c>
      <c r="AE4821" s="512">
        <f>1*AA4821/AB4814</f>
        <v>0.15384615384615385</v>
      </c>
      <c r="AF4821" s="500"/>
      <c r="AG4821" s="500"/>
      <c r="AH4821" s="500"/>
      <c r="AI4821" s="500"/>
      <c r="AJ4821" s="500"/>
      <c r="AK4821" s="500"/>
      <c r="AL4821" s="500"/>
      <c r="AM4821" s="500"/>
      <c r="AN4821" s="500"/>
      <c r="AO4821" s="500"/>
      <c r="AP4821" s="500"/>
    </row>
    <row r="4822" spans="1:42" ht="16.5" customHeight="1">
      <c r="A4822" s="439"/>
      <c r="B4822" s="439"/>
      <c r="C4822" s="439"/>
      <c r="D4822" s="439"/>
      <c r="E4822" s="439"/>
      <c r="F4822" s="439"/>
      <c r="G4822" s="451" t="s">
        <v>3406</v>
      </c>
      <c r="Z4822" s="500"/>
      <c r="AA4822" s="500"/>
      <c r="AB4822" s="500"/>
      <c r="AC4822" s="500"/>
      <c r="AD4822" s="500"/>
      <c r="AE4822" s="500"/>
      <c r="AF4822" s="500"/>
      <c r="AG4822" s="500"/>
      <c r="AH4822" s="500"/>
      <c r="AI4822" s="500"/>
      <c r="AJ4822" s="500"/>
      <c r="AK4822" s="500"/>
      <c r="AL4822" s="500"/>
      <c r="AM4822" s="500"/>
      <c r="AN4822" s="500"/>
      <c r="AO4822" s="500"/>
      <c r="AP4822" s="500"/>
    </row>
    <row r="4823" spans="1:42" ht="16.5" customHeight="1">
      <c r="A4823" s="434" t="s">
        <v>3414</v>
      </c>
      <c r="B4823" s="505" t="str">
        <f>" 보통인부 : "&amp;TEXT(I4823,"#,##0"&amp;IF(I4823&lt;&gt;INT(I4823),".###",""))&amp;" * "&amp;AA4823&amp;" 인  / Q1 = "&amp;TEXT(C4823,"#,##0.0")&amp;" "</f>
        <v xml:space="preserve"> 보통인부 : 172,068 * 1 인  / Q1 = 13,236.0 </v>
      </c>
      <c r="C4823" s="506">
        <f>E4823+D4823+F4823</f>
        <v>13236</v>
      </c>
      <c r="D4823" s="506">
        <f>IF(H4823=0,0,ROUNDDOWN(J4823*H4823,1))</f>
        <v>13236</v>
      </c>
      <c r="E4823" s="506">
        <f>IF(H4823=0,0,ROUNDDOWN(K4823*H4823,1))</f>
        <v>0</v>
      </c>
      <c r="F4823" s="506">
        <f>IF(H4823=0,0,ROUNDDOWN(L4823*H4823,1))</f>
        <v>0</v>
      </c>
      <c r="G4823" s="451" t="s">
        <v>3894</v>
      </c>
      <c r="H4823" s="507">
        <f>ROUNDUP(AE4823,14-LEN(ABS(INT(AE4823))))</f>
        <v>7.6923076923100006E-2</v>
      </c>
      <c r="I4823" s="508">
        <f>K4823+J4823+L4823</f>
        <v>172068</v>
      </c>
      <c r="J4823" s="509">
        <f>노무비목록표!E10</f>
        <v>172068</v>
      </c>
      <c r="M4823" s="501" t="s">
        <v>2363</v>
      </c>
      <c r="N4823" s="501" t="s">
        <v>3416</v>
      </c>
      <c r="O4823" s="501" t="s">
        <v>2355</v>
      </c>
      <c r="X4823" s="510" t="str">
        <f>노무비목록표!B10&amp;" / "&amp;노무비목록표!C10</f>
        <v xml:space="preserve">보통인부 / </v>
      </c>
      <c r="Y4823" s="433" t="str">
        <f ca="1">HYPERLINK("#"&amp;노무비목록표!G2&amp;"!A"&amp;ROW(노무비목록표!A10),"L00017 →")</f>
        <v>L00017 →</v>
      </c>
      <c r="Z4823" s="501" t="s">
        <v>3500</v>
      </c>
      <c r="AA4823" s="515">
        <v>1</v>
      </c>
      <c r="AB4823" s="501" t="s">
        <v>3428</v>
      </c>
      <c r="AC4823" s="512">
        <f>AB4814</f>
        <v>13</v>
      </c>
      <c r="AD4823" s="501" t="s">
        <v>3418</v>
      </c>
      <c r="AE4823" s="512">
        <f>1*AA4823/AB4814</f>
        <v>7.6923076923076927E-2</v>
      </c>
      <c r="AF4823" s="500"/>
      <c r="AG4823" s="500"/>
      <c r="AH4823" s="500"/>
      <c r="AI4823" s="500"/>
      <c r="AJ4823" s="500"/>
      <c r="AK4823" s="500"/>
      <c r="AL4823" s="500"/>
      <c r="AM4823" s="500"/>
      <c r="AN4823" s="500"/>
      <c r="AO4823" s="500"/>
      <c r="AP4823" s="500"/>
    </row>
    <row r="4824" spans="1:42" ht="16.5" customHeight="1">
      <c r="A4824" s="439"/>
      <c r="B4824" s="439"/>
      <c r="C4824" s="439"/>
      <c r="D4824" s="439"/>
      <c r="E4824" s="439"/>
      <c r="F4824" s="439"/>
      <c r="G4824" s="451" t="s">
        <v>3406</v>
      </c>
      <c r="Z4824" s="500"/>
      <c r="AA4824" s="500"/>
      <c r="AB4824" s="500"/>
      <c r="AC4824" s="500"/>
      <c r="AD4824" s="500"/>
      <c r="AE4824" s="500"/>
      <c r="AF4824" s="500"/>
      <c r="AG4824" s="500"/>
      <c r="AH4824" s="500"/>
      <c r="AI4824" s="500"/>
      <c r="AJ4824" s="500"/>
      <c r="AK4824" s="500"/>
      <c r="AL4824" s="500"/>
      <c r="AM4824" s="500"/>
      <c r="AN4824" s="500"/>
      <c r="AO4824" s="500"/>
      <c r="AP4824" s="500"/>
    </row>
    <row r="4825" spans="1:42" ht="16.5" customHeight="1">
      <c r="A4825" s="434"/>
      <c r="B4825" s="437" t="s">
        <v>3419</v>
      </c>
      <c r="C4825" s="513">
        <f>E4825+D4825+F4825</f>
        <v>49421.2</v>
      </c>
      <c r="D4825" s="513">
        <f>SUMIF(N4807:N4824,M4825,D4807:D4824)</f>
        <v>49421.2</v>
      </c>
      <c r="E4825" s="513">
        <f>SUMIF(N4807:N4824,M4825,E4807:E4824)</f>
        <v>0</v>
      </c>
      <c r="F4825" s="513">
        <f>SUMIF(N4807:N4824,M4825,F4807:F4824)</f>
        <v>0</v>
      </c>
      <c r="G4825" s="451" t="s">
        <v>3420</v>
      </c>
      <c r="M4825" s="501" t="s">
        <v>3416</v>
      </c>
      <c r="N4825" s="501" t="s">
        <v>3421</v>
      </c>
      <c r="Z4825" s="500"/>
      <c r="AA4825" s="500"/>
      <c r="AB4825" s="500"/>
      <c r="AC4825" s="500"/>
      <c r="AD4825" s="500"/>
      <c r="AE4825" s="500"/>
      <c r="AF4825" s="500"/>
      <c r="AG4825" s="500"/>
      <c r="AH4825" s="500"/>
      <c r="AI4825" s="500"/>
      <c r="AJ4825" s="500"/>
      <c r="AK4825" s="500"/>
      <c r="AL4825" s="500"/>
      <c r="AM4825" s="500"/>
      <c r="AN4825" s="500"/>
      <c r="AO4825" s="500"/>
      <c r="AP4825" s="500"/>
    </row>
    <row r="4826" spans="1:42" ht="16.5" customHeight="1">
      <c r="A4826" s="439"/>
      <c r="B4826" s="439"/>
      <c r="C4826" s="504"/>
      <c r="D4826" s="504"/>
      <c r="E4826" s="504"/>
      <c r="F4826" s="504"/>
      <c r="G4826" s="451" t="s">
        <v>3406</v>
      </c>
      <c r="Z4826" s="500"/>
      <c r="AA4826" s="500"/>
      <c r="AB4826" s="500"/>
      <c r="AC4826" s="500"/>
      <c r="AD4826" s="500"/>
      <c r="AE4826" s="500"/>
      <c r="AF4826" s="500"/>
      <c r="AG4826" s="500"/>
      <c r="AH4826" s="500"/>
      <c r="AI4826" s="500"/>
      <c r="AJ4826" s="500"/>
      <c r="AK4826" s="500"/>
      <c r="AL4826" s="500"/>
      <c r="AM4826" s="500"/>
      <c r="AN4826" s="500"/>
      <c r="AO4826" s="500"/>
      <c r="AP4826" s="500"/>
    </row>
    <row r="4827" spans="1:42" ht="16.5" customHeight="1">
      <c r="A4827" s="439"/>
      <c r="B4827" s="439"/>
      <c r="C4827" s="439"/>
      <c r="D4827" s="439"/>
      <c r="E4827" s="439"/>
      <c r="F4827" s="439"/>
      <c r="G4827" s="451" t="s">
        <v>3406</v>
      </c>
      <c r="Z4827" s="500"/>
      <c r="AA4827" s="500"/>
      <c r="AB4827" s="500"/>
      <c r="AC4827" s="500"/>
      <c r="AD4827" s="500"/>
      <c r="AE4827" s="500"/>
      <c r="AF4827" s="500"/>
      <c r="AG4827" s="500"/>
      <c r="AH4827" s="500"/>
      <c r="AI4827" s="500"/>
      <c r="AJ4827" s="500"/>
      <c r="AK4827" s="500"/>
      <c r="AL4827" s="500"/>
      <c r="AM4827" s="500"/>
      <c r="AN4827" s="500"/>
      <c r="AO4827" s="500"/>
      <c r="AP4827" s="500"/>
    </row>
    <row r="4828" spans="1:42" ht="16.5" customHeight="1">
      <c r="A4828" s="434"/>
      <c r="B4828" s="505" t="str">
        <f>" 2. 기계경비(인력품의 3%) : "&amp;TEXT(I4828,"#,##0.0")&amp;" * "&amp;AA4828&amp;" %  = "&amp;TEXT(C4828,"#,##0.0")&amp;""</f>
        <v xml:space="preserve"> 2. 기계경비(인력품의 3%) : 49,421.2 * 3 %  = 1,482.6</v>
      </c>
      <c r="C4828" s="506">
        <f>E4828+D4828+F4828</f>
        <v>1482.6</v>
      </c>
      <c r="D4828" s="506">
        <f>IF(H4828=0,0,ROUNDDOWN(J4828*H4828/100,1))</f>
        <v>0</v>
      </c>
      <c r="E4828" s="506">
        <f>IF(H4828=0,0,ROUNDDOWN(K4828*H4828/100,1))</f>
        <v>0</v>
      </c>
      <c r="F4828" s="506">
        <f>IF(H4828=0,0,ROUNDDOWN(L4828*H4828/100,1))</f>
        <v>1482.6</v>
      </c>
      <c r="G4828" s="451" t="s">
        <v>3923</v>
      </c>
      <c r="H4828" s="507">
        <f>ROUNDUP(AC4828,14-LEN(ABS(INT(AC4828))))</f>
        <v>3</v>
      </c>
      <c r="I4828" s="508">
        <f>K4828+J4828+L4828</f>
        <v>49421.2</v>
      </c>
      <c r="J4828" s="456">
        <v>0</v>
      </c>
      <c r="K4828" s="456">
        <v>0</v>
      </c>
      <c r="L4828" s="509">
        <f>D4821+D4823</f>
        <v>49421.2</v>
      </c>
      <c r="M4828" s="501" t="s">
        <v>3743</v>
      </c>
      <c r="N4828" s="501" t="s">
        <v>3416</v>
      </c>
      <c r="Z4828" s="501" t="s">
        <v>3500</v>
      </c>
      <c r="AA4828" s="515">
        <v>3</v>
      </c>
      <c r="AB4828" s="501" t="s">
        <v>3418</v>
      </c>
      <c r="AC4828" s="512">
        <f>1*AA4828</f>
        <v>3</v>
      </c>
      <c r="AD4828" s="500"/>
      <c r="AE4828" s="500"/>
      <c r="AF4828" s="500"/>
      <c r="AG4828" s="500"/>
      <c r="AH4828" s="500"/>
      <c r="AI4828" s="500"/>
      <c r="AJ4828" s="500"/>
      <c r="AK4828" s="500"/>
      <c r="AL4828" s="500"/>
      <c r="AM4828" s="500"/>
      <c r="AN4828" s="500"/>
      <c r="AO4828" s="500"/>
      <c r="AP4828" s="500"/>
    </row>
    <row r="4829" spans="1:42" ht="16.5" customHeight="1">
      <c r="A4829" s="439"/>
      <c r="B4829" s="439"/>
      <c r="C4829" s="439"/>
      <c r="D4829" s="439"/>
      <c r="E4829" s="439"/>
      <c r="F4829" s="439"/>
      <c r="G4829" s="451" t="s">
        <v>3406</v>
      </c>
      <c r="Z4829" s="500"/>
      <c r="AA4829" s="500"/>
      <c r="AB4829" s="500"/>
      <c r="AC4829" s="500"/>
      <c r="AD4829" s="500"/>
      <c r="AE4829" s="500"/>
      <c r="AF4829" s="500"/>
      <c r="AG4829" s="500"/>
      <c r="AH4829" s="500"/>
      <c r="AI4829" s="500"/>
      <c r="AJ4829" s="500"/>
      <c r="AK4829" s="500"/>
      <c r="AL4829" s="500"/>
      <c r="AM4829" s="500"/>
      <c r="AN4829" s="500"/>
      <c r="AO4829" s="500"/>
      <c r="AP4829" s="500"/>
    </row>
    <row r="4830" spans="1:42" ht="16.5" customHeight="1">
      <c r="A4830" s="434"/>
      <c r="B4830" s="437" t="s">
        <v>3419</v>
      </c>
      <c r="C4830" s="513">
        <f>E4830+D4830+F4830</f>
        <v>1482.6</v>
      </c>
      <c r="D4830" s="513">
        <f>SUMIF(N4826:N4829,M4830,D4826:D4829)</f>
        <v>0</v>
      </c>
      <c r="E4830" s="513">
        <f>SUMIF(N4826:N4829,M4830,E4826:E4829)</f>
        <v>0</v>
      </c>
      <c r="F4830" s="513">
        <f>SUMIF(N4826:N4829,M4830,F4826:F4829)</f>
        <v>1482.6</v>
      </c>
      <c r="G4830" s="451" t="s">
        <v>3420</v>
      </c>
      <c r="M4830" s="501" t="s">
        <v>3416</v>
      </c>
      <c r="N4830" s="501" t="s">
        <v>3421</v>
      </c>
      <c r="Z4830" s="500"/>
      <c r="AA4830" s="500"/>
      <c r="AB4830" s="500"/>
      <c r="AC4830" s="500"/>
      <c r="AD4830" s="500"/>
      <c r="AE4830" s="500"/>
      <c r="AF4830" s="500"/>
      <c r="AG4830" s="500"/>
      <c r="AH4830" s="500"/>
      <c r="AI4830" s="500"/>
      <c r="AJ4830" s="500"/>
      <c r="AK4830" s="500"/>
      <c r="AL4830" s="500"/>
      <c r="AM4830" s="500"/>
      <c r="AN4830" s="500"/>
      <c r="AO4830" s="500"/>
      <c r="AP4830" s="500"/>
    </row>
    <row r="4831" spans="1:42" ht="16.5" customHeight="1">
      <c r="A4831" s="439"/>
      <c r="B4831" s="439"/>
      <c r="C4831" s="504"/>
      <c r="D4831" s="504"/>
      <c r="E4831" s="504"/>
      <c r="F4831" s="504"/>
      <c r="G4831" s="451" t="s">
        <v>3406</v>
      </c>
      <c r="Z4831" s="500"/>
      <c r="AA4831" s="500"/>
      <c r="AB4831" s="500"/>
      <c r="AC4831" s="500"/>
      <c r="AD4831" s="500"/>
      <c r="AE4831" s="500"/>
      <c r="AF4831" s="500"/>
      <c r="AG4831" s="500"/>
      <c r="AH4831" s="500"/>
      <c r="AI4831" s="500"/>
      <c r="AJ4831" s="500"/>
      <c r="AK4831" s="500"/>
      <c r="AL4831" s="500"/>
      <c r="AM4831" s="500"/>
      <c r="AN4831" s="500"/>
      <c r="AO4831" s="500"/>
      <c r="AP4831" s="500"/>
    </row>
    <row r="4832" spans="1:42" ht="16.5" customHeight="1">
      <c r="A4832" s="439"/>
      <c r="B4832" s="439"/>
      <c r="C4832" s="439"/>
      <c r="D4832" s="439"/>
      <c r="E4832" s="439"/>
      <c r="F4832" s="439"/>
      <c r="G4832" s="451" t="s">
        <v>3406</v>
      </c>
      <c r="Z4832" s="500"/>
      <c r="AA4832" s="500"/>
      <c r="AB4832" s="500"/>
      <c r="AC4832" s="500"/>
      <c r="AD4832" s="500"/>
      <c r="AE4832" s="500"/>
      <c r="AF4832" s="500"/>
      <c r="AG4832" s="500"/>
      <c r="AH4832" s="500"/>
      <c r="AI4832" s="500"/>
      <c r="AJ4832" s="500"/>
      <c r="AK4832" s="500"/>
      <c r="AL4832" s="500"/>
      <c r="AM4832" s="500"/>
      <c r="AN4832" s="500"/>
      <c r="AO4832" s="500"/>
      <c r="AP4832" s="500"/>
    </row>
    <row r="4833" spans="1:42" ht="16.5" customHeight="1">
      <c r="A4833" s="434"/>
      <c r="B4833" s="437" t="s">
        <v>3440</v>
      </c>
      <c r="C4833" s="513">
        <f>E4833+D4833+F4833</f>
        <v>50903.799999999996</v>
      </c>
      <c r="D4833" s="513">
        <f>SUMIF(N4807:N4832,M4833,D4807:D4832)</f>
        <v>49421.2</v>
      </c>
      <c r="E4833" s="513">
        <f>SUMIF(N4807:N4832,M4833,E4807:E4832)</f>
        <v>0</v>
      </c>
      <c r="F4833" s="513">
        <f>SUMIF(N4807:N4832,M4833,F4807:F4832)</f>
        <v>1482.6</v>
      </c>
      <c r="G4833" s="451" t="s">
        <v>3484</v>
      </c>
      <c r="M4833" s="501" t="s">
        <v>3421</v>
      </c>
      <c r="N4833" s="501" t="s">
        <v>2354</v>
      </c>
      <c r="Z4833" s="500"/>
      <c r="AA4833" s="500"/>
      <c r="AB4833" s="500"/>
      <c r="AC4833" s="500"/>
      <c r="AD4833" s="500"/>
      <c r="AE4833" s="500"/>
      <c r="AF4833" s="500"/>
      <c r="AG4833" s="500"/>
      <c r="AH4833" s="500"/>
      <c r="AI4833" s="500"/>
      <c r="AJ4833" s="500"/>
      <c r="AK4833" s="500"/>
      <c r="AL4833" s="500"/>
      <c r="AM4833" s="500"/>
      <c r="AN4833" s="500"/>
      <c r="AO4833" s="500"/>
      <c r="AP4833" s="500"/>
    </row>
    <row r="4834" spans="1:42" ht="16.5" customHeight="1">
      <c r="A4834" s="439"/>
      <c r="B4834" s="439"/>
      <c r="C4834" s="504"/>
      <c r="D4834" s="504"/>
      <c r="E4834" s="504"/>
      <c r="F4834" s="504"/>
      <c r="Z4834" s="500"/>
      <c r="AA4834" s="500"/>
      <c r="AB4834" s="500"/>
      <c r="AC4834" s="500"/>
      <c r="AD4834" s="500"/>
      <c r="AE4834" s="500"/>
      <c r="AF4834" s="500"/>
      <c r="AG4834" s="500"/>
      <c r="AH4834" s="500"/>
      <c r="AI4834" s="500"/>
      <c r="AJ4834" s="500"/>
      <c r="AK4834" s="500"/>
      <c r="AL4834" s="500"/>
      <c r="AM4834" s="500"/>
      <c r="AN4834" s="500"/>
      <c r="AO4834" s="500"/>
      <c r="AP4834" s="500"/>
    </row>
    <row r="4835" spans="1:42" ht="16.5" customHeight="1">
      <c r="A4835" s="439"/>
      <c r="B4835" s="439"/>
      <c r="C4835" s="439"/>
      <c r="D4835" s="439"/>
      <c r="E4835" s="439"/>
      <c r="F4835" s="439"/>
      <c r="Z4835" s="500"/>
      <c r="AA4835" s="500"/>
      <c r="AB4835" s="500"/>
      <c r="AC4835" s="500"/>
      <c r="AD4835" s="500"/>
      <c r="AE4835" s="500"/>
      <c r="AF4835" s="500"/>
      <c r="AG4835" s="500"/>
      <c r="AH4835" s="500"/>
      <c r="AI4835" s="500"/>
      <c r="AJ4835" s="500"/>
      <c r="AK4835" s="500"/>
      <c r="AL4835" s="500"/>
      <c r="AM4835" s="500"/>
      <c r="AN4835" s="500"/>
      <c r="AO4835" s="500"/>
      <c r="AP4835" s="500"/>
    </row>
    <row r="4836" spans="1:42" ht="16.5" customHeight="1">
      <c r="A4836" s="439"/>
      <c r="B4836" s="439"/>
      <c r="C4836" s="439"/>
      <c r="D4836" s="439"/>
      <c r="E4836" s="439"/>
      <c r="F4836" s="439"/>
      <c r="Z4836" s="500"/>
      <c r="AA4836" s="500"/>
      <c r="AB4836" s="500"/>
      <c r="AC4836" s="500"/>
      <c r="AD4836" s="500"/>
      <c r="AE4836" s="500"/>
      <c r="AF4836" s="500"/>
      <c r="AG4836" s="500"/>
      <c r="AH4836" s="500"/>
      <c r="AI4836" s="500"/>
      <c r="AJ4836" s="500"/>
      <c r="AK4836" s="500"/>
      <c r="AL4836" s="500"/>
      <c r="AM4836" s="500"/>
      <c r="AN4836" s="500"/>
      <c r="AO4836" s="500"/>
      <c r="AP4836" s="500"/>
    </row>
    <row r="4837" spans="1:42" ht="16.5" customHeight="1">
      <c r="A4837" s="439"/>
      <c r="B4837" s="439"/>
      <c r="C4837" s="439"/>
      <c r="D4837" s="439"/>
      <c r="E4837" s="439"/>
      <c r="F4837" s="439"/>
      <c r="Z4837" s="500"/>
      <c r="AA4837" s="500"/>
      <c r="AB4837" s="500"/>
      <c r="AC4837" s="500"/>
      <c r="AD4837" s="500"/>
      <c r="AE4837" s="500"/>
      <c r="AF4837" s="500"/>
      <c r="AG4837" s="500"/>
      <c r="AH4837" s="500"/>
      <c r="AI4837" s="500"/>
      <c r="AJ4837" s="500"/>
      <c r="AK4837" s="500"/>
      <c r="AL4837" s="500"/>
      <c r="AM4837" s="500"/>
      <c r="AN4837" s="500"/>
      <c r="AO4837" s="500"/>
      <c r="AP4837" s="500"/>
    </row>
    <row r="4838" spans="1:42" ht="16.5" customHeight="1">
      <c r="A4838" s="439"/>
      <c r="B4838" s="439"/>
      <c r="C4838" s="439"/>
      <c r="D4838" s="439"/>
      <c r="E4838" s="439"/>
      <c r="F4838" s="439"/>
      <c r="Z4838" s="500"/>
      <c r="AA4838" s="500"/>
      <c r="AB4838" s="500"/>
      <c r="AC4838" s="500"/>
      <c r="AD4838" s="500"/>
      <c r="AE4838" s="500"/>
      <c r="AF4838" s="500"/>
      <c r="AG4838" s="500"/>
      <c r="AH4838" s="500"/>
      <c r="AI4838" s="500"/>
      <c r="AJ4838" s="500"/>
      <c r="AK4838" s="500"/>
      <c r="AL4838" s="500"/>
      <c r="AM4838" s="500"/>
      <c r="AN4838" s="500"/>
      <c r="AO4838" s="500"/>
      <c r="AP4838" s="500"/>
    </row>
    <row r="4839" spans="1:42" ht="16.5" customHeight="1">
      <c r="A4839" s="439"/>
      <c r="B4839" s="439"/>
      <c r="C4839" s="439"/>
      <c r="D4839" s="439"/>
      <c r="E4839" s="439"/>
      <c r="F4839" s="439"/>
      <c r="Z4839" s="500"/>
      <c r="AA4839" s="500"/>
      <c r="AB4839" s="500"/>
      <c r="AC4839" s="500"/>
      <c r="AD4839" s="500"/>
      <c r="AE4839" s="500"/>
      <c r="AF4839" s="500"/>
      <c r="AG4839" s="500"/>
      <c r="AH4839" s="500"/>
      <c r="AI4839" s="500"/>
      <c r="AJ4839" s="500"/>
      <c r="AK4839" s="500"/>
      <c r="AL4839" s="500"/>
      <c r="AM4839" s="500"/>
      <c r="AN4839" s="500"/>
      <c r="AO4839" s="500"/>
      <c r="AP4839" s="500"/>
    </row>
    <row r="4840" spans="1:42" ht="16.5" customHeight="1">
      <c r="A4840" s="439"/>
      <c r="B4840" s="439"/>
      <c r="C4840" s="439"/>
      <c r="D4840" s="439"/>
      <c r="E4840" s="439"/>
      <c r="F4840" s="439"/>
      <c r="Z4840" s="500"/>
      <c r="AA4840" s="500"/>
      <c r="AB4840" s="500"/>
      <c r="AC4840" s="500"/>
      <c r="AD4840" s="500"/>
      <c r="AE4840" s="500"/>
      <c r="AF4840" s="500"/>
      <c r="AG4840" s="500"/>
      <c r="AH4840" s="500"/>
      <c r="AI4840" s="500"/>
      <c r="AJ4840" s="500"/>
      <c r="AK4840" s="500"/>
      <c r="AL4840" s="500"/>
      <c r="AM4840" s="500"/>
      <c r="AN4840" s="500"/>
      <c r="AO4840" s="500"/>
      <c r="AP4840" s="500"/>
    </row>
    <row r="4841" spans="1:42" ht="16.5" customHeight="1">
      <c r="A4841" s="439"/>
      <c r="B4841" s="439"/>
      <c r="C4841" s="439"/>
      <c r="D4841" s="439"/>
      <c r="E4841" s="439"/>
      <c r="F4841" s="439"/>
      <c r="Z4841" s="500"/>
      <c r="AA4841" s="500"/>
      <c r="AB4841" s="500"/>
      <c r="AC4841" s="500"/>
      <c r="AD4841" s="500"/>
      <c r="AE4841" s="500"/>
      <c r="AF4841" s="500"/>
      <c r="AG4841" s="500"/>
      <c r="AH4841" s="500"/>
      <c r="AI4841" s="500"/>
      <c r="AJ4841" s="500"/>
      <c r="AK4841" s="500"/>
      <c r="AL4841" s="500"/>
      <c r="AM4841" s="500"/>
      <c r="AN4841" s="500"/>
      <c r="AO4841" s="500"/>
      <c r="AP4841" s="500"/>
    </row>
    <row r="4842" spans="1:42" ht="16.5" customHeight="1">
      <c r="A4842" s="439"/>
      <c r="B4842" s="439"/>
      <c r="C4842" s="439"/>
      <c r="D4842" s="439"/>
      <c r="E4842" s="439"/>
      <c r="F4842" s="439"/>
      <c r="Z4842" s="500"/>
      <c r="AA4842" s="500"/>
      <c r="AB4842" s="500"/>
      <c r="AC4842" s="500"/>
      <c r="AD4842" s="500"/>
      <c r="AE4842" s="500"/>
      <c r="AF4842" s="500"/>
      <c r="AG4842" s="500"/>
      <c r="AH4842" s="500"/>
      <c r="AI4842" s="500"/>
      <c r="AJ4842" s="500"/>
      <c r="AK4842" s="500"/>
      <c r="AL4842" s="500"/>
      <c r="AM4842" s="500"/>
      <c r="AN4842" s="500"/>
      <c r="AO4842" s="500"/>
      <c r="AP4842" s="500"/>
    </row>
    <row r="4843" spans="1:42" ht="16.5" customHeight="1">
      <c r="A4843" s="439"/>
      <c r="B4843" s="439"/>
      <c r="C4843" s="439"/>
      <c r="D4843" s="439"/>
      <c r="E4843" s="439"/>
      <c r="F4843" s="439"/>
      <c r="Z4843" s="500"/>
      <c r="AA4843" s="500"/>
      <c r="AB4843" s="500"/>
      <c r="AC4843" s="500"/>
      <c r="AD4843" s="500"/>
      <c r="AE4843" s="500"/>
      <c r="AF4843" s="500"/>
      <c r="AG4843" s="500"/>
      <c r="AH4843" s="500"/>
      <c r="AI4843" s="500"/>
      <c r="AJ4843" s="500"/>
      <c r="AK4843" s="500"/>
      <c r="AL4843" s="500"/>
      <c r="AM4843" s="500"/>
      <c r="AN4843" s="500"/>
      <c r="AO4843" s="500"/>
      <c r="AP4843" s="500"/>
    </row>
    <row r="4844" spans="1:42" ht="16.5" customHeight="1">
      <c r="A4844" s="439"/>
      <c r="B4844" s="439"/>
      <c r="C4844" s="439"/>
      <c r="D4844" s="439"/>
      <c r="E4844" s="439"/>
      <c r="F4844" s="439"/>
      <c r="Z4844" s="500"/>
      <c r="AA4844" s="500"/>
      <c r="AB4844" s="500"/>
      <c r="AC4844" s="500"/>
      <c r="AD4844" s="500"/>
      <c r="AE4844" s="500"/>
      <c r="AF4844" s="500"/>
      <c r="AG4844" s="500"/>
      <c r="AH4844" s="500"/>
      <c r="AI4844" s="500"/>
      <c r="AJ4844" s="500"/>
      <c r="AK4844" s="500"/>
      <c r="AL4844" s="500"/>
      <c r="AM4844" s="500"/>
      <c r="AN4844" s="500"/>
      <c r="AO4844" s="500"/>
      <c r="AP4844" s="500"/>
    </row>
    <row r="4845" spans="1:42" ht="16.5" customHeight="1">
      <c r="A4845" s="439"/>
      <c r="B4845" s="439"/>
      <c r="C4845" s="439"/>
      <c r="D4845" s="439"/>
      <c r="E4845" s="439"/>
      <c r="F4845" s="439"/>
      <c r="Z4845" s="500"/>
      <c r="AA4845" s="500"/>
      <c r="AB4845" s="500"/>
      <c r="AC4845" s="500"/>
      <c r="AD4845" s="500"/>
      <c r="AE4845" s="500"/>
      <c r="AF4845" s="500"/>
      <c r="AG4845" s="500"/>
      <c r="AH4845" s="500"/>
      <c r="AI4845" s="500"/>
      <c r="AJ4845" s="500"/>
      <c r="AK4845" s="500"/>
      <c r="AL4845" s="500"/>
      <c r="AM4845" s="500"/>
      <c r="AN4845" s="500"/>
      <c r="AO4845" s="500"/>
      <c r="AP4845" s="500"/>
    </row>
    <row r="4846" spans="1:42" ht="16.5" customHeight="1">
      <c r="A4846" s="439"/>
      <c r="B4846" s="439"/>
      <c r="C4846" s="439"/>
      <c r="D4846" s="439"/>
      <c r="E4846" s="439"/>
      <c r="F4846" s="439"/>
      <c r="Z4846" s="500"/>
      <c r="AA4846" s="500"/>
      <c r="AB4846" s="500"/>
      <c r="AC4846" s="500"/>
      <c r="AD4846" s="500"/>
      <c r="AE4846" s="500"/>
      <c r="AF4846" s="500"/>
      <c r="AG4846" s="500"/>
      <c r="AH4846" s="500"/>
      <c r="AI4846" s="500"/>
      <c r="AJ4846" s="500"/>
      <c r="AK4846" s="500"/>
      <c r="AL4846" s="500"/>
      <c r="AM4846" s="500"/>
      <c r="AN4846" s="500"/>
      <c r="AO4846" s="500"/>
      <c r="AP4846" s="500"/>
    </row>
    <row r="4847" spans="1:42" ht="16.5" customHeight="1">
      <c r="A4847" s="439"/>
      <c r="B4847" s="439"/>
      <c r="C4847" s="439"/>
      <c r="D4847" s="439"/>
      <c r="E4847" s="439"/>
      <c r="F4847" s="439"/>
      <c r="Z4847" s="500"/>
      <c r="AA4847" s="500"/>
      <c r="AB4847" s="500"/>
      <c r="AC4847" s="500"/>
      <c r="AD4847" s="500"/>
      <c r="AE4847" s="500"/>
      <c r="AF4847" s="500"/>
      <c r="AG4847" s="500"/>
      <c r="AH4847" s="500"/>
      <c r="AI4847" s="500"/>
      <c r="AJ4847" s="500"/>
      <c r="AK4847" s="500"/>
      <c r="AL4847" s="500"/>
      <c r="AM4847" s="500"/>
      <c r="AN4847" s="500"/>
      <c r="AO4847" s="500"/>
      <c r="AP4847" s="500"/>
    </row>
    <row r="4848" spans="1:42" ht="16.5" customHeight="1">
      <c r="A4848" s="439"/>
      <c r="B4848" s="439"/>
      <c r="C4848" s="439"/>
      <c r="D4848" s="439"/>
      <c r="E4848" s="439"/>
      <c r="F4848" s="439"/>
      <c r="Z4848" s="500"/>
      <c r="AA4848" s="500"/>
      <c r="AB4848" s="500"/>
      <c r="AC4848" s="500"/>
      <c r="AD4848" s="500"/>
      <c r="AE4848" s="500"/>
      <c r="AF4848" s="500"/>
      <c r="AG4848" s="500"/>
      <c r="AH4848" s="500"/>
      <c r="AI4848" s="500"/>
      <c r="AJ4848" s="500"/>
      <c r="AK4848" s="500"/>
      <c r="AL4848" s="500"/>
      <c r="AM4848" s="500"/>
      <c r="AN4848" s="500"/>
      <c r="AO4848" s="500"/>
      <c r="AP4848" s="500"/>
    </row>
    <row r="4849" spans="1:42" ht="16.5" customHeight="1">
      <c r="A4849" s="439"/>
      <c r="B4849" s="439"/>
      <c r="C4849" s="439"/>
      <c r="D4849" s="439"/>
      <c r="E4849" s="439"/>
      <c r="F4849" s="439"/>
      <c r="Z4849" s="500"/>
      <c r="AA4849" s="500"/>
      <c r="AB4849" s="500"/>
      <c r="AC4849" s="500"/>
      <c r="AD4849" s="500"/>
      <c r="AE4849" s="500"/>
      <c r="AF4849" s="500"/>
      <c r="AG4849" s="500"/>
      <c r="AH4849" s="500"/>
      <c r="AI4849" s="500"/>
      <c r="AJ4849" s="500"/>
      <c r="AK4849" s="500"/>
      <c r="AL4849" s="500"/>
      <c r="AM4849" s="500"/>
      <c r="AN4849" s="500"/>
      <c r="AO4849" s="500"/>
      <c r="AP4849" s="500"/>
    </row>
    <row r="4850" spans="1:42" ht="16.5" customHeight="1">
      <c r="A4850" s="439"/>
      <c r="B4850" s="439"/>
      <c r="C4850" s="439"/>
      <c r="D4850" s="439"/>
      <c r="E4850" s="439"/>
      <c r="F4850" s="439"/>
      <c r="Z4850" s="500"/>
      <c r="AA4850" s="500"/>
      <c r="AB4850" s="500"/>
      <c r="AC4850" s="500"/>
      <c r="AD4850" s="500"/>
      <c r="AE4850" s="500"/>
      <c r="AF4850" s="500"/>
      <c r="AG4850" s="500"/>
      <c r="AH4850" s="500"/>
      <c r="AI4850" s="500"/>
      <c r="AJ4850" s="500"/>
      <c r="AK4850" s="500"/>
      <c r="AL4850" s="500"/>
      <c r="AM4850" s="500"/>
      <c r="AN4850" s="500"/>
      <c r="AO4850" s="500"/>
      <c r="AP4850" s="500"/>
    </row>
    <row r="4851" spans="1:42" ht="16.5" customHeight="1">
      <c r="A4851" s="439"/>
      <c r="B4851" s="439"/>
      <c r="C4851" s="439"/>
      <c r="D4851" s="439"/>
      <c r="E4851" s="439"/>
      <c r="F4851" s="439"/>
      <c r="Z4851" s="500"/>
      <c r="AA4851" s="500"/>
      <c r="AB4851" s="500"/>
      <c r="AC4851" s="500"/>
      <c r="AD4851" s="500"/>
      <c r="AE4851" s="500"/>
      <c r="AF4851" s="500"/>
      <c r="AG4851" s="500"/>
      <c r="AH4851" s="500"/>
      <c r="AI4851" s="500"/>
      <c r="AJ4851" s="500"/>
      <c r="AK4851" s="500"/>
      <c r="AL4851" s="500"/>
      <c r="AM4851" s="500"/>
      <c r="AN4851" s="500"/>
      <c r="AO4851" s="500"/>
      <c r="AP4851" s="500"/>
    </row>
    <row r="4852" spans="1:42" ht="16.5" customHeight="1">
      <c r="A4852" s="439"/>
      <c r="B4852" s="439"/>
      <c r="C4852" s="439"/>
      <c r="D4852" s="439"/>
      <c r="E4852" s="439"/>
      <c r="F4852" s="439"/>
      <c r="Z4852" s="500"/>
      <c r="AA4852" s="500"/>
      <c r="AB4852" s="500"/>
      <c r="AC4852" s="500"/>
      <c r="AD4852" s="500"/>
      <c r="AE4852" s="500"/>
      <c r="AF4852" s="500"/>
      <c r="AG4852" s="500"/>
      <c r="AH4852" s="500"/>
      <c r="AI4852" s="500"/>
      <c r="AJ4852" s="500"/>
      <c r="AK4852" s="500"/>
      <c r="AL4852" s="500"/>
      <c r="AM4852" s="500"/>
      <c r="AN4852" s="500"/>
      <c r="AO4852" s="500"/>
      <c r="AP4852" s="500"/>
    </row>
    <row r="4853" spans="1:42" ht="16.5" customHeight="1">
      <c r="A4853" s="497"/>
      <c r="B4853" s="497"/>
      <c r="C4853" s="497"/>
      <c r="D4853" s="497"/>
      <c r="E4853" s="497"/>
      <c r="F4853" s="497"/>
      <c r="Z4853" s="500"/>
      <c r="AA4853" s="500"/>
      <c r="AB4853" s="500"/>
      <c r="AC4853" s="500"/>
      <c r="AD4853" s="500"/>
      <c r="AE4853" s="500"/>
      <c r="AF4853" s="500"/>
      <c r="AG4853" s="500"/>
      <c r="AH4853" s="500"/>
      <c r="AI4853" s="500"/>
      <c r="AJ4853" s="500"/>
      <c r="AK4853" s="500"/>
      <c r="AL4853" s="500"/>
      <c r="AM4853" s="500"/>
      <c r="AN4853" s="500"/>
      <c r="AO4853" s="500"/>
      <c r="AP4853" s="500"/>
    </row>
    <row r="4854" spans="1:42" ht="16.5" customHeight="1">
      <c r="A4854" s="616" t="s">
        <v>3487</v>
      </c>
      <c r="B4854" s="605"/>
      <c r="C4854" s="446">
        <f>E4854+D4854+F4854</f>
        <v>50903</v>
      </c>
      <c r="D4854" s="453">
        <f>ROUNDDOWN(SUMIF(N4807:N4833,M4854,D4807:D4833),0)</f>
        <v>49421</v>
      </c>
      <c r="E4854" s="454">
        <f>ROUNDDOWN(SUMIF(N4807:N4833,M4854,E4807:E4833),0)</f>
        <v>0</v>
      </c>
      <c r="F4854" s="446">
        <f>ROUNDDOWN(SUMIF(N4807:N4833,M4854,F4807:F4833),0)</f>
        <v>1482</v>
      </c>
      <c r="M4854" s="501" t="s">
        <v>2354</v>
      </c>
      <c r="Z4854" s="500"/>
      <c r="AA4854" s="500"/>
      <c r="AB4854" s="500"/>
      <c r="AC4854" s="500"/>
      <c r="AD4854" s="500"/>
      <c r="AE4854" s="500"/>
      <c r="AF4854" s="500"/>
      <c r="AG4854" s="500"/>
      <c r="AH4854" s="500"/>
      <c r="AI4854" s="500"/>
      <c r="AJ4854" s="500"/>
      <c r="AK4854" s="500"/>
      <c r="AL4854" s="500"/>
      <c r="AM4854" s="500"/>
      <c r="AN4854" s="500"/>
      <c r="AO4854" s="500"/>
      <c r="AP4854" s="500"/>
    </row>
    <row r="4855" spans="1:42" ht="16.5" customHeight="1">
      <c r="A4855" s="502" t="s">
        <v>3371</v>
      </c>
      <c r="B4855" s="503" t="s">
        <v>1970</v>
      </c>
      <c r="C4855" s="615">
        <f>C4904</f>
        <v>15754</v>
      </c>
      <c r="D4855" s="615">
        <f>D4904</f>
        <v>15296</v>
      </c>
      <c r="E4855" s="615">
        <f>E4904</f>
        <v>0</v>
      </c>
      <c r="F4855" s="615">
        <f>F4904</f>
        <v>458</v>
      </c>
      <c r="G4855" s="486" t="str">
        <f>HYPERLINK("#G"&amp;ROW(G4883),"_x0005_`BDCOD|D01281_x0007_`POSS|"&amp;ROW(G4857)&amp;"_x0007_`POSE|"&amp;ROW(G4883)&amp;"_x0007_`")</f>
        <v>_x0005_`BDCOD|D01281_x0007_`POSS|4857_x0007_`POSE|4883_x0007_`</v>
      </c>
      <c r="Z4855" s="500"/>
      <c r="AA4855" s="500"/>
      <c r="AB4855" s="500"/>
      <c r="AC4855" s="500"/>
      <c r="AD4855" s="500"/>
      <c r="AE4855" s="500"/>
      <c r="AF4855" s="500"/>
      <c r="AG4855" s="500"/>
      <c r="AH4855" s="500"/>
      <c r="AI4855" s="500"/>
      <c r="AJ4855" s="500"/>
      <c r="AK4855" s="500"/>
      <c r="AL4855" s="500"/>
      <c r="AM4855" s="500"/>
      <c r="AN4855" s="500"/>
      <c r="AO4855" s="500"/>
      <c r="AP4855" s="500"/>
    </row>
    <row r="4856" spans="1:42" ht="16.5" customHeight="1">
      <c r="A4856" s="485"/>
      <c r="B4856" s="503" t="s">
        <v>3967</v>
      </c>
      <c r="C4856" s="593"/>
      <c r="D4856" s="593"/>
      <c r="E4856" s="593"/>
      <c r="F4856" s="593"/>
      <c r="M4856" s="501" t="s">
        <v>1970</v>
      </c>
      <c r="Z4856" s="500"/>
      <c r="AA4856" s="500"/>
      <c r="AB4856" s="500"/>
      <c r="AC4856" s="500"/>
      <c r="AD4856" s="500"/>
      <c r="AE4856" s="500"/>
      <c r="AF4856" s="500"/>
      <c r="AG4856" s="500"/>
      <c r="AH4856" s="500"/>
      <c r="AI4856" s="500"/>
      <c r="AJ4856" s="500"/>
      <c r="AK4856" s="500"/>
      <c r="AL4856" s="500"/>
      <c r="AM4856" s="500"/>
      <c r="AN4856" s="500"/>
      <c r="AO4856" s="500"/>
      <c r="AP4856" s="500"/>
    </row>
    <row r="4857" spans="1:42" ht="16.5" customHeight="1">
      <c r="A4857" s="439"/>
      <c r="B4857" s="439"/>
      <c r="C4857" s="504"/>
      <c r="D4857" s="504"/>
      <c r="E4857" s="504"/>
      <c r="F4857" s="504"/>
      <c r="G4857" s="451" t="s">
        <v>3406</v>
      </c>
      <c r="Z4857" s="500"/>
      <c r="AA4857" s="500"/>
      <c r="AB4857" s="500"/>
      <c r="AC4857" s="500"/>
      <c r="AD4857" s="500"/>
      <c r="AE4857" s="500"/>
      <c r="AF4857" s="500"/>
      <c r="AG4857" s="500"/>
      <c r="AH4857" s="500"/>
      <c r="AI4857" s="500"/>
      <c r="AJ4857" s="500"/>
      <c r="AK4857" s="500"/>
      <c r="AL4857" s="500"/>
      <c r="AM4857" s="500"/>
      <c r="AN4857" s="500"/>
      <c r="AO4857" s="500"/>
      <c r="AP4857" s="500"/>
    </row>
    <row r="4858" spans="1:42" ht="16.5" customHeight="1">
      <c r="A4858" s="434"/>
      <c r="B4858" s="437" t="s">
        <v>3968</v>
      </c>
      <c r="C4858" s="439"/>
      <c r="D4858" s="439"/>
      <c r="E4858" s="439"/>
      <c r="F4858" s="439"/>
      <c r="G4858" s="451" t="s">
        <v>3969</v>
      </c>
      <c r="Z4858" s="500"/>
      <c r="AA4858" s="500"/>
      <c r="AB4858" s="500"/>
      <c r="AC4858" s="500"/>
      <c r="AD4858" s="500"/>
      <c r="AE4858" s="500"/>
      <c r="AF4858" s="500"/>
      <c r="AG4858" s="500"/>
      <c r="AH4858" s="500"/>
      <c r="AI4858" s="500"/>
      <c r="AJ4858" s="500"/>
      <c r="AK4858" s="500"/>
      <c r="AL4858" s="500"/>
      <c r="AM4858" s="500"/>
      <c r="AN4858" s="500"/>
      <c r="AO4858" s="500"/>
      <c r="AP4858" s="500"/>
    </row>
    <row r="4859" spans="1:42" ht="16.5" customHeight="1">
      <c r="A4859" s="439"/>
      <c r="B4859" s="439"/>
      <c r="C4859" s="439"/>
      <c r="D4859" s="439"/>
      <c r="E4859" s="439"/>
      <c r="F4859" s="439"/>
      <c r="G4859" s="451" t="s">
        <v>3406</v>
      </c>
      <c r="Z4859" s="500"/>
      <c r="AA4859" s="500"/>
      <c r="AB4859" s="500"/>
      <c r="AC4859" s="500"/>
      <c r="AD4859" s="500"/>
      <c r="AE4859" s="500"/>
      <c r="AF4859" s="500"/>
      <c r="AG4859" s="500"/>
      <c r="AH4859" s="500"/>
      <c r="AI4859" s="500"/>
      <c r="AJ4859" s="500"/>
      <c r="AK4859" s="500"/>
      <c r="AL4859" s="500"/>
      <c r="AM4859" s="500"/>
      <c r="AN4859" s="500"/>
      <c r="AO4859" s="500"/>
      <c r="AP4859" s="500"/>
    </row>
    <row r="4860" spans="1:42" ht="16.5" customHeight="1">
      <c r="A4860" s="434"/>
      <c r="B4860" s="437" t="s">
        <v>3907</v>
      </c>
      <c r="C4860" s="439"/>
      <c r="D4860" s="439"/>
      <c r="E4860" s="439"/>
      <c r="F4860" s="439"/>
      <c r="G4860" s="451" t="s">
        <v>3908</v>
      </c>
      <c r="Z4860" s="500"/>
      <c r="AA4860" s="500"/>
      <c r="AB4860" s="500"/>
      <c r="AC4860" s="500"/>
      <c r="AD4860" s="500"/>
      <c r="AE4860" s="500"/>
      <c r="AF4860" s="500"/>
      <c r="AG4860" s="500"/>
      <c r="AH4860" s="500"/>
      <c r="AI4860" s="500"/>
      <c r="AJ4860" s="500"/>
      <c r="AK4860" s="500"/>
      <c r="AL4860" s="500"/>
      <c r="AM4860" s="500"/>
      <c r="AN4860" s="500"/>
      <c r="AO4860" s="500"/>
      <c r="AP4860" s="500"/>
    </row>
    <row r="4861" spans="1:42" ht="16.5" customHeight="1">
      <c r="A4861" s="439"/>
      <c r="B4861" s="439"/>
      <c r="C4861" s="439"/>
      <c r="D4861" s="439"/>
      <c r="E4861" s="439"/>
      <c r="F4861" s="439"/>
      <c r="G4861" s="451" t="s">
        <v>3406</v>
      </c>
      <c r="Z4861" s="500"/>
      <c r="AA4861" s="500"/>
      <c r="AB4861" s="500"/>
      <c r="AC4861" s="500"/>
      <c r="AD4861" s="500"/>
      <c r="AE4861" s="500"/>
      <c r="AF4861" s="500"/>
      <c r="AG4861" s="500"/>
      <c r="AH4861" s="500"/>
      <c r="AI4861" s="500"/>
      <c r="AJ4861" s="500"/>
      <c r="AK4861" s="500"/>
      <c r="AL4861" s="500"/>
      <c r="AM4861" s="500"/>
      <c r="AN4861" s="500"/>
      <c r="AO4861" s="500"/>
      <c r="AP4861" s="500"/>
    </row>
    <row r="4862" spans="1:42" ht="16.5" customHeight="1">
      <c r="A4862" s="434"/>
      <c r="B4862" s="437" t="s">
        <v>3955</v>
      </c>
      <c r="C4862" s="439"/>
      <c r="D4862" s="439"/>
      <c r="E4862" s="439"/>
      <c r="F4862" s="439"/>
      <c r="G4862" s="451" t="s">
        <v>3956</v>
      </c>
      <c r="Z4862" s="500"/>
      <c r="AA4862" s="500"/>
      <c r="AB4862" s="500"/>
      <c r="AC4862" s="500"/>
      <c r="AD4862" s="500"/>
      <c r="AE4862" s="500"/>
      <c r="AF4862" s="500"/>
      <c r="AG4862" s="500"/>
      <c r="AH4862" s="500"/>
      <c r="AI4862" s="500"/>
      <c r="AJ4862" s="500"/>
      <c r="AK4862" s="500"/>
      <c r="AL4862" s="500"/>
      <c r="AM4862" s="500"/>
      <c r="AN4862" s="500"/>
      <c r="AO4862" s="500"/>
      <c r="AP4862" s="500"/>
    </row>
    <row r="4863" spans="1:42" ht="16.5" customHeight="1">
      <c r="A4863" s="439"/>
      <c r="B4863" s="439"/>
      <c r="C4863" s="439"/>
      <c r="D4863" s="439"/>
      <c r="E4863" s="439"/>
      <c r="F4863" s="439"/>
      <c r="G4863" s="451" t="s">
        <v>3406</v>
      </c>
      <c r="Z4863" s="500"/>
      <c r="AA4863" s="500"/>
      <c r="AB4863" s="500"/>
      <c r="AC4863" s="500"/>
      <c r="AD4863" s="500"/>
      <c r="AE4863" s="500"/>
      <c r="AF4863" s="500"/>
      <c r="AG4863" s="500"/>
      <c r="AH4863" s="500"/>
      <c r="AI4863" s="500"/>
      <c r="AJ4863" s="500"/>
      <c r="AK4863" s="500"/>
      <c r="AL4863" s="500"/>
      <c r="AM4863" s="500"/>
      <c r="AN4863" s="500"/>
      <c r="AO4863" s="500"/>
      <c r="AP4863" s="500"/>
    </row>
    <row r="4864" spans="1:42" ht="16.5" customHeight="1">
      <c r="A4864" s="434"/>
      <c r="B4864" s="437" t="str">
        <f>" 일당 작업량 :  Q1 = "&amp;Z4864&amp;" 주 "</f>
        <v xml:space="preserve"> 일당 작업량 :  Q1 = 42 주 </v>
      </c>
      <c r="C4864" s="439"/>
      <c r="D4864" s="439"/>
      <c r="E4864" s="439"/>
      <c r="F4864" s="439"/>
      <c r="G4864" s="451" t="s">
        <v>3970</v>
      </c>
      <c r="Z4864" s="515">
        <v>42</v>
      </c>
      <c r="AA4864" s="501" t="s">
        <v>3418</v>
      </c>
      <c r="AB4864" s="512">
        <f>Z4864</f>
        <v>42</v>
      </c>
      <c r="AC4864" s="500"/>
      <c r="AD4864" s="500"/>
      <c r="AE4864" s="500"/>
      <c r="AF4864" s="500"/>
      <c r="AG4864" s="500"/>
      <c r="AH4864" s="500"/>
      <c r="AI4864" s="500"/>
      <c r="AJ4864" s="500"/>
      <c r="AK4864" s="500"/>
      <c r="AL4864" s="500"/>
      <c r="AM4864" s="500"/>
      <c r="AN4864" s="500"/>
      <c r="AO4864" s="500"/>
      <c r="AP4864" s="500"/>
    </row>
    <row r="4865" spans="1:42" ht="16.5" customHeight="1">
      <c r="A4865" s="439"/>
      <c r="B4865" s="439"/>
      <c r="C4865" s="439"/>
      <c r="D4865" s="439"/>
      <c r="E4865" s="439"/>
      <c r="F4865" s="439"/>
      <c r="G4865" s="451" t="s">
        <v>3406</v>
      </c>
      <c r="Z4865" s="500"/>
      <c r="AA4865" s="500"/>
      <c r="AB4865" s="500"/>
      <c r="AC4865" s="500"/>
      <c r="AD4865" s="500"/>
      <c r="AE4865" s="500"/>
      <c r="AF4865" s="500"/>
      <c r="AG4865" s="500"/>
      <c r="AH4865" s="500"/>
      <c r="AI4865" s="500"/>
      <c r="AJ4865" s="500"/>
      <c r="AK4865" s="500"/>
      <c r="AL4865" s="500"/>
      <c r="AM4865" s="500"/>
      <c r="AN4865" s="500"/>
      <c r="AO4865" s="500"/>
      <c r="AP4865" s="500"/>
    </row>
    <row r="4866" spans="1:42" ht="16.5" customHeight="1">
      <c r="A4866" s="434"/>
      <c r="B4866" s="437" t="s">
        <v>3958</v>
      </c>
      <c r="C4866" s="439"/>
      <c r="D4866" s="439"/>
      <c r="E4866" s="439"/>
      <c r="F4866" s="439"/>
      <c r="G4866" s="451" t="s">
        <v>3959</v>
      </c>
      <c r="Z4866" s="500"/>
      <c r="AA4866" s="500"/>
      <c r="AB4866" s="500"/>
      <c r="AC4866" s="500"/>
      <c r="AD4866" s="500"/>
      <c r="AE4866" s="500"/>
      <c r="AF4866" s="500"/>
      <c r="AG4866" s="500"/>
      <c r="AH4866" s="500"/>
      <c r="AI4866" s="500"/>
      <c r="AJ4866" s="500"/>
      <c r="AK4866" s="500"/>
      <c r="AL4866" s="500"/>
      <c r="AM4866" s="500"/>
      <c r="AN4866" s="500"/>
      <c r="AO4866" s="500"/>
      <c r="AP4866" s="500"/>
    </row>
    <row r="4867" spans="1:42" ht="16.5" customHeight="1">
      <c r="A4867" s="439"/>
      <c r="B4867" s="439"/>
      <c r="C4867" s="439"/>
      <c r="D4867" s="439"/>
      <c r="E4867" s="439"/>
      <c r="F4867" s="439"/>
      <c r="G4867" s="451" t="s">
        <v>3406</v>
      </c>
      <c r="Z4867" s="500"/>
      <c r="AA4867" s="500"/>
      <c r="AB4867" s="500"/>
      <c r="AC4867" s="500"/>
      <c r="AD4867" s="500"/>
      <c r="AE4867" s="500"/>
      <c r="AF4867" s="500"/>
      <c r="AG4867" s="500"/>
      <c r="AH4867" s="500"/>
      <c r="AI4867" s="500"/>
      <c r="AJ4867" s="500"/>
      <c r="AK4867" s="500"/>
      <c r="AL4867" s="500"/>
      <c r="AM4867" s="500"/>
      <c r="AN4867" s="500"/>
      <c r="AO4867" s="500"/>
      <c r="AP4867" s="500"/>
    </row>
    <row r="4868" spans="1:42" ht="16.5" customHeight="1">
      <c r="A4868" s="439"/>
      <c r="B4868" s="439"/>
      <c r="C4868" s="439"/>
      <c r="D4868" s="439"/>
      <c r="E4868" s="439"/>
      <c r="F4868" s="439"/>
      <c r="G4868" s="451" t="s">
        <v>3406</v>
      </c>
      <c r="Z4868" s="500"/>
      <c r="AA4868" s="500"/>
      <c r="AB4868" s="500"/>
      <c r="AC4868" s="500"/>
      <c r="AD4868" s="500"/>
      <c r="AE4868" s="500"/>
      <c r="AF4868" s="500"/>
      <c r="AG4868" s="500"/>
      <c r="AH4868" s="500"/>
      <c r="AI4868" s="500"/>
      <c r="AJ4868" s="500"/>
      <c r="AK4868" s="500"/>
      <c r="AL4868" s="500"/>
      <c r="AM4868" s="500"/>
      <c r="AN4868" s="500"/>
      <c r="AO4868" s="500"/>
      <c r="AP4868" s="500"/>
    </row>
    <row r="4869" spans="1:42" ht="16.5" customHeight="1">
      <c r="A4869" s="434"/>
      <c r="B4869" s="437" t="s">
        <v>3496</v>
      </c>
      <c r="C4869" s="439"/>
      <c r="D4869" s="439"/>
      <c r="E4869" s="439"/>
      <c r="F4869" s="439"/>
      <c r="G4869" s="451" t="s">
        <v>3497</v>
      </c>
      <c r="Z4869" s="500"/>
      <c r="AA4869" s="500"/>
      <c r="AB4869" s="500"/>
      <c r="AC4869" s="500"/>
      <c r="AD4869" s="500"/>
      <c r="AE4869" s="500"/>
      <c r="AF4869" s="500"/>
      <c r="AG4869" s="500"/>
      <c r="AH4869" s="500"/>
      <c r="AI4869" s="500"/>
      <c r="AJ4869" s="500"/>
      <c r="AK4869" s="500"/>
      <c r="AL4869" s="500"/>
      <c r="AM4869" s="500"/>
      <c r="AN4869" s="500"/>
      <c r="AO4869" s="500"/>
      <c r="AP4869" s="500"/>
    </row>
    <row r="4870" spans="1:42" ht="16.5" customHeight="1">
      <c r="A4870" s="439"/>
      <c r="B4870" s="439"/>
      <c r="C4870" s="439"/>
      <c r="D4870" s="439"/>
      <c r="E4870" s="439"/>
      <c r="F4870" s="439"/>
      <c r="G4870" s="451" t="s">
        <v>3406</v>
      </c>
      <c r="Z4870" s="500"/>
      <c r="AA4870" s="500"/>
      <c r="AB4870" s="500"/>
      <c r="AC4870" s="500"/>
      <c r="AD4870" s="500"/>
      <c r="AE4870" s="500"/>
      <c r="AF4870" s="500"/>
      <c r="AG4870" s="500"/>
      <c r="AH4870" s="500"/>
      <c r="AI4870" s="500"/>
      <c r="AJ4870" s="500"/>
      <c r="AK4870" s="500"/>
      <c r="AL4870" s="500"/>
      <c r="AM4870" s="500"/>
      <c r="AN4870" s="500"/>
      <c r="AO4870" s="500"/>
      <c r="AP4870" s="500"/>
    </row>
    <row r="4871" spans="1:42" ht="16.5" customHeight="1">
      <c r="A4871" s="434" t="s">
        <v>3498</v>
      </c>
      <c r="B4871" s="505" t="str">
        <f>" 조 경 공 : "&amp;TEXT(I4871,"#,##0"&amp;IF(I4871&lt;&gt;INT(I4871),".###",""))&amp;" * "&amp;AA4871&amp;" 인  / Q1 = "&amp;TEXT(C4871,"#,##0.0")&amp;" "</f>
        <v xml:space="preserve"> 조 경 공 : 235,204 * 2 인  / Q1 = 11,200.1 </v>
      </c>
      <c r="C4871" s="506">
        <f>E4871+D4871+F4871</f>
        <v>11200.1</v>
      </c>
      <c r="D4871" s="506">
        <f>IF(H4871=0,0,ROUNDDOWN(J4871*H4871,1))</f>
        <v>11200.1</v>
      </c>
      <c r="E4871" s="506">
        <f>IF(H4871=0,0,ROUNDDOWN(K4871*H4871,1))</f>
        <v>0</v>
      </c>
      <c r="F4871" s="506">
        <f>IF(H4871=0,0,ROUNDDOWN(L4871*H4871,1))</f>
        <v>0</v>
      </c>
      <c r="G4871" s="451" t="s">
        <v>3960</v>
      </c>
      <c r="H4871" s="507">
        <f>ROUNDUP(AE4871,14-LEN(ABS(INT(AE4871))))</f>
        <v>4.7619047619100005E-2</v>
      </c>
      <c r="I4871" s="508">
        <f>K4871+J4871+L4871</f>
        <v>235204</v>
      </c>
      <c r="J4871" s="509">
        <f>노무비목록표!E15</f>
        <v>235204</v>
      </c>
      <c r="M4871" s="501" t="s">
        <v>2359</v>
      </c>
      <c r="N4871" s="501" t="s">
        <v>3416</v>
      </c>
      <c r="O4871" s="501" t="s">
        <v>2355</v>
      </c>
      <c r="X4871" s="510" t="str">
        <f>노무비목록표!B15&amp;" / "&amp;노무비목록표!C15</f>
        <v xml:space="preserve">조경공 / </v>
      </c>
      <c r="Y4871" s="433" t="str">
        <f ca="1">HYPERLINK("#"&amp;노무비목록표!G2&amp;"!A"&amp;ROW(노무비목록표!A15),"L00184 →")</f>
        <v>L00184 →</v>
      </c>
      <c r="Z4871" s="501" t="s">
        <v>3500</v>
      </c>
      <c r="AA4871" s="515">
        <v>2</v>
      </c>
      <c r="AB4871" s="501" t="s">
        <v>3428</v>
      </c>
      <c r="AC4871" s="512">
        <f>AB4864</f>
        <v>42</v>
      </c>
      <c r="AD4871" s="501" t="s">
        <v>3418</v>
      </c>
      <c r="AE4871" s="512">
        <f>1*AA4871/AB4864</f>
        <v>4.7619047619047616E-2</v>
      </c>
      <c r="AF4871" s="500"/>
      <c r="AG4871" s="500"/>
      <c r="AH4871" s="500"/>
      <c r="AI4871" s="500"/>
      <c r="AJ4871" s="500"/>
      <c r="AK4871" s="500"/>
      <c r="AL4871" s="500"/>
      <c r="AM4871" s="500"/>
      <c r="AN4871" s="500"/>
      <c r="AO4871" s="500"/>
      <c r="AP4871" s="500"/>
    </row>
    <row r="4872" spans="1:42" ht="16.5" customHeight="1">
      <c r="A4872" s="439"/>
      <c r="B4872" s="439"/>
      <c r="C4872" s="439"/>
      <c r="D4872" s="439"/>
      <c r="E4872" s="439"/>
      <c r="F4872" s="439"/>
      <c r="G4872" s="451" t="s">
        <v>3406</v>
      </c>
      <c r="Z4872" s="500"/>
      <c r="AA4872" s="500"/>
      <c r="AB4872" s="500"/>
      <c r="AC4872" s="500"/>
      <c r="AD4872" s="500"/>
      <c r="AE4872" s="500"/>
      <c r="AF4872" s="500"/>
      <c r="AG4872" s="500"/>
      <c r="AH4872" s="500"/>
      <c r="AI4872" s="500"/>
      <c r="AJ4872" s="500"/>
      <c r="AK4872" s="500"/>
      <c r="AL4872" s="500"/>
      <c r="AM4872" s="500"/>
      <c r="AN4872" s="500"/>
      <c r="AO4872" s="500"/>
      <c r="AP4872" s="500"/>
    </row>
    <row r="4873" spans="1:42" ht="16.5" customHeight="1">
      <c r="A4873" s="434" t="s">
        <v>3414</v>
      </c>
      <c r="B4873" s="505" t="str">
        <f>" 보통인부 : "&amp;TEXT(I4873,"#,##0"&amp;IF(I4873&lt;&gt;INT(I4873),".###",""))&amp;" * "&amp;AA4873&amp;" 인  / Q1 = "&amp;TEXT(C4873,"#,##0.0")&amp;" "</f>
        <v xml:space="preserve"> 보통인부 : 172,068 * 1 인  / Q1 = 4,096.8 </v>
      </c>
      <c r="C4873" s="506">
        <f>E4873+D4873+F4873</f>
        <v>4096.8</v>
      </c>
      <c r="D4873" s="506">
        <f>IF(H4873=0,0,ROUNDDOWN(J4873*H4873,1))</f>
        <v>4096.8</v>
      </c>
      <c r="E4873" s="506">
        <f>IF(H4873=0,0,ROUNDDOWN(K4873*H4873,1))</f>
        <v>0</v>
      </c>
      <c r="F4873" s="506">
        <f>IF(H4873=0,0,ROUNDDOWN(L4873*H4873,1))</f>
        <v>0</v>
      </c>
      <c r="G4873" s="451" t="s">
        <v>3894</v>
      </c>
      <c r="H4873" s="507">
        <f>ROUNDUP(AE4873,14-LEN(ABS(INT(AE4873))))</f>
        <v>2.3809523809600001E-2</v>
      </c>
      <c r="I4873" s="508">
        <f>K4873+J4873+L4873</f>
        <v>172068</v>
      </c>
      <c r="J4873" s="509">
        <f>노무비목록표!E10</f>
        <v>172068</v>
      </c>
      <c r="M4873" s="501" t="s">
        <v>2363</v>
      </c>
      <c r="N4873" s="501" t="s">
        <v>3416</v>
      </c>
      <c r="O4873" s="501" t="s">
        <v>2355</v>
      </c>
      <c r="X4873" s="510" t="str">
        <f>노무비목록표!B10&amp;" / "&amp;노무비목록표!C10</f>
        <v xml:space="preserve">보통인부 / </v>
      </c>
      <c r="Y4873" s="433" t="str">
        <f ca="1">HYPERLINK("#"&amp;노무비목록표!G2&amp;"!A"&amp;ROW(노무비목록표!A10),"L00017 →")</f>
        <v>L00017 →</v>
      </c>
      <c r="Z4873" s="501" t="s">
        <v>3500</v>
      </c>
      <c r="AA4873" s="515">
        <v>1</v>
      </c>
      <c r="AB4873" s="501" t="s">
        <v>3428</v>
      </c>
      <c r="AC4873" s="512">
        <f>AB4864</f>
        <v>42</v>
      </c>
      <c r="AD4873" s="501" t="s">
        <v>3418</v>
      </c>
      <c r="AE4873" s="512">
        <f>1*AA4873/AB4864</f>
        <v>2.3809523809523808E-2</v>
      </c>
      <c r="AF4873" s="500"/>
      <c r="AG4873" s="500"/>
      <c r="AH4873" s="500"/>
      <c r="AI4873" s="500"/>
      <c r="AJ4873" s="500"/>
      <c r="AK4873" s="500"/>
      <c r="AL4873" s="500"/>
      <c r="AM4873" s="500"/>
      <c r="AN4873" s="500"/>
      <c r="AO4873" s="500"/>
      <c r="AP4873" s="500"/>
    </row>
    <row r="4874" spans="1:42" ht="16.5" customHeight="1">
      <c r="A4874" s="439"/>
      <c r="B4874" s="439"/>
      <c r="C4874" s="439"/>
      <c r="D4874" s="439"/>
      <c r="E4874" s="439"/>
      <c r="F4874" s="439"/>
      <c r="G4874" s="451" t="s">
        <v>3406</v>
      </c>
      <c r="Z4874" s="500"/>
      <c r="AA4874" s="500"/>
      <c r="AB4874" s="500"/>
      <c r="AC4874" s="500"/>
      <c r="AD4874" s="500"/>
      <c r="AE4874" s="500"/>
      <c r="AF4874" s="500"/>
      <c r="AG4874" s="500"/>
      <c r="AH4874" s="500"/>
      <c r="AI4874" s="500"/>
      <c r="AJ4874" s="500"/>
      <c r="AK4874" s="500"/>
      <c r="AL4874" s="500"/>
      <c r="AM4874" s="500"/>
      <c r="AN4874" s="500"/>
      <c r="AO4874" s="500"/>
      <c r="AP4874" s="500"/>
    </row>
    <row r="4875" spans="1:42" ht="16.5" customHeight="1">
      <c r="A4875" s="434"/>
      <c r="B4875" s="437" t="s">
        <v>3419</v>
      </c>
      <c r="C4875" s="513">
        <f>E4875+D4875+F4875</f>
        <v>15296.900000000001</v>
      </c>
      <c r="D4875" s="513">
        <f>SUMIF(N4857:N4874,M4875,D4857:D4874)</f>
        <v>15296.900000000001</v>
      </c>
      <c r="E4875" s="513">
        <f>SUMIF(N4857:N4874,M4875,E4857:E4874)</f>
        <v>0</v>
      </c>
      <c r="F4875" s="513">
        <f>SUMIF(N4857:N4874,M4875,F4857:F4874)</f>
        <v>0</v>
      </c>
      <c r="G4875" s="451" t="s">
        <v>3420</v>
      </c>
      <c r="M4875" s="501" t="s">
        <v>3416</v>
      </c>
      <c r="N4875" s="501" t="s">
        <v>3421</v>
      </c>
      <c r="Z4875" s="500"/>
      <c r="AA4875" s="500"/>
      <c r="AB4875" s="500"/>
      <c r="AC4875" s="500"/>
      <c r="AD4875" s="500"/>
      <c r="AE4875" s="500"/>
      <c r="AF4875" s="500"/>
      <c r="AG4875" s="500"/>
      <c r="AH4875" s="500"/>
      <c r="AI4875" s="500"/>
      <c r="AJ4875" s="500"/>
      <c r="AK4875" s="500"/>
      <c r="AL4875" s="500"/>
      <c r="AM4875" s="500"/>
      <c r="AN4875" s="500"/>
      <c r="AO4875" s="500"/>
      <c r="AP4875" s="500"/>
    </row>
    <row r="4876" spans="1:42" ht="16.5" customHeight="1">
      <c r="A4876" s="439"/>
      <c r="B4876" s="439"/>
      <c r="C4876" s="504"/>
      <c r="D4876" s="504"/>
      <c r="E4876" s="504"/>
      <c r="F4876" s="504"/>
      <c r="G4876" s="451" t="s">
        <v>3406</v>
      </c>
      <c r="Z4876" s="500"/>
      <c r="AA4876" s="500"/>
      <c r="AB4876" s="500"/>
      <c r="AC4876" s="500"/>
      <c r="AD4876" s="500"/>
      <c r="AE4876" s="500"/>
      <c r="AF4876" s="500"/>
      <c r="AG4876" s="500"/>
      <c r="AH4876" s="500"/>
      <c r="AI4876" s="500"/>
      <c r="AJ4876" s="500"/>
      <c r="AK4876" s="500"/>
      <c r="AL4876" s="500"/>
      <c r="AM4876" s="500"/>
      <c r="AN4876" s="500"/>
      <c r="AO4876" s="500"/>
      <c r="AP4876" s="500"/>
    </row>
    <row r="4877" spans="1:42" ht="16.5" customHeight="1">
      <c r="A4877" s="439"/>
      <c r="B4877" s="439"/>
      <c r="C4877" s="439"/>
      <c r="D4877" s="439"/>
      <c r="E4877" s="439"/>
      <c r="F4877" s="439"/>
      <c r="G4877" s="451" t="s">
        <v>3406</v>
      </c>
      <c r="Z4877" s="500"/>
      <c r="AA4877" s="500"/>
      <c r="AB4877" s="500"/>
      <c r="AC4877" s="500"/>
      <c r="AD4877" s="500"/>
      <c r="AE4877" s="500"/>
      <c r="AF4877" s="500"/>
      <c r="AG4877" s="500"/>
      <c r="AH4877" s="500"/>
      <c r="AI4877" s="500"/>
      <c r="AJ4877" s="500"/>
      <c r="AK4877" s="500"/>
      <c r="AL4877" s="500"/>
      <c r="AM4877" s="500"/>
      <c r="AN4877" s="500"/>
      <c r="AO4877" s="500"/>
      <c r="AP4877" s="500"/>
    </row>
    <row r="4878" spans="1:42" ht="16.5" customHeight="1">
      <c r="A4878" s="434"/>
      <c r="B4878" s="505" t="str">
        <f>" 2. 기계경비(인력품의 3%) : "&amp;TEXT(I4878,"#,##0.0")&amp;" * "&amp;AA4878&amp;" %  = "&amp;TEXT(C4878,"#,##0.0")&amp;""</f>
        <v xml:space="preserve"> 2. 기계경비(인력품의 3%) : 15,296.9 * 3 %  = 458.9</v>
      </c>
      <c r="C4878" s="506">
        <f>E4878+D4878+F4878</f>
        <v>458.9</v>
      </c>
      <c r="D4878" s="506">
        <f>IF(H4878=0,0,ROUNDDOWN(J4878*H4878/100,1))</f>
        <v>0</v>
      </c>
      <c r="E4878" s="506">
        <f>IF(H4878=0,0,ROUNDDOWN(K4878*H4878/100,1))</f>
        <v>0</v>
      </c>
      <c r="F4878" s="506">
        <f>IF(H4878=0,0,ROUNDDOWN(L4878*H4878/100,1))</f>
        <v>458.9</v>
      </c>
      <c r="G4878" s="451" t="s">
        <v>3923</v>
      </c>
      <c r="H4878" s="507">
        <f>ROUNDUP(AC4878,14-LEN(ABS(INT(AC4878))))</f>
        <v>3</v>
      </c>
      <c r="I4878" s="508">
        <f>K4878+J4878+L4878</f>
        <v>15296.900000000001</v>
      </c>
      <c r="J4878" s="456">
        <v>0</v>
      </c>
      <c r="K4878" s="456">
        <v>0</v>
      </c>
      <c r="L4878" s="509">
        <f>D4871+D4873</f>
        <v>15296.900000000001</v>
      </c>
      <c r="M4878" s="501" t="s">
        <v>3743</v>
      </c>
      <c r="N4878" s="501" t="s">
        <v>3416</v>
      </c>
      <c r="Z4878" s="501" t="s">
        <v>3500</v>
      </c>
      <c r="AA4878" s="515">
        <v>3</v>
      </c>
      <c r="AB4878" s="501" t="s">
        <v>3418</v>
      </c>
      <c r="AC4878" s="512">
        <f>1*AA4878</f>
        <v>3</v>
      </c>
      <c r="AD4878" s="500"/>
      <c r="AE4878" s="500"/>
      <c r="AF4878" s="500"/>
      <c r="AG4878" s="500"/>
      <c r="AH4878" s="500"/>
      <c r="AI4878" s="500"/>
      <c r="AJ4878" s="500"/>
      <c r="AK4878" s="500"/>
      <c r="AL4878" s="500"/>
      <c r="AM4878" s="500"/>
      <c r="AN4878" s="500"/>
      <c r="AO4878" s="500"/>
      <c r="AP4878" s="500"/>
    </row>
    <row r="4879" spans="1:42" ht="16.5" customHeight="1">
      <c r="A4879" s="439"/>
      <c r="B4879" s="439"/>
      <c r="C4879" s="439"/>
      <c r="D4879" s="439"/>
      <c r="E4879" s="439"/>
      <c r="F4879" s="439"/>
      <c r="G4879" s="451" t="s">
        <v>3406</v>
      </c>
      <c r="Z4879" s="500"/>
      <c r="AA4879" s="500"/>
      <c r="AB4879" s="500"/>
      <c r="AC4879" s="500"/>
      <c r="AD4879" s="500"/>
      <c r="AE4879" s="500"/>
      <c r="AF4879" s="500"/>
      <c r="AG4879" s="500"/>
      <c r="AH4879" s="500"/>
      <c r="AI4879" s="500"/>
      <c r="AJ4879" s="500"/>
      <c r="AK4879" s="500"/>
      <c r="AL4879" s="500"/>
      <c r="AM4879" s="500"/>
      <c r="AN4879" s="500"/>
      <c r="AO4879" s="500"/>
      <c r="AP4879" s="500"/>
    </row>
    <row r="4880" spans="1:42" ht="16.5" customHeight="1">
      <c r="A4880" s="434"/>
      <c r="B4880" s="437" t="s">
        <v>3419</v>
      </c>
      <c r="C4880" s="513">
        <f>E4880+D4880+F4880</f>
        <v>458.9</v>
      </c>
      <c r="D4880" s="513">
        <f>SUMIF(N4876:N4879,M4880,D4876:D4879)</f>
        <v>0</v>
      </c>
      <c r="E4880" s="513">
        <f>SUMIF(N4876:N4879,M4880,E4876:E4879)</f>
        <v>0</v>
      </c>
      <c r="F4880" s="513">
        <f>SUMIF(N4876:N4879,M4880,F4876:F4879)</f>
        <v>458.9</v>
      </c>
      <c r="G4880" s="451" t="s">
        <v>3420</v>
      </c>
      <c r="M4880" s="501" t="s">
        <v>3416</v>
      </c>
      <c r="N4880" s="501" t="s">
        <v>3421</v>
      </c>
      <c r="Z4880" s="500"/>
      <c r="AA4880" s="500"/>
      <c r="AB4880" s="500"/>
      <c r="AC4880" s="500"/>
      <c r="AD4880" s="500"/>
      <c r="AE4880" s="500"/>
      <c r="AF4880" s="500"/>
      <c r="AG4880" s="500"/>
      <c r="AH4880" s="500"/>
      <c r="AI4880" s="500"/>
      <c r="AJ4880" s="500"/>
      <c r="AK4880" s="500"/>
      <c r="AL4880" s="500"/>
      <c r="AM4880" s="500"/>
      <c r="AN4880" s="500"/>
      <c r="AO4880" s="500"/>
      <c r="AP4880" s="500"/>
    </row>
    <row r="4881" spans="1:42" ht="16.5" customHeight="1">
      <c r="A4881" s="439"/>
      <c r="B4881" s="439"/>
      <c r="C4881" s="504"/>
      <c r="D4881" s="504"/>
      <c r="E4881" s="504"/>
      <c r="F4881" s="504"/>
      <c r="G4881" s="451" t="s">
        <v>3406</v>
      </c>
      <c r="Z4881" s="500"/>
      <c r="AA4881" s="500"/>
      <c r="AB4881" s="500"/>
      <c r="AC4881" s="500"/>
      <c r="AD4881" s="500"/>
      <c r="AE4881" s="500"/>
      <c r="AF4881" s="500"/>
      <c r="AG4881" s="500"/>
      <c r="AH4881" s="500"/>
      <c r="AI4881" s="500"/>
      <c r="AJ4881" s="500"/>
      <c r="AK4881" s="500"/>
      <c r="AL4881" s="500"/>
      <c r="AM4881" s="500"/>
      <c r="AN4881" s="500"/>
      <c r="AO4881" s="500"/>
      <c r="AP4881" s="500"/>
    </row>
    <row r="4882" spans="1:42" ht="16.5" customHeight="1">
      <c r="A4882" s="439"/>
      <c r="B4882" s="439"/>
      <c r="C4882" s="439"/>
      <c r="D4882" s="439"/>
      <c r="E4882" s="439"/>
      <c r="F4882" s="439"/>
      <c r="G4882" s="451" t="s">
        <v>3406</v>
      </c>
      <c r="Z4882" s="500"/>
      <c r="AA4882" s="500"/>
      <c r="AB4882" s="500"/>
      <c r="AC4882" s="500"/>
      <c r="AD4882" s="500"/>
      <c r="AE4882" s="500"/>
      <c r="AF4882" s="500"/>
      <c r="AG4882" s="500"/>
      <c r="AH4882" s="500"/>
      <c r="AI4882" s="500"/>
      <c r="AJ4882" s="500"/>
      <c r="AK4882" s="500"/>
      <c r="AL4882" s="500"/>
      <c r="AM4882" s="500"/>
      <c r="AN4882" s="500"/>
      <c r="AO4882" s="500"/>
      <c r="AP4882" s="500"/>
    </row>
    <row r="4883" spans="1:42" ht="16.5" customHeight="1">
      <c r="A4883" s="434"/>
      <c r="B4883" s="437" t="s">
        <v>3440</v>
      </c>
      <c r="C4883" s="513">
        <f>E4883+D4883+F4883</f>
        <v>15755.800000000001</v>
      </c>
      <c r="D4883" s="513">
        <f>SUMIF(N4857:N4882,M4883,D4857:D4882)</f>
        <v>15296.900000000001</v>
      </c>
      <c r="E4883" s="513">
        <f>SUMIF(N4857:N4882,M4883,E4857:E4882)</f>
        <v>0</v>
      </c>
      <c r="F4883" s="513">
        <f>SUMIF(N4857:N4882,M4883,F4857:F4882)</f>
        <v>458.9</v>
      </c>
      <c r="G4883" s="451" t="s">
        <v>3484</v>
      </c>
      <c r="M4883" s="501" t="s">
        <v>3421</v>
      </c>
      <c r="N4883" s="501" t="s">
        <v>2354</v>
      </c>
      <c r="Z4883" s="500"/>
      <c r="AA4883" s="500"/>
      <c r="AB4883" s="500"/>
      <c r="AC4883" s="500"/>
      <c r="AD4883" s="500"/>
      <c r="AE4883" s="500"/>
      <c r="AF4883" s="500"/>
      <c r="AG4883" s="500"/>
      <c r="AH4883" s="500"/>
      <c r="AI4883" s="500"/>
      <c r="AJ4883" s="500"/>
      <c r="AK4883" s="500"/>
      <c r="AL4883" s="500"/>
      <c r="AM4883" s="500"/>
      <c r="AN4883" s="500"/>
      <c r="AO4883" s="500"/>
      <c r="AP4883" s="500"/>
    </row>
    <row r="4884" spans="1:42" ht="16.5" customHeight="1">
      <c r="A4884" s="439"/>
      <c r="B4884" s="439"/>
      <c r="C4884" s="504"/>
      <c r="D4884" s="504"/>
      <c r="E4884" s="504"/>
      <c r="F4884" s="504"/>
      <c r="Z4884" s="500"/>
      <c r="AA4884" s="500"/>
      <c r="AB4884" s="500"/>
      <c r="AC4884" s="500"/>
      <c r="AD4884" s="500"/>
      <c r="AE4884" s="500"/>
      <c r="AF4884" s="500"/>
      <c r="AG4884" s="500"/>
      <c r="AH4884" s="500"/>
      <c r="AI4884" s="500"/>
      <c r="AJ4884" s="500"/>
      <c r="AK4884" s="500"/>
      <c r="AL4884" s="500"/>
      <c r="AM4884" s="500"/>
      <c r="AN4884" s="500"/>
      <c r="AO4884" s="500"/>
      <c r="AP4884" s="500"/>
    </row>
    <row r="4885" spans="1:42" ht="16.5" customHeight="1">
      <c r="A4885" s="439"/>
      <c r="B4885" s="439"/>
      <c r="C4885" s="439"/>
      <c r="D4885" s="439"/>
      <c r="E4885" s="439"/>
      <c r="F4885" s="439"/>
      <c r="Z4885" s="500"/>
      <c r="AA4885" s="500"/>
      <c r="AB4885" s="500"/>
      <c r="AC4885" s="500"/>
      <c r="AD4885" s="500"/>
      <c r="AE4885" s="500"/>
      <c r="AF4885" s="500"/>
      <c r="AG4885" s="500"/>
      <c r="AH4885" s="500"/>
      <c r="AI4885" s="500"/>
      <c r="AJ4885" s="500"/>
      <c r="AK4885" s="500"/>
      <c r="AL4885" s="500"/>
      <c r="AM4885" s="500"/>
      <c r="AN4885" s="500"/>
      <c r="AO4885" s="500"/>
      <c r="AP4885" s="500"/>
    </row>
    <row r="4886" spans="1:42" ht="16.5" customHeight="1">
      <c r="A4886" s="439"/>
      <c r="B4886" s="439"/>
      <c r="C4886" s="439"/>
      <c r="D4886" s="439"/>
      <c r="E4886" s="439"/>
      <c r="F4886" s="439"/>
      <c r="Z4886" s="500"/>
      <c r="AA4886" s="500"/>
      <c r="AB4886" s="500"/>
      <c r="AC4886" s="500"/>
      <c r="AD4886" s="500"/>
      <c r="AE4886" s="500"/>
      <c r="AF4886" s="500"/>
      <c r="AG4886" s="500"/>
      <c r="AH4886" s="500"/>
      <c r="AI4886" s="500"/>
      <c r="AJ4886" s="500"/>
      <c r="AK4886" s="500"/>
      <c r="AL4886" s="500"/>
      <c r="AM4886" s="500"/>
      <c r="AN4886" s="500"/>
      <c r="AO4886" s="500"/>
      <c r="AP4886" s="500"/>
    </row>
    <row r="4887" spans="1:42" ht="16.5" customHeight="1">
      <c r="A4887" s="439"/>
      <c r="B4887" s="439"/>
      <c r="C4887" s="439"/>
      <c r="D4887" s="439"/>
      <c r="E4887" s="439"/>
      <c r="F4887" s="439"/>
      <c r="Z4887" s="500"/>
      <c r="AA4887" s="500"/>
      <c r="AB4887" s="500"/>
      <c r="AC4887" s="500"/>
      <c r="AD4887" s="500"/>
      <c r="AE4887" s="500"/>
      <c r="AF4887" s="500"/>
      <c r="AG4887" s="500"/>
      <c r="AH4887" s="500"/>
      <c r="AI4887" s="500"/>
      <c r="AJ4887" s="500"/>
      <c r="AK4887" s="500"/>
      <c r="AL4887" s="500"/>
      <c r="AM4887" s="500"/>
      <c r="AN4887" s="500"/>
      <c r="AO4887" s="500"/>
      <c r="AP4887" s="500"/>
    </row>
    <row r="4888" spans="1:42" ht="16.5" customHeight="1">
      <c r="A4888" s="439"/>
      <c r="B4888" s="439"/>
      <c r="C4888" s="439"/>
      <c r="D4888" s="439"/>
      <c r="E4888" s="439"/>
      <c r="F4888" s="439"/>
      <c r="Z4888" s="500"/>
      <c r="AA4888" s="500"/>
      <c r="AB4888" s="500"/>
      <c r="AC4888" s="500"/>
      <c r="AD4888" s="500"/>
      <c r="AE4888" s="500"/>
      <c r="AF4888" s="500"/>
      <c r="AG4888" s="500"/>
      <c r="AH4888" s="500"/>
      <c r="AI4888" s="500"/>
      <c r="AJ4888" s="500"/>
      <c r="AK4888" s="500"/>
      <c r="AL4888" s="500"/>
      <c r="AM4888" s="500"/>
      <c r="AN4888" s="500"/>
      <c r="AO4888" s="500"/>
      <c r="AP4888" s="500"/>
    </row>
    <row r="4889" spans="1:42" ht="16.5" customHeight="1">
      <c r="A4889" s="439"/>
      <c r="B4889" s="439"/>
      <c r="C4889" s="439"/>
      <c r="D4889" s="439"/>
      <c r="E4889" s="439"/>
      <c r="F4889" s="439"/>
      <c r="Z4889" s="500"/>
      <c r="AA4889" s="500"/>
      <c r="AB4889" s="500"/>
      <c r="AC4889" s="500"/>
      <c r="AD4889" s="500"/>
      <c r="AE4889" s="500"/>
      <c r="AF4889" s="500"/>
      <c r="AG4889" s="500"/>
      <c r="AH4889" s="500"/>
      <c r="AI4889" s="500"/>
      <c r="AJ4889" s="500"/>
      <c r="AK4889" s="500"/>
      <c r="AL4889" s="500"/>
      <c r="AM4889" s="500"/>
      <c r="AN4889" s="500"/>
      <c r="AO4889" s="500"/>
      <c r="AP4889" s="500"/>
    </row>
    <row r="4890" spans="1:42" ht="16.5" customHeight="1">
      <c r="A4890" s="439"/>
      <c r="B4890" s="439"/>
      <c r="C4890" s="439"/>
      <c r="D4890" s="439"/>
      <c r="E4890" s="439"/>
      <c r="F4890" s="439"/>
      <c r="Z4890" s="500"/>
      <c r="AA4890" s="500"/>
      <c r="AB4890" s="500"/>
      <c r="AC4890" s="500"/>
      <c r="AD4890" s="500"/>
      <c r="AE4890" s="500"/>
      <c r="AF4890" s="500"/>
      <c r="AG4890" s="500"/>
      <c r="AH4890" s="500"/>
      <c r="AI4890" s="500"/>
      <c r="AJ4890" s="500"/>
      <c r="AK4890" s="500"/>
      <c r="AL4890" s="500"/>
      <c r="AM4890" s="500"/>
      <c r="AN4890" s="500"/>
      <c r="AO4890" s="500"/>
      <c r="AP4890" s="500"/>
    </row>
    <row r="4891" spans="1:42" ht="16.5" customHeight="1">
      <c r="A4891" s="439"/>
      <c r="B4891" s="439"/>
      <c r="C4891" s="439"/>
      <c r="D4891" s="439"/>
      <c r="E4891" s="439"/>
      <c r="F4891" s="439"/>
      <c r="Z4891" s="500"/>
      <c r="AA4891" s="500"/>
      <c r="AB4891" s="500"/>
      <c r="AC4891" s="500"/>
      <c r="AD4891" s="500"/>
      <c r="AE4891" s="500"/>
      <c r="AF4891" s="500"/>
      <c r="AG4891" s="500"/>
      <c r="AH4891" s="500"/>
      <c r="AI4891" s="500"/>
      <c r="AJ4891" s="500"/>
      <c r="AK4891" s="500"/>
      <c r="AL4891" s="500"/>
      <c r="AM4891" s="500"/>
      <c r="AN4891" s="500"/>
      <c r="AO4891" s="500"/>
      <c r="AP4891" s="500"/>
    </row>
    <row r="4892" spans="1:42" ht="16.5" customHeight="1">
      <c r="A4892" s="439"/>
      <c r="B4892" s="439"/>
      <c r="C4892" s="439"/>
      <c r="D4892" s="439"/>
      <c r="E4892" s="439"/>
      <c r="F4892" s="439"/>
      <c r="Z4892" s="500"/>
      <c r="AA4892" s="500"/>
      <c r="AB4892" s="500"/>
      <c r="AC4892" s="500"/>
      <c r="AD4892" s="500"/>
      <c r="AE4892" s="500"/>
      <c r="AF4892" s="500"/>
      <c r="AG4892" s="500"/>
      <c r="AH4892" s="500"/>
      <c r="AI4892" s="500"/>
      <c r="AJ4892" s="500"/>
      <c r="AK4892" s="500"/>
      <c r="AL4892" s="500"/>
      <c r="AM4892" s="500"/>
      <c r="AN4892" s="500"/>
      <c r="AO4892" s="500"/>
      <c r="AP4892" s="500"/>
    </row>
    <row r="4893" spans="1:42" ht="16.5" customHeight="1">
      <c r="A4893" s="439"/>
      <c r="B4893" s="439"/>
      <c r="C4893" s="439"/>
      <c r="D4893" s="439"/>
      <c r="E4893" s="439"/>
      <c r="F4893" s="439"/>
      <c r="Z4893" s="500"/>
      <c r="AA4893" s="500"/>
      <c r="AB4893" s="500"/>
      <c r="AC4893" s="500"/>
      <c r="AD4893" s="500"/>
      <c r="AE4893" s="500"/>
      <c r="AF4893" s="500"/>
      <c r="AG4893" s="500"/>
      <c r="AH4893" s="500"/>
      <c r="AI4893" s="500"/>
      <c r="AJ4893" s="500"/>
      <c r="AK4893" s="500"/>
      <c r="AL4893" s="500"/>
      <c r="AM4893" s="500"/>
      <c r="AN4893" s="500"/>
      <c r="AO4893" s="500"/>
      <c r="AP4893" s="500"/>
    </row>
    <row r="4894" spans="1:42" ht="16.5" customHeight="1">
      <c r="A4894" s="439"/>
      <c r="B4894" s="439"/>
      <c r="C4894" s="439"/>
      <c r="D4894" s="439"/>
      <c r="E4894" s="439"/>
      <c r="F4894" s="439"/>
      <c r="Z4894" s="500"/>
      <c r="AA4894" s="500"/>
      <c r="AB4894" s="500"/>
      <c r="AC4894" s="500"/>
      <c r="AD4894" s="500"/>
      <c r="AE4894" s="500"/>
      <c r="AF4894" s="500"/>
      <c r="AG4894" s="500"/>
      <c r="AH4894" s="500"/>
      <c r="AI4894" s="500"/>
      <c r="AJ4894" s="500"/>
      <c r="AK4894" s="500"/>
      <c r="AL4894" s="500"/>
      <c r="AM4894" s="500"/>
      <c r="AN4894" s="500"/>
      <c r="AO4894" s="500"/>
      <c r="AP4894" s="500"/>
    </row>
    <row r="4895" spans="1:42" ht="16.5" customHeight="1">
      <c r="A4895" s="439"/>
      <c r="B4895" s="439"/>
      <c r="C4895" s="439"/>
      <c r="D4895" s="439"/>
      <c r="E4895" s="439"/>
      <c r="F4895" s="439"/>
      <c r="Z4895" s="500"/>
      <c r="AA4895" s="500"/>
      <c r="AB4895" s="500"/>
      <c r="AC4895" s="500"/>
      <c r="AD4895" s="500"/>
      <c r="AE4895" s="500"/>
      <c r="AF4895" s="500"/>
      <c r="AG4895" s="500"/>
      <c r="AH4895" s="500"/>
      <c r="AI4895" s="500"/>
      <c r="AJ4895" s="500"/>
      <c r="AK4895" s="500"/>
      <c r="AL4895" s="500"/>
      <c r="AM4895" s="500"/>
      <c r="AN4895" s="500"/>
      <c r="AO4895" s="500"/>
      <c r="AP4895" s="500"/>
    </row>
    <row r="4896" spans="1:42" ht="16.5" customHeight="1">
      <c r="A4896" s="439"/>
      <c r="B4896" s="439"/>
      <c r="C4896" s="439"/>
      <c r="D4896" s="439"/>
      <c r="E4896" s="439"/>
      <c r="F4896" s="439"/>
      <c r="Z4896" s="500"/>
      <c r="AA4896" s="500"/>
      <c r="AB4896" s="500"/>
      <c r="AC4896" s="500"/>
      <c r="AD4896" s="500"/>
      <c r="AE4896" s="500"/>
      <c r="AF4896" s="500"/>
      <c r="AG4896" s="500"/>
      <c r="AH4896" s="500"/>
      <c r="AI4896" s="500"/>
      <c r="AJ4896" s="500"/>
      <c r="AK4896" s="500"/>
      <c r="AL4896" s="500"/>
      <c r="AM4896" s="500"/>
      <c r="AN4896" s="500"/>
      <c r="AO4896" s="500"/>
      <c r="AP4896" s="500"/>
    </row>
    <row r="4897" spans="1:42" ht="16.5" customHeight="1">
      <c r="A4897" s="439"/>
      <c r="B4897" s="439"/>
      <c r="C4897" s="439"/>
      <c r="D4897" s="439"/>
      <c r="E4897" s="439"/>
      <c r="F4897" s="439"/>
      <c r="Z4897" s="500"/>
      <c r="AA4897" s="500"/>
      <c r="AB4897" s="500"/>
      <c r="AC4897" s="500"/>
      <c r="AD4897" s="500"/>
      <c r="AE4897" s="500"/>
      <c r="AF4897" s="500"/>
      <c r="AG4897" s="500"/>
      <c r="AH4897" s="500"/>
      <c r="AI4897" s="500"/>
      <c r="AJ4897" s="500"/>
      <c r="AK4897" s="500"/>
      <c r="AL4897" s="500"/>
      <c r="AM4897" s="500"/>
      <c r="AN4897" s="500"/>
      <c r="AO4897" s="500"/>
      <c r="AP4897" s="500"/>
    </row>
    <row r="4898" spans="1:42" ht="16.5" customHeight="1">
      <c r="A4898" s="439"/>
      <c r="B4898" s="439"/>
      <c r="C4898" s="439"/>
      <c r="D4898" s="439"/>
      <c r="E4898" s="439"/>
      <c r="F4898" s="439"/>
      <c r="Z4898" s="500"/>
      <c r="AA4898" s="500"/>
      <c r="AB4898" s="500"/>
      <c r="AC4898" s="500"/>
      <c r="AD4898" s="500"/>
      <c r="AE4898" s="500"/>
      <c r="AF4898" s="500"/>
      <c r="AG4898" s="500"/>
      <c r="AH4898" s="500"/>
      <c r="AI4898" s="500"/>
      <c r="AJ4898" s="500"/>
      <c r="AK4898" s="500"/>
      <c r="AL4898" s="500"/>
      <c r="AM4898" s="500"/>
      <c r="AN4898" s="500"/>
      <c r="AO4898" s="500"/>
      <c r="AP4898" s="500"/>
    </row>
    <row r="4899" spans="1:42" ht="16.5" customHeight="1">
      <c r="A4899" s="439"/>
      <c r="B4899" s="439"/>
      <c r="C4899" s="439"/>
      <c r="D4899" s="439"/>
      <c r="E4899" s="439"/>
      <c r="F4899" s="439"/>
      <c r="Z4899" s="500"/>
      <c r="AA4899" s="500"/>
      <c r="AB4899" s="500"/>
      <c r="AC4899" s="500"/>
      <c r="AD4899" s="500"/>
      <c r="AE4899" s="500"/>
      <c r="AF4899" s="500"/>
      <c r="AG4899" s="500"/>
      <c r="AH4899" s="500"/>
      <c r="AI4899" s="500"/>
      <c r="AJ4899" s="500"/>
      <c r="AK4899" s="500"/>
      <c r="AL4899" s="500"/>
      <c r="AM4899" s="500"/>
      <c r="AN4899" s="500"/>
      <c r="AO4899" s="500"/>
      <c r="AP4899" s="500"/>
    </row>
    <row r="4900" spans="1:42" ht="16.5" customHeight="1">
      <c r="A4900" s="439"/>
      <c r="B4900" s="439"/>
      <c r="C4900" s="439"/>
      <c r="D4900" s="439"/>
      <c r="E4900" s="439"/>
      <c r="F4900" s="439"/>
      <c r="Z4900" s="500"/>
      <c r="AA4900" s="500"/>
      <c r="AB4900" s="500"/>
      <c r="AC4900" s="500"/>
      <c r="AD4900" s="500"/>
      <c r="AE4900" s="500"/>
      <c r="AF4900" s="500"/>
      <c r="AG4900" s="500"/>
      <c r="AH4900" s="500"/>
      <c r="AI4900" s="500"/>
      <c r="AJ4900" s="500"/>
      <c r="AK4900" s="500"/>
      <c r="AL4900" s="500"/>
      <c r="AM4900" s="500"/>
      <c r="AN4900" s="500"/>
      <c r="AO4900" s="500"/>
      <c r="AP4900" s="500"/>
    </row>
    <row r="4901" spans="1:42" ht="16.5" customHeight="1">
      <c r="A4901" s="439"/>
      <c r="B4901" s="439"/>
      <c r="C4901" s="439"/>
      <c r="D4901" s="439"/>
      <c r="E4901" s="439"/>
      <c r="F4901" s="439"/>
      <c r="Z4901" s="500"/>
      <c r="AA4901" s="500"/>
      <c r="AB4901" s="500"/>
      <c r="AC4901" s="500"/>
      <c r="AD4901" s="500"/>
      <c r="AE4901" s="500"/>
      <c r="AF4901" s="500"/>
      <c r="AG4901" s="500"/>
      <c r="AH4901" s="500"/>
      <c r="AI4901" s="500"/>
      <c r="AJ4901" s="500"/>
      <c r="AK4901" s="500"/>
      <c r="AL4901" s="500"/>
      <c r="AM4901" s="500"/>
      <c r="AN4901" s="500"/>
      <c r="AO4901" s="500"/>
      <c r="AP4901" s="500"/>
    </row>
    <row r="4902" spans="1:42" ht="16.5" customHeight="1">
      <c r="A4902" s="439"/>
      <c r="B4902" s="439"/>
      <c r="C4902" s="439"/>
      <c r="D4902" s="439"/>
      <c r="E4902" s="439"/>
      <c r="F4902" s="439"/>
      <c r="Z4902" s="500"/>
      <c r="AA4902" s="500"/>
      <c r="AB4902" s="500"/>
      <c r="AC4902" s="500"/>
      <c r="AD4902" s="500"/>
      <c r="AE4902" s="500"/>
      <c r="AF4902" s="500"/>
      <c r="AG4902" s="500"/>
      <c r="AH4902" s="500"/>
      <c r="AI4902" s="500"/>
      <c r="AJ4902" s="500"/>
      <c r="AK4902" s="500"/>
      <c r="AL4902" s="500"/>
      <c r="AM4902" s="500"/>
      <c r="AN4902" s="500"/>
      <c r="AO4902" s="500"/>
      <c r="AP4902" s="500"/>
    </row>
    <row r="4903" spans="1:42" ht="16.5" customHeight="1">
      <c r="A4903" s="497"/>
      <c r="B4903" s="497"/>
      <c r="C4903" s="497"/>
      <c r="D4903" s="497"/>
      <c r="E4903" s="497"/>
      <c r="F4903" s="497"/>
      <c r="Z4903" s="500"/>
      <c r="AA4903" s="500"/>
      <c r="AB4903" s="500"/>
      <c r="AC4903" s="500"/>
      <c r="AD4903" s="500"/>
      <c r="AE4903" s="500"/>
      <c r="AF4903" s="500"/>
      <c r="AG4903" s="500"/>
      <c r="AH4903" s="500"/>
      <c r="AI4903" s="500"/>
      <c r="AJ4903" s="500"/>
      <c r="AK4903" s="500"/>
      <c r="AL4903" s="500"/>
      <c r="AM4903" s="500"/>
      <c r="AN4903" s="500"/>
      <c r="AO4903" s="500"/>
      <c r="AP4903" s="500"/>
    </row>
    <row r="4904" spans="1:42" ht="16.5" customHeight="1">
      <c r="A4904" s="616" t="s">
        <v>3487</v>
      </c>
      <c r="B4904" s="605"/>
      <c r="C4904" s="446">
        <f>E4904+D4904+F4904</f>
        <v>15754</v>
      </c>
      <c r="D4904" s="453">
        <f>ROUNDDOWN(SUMIF(N4857:N4883,M4904,D4857:D4883),0)</f>
        <v>15296</v>
      </c>
      <c r="E4904" s="454">
        <f>ROUNDDOWN(SUMIF(N4857:N4883,M4904,E4857:E4883),0)</f>
        <v>0</v>
      </c>
      <c r="F4904" s="446">
        <f>ROUNDDOWN(SUMIF(N4857:N4883,M4904,F4857:F4883),0)</f>
        <v>458</v>
      </c>
      <c r="M4904" s="501" t="s">
        <v>2354</v>
      </c>
      <c r="Z4904" s="500"/>
      <c r="AA4904" s="500"/>
      <c r="AB4904" s="500"/>
      <c r="AC4904" s="500"/>
      <c r="AD4904" s="500"/>
      <c r="AE4904" s="500"/>
      <c r="AF4904" s="500"/>
      <c r="AG4904" s="500"/>
      <c r="AH4904" s="500"/>
      <c r="AI4904" s="500"/>
      <c r="AJ4904" s="500"/>
      <c r="AK4904" s="500"/>
      <c r="AL4904" s="500"/>
      <c r="AM4904" s="500"/>
      <c r="AN4904" s="500"/>
      <c r="AO4904" s="500"/>
      <c r="AP4904" s="500"/>
    </row>
    <row r="4905" spans="1:42" ht="16.5" customHeight="1">
      <c r="A4905" s="502" t="s">
        <v>3371</v>
      </c>
      <c r="B4905" s="503" t="s">
        <v>1974</v>
      </c>
      <c r="C4905" s="615">
        <f>C4954</f>
        <v>27572</v>
      </c>
      <c r="D4905" s="615">
        <f>D4954</f>
        <v>26769</v>
      </c>
      <c r="E4905" s="615">
        <f>E4954</f>
        <v>0</v>
      </c>
      <c r="F4905" s="615">
        <f>F4954</f>
        <v>803</v>
      </c>
      <c r="G4905" s="486" t="str">
        <f>HYPERLINK("#G"&amp;ROW(G4933),"_x0005_`BDCOD|D01280_x0007_`POSS|"&amp;ROW(G4907)&amp;"_x0007_`POSE|"&amp;ROW(G4933)&amp;"_x0007_`")</f>
        <v>_x0005_`BDCOD|D01280_x0007_`POSS|4907_x0007_`POSE|4933_x0007_`</v>
      </c>
      <c r="Z4905" s="500"/>
      <c r="AA4905" s="500"/>
      <c r="AB4905" s="500"/>
      <c r="AC4905" s="500"/>
      <c r="AD4905" s="500"/>
      <c r="AE4905" s="500"/>
      <c r="AF4905" s="500"/>
      <c r="AG4905" s="500"/>
      <c r="AH4905" s="500"/>
      <c r="AI4905" s="500"/>
      <c r="AJ4905" s="500"/>
      <c r="AK4905" s="500"/>
      <c r="AL4905" s="500"/>
      <c r="AM4905" s="500"/>
      <c r="AN4905" s="500"/>
      <c r="AO4905" s="500"/>
      <c r="AP4905" s="500"/>
    </row>
    <row r="4906" spans="1:42" ht="16.5" customHeight="1">
      <c r="A4906" s="485"/>
      <c r="B4906" s="503" t="s">
        <v>3971</v>
      </c>
      <c r="C4906" s="593"/>
      <c r="D4906" s="593"/>
      <c r="E4906" s="593"/>
      <c r="F4906" s="593"/>
      <c r="M4906" s="501" t="s">
        <v>1974</v>
      </c>
      <c r="Z4906" s="500"/>
      <c r="AA4906" s="500"/>
      <c r="AB4906" s="500"/>
      <c r="AC4906" s="500"/>
      <c r="AD4906" s="500"/>
      <c r="AE4906" s="500"/>
      <c r="AF4906" s="500"/>
      <c r="AG4906" s="500"/>
      <c r="AH4906" s="500"/>
      <c r="AI4906" s="500"/>
      <c r="AJ4906" s="500"/>
      <c r="AK4906" s="500"/>
      <c r="AL4906" s="500"/>
      <c r="AM4906" s="500"/>
      <c r="AN4906" s="500"/>
      <c r="AO4906" s="500"/>
      <c r="AP4906" s="500"/>
    </row>
    <row r="4907" spans="1:42" ht="16.5" customHeight="1">
      <c r="A4907" s="439"/>
      <c r="B4907" s="439"/>
      <c r="C4907" s="504"/>
      <c r="D4907" s="504"/>
      <c r="E4907" s="504"/>
      <c r="F4907" s="504"/>
      <c r="G4907" s="451" t="s">
        <v>3406</v>
      </c>
      <c r="Z4907" s="500"/>
      <c r="AA4907" s="500"/>
      <c r="AB4907" s="500"/>
      <c r="AC4907" s="500"/>
      <c r="AD4907" s="500"/>
      <c r="AE4907" s="500"/>
      <c r="AF4907" s="500"/>
      <c r="AG4907" s="500"/>
      <c r="AH4907" s="500"/>
      <c r="AI4907" s="500"/>
      <c r="AJ4907" s="500"/>
      <c r="AK4907" s="500"/>
      <c r="AL4907" s="500"/>
      <c r="AM4907" s="500"/>
      <c r="AN4907" s="500"/>
      <c r="AO4907" s="500"/>
      <c r="AP4907" s="500"/>
    </row>
    <row r="4908" spans="1:42" ht="16.5" customHeight="1">
      <c r="A4908" s="434"/>
      <c r="B4908" s="437" t="s">
        <v>3972</v>
      </c>
      <c r="C4908" s="439"/>
      <c r="D4908" s="439"/>
      <c r="E4908" s="439"/>
      <c r="F4908" s="439"/>
      <c r="G4908" s="451" t="s">
        <v>3973</v>
      </c>
      <c r="Z4908" s="500"/>
      <c r="AA4908" s="500"/>
      <c r="AB4908" s="500"/>
      <c r="AC4908" s="500"/>
      <c r="AD4908" s="500"/>
      <c r="AE4908" s="500"/>
      <c r="AF4908" s="500"/>
      <c r="AG4908" s="500"/>
      <c r="AH4908" s="500"/>
      <c r="AI4908" s="500"/>
      <c r="AJ4908" s="500"/>
      <c r="AK4908" s="500"/>
      <c r="AL4908" s="500"/>
      <c r="AM4908" s="500"/>
      <c r="AN4908" s="500"/>
      <c r="AO4908" s="500"/>
      <c r="AP4908" s="500"/>
    </row>
    <row r="4909" spans="1:42" ht="16.5" customHeight="1">
      <c r="A4909" s="439"/>
      <c r="B4909" s="439"/>
      <c r="C4909" s="439"/>
      <c r="D4909" s="439"/>
      <c r="E4909" s="439"/>
      <c r="F4909" s="439"/>
      <c r="G4909" s="451" t="s">
        <v>3406</v>
      </c>
      <c r="Z4909" s="500"/>
      <c r="AA4909" s="500"/>
      <c r="AB4909" s="500"/>
      <c r="AC4909" s="500"/>
      <c r="AD4909" s="500"/>
      <c r="AE4909" s="500"/>
      <c r="AF4909" s="500"/>
      <c r="AG4909" s="500"/>
      <c r="AH4909" s="500"/>
      <c r="AI4909" s="500"/>
      <c r="AJ4909" s="500"/>
      <c r="AK4909" s="500"/>
      <c r="AL4909" s="500"/>
      <c r="AM4909" s="500"/>
      <c r="AN4909" s="500"/>
      <c r="AO4909" s="500"/>
      <c r="AP4909" s="500"/>
    </row>
    <row r="4910" spans="1:42" ht="16.5" customHeight="1">
      <c r="A4910" s="434"/>
      <c r="B4910" s="437" t="s">
        <v>3907</v>
      </c>
      <c r="C4910" s="439"/>
      <c r="D4910" s="439"/>
      <c r="E4910" s="439"/>
      <c r="F4910" s="439"/>
      <c r="G4910" s="451" t="s">
        <v>3908</v>
      </c>
      <c r="Z4910" s="500"/>
      <c r="AA4910" s="500"/>
      <c r="AB4910" s="500"/>
      <c r="AC4910" s="500"/>
      <c r="AD4910" s="500"/>
      <c r="AE4910" s="500"/>
      <c r="AF4910" s="500"/>
      <c r="AG4910" s="500"/>
      <c r="AH4910" s="500"/>
      <c r="AI4910" s="500"/>
      <c r="AJ4910" s="500"/>
      <c r="AK4910" s="500"/>
      <c r="AL4910" s="500"/>
      <c r="AM4910" s="500"/>
      <c r="AN4910" s="500"/>
      <c r="AO4910" s="500"/>
      <c r="AP4910" s="500"/>
    </row>
    <row r="4911" spans="1:42" ht="16.5" customHeight="1">
      <c r="A4911" s="439"/>
      <c r="B4911" s="439"/>
      <c r="C4911" s="439"/>
      <c r="D4911" s="439"/>
      <c r="E4911" s="439"/>
      <c r="F4911" s="439"/>
      <c r="G4911" s="451" t="s">
        <v>3406</v>
      </c>
      <c r="Z4911" s="500"/>
      <c r="AA4911" s="500"/>
      <c r="AB4911" s="500"/>
      <c r="AC4911" s="500"/>
      <c r="AD4911" s="500"/>
      <c r="AE4911" s="500"/>
      <c r="AF4911" s="500"/>
      <c r="AG4911" s="500"/>
      <c r="AH4911" s="500"/>
      <c r="AI4911" s="500"/>
      <c r="AJ4911" s="500"/>
      <c r="AK4911" s="500"/>
      <c r="AL4911" s="500"/>
      <c r="AM4911" s="500"/>
      <c r="AN4911" s="500"/>
      <c r="AO4911" s="500"/>
      <c r="AP4911" s="500"/>
    </row>
    <row r="4912" spans="1:42" ht="16.5" customHeight="1">
      <c r="A4912" s="434"/>
      <c r="B4912" s="437" t="s">
        <v>3955</v>
      </c>
      <c r="C4912" s="439"/>
      <c r="D4912" s="439"/>
      <c r="E4912" s="439"/>
      <c r="F4912" s="439"/>
      <c r="G4912" s="451" t="s">
        <v>3956</v>
      </c>
      <c r="Z4912" s="500"/>
      <c r="AA4912" s="500"/>
      <c r="AB4912" s="500"/>
      <c r="AC4912" s="500"/>
      <c r="AD4912" s="500"/>
      <c r="AE4912" s="500"/>
      <c r="AF4912" s="500"/>
      <c r="AG4912" s="500"/>
      <c r="AH4912" s="500"/>
      <c r="AI4912" s="500"/>
      <c r="AJ4912" s="500"/>
      <c r="AK4912" s="500"/>
      <c r="AL4912" s="500"/>
      <c r="AM4912" s="500"/>
      <c r="AN4912" s="500"/>
      <c r="AO4912" s="500"/>
      <c r="AP4912" s="500"/>
    </row>
    <row r="4913" spans="1:42" ht="16.5" customHeight="1">
      <c r="A4913" s="439"/>
      <c r="B4913" s="439"/>
      <c r="C4913" s="439"/>
      <c r="D4913" s="439"/>
      <c r="E4913" s="439"/>
      <c r="F4913" s="439"/>
      <c r="G4913" s="451" t="s">
        <v>3406</v>
      </c>
      <c r="Z4913" s="500"/>
      <c r="AA4913" s="500"/>
      <c r="AB4913" s="500"/>
      <c r="AC4913" s="500"/>
      <c r="AD4913" s="500"/>
      <c r="AE4913" s="500"/>
      <c r="AF4913" s="500"/>
      <c r="AG4913" s="500"/>
      <c r="AH4913" s="500"/>
      <c r="AI4913" s="500"/>
      <c r="AJ4913" s="500"/>
      <c r="AK4913" s="500"/>
      <c r="AL4913" s="500"/>
      <c r="AM4913" s="500"/>
      <c r="AN4913" s="500"/>
      <c r="AO4913" s="500"/>
      <c r="AP4913" s="500"/>
    </row>
    <row r="4914" spans="1:42" ht="16.5" customHeight="1">
      <c r="A4914" s="434"/>
      <c r="B4914" s="437" t="str">
        <f>" 일당 작업량 :  Q1 = "&amp;Z4914&amp;" 주 "</f>
        <v xml:space="preserve"> 일당 작업량 :  Q1 = 24 주 </v>
      </c>
      <c r="C4914" s="439"/>
      <c r="D4914" s="439"/>
      <c r="E4914" s="439"/>
      <c r="F4914" s="439"/>
      <c r="G4914" s="451" t="s">
        <v>3974</v>
      </c>
      <c r="Z4914" s="515">
        <v>24</v>
      </c>
      <c r="AA4914" s="501" t="s">
        <v>3418</v>
      </c>
      <c r="AB4914" s="512">
        <f>Z4914</f>
        <v>24</v>
      </c>
      <c r="AC4914" s="500"/>
      <c r="AD4914" s="500"/>
      <c r="AE4914" s="500"/>
      <c r="AF4914" s="500"/>
      <c r="AG4914" s="500"/>
      <c r="AH4914" s="500"/>
      <c r="AI4914" s="500"/>
      <c r="AJ4914" s="500"/>
      <c r="AK4914" s="500"/>
      <c r="AL4914" s="500"/>
      <c r="AM4914" s="500"/>
      <c r="AN4914" s="500"/>
      <c r="AO4914" s="500"/>
      <c r="AP4914" s="500"/>
    </row>
    <row r="4915" spans="1:42" ht="16.5" customHeight="1">
      <c r="A4915" s="439"/>
      <c r="B4915" s="439"/>
      <c r="C4915" s="439"/>
      <c r="D4915" s="439"/>
      <c r="E4915" s="439"/>
      <c r="F4915" s="439"/>
      <c r="G4915" s="451" t="s">
        <v>3406</v>
      </c>
      <c r="Z4915" s="500"/>
      <c r="AA4915" s="500"/>
      <c r="AB4915" s="500"/>
      <c r="AC4915" s="500"/>
      <c r="AD4915" s="500"/>
      <c r="AE4915" s="500"/>
      <c r="AF4915" s="500"/>
      <c r="AG4915" s="500"/>
      <c r="AH4915" s="500"/>
      <c r="AI4915" s="500"/>
      <c r="AJ4915" s="500"/>
      <c r="AK4915" s="500"/>
      <c r="AL4915" s="500"/>
      <c r="AM4915" s="500"/>
      <c r="AN4915" s="500"/>
      <c r="AO4915" s="500"/>
      <c r="AP4915" s="500"/>
    </row>
    <row r="4916" spans="1:42" ht="16.5" customHeight="1">
      <c r="A4916" s="434"/>
      <c r="B4916" s="437" t="s">
        <v>3958</v>
      </c>
      <c r="C4916" s="439"/>
      <c r="D4916" s="439"/>
      <c r="E4916" s="439"/>
      <c r="F4916" s="439"/>
      <c r="G4916" s="451" t="s">
        <v>3959</v>
      </c>
      <c r="Z4916" s="500"/>
      <c r="AA4916" s="500"/>
      <c r="AB4916" s="500"/>
      <c r="AC4916" s="500"/>
      <c r="AD4916" s="500"/>
      <c r="AE4916" s="500"/>
      <c r="AF4916" s="500"/>
      <c r="AG4916" s="500"/>
      <c r="AH4916" s="500"/>
      <c r="AI4916" s="500"/>
      <c r="AJ4916" s="500"/>
      <c r="AK4916" s="500"/>
      <c r="AL4916" s="500"/>
      <c r="AM4916" s="500"/>
      <c r="AN4916" s="500"/>
      <c r="AO4916" s="500"/>
      <c r="AP4916" s="500"/>
    </row>
    <row r="4917" spans="1:42" ht="16.5" customHeight="1">
      <c r="A4917" s="439"/>
      <c r="B4917" s="439"/>
      <c r="C4917" s="439"/>
      <c r="D4917" s="439"/>
      <c r="E4917" s="439"/>
      <c r="F4917" s="439"/>
      <c r="G4917" s="451" t="s">
        <v>3406</v>
      </c>
      <c r="Z4917" s="500"/>
      <c r="AA4917" s="500"/>
      <c r="AB4917" s="500"/>
      <c r="AC4917" s="500"/>
      <c r="AD4917" s="500"/>
      <c r="AE4917" s="500"/>
      <c r="AF4917" s="500"/>
      <c r="AG4917" s="500"/>
      <c r="AH4917" s="500"/>
      <c r="AI4917" s="500"/>
      <c r="AJ4917" s="500"/>
      <c r="AK4917" s="500"/>
      <c r="AL4917" s="500"/>
      <c r="AM4917" s="500"/>
      <c r="AN4917" s="500"/>
      <c r="AO4917" s="500"/>
      <c r="AP4917" s="500"/>
    </row>
    <row r="4918" spans="1:42" ht="16.5" customHeight="1">
      <c r="A4918" s="439"/>
      <c r="B4918" s="439"/>
      <c r="C4918" s="439"/>
      <c r="D4918" s="439"/>
      <c r="E4918" s="439"/>
      <c r="F4918" s="439"/>
      <c r="G4918" s="451" t="s">
        <v>3406</v>
      </c>
      <c r="Z4918" s="500"/>
      <c r="AA4918" s="500"/>
      <c r="AB4918" s="500"/>
      <c r="AC4918" s="500"/>
      <c r="AD4918" s="500"/>
      <c r="AE4918" s="500"/>
      <c r="AF4918" s="500"/>
      <c r="AG4918" s="500"/>
      <c r="AH4918" s="500"/>
      <c r="AI4918" s="500"/>
      <c r="AJ4918" s="500"/>
      <c r="AK4918" s="500"/>
      <c r="AL4918" s="500"/>
      <c r="AM4918" s="500"/>
      <c r="AN4918" s="500"/>
      <c r="AO4918" s="500"/>
      <c r="AP4918" s="500"/>
    </row>
    <row r="4919" spans="1:42" ht="16.5" customHeight="1">
      <c r="A4919" s="434"/>
      <c r="B4919" s="437" t="s">
        <v>3496</v>
      </c>
      <c r="C4919" s="439"/>
      <c r="D4919" s="439"/>
      <c r="E4919" s="439"/>
      <c r="F4919" s="439"/>
      <c r="G4919" s="451" t="s">
        <v>3497</v>
      </c>
      <c r="Z4919" s="500"/>
      <c r="AA4919" s="500"/>
      <c r="AB4919" s="500"/>
      <c r="AC4919" s="500"/>
      <c r="AD4919" s="500"/>
      <c r="AE4919" s="500"/>
      <c r="AF4919" s="500"/>
      <c r="AG4919" s="500"/>
      <c r="AH4919" s="500"/>
      <c r="AI4919" s="500"/>
      <c r="AJ4919" s="500"/>
      <c r="AK4919" s="500"/>
      <c r="AL4919" s="500"/>
      <c r="AM4919" s="500"/>
      <c r="AN4919" s="500"/>
      <c r="AO4919" s="500"/>
      <c r="AP4919" s="500"/>
    </row>
    <row r="4920" spans="1:42" ht="16.5" customHeight="1">
      <c r="A4920" s="439"/>
      <c r="B4920" s="439"/>
      <c r="C4920" s="439"/>
      <c r="D4920" s="439"/>
      <c r="E4920" s="439"/>
      <c r="F4920" s="439"/>
      <c r="G4920" s="451" t="s">
        <v>3406</v>
      </c>
      <c r="Z4920" s="500"/>
      <c r="AA4920" s="500"/>
      <c r="AB4920" s="500"/>
      <c r="AC4920" s="500"/>
      <c r="AD4920" s="500"/>
      <c r="AE4920" s="500"/>
      <c r="AF4920" s="500"/>
      <c r="AG4920" s="500"/>
      <c r="AH4920" s="500"/>
      <c r="AI4920" s="500"/>
      <c r="AJ4920" s="500"/>
      <c r="AK4920" s="500"/>
      <c r="AL4920" s="500"/>
      <c r="AM4920" s="500"/>
      <c r="AN4920" s="500"/>
      <c r="AO4920" s="500"/>
      <c r="AP4920" s="500"/>
    </row>
    <row r="4921" spans="1:42" ht="16.5" customHeight="1">
      <c r="A4921" s="434" t="s">
        <v>3498</v>
      </c>
      <c r="B4921" s="505" t="str">
        <f>" 조 경 공 : "&amp;TEXT(I4921,"#,##0"&amp;IF(I4921&lt;&gt;INT(I4921),".###",""))&amp;" * "&amp;AA4921&amp;" 인  / Q1 = "&amp;TEXT(C4921,"#,##0.0")&amp;" "</f>
        <v xml:space="preserve"> 조 경 공 : 235,204 * 2 인  / Q1 = 19,600.3 </v>
      </c>
      <c r="C4921" s="506">
        <f>E4921+D4921+F4921</f>
        <v>19600.3</v>
      </c>
      <c r="D4921" s="506">
        <f>IF(H4921=0,0,ROUNDDOWN(J4921*H4921,1))</f>
        <v>19600.3</v>
      </c>
      <c r="E4921" s="506">
        <f>IF(H4921=0,0,ROUNDDOWN(K4921*H4921,1))</f>
        <v>0</v>
      </c>
      <c r="F4921" s="506">
        <f>IF(H4921=0,0,ROUNDDOWN(L4921*H4921,1))</f>
        <v>0</v>
      </c>
      <c r="G4921" s="451" t="s">
        <v>3960</v>
      </c>
      <c r="H4921" s="507">
        <f>ROUNDUP(AE4921,14-LEN(ABS(INT(AE4921))))</f>
        <v>8.3333333333399998E-2</v>
      </c>
      <c r="I4921" s="508">
        <f>K4921+J4921+L4921</f>
        <v>235204</v>
      </c>
      <c r="J4921" s="509">
        <f>노무비목록표!E15</f>
        <v>235204</v>
      </c>
      <c r="M4921" s="501" t="s">
        <v>2359</v>
      </c>
      <c r="N4921" s="501" t="s">
        <v>3416</v>
      </c>
      <c r="O4921" s="501" t="s">
        <v>2355</v>
      </c>
      <c r="X4921" s="510" t="str">
        <f>노무비목록표!B15&amp;" / "&amp;노무비목록표!C15</f>
        <v xml:space="preserve">조경공 / </v>
      </c>
      <c r="Y4921" s="433" t="str">
        <f ca="1">HYPERLINK("#"&amp;노무비목록표!G2&amp;"!A"&amp;ROW(노무비목록표!A15),"L00184 →")</f>
        <v>L00184 →</v>
      </c>
      <c r="Z4921" s="501" t="s">
        <v>3500</v>
      </c>
      <c r="AA4921" s="515">
        <v>2</v>
      </c>
      <c r="AB4921" s="501" t="s">
        <v>3428</v>
      </c>
      <c r="AC4921" s="512">
        <f>AB4914</f>
        <v>24</v>
      </c>
      <c r="AD4921" s="501" t="s">
        <v>3418</v>
      </c>
      <c r="AE4921" s="512">
        <f>1*AA4921/AB4914</f>
        <v>8.3333333333333329E-2</v>
      </c>
      <c r="AF4921" s="500"/>
      <c r="AG4921" s="500"/>
      <c r="AH4921" s="500"/>
      <c r="AI4921" s="500"/>
      <c r="AJ4921" s="500"/>
      <c r="AK4921" s="500"/>
      <c r="AL4921" s="500"/>
      <c r="AM4921" s="500"/>
      <c r="AN4921" s="500"/>
      <c r="AO4921" s="500"/>
      <c r="AP4921" s="500"/>
    </row>
    <row r="4922" spans="1:42" ht="16.5" customHeight="1">
      <c r="A4922" s="439"/>
      <c r="B4922" s="439"/>
      <c r="C4922" s="439"/>
      <c r="D4922" s="439"/>
      <c r="E4922" s="439"/>
      <c r="F4922" s="439"/>
      <c r="G4922" s="451" t="s">
        <v>3406</v>
      </c>
      <c r="Z4922" s="500"/>
      <c r="AA4922" s="500"/>
      <c r="AB4922" s="500"/>
      <c r="AC4922" s="500"/>
      <c r="AD4922" s="500"/>
      <c r="AE4922" s="500"/>
      <c r="AF4922" s="500"/>
      <c r="AG4922" s="500"/>
      <c r="AH4922" s="500"/>
      <c r="AI4922" s="500"/>
      <c r="AJ4922" s="500"/>
      <c r="AK4922" s="500"/>
      <c r="AL4922" s="500"/>
      <c r="AM4922" s="500"/>
      <c r="AN4922" s="500"/>
      <c r="AO4922" s="500"/>
      <c r="AP4922" s="500"/>
    </row>
    <row r="4923" spans="1:42" ht="16.5" customHeight="1">
      <c r="A4923" s="434" t="s">
        <v>3414</v>
      </c>
      <c r="B4923" s="505" t="str">
        <f>" 보통인부 : "&amp;TEXT(I4923,"#,##0"&amp;IF(I4923&lt;&gt;INT(I4923),".###",""))&amp;" * "&amp;AA4923&amp;" 인  / Q1 = "&amp;TEXT(C4923,"#,##0.0")&amp;" "</f>
        <v xml:space="preserve"> 보통인부 : 172,068 * 1 인  / Q1 = 7,169.5 </v>
      </c>
      <c r="C4923" s="506">
        <f>E4923+D4923+F4923</f>
        <v>7169.5</v>
      </c>
      <c r="D4923" s="506">
        <f>IF(H4923=0,0,ROUNDDOWN(J4923*H4923,1))</f>
        <v>7169.5</v>
      </c>
      <c r="E4923" s="506">
        <f>IF(H4923=0,0,ROUNDDOWN(K4923*H4923,1))</f>
        <v>0</v>
      </c>
      <c r="F4923" s="506">
        <f>IF(H4923=0,0,ROUNDDOWN(L4923*H4923,1))</f>
        <v>0</v>
      </c>
      <c r="G4923" s="451" t="s">
        <v>3894</v>
      </c>
      <c r="H4923" s="507">
        <f>ROUNDUP(AE4923,14-LEN(ABS(INT(AE4923))))</f>
        <v>4.1666666666700006E-2</v>
      </c>
      <c r="I4923" s="508">
        <f>K4923+J4923+L4923</f>
        <v>172068</v>
      </c>
      <c r="J4923" s="509">
        <f>노무비목록표!E10</f>
        <v>172068</v>
      </c>
      <c r="M4923" s="501" t="s">
        <v>2363</v>
      </c>
      <c r="N4923" s="501" t="s">
        <v>3416</v>
      </c>
      <c r="O4923" s="501" t="s">
        <v>2355</v>
      </c>
      <c r="X4923" s="510" t="str">
        <f>노무비목록표!B10&amp;" / "&amp;노무비목록표!C10</f>
        <v xml:space="preserve">보통인부 / </v>
      </c>
      <c r="Y4923" s="433" t="str">
        <f ca="1">HYPERLINK("#"&amp;노무비목록표!G2&amp;"!A"&amp;ROW(노무비목록표!A10),"L00017 →")</f>
        <v>L00017 →</v>
      </c>
      <c r="Z4923" s="501" t="s">
        <v>3500</v>
      </c>
      <c r="AA4923" s="515">
        <v>1</v>
      </c>
      <c r="AB4923" s="501" t="s">
        <v>3428</v>
      </c>
      <c r="AC4923" s="512">
        <f>AB4914</f>
        <v>24</v>
      </c>
      <c r="AD4923" s="501" t="s">
        <v>3418</v>
      </c>
      <c r="AE4923" s="512">
        <f>1*AA4923/AB4914</f>
        <v>4.1666666666666664E-2</v>
      </c>
      <c r="AF4923" s="500"/>
      <c r="AG4923" s="500"/>
      <c r="AH4923" s="500"/>
      <c r="AI4923" s="500"/>
      <c r="AJ4923" s="500"/>
      <c r="AK4923" s="500"/>
      <c r="AL4923" s="500"/>
      <c r="AM4923" s="500"/>
      <c r="AN4923" s="500"/>
      <c r="AO4923" s="500"/>
      <c r="AP4923" s="500"/>
    </row>
    <row r="4924" spans="1:42" ht="16.5" customHeight="1">
      <c r="A4924" s="439"/>
      <c r="B4924" s="439"/>
      <c r="C4924" s="439"/>
      <c r="D4924" s="439"/>
      <c r="E4924" s="439"/>
      <c r="F4924" s="439"/>
      <c r="G4924" s="451" t="s">
        <v>3406</v>
      </c>
      <c r="Z4924" s="500"/>
      <c r="AA4924" s="500"/>
      <c r="AB4924" s="500"/>
      <c r="AC4924" s="500"/>
      <c r="AD4924" s="500"/>
      <c r="AE4924" s="500"/>
      <c r="AF4924" s="500"/>
      <c r="AG4924" s="500"/>
      <c r="AH4924" s="500"/>
      <c r="AI4924" s="500"/>
      <c r="AJ4924" s="500"/>
      <c r="AK4924" s="500"/>
      <c r="AL4924" s="500"/>
      <c r="AM4924" s="500"/>
      <c r="AN4924" s="500"/>
      <c r="AO4924" s="500"/>
      <c r="AP4924" s="500"/>
    </row>
    <row r="4925" spans="1:42" ht="16.5" customHeight="1">
      <c r="A4925" s="434"/>
      <c r="B4925" s="437" t="s">
        <v>3419</v>
      </c>
      <c r="C4925" s="513">
        <f>E4925+D4925+F4925</f>
        <v>26769.8</v>
      </c>
      <c r="D4925" s="513">
        <f>SUMIF(N4907:N4924,M4925,D4907:D4924)</f>
        <v>26769.8</v>
      </c>
      <c r="E4925" s="513">
        <f>SUMIF(N4907:N4924,M4925,E4907:E4924)</f>
        <v>0</v>
      </c>
      <c r="F4925" s="513">
        <f>SUMIF(N4907:N4924,M4925,F4907:F4924)</f>
        <v>0</v>
      </c>
      <c r="G4925" s="451" t="s">
        <v>3420</v>
      </c>
      <c r="M4925" s="501" t="s">
        <v>3416</v>
      </c>
      <c r="N4925" s="501" t="s">
        <v>3421</v>
      </c>
      <c r="Z4925" s="500"/>
      <c r="AA4925" s="500"/>
      <c r="AB4925" s="500"/>
      <c r="AC4925" s="500"/>
      <c r="AD4925" s="500"/>
      <c r="AE4925" s="500"/>
      <c r="AF4925" s="500"/>
      <c r="AG4925" s="500"/>
      <c r="AH4925" s="500"/>
      <c r="AI4925" s="500"/>
      <c r="AJ4925" s="500"/>
      <c r="AK4925" s="500"/>
      <c r="AL4925" s="500"/>
      <c r="AM4925" s="500"/>
      <c r="AN4925" s="500"/>
      <c r="AO4925" s="500"/>
      <c r="AP4925" s="500"/>
    </row>
    <row r="4926" spans="1:42" ht="16.5" customHeight="1">
      <c r="A4926" s="439"/>
      <c r="B4926" s="439"/>
      <c r="C4926" s="504"/>
      <c r="D4926" s="504"/>
      <c r="E4926" s="504"/>
      <c r="F4926" s="504"/>
      <c r="G4926" s="451" t="s">
        <v>3406</v>
      </c>
      <c r="Z4926" s="500"/>
      <c r="AA4926" s="500"/>
      <c r="AB4926" s="500"/>
      <c r="AC4926" s="500"/>
      <c r="AD4926" s="500"/>
      <c r="AE4926" s="500"/>
      <c r="AF4926" s="500"/>
      <c r="AG4926" s="500"/>
      <c r="AH4926" s="500"/>
      <c r="AI4926" s="500"/>
      <c r="AJ4926" s="500"/>
      <c r="AK4926" s="500"/>
      <c r="AL4926" s="500"/>
      <c r="AM4926" s="500"/>
      <c r="AN4926" s="500"/>
      <c r="AO4926" s="500"/>
      <c r="AP4926" s="500"/>
    </row>
    <row r="4927" spans="1:42" ht="16.5" customHeight="1">
      <c r="A4927" s="439"/>
      <c r="B4927" s="439"/>
      <c r="C4927" s="439"/>
      <c r="D4927" s="439"/>
      <c r="E4927" s="439"/>
      <c r="F4927" s="439"/>
      <c r="G4927" s="451" t="s">
        <v>3406</v>
      </c>
      <c r="Z4927" s="500"/>
      <c r="AA4927" s="500"/>
      <c r="AB4927" s="500"/>
      <c r="AC4927" s="500"/>
      <c r="AD4927" s="500"/>
      <c r="AE4927" s="500"/>
      <c r="AF4927" s="500"/>
      <c r="AG4927" s="500"/>
      <c r="AH4927" s="500"/>
      <c r="AI4927" s="500"/>
      <c r="AJ4927" s="500"/>
      <c r="AK4927" s="500"/>
      <c r="AL4927" s="500"/>
      <c r="AM4927" s="500"/>
      <c r="AN4927" s="500"/>
      <c r="AO4927" s="500"/>
      <c r="AP4927" s="500"/>
    </row>
    <row r="4928" spans="1:42" ht="16.5" customHeight="1">
      <c r="A4928" s="434"/>
      <c r="B4928" s="505" t="str">
        <f>" 2. 기계경비(인력품의 3%) : "&amp;TEXT(I4928,"#,##0.0")&amp;" * "&amp;AA4928&amp;" %  = "&amp;TEXT(C4928,"#,##0.0")&amp;""</f>
        <v xml:space="preserve"> 2. 기계경비(인력품의 3%) : 26,769.8 * 3 %  = 803.0</v>
      </c>
      <c r="C4928" s="506">
        <f>E4928+D4928+F4928</f>
        <v>803</v>
      </c>
      <c r="D4928" s="506">
        <f>IF(H4928=0,0,ROUNDDOWN(J4928*H4928/100,1))</f>
        <v>0</v>
      </c>
      <c r="E4928" s="506">
        <f>IF(H4928=0,0,ROUNDDOWN(K4928*H4928/100,1))</f>
        <v>0</v>
      </c>
      <c r="F4928" s="506">
        <f>IF(H4928=0,0,ROUNDDOWN(L4928*H4928/100,1))</f>
        <v>803</v>
      </c>
      <c r="G4928" s="451" t="s">
        <v>3923</v>
      </c>
      <c r="H4928" s="507">
        <f>ROUNDUP(AC4928,14-LEN(ABS(INT(AC4928))))</f>
        <v>3</v>
      </c>
      <c r="I4928" s="508">
        <f>K4928+J4928+L4928</f>
        <v>26769.8</v>
      </c>
      <c r="J4928" s="456">
        <v>0</v>
      </c>
      <c r="K4928" s="456">
        <v>0</v>
      </c>
      <c r="L4928" s="509">
        <f>D4921+D4923</f>
        <v>26769.8</v>
      </c>
      <c r="M4928" s="501" t="s">
        <v>3743</v>
      </c>
      <c r="N4928" s="501" t="s">
        <v>3416</v>
      </c>
      <c r="Z4928" s="501" t="s">
        <v>3500</v>
      </c>
      <c r="AA4928" s="515">
        <v>3</v>
      </c>
      <c r="AB4928" s="501" t="s">
        <v>3418</v>
      </c>
      <c r="AC4928" s="512">
        <f>1*AA4928</f>
        <v>3</v>
      </c>
      <c r="AD4928" s="500"/>
      <c r="AE4928" s="500"/>
      <c r="AF4928" s="500"/>
      <c r="AG4928" s="500"/>
      <c r="AH4928" s="500"/>
      <c r="AI4928" s="500"/>
      <c r="AJ4928" s="500"/>
      <c r="AK4928" s="500"/>
      <c r="AL4928" s="500"/>
      <c r="AM4928" s="500"/>
      <c r="AN4928" s="500"/>
      <c r="AO4928" s="500"/>
      <c r="AP4928" s="500"/>
    </row>
    <row r="4929" spans="1:42" ht="16.5" customHeight="1">
      <c r="A4929" s="439"/>
      <c r="B4929" s="439"/>
      <c r="C4929" s="439"/>
      <c r="D4929" s="439"/>
      <c r="E4929" s="439"/>
      <c r="F4929" s="439"/>
      <c r="G4929" s="451" t="s">
        <v>3406</v>
      </c>
      <c r="Z4929" s="500"/>
      <c r="AA4929" s="500"/>
      <c r="AB4929" s="500"/>
      <c r="AC4929" s="500"/>
      <c r="AD4929" s="500"/>
      <c r="AE4929" s="500"/>
      <c r="AF4929" s="500"/>
      <c r="AG4929" s="500"/>
      <c r="AH4929" s="500"/>
      <c r="AI4929" s="500"/>
      <c r="AJ4929" s="500"/>
      <c r="AK4929" s="500"/>
      <c r="AL4929" s="500"/>
      <c r="AM4929" s="500"/>
      <c r="AN4929" s="500"/>
      <c r="AO4929" s="500"/>
      <c r="AP4929" s="500"/>
    </row>
    <row r="4930" spans="1:42" ht="16.5" customHeight="1">
      <c r="A4930" s="434"/>
      <c r="B4930" s="437" t="s">
        <v>3419</v>
      </c>
      <c r="C4930" s="513">
        <f>E4930+D4930+F4930</f>
        <v>803</v>
      </c>
      <c r="D4930" s="513">
        <f>SUMIF(N4926:N4929,M4930,D4926:D4929)</f>
        <v>0</v>
      </c>
      <c r="E4930" s="513">
        <f>SUMIF(N4926:N4929,M4930,E4926:E4929)</f>
        <v>0</v>
      </c>
      <c r="F4930" s="513">
        <f>SUMIF(N4926:N4929,M4930,F4926:F4929)</f>
        <v>803</v>
      </c>
      <c r="G4930" s="451" t="s">
        <v>3420</v>
      </c>
      <c r="M4930" s="501" t="s">
        <v>3416</v>
      </c>
      <c r="N4930" s="501" t="s">
        <v>3421</v>
      </c>
      <c r="Z4930" s="500"/>
      <c r="AA4930" s="500"/>
      <c r="AB4930" s="500"/>
      <c r="AC4930" s="500"/>
      <c r="AD4930" s="500"/>
      <c r="AE4930" s="500"/>
      <c r="AF4930" s="500"/>
      <c r="AG4930" s="500"/>
      <c r="AH4930" s="500"/>
      <c r="AI4930" s="500"/>
      <c r="AJ4930" s="500"/>
      <c r="AK4930" s="500"/>
      <c r="AL4930" s="500"/>
      <c r="AM4930" s="500"/>
      <c r="AN4930" s="500"/>
      <c r="AO4930" s="500"/>
      <c r="AP4930" s="500"/>
    </row>
    <row r="4931" spans="1:42" ht="16.5" customHeight="1">
      <c r="A4931" s="439"/>
      <c r="B4931" s="439"/>
      <c r="C4931" s="504"/>
      <c r="D4931" s="504"/>
      <c r="E4931" s="504"/>
      <c r="F4931" s="504"/>
      <c r="G4931" s="451" t="s">
        <v>3406</v>
      </c>
      <c r="Z4931" s="500"/>
      <c r="AA4931" s="500"/>
      <c r="AB4931" s="500"/>
      <c r="AC4931" s="500"/>
      <c r="AD4931" s="500"/>
      <c r="AE4931" s="500"/>
      <c r="AF4931" s="500"/>
      <c r="AG4931" s="500"/>
      <c r="AH4931" s="500"/>
      <c r="AI4931" s="500"/>
      <c r="AJ4931" s="500"/>
      <c r="AK4931" s="500"/>
      <c r="AL4931" s="500"/>
      <c r="AM4931" s="500"/>
      <c r="AN4931" s="500"/>
      <c r="AO4931" s="500"/>
      <c r="AP4931" s="500"/>
    </row>
    <row r="4932" spans="1:42" ht="16.5" customHeight="1">
      <c r="A4932" s="439"/>
      <c r="B4932" s="439"/>
      <c r="C4932" s="439"/>
      <c r="D4932" s="439"/>
      <c r="E4932" s="439"/>
      <c r="F4932" s="439"/>
      <c r="G4932" s="451" t="s">
        <v>3406</v>
      </c>
      <c r="Z4932" s="500"/>
      <c r="AA4932" s="500"/>
      <c r="AB4932" s="500"/>
      <c r="AC4932" s="500"/>
      <c r="AD4932" s="500"/>
      <c r="AE4932" s="500"/>
      <c r="AF4932" s="500"/>
      <c r="AG4932" s="500"/>
      <c r="AH4932" s="500"/>
      <c r="AI4932" s="500"/>
      <c r="AJ4932" s="500"/>
      <c r="AK4932" s="500"/>
      <c r="AL4932" s="500"/>
      <c r="AM4932" s="500"/>
      <c r="AN4932" s="500"/>
      <c r="AO4932" s="500"/>
      <c r="AP4932" s="500"/>
    </row>
    <row r="4933" spans="1:42" ht="16.5" customHeight="1">
      <c r="A4933" s="434"/>
      <c r="B4933" s="437" t="s">
        <v>3440</v>
      </c>
      <c r="C4933" s="513">
        <f>E4933+D4933+F4933</f>
        <v>27572.799999999999</v>
      </c>
      <c r="D4933" s="513">
        <f>SUMIF(N4907:N4932,M4933,D4907:D4932)</f>
        <v>26769.8</v>
      </c>
      <c r="E4933" s="513">
        <f>SUMIF(N4907:N4932,M4933,E4907:E4932)</f>
        <v>0</v>
      </c>
      <c r="F4933" s="513">
        <f>SUMIF(N4907:N4932,M4933,F4907:F4932)</f>
        <v>803</v>
      </c>
      <c r="G4933" s="451" t="s">
        <v>3484</v>
      </c>
      <c r="M4933" s="501" t="s">
        <v>3421</v>
      </c>
      <c r="N4933" s="501" t="s">
        <v>2354</v>
      </c>
      <c r="Z4933" s="500"/>
      <c r="AA4933" s="500"/>
      <c r="AB4933" s="500"/>
      <c r="AC4933" s="500"/>
      <c r="AD4933" s="500"/>
      <c r="AE4933" s="500"/>
      <c r="AF4933" s="500"/>
      <c r="AG4933" s="500"/>
      <c r="AH4933" s="500"/>
      <c r="AI4933" s="500"/>
      <c r="AJ4933" s="500"/>
      <c r="AK4933" s="500"/>
      <c r="AL4933" s="500"/>
      <c r="AM4933" s="500"/>
      <c r="AN4933" s="500"/>
      <c r="AO4933" s="500"/>
      <c r="AP4933" s="500"/>
    </row>
    <row r="4934" spans="1:42" ht="16.5" customHeight="1">
      <c r="A4934" s="439"/>
      <c r="B4934" s="439"/>
      <c r="C4934" s="504"/>
      <c r="D4934" s="504"/>
      <c r="E4934" s="504"/>
      <c r="F4934" s="504"/>
      <c r="Z4934" s="500"/>
      <c r="AA4934" s="500"/>
      <c r="AB4934" s="500"/>
      <c r="AC4934" s="500"/>
      <c r="AD4934" s="500"/>
      <c r="AE4934" s="500"/>
      <c r="AF4934" s="500"/>
      <c r="AG4934" s="500"/>
      <c r="AH4934" s="500"/>
      <c r="AI4934" s="500"/>
      <c r="AJ4934" s="500"/>
      <c r="AK4934" s="500"/>
      <c r="AL4934" s="500"/>
      <c r="AM4934" s="500"/>
      <c r="AN4934" s="500"/>
      <c r="AO4934" s="500"/>
      <c r="AP4934" s="500"/>
    </row>
    <row r="4935" spans="1:42" ht="16.5" customHeight="1">
      <c r="A4935" s="439"/>
      <c r="B4935" s="439"/>
      <c r="C4935" s="439"/>
      <c r="D4935" s="439"/>
      <c r="E4935" s="439"/>
      <c r="F4935" s="439"/>
      <c r="Z4935" s="500"/>
      <c r="AA4935" s="500"/>
      <c r="AB4935" s="500"/>
      <c r="AC4935" s="500"/>
      <c r="AD4935" s="500"/>
      <c r="AE4935" s="500"/>
      <c r="AF4935" s="500"/>
      <c r="AG4935" s="500"/>
      <c r="AH4935" s="500"/>
      <c r="AI4935" s="500"/>
      <c r="AJ4935" s="500"/>
      <c r="AK4935" s="500"/>
      <c r="AL4935" s="500"/>
      <c r="AM4935" s="500"/>
      <c r="AN4935" s="500"/>
      <c r="AO4935" s="500"/>
      <c r="AP4935" s="500"/>
    </row>
    <row r="4936" spans="1:42" ht="16.5" customHeight="1">
      <c r="A4936" s="439"/>
      <c r="B4936" s="439"/>
      <c r="C4936" s="439"/>
      <c r="D4936" s="439"/>
      <c r="E4936" s="439"/>
      <c r="F4936" s="439"/>
      <c r="Z4936" s="500"/>
      <c r="AA4936" s="500"/>
      <c r="AB4936" s="500"/>
      <c r="AC4936" s="500"/>
      <c r="AD4936" s="500"/>
      <c r="AE4936" s="500"/>
      <c r="AF4936" s="500"/>
      <c r="AG4936" s="500"/>
      <c r="AH4936" s="500"/>
      <c r="AI4936" s="500"/>
      <c r="AJ4936" s="500"/>
      <c r="AK4936" s="500"/>
      <c r="AL4936" s="500"/>
      <c r="AM4936" s="500"/>
      <c r="AN4936" s="500"/>
      <c r="AO4936" s="500"/>
      <c r="AP4936" s="500"/>
    </row>
    <row r="4937" spans="1:42" ht="16.5" customHeight="1">
      <c r="A4937" s="439"/>
      <c r="B4937" s="439"/>
      <c r="C4937" s="439"/>
      <c r="D4937" s="439"/>
      <c r="E4937" s="439"/>
      <c r="F4937" s="439"/>
      <c r="Z4937" s="500"/>
      <c r="AA4937" s="500"/>
      <c r="AB4937" s="500"/>
      <c r="AC4937" s="500"/>
      <c r="AD4937" s="500"/>
      <c r="AE4937" s="500"/>
      <c r="AF4937" s="500"/>
      <c r="AG4937" s="500"/>
      <c r="AH4937" s="500"/>
      <c r="AI4937" s="500"/>
      <c r="AJ4937" s="500"/>
      <c r="AK4937" s="500"/>
      <c r="AL4937" s="500"/>
      <c r="AM4937" s="500"/>
      <c r="AN4937" s="500"/>
      <c r="AO4937" s="500"/>
      <c r="AP4937" s="500"/>
    </row>
    <row r="4938" spans="1:42" ht="16.5" customHeight="1">
      <c r="A4938" s="439"/>
      <c r="B4938" s="439"/>
      <c r="C4938" s="439"/>
      <c r="D4938" s="439"/>
      <c r="E4938" s="439"/>
      <c r="F4938" s="439"/>
      <c r="Z4938" s="500"/>
      <c r="AA4938" s="500"/>
      <c r="AB4938" s="500"/>
      <c r="AC4938" s="500"/>
      <c r="AD4938" s="500"/>
      <c r="AE4938" s="500"/>
      <c r="AF4938" s="500"/>
      <c r="AG4938" s="500"/>
      <c r="AH4938" s="500"/>
      <c r="AI4938" s="500"/>
      <c r="AJ4938" s="500"/>
      <c r="AK4938" s="500"/>
      <c r="AL4938" s="500"/>
      <c r="AM4938" s="500"/>
      <c r="AN4938" s="500"/>
      <c r="AO4938" s="500"/>
      <c r="AP4938" s="500"/>
    </row>
    <row r="4939" spans="1:42" ht="16.5" customHeight="1">
      <c r="A4939" s="439"/>
      <c r="B4939" s="439"/>
      <c r="C4939" s="439"/>
      <c r="D4939" s="439"/>
      <c r="E4939" s="439"/>
      <c r="F4939" s="439"/>
      <c r="Z4939" s="500"/>
      <c r="AA4939" s="500"/>
      <c r="AB4939" s="500"/>
      <c r="AC4939" s="500"/>
      <c r="AD4939" s="500"/>
      <c r="AE4939" s="500"/>
      <c r="AF4939" s="500"/>
      <c r="AG4939" s="500"/>
      <c r="AH4939" s="500"/>
      <c r="AI4939" s="500"/>
      <c r="AJ4939" s="500"/>
      <c r="AK4939" s="500"/>
      <c r="AL4939" s="500"/>
      <c r="AM4939" s="500"/>
      <c r="AN4939" s="500"/>
      <c r="AO4939" s="500"/>
      <c r="AP4939" s="500"/>
    </row>
    <row r="4940" spans="1:42" ht="16.5" customHeight="1">
      <c r="A4940" s="439"/>
      <c r="B4940" s="439"/>
      <c r="C4940" s="439"/>
      <c r="D4940" s="439"/>
      <c r="E4940" s="439"/>
      <c r="F4940" s="439"/>
      <c r="Z4940" s="500"/>
      <c r="AA4940" s="500"/>
      <c r="AB4940" s="500"/>
      <c r="AC4940" s="500"/>
      <c r="AD4940" s="500"/>
      <c r="AE4940" s="500"/>
      <c r="AF4940" s="500"/>
      <c r="AG4940" s="500"/>
      <c r="AH4940" s="500"/>
      <c r="AI4940" s="500"/>
      <c r="AJ4940" s="500"/>
      <c r="AK4940" s="500"/>
      <c r="AL4940" s="500"/>
      <c r="AM4940" s="500"/>
      <c r="AN4940" s="500"/>
      <c r="AO4940" s="500"/>
      <c r="AP4940" s="500"/>
    </row>
    <row r="4941" spans="1:42" ht="16.5" customHeight="1">
      <c r="A4941" s="439"/>
      <c r="B4941" s="439"/>
      <c r="C4941" s="439"/>
      <c r="D4941" s="439"/>
      <c r="E4941" s="439"/>
      <c r="F4941" s="439"/>
      <c r="Z4941" s="500"/>
      <c r="AA4941" s="500"/>
      <c r="AB4941" s="500"/>
      <c r="AC4941" s="500"/>
      <c r="AD4941" s="500"/>
      <c r="AE4941" s="500"/>
      <c r="AF4941" s="500"/>
      <c r="AG4941" s="500"/>
      <c r="AH4941" s="500"/>
      <c r="AI4941" s="500"/>
      <c r="AJ4941" s="500"/>
      <c r="AK4941" s="500"/>
      <c r="AL4941" s="500"/>
      <c r="AM4941" s="500"/>
      <c r="AN4941" s="500"/>
      <c r="AO4941" s="500"/>
      <c r="AP4941" s="500"/>
    </row>
    <row r="4942" spans="1:42" ht="16.5" customHeight="1">
      <c r="A4942" s="439"/>
      <c r="B4942" s="439"/>
      <c r="C4942" s="439"/>
      <c r="D4942" s="439"/>
      <c r="E4942" s="439"/>
      <c r="F4942" s="439"/>
      <c r="Z4942" s="500"/>
      <c r="AA4942" s="500"/>
      <c r="AB4942" s="500"/>
      <c r="AC4942" s="500"/>
      <c r="AD4942" s="500"/>
      <c r="AE4942" s="500"/>
      <c r="AF4942" s="500"/>
      <c r="AG4942" s="500"/>
      <c r="AH4942" s="500"/>
      <c r="AI4942" s="500"/>
      <c r="AJ4942" s="500"/>
      <c r="AK4942" s="500"/>
      <c r="AL4942" s="500"/>
      <c r="AM4942" s="500"/>
      <c r="AN4942" s="500"/>
      <c r="AO4942" s="500"/>
      <c r="AP4942" s="500"/>
    </row>
    <row r="4943" spans="1:42" ht="16.5" customHeight="1">
      <c r="A4943" s="439"/>
      <c r="B4943" s="439"/>
      <c r="C4943" s="439"/>
      <c r="D4943" s="439"/>
      <c r="E4943" s="439"/>
      <c r="F4943" s="439"/>
      <c r="Z4943" s="500"/>
      <c r="AA4943" s="500"/>
      <c r="AB4943" s="500"/>
      <c r="AC4943" s="500"/>
      <c r="AD4943" s="500"/>
      <c r="AE4943" s="500"/>
      <c r="AF4943" s="500"/>
      <c r="AG4943" s="500"/>
      <c r="AH4943" s="500"/>
      <c r="AI4943" s="500"/>
      <c r="AJ4943" s="500"/>
      <c r="AK4943" s="500"/>
      <c r="AL4943" s="500"/>
      <c r="AM4943" s="500"/>
      <c r="AN4943" s="500"/>
      <c r="AO4943" s="500"/>
      <c r="AP4943" s="500"/>
    </row>
    <row r="4944" spans="1:42" ht="16.5" customHeight="1">
      <c r="A4944" s="439"/>
      <c r="B4944" s="439"/>
      <c r="C4944" s="439"/>
      <c r="D4944" s="439"/>
      <c r="E4944" s="439"/>
      <c r="F4944" s="439"/>
      <c r="Z4944" s="500"/>
      <c r="AA4944" s="500"/>
      <c r="AB4944" s="500"/>
      <c r="AC4944" s="500"/>
      <c r="AD4944" s="500"/>
      <c r="AE4944" s="500"/>
      <c r="AF4944" s="500"/>
      <c r="AG4944" s="500"/>
      <c r="AH4944" s="500"/>
      <c r="AI4944" s="500"/>
      <c r="AJ4944" s="500"/>
      <c r="AK4944" s="500"/>
      <c r="AL4944" s="500"/>
      <c r="AM4944" s="500"/>
      <c r="AN4944" s="500"/>
      <c r="AO4944" s="500"/>
      <c r="AP4944" s="500"/>
    </row>
    <row r="4945" spans="1:42" ht="16.5" customHeight="1">
      <c r="A4945" s="439"/>
      <c r="B4945" s="439"/>
      <c r="C4945" s="439"/>
      <c r="D4945" s="439"/>
      <c r="E4945" s="439"/>
      <c r="F4945" s="439"/>
      <c r="Z4945" s="500"/>
      <c r="AA4945" s="500"/>
      <c r="AB4945" s="500"/>
      <c r="AC4945" s="500"/>
      <c r="AD4945" s="500"/>
      <c r="AE4945" s="500"/>
      <c r="AF4945" s="500"/>
      <c r="AG4945" s="500"/>
      <c r="AH4945" s="500"/>
      <c r="AI4945" s="500"/>
      <c r="AJ4945" s="500"/>
      <c r="AK4945" s="500"/>
      <c r="AL4945" s="500"/>
      <c r="AM4945" s="500"/>
      <c r="AN4945" s="500"/>
      <c r="AO4945" s="500"/>
      <c r="AP4945" s="500"/>
    </row>
    <row r="4946" spans="1:42" ht="16.5" customHeight="1">
      <c r="A4946" s="439"/>
      <c r="B4946" s="439"/>
      <c r="C4946" s="439"/>
      <c r="D4946" s="439"/>
      <c r="E4946" s="439"/>
      <c r="F4946" s="439"/>
      <c r="Z4946" s="500"/>
      <c r="AA4946" s="500"/>
      <c r="AB4946" s="500"/>
      <c r="AC4946" s="500"/>
      <c r="AD4946" s="500"/>
      <c r="AE4946" s="500"/>
      <c r="AF4946" s="500"/>
      <c r="AG4946" s="500"/>
      <c r="AH4946" s="500"/>
      <c r="AI4946" s="500"/>
      <c r="AJ4946" s="500"/>
      <c r="AK4946" s="500"/>
      <c r="AL4946" s="500"/>
      <c r="AM4946" s="500"/>
      <c r="AN4946" s="500"/>
      <c r="AO4946" s="500"/>
      <c r="AP4946" s="500"/>
    </row>
    <row r="4947" spans="1:42" ht="16.5" customHeight="1">
      <c r="A4947" s="439"/>
      <c r="B4947" s="439"/>
      <c r="C4947" s="439"/>
      <c r="D4947" s="439"/>
      <c r="E4947" s="439"/>
      <c r="F4947" s="439"/>
      <c r="Z4947" s="500"/>
      <c r="AA4947" s="500"/>
      <c r="AB4947" s="500"/>
      <c r="AC4947" s="500"/>
      <c r="AD4947" s="500"/>
      <c r="AE4947" s="500"/>
      <c r="AF4947" s="500"/>
      <c r="AG4947" s="500"/>
      <c r="AH4947" s="500"/>
      <c r="AI4947" s="500"/>
      <c r="AJ4947" s="500"/>
      <c r="AK4947" s="500"/>
      <c r="AL4947" s="500"/>
      <c r="AM4947" s="500"/>
      <c r="AN4947" s="500"/>
      <c r="AO4947" s="500"/>
      <c r="AP4947" s="500"/>
    </row>
    <row r="4948" spans="1:42" ht="16.5" customHeight="1">
      <c r="A4948" s="439"/>
      <c r="B4948" s="439"/>
      <c r="C4948" s="439"/>
      <c r="D4948" s="439"/>
      <c r="E4948" s="439"/>
      <c r="F4948" s="439"/>
      <c r="Z4948" s="500"/>
      <c r="AA4948" s="500"/>
      <c r="AB4948" s="500"/>
      <c r="AC4948" s="500"/>
      <c r="AD4948" s="500"/>
      <c r="AE4948" s="500"/>
      <c r="AF4948" s="500"/>
      <c r="AG4948" s="500"/>
      <c r="AH4948" s="500"/>
      <c r="AI4948" s="500"/>
      <c r="AJ4948" s="500"/>
      <c r="AK4948" s="500"/>
      <c r="AL4948" s="500"/>
      <c r="AM4948" s="500"/>
      <c r="AN4948" s="500"/>
      <c r="AO4948" s="500"/>
      <c r="AP4948" s="500"/>
    </row>
    <row r="4949" spans="1:42" ht="16.5" customHeight="1">
      <c r="A4949" s="439"/>
      <c r="B4949" s="439"/>
      <c r="C4949" s="439"/>
      <c r="D4949" s="439"/>
      <c r="E4949" s="439"/>
      <c r="F4949" s="439"/>
      <c r="Z4949" s="500"/>
      <c r="AA4949" s="500"/>
      <c r="AB4949" s="500"/>
      <c r="AC4949" s="500"/>
      <c r="AD4949" s="500"/>
      <c r="AE4949" s="500"/>
      <c r="AF4949" s="500"/>
      <c r="AG4949" s="500"/>
      <c r="AH4949" s="500"/>
      <c r="AI4949" s="500"/>
      <c r="AJ4949" s="500"/>
      <c r="AK4949" s="500"/>
      <c r="AL4949" s="500"/>
      <c r="AM4949" s="500"/>
      <c r="AN4949" s="500"/>
      <c r="AO4949" s="500"/>
      <c r="AP4949" s="500"/>
    </row>
    <row r="4950" spans="1:42" ht="16.5" customHeight="1">
      <c r="A4950" s="439"/>
      <c r="B4950" s="439"/>
      <c r="C4950" s="439"/>
      <c r="D4950" s="439"/>
      <c r="E4950" s="439"/>
      <c r="F4950" s="439"/>
      <c r="Z4950" s="500"/>
      <c r="AA4950" s="500"/>
      <c r="AB4950" s="500"/>
      <c r="AC4950" s="500"/>
      <c r="AD4950" s="500"/>
      <c r="AE4950" s="500"/>
      <c r="AF4950" s="500"/>
      <c r="AG4950" s="500"/>
      <c r="AH4950" s="500"/>
      <c r="AI4950" s="500"/>
      <c r="AJ4950" s="500"/>
      <c r="AK4950" s="500"/>
      <c r="AL4950" s="500"/>
      <c r="AM4950" s="500"/>
      <c r="AN4950" s="500"/>
      <c r="AO4950" s="500"/>
      <c r="AP4950" s="500"/>
    </row>
    <row r="4951" spans="1:42" ht="16.5" customHeight="1">
      <c r="A4951" s="439"/>
      <c r="B4951" s="439"/>
      <c r="C4951" s="439"/>
      <c r="D4951" s="439"/>
      <c r="E4951" s="439"/>
      <c r="F4951" s="439"/>
      <c r="Z4951" s="500"/>
      <c r="AA4951" s="500"/>
      <c r="AB4951" s="500"/>
      <c r="AC4951" s="500"/>
      <c r="AD4951" s="500"/>
      <c r="AE4951" s="500"/>
      <c r="AF4951" s="500"/>
      <c r="AG4951" s="500"/>
      <c r="AH4951" s="500"/>
      <c r="AI4951" s="500"/>
      <c r="AJ4951" s="500"/>
      <c r="AK4951" s="500"/>
      <c r="AL4951" s="500"/>
      <c r="AM4951" s="500"/>
      <c r="AN4951" s="500"/>
      <c r="AO4951" s="500"/>
      <c r="AP4951" s="500"/>
    </row>
    <row r="4952" spans="1:42" ht="16.5" customHeight="1">
      <c r="A4952" s="439"/>
      <c r="B4952" s="439"/>
      <c r="C4952" s="439"/>
      <c r="D4952" s="439"/>
      <c r="E4952" s="439"/>
      <c r="F4952" s="439"/>
      <c r="Z4952" s="500"/>
      <c r="AA4952" s="500"/>
      <c r="AB4952" s="500"/>
      <c r="AC4952" s="500"/>
      <c r="AD4952" s="500"/>
      <c r="AE4952" s="500"/>
      <c r="AF4952" s="500"/>
      <c r="AG4952" s="500"/>
      <c r="AH4952" s="500"/>
      <c r="AI4952" s="500"/>
      <c r="AJ4952" s="500"/>
      <c r="AK4952" s="500"/>
      <c r="AL4952" s="500"/>
      <c r="AM4952" s="500"/>
      <c r="AN4952" s="500"/>
      <c r="AO4952" s="500"/>
      <c r="AP4952" s="500"/>
    </row>
    <row r="4953" spans="1:42" ht="16.5" customHeight="1">
      <c r="A4953" s="497"/>
      <c r="B4953" s="497"/>
      <c r="C4953" s="497"/>
      <c r="D4953" s="497"/>
      <c r="E4953" s="497"/>
      <c r="F4953" s="497"/>
      <c r="Z4953" s="500"/>
      <c r="AA4953" s="500"/>
      <c r="AB4953" s="500"/>
      <c r="AC4953" s="500"/>
      <c r="AD4953" s="500"/>
      <c r="AE4953" s="500"/>
      <c r="AF4953" s="500"/>
      <c r="AG4953" s="500"/>
      <c r="AH4953" s="500"/>
      <c r="AI4953" s="500"/>
      <c r="AJ4953" s="500"/>
      <c r="AK4953" s="500"/>
      <c r="AL4953" s="500"/>
      <c r="AM4953" s="500"/>
      <c r="AN4953" s="500"/>
      <c r="AO4953" s="500"/>
      <c r="AP4953" s="500"/>
    </row>
    <row r="4954" spans="1:42" ht="16.5" customHeight="1">
      <c r="A4954" s="616" t="s">
        <v>3487</v>
      </c>
      <c r="B4954" s="605"/>
      <c r="C4954" s="446">
        <f>E4954+D4954+F4954</f>
        <v>27572</v>
      </c>
      <c r="D4954" s="453">
        <f>ROUNDDOWN(SUMIF(N4907:N4933,M4954,D4907:D4933),0)</f>
        <v>26769</v>
      </c>
      <c r="E4954" s="454">
        <f>ROUNDDOWN(SUMIF(N4907:N4933,M4954,E4907:E4933),0)</f>
        <v>0</v>
      </c>
      <c r="F4954" s="446">
        <f>ROUNDDOWN(SUMIF(N4907:N4933,M4954,F4907:F4933),0)</f>
        <v>803</v>
      </c>
      <c r="M4954" s="501" t="s">
        <v>2354</v>
      </c>
      <c r="Z4954" s="500"/>
      <c r="AA4954" s="500"/>
      <c r="AB4954" s="500"/>
      <c r="AC4954" s="500"/>
      <c r="AD4954" s="500"/>
      <c r="AE4954" s="500"/>
      <c r="AF4954" s="500"/>
      <c r="AG4954" s="500"/>
      <c r="AH4954" s="500"/>
      <c r="AI4954" s="500"/>
      <c r="AJ4954" s="500"/>
      <c r="AK4954" s="500"/>
      <c r="AL4954" s="500"/>
      <c r="AM4954" s="500"/>
      <c r="AN4954" s="500"/>
      <c r="AO4954" s="500"/>
      <c r="AP4954" s="500"/>
    </row>
    <row r="4955" spans="1:42" ht="16.5" customHeight="1">
      <c r="A4955" s="502" t="s">
        <v>3371</v>
      </c>
      <c r="B4955" s="503" t="s">
        <v>1978</v>
      </c>
      <c r="C4955" s="615">
        <f>C5004</f>
        <v>44115</v>
      </c>
      <c r="D4955" s="615">
        <f>D5004</f>
        <v>42831</v>
      </c>
      <c r="E4955" s="615">
        <f>E5004</f>
        <v>0</v>
      </c>
      <c r="F4955" s="615">
        <f>F5004</f>
        <v>1284</v>
      </c>
      <c r="G4955" s="486" t="str">
        <f>HYPERLINK("#G"&amp;ROW(G4983),"_x0005_`BDCOD|D01237_x0007_`POSS|"&amp;ROW(G4957)&amp;"_x0007_`POSE|"&amp;ROW(G4983)&amp;"_x0007_`")</f>
        <v>_x0005_`BDCOD|D01237_x0007_`POSS|4957_x0007_`POSE|4983_x0007_`</v>
      </c>
      <c r="Z4955" s="500"/>
      <c r="AA4955" s="500"/>
      <c r="AB4955" s="500"/>
      <c r="AC4955" s="500"/>
      <c r="AD4955" s="500"/>
      <c r="AE4955" s="500"/>
      <c r="AF4955" s="500"/>
      <c r="AG4955" s="500"/>
      <c r="AH4955" s="500"/>
      <c r="AI4955" s="500"/>
      <c r="AJ4955" s="500"/>
      <c r="AK4955" s="500"/>
      <c r="AL4955" s="500"/>
      <c r="AM4955" s="500"/>
      <c r="AN4955" s="500"/>
      <c r="AO4955" s="500"/>
      <c r="AP4955" s="500"/>
    </row>
    <row r="4956" spans="1:42" ht="16.5" customHeight="1">
      <c r="A4956" s="485"/>
      <c r="B4956" s="503" t="s">
        <v>3975</v>
      </c>
      <c r="C4956" s="593"/>
      <c r="D4956" s="593"/>
      <c r="E4956" s="593"/>
      <c r="F4956" s="593"/>
      <c r="M4956" s="501" t="s">
        <v>1978</v>
      </c>
      <c r="Z4956" s="500"/>
      <c r="AA4956" s="500"/>
      <c r="AB4956" s="500"/>
      <c r="AC4956" s="500"/>
      <c r="AD4956" s="500"/>
      <c r="AE4956" s="500"/>
      <c r="AF4956" s="500"/>
      <c r="AG4956" s="500"/>
      <c r="AH4956" s="500"/>
      <c r="AI4956" s="500"/>
      <c r="AJ4956" s="500"/>
      <c r="AK4956" s="500"/>
      <c r="AL4956" s="500"/>
      <c r="AM4956" s="500"/>
      <c r="AN4956" s="500"/>
      <c r="AO4956" s="500"/>
      <c r="AP4956" s="500"/>
    </row>
    <row r="4957" spans="1:42" ht="16.5" customHeight="1">
      <c r="A4957" s="439"/>
      <c r="B4957" s="439"/>
      <c r="C4957" s="504"/>
      <c r="D4957" s="504"/>
      <c r="E4957" s="504"/>
      <c r="F4957" s="504"/>
      <c r="G4957" s="451" t="s">
        <v>3406</v>
      </c>
      <c r="Z4957" s="500"/>
      <c r="AA4957" s="500"/>
      <c r="AB4957" s="500"/>
      <c r="AC4957" s="500"/>
      <c r="AD4957" s="500"/>
      <c r="AE4957" s="500"/>
      <c r="AF4957" s="500"/>
      <c r="AG4957" s="500"/>
      <c r="AH4957" s="500"/>
      <c r="AI4957" s="500"/>
      <c r="AJ4957" s="500"/>
      <c r="AK4957" s="500"/>
      <c r="AL4957" s="500"/>
      <c r="AM4957" s="500"/>
      <c r="AN4957" s="500"/>
      <c r="AO4957" s="500"/>
      <c r="AP4957" s="500"/>
    </row>
    <row r="4958" spans="1:42" ht="16.5" customHeight="1">
      <c r="A4958" s="434"/>
      <c r="B4958" s="437" t="s">
        <v>3976</v>
      </c>
      <c r="C4958" s="439"/>
      <c r="D4958" s="439"/>
      <c r="E4958" s="439"/>
      <c r="F4958" s="439"/>
      <c r="G4958" s="451" t="s">
        <v>3977</v>
      </c>
      <c r="Z4958" s="500"/>
      <c r="AA4958" s="500"/>
      <c r="AB4958" s="500"/>
      <c r="AC4958" s="500"/>
      <c r="AD4958" s="500"/>
      <c r="AE4958" s="500"/>
      <c r="AF4958" s="500"/>
      <c r="AG4958" s="500"/>
      <c r="AH4958" s="500"/>
      <c r="AI4958" s="500"/>
      <c r="AJ4958" s="500"/>
      <c r="AK4958" s="500"/>
      <c r="AL4958" s="500"/>
      <c r="AM4958" s="500"/>
      <c r="AN4958" s="500"/>
      <c r="AO4958" s="500"/>
      <c r="AP4958" s="500"/>
    </row>
    <row r="4959" spans="1:42" ht="16.5" customHeight="1">
      <c r="A4959" s="439"/>
      <c r="B4959" s="439"/>
      <c r="C4959" s="439"/>
      <c r="D4959" s="439"/>
      <c r="E4959" s="439"/>
      <c r="F4959" s="439"/>
      <c r="G4959" s="451" t="s">
        <v>3406</v>
      </c>
      <c r="Z4959" s="500"/>
      <c r="AA4959" s="500"/>
      <c r="AB4959" s="500"/>
      <c r="AC4959" s="500"/>
      <c r="AD4959" s="500"/>
      <c r="AE4959" s="500"/>
      <c r="AF4959" s="500"/>
      <c r="AG4959" s="500"/>
      <c r="AH4959" s="500"/>
      <c r="AI4959" s="500"/>
      <c r="AJ4959" s="500"/>
      <c r="AK4959" s="500"/>
      <c r="AL4959" s="500"/>
      <c r="AM4959" s="500"/>
      <c r="AN4959" s="500"/>
      <c r="AO4959" s="500"/>
      <c r="AP4959" s="500"/>
    </row>
    <row r="4960" spans="1:42" ht="16.5" customHeight="1">
      <c r="A4960" s="434"/>
      <c r="B4960" s="437" t="s">
        <v>3907</v>
      </c>
      <c r="C4960" s="439"/>
      <c r="D4960" s="439"/>
      <c r="E4960" s="439"/>
      <c r="F4960" s="439"/>
      <c r="G4960" s="451" t="s">
        <v>3908</v>
      </c>
      <c r="Z4960" s="500"/>
      <c r="AA4960" s="500"/>
      <c r="AB4960" s="500"/>
      <c r="AC4960" s="500"/>
      <c r="AD4960" s="500"/>
      <c r="AE4960" s="500"/>
      <c r="AF4960" s="500"/>
      <c r="AG4960" s="500"/>
      <c r="AH4960" s="500"/>
      <c r="AI4960" s="500"/>
      <c r="AJ4960" s="500"/>
      <c r="AK4960" s="500"/>
      <c r="AL4960" s="500"/>
      <c r="AM4960" s="500"/>
      <c r="AN4960" s="500"/>
      <c r="AO4960" s="500"/>
      <c r="AP4960" s="500"/>
    </row>
    <row r="4961" spans="1:42" ht="16.5" customHeight="1">
      <c r="A4961" s="439"/>
      <c r="B4961" s="439"/>
      <c r="C4961" s="439"/>
      <c r="D4961" s="439"/>
      <c r="E4961" s="439"/>
      <c r="F4961" s="439"/>
      <c r="G4961" s="451" t="s">
        <v>3406</v>
      </c>
      <c r="Z4961" s="500"/>
      <c r="AA4961" s="500"/>
      <c r="AB4961" s="500"/>
      <c r="AC4961" s="500"/>
      <c r="AD4961" s="500"/>
      <c r="AE4961" s="500"/>
      <c r="AF4961" s="500"/>
      <c r="AG4961" s="500"/>
      <c r="AH4961" s="500"/>
      <c r="AI4961" s="500"/>
      <c r="AJ4961" s="500"/>
      <c r="AK4961" s="500"/>
      <c r="AL4961" s="500"/>
      <c r="AM4961" s="500"/>
      <c r="AN4961" s="500"/>
      <c r="AO4961" s="500"/>
      <c r="AP4961" s="500"/>
    </row>
    <row r="4962" spans="1:42" ht="16.5" customHeight="1">
      <c r="A4962" s="434"/>
      <c r="B4962" s="437" t="s">
        <v>3955</v>
      </c>
      <c r="C4962" s="439"/>
      <c r="D4962" s="439"/>
      <c r="E4962" s="439"/>
      <c r="F4962" s="439"/>
      <c r="G4962" s="451" t="s">
        <v>3956</v>
      </c>
      <c r="Z4962" s="500"/>
      <c r="AA4962" s="500"/>
      <c r="AB4962" s="500"/>
      <c r="AC4962" s="500"/>
      <c r="AD4962" s="500"/>
      <c r="AE4962" s="500"/>
      <c r="AF4962" s="500"/>
      <c r="AG4962" s="500"/>
      <c r="AH4962" s="500"/>
      <c r="AI4962" s="500"/>
      <c r="AJ4962" s="500"/>
      <c r="AK4962" s="500"/>
      <c r="AL4962" s="500"/>
      <c r="AM4962" s="500"/>
      <c r="AN4962" s="500"/>
      <c r="AO4962" s="500"/>
      <c r="AP4962" s="500"/>
    </row>
    <row r="4963" spans="1:42" ht="16.5" customHeight="1">
      <c r="A4963" s="439"/>
      <c r="B4963" s="439"/>
      <c r="C4963" s="439"/>
      <c r="D4963" s="439"/>
      <c r="E4963" s="439"/>
      <c r="F4963" s="439"/>
      <c r="G4963" s="451" t="s">
        <v>3406</v>
      </c>
      <c r="Z4963" s="500"/>
      <c r="AA4963" s="500"/>
      <c r="AB4963" s="500"/>
      <c r="AC4963" s="500"/>
      <c r="AD4963" s="500"/>
      <c r="AE4963" s="500"/>
      <c r="AF4963" s="500"/>
      <c r="AG4963" s="500"/>
      <c r="AH4963" s="500"/>
      <c r="AI4963" s="500"/>
      <c r="AJ4963" s="500"/>
      <c r="AK4963" s="500"/>
      <c r="AL4963" s="500"/>
      <c r="AM4963" s="500"/>
      <c r="AN4963" s="500"/>
      <c r="AO4963" s="500"/>
      <c r="AP4963" s="500"/>
    </row>
    <row r="4964" spans="1:42" ht="16.5" customHeight="1">
      <c r="A4964" s="434"/>
      <c r="B4964" s="437" t="str">
        <f>" 일당 작업량 :  Q1 = "&amp;Z4964&amp;" 주 "</f>
        <v xml:space="preserve"> 일당 작업량 :  Q1 = 15 주 </v>
      </c>
      <c r="C4964" s="439"/>
      <c r="D4964" s="439"/>
      <c r="E4964" s="439"/>
      <c r="F4964" s="439"/>
      <c r="G4964" s="451" t="s">
        <v>3978</v>
      </c>
      <c r="Z4964" s="515">
        <v>15</v>
      </c>
      <c r="AA4964" s="501" t="s">
        <v>3418</v>
      </c>
      <c r="AB4964" s="512">
        <f>Z4964</f>
        <v>15</v>
      </c>
      <c r="AC4964" s="500"/>
      <c r="AD4964" s="500"/>
      <c r="AE4964" s="500"/>
      <c r="AF4964" s="500"/>
      <c r="AG4964" s="500"/>
      <c r="AH4964" s="500"/>
      <c r="AI4964" s="500"/>
      <c r="AJ4964" s="500"/>
      <c r="AK4964" s="500"/>
      <c r="AL4964" s="500"/>
      <c r="AM4964" s="500"/>
      <c r="AN4964" s="500"/>
      <c r="AO4964" s="500"/>
      <c r="AP4964" s="500"/>
    </row>
    <row r="4965" spans="1:42" ht="16.5" customHeight="1">
      <c r="A4965" s="439"/>
      <c r="B4965" s="439"/>
      <c r="C4965" s="439"/>
      <c r="D4965" s="439"/>
      <c r="E4965" s="439"/>
      <c r="F4965" s="439"/>
      <c r="G4965" s="451" t="s">
        <v>3406</v>
      </c>
      <c r="Z4965" s="500"/>
      <c r="AA4965" s="500"/>
      <c r="AB4965" s="500"/>
      <c r="AC4965" s="500"/>
      <c r="AD4965" s="500"/>
      <c r="AE4965" s="500"/>
      <c r="AF4965" s="500"/>
      <c r="AG4965" s="500"/>
      <c r="AH4965" s="500"/>
      <c r="AI4965" s="500"/>
      <c r="AJ4965" s="500"/>
      <c r="AK4965" s="500"/>
      <c r="AL4965" s="500"/>
      <c r="AM4965" s="500"/>
      <c r="AN4965" s="500"/>
      <c r="AO4965" s="500"/>
      <c r="AP4965" s="500"/>
    </row>
    <row r="4966" spans="1:42" ht="16.5" customHeight="1">
      <c r="A4966" s="434"/>
      <c r="B4966" s="437" t="s">
        <v>3958</v>
      </c>
      <c r="C4966" s="439"/>
      <c r="D4966" s="439"/>
      <c r="E4966" s="439"/>
      <c r="F4966" s="439"/>
      <c r="G4966" s="451" t="s">
        <v>3959</v>
      </c>
      <c r="Z4966" s="500"/>
      <c r="AA4966" s="500"/>
      <c r="AB4966" s="500"/>
      <c r="AC4966" s="500"/>
      <c r="AD4966" s="500"/>
      <c r="AE4966" s="500"/>
      <c r="AF4966" s="500"/>
      <c r="AG4966" s="500"/>
      <c r="AH4966" s="500"/>
      <c r="AI4966" s="500"/>
      <c r="AJ4966" s="500"/>
      <c r="AK4966" s="500"/>
      <c r="AL4966" s="500"/>
      <c r="AM4966" s="500"/>
      <c r="AN4966" s="500"/>
      <c r="AO4966" s="500"/>
      <c r="AP4966" s="500"/>
    </row>
    <row r="4967" spans="1:42" ht="16.5" customHeight="1">
      <c r="A4967" s="439"/>
      <c r="B4967" s="439"/>
      <c r="C4967" s="439"/>
      <c r="D4967" s="439"/>
      <c r="E4967" s="439"/>
      <c r="F4967" s="439"/>
      <c r="G4967" s="451" t="s">
        <v>3406</v>
      </c>
      <c r="Z4967" s="500"/>
      <c r="AA4967" s="500"/>
      <c r="AB4967" s="500"/>
      <c r="AC4967" s="500"/>
      <c r="AD4967" s="500"/>
      <c r="AE4967" s="500"/>
      <c r="AF4967" s="500"/>
      <c r="AG4967" s="500"/>
      <c r="AH4967" s="500"/>
      <c r="AI4967" s="500"/>
      <c r="AJ4967" s="500"/>
      <c r="AK4967" s="500"/>
      <c r="AL4967" s="500"/>
      <c r="AM4967" s="500"/>
      <c r="AN4967" s="500"/>
      <c r="AO4967" s="500"/>
      <c r="AP4967" s="500"/>
    </row>
    <row r="4968" spans="1:42" ht="16.5" customHeight="1">
      <c r="A4968" s="439"/>
      <c r="B4968" s="439"/>
      <c r="C4968" s="439"/>
      <c r="D4968" s="439"/>
      <c r="E4968" s="439"/>
      <c r="F4968" s="439"/>
      <c r="G4968" s="451" t="s">
        <v>3406</v>
      </c>
      <c r="Z4968" s="500"/>
      <c r="AA4968" s="500"/>
      <c r="AB4968" s="500"/>
      <c r="AC4968" s="500"/>
      <c r="AD4968" s="500"/>
      <c r="AE4968" s="500"/>
      <c r="AF4968" s="500"/>
      <c r="AG4968" s="500"/>
      <c r="AH4968" s="500"/>
      <c r="AI4968" s="500"/>
      <c r="AJ4968" s="500"/>
      <c r="AK4968" s="500"/>
      <c r="AL4968" s="500"/>
      <c r="AM4968" s="500"/>
      <c r="AN4968" s="500"/>
      <c r="AO4968" s="500"/>
      <c r="AP4968" s="500"/>
    </row>
    <row r="4969" spans="1:42" ht="16.5" customHeight="1">
      <c r="A4969" s="434"/>
      <c r="B4969" s="437" t="s">
        <v>3496</v>
      </c>
      <c r="C4969" s="439"/>
      <c r="D4969" s="439"/>
      <c r="E4969" s="439"/>
      <c r="F4969" s="439"/>
      <c r="G4969" s="451" t="s">
        <v>3497</v>
      </c>
      <c r="Z4969" s="500"/>
      <c r="AA4969" s="500"/>
      <c r="AB4969" s="500"/>
      <c r="AC4969" s="500"/>
      <c r="AD4969" s="500"/>
      <c r="AE4969" s="500"/>
      <c r="AF4969" s="500"/>
      <c r="AG4969" s="500"/>
      <c r="AH4969" s="500"/>
      <c r="AI4969" s="500"/>
      <c r="AJ4969" s="500"/>
      <c r="AK4969" s="500"/>
      <c r="AL4969" s="500"/>
      <c r="AM4969" s="500"/>
      <c r="AN4969" s="500"/>
      <c r="AO4969" s="500"/>
      <c r="AP4969" s="500"/>
    </row>
    <row r="4970" spans="1:42" ht="16.5" customHeight="1">
      <c r="A4970" s="439"/>
      <c r="B4970" s="439"/>
      <c r="C4970" s="439"/>
      <c r="D4970" s="439"/>
      <c r="E4970" s="439"/>
      <c r="F4970" s="439"/>
      <c r="G4970" s="451" t="s">
        <v>3406</v>
      </c>
      <c r="Z4970" s="500"/>
      <c r="AA4970" s="500"/>
      <c r="AB4970" s="500"/>
      <c r="AC4970" s="500"/>
      <c r="AD4970" s="500"/>
      <c r="AE4970" s="500"/>
      <c r="AF4970" s="500"/>
      <c r="AG4970" s="500"/>
      <c r="AH4970" s="500"/>
      <c r="AI4970" s="500"/>
      <c r="AJ4970" s="500"/>
      <c r="AK4970" s="500"/>
      <c r="AL4970" s="500"/>
      <c r="AM4970" s="500"/>
      <c r="AN4970" s="500"/>
      <c r="AO4970" s="500"/>
      <c r="AP4970" s="500"/>
    </row>
    <row r="4971" spans="1:42" ht="16.5" customHeight="1">
      <c r="A4971" s="434" t="s">
        <v>3498</v>
      </c>
      <c r="B4971" s="505" t="str">
        <f>" 조 경 공 : "&amp;TEXT(I4971,"#,##0"&amp;IF(I4971&lt;&gt;INT(I4971),".###",""))&amp;" * "&amp;AA4971&amp;" 인  / Q1 = "&amp;TEXT(C4971,"#,##0.0")&amp;" "</f>
        <v xml:space="preserve"> 조 경 공 : 235,204 * 2 인  / Q1 = 31,360.5 </v>
      </c>
      <c r="C4971" s="506">
        <f>E4971+D4971+F4971</f>
        <v>31360.5</v>
      </c>
      <c r="D4971" s="506">
        <f>IF(H4971=0,0,ROUNDDOWN(J4971*H4971,1))</f>
        <v>31360.5</v>
      </c>
      <c r="E4971" s="506">
        <f>IF(H4971=0,0,ROUNDDOWN(K4971*H4971,1))</f>
        <v>0</v>
      </c>
      <c r="F4971" s="506">
        <f>IF(H4971=0,0,ROUNDDOWN(L4971*H4971,1))</f>
        <v>0</v>
      </c>
      <c r="G4971" s="451" t="s">
        <v>3960</v>
      </c>
      <c r="H4971" s="507">
        <f>ROUNDUP(AE4971,14-LEN(ABS(INT(AE4971))))</f>
        <v>0.1333333333334</v>
      </c>
      <c r="I4971" s="508">
        <f>K4971+J4971+L4971</f>
        <v>235204</v>
      </c>
      <c r="J4971" s="509">
        <f>노무비목록표!E15</f>
        <v>235204</v>
      </c>
      <c r="M4971" s="501" t="s">
        <v>2359</v>
      </c>
      <c r="N4971" s="501" t="s">
        <v>3416</v>
      </c>
      <c r="O4971" s="501" t="s">
        <v>2355</v>
      </c>
      <c r="X4971" s="510" t="str">
        <f>노무비목록표!B15&amp;" / "&amp;노무비목록표!C15</f>
        <v xml:space="preserve">조경공 / </v>
      </c>
      <c r="Y4971" s="433" t="str">
        <f ca="1">HYPERLINK("#"&amp;노무비목록표!G2&amp;"!A"&amp;ROW(노무비목록표!A15),"L00184 →")</f>
        <v>L00184 →</v>
      </c>
      <c r="Z4971" s="501" t="s">
        <v>3500</v>
      </c>
      <c r="AA4971" s="515">
        <v>2</v>
      </c>
      <c r="AB4971" s="501" t="s">
        <v>3428</v>
      </c>
      <c r="AC4971" s="512">
        <f>AB4964</f>
        <v>15</v>
      </c>
      <c r="AD4971" s="501" t="s">
        <v>3418</v>
      </c>
      <c r="AE4971" s="512">
        <f>1*AA4971/AB4964</f>
        <v>0.13333333333333333</v>
      </c>
      <c r="AF4971" s="500"/>
      <c r="AG4971" s="500"/>
      <c r="AH4971" s="500"/>
      <c r="AI4971" s="500"/>
      <c r="AJ4971" s="500"/>
      <c r="AK4971" s="500"/>
      <c r="AL4971" s="500"/>
      <c r="AM4971" s="500"/>
      <c r="AN4971" s="500"/>
      <c r="AO4971" s="500"/>
      <c r="AP4971" s="500"/>
    </row>
    <row r="4972" spans="1:42" ht="16.5" customHeight="1">
      <c r="A4972" s="439"/>
      <c r="B4972" s="439"/>
      <c r="C4972" s="439"/>
      <c r="D4972" s="439"/>
      <c r="E4972" s="439"/>
      <c r="F4972" s="439"/>
      <c r="G4972" s="451" t="s">
        <v>3406</v>
      </c>
      <c r="Z4972" s="500"/>
      <c r="AA4972" s="500"/>
      <c r="AB4972" s="500"/>
      <c r="AC4972" s="500"/>
      <c r="AD4972" s="500"/>
      <c r="AE4972" s="500"/>
      <c r="AF4972" s="500"/>
      <c r="AG4972" s="500"/>
      <c r="AH4972" s="500"/>
      <c r="AI4972" s="500"/>
      <c r="AJ4972" s="500"/>
      <c r="AK4972" s="500"/>
      <c r="AL4972" s="500"/>
      <c r="AM4972" s="500"/>
      <c r="AN4972" s="500"/>
      <c r="AO4972" s="500"/>
      <c r="AP4972" s="500"/>
    </row>
    <row r="4973" spans="1:42" ht="16.5" customHeight="1">
      <c r="A4973" s="434" t="s">
        <v>3414</v>
      </c>
      <c r="B4973" s="505" t="str">
        <f>" 보통인부 : "&amp;TEXT(I4973,"#,##0"&amp;IF(I4973&lt;&gt;INT(I4973),".###",""))&amp;" * "&amp;AA4973&amp;" 인  / Q1 = "&amp;TEXT(C4973,"#,##0.0")&amp;" "</f>
        <v xml:space="preserve"> 보통인부 : 172,068 * 1 인  / Q1 = 11,471.2 </v>
      </c>
      <c r="C4973" s="506">
        <f>E4973+D4973+F4973</f>
        <v>11471.2</v>
      </c>
      <c r="D4973" s="506">
        <f>IF(H4973=0,0,ROUNDDOWN(J4973*H4973,1))</f>
        <v>11471.2</v>
      </c>
      <c r="E4973" s="506">
        <f>IF(H4973=0,0,ROUNDDOWN(K4973*H4973,1))</f>
        <v>0</v>
      </c>
      <c r="F4973" s="506">
        <f>IF(H4973=0,0,ROUNDDOWN(L4973*H4973,1))</f>
        <v>0</v>
      </c>
      <c r="G4973" s="451" t="s">
        <v>3894</v>
      </c>
      <c r="H4973" s="507">
        <f>ROUNDUP(AE4973,14-LEN(ABS(INT(AE4973))))</f>
        <v>6.66666666667E-2</v>
      </c>
      <c r="I4973" s="508">
        <f>K4973+J4973+L4973</f>
        <v>172068</v>
      </c>
      <c r="J4973" s="509">
        <f>노무비목록표!E10</f>
        <v>172068</v>
      </c>
      <c r="M4973" s="501" t="s">
        <v>2363</v>
      </c>
      <c r="N4973" s="501" t="s">
        <v>3416</v>
      </c>
      <c r="O4973" s="501" t="s">
        <v>2355</v>
      </c>
      <c r="X4973" s="510" t="str">
        <f>노무비목록표!B10&amp;" / "&amp;노무비목록표!C10</f>
        <v xml:space="preserve">보통인부 / </v>
      </c>
      <c r="Y4973" s="433" t="str">
        <f ca="1">HYPERLINK("#"&amp;노무비목록표!G2&amp;"!A"&amp;ROW(노무비목록표!A10),"L00017 →")</f>
        <v>L00017 →</v>
      </c>
      <c r="Z4973" s="501" t="s">
        <v>3500</v>
      </c>
      <c r="AA4973" s="515">
        <v>1</v>
      </c>
      <c r="AB4973" s="501" t="s">
        <v>3428</v>
      </c>
      <c r="AC4973" s="512">
        <f>AB4964</f>
        <v>15</v>
      </c>
      <c r="AD4973" s="501" t="s">
        <v>3418</v>
      </c>
      <c r="AE4973" s="512">
        <f>1*AA4973/AB4964</f>
        <v>6.6666666666666666E-2</v>
      </c>
      <c r="AF4973" s="500"/>
      <c r="AG4973" s="500"/>
      <c r="AH4973" s="500"/>
      <c r="AI4973" s="500"/>
      <c r="AJ4973" s="500"/>
      <c r="AK4973" s="500"/>
      <c r="AL4973" s="500"/>
      <c r="AM4973" s="500"/>
      <c r="AN4973" s="500"/>
      <c r="AO4973" s="500"/>
      <c r="AP4973" s="500"/>
    </row>
    <row r="4974" spans="1:42" ht="16.5" customHeight="1">
      <c r="A4974" s="439"/>
      <c r="B4974" s="439"/>
      <c r="C4974" s="439"/>
      <c r="D4974" s="439"/>
      <c r="E4974" s="439"/>
      <c r="F4974" s="439"/>
      <c r="G4974" s="451" t="s">
        <v>3406</v>
      </c>
      <c r="Z4974" s="500"/>
      <c r="AA4974" s="500"/>
      <c r="AB4974" s="500"/>
      <c r="AC4974" s="500"/>
      <c r="AD4974" s="500"/>
      <c r="AE4974" s="500"/>
      <c r="AF4974" s="500"/>
      <c r="AG4974" s="500"/>
      <c r="AH4974" s="500"/>
      <c r="AI4974" s="500"/>
      <c r="AJ4974" s="500"/>
      <c r="AK4974" s="500"/>
      <c r="AL4974" s="500"/>
      <c r="AM4974" s="500"/>
      <c r="AN4974" s="500"/>
      <c r="AO4974" s="500"/>
      <c r="AP4974" s="500"/>
    </row>
    <row r="4975" spans="1:42" ht="16.5" customHeight="1">
      <c r="A4975" s="434"/>
      <c r="B4975" s="437" t="s">
        <v>3419</v>
      </c>
      <c r="C4975" s="513">
        <f>E4975+D4975+F4975</f>
        <v>42831.7</v>
      </c>
      <c r="D4975" s="513">
        <f>SUMIF(N4957:N4974,M4975,D4957:D4974)</f>
        <v>42831.7</v>
      </c>
      <c r="E4975" s="513">
        <f>SUMIF(N4957:N4974,M4975,E4957:E4974)</f>
        <v>0</v>
      </c>
      <c r="F4975" s="513">
        <f>SUMIF(N4957:N4974,M4975,F4957:F4974)</f>
        <v>0</v>
      </c>
      <c r="G4975" s="451" t="s">
        <v>3420</v>
      </c>
      <c r="M4975" s="501" t="s">
        <v>3416</v>
      </c>
      <c r="N4975" s="501" t="s">
        <v>3421</v>
      </c>
      <c r="Z4975" s="500"/>
      <c r="AA4975" s="500"/>
      <c r="AB4975" s="500"/>
      <c r="AC4975" s="500"/>
      <c r="AD4975" s="500"/>
      <c r="AE4975" s="500"/>
      <c r="AF4975" s="500"/>
      <c r="AG4975" s="500"/>
      <c r="AH4975" s="500"/>
      <c r="AI4975" s="500"/>
      <c r="AJ4975" s="500"/>
      <c r="AK4975" s="500"/>
      <c r="AL4975" s="500"/>
      <c r="AM4975" s="500"/>
      <c r="AN4975" s="500"/>
      <c r="AO4975" s="500"/>
      <c r="AP4975" s="500"/>
    </row>
    <row r="4976" spans="1:42" ht="16.5" customHeight="1">
      <c r="A4976" s="439"/>
      <c r="B4976" s="439"/>
      <c r="C4976" s="504"/>
      <c r="D4976" s="504"/>
      <c r="E4976" s="504"/>
      <c r="F4976" s="504"/>
      <c r="G4976" s="451" t="s">
        <v>3406</v>
      </c>
      <c r="Z4976" s="500"/>
      <c r="AA4976" s="500"/>
      <c r="AB4976" s="500"/>
      <c r="AC4976" s="500"/>
      <c r="AD4976" s="500"/>
      <c r="AE4976" s="500"/>
      <c r="AF4976" s="500"/>
      <c r="AG4976" s="500"/>
      <c r="AH4976" s="500"/>
      <c r="AI4976" s="500"/>
      <c r="AJ4976" s="500"/>
      <c r="AK4976" s="500"/>
      <c r="AL4976" s="500"/>
      <c r="AM4976" s="500"/>
      <c r="AN4976" s="500"/>
      <c r="AO4976" s="500"/>
      <c r="AP4976" s="500"/>
    </row>
    <row r="4977" spans="1:42" ht="16.5" customHeight="1">
      <c r="A4977" s="439"/>
      <c r="B4977" s="439"/>
      <c r="C4977" s="439"/>
      <c r="D4977" s="439"/>
      <c r="E4977" s="439"/>
      <c r="F4977" s="439"/>
      <c r="G4977" s="451" t="s">
        <v>3406</v>
      </c>
      <c r="Z4977" s="500"/>
      <c r="AA4977" s="500"/>
      <c r="AB4977" s="500"/>
      <c r="AC4977" s="500"/>
      <c r="AD4977" s="500"/>
      <c r="AE4977" s="500"/>
      <c r="AF4977" s="500"/>
      <c r="AG4977" s="500"/>
      <c r="AH4977" s="500"/>
      <c r="AI4977" s="500"/>
      <c r="AJ4977" s="500"/>
      <c r="AK4977" s="500"/>
      <c r="AL4977" s="500"/>
      <c r="AM4977" s="500"/>
      <c r="AN4977" s="500"/>
      <c r="AO4977" s="500"/>
      <c r="AP4977" s="500"/>
    </row>
    <row r="4978" spans="1:42" ht="16.5" customHeight="1">
      <c r="A4978" s="434"/>
      <c r="B4978" s="505" t="str">
        <f>" 2. 기계경비(인력품의 3%) : "&amp;TEXT(I4978,"#,##0.0")&amp;" * "&amp;AA4978&amp;" %  = "&amp;TEXT(C4978,"#,##0.0")&amp;""</f>
        <v xml:space="preserve"> 2. 기계경비(인력품의 3%) : 42,831.7 * 3 %  = 1,284.9</v>
      </c>
      <c r="C4978" s="506">
        <f>E4978+D4978+F4978</f>
        <v>1284.9000000000001</v>
      </c>
      <c r="D4978" s="506">
        <f>IF(H4978=0,0,ROUNDDOWN(J4978*H4978/100,1))</f>
        <v>0</v>
      </c>
      <c r="E4978" s="506">
        <f>IF(H4978=0,0,ROUNDDOWN(K4978*H4978/100,1))</f>
        <v>0</v>
      </c>
      <c r="F4978" s="506">
        <f>IF(H4978=0,0,ROUNDDOWN(L4978*H4978/100,1))</f>
        <v>1284.9000000000001</v>
      </c>
      <c r="G4978" s="451" t="s">
        <v>3923</v>
      </c>
      <c r="H4978" s="507">
        <f>ROUNDUP(AC4978,14-LEN(ABS(INT(AC4978))))</f>
        <v>3</v>
      </c>
      <c r="I4978" s="508">
        <f>K4978+J4978+L4978</f>
        <v>42831.7</v>
      </c>
      <c r="J4978" s="456">
        <v>0</v>
      </c>
      <c r="K4978" s="456">
        <v>0</v>
      </c>
      <c r="L4978" s="509">
        <f>D4971+D4973</f>
        <v>42831.7</v>
      </c>
      <c r="M4978" s="501" t="s">
        <v>3743</v>
      </c>
      <c r="N4978" s="501" t="s">
        <v>3416</v>
      </c>
      <c r="Z4978" s="501" t="s">
        <v>3500</v>
      </c>
      <c r="AA4978" s="515">
        <v>3</v>
      </c>
      <c r="AB4978" s="501" t="s">
        <v>3418</v>
      </c>
      <c r="AC4978" s="512">
        <f>1*AA4978</f>
        <v>3</v>
      </c>
      <c r="AD4978" s="500"/>
      <c r="AE4978" s="500"/>
      <c r="AF4978" s="500"/>
      <c r="AG4978" s="500"/>
      <c r="AH4978" s="500"/>
      <c r="AI4978" s="500"/>
      <c r="AJ4978" s="500"/>
      <c r="AK4978" s="500"/>
      <c r="AL4978" s="500"/>
      <c r="AM4978" s="500"/>
      <c r="AN4978" s="500"/>
      <c r="AO4978" s="500"/>
      <c r="AP4978" s="500"/>
    </row>
    <row r="4979" spans="1:42" ht="16.5" customHeight="1">
      <c r="A4979" s="439"/>
      <c r="B4979" s="439"/>
      <c r="C4979" s="439"/>
      <c r="D4979" s="439"/>
      <c r="E4979" s="439"/>
      <c r="F4979" s="439"/>
      <c r="G4979" s="451" t="s">
        <v>3406</v>
      </c>
      <c r="Z4979" s="500"/>
      <c r="AA4979" s="500"/>
      <c r="AB4979" s="500"/>
      <c r="AC4979" s="500"/>
      <c r="AD4979" s="500"/>
      <c r="AE4979" s="500"/>
      <c r="AF4979" s="500"/>
      <c r="AG4979" s="500"/>
      <c r="AH4979" s="500"/>
      <c r="AI4979" s="500"/>
      <c r="AJ4979" s="500"/>
      <c r="AK4979" s="500"/>
      <c r="AL4979" s="500"/>
      <c r="AM4979" s="500"/>
      <c r="AN4979" s="500"/>
      <c r="AO4979" s="500"/>
      <c r="AP4979" s="500"/>
    </row>
    <row r="4980" spans="1:42" ht="16.5" customHeight="1">
      <c r="A4980" s="434"/>
      <c r="B4980" s="437" t="s">
        <v>3419</v>
      </c>
      <c r="C4980" s="513">
        <f>E4980+D4980+F4980</f>
        <v>1284.9000000000001</v>
      </c>
      <c r="D4980" s="513">
        <f>SUMIF(N4976:N4979,M4980,D4976:D4979)</f>
        <v>0</v>
      </c>
      <c r="E4980" s="513">
        <f>SUMIF(N4976:N4979,M4980,E4976:E4979)</f>
        <v>0</v>
      </c>
      <c r="F4980" s="513">
        <f>SUMIF(N4976:N4979,M4980,F4976:F4979)</f>
        <v>1284.9000000000001</v>
      </c>
      <c r="G4980" s="451" t="s">
        <v>3420</v>
      </c>
      <c r="M4980" s="501" t="s">
        <v>3416</v>
      </c>
      <c r="N4980" s="501" t="s">
        <v>3421</v>
      </c>
      <c r="Z4980" s="500"/>
      <c r="AA4980" s="500"/>
      <c r="AB4980" s="500"/>
      <c r="AC4980" s="500"/>
      <c r="AD4980" s="500"/>
      <c r="AE4980" s="500"/>
      <c r="AF4980" s="500"/>
      <c r="AG4980" s="500"/>
      <c r="AH4980" s="500"/>
      <c r="AI4980" s="500"/>
      <c r="AJ4980" s="500"/>
      <c r="AK4980" s="500"/>
      <c r="AL4980" s="500"/>
      <c r="AM4980" s="500"/>
      <c r="AN4980" s="500"/>
      <c r="AO4980" s="500"/>
      <c r="AP4980" s="500"/>
    </row>
    <row r="4981" spans="1:42" ht="16.5" customHeight="1">
      <c r="A4981" s="439"/>
      <c r="B4981" s="439"/>
      <c r="C4981" s="504"/>
      <c r="D4981" s="504"/>
      <c r="E4981" s="504"/>
      <c r="F4981" s="504"/>
      <c r="G4981" s="451" t="s">
        <v>3406</v>
      </c>
      <c r="Z4981" s="500"/>
      <c r="AA4981" s="500"/>
      <c r="AB4981" s="500"/>
      <c r="AC4981" s="500"/>
      <c r="AD4981" s="500"/>
      <c r="AE4981" s="500"/>
      <c r="AF4981" s="500"/>
      <c r="AG4981" s="500"/>
      <c r="AH4981" s="500"/>
      <c r="AI4981" s="500"/>
      <c r="AJ4981" s="500"/>
      <c r="AK4981" s="500"/>
      <c r="AL4981" s="500"/>
      <c r="AM4981" s="500"/>
      <c r="AN4981" s="500"/>
      <c r="AO4981" s="500"/>
      <c r="AP4981" s="500"/>
    </row>
    <row r="4982" spans="1:42" ht="16.5" customHeight="1">
      <c r="A4982" s="439"/>
      <c r="B4982" s="439"/>
      <c r="C4982" s="439"/>
      <c r="D4982" s="439"/>
      <c r="E4982" s="439"/>
      <c r="F4982" s="439"/>
      <c r="G4982" s="451" t="s">
        <v>3406</v>
      </c>
      <c r="Z4982" s="500"/>
      <c r="AA4982" s="500"/>
      <c r="AB4982" s="500"/>
      <c r="AC4982" s="500"/>
      <c r="AD4982" s="500"/>
      <c r="AE4982" s="500"/>
      <c r="AF4982" s="500"/>
      <c r="AG4982" s="500"/>
      <c r="AH4982" s="500"/>
      <c r="AI4982" s="500"/>
      <c r="AJ4982" s="500"/>
      <c r="AK4982" s="500"/>
      <c r="AL4982" s="500"/>
      <c r="AM4982" s="500"/>
      <c r="AN4982" s="500"/>
      <c r="AO4982" s="500"/>
      <c r="AP4982" s="500"/>
    </row>
    <row r="4983" spans="1:42" ht="16.5" customHeight="1">
      <c r="A4983" s="434"/>
      <c r="B4983" s="437" t="s">
        <v>3440</v>
      </c>
      <c r="C4983" s="513">
        <f>E4983+D4983+F4983</f>
        <v>44116.6</v>
      </c>
      <c r="D4983" s="513">
        <f>SUMIF(N4957:N4982,M4983,D4957:D4982)</f>
        <v>42831.7</v>
      </c>
      <c r="E4983" s="513">
        <f>SUMIF(N4957:N4982,M4983,E4957:E4982)</f>
        <v>0</v>
      </c>
      <c r="F4983" s="513">
        <f>SUMIF(N4957:N4982,M4983,F4957:F4982)</f>
        <v>1284.9000000000001</v>
      </c>
      <c r="G4983" s="451" t="s">
        <v>3484</v>
      </c>
      <c r="M4983" s="501" t="s">
        <v>3421</v>
      </c>
      <c r="N4983" s="501" t="s">
        <v>2354</v>
      </c>
      <c r="Z4983" s="500"/>
      <c r="AA4983" s="500"/>
      <c r="AB4983" s="500"/>
      <c r="AC4983" s="500"/>
      <c r="AD4983" s="500"/>
      <c r="AE4983" s="500"/>
      <c r="AF4983" s="500"/>
      <c r="AG4983" s="500"/>
      <c r="AH4983" s="500"/>
      <c r="AI4983" s="500"/>
      <c r="AJ4983" s="500"/>
      <c r="AK4983" s="500"/>
      <c r="AL4983" s="500"/>
      <c r="AM4983" s="500"/>
      <c r="AN4983" s="500"/>
      <c r="AO4983" s="500"/>
      <c r="AP4983" s="500"/>
    </row>
    <row r="4984" spans="1:42" ht="16.5" customHeight="1">
      <c r="A4984" s="439"/>
      <c r="B4984" s="439"/>
      <c r="C4984" s="504"/>
      <c r="D4984" s="504"/>
      <c r="E4984" s="504"/>
      <c r="F4984" s="504"/>
      <c r="Z4984" s="500"/>
      <c r="AA4984" s="500"/>
      <c r="AB4984" s="500"/>
      <c r="AC4984" s="500"/>
      <c r="AD4984" s="500"/>
      <c r="AE4984" s="500"/>
      <c r="AF4984" s="500"/>
      <c r="AG4984" s="500"/>
      <c r="AH4984" s="500"/>
      <c r="AI4984" s="500"/>
      <c r="AJ4984" s="500"/>
      <c r="AK4984" s="500"/>
      <c r="AL4984" s="500"/>
      <c r="AM4984" s="500"/>
      <c r="AN4984" s="500"/>
      <c r="AO4984" s="500"/>
      <c r="AP4984" s="500"/>
    </row>
    <row r="4985" spans="1:42" ht="16.5" customHeight="1">
      <c r="A4985" s="439"/>
      <c r="B4985" s="439"/>
      <c r="C4985" s="439"/>
      <c r="D4985" s="439"/>
      <c r="E4985" s="439"/>
      <c r="F4985" s="439"/>
      <c r="Z4985" s="500"/>
      <c r="AA4985" s="500"/>
      <c r="AB4985" s="500"/>
      <c r="AC4985" s="500"/>
      <c r="AD4985" s="500"/>
      <c r="AE4985" s="500"/>
      <c r="AF4985" s="500"/>
      <c r="AG4985" s="500"/>
      <c r="AH4985" s="500"/>
      <c r="AI4985" s="500"/>
      <c r="AJ4985" s="500"/>
      <c r="AK4985" s="500"/>
      <c r="AL4985" s="500"/>
      <c r="AM4985" s="500"/>
      <c r="AN4985" s="500"/>
      <c r="AO4985" s="500"/>
      <c r="AP4985" s="500"/>
    </row>
    <row r="4986" spans="1:42" ht="16.5" customHeight="1">
      <c r="A4986" s="439"/>
      <c r="B4986" s="439"/>
      <c r="C4986" s="439"/>
      <c r="D4986" s="439"/>
      <c r="E4986" s="439"/>
      <c r="F4986" s="439"/>
      <c r="Z4986" s="500"/>
      <c r="AA4986" s="500"/>
      <c r="AB4986" s="500"/>
      <c r="AC4986" s="500"/>
      <c r="AD4986" s="500"/>
      <c r="AE4986" s="500"/>
      <c r="AF4986" s="500"/>
      <c r="AG4986" s="500"/>
      <c r="AH4986" s="500"/>
      <c r="AI4986" s="500"/>
      <c r="AJ4986" s="500"/>
      <c r="AK4986" s="500"/>
      <c r="AL4986" s="500"/>
      <c r="AM4986" s="500"/>
      <c r="AN4986" s="500"/>
      <c r="AO4986" s="500"/>
      <c r="AP4986" s="500"/>
    </row>
    <row r="4987" spans="1:42" ht="16.5" customHeight="1">
      <c r="A4987" s="439"/>
      <c r="B4987" s="439"/>
      <c r="C4987" s="439"/>
      <c r="D4987" s="439"/>
      <c r="E4987" s="439"/>
      <c r="F4987" s="439"/>
      <c r="Z4987" s="500"/>
      <c r="AA4987" s="500"/>
      <c r="AB4987" s="500"/>
      <c r="AC4987" s="500"/>
      <c r="AD4987" s="500"/>
      <c r="AE4987" s="500"/>
      <c r="AF4987" s="500"/>
      <c r="AG4987" s="500"/>
      <c r="AH4987" s="500"/>
      <c r="AI4987" s="500"/>
      <c r="AJ4987" s="500"/>
      <c r="AK4987" s="500"/>
      <c r="AL4987" s="500"/>
      <c r="AM4987" s="500"/>
      <c r="AN4987" s="500"/>
      <c r="AO4987" s="500"/>
      <c r="AP4987" s="500"/>
    </row>
    <row r="4988" spans="1:42" ht="16.5" customHeight="1">
      <c r="A4988" s="439"/>
      <c r="B4988" s="439"/>
      <c r="C4988" s="439"/>
      <c r="D4988" s="439"/>
      <c r="E4988" s="439"/>
      <c r="F4988" s="439"/>
      <c r="Z4988" s="500"/>
      <c r="AA4988" s="500"/>
      <c r="AB4988" s="500"/>
      <c r="AC4988" s="500"/>
      <c r="AD4988" s="500"/>
      <c r="AE4988" s="500"/>
      <c r="AF4988" s="500"/>
      <c r="AG4988" s="500"/>
      <c r="AH4988" s="500"/>
      <c r="AI4988" s="500"/>
      <c r="AJ4988" s="500"/>
      <c r="AK4988" s="500"/>
      <c r="AL4988" s="500"/>
      <c r="AM4988" s="500"/>
      <c r="AN4988" s="500"/>
      <c r="AO4988" s="500"/>
      <c r="AP4988" s="500"/>
    </row>
    <row r="4989" spans="1:42" ht="16.5" customHeight="1">
      <c r="A4989" s="439"/>
      <c r="B4989" s="439"/>
      <c r="C4989" s="439"/>
      <c r="D4989" s="439"/>
      <c r="E4989" s="439"/>
      <c r="F4989" s="439"/>
      <c r="Z4989" s="500"/>
      <c r="AA4989" s="500"/>
      <c r="AB4989" s="500"/>
      <c r="AC4989" s="500"/>
      <c r="AD4989" s="500"/>
      <c r="AE4989" s="500"/>
      <c r="AF4989" s="500"/>
      <c r="AG4989" s="500"/>
      <c r="AH4989" s="500"/>
      <c r="AI4989" s="500"/>
      <c r="AJ4989" s="500"/>
      <c r="AK4989" s="500"/>
      <c r="AL4989" s="500"/>
      <c r="AM4989" s="500"/>
      <c r="AN4989" s="500"/>
      <c r="AO4989" s="500"/>
      <c r="AP4989" s="500"/>
    </row>
    <row r="4990" spans="1:42" ht="16.5" customHeight="1">
      <c r="A4990" s="439"/>
      <c r="B4990" s="439"/>
      <c r="C4990" s="439"/>
      <c r="D4990" s="439"/>
      <c r="E4990" s="439"/>
      <c r="F4990" s="439"/>
      <c r="Z4990" s="500"/>
      <c r="AA4990" s="500"/>
      <c r="AB4990" s="500"/>
      <c r="AC4990" s="500"/>
      <c r="AD4990" s="500"/>
      <c r="AE4990" s="500"/>
      <c r="AF4990" s="500"/>
      <c r="AG4990" s="500"/>
      <c r="AH4990" s="500"/>
      <c r="AI4990" s="500"/>
      <c r="AJ4990" s="500"/>
      <c r="AK4990" s="500"/>
      <c r="AL4990" s="500"/>
      <c r="AM4990" s="500"/>
      <c r="AN4990" s="500"/>
      <c r="AO4990" s="500"/>
      <c r="AP4990" s="500"/>
    </row>
    <row r="4991" spans="1:42" ht="16.5" customHeight="1">
      <c r="A4991" s="439"/>
      <c r="B4991" s="439"/>
      <c r="C4991" s="439"/>
      <c r="D4991" s="439"/>
      <c r="E4991" s="439"/>
      <c r="F4991" s="439"/>
      <c r="Z4991" s="500"/>
      <c r="AA4991" s="500"/>
      <c r="AB4991" s="500"/>
      <c r="AC4991" s="500"/>
      <c r="AD4991" s="500"/>
      <c r="AE4991" s="500"/>
      <c r="AF4991" s="500"/>
      <c r="AG4991" s="500"/>
      <c r="AH4991" s="500"/>
      <c r="AI4991" s="500"/>
      <c r="AJ4991" s="500"/>
      <c r="AK4991" s="500"/>
      <c r="AL4991" s="500"/>
      <c r="AM4991" s="500"/>
      <c r="AN4991" s="500"/>
      <c r="AO4991" s="500"/>
      <c r="AP4991" s="500"/>
    </row>
    <row r="4992" spans="1:42" ht="16.5" customHeight="1">
      <c r="A4992" s="439"/>
      <c r="B4992" s="439"/>
      <c r="C4992" s="439"/>
      <c r="D4992" s="439"/>
      <c r="E4992" s="439"/>
      <c r="F4992" s="439"/>
      <c r="Z4992" s="500"/>
      <c r="AA4992" s="500"/>
      <c r="AB4992" s="500"/>
      <c r="AC4992" s="500"/>
      <c r="AD4992" s="500"/>
      <c r="AE4992" s="500"/>
      <c r="AF4992" s="500"/>
      <c r="AG4992" s="500"/>
      <c r="AH4992" s="500"/>
      <c r="AI4992" s="500"/>
      <c r="AJ4992" s="500"/>
      <c r="AK4992" s="500"/>
      <c r="AL4992" s="500"/>
      <c r="AM4992" s="500"/>
      <c r="AN4992" s="500"/>
      <c r="AO4992" s="500"/>
      <c r="AP4992" s="500"/>
    </row>
    <row r="4993" spans="1:42" ht="16.5" customHeight="1">
      <c r="A4993" s="439"/>
      <c r="B4993" s="439"/>
      <c r="C4993" s="439"/>
      <c r="D4993" s="439"/>
      <c r="E4993" s="439"/>
      <c r="F4993" s="439"/>
      <c r="Z4993" s="500"/>
      <c r="AA4993" s="500"/>
      <c r="AB4993" s="500"/>
      <c r="AC4993" s="500"/>
      <c r="AD4993" s="500"/>
      <c r="AE4993" s="500"/>
      <c r="AF4993" s="500"/>
      <c r="AG4993" s="500"/>
      <c r="AH4993" s="500"/>
      <c r="AI4993" s="500"/>
      <c r="AJ4993" s="500"/>
      <c r="AK4993" s="500"/>
      <c r="AL4993" s="500"/>
      <c r="AM4993" s="500"/>
      <c r="AN4993" s="500"/>
      <c r="AO4993" s="500"/>
      <c r="AP4993" s="500"/>
    </row>
    <row r="4994" spans="1:42" ht="16.5" customHeight="1">
      <c r="A4994" s="439"/>
      <c r="B4994" s="439"/>
      <c r="C4994" s="439"/>
      <c r="D4994" s="439"/>
      <c r="E4994" s="439"/>
      <c r="F4994" s="439"/>
      <c r="Z4994" s="500"/>
      <c r="AA4994" s="500"/>
      <c r="AB4994" s="500"/>
      <c r="AC4994" s="500"/>
      <c r="AD4994" s="500"/>
      <c r="AE4994" s="500"/>
      <c r="AF4994" s="500"/>
      <c r="AG4994" s="500"/>
      <c r="AH4994" s="500"/>
      <c r="AI4994" s="500"/>
      <c r="AJ4994" s="500"/>
      <c r="AK4994" s="500"/>
      <c r="AL4994" s="500"/>
      <c r="AM4994" s="500"/>
      <c r="AN4994" s="500"/>
      <c r="AO4994" s="500"/>
      <c r="AP4994" s="500"/>
    </row>
    <row r="4995" spans="1:42" ht="16.5" customHeight="1">
      <c r="A4995" s="439"/>
      <c r="B4995" s="439"/>
      <c r="C4995" s="439"/>
      <c r="D4995" s="439"/>
      <c r="E4995" s="439"/>
      <c r="F4995" s="439"/>
      <c r="Z4995" s="500"/>
      <c r="AA4995" s="500"/>
      <c r="AB4995" s="500"/>
      <c r="AC4995" s="500"/>
      <c r="AD4995" s="500"/>
      <c r="AE4995" s="500"/>
      <c r="AF4995" s="500"/>
      <c r="AG4995" s="500"/>
      <c r="AH4995" s="500"/>
      <c r="AI4995" s="500"/>
      <c r="AJ4995" s="500"/>
      <c r="AK4995" s="500"/>
      <c r="AL4995" s="500"/>
      <c r="AM4995" s="500"/>
      <c r="AN4995" s="500"/>
      <c r="AO4995" s="500"/>
      <c r="AP4995" s="500"/>
    </row>
    <row r="4996" spans="1:42" ht="16.5" customHeight="1">
      <c r="A4996" s="439"/>
      <c r="B4996" s="439"/>
      <c r="C4996" s="439"/>
      <c r="D4996" s="439"/>
      <c r="E4996" s="439"/>
      <c r="F4996" s="439"/>
      <c r="Z4996" s="500"/>
      <c r="AA4996" s="500"/>
      <c r="AB4996" s="500"/>
      <c r="AC4996" s="500"/>
      <c r="AD4996" s="500"/>
      <c r="AE4996" s="500"/>
      <c r="AF4996" s="500"/>
      <c r="AG4996" s="500"/>
      <c r="AH4996" s="500"/>
      <c r="AI4996" s="500"/>
      <c r="AJ4996" s="500"/>
      <c r="AK4996" s="500"/>
      <c r="AL4996" s="500"/>
      <c r="AM4996" s="500"/>
      <c r="AN4996" s="500"/>
      <c r="AO4996" s="500"/>
      <c r="AP4996" s="500"/>
    </row>
    <row r="4997" spans="1:42" ht="16.5" customHeight="1">
      <c r="A4997" s="439"/>
      <c r="B4997" s="439"/>
      <c r="C4997" s="439"/>
      <c r="D4997" s="439"/>
      <c r="E4997" s="439"/>
      <c r="F4997" s="439"/>
      <c r="Z4997" s="500"/>
      <c r="AA4997" s="500"/>
      <c r="AB4997" s="500"/>
      <c r="AC4997" s="500"/>
      <c r="AD4997" s="500"/>
      <c r="AE4997" s="500"/>
      <c r="AF4997" s="500"/>
      <c r="AG4997" s="500"/>
      <c r="AH4997" s="500"/>
      <c r="AI4997" s="500"/>
      <c r="AJ4997" s="500"/>
      <c r="AK4997" s="500"/>
      <c r="AL4997" s="500"/>
      <c r="AM4997" s="500"/>
      <c r="AN4997" s="500"/>
      <c r="AO4997" s="500"/>
      <c r="AP4997" s="500"/>
    </row>
    <row r="4998" spans="1:42" ht="16.5" customHeight="1">
      <c r="A4998" s="439"/>
      <c r="B4998" s="439"/>
      <c r="C4998" s="439"/>
      <c r="D4998" s="439"/>
      <c r="E4998" s="439"/>
      <c r="F4998" s="439"/>
      <c r="Z4998" s="500"/>
      <c r="AA4998" s="500"/>
      <c r="AB4998" s="500"/>
      <c r="AC4998" s="500"/>
      <c r="AD4998" s="500"/>
      <c r="AE4998" s="500"/>
      <c r="AF4998" s="500"/>
      <c r="AG4998" s="500"/>
      <c r="AH4998" s="500"/>
      <c r="AI4998" s="500"/>
      <c r="AJ4998" s="500"/>
      <c r="AK4998" s="500"/>
      <c r="AL4998" s="500"/>
      <c r="AM4998" s="500"/>
      <c r="AN4998" s="500"/>
      <c r="AO4998" s="500"/>
      <c r="AP4998" s="500"/>
    </row>
    <row r="4999" spans="1:42" ht="16.5" customHeight="1">
      <c r="A4999" s="439"/>
      <c r="B4999" s="439"/>
      <c r="C4999" s="439"/>
      <c r="D4999" s="439"/>
      <c r="E4999" s="439"/>
      <c r="F4999" s="439"/>
      <c r="Z4999" s="500"/>
      <c r="AA4999" s="500"/>
      <c r="AB4999" s="500"/>
      <c r="AC4999" s="500"/>
      <c r="AD4999" s="500"/>
      <c r="AE4999" s="500"/>
      <c r="AF4999" s="500"/>
      <c r="AG4999" s="500"/>
      <c r="AH4999" s="500"/>
      <c r="AI4999" s="500"/>
      <c r="AJ4999" s="500"/>
      <c r="AK4999" s="500"/>
      <c r="AL4999" s="500"/>
      <c r="AM4999" s="500"/>
      <c r="AN4999" s="500"/>
      <c r="AO4999" s="500"/>
      <c r="AP4999" s="500"/>
    </row>
    <row r="5000" spans="1:42" ht="16.5" customHeight="1">
      <c r="A5000" s="439"/>
      <c r="B5000" s="439"/>
      <c r="C5000" s="439"/>
      <c r="D5000" s="439"/>
      <c r="E5000" s="439"/>
      <c r="F5000" s="439"/>
      <c r="Z5000" s="500"/>
      <c r="AA5000" s="500"/>
      <c r="AB5000" s="500"/>
      <c r="AC5000" s="500"/>
      <c r="AD5000" s="500"/>
      <c r="AE5000" s="500"/>
      <c r="AF5000" s="500"/>
      <c r="AG5000" s="500"/>
      <c r="AH5000" s="500"/>
      <c r="AI5000" s="500"/>
      <c r="AJ5000" s="500"/>
      <c r="AK5000" s="500"/>
      <c r="AL5000" s="500"/>
      <c r="AM5000" s="500"/>
      <c r="AN5000" s="500"/>
      <c r="AO5000" s="500"/>
      <c r="AP5000" s="500"/>
    </row>
    <row r="5001" spans="1:42" ht="16.5" customHeight="1">
      <c r="A5001" s="439"/>
      <c r="B5001" s="439"/>
      <c r="C5001" s="439"/>
      <c r="D5001" s="439"/>
      <c r="E5001" s="439"/>
      <c r="F5001" s="439"/>
      <c r="Z5001" s="500"/>
      <c r="AA5001" s="500"/>
      <c r="AB5001" s="500"/>
      <c r="AC5001" s="500"/>
      <c r="AD5001" s="500"/>
      <c r="AE5001" s="500"/>
      <c r="AF5001" s="500"/>
      <c r="AG5001" s="500"/>
      <c r="AH5001" s="500"/>
      <c r="AI5001" s="500"/>
      <c r="AJ5001" s="500"/>
      <c r="AK5001" s="500"/>
      <c r="AL5001" s="500"/>
      <c r="AM5001" s="500"/>
      <c r="AN5001" s="500"/>
      <c r="AO5001" s="500"/>
      <c r="AP5001" s="500"/>
    </row>
    <row r="5002" spans="1:42" ht="16.5" customHeight="1">
      <c r="A5002" s="439"/>
      <c r="B5002" s="439"/>
      <c r="C5002" s="439"/>
      <c r="D5002" s="439"/>
      <c r="E5002" s="439"/>
      <c r="F5002" s="439"/>
      <c r="Z5002" s="500"/>
      <c r="AA5002" s="500"/>
      <c r="AB5002" s="500"/>
      <c r="AC5002" s="500"/>
      <c r="AD5002" s="500"/>
      <c r="AE5002" s="500"/>
      <c r="AF5002" s="500"/>
      <c r="AG5002" s="500"/>
      <c r="AH5002" s="500"/>
      <c r="AI5002" s="500"/>
      <c r="AJ5002" s="500"/>
      <c r="AK5002" s="500"/>
      <c r="AL5002" s="500"/>
      <c r="AM5002" s="500"/>
      <c r="AN5002" s="500"/>
      <c r="AO5002" s="500"/>
      <c r="AP5002" s="500"/>
    </row>
    <row r="5003" spans="1:42" ht="16.5" customHeight="1">
      <c r="A5003" s="497"/>
      <c r="B5003" s="497"/>
      <c r="C5003" s="497"/>
      <c r="D5003" s="497"/>
      <c r="E5003" s="497"/>
      <c r="F5003" s="497"/>
      <c r="Z5003" s="500"/>
      <c r="AA5003" s="500"/>
      <c r="AB5003" s="500"/>
      <c r="AC5003" s="500"/>
      <c r="AD5003" s="500"/>
      <c r="AE5003" s="500"/>
      <c r="AF5003" s="500"/>
      <c r="AG5003" s="500"/>
      <c r="AH5003" s="500"/>
      <c r="AI5003" s="500"/>
      <c r="AJ5003" s="500"/>
      <c r="AK5003" s="500"/>
      <c r="AL5003" s="500"/>
      <c r="AM5003" s="500"/>
      <c r="AN5003" s="500"/>
      <c r="AO5003" s="500"/>
      <c r="AP5003" s="500"/>
    </row>
    <row r="5004" spans="1:42" ht="16.5" customHeight="1">
      <c r="A5004" s="616" t="s">
        <v>3487</v>
      </c>
      <c r="B5004" s="605"/>
      <c r="C5004" s="446">
        <f>E5004+D5004+F5004</f>
        <v>44115</v>
      </c>
      <c r="D5004" s="453">
        <f>ROUNDDOWN(SUMIF(N4957:N4983,M5004,D4957:D4983),0)</f>
        <v>42831</v>
      </c>
      <c r="E5004" s="454">
        <f>ROUNDDOWN(SUMIF(N4957:N4983,M5004,E4957:E4983),0)</f>
        <v>0</v>
      </c>
      <c r="F5004" s="446">
        <f>ROUNDDOWN(SUMIF(N4957:N4983,M5004,F4957:F4983),0)</f>
        <v>1284</v>
      </c>
      <c r="M5004" s="501" t="s">
        <v>2354</v>
      </c>
      <c r="Z5004" s="500"/>
      <c r="AA5004" s="500"/>
      <c r="AB5004" s="500"/>
      <c r="AC5004" s="500"/>
      <c r="AD5004" s="500"/>
      <c r="AE5004" s="500"/>
      <c r="AF5004" s="500"/>
      <c r="AG5004" s="500"/>
      <c r="AH5004" s="500"/>
      <c r="AI5004" s="500"/>
      <c r="AJ5004" s="500"/>
      <c r="AK5004" s="500"/>
      <c r="AL5004" s="500"/>
      <c r="AM5004" s="500"/>
      <c r="AN5004" s="500"/>
      <c r="AO5004" s="500"/>
      <c r="AP5004" s="500"/>
    </row>
    <row r="5005" spans="1:42" ht="16.5" customHeight="1">
      <c r="A5005" s="502" t="s">
        <v>3371</v>
      </c>
      <c r="B5005" s="503" t="s">
        <v>5450</v>
      </c>
      <c r="C5005" s="615">
        <f>C5054</f>
        <v>21058</v>
      </c>
      <c r="D5005" s="615">
        <f>D5054</f>
        <v>20523</v>
      </c>
      <c r="E5005" s="615">
        <f>E5054</f>
        <v>0</v>
      </c>
      <c r="F5005" s="615">
        <f>F5054</f>
        <v>535</v>
      </c>
      <c r="G5005" s="486" t="str">
        <f>HYPERLINK("#G"&amp;ROW(G5036),"_x0005_`BDCOD|D01362_x0007_`POSS|"&amp;ROW(G5007)&amp;"_x0007_`POSE|"&amp;ROW(G5036)&amp;"_x0007_`")</f>
        <v>_x0005_`BDCOD|D01362_x0007_`POSS|5007_x0007_`POSE|5036_x0007_`</v>
      </c>
      <c r="Z5005" s="500"/>
      <c r="AA5005" s="500"/>
      <c r="AB5005" s="500"/>
      <c r="AC5005" s="500"/>
      <c r="AD5005" s="500"/>
      <c r="AE5005" s="500"/>
      <c r="AF5005" s="500"/>
      <c r="AG5005" s="500"/>
      <c r="AH5005" s="500"/>
      <c r="AI5005" s="500"/>
      <c r="AJ5005" s="500"/>
      <c r="AK5005" s="500"/>
      <c r="AL5005" s="500"/>
      <c r="AM5005" s="500"/>
      <c r="AN5005" s="500"/>
      <c r="AO5005" s="500"/>
      <c r="AP5005" s="500"/>
    </row>
    <row r="5006" spans="1:42" ht="16.5" customHeight="1">
      <c r="A5006" s="485"/>
      <c r="B5006" s="503" t="s">
        <v>5626</v>
      </c>
      <c r="C5006" s="593"/>
      <c r="D5006" s="593"/>
      <c r="E5006" s="593"/>
      <c r="F5006" s="593"/>
      <c r="M5006" s="501" t="s">
        <v>5450</v>
      </c>
      <c r="Z5006" s="500"/>
      <c r="AA5006" s="500"/>
      <c r="AB5006" s="500"/>
      <c r="AC5006" s="500"/>
      <c r="AD5006" s="500"/>
      <c r="AE5006" s="500"/>
      <c r="AF5006" s="500"/>
      <c r="AG5006" s="500"/>
      <c r="AH5006" s="500"/>
      <c r="AI5006" s="500"/>
      <c r="AJ5006" s="500"/>
      <c r="AK5006" s="500"/>
      <c r="AL5006" s="500"/>
      <c r="AM5006" s="500"/>
      <c r="AN5006" s="500"/>
      <c r="AO5006" s="500"/>
      <c r="AP5006" s="500"/>
    </row>
    <row r="5007" spans="1:42" ht="16.5" customHeight="1">
      <c r="A5007" s="439"/>
      <c r="B5007" s="439"/>
      <c r="C5007" s="504"/>
      <c r="D5007" s="504"/>
      <c r="E5007" s="504"/>
      <c r="F5007" s="504"/>
      <c r="G5007" s="451" t="s">
        <v>3406</v>
      </c>
      <c r="Z5007" s="500"/>
      <c r="AA5007" s="500"/>
      <c r="AB5007" s="500"/>
      <c r="AC5007" s="500"/>
      <c r="AD5007" s="500"/>
      <c r="AE5007" s="500"/>
      <c r="AF5007" s="500"/>
      <c r="AG5007" s="500"/>
      <c r="AH5007" s="500"/>
      <c r="AI5007" s="500"/>
      <c r="AJ5007" s="500"/>
      <c r="AK5007" s="500"/>
      <c r="AL5007" s="500"/>
      <c r="AM5007" s="500"/>
      <c r="AN5007" s="500"/>
      <c r="AO5007" s="500"/>
      <c r="AP5007" s="500"/>
    </row>
    <row r="5008" spans="1:42" ht="16.5" customHeight="1">
      <c r="A5008" s="434"/>
      <c r="B5008" s="437" t="s">
        <v>3953</v>
      </c>
      <c r="C5008" s="439"/>
      <c r="D5008" s="439"/>
      <c r="E5008" s="439"/>
      <c r="F5008" s="439"/>
      <c r="G5008" s="451" t="s">
        <v>3954</v>
      </c>
      <c r="Z5008" s="500"/>
      <c r="AA5008" s="500"/>
      <c r="AB5008" s="500"/>
      <c r="AC5008" s="500"/>
      <c r="AD5008" s="500"/>
      <c r="AE5008" s="500"/>
      <c r="AF5008" s="500"/>
      <c r="AG5008" s="500"/>
      <c r="AH5008" s="500"/>
      <c r="AI5008" s="500"/>
      <c r="AJ5008" s="500"/>
      <c r="AK5008" s="500"/>
      <c r="AL5008" s="500"/>
      <c r="AM5008" s="500"/>
      <c r="AN5008" s="500"/>
      <c r="AO5008" s="500"/>
      <c r="AP5008" s="500"/>
    </row>
    <row r="5009" spans="1:42" ht="16.5" customHeight="1">
      <c r="A5009" s="439"/>
      <c r="B5009" s="439"/>
      <c r="C5009" s="439"/>
      <c r="D5009" s="439"/>
      <c r="E5009" s="439"/>
      <c r="F5009" s="439"/>
      <c r="G5009" s="451" t="s">
        <v>3406</v>
      </c>
      <c r="Z5009" s="500"/>
      <c r="AA5009" s="500"/>
      <c r="AB5009" s="500"/>
      <c r="AC5009" s="500"/>
      <c r="AD5009" s="500"/>
      <c r="AE5009" s="500"/>
      <c r="AF5009" s="500"/>
      <c r="AG5009" s="500"/>
      <c r="AH5009" s="500"/>
      <c r="AI5009" s="500"/>
      <c r="AJ5009" s="500"/>
      <c r="AK5009" s="500"/>
      <c r="AL5009" s="500"/>
      <c r="AM5009" s="500"/>
      <c r="AN5009" s="500"/>
      <c r="AO5009" s="500"/>
      <c r="AP5009" s="500"/>
    </row>
    <row r="5010" spans="1:42" ht="16.5" customHeight="1">
      <c r="A5010" s="434"/>
      <c r="B5010" s="437" t="s">
        <v>3907</v>
      </c>
      <c r="C5010" s="439"/>
      <c r="D5010" s="439"/>
      <c r="E5010" s="439"/>
      <c r="F5010" s="439"/>
      <c r="G5010" s="451" t="s">
        <v>3908</v>
      </c>
      <c r="Z5010" s="500"/>
      <c r="AA5010" s="500"/>
      <c r="AB5010" s="500"/>
      <c r="AC5010" s="500"/>
      <c r="AD5010" s="500"/>
      <c r="AE5010" s="500"/>
      <c r="AF5010" s="500"/>
      <c r="AG5010" s="500"/>
      <c r="AH5010" s="500"/>
      <c r="AI5010" s="500"/>
      <c r="AJ5010" s="500"/>
      <c r="AK5010" s="500"/>
      <c r="AL5010" s="500"/>
      <c r="AM5010" s="500"/>
      <c r="AN5010" s="500"/>
      <c r="AO5010" s="500"/>
      <c r="AP5010" s="500"/>
    </row>
    <row r="5011" spans="1:42" ht="16.5" customHeight="1">
      <c r="A5011" s="439"/>
      <c r="B5011" s="439"/>
      <c r="C5011" s="439"/>
      <c r="D5011" s="439"/>
      <c r="E5011" s="439"/>
      <c r="F5011" s="439"/>
      <c r="G5011" s="451" t="s">
        <v>3406</v>
      </c>
      <c r="Z5011" s="500"/>
      <c r="AA5011" s="500"/>
      <c r="AB5011" s="500"/>
      <c r="AC5011" s="500"/>
      <c r="AD5011" s="500"/>
      <c r="AE5011" s="500"/>
      <c r="AF5011" s="500"/>
      <c r="AG5011" s="500"/>
      <c r="AH5011" s="500"/>
      <c r="AI5011" s="500"/>
      <c r="AJ5011" s="500"/>
      <c r="AK5011" s="500"/>
      <c r="AL5011" s="500"/>
      <c r="AM5011" s="500"/>
      <c r="AN5011" s="500"/>
      <c r="AO5011" s="500"/>
      <c r="AP5011" s="500"/>
    </row>
    <row r="5012" spans="1:42" ht="16.5" customHeight="1">
      <c r="A5012" s="434"/>
      <c r="B5012" s="437" t="s">
        <v>3955</v>
      </c>
      <c r="C5012" s="439"/>
      <c r="D5012" s="439"/>
      <c r="E5012" s="439"/>
      <c r="F5012" s="439"/>
      <c r="G5012" s="451" t="s">
        <v>3956</v>
      </c>
      <c r="Z5012" s="500"/>
      <c r="AA5012" s="500"/>
      <c r="AB5012" s="500"/>
      <c r="AC5012" s="500"/>
      <c r="AD5012" s="500"/>
      <c r="AE5012" s="500"/>
      <c r="AF5012" s="500"/>
      <c r="AG5012" s="500"/>
      <c r="AH5012" s="500"/>
      <c r="AI5012" s="500"/>
      <c r="AJ5012" s="500"/>
      <c r="AK5012" s="500"/>
      <c r="AL5012" s="500"/>
      <c r="AM5012" s="500"/>
      <c r="AN5012" s="500"/>
      <c r="AO5012" s="500"/>
      <c r="AP5012" s="500"/>
    </row>
    <row r="5013" spans="1:42" ht="16.5" customHeight="1">
      <c r="A5013" s="439"/>
      <c r="B5013" s="439"/>
      <c r="C5013" s="439"/>
      <c r="D5013" s="439"/>
      <c r="E5013" s="439"/>
      <c r="F5013" s="439"/>
      <c r="G5013" s="451" t="s">
        <v>3406</v>
      </c>
      <c r="Z5013" s="500"/>
      <c r="AA5013" s="500"/>
      <c r="AB5013" s="500"/>
      <c r="AC5013" s="500"/>
      <c r="AD5013" s="500"/>
      <c r="AE5013" s="500"/>
      <c r="AF5013" s="500"/>
      <c r="AG5013" s="500"/>
      <c r="AH5013" s="500"/>
      <c r="AI5013" s="500"/>
      <c r="AJ5013" s="500"/>
      <c r="AK5013" s="500"/>
      <c r="AL5013" s="500"/>
      <c r="AM5013" s="500"/>
      <c r="AN5013" s="500"/>
      <c r="AO5013" s="500"/>
      <c r="AP5013" s="500"/>
    </row>
    <row r="5014" spans="1:42" ht="16.5" customHeight="1">
      <c r="A5014" s="434"/>
      <c r="B5014" s="437" t="str">
        <f>" 일당 작업량 :  Q1 = "&amp;Z5014&amp;" 주 "</f>
        <v xml:space="preserve"> 일당 작업량 :  Q1 = 36 주 </v>
      </c>
      <c r="C5014" s="439"/>
      <c r="D5014" s="439"/>
      <c r="E5014" s="439"/>
      <c r="F5014" s="439"/>
      <c r="G5014" s="451" t="s">
        <v>3957</v>
      </c>
      <c r="Z5014" s="515">
        <v>36</v>
      </c>
      <c r="AA5014" s="501" t="s">
        <v>3418</v>
      </c>
      <c r="AB5014" s="512">
        <f>Z5014</f>
        <v>36</v>
      </c>
      <c r="AC5014" s="500"/>
      <c r="AD5014" s="500"/>
      <c r="AE5014" s="500"/>
      <c r="AF5014" s="500"/>
      <c r="AG5014" s="500"/>
      <c r="AH5014" s="500"/>
      <c r="AI5014" s="500"/>
      <c r="AJ5014" s="500"/>
      <c r="AK5014" s="500"/>
      <c r="AL5014" s="500"/>
      <c r="AM5014" s="500"/>
      <c r="AN5014" s="500"/>
      <c r="AO5014" s="500"/>
      <c r="AP5014" s="500"/>
    </row>
    <row r="5015" spans="1:42" ht="16.5" customHeight="1">
      <c r="A5015" s="439"/>
      <c r="B5015" s="439"/>
      <c r="C5015" s="439"/>
      <c r="D5015" s="439"/>
      <c r="E5015" s="439"/>
      <c r="F5015" s="439"/>
      <c r="G5015" s="451" t="s">
        <v>3406</v>
      </c>
      <c r="Z5015" s="500"/>
      <c r="AA5015" s="500"/>
      <c r="AB5015" s="500"/>
      <c r="AC5015" s="500"/>
      <c r="AD5015" s="500"/>
      <c r="AE5015" s="500"/>
      <c r="AF5015" s="500"/>
      <c r="AG5015" s="500"/>
      <c r="AH5015" s="500"/>
      <c r="AI5015" s="500"/>
      <c r="AJ5015" s="500"/>
      <c r="AK5015" s="500"/>
      <c r="AL5015" s="500"/>
      <c r="AM5015" s="500"/>
      <c r="AN5015" s="500"/>
      <c r="AO5015" s="500"/>
      <c r="AP5015" s="500"/>
    </row>
    <row r="5016" spans="1:42" ht="16.5" customHeight="1">
      <c r="A5016" s="434"/>
      <c r="B5016" s="437" t="s">
        <v>3958</v>
      </c>
      <c r="C5016" s="439"/>
      <c r="D5016" s="439"/>
      <c r="E5016" s="439"/>
      <c r="F5016" s="439"/>
      <c r="G5016" s="451" t="s">
        <v>3959</v>
      </c>
      <c r="Z5016" s="500"/>
      <c r="AA5016" s="500"/>
      <c r="AB5016" s="500"/>
      <c r="AC5016" s="500"/>
      <c r="AD5016" s="500"/>
      <c r="AE5016" s="500"/>
      <c r="AF5016" s="500"/>
      <c r="AG5016" s="500"/>
      <c r="AH5016" s="500"/>
      <c r="AI5016" s="500"/>
      <c r="AJ5016" s="500"/>
      <c r="AK5016" s="500"/>
      <c r="AL5016" s="500"/>
      <c r="AM5016" s="500"/>
      <c r="AN5016" s="500"/>
      <c r="AO5016" s="500"/>
      <c r="AP5016" s="500"/>
    </row>
    <row r="5017" spans="1:42" ht="16.5" customHeight="1">
      <c r="A5017" s="439"/>
      <c r="B5017" s="439"/>
      <c r="C5017" s="439"/>
      <c r="D5017" s="439"/>
      <c r="E5017" s="439"/>
      <c r="F5017" s="439"/>
      <c r="G5017" s="451" t="s">
        <v>3406</v>
      </c>
      <c r="Z5017" s="500"/>
      <c r="AA5017" s="500"/>
      <c r="AB5017" s="500"/>
      <c r="AC5017" s="500"/>
      <c r="AD5017" s="500"/>
      <c r="AE5017" s="500"/>
      <c r="AF5017" s="500"/>
      <c r="AG5017" s="500"/>
      <c r="AH5017" s="500"/>
      <c r="AI5017" s="500"/>
      <c r="AJ5017" s="500"/>
      <c r="AK5017" s="500"/>
      <c r="AL5017" s="500"/>
      <c r="AM5017" s="500"/>
      <c r="AN5017" s="500"/>
      <c r="AO5017" s="500"/>
      <c r="AP5017" s="500"/>
    </row>
    <row r="5018" spans="1:42" ht="16.5" customHeight="1">
      <c r="A5018" s="439"/>
      <c r="B5018" s="439"/>
      <c r="C5018" s="439"/>
      <c r="D5018" s="439"/>
      <c r="E5018" s="439"/>
      <c r="F5018" s="439"/>
      <c r="G5018" s="451" t="s">
        <v>3406</v>
      </c>
      <c r="Z5018" s="500"/>
      <c r="AA5018" s="500"/>
      <c r="AB5018" s="500"/>
      <c r="AC5018" s="500"/>
      <c r="AD5018" s="500"/>
      <c r="AE5018" s="500"/>
      <c r="AF5018" s="500"/>
      <c r="AG5018" s="500"/>
      <c r="AH5018" s="500"/>
      <c r="AI5018" s="500"/>
      <c r="AJ5018" s="500"/>
      <c r="AK5018" s="500"/>
      <c r="AL5018" s="500"/>
      <c r="AM5018" s="500"/>
      <c r="AN5018" s="500"/>
      <c r="AO5018" s="500"/>
      <c r="AP5018" s="500"/>
    </row>
    <row r="5019" spans="1:42" ht="16.5" customHeight="1">
      <c r="A5019" s="434"/>
      <c r="B5019" s="437" t="s">
        <v>3496</v>
      </c>
      <c r="C5019" s="439"/>
      <c r="D5019" s="439"/>
      <c r="E5019" s="439"/>
      <c r="F5019" s="439"/>
      <c r="G5019" s="451" t="s">
        <v>3497</v>
      </c>
      <c r="Z5019" s="500"/>
      <c r="AA5019" s="500"/>
      <c r="AB5019" s="500"/>
      <c r="AC5019" s="500"/>
      <c r="AD5019" s="500"/>
      <c r="AE5019" s="500"/>
      <c r="AF5019" s="500"/>
      <c r="AG5019" s="500"/>
      <c r="AH5019" s="500"/>
      <c r="AI5019" s="500"/>
      <c r="AJ5019" s="500"/>
      <c r="AK5019" s="500"/>
      <c r="AL5019" s="500"/>
      <c r="AM5019" s="500"/>
      <c r="AN5019" s="500"/>
      <c r="AO5019" s="500"/>
      <c r="AP5019" s="500"/>
    </row>
    <row r="5020" spans="1:42" ht="16.5" customHeight="1">
      <c r="A5020" s="439"/>
      <c r="B5020" s="439"/>
      <c r="C5020" s="439"/>
      <c r="D5020" s="439"/>
      <c r="E5020" s="439"/>
      <c r="F5020" s="439"/>
      <c r="G5020" s="451" t="s">
        <v>3406</v>
      </c>
      <c r="Z5020" s="500"/>
      <c r="AA5020" s="500"/>
      <c r="AB5020" s="500"/>
      <c r="AC5020" s="500"/>
      <c r="AD5020" s="500"/>
      <c r="AE5020" s="500"/>
      <c r="AF5020" s="500"/>
      <c r="AG5020" s="500"/>
      <c r="AH5020" s="500"/>
      <c r="AI5020" s="500"/>
      <c r="AJ5020" s="500"/>
      <c r="AK5020" s="500"/>
      <c r="AL5020" s="500"/>
      <c r="AM5020" s="500"/>
      <c r="AN5020" s="500"/>
      <c r="AO5020" s="500"/>
      <c r="AP5020" s="500"/>
    </row>
    <row r="5021" spans="1:42" ht="16.5" customHeight="1">
      <c r="A5021" s="434" t="s">
        <v>3498</v>
      </c>
      <c r="B5021" s="505" t="str">
        <f>" 조 경 공 : "&amp;TEXT(I5021,"#,##0"&amp;IF(I5021&lt;&gt;INT(I5021),".###",""))&amp;" * "&amp;AA5021&amp;" 인  / Q1 = "&amp;TEXT(C5021,"#,##0.0")&amp;" "</f>
        <v xml:space="preserve"> 조 경 공 : 235,204 * 2 인  / Q1 = 13,066.8 </v>
      </c>
      <c r="C5021" s="506">
        <f>E5021+D5021+F5021</f>
        <v>13066.8</v>
      </c>
      <c r="D5021" s="506">
        <f>IF(H5021=0,0,ROUNDDOWN(J5021*H5021,1))</f>
        <v>13066.8</v>
      </c>
      <c r="E5021" s="506">
        <f>IF(H5021=0,0,ROUNDDOWN(K5021*H5021,1))</f>
        <v>0</v>
      </c>
      <c r="F5021" s="506">
        <f>IF(H5021=0,0,ROUNDDOWN(L5021*H5021,1))</f>
        <v>0</v>
      </c>
      <c r="G5021" s="451" t="s">
        <v>3960</v>
      </c>
      <c r="H5021" s="507">
        <f>ROUNDUP(AE5021,14-LEN(ABS(INT(AE5021))))</f>
        <v>5.5555555555600003E-2</v>
      </c>
      <c r="I5021" s="508">
        <f>K5021+J5021+L5021</f>
        <v>235204</v>
      </c>
      <c r="J5021" s="509">
        <f>노무비목록표!E15</f>
        <v>235204</v>
      </c>
      <c r="M5021" s="501" t="s">
        <v>2359</v>
      </c>
      <c r="N5021" s="501" t="s">
        <v>3416</v>
      </c>
      <c r="O5021" s="501" t="s">
        <v>2355</v>
      </c>
      <c r="X5021" s="510" t="str">
        <f>노무비목록표!B15&amp;" / "&amp;노무비목록표!C15</f>
        <v xml:space="preserve">조경공 / </v>
      </c>
      <c r="Y5021" s="433" t="str">
        <f ca="1">HYPERLINK("#"&amp;노무비목록표!G2&amp;"!A"&amp;ROW(노무비목록표!A15),"L00184 →")</f>
        <v>L00184 →</v>
      </c>
      <c r="Z5021" s="501" t="s">
        <v>3500</v>
      </c>
      <c r="AA5021" s="515">
        <v>2</v>
      </c>
      <c r="AB5021" s="501" t="s">
        <v>3428</v>
      </c>
      <c r="AC5021" s="512">
        <f>AB5014</f>
        <v>36</v>
      </c>
      <c r="AD5021" s="501" t="s">
        <v>3418</v>
      </c>
      <c r="AE5021" s="512">
        <f>1*AA5021/AB5014</f>
        <v>5.5555555555555552E-2</v>
      </c>
      <c r="AF5021" s="500"/>
      <c r="AG5021" s="500"/>
      <c r="AH5021" s="500"/>
      <c r="AI5021" s="500"/>
      <c r="AJ5021" s="500"/>
      <c r="AK5021" s="500"/>
      <c r="AL5021" s="500"/>
      <c r="AM5021" s="500"/>
      <c r="AN5021" s="500"/>
      <c r="AO5021" s="500"/>
      <c r="AP5021" s="500"/>
    </row>
    <row r="5022" spans="1:42" ht="16.5" customHeight="1">
      <c r="A5022" s="439"/>
      <c r="B5022" s="439"/>
      <c r="C5022" s="439"/>
      <c r="D5022" s="439"/>
      <c r="E5022" s="439"/>
      <c r="F5022" s="439"/>
      <c r="G5022" s="451" t="s">
        <v>3406</v>
      </c>
      <c r="Z5022" s="500"/>
      <c r="AA5022" s="500"/>
      <c r="AB5022" s="500"/>
      <c r="AC5022" s="500"/>
      <c r="AD5022" s="500"/>
      <c r="AE5022" s="500"/>
      <c r="AF5022" s="500"/>
      <c r="AG5022" s="500"/>
      <c r="AH5022" s="500"/>
      <c r="AI5022" s="500"/>
      <c r="AJ5022" s="500"/>
      <c r="AK5022" s="500"/>
      <c r="AL5022" s="500"/>
      <c r="AM5022" s="500"/>
      <c r="AN5022" s="500"/>
      <c r="AO5022" s="500"/>
      <c r="AP5022" s="500"/>
    </row>
    <row r="5023" spans="1:42" ht="16.5" customHeight="1">
      <c r="A5023" s="434" t="s">
        <v>3414</v>
      </c>
      <c r="B5023" s="505" t="str">
        <f>" 보통인부 : "&amp;TEXT(I5023,"#,##0"&amp;IF(I5023&lt;&gt;INT(I5023),".###",""))&amp;" * "&amp;AA5023&amp;" 인  / Q1 = "&amp;TEXT(C5023,"#,##0.0")&amp;" "</f>
        <v xml:space="preserve"> 보통인부 : 172,068 * 1 인  / Q1 = 4,779.6 </v>
      </c>
      <c r="C5023" s="506">
        <f>E5023+D5023+F5023</f>
        <v>4779.6000000000004</v>
      </c>
      <c r="D5023" s="506">
        <f>IF(H5023=0,0,ROUNDDOWN(J5023*H5023,1))</f>
        <v>4779.6000000000004</v>
      </c>
      <c r="E5023" s="506">
        <f>IF(H5023=0,0,ROUNDDOWN(K5023*H5023,1))</f>
        <v>0</v>
      </c>
      <c r="F5023" s="506">
        <f>IF(H5023=0,0,ROUNDDOWN(L5023*H5023,1))</f>
        <v>0</v>
      </c>
      <c r="G5023" s="451" t="s">
        <v>3894</v>
      </c>
      <c r="H5023" s="507">
        <f>ROUNDUP(AE5023,14-LEN(ABS(INT(AE5023))))</f>
        <v>2.7777777777800002E-2</v>
      </c>
      <c r="I5023" s="508">
        <f>K5023+J5023+L5023</f>
        <v>172068</v>
      </c>
      <c r="J5023" s="509">
        <f>노무비목록표!E10</f>
        <v>172068</v>
      </c>
      <c r="M5023" s="501" t="s">
        <v>2363</v>
      </c>
      <c r="N5023" s="501" t="s">
        <v>3416</v>
      </c>
      <c r="O5023" s="501" t="s">
        <v>2355</v>
      </c>
      <c r="X5023" s="510" t="str">
        <f>노무비목록표!B10&amp;" / "&amp;노무비목록표!C10</f>
        <v xml:space="preserve">보통인부 / </v>
      </c>
      <c r="Y5023" s="433" t="str">
        <f ca="1">HYPERLINK("#"&amp;노무비목록표!G2&amp;"!A"&amp;ROW(노무비목록표!A10),"L00017 →")</f>
        <v>L00017 →</v>
      </c>
      <c r="Z5023" s="501" t="s">
        <v>3500</v>
      </c>
      <c r="AA5023" s="515">
        <v>1</v>
      </c>
      <c r="AB5023" s="501" t="s">
        <v>3428</v>
      </c>
      <c r="AC5023" s="512">
        <f>AB5014</f>
        <v>36</v>
      </c>
      <c r="AD5023" s="501" t="s">
        <v>3418</v>
      </c>
      <c r="AE5023" s="512">
        <f>1*AA5023/AB5014</f>
        <v>2.7777777777777776E-2</v>
      </c>
      <c r="AF5023" s="500"/>
      <c r="AG5023" s="500"/>
      <c r="AH5023" s="500"/>
      <c r="AI5023" s="500"/>
      <c r="AJ5023" s="500"/>
      <c r="AK5023" s="500"/>
      <c r="AL5023" s="500"/>
      <c r="AM5023" s="500"/>
      <c r="AN5023" s="500"/>
      <c r="AO5023" s="500"/>
      <c r="AP5023" s="500"/>
    </row>
    <row r="5024" spans="1:42" ht="16.5" customHeight="1">
      <c r="A5024" s="439"/>
      <c r="B5024" s="439"/>
      <c r="C5024" s="439"/>
      <c r="D5024" s="439"/>
      <c r="E5024" s="439"/>
      <c r="F5024" s="439"/>
      <c r="G5024" s="451" t="s">
        <v>3406</v>
      </c>
      <c r="Z5024" s="500"/>
      <c r="AA5024" s="500"/>
      <c r="AB5024" s="500"/>
      <c r="AC5024" s="500"/>
      <c r="AD5024" s="500"/>
      <c r="AE5024" s="500"/>
      <c r="AF5024" s="500"/>
      <c r="AG5024" s="500"/>
      <c r="AH5024" s="500"/>
      <c r="AI5024" s="500"/>
      <c r="AJ5024" s="500"/>
      <c r="AK5024" s="500"/>
      <c r="AL5024" s="500"/>
      <c r="AM5024" s="500"/>
      <c r="AN5024" s="500"/>
      <c r="AO5024" s="500"/>
      <c r="AP5024" s="500"/>
    </row>
    <row r="5025" spans="1:42" ht="16.5" customHeight="1">
      <c r="A5025" s="434"/>
      <c r="B5025" s="437" t="s">
        <v>3419</v>
      </c>
      <c r="C5025" s="513">
        <f>E5025+D5025+F5025</f>
        <v>17846.400000000001</v>
      </c>
      <c r="D5025" s="513">
        <f>SUMIF(N5007:N5024,M5025,D5007:D5024)</f>
        <v>17846.400000000001</v>
      </c>
      <c r="E5025" s="513">
        <f>SUMIF(N5007:N5024,M5025,E5007:E5024)</f>
        <v>0</v>
      </c>
      <c r="F5025" s="513">
        <f>SUMIF(N5007:N5024,M5025,F5007:F5024)</f>
        <v>0</v>
      </c>
      <c r="G5025" s="451" t="s">
        <v>3420</v>
      </c>
      <c r="M5025" s="501" t="s">
        <v>3416</v>
      </c>
      <c r="N5025" s="501" t="s">
        <v>3421</v>
      </c>
      <c r="Z5025" s="500"/>
      <c r="AA5025" s="500"/>
      <c r="AB5025" s="500"/>
      <c r="AC5025" s="500"/>
      <c r="AD5025" s="500"/>
      <c r="AE5025" s="500"/>
      <c r="AF5025" s="500"/>
      <c r="AG5025" s="500"/>
      <c r="AH5025" s="500"/>
      <c r="AI5025" s="500"/>
      <c r="AJ5025" s="500"/>
      <c r="AK5025" s="500"/>
      <c r="AL5025" s="500"/>
      <c r="AM5025" s="500"/>
      <c r="AN5025" s="500"/>
      <c r="AO5025" s="500"/>
      <c r="AP5025" s="500"/>
    </row>
    <row r="5026" spans="1:42" ht="16.5" customHeight="1">
      <c r="A5026" s="439"/>
      <c r="B5026" s="439"/>
      <c r="C5026" s="504"/>
      <c r="D5026" s="504"/>
      <c r="E5026" s="504"/>
      <c r="F5026" s="504"/>
      <c r="G5026" s="451" t="s">
        <v>3406</v>
      </c>
      <c r="Z5026" s="500"/>
      <c r="AA5026" s="500"/>
      <c r="AB5026" s="500"/>
      <c r="AC5026" s="500"/>
      <c r="AD5026" s="500"/>
      <c r="AE5026" s="500"/>
      <c r="AF5026" s="500"/>
      <c r="AG5026" s="500"/>
      <c r="AH5026" s="500"/>
      <c r="AI5026" s="500"/>
      <c r="AJ5026" s="500"/>
      <c r="AK5026" s="500"/>
      <c r="AL5026" s="500"/>
      <c r="AM5026" s="500"/>
      <c r="AN5026" s="500"/>
      <c r="AO5026" s="500"/>
      <c r="AP5026" s="500"/>
    </row>
    <row r="5027" spans="1:42" ht="16.5" customHeight="1">
      <c r="A5027" s="439"/>
      <c r="B5027" s="439"/>
      <c r="C5027" s="439"/>
      <c r="D5027" s="439"/>
      <c r="E5027" s="439"/>
      <c r="F5027" s="439"/>
      <c r="G5027" s="451" t="s">
        <v>3406</v>
      </c>
      <c r="Z5027" s="500"/>
      <c r="AA5027" s="500"/>
      <c r="AB5027" s="500"/>
      <c r="AC5027" s="500"/>
      <c r="AD5027" s="500"/>
      <c r="AE5027" s="500"/>
      <c r="AF5027" s="500"/>
      <c r="AG5027" s="500"/>
      <c r="AH5027" s="500"/>
      <c r="AI5027" s="500"/>
      <c r="AJ5027" s="500"/>
      <c r="AK5027" s="500"/>
      <c r="AL5027" s="500"/>
      <c r="AM5027" s="500"/>
      <c r="AN5027" s="500"/>
      <c r="AO5027" s="500"/>
      <c r="AP5027" s="500"/>
    </row>
    <row r="5028" spans="1:42" ht="16.5" customHeight="1">
      <c r="A5028" s="434"/>
      <c r="B5028" s="505" t="str">
        <f>" 2. 기계경비(인력품의 3%) : "&amp;TEXT(I5028,"#,##0.0")&amp;" * "&amp;AA5028&amp;" %  = "&amp;TEXT(C5028,"#,##0.0")&amp;""</f>
        <v xml:space="preserve"> 2. 기계경비(인력품의 3%) : 17,846.4 * 3 %  = 535.3</v>
      </c>
      <c r="C5028" s="506">
        <f>E5028+D5028+F5028</f>
        <v>535.29999999999995</v>
      </c>
      <c r="D5028" s="506">
        <f>IF(H5028=0,0,ROUNDDOWN(J5028*H5028/100,1))</f>
        <v>0</v>
      </c>
      <c r="E5028" s="506">
        <f>IF(H5028=0,0,ROUNDDOWN(K5028*H5028/100,1))</f>
        <v>0</v>
      </c>
      <c r="F5028" s="506">
        <f>IF(H5028=0,0,ROUNDDOWN(L5028*H5028/100,1))</f>
        <v>535.29999999999995</v>
      </c>
      <c r="G5028" s="451" t="s">
        <v>3923</v>
      </c>
      <c r="H5028" s="507">
        <f>ROUNDUP(AC5028,14-LEN(ABS(INT(AC5028))))</f>
        <v>3</v>
      </c>
      <c r="I5028" s="508">
        <f>K5028+J5028+L5028</f>
        <v>17846.400000000001</v>
      </c>
      <c r="J5028" s="456">
        <v>0</v>
      </c>
      <c r="K5028" s="456">
        <v>0</v>
      </c>
      <c r="L5028" s="509">
        <f>D5021+D5023</f>
        <v>17846.400000000001</v>
      </c>
      <c r="M5028" s="501" t="s">
        <v>3743</v>
      </c>
      <c r="N5028" s="501" t="s">
        <v>3416</v>
      </c>
      <c r="Z5028" s="501" t="s">
        <v>3500</v>
      </c>
      <c r="AA5028" s="515">
        <v>3</v>
      </c>
      <c r="AB5028" s="501" t="s">
        <v>3418</v>
      </c>
      <c r="AC5028" s="512">
        <f>1*AA5028</f>
        <v>3</v>
      </c>
      <c r="AD5028" s="500"/>
      <c r="AE5028" s="500"/>
      <c r="AF5028" s="500"/>
      <c r="AG5028" s="500"/>
      <c r="AH5028" s="500"/>
      <c r="AI5028" s="500"/>
      <c r="AJ5028" s="500"/>
      <c r="AK5028" s="500"/>
      <c r="AL5028" s="500"/>
      <c r="AM5028" s="500"/>
      <c r="AN5028" s="500"/>
      <c r="AO5028" s="500"/>
      <c r="AP5028" s="500"/>
    </row>
    <row r="5029" spans="1:42" ht="16.5" customHeight="1">
      <c r="A5029" s="439"/>
      <c r="B5029" s="439"/>
      <c r="C5029" s="439"/>
      <c r="D5029" s="439"/>
      <c r="E5029" s="439"/>
      <c r="F5029" s="439"/>
      <c r="G5029" s="451" t="s">
        <v>3406</v>
      </c>
      <c r="Z5029" s="500"/>
      <c r="AA5029" s="500"/>
      <c r="AB5029" s="500"/>
      <c r="AC5029" s="500"/>
      <c r="AD5029" s="500"/>
      <c r="AE5029" s="500"/>
      <c r="AF5029" s="500"/>
      <c r="AG5029" s="500"/>
      <c r="AH5029" s="500"/>
      <c r="AI5029" s="500"/>
      <c r="AJ5029" s="500"/>
      <c r="AK5029" s="500"/>
      <c r="AL5029" s="500"/>
      <c r="AM5029" s="500"/>
      <c r="AN5029" s="500"/>
      <c r="AO5029" s="500"/>
      <c r="AP5029" s="500"/>
    </row>
    <row r="5030" spans="1:42" ht="16.5" customHeight="1">
      <c r="A5030" s="434"/>
      <c r="B5030" s="437" t="s">
        <v>3419</v>
      </c>
      <c r="C5030" s="513">
        <f>E5030+D5030+F5030</f>
        <v>535.29999999999995</v>
      </c>
      <c r="D5030" s="513">
        <f>SUMIF(N5026:N5029,M5030,D5026:D5029)</f>
        <v>0</v>
      </c>
      <c r="E5030" s="513">
        <f>SUMIF(N5026:N5029,M5030,E5026:E5029)</f>
        <v>0</v>
      </c>
      <c r="F5030" s="513">
        <f>SUMIF(N5026:N5029,M5030,F5026:F5029)</f>
        <v>535.29999999999995</v>
      </c>
      <c r="G5030" s="451" t="s">
        <v>3439</v>
      </c>
      <c r="M5030" s="501" t="s">
        <v>3416</v>
      </c>
      <c r="N5030" s="501" t="s">
        <v>3421</v>
      </c>
      <c r="Z5030" s="500"/>
      <c r="AA5030" s="500"/>
      <c r="AB5030" s="500"/>
      <c r="AC5030" s="500"/>
      <c r="AD5030" s="500"/>
      <c r="AE5030" s="500"/>
      <c r="AF5030" s="500"/>
      <c r="AG5030" s="500"/>
      <c r="AH5030" s="500"/>
      <c r="AI5030" s="500"/>
      <c r="AJ5030" s="500"/>
      <c r="AK5030" s="500"/>
      <c r="AL5030" s="500"/>
      <c r="AM5030" s="500"/>
      <c r="AN5030" s="500"/>
      <c r="AO5030" s="500"/>
      <c r="AP5030" s="500"/>
    </row>
    <row r="5031" spans="1:42" ht="16.5" customHeight="1">
      <c r="A5031" s="439"/>
      <c r="B5031" s="439"/>
      <c r="C5031" s="504"/>
      <c r="D5031" s="504"/>
      <c r="E5031" s="504"/>
      <c r="F5031" s="504"/>
      <c r="G5031" s="451" t="s">
        <v>3406</v>
      </c>
      <c r="Z5031" s="500"/>
      <c r="AA5031" s="500"/>
      <c r="AB5031" s="500"/>
      <c r="AC5031" s="500"/>
      <c r="AD5031" s="500"/>
      <c r="AE5031" s="500"/>
      <c r="AF5031" s="500"/>
      <c r="AG5031" s="500"/>
      <c r="AH5031" s="500"/>
      <c r="AI5031" s="500"/>
      <c r="AJ5031" s="500"/>
      <c r="AK5031" s="500"/>
      <c r="AL5031" s="500"/>
      <c r="AM5031" s="500"/>
      <c r="AN5031" s="500"/>
      <c r="AO5031" s="500"/>
      <c r="AP5031" s="500"/>
    </row>
    <row r="5032" spans="1:42" ht="16.5" customHeight="1">
      <c r="A5032" s="434"/>
      <c r="B5032" s="505" t="str">
        <f>"  산지할증 : "&amp;TEXT(I5032,"#,##0.0")&amp;" * "&amp;AA5032&amp;" %  = "&amp;TEXT(C5032,"#,##0.0")&amp;""</f>
        <v xml:space="preserve">  산지할증 : 17,846.4 * 15 %  = 2,676.9</v>
      </c>
      <c r="C5032" s="506">
        <f>E5032+D5032+F5032</f>
        <v>2676.9</v>
      </c>
      <c r="D5032" s="506">
        <f>IF(H5032=0,0,ROUNDDOWN(J5032*H5032/100,1))</f>
        <v>2676.9</v>
      </c>
      <c r="E5032" s="506">
        <f>IF(H5032=0,0,ROUNDDOWN(K5032*H5032/100,1))</f>
        <v>0</v>
      </c>
      <c r="F5032" s="506">
        <f>IF(H5032=0,0,ROUNDDOWN(L5032*H5032/100,1))</f>
        <v>0</v>
      </c>
      <c r="G5032" s="451" t="s">
        <v>5587</v>
      </c>
      <c r="H5032" s="507">
        <f>ROUNDUP(AC5032,14-LEN(ABS(INT(AC5032))))</f>
        <v>15</v>
      </c>
      <c r="I5032" s="508">
        <f>K5032+J5032+L5032</f>
        <v>17846.400000000001</v>
      </c>
      <c r="J5032" s="508">
        <f>D5025+D5030+SUMIF(N5031:N5031,N5032,D5031:D5031)</f>
        <v>17846.400000000001</v>
      </c>
      <c r="K5032" s="456">
        <v>0</v>
      </c>
      <c r="L5032" s="456">
        <v>0</v>
      </c>
      <c r="M5032" s="501" t="s">
        <v>4208</v>
      </c>
      <c r="N5032" s="501" t="s">
        <v>3416</v>
      </c>
      <c r="Z5032" s="501" t="s">
        <v>3500</v>
      </c>
      <c r="AA5032" s="515">
        <v>15</v>
      </c>
      <c r="AB5032" s="501" t="s">
        <v>3418</v>
      </c>
      <c r="AC5032" s="512">
        <f>1*AA5032</f>
        <v>15</v>
      </c>
      <c r="AD5032" s="500"/>
      <c r="AE5032" s="500"/>
      <c r="AF5032" s="500"/>
      <c r="AG5032" s="500"/>
      <c r="AH5032" s="500"/>
      <c r="AI5032" s="500"/>
      <c r="AJ5032" s="500"/>
      <c r="AK5032" s="500"/>
      <c r="AL5032" s="500"/>
      <c r="AM5032" s="500"/>
      <c r="AN5032" s="500"/>
      <c r="AO5032" s="500"/>
      <c r="AP5032" s="500"/>
    </row>
    <row r="5033" spans="1:42" ht="16.5" customHeight="1">
      <c r="A5033" s="439"/>
      <c r="B5033" s="439"/>
      <c r="C5033" s="439"/>
      <c r="D5033" s="439"/>
      <c r="E5033" s="439"/>
      <c r="F5033" s="439"/>
      <c r="G5033" s="451" t="s">
        <v>3406</v>
      </c>
      <c r="Z5033" s="500"/>
      <c r="AA5033" s="500"/>
      <c r="AB5033" s="500"/>
      <c r="AC5033" s="500"/>
      <c r="AD5033" s="500"/>
      <c r="AE5033" s="500"/>
      <c r="AF5033" s="500"/>
      <c r="AG5033" s="500"/>
      <c r="AH5033" s="500"/>
      <c r="AI5033" s="500"/>
      <c r="AJ5033" s="500"/>
      <c r="AK5033" s="500"/>
      <c r="AL5033" s="500"/>
      <c r="AM5033" s="500"/>
      <c r="AN5033" s="500"/>
      <c r="AO5033" s="500"/>
      <c r="AP5033" s="500"/>
    </row>
    <row r="5034" spans="1:42" ht="16.5" customHeight="1">
      <c r="A5034" s="434"/>
      <c r="B5034" s="437" t="s">
        <v>3419</v>
      </c>
      <c r="C5034" s="513">
        <f>E5034+D5034+F5034</f>
        <v>2676.9</v>
      </c>
      <c r="D5034" s="513">
        <f>SUMIF(N5031:N5033,M5034,D5031:D5033)</f>
        <v>2676.9</v>
      </c>
      <c r="E5034" s="513">
        <f>SUMIF(N5031:N5033,M5034,E5031:E5033)</f>
        <v>0</v>
      </c>
      <c r="F5034" s="513">
        <f>SUMIF(N5031:N5033,M5034,F5031:F5033)</f>
        <v>0</v>
      </c>
      <c r="G5034" s="451" t="s">
        <v>3439</v>
      </c>
      <c r="M5034" s="501" t="s">
        <v>3416</v>
      </c>
      <c r="N5034" s="501" t="s">
        <v>3421</v>
      </c>
      <c r="Z5034" s="500"/>
      <c r="AA5034" s="500"/>
      <c r="AB5034" s="500"/>
      <c r="AC5034" s="500"/>
      <c r="AD5034" s="500"/>
      <c r="AE5034" s="500"/>
      <c r="AF5034" s="500"/>
      <c r="AG5034" s="500"/>
      <c r="AH5034" s="500"/>
      <c r="AI5034" s="500"/>
      <c r="AJ5034" s="500"/>
      <c r="AK5034" s="500"/>
      <c r="AL5034" s="500"/>
      <c r="AM5034" s="500"/>
      <c r="AN5034" s="500"/>
      <c r="AO5034" s="500"/>
      <c r="AP5034" s="500"/>
    </row>
    <row r="5035" spans="1:42" ht="16.5" customHeight="1">
      <c r="A5035" s="439"/>
      <c r="B5035" s="439"/>
      <c r="C5035" s="504"/>
      <c r="D5035" s="504"/>
      <c r="E5035" s="504"/>
      <c r="F5035" s="504"/>
      <c r="G5035" s="451" t="s">
        <v>3406</v>
      </c>
      <c r="Z5035" s="500"/>
      <c r="AA5035" s="500"/>
      <c r="AB5035" s="500"/>
      <c r="AC5035" s="500"/>
      <c r="AD5035" s="500"/>
      <c r="AE5035" s="500"/>
      <c r="AF5035" s="500"/>
      <c r="AG5035" s="500"/>
      <c r="AH5035" s="500"/>
      <c r="AI5035" s="500"/>
      <c r="AJ5035" s="500"/>
      <c r="AK5035" s="500"/>
      <c r="AL5035" s="500"/>
      <c r="AM5035" s="500"/>
      <c r="AN5035" s="500"/>
      <c r="AO5035" s="500"/>
      <c r="AP5035" s="500"/>
    </row>
    <row r="5036" spans="1:42" ht="16.5" customHeight="1">
      <c r="A5036" s="434"/>
      <c r="B5036" s="437" t="s">
        <v>3440</v>
      </c>
      <c r="C5036" s="513">
        <f>E5036+D5036+F5036</f>
        <v>21058.600000000002</v>
      </c>
      <c r="D5036" s="513">
        <f>SUMIF(N5007:N5035,M5036,D5007:D5035)</f>
        <v>20523.300000000003</v>
      </c>
      <c r="E5036" s="513">
        <f>SUMIF(N5007:N5035,M5036,E5007:E5035)</f>
        <v>0</v>
      </c>
      <c r="F5036" s="513">
        <f>SUMIF(N5007:N5035,M5036,F5007:F5035)</f>
        <v>535.29999999999995</v>
      </c>
      <c r="G5036" s="451" t="s">
        <v>3441</v>
      </c>
      <c r="M5036" s="501" t="s">
        <v>3421</v>
      </c>
      <c r="N5036" s="501" t="s">
        <v>2354</v>
      </c>
      <c r="Z5036" s="500"/>
      <c r="AA5036" s="500"/>
      <c r="AB5036" s="500"/>
      <c r="AC5036" s="500"/>
      <c r="AD5036" s="500"/>
      <c r="AE5036" s="500"/>
      <c r="AF5036" s="500"/>
      <c r="AG5036" s="500"/>
      <c r="AH5036" s="500"/>
      <c r="AI5036" s="500"/>
      <c r="AJ5036" s="500"/>
      <c r="AK5036" s="500"/>
      <c r="AL5036" s="500"/>
      <c r="AM5036" s="500"/>
      <c r="AN5036" s="500"/>
      <c r="AO5036" s="500"/>
      <c r="AP5036" s="500"/>
    </row>
    <row r="5037" spans="1:42" ht="16.5" customHeight="1">
      <c r="A5037" s="439"/>
      <c r="B5037" s="439"/>
      <c r="C5037" s="504"/>
      <c r="D5037" s="504"/>
      <c r="E5037" s="504"/>
      <c r="F5037" s="504"/>
      <c r="Z5037" s="500"/>
      <c r="AA5037" s="500"/>
      <c r="AB5037" s="500"/>
      <c r="AC5037" s="500"/>
      <c r="AD5037" s="500"/>
      <c r="AE5037" s="500"/>
      <c r="AF5037" s="500"/>
      <c r="AG5037" s="500"/>
      <c r="AH5037" s="500"/>
      <c r="AI5037" s="500"/>
      <c r="AJ5037" s="500"/>
      <c r="AK5037" s="500"/>
      <c r="AL5037" s="500"/>
      <c r="AM5037" s="500"/>
      <c r="AN5037" s="500"/>
      <c r="AO5037" s="500"/>
      <c r="AP5037" s="500"/>
    </row>
    <row r="5038" spans="1:42" ht="16.5" customHeight="1">
      <c r="A5038" s="439"/>
      <c r="B5038" s="439"/>
      <c r="C5038" s="439"/>
      <c r="D5038" s="439"/>
      <c r="E5038" s="439"/>
      <c r="F5038" s="439"/>
      <c r="Z5038" s="500"/>
      <c r="AA5038" s="500"/>
      <c r="AB5038" s="500"/>
      <c r="AC5038" s="500"/>
      <c r="AD5038" s="500"/>
      <c r="AE5038" s="500"/>
      <c r="AF5038" s="500"/>
      <c r="AG5038" s="500"/>
      <c r="AH5038" s="500"/>
      <c r="AI5038" s="500"/>
      <c r="AJ5038" s="500"/>
      <c r="AK5038" s="500"/>
      <c r="AL5038" s="500"/>
      <c r="AM5038" s="500"/>
      <c r="AN5038" s="500"/>
      <c r="AO5038" s="500"/>
      <c r="AP5038" s="500"/>
    </row>
    <row r="5039" spans="1:42" ht="16.5" customHeight="1">
      <c r="A5039" s="439"/>
      <c r="B5039" s="439"/>
      <c r="C5039" s="439"/>
      <c r="D5039" s="439"/>
      <c r="E5039" s="439"/>
      <c r="F5039" s="439"/>
      <c r="Z5039" s="500"/>
      <c r="AA5039" s="500"/>
      <c r="AB5039" s="500"/>
      <c r="AC5039" s="500"/>
      <c r="AD5039" s="500"/>
      <c r="AE5039" s="500"/>
      <c r="AF5039" s="500"/>
      <c r="AG5039" s="500"/>
      <c r="AH5039" s="500"/>
      <c r="AI5039" s="500"/>
      <c r="AJ5039" s="500"/>
      <c r="AK5039" s="500"/>
      <c r="AL5039" s="500"/>
      <c r="AM5039" s="500"/>
      <c r="AN5039" s="500"/>
      <c r="AO5039" s="500"/>
      <c r="AP5039" s="500"/>
    </row>
    <row r="5040" spans="1:42" ht="16.5" customHeight="1">
      <c r="A5040" s="439"/>
      <c r="B5040" s="439"/>
      <c r="C5040" s="439"/>
      <c r="D5040" s="439"/>
      <c r="E5040" s="439"/>
      <c r="F5040" s="439"/>
      <c r="Z5040" s="500"/>
      <c r="AA5040" s="500"/>
      <c r="AB5040" s="500"/>
      <c r="AC5040" s="500"/>
      <c r="AD5040" s="500"/>
      <c r="AE5040" s="500"/>
      <c r="AF5040" s="500"/>
      <c r="AG5040" s="500"/>
      <c r="AH5040" s="500"/>
      <c r="AI5040" s="500"/>
      <c r="AJ5040" s="500"/>
      <c r="AK5040" s="500"/>
      <c r="AL5040" s="500"/>
      <c r="AM5040" s="500"/>
      <c r="AN5040" s="500"/>
      <c r="AO5040" s="500"/>
      <c r="AP5040" s="500"/>
    </row>
    <row r="5041" spans="1:42" ht="16.5" customHeight="1">
      <c r="A5041" s="439"/>
      <c r="B5041" s="439"/>
      <c r="C5041" s="439"/>
      <c r="D5041" s="439"/>
      <c r="E5041" s="439"/>
      <c r="F5041" s="439"/>
      <c r="Z5041" s="500"/>
      <c r="AA5041" s="500"/>
      <c r="AB5041" s="500"/>
      <c r="AC5041" s="500"/>
      <c r="AD5041" s="500"/>
      <c r="AE5041" s="500"/>
      <c r="AF5041" s="500"/>
      <c r="AG5041" s="500"/>
      <c r="AH5041" s="500"/>
      <c r="AI5041" s="500"/>
      <c r="AJ5041" s="500"/>
      <c r="AK5041" s="500"/>
      <c r="AL5041" s="500"/>
      <c r="AM5041" s="500"/>
      <c r="AN5041" s="500"/>
      <c r="AO5041" s="500"/>
      <c r="AP5041" s="500"/>
    </row>
    <row r="5042" spans="1:42" ht="16.5" customHeight="1">
      <c r="A5042" s="439"/>
      <c r="B5042" s="439"/>
      <c r="C5042" s="439"/>
      <c r="D5042" s="439"/>
      <c r="E5042" s="439"/>
      <c r="F5042" s="439"/>
      <c r="Z5042" s="500"/>
      <c r="AA5042" s="500"/>
      <c r="AB5042" s="500"/>
      <c r="AC5042" s="500"/>
      <c r="AD5042" s="500"/>
      <c r="AE5042" s="500"/>
      <c r="AF5042" s="500"/>
      <c r="AG5042" s="500"/>
      <c r="AH5042" s="500"/>
      <c r="AI5042" s="500"/>
      <c r="AJ5042" s="500"/>
      <c r="AK5042" s="500"/>
      <c r="AL5042" s="500"/>
      <c r="AM5042" s="500"/>
      <c r="AN5042" s="500"/>
      <c r="AO5042" s="500"/>
      <c r="AP5042" s="500"/>
    </row>
    <row r="5043" spans="1:42" ht="16.5" customHeight="1">
      <c r="A5043" s="439"/>
      <c r="B5043" s="439"/>
      <c r="C5043" s="439"/>
      <c r="D5043" s="439"/>
      <c r="E5043" s="439"/>
      <c r="F5043" s="439"/>
      <c r="Z5043" s="500"/>
      <c r="AA5043" s="500"/>
      <c r="AB5043" s="500"/>
      <c r="AC5043" s="500"/>
      <c r="AD5043" s="500"/>
      <c r="AE5043" s="500"/>
      <c r="AF5043" s="500"/>
      <c r="AG5043" s="500"/>
      <c r="AH5043" s="500"/>
      <c r="AI5043" s="500"/>
      <c r="AJ5043" s="500"/>
      <c r="AK5043" s="500"/>
      <c r="AL5043" s="500"/>
      <c r="AM5043" s="500"/>
      <c r="AN5043" s="500"/>
      <c r="AO5043" s="500"/>
      <c r="AP5043" s="500"/>
    </row>
    <row r="5044" spans="1:42" ht="16.5" customHeight="1">
      <c r="A5044" s="439"/>
      <c r="B5044" s="439"/>
      <c r="C5044" s="439"/>
      <c r="D5044" s="439"/>
      <c r="E5044" s="439"/>
      <c r="F5044" s="439"/>
      <c r="Z5044" s="500"/>
      <c r="AA5044" s="500"/>
      <c r="AB5044" s="500"/>
      <c r="AC5044" s="500"/>
      <c r="AD5044" s="500"/>
      <c r="AE5044" s="500"/>
      <c r="AF5044" s="500"/>
      <c r="AG5044" s="500"/>
      <c r="AH5044" s="500"/>
      <c r="AI5044" s="500"/>
      <c r="AJ5044" s="500"/>
      <c r="AK5044" s="500"/>
      <c r="AL5044" s="500"/>
      <c r="AM5044" s="500"/>
      <c r="AN5044" s="500"/>
      <c r="AO5044" s="500"/>
      <c r="AP5044" s="500"/>
    </row>
    <row r="5045" spans="1:42" ht="16.5" customHeight="1">
      <c r="A5045" s="439"/>
      <c r="B5045" s="439"/>
      <c r="C5045" s="439"/>
      <c r="D5045" s="439"/>
      <c r="E5045" s="439"/>
      <c r="F5045" s="439"/>
      <c r="Z5045" s="500"/>
      <c r="AA5045" s="500"/>
      <c r="AB5045" s="500"/>
      <c r="AC5045" s="500"/>
      <c r="AD5045" s="500"/>
      <c r="AE5045" s="500"/>
      <c r="AF5045" s="500"/>
      <c r="AG5045" s="500"/>
      <c r="AH5045" s="500"/>
      <c r="AI5045" s="500"/>
      <c r="AJ5045" s="500"/>
      <c r="AK5045" s="500"/>
      <c r="AL5045" s="500"/>
      <c r="AM5045" s="500"/>
      <c r="AN5045" s="500"/>
      <c r="AO5045" s="500"/>
      <c r="AP5045" s="500"/>
    </row>
    <row r="5046" spans="1:42" ht="16.5" customHeight="1">
      <c r="A5046" s="439"/>
      <c r="B5046" s="439"/>
      <c r="C5046" s="439"/>
      <c r="D5046" s="439"/>
      <c r="E5046" s="439"/>
      <c r="F5046" s="439"/>
      <c r="Z5046" s="500"/>
      <c r="AA5046" s="500"/>
      <c r="AB5046" s="500"/>
      <c r="AC5046" s="500"/>
      <c r="AD5046" s="500"/>
      <c r="AE5046" s="500"/>
      <c r="AF5046" s="500"/>
      <c r="AG5046" s="500"/>
      <c r="AH5046" s="500"/>
      <c r="AI5046" s="500"/>
      <c r="AJ5046" s="500"/>
      <c r="AK5046" s="500"/>
      <c r="AL5046" s="500"/>
      <c r="AM5046" s="500"/>
      <c r="AN5046" s="500"/>
      <c r="AO5046" s="500"/>
      <c r="AP5046" s="500"/>
    </row>
    <row r="5047" spans="1:42" ht="16.5" customHeight="1">
      <c r="A5047" s="439"/>
      <c r="B5047" s="439"/>
      <c r="C5047" s="439"/>
      <c r="D5047" s="439"/>
      <c r="E5047" s="439"/>
      <c r="F5047" s="439"/>
      <c r="Z5047" s="500"/>
      <c r="AA5047" s="500"/>
      <c r="AB5047" s="500"/>
      <c r="AC5047" s="500"/>
      <c r="AD5047" s="500"/>
      <c r="AE5047" s="500"/>
      <c r="AF5047" s="500"/>
      <c r="AG5047" s="500"/>
      <c r="AH5047" s="500"/>
      <c r="AI5047" s="500"/>
      <c r="AJ5047" s="500"/>
      <c r="AK5047" s="500"/>
      <c r="AL5047" s="500"/>
      <c r="AM5047" s="500"/>
      <c r="AN5047" s="500"/>
      <c r="AO5047" s="500"/>
      <c r="AP5047" s="500"/>
    </row>
    <row r="5048" spans="1:42" ht="16.5" customHeight="1">
      <c r="A5048" s="439"/>
      <c r="B5048" s="439"/>
      <c r="C5048" s="439"/>
      <c r="D5048" s="439"/>
      <c r="E5048" s="439"/>
      <c r="F5048" s="439"/>
      <c r="Z5048" s="500"/>
      <c r="AA5048" s="500"/>
      <c r="AB5048" s="500"/>
      <c r="AC5048" s="500"/>
      <c r="AD5048" s="500"/>
      <c r="AE5048" s="500"/>
      <c r="AF5048" s="500"/>
      <c r="AG5048" s="500"/>
      <c r="AH5048" s="500"/>
      <c r="AI5048" s="500"/>
      <c r="AJ5048" s="500"/>
      <c r="AK5048" s="500"/>
      <c r="AL5048" s="500"/>
      <c r="AM5048" s="500"/>
      <c r="AN5048" s="500"/>
      <c r="AO5048" s="500"/>
      <c r="AP5048" s="500"/>
    </row>
    <row r="5049" spans="1:42" ht="16.5" customHeight="1">
      <c r="A5049" s="439"/>
      <c r="B5049" s="439"/>
      <c r="C5049" s="439"/>
      <c r="D5049" s="439"/>
      <c r="E5049" s="439"/>
      <c r="F5049" s="439"/>
      <c r="Z5049" s="500"/>
      <c r="AA5049" s="500"/>
      <c r="AB5049" s="500"/>
      <c r="AC5049" s="500"/>
      <c r="AD5049" s="500"/>
      <c r="AE5049" s="500"/>
      <c r="AF5049" s="500"/>
      <c r="AG5049" s="500"/>
      <c r="AH5049" s="500"/>
      <c r="AI5049" s="500"/>
      <c r="AJ5049" s="500"/>
      <c r="AK5049" s="500"/>
      <c r="AL5049" s="500"/>
      <c r="AM5049" s="500"/>
      <c r="AN5049" s="500"/>
      <c r="AO5049" s="500"/>
      <c r="AP5049" s="500"/>
    </row>
    <row r="5050" spans="1:42" ht="16.5" customHeight="1">
      <c r="A5050" s="439"/>
      <c r="B5050" s="439"/>
      <c r="C5050" s="439"/>
      <c r="D5050" s="439"/>
      <c r="E5050" s="439"/>
      <c r="F5050" s="439"/>
      <c r="Z5050" s="500"/>
      <c r="AA5050" s="500"/>
      <c r="AB5050" s="500"/>
      <c r="AC5050" s="500"/>
      <c r="AD5050" s="500"/>
      <c r="AE5050" s="500"/>
      <c r="AF5050" s="500"/>
      <c r="AG5050" s="500"/>
      <c r="AH5050" s="500"/>
      <c r="AI5050" s="500"/>
      <c r="AJ5050" s="500"/>
      <c r="AK5050" s="500"/>
      <c r="AL5050" s="500"/>
      <c r="AM5050" s="500"/>
      <c r="AN5050" s="500"/>
      <c r="AO5050" s="500"/>
      <c r="AP5050" s="500"/>
    </row>
    <row r="5051" spans="1:42" ht="16.5" customHeight="1">
      <c r="A5051" s="439"/>
      <c r="B5051" s="439"/>
      <c r="C5051" s="439"/>
      <c r="D5051" s="439"/>
      <c r="E5051" s="439"/>
      <c r="F5051" s="439"/>
      <c r="Z5051" s="500"/>
      <c r="AA5051" s="500"/>
      <c r="AB5051" s="500"/>
      <c r="AC5051" s="500"/>
      <c r="AD5051" s="500"/>
      <c r="AE5051" s="500"/>
      <c r="AF5051" s="500"/>
      <c r="AG5051" s="500"/>
      <c r="AH5051" s="500"/>
      <c r="AI5051" s="500"/>
      <c r="AJ5051" s="500"/>
      <c r="AK5051" s="500"/>
      <c r="AL5051" s="500"/>
      <c r="AM5051" s="500"/>
      <c r="AN5051" s="500"/>
      <c r="AO5051" s="500"/>
      <c r="AP5051" s="500"/>
    </row>
    <row r="5052" spans="1:42" ht="16.5" customHeight="1">
      <c r="A5052" s="439"/>
      <c r="B5052" s="439"/>
      <c r="C5052" s="439"/>
      <c r="D5052" s="439"/>
      <c r="E5052" s="439"/>
      <c r="F5052" s="439"/>
      <c r="Z5052" s="500"/>
      <c r="AA5052" s="500"/>
      <c r="AB5052" s="500"/>
      <c r="AC5052" s="500"/>
      <c r="AD5052" s="500"/>
      <c r="AE5052" s="500"/>
      <c r="AF5052" s="500"/>
      <c r="AG5052" s="500"/>
      <c r="AH5052" s="500"/>
      <c r="AI5052" s="500"/>
      <c r="AJ5052" s="500"/>
      <c r="AK5052" s="500"/>
      <c r="AL5052" s="500"/>
      <c r="AM5052" s="500"/>
      <c r="AN5052" s="500"/>
      <c r="AO5052" s="500"/>
      <c r="AP5052" s="500"/>
    </row>
    <row r="5053" spans="1:42" ht="16.5" customHeight="1">
      <c r="A5053" s="497"/>
      <c r="B5053" s="497"/>
      <c r="C5053" s="497"/>
      <c r="D5053" s="497"/>
      <c r="E5053" s="497"/>
      <c r="F5053" s="497"/>
      <c r="Z5053" s="500"/>
      <c r="AA5053" s="500"/>
      <c r="AB5053" s="500"/>
      <c r="AC5053" s="500"/>
      <c r="AD5053" s="500"/>
      <c r="AE5053" s="500"/>
      <c r="AF5053" s="500"/>
      <c r="AG5053" s="500"/>
      <c r="AH5053" s="500"/>
      <c r="AI5053" s="500"/>
      <c r="AJ5053" s="500"/>
      <c r="AK5053" s="500"/>
      <c r="AL5053" s="500"/>
      <c r="AM5053" s="500"/>
      <c r="AN5053" s="500"/>
      <c r="AO5053" s="500"/>
      <c r="AP5053" s="500"/>
    </row>
    <row r="5054" spans="1:42" ht="16.5" customHeight="1">
      <c r="A5054" s="616" t="s">
        <v>3487</v>
      </c>
      <c r="B5054" s="605"/>
      <c r="C5054" s="446">
        <f>E5054+D5054+F5054</f>
        <v>21058</v>
      </c>
      <c r="D5054" s="453">
        <f>ROUNDDOWN(SUMIF(N5007:N5036,M5054,D5007:D5036),0)</f>
        <v>20523</v>
      </c>
      <c r="E5054" s="454">
        <f>ROUNDDOWN(SUMIF(N5007:N5036,M5054,E5007:E5036),0)</f>
        <v>0</v>
      </c>
      <c r="F5054" s="446">
        <f>ROUNDDOWN(SUMIF(N5007:N5036,M5054,F5007:F5036),0)</f>
        <v>535</v>
      </c>
      <c r="M5054" s="501" t="s">
        <v>2354</v>
      </c>
      <c r="Z5054" s="500"/>
      <c r="AA5054" s="500"/>
      <c r="AB5054" s="500"/>
      <c r="AC5054" s="500"/>
      <c r="AD5054" s="500"/>
      <c r="AE5054" s="500"/>
      <c r="AF5054" s="500"/>
      <c r="AG5054" s="500"/>
      <c r="AH5054" s="500"/>
      <c r="AI5054" s="500"/>
      <c r="AJ5054" s="500"/>
      <c r="AK5054" s="500"/>
      <c r="AL5054" s="500"/>
      <c r="AM5054" s="500"/>
      <c r="AN5054" s="500"/>
      <c r="AO5054" s="500"/>
      <c r="AP5054" s="500"/>
    </row>
    <row r="5055" spans="1:42" ht="16.5" customHeight="1">
      <c r="A5055" s="502" t="s">
        <v>3371</v>
      </c>
      <c r="B5055" s="503" t="s">
        <v>5453</v>
      </c>
      <c r="C5055" s="615">
        <f>C5104</f>
        <v>34459</v>
      </c>
      <c r="D5055" s="615">
        <f>D5104</f>
        <v>33583</v>
      </c>
      <c r="E5055" s="615">
        <f>E5104</f>
        <v>0</v>
      </c>
      <c r="F5055" s="615">
        <f>F5104</f>
        <v>876</v>
      </c>
      <c r="G5055" s="486" t="str">
        <f>HYPERLINK("#G"&amp;ROW(G5086),"_x0005_`BDCOD|D01363_x0007_`POSS|"&amp;ROW(G5057)&amp;"_x0007_`POSE|"&amp;ROW(G5086)&amp;"_x0007_`")</f>
        <v>_x0005_`BDCOD|D01363_x0007_`POSS|5057_x0007_`POSE|5086_x0007_`</v>
      </c>
      <c r="Z5055" s="500"/>
      <c r="AA5055" s="500"/>
      <c r="AB5055" s="500"/>
      <c r="AC5055" s="500"/>
      <c r="AD5055" s="500"/>
      <c r="AE5055" s="500"/>
      <c r="AF5055" s="500"/>
      <c r="AG5055" s="500"/>
      <c r="AH5055" s="500"/>
      <c r="AI5055" s="500"/>
      <c r="AJ5055" s="500"/>
      <c r="AK5055" s="500"/>
      <c r="AL5055" s="500"/>
      <c r="AM5055" s="500"/>
      <c r="AN5055" s="500"/>
      <c r="AO5055" s="500"/>
      <c r="AP5055" s="500"/>
    </row>
    <row r="5056" spans="1:42" ht="16.5" customHeight="1">
      <c r="A5056" s="485"/>
      <c r="B5056" s="503" t="s">
        <v>5627</v>
      </c>
      <c r="C5056" s="593"/>
      <c r="D5056" s="593"/>
      <c r="E5056" s="593"/>
      <c r="F5056" s="593"/>
      <c r="M5056" s="501" t="s">
        <v>5453</v>
      </c>
      <c r="Z5056" s="500"/>
      <c r="AA5056" s="500"/>
      <c r="AB5056" s="500"/>
      <c r="AC5056" s="500"/>
      <c r="AD5056" s="500"/>
      <c r="AE5056" s="500"/>
      <c r="AF5056" s="500"/>
      <c r="AG5056" s="500"/>
      <c r="AH5056" s="500"/>
      <c r="AI5056" s="500"/>
      <c r="AJ5056" s="500"/>
      <c r="AK5056" s="500"/>
      <c r="AL5056" s="500"/>
      <c r="AM5056" s="500"/>
      <c r="AN5056" s="500"/>
      <c r="AO5056" s="500"/>
      <c r="AP5056" s="500"/>
    </row>
    <row r="5057" spans="1:42" ht="16.5" customHeight="1">
      <c r="A5057" s="439"/>
      <c r="B5057" s="439"/>
      <c r="C5057" s="504"/>
      <c r="D5057" s="504"/>
      <c r="E5057" s="504"/>
      <c r="F5057" s="504"/>
      <c r="G5057" s="451" t="s">
        <v>3406</v>
      </c>
      <c r="Z5057" s="500"/>
      <c r="AA5057" s="500"/>
      <c r="AB5057" s="500"/>
      <c r="AC5057" s="500"/>
      <c r="AD5057" s="500"/>
      <c r="AE5057" s="500"/>
      <c r="AF5057" s="500"/>
      <c r="AG5057" s="500"/>
      <c r="AH5057" s="500"/>
      <c r="AI5057" s="500"/>
      <c r="AJ5057" s="500"/>
      <c r="AK5057" s="500"/>
      <c r="AL5057" s="500"/>
      <c r="AM5057" s="500"/>
      <c r="AN5057" s="500"/>
      <c r="AO5057" s="500"/>
      <c r="AP5057" s="500"/>
    </row>
    <row r="5058" spans="1:42" ht="16.5" customHeight="1">
      <c r="A5058" s="434"/>
      <c r="B5058" s="437" t="s">
        <v>3953</v>
      </c>
      <c r="C5058" s="439"/>
      <c r="D5058" s="439"/>
      <c r="E5058" s="439"/>
      <c r="F5058" s="439"/>
      <c r="G5058" s="451" t="s">
        <v>3954</v>
      </c>
      <c r="Z5058" s="500"/>
      <c r="AA5058" s="500"/>
      <c r="AB5058" s="500"/>
      <c r="AC5058" s="500"/>
      <c r="AD5058" s="500"/>
      <c r="AE5058" s="500"/>
      <c r="AF5058" s="500"/>
      <c r="AG5058" s="500"/>
      <c r="AH5058" s="500"/>
      <c r="AI5058" s="500"/>
      <c r="AJ5058" s="500"/>
      <c r="AK5058" s="500"/>
      <c r="AL5058" s="500"/>
      <c r="AM5058" s="500"/>
      <c r="AN5058" s="500"/>
      <c r="AO5058" s="500"/>
      <c r="AP5058" s="500"/>
    </row>
    <row r="5059" spans="1:42" ht="16.5" customHeight="1">
      <c r="A5059" s="439"/>
      <c r="B5059" s="439"/>
      <c r="C5059" s="439"/>
      <c r="D5059" s="439"/>
      <c r="E5059" s="439"/>
      <c r="F5059" s="439"/>
      <c r="G5059" s="451" t="s">
        <v>3406</v>
      </c>
      <c r="Z5059" s="500"/>
      <c r="AA5059" s="500"/>
      <c r="AB5059" s="500"/>
      <c r="AC5059" s="500"/>
      <c r="AD5059" s="500"/>
      <c r="AE5059" s="500"/>
      <c r="AF5059" s="500"/>
      <c r="AG5059" s="500"/>
      <c r="AH5059" s="500"/>
      <c r="AI5059" s="500"/>
      <c r="AJ5059" s="500"/>
      <c r="AK5059" s="500"/>
      <c r="AL5059" s="500"/>
      <c r="AM5059" s="500"/>
      <c r="AN5059" s="500"/>
      <c r="AO5059" s="500"/>
      <c r="AP5059" s="500"/>
    </row>
    <row r="5060" spans="1:42" ht="16.5" customHeight="1">
      <c r="A5060" s="434"/>
      <c r="B5060" s="437" t="s">
        <v>3907</v>
      </c>
      <c r="C5060" s="439"/>
      <c r="D5060" s="439"/>
      <c r="E5060" s="439"/>
      <c r="F5060" s="439"/>
      <c r="G5060" s="451" t="s">
        <v>3908</v>
      </c>
      <c r="Z5060" s="500"/>
      <c r="AA5060" s="500"/>
      <c r="AB5060" s="500"/>
      <c r="AC5060" s="500"/>
      <c r="AD5060" s="500"/>
      <c r="AE5060" s="500"/>
      <c r="AF5060" s="500"/>
      <c r="AG5060" s="500"/>
      <c r="AH5060" s="500"/>
      <c r="AI5060" s="500"/>
      <c r="AJ5060" s="500"/>
      <c r="AK5060" s="500"/>
      <c r="AL5060" s="500"/>
      <c r="AM5060" s="500"/>
      <c r="AN5060" s="500"/>
      <c r="AO5060" s="500"/>
      <c r="AP5060" s="500"/>
    </row>
    <row r="5061" spans="1:42" ht="16.5" customHeight="1">
      <c r="A5061" s="439"/>
      <c r="B5061" s="439"/>
      <c r="C5061" s="439"/>
      <c r="D5061" s="439"/>
      <c r="E5061" s="439"/>
      <c r="F5061" s="439"/>
      <c r="G5061" s="451" t="s">
        <v>3406</v>
      </c>
      <c r="Z5061" s="500"/>
      <c r="AA5061" s="500"/>
      <c r="AB5061" s="500"/>
      <c r="AC5061" s="500"/>
      <c r="AD5061" s="500"/>
      <c r="AE5061" s="500"/>
      <c r="AF5061" s="500"/>
      <c r="AG5061" s="500"/>
      <c r="AH5061" s="500"/>
      <c r="AI5061" s="500"/>
      <c r="AJ5061" s="500"/>
      <c r="AK5061" s="500"/>
      <c r="AL5061" s="500"/>
      <c r="AM5061" s="500"/>
      <c r="AN5061" s="500"/>
      <c r="AO5061" s="500"/>
      <c r="AP5061" s="500"/>
    </row>
    <row r="5062" spans="1:42" ht="16.5" customHeight="1">
      <c r="A5062" s="434"/>
      <c r="B5062" s="437" t="s">
        <v>3955</v>
      </c>
      <c r="C5062" s="439"/>
      <c r="D5062" s="439"/>
      <c r="E5062" s="439"/>
      <c r="F5062" s="439"/>
      <c r="G5062" s="451" t="s">
        <v>3956</v>
      </c>
      <c r="Z5062" s="500"/>
      <c r="AA5062" s="500"/>
      <c r="AB5062" s="500"/>
      <c r="AC5062" s="500"/>
      <c r="AD5062" s="500"/>
      <c r="AE5062" s="500"/>
      <c r="AF5062" s="500"/>
      <c r="AG5062" s="500"/>
      <c r="AH5062" s="500"/>
      <c r="AI5062" s="500"/>
      <c r="AJ5062" s="500"/>
      <c r="AK5062" s="500"/>
      <c r="AL5062" s="500"/>
      <c r="AM5062" s="500"/>
      <c r="AN5062" s="500"/>
      <c r="AO5062" s="500"/>
      <c r="AP5062" s="500"/>
    </row>
    <row r="5063" spans="1:42" ht="16.5" customHeight="1">
      <c r="A5063" s="439"/>
      <c r="B5063" s="439"/>
      <c r="C5063" s="439"/>
      <c r="D5063" s="439"/>
      <c r="E5063" s="439"/>
      <c r="F5063" s="439"/>
      <c r="G5063" s="451" t="s">
        <v>3406</v>
      </c>
      <c r="Z5063" s="500"/>
      <c r="AA5063" s="500"/>
      <c r="AB5063" s="500"/>
      <c r="AC5063" s="500"/>
      <c r="AD5063" s="500"/>
      <c r="AE5063" s="500"/>
      <c r="AF5063" s="500"/>
      <c r="AG5063" s="500"/>
      <c r="AH5063" s="500"/>
      <c r="AI5063" s="500"/>
      <c r="AJ5063" s="500"/>
      <c r="AK5063" s="500"/>
      <c r="AL5063" s="500"/>
      <c r="AM5063" s="500"/>
      <c r="AN5063" s="500"/>
      <c r="AO5063" s="500"/>
      <c r="AP5063" s="500"/>
    </row>
    <row r="5064" spans="1:42" ht="16.5" customHeight="1">
      <c r="A5064" s="434"/>
      <c r="B5064" s="437" t="str">
        <f>" 일당 작업량 :  Q1 = "&amp;Z5064&amp;" 주 "</f>
        <v xml:space="preserve"> 일당 작업량 :  Q1 = 22 주 </v>
      </c>
      <c r="C5064" s="439"/>
      <c r="D5064" s="439"/>
      <c r="E5064" s="439"/>
      <c r="F5064" s="439"/>
      <c r="G5064" s="451" t="s">
        <v>3962</v>
      </c>
      <c r="Z5064" s="515">
        <v>22</v>
      </c>
      <c r="AA5064" s="501" t="s">
        <v>3418</v>
      </c>
      <c r="AB5064" s="512">
        <f>Z5064</f>
        <v>22</v>
      </c>
      <c r="AC5064" s="500"/>
      <c r="AD5064" s="500"/>
      <c r="AE5064" s="500"/>
      <c r="AF5064" s="500"/>
      <c r="AG5064" s="500"/>
      <c r="AH5064" s="500"/>
      <c r="AI5064" s="500"/>
      <c r="AJ5064" s="500"/>
      <c r="AK5064" s="500"/>
      <c r="AL5064" s="500"/>
      <c r="AM5064" s="500"/>
      <c r="AN5064" s="500"/>
      <c r="AO5064" s="500"/>
      <c r="AP5064" s="500"/>
    </row>
    <row r="5065" spans="1:42" ht="16.5" customHeight="1">
      <c r="A5065" s="439"/>
      <c r="B5065" s="439"/>
      <c r="C5065" s="439"/>
      <c r="D5065" s="439"/>
      <c r="E5065" s="439"/>
      <c r="F5065" s="439"/>
      <c r="G5065" s="451" t="s">
        <v>3406</v>
      </c>
      <c r="Z5065" s="500"/>
      <c r="AA5065" s="500"/>
      <c r="AB5065" s="500"/>
      <c r="AC5065" s="500"/>
      <c r="AD5065" s="500"/>
      <c r="AE5065" s="500"/>
      <c r="AF5065" s="500"/>
      <c r="AG5065" s="500"/>
      <c r="AH5065" s="500"/>
      <c r="AI5065" s="500"/>
      <c r="AJ5065" s="500"/>
      <c r="AK5065" s="500"/>
      <c r="AL5065" s="500"/>
      <c r="AM5065" s="500"/>
      <c r="AN5065" s="500"/>
      <c r="AO5065" s="500"/>
      <c r="AP5065" s="500"/>
    </row>
    <row r="5066" spans="1:42" ht="16.5" customHeight="1">
      <c r="A5066" s="434"/>
      <c r="B5066" s="437" t="s">
        <v>3958</v>
      </c>
      <c r="C5066" s="439"/>
      <c r="D5066" s="439"/>
      <c r="E5066" s="439"/>
      <c r="F5066" s="439"/>
      <c r="G5066" s="451" t="s">
        <v>3959</v>
      </c>
      <c r="Z5066" s="500"/>
      <c r="AA5066" s="500"/>
      <c r="AB5066" s="500"/>
      <c r="AC5066" s="500"/>
      <c r="AD5066" s="500"/>
      <c r="AE5066" s="500"/>
      <c r="AF5066" s="500"/>
      <c r="AG5066" s="500"/>
      <c r="AH5066" s="500"/>
      <c r="AI5066" s="500"/>
      <c r="AJ5066" s="500"/>
      <c r="AK5066" s="500"/>
      <c r="AL5066" s="500"/>
      <c r="AM5066" s="500"/>
      <c r="AN5066" s="500"/>
      <c r="AO5066" s="500"/>
      <c r="AP5066" s="500"/>
    </row>
    <row r="5067" spans="1:42" ht="16.5" customHeight="1">
      <c r="A5067" s="439"/>
      <c r="B5067" s="439"/>
      <c r="C5067" s="439"/>
      <c r="D5067" s="439"/>
      <c r="E5067" s="439"/>
      <c r="F5067" s="439"/>
      <c r="G5067" s="451" t="s">
        <v>3406</v>
      </c>
      <c r="Z5067" s="500"/>
      <c r="AA5067" s="500"/>
      <c r="AB5067" s="500"/>
      <c r="AC5067" s="500"/>
      <c r="AD5067" s="500"/>
      <c r="AE5067" s="500"/>
      <c r="AF5067" s="500"/>
      <c r="AG5067" s="500"/>
      <c r="AH5067" s="500"/>
      <c r="AI5067" s="500"/>
      <c r="AJ5067" s="500"/>
      <c r="AK5067" s="500"/>
      <c r="AL5067" s="500"/>
      <c r="AM5067" s="500"/>
      <c r="AN5067" s="500"/>
      <c r="AO5067" s="500"/>
      <c r="AP5067" s="500"/>
    </row>
    <row r="5068" spans="1:42" ht="16.5" customHeight="1">
      <c r="A5068" s="439"/>
      <c r="B5068" s="439"/>
      <c r="C5068" s="439"/>
      <c r="D5068" s="439"/>
      <c r="E5068" s="439"/>
      <c r="F5068" s="439"/>
      <c r="G5068" s="451" t="s">
        <v>3406</v>
      </c>
      <c r="Z5068" s="500"/>
      <c r="AA5068" s="500"/>
      <c r="AB5068" s="500"/>
      <c r="AC5068" s="500"/>
      <c r="AD5068" s="500"/>
      <c r="AE5068" s="500"/>
      <c r="AF5068" s="500"/>
      <c r="AG5068" s="500"/>
      <c r="AH5068" s="500"/>
      <c r="AI5068" s="500"/>
      <c r="AJ5068" s="500"/>
      <c r="AK5068" s="500"/>
      <c r="AL5068" s="500"/>
      <c r="AM5068" s="500"/>
      <c r="AN5068" s="500"/>
      <c r="AO5068" s="500"/>
      <c r="AP5068" s="500"/>
    </row>
    <row r="5069" spans="1:42" ht="16.5" customHeight="1">
      <c r="A5069" s="434"/>
      <c r="B5069" s="437" t="s">
        <v>3496</v>
      </c>
      <c r="C5069" s="439"/>
      <c r="D5069" s="439"/>
      <c r="E5069" s="439"/>
      <c r="F5069" s="439"/>
      <c r="G5069" s="451" t="s">
        <v>3497</v>
      </c>
      <c r="Z5069" s="500"/>
      <c r="AA5069" s="500"/>
      <c r="AB5069" s="500"/>
      <c r="AC5069" s="500"/>
      <c r="AD5069" s="500"/>
      <c r="AE5069" s="500"/>
      <c r="AF5069" s="500"/>
      <c r="AG5069" s="500"/>
      <c r="AH5069" s="500"/>
      <c r="AI5069" s="500"/>
      <c r="AJ5069" s="500"/>
      <c r="AK5069" s="500"/>
      <c r="AL5069" s="500"/>
      <c r="AM5069" s="500"/>
      <c r="AN5069" s="500"/>
      <c r="AO5069" s="500"/>
      <c r="AP5069" s="500"/>
    </row>
    <row r="5070" spans="1:42" ht="16.5" customHeight="1">
      <c r="A5070" s="439"/>
      <c r="B5070" s="439"/>
      <c r="C5070" s="439"/>
      <c r="D5070" s="439"/>
      <c r="E5070" s="439"/>
      <c r="F5070" s="439"/>
      <c r="G5070" s="451" t="s">
        <v>3406</v>
      </c>
      <c r="Z5070" s="500"/>
      <c r="AA5070" s="500"/>
      <c r="AB5070" s="500"/>
      <c r="AC5070" s="500"/>
      <c r="AD5070" s="500"/>
      <c r="AE5070" s="500"/>
      <c r="AF5070" s="500"/>
      <c r="AG5070" s="500"/>
      <c r="AH5070" s="500"/>
      <c r="AI5070" s="500"/>
      <c r="AJ5070" s="500"/>
      <c r="AK5070" s="500"/>
      <c r="AL5070" s="500"/>
      <c r="AM5070" s="500"/>
      <c r="AN5070" s="500"/>
      <c r="AO5070" s="500"/>
      <c r="AP5070" s="500"/>
    </row>
    <row r="5071" spans="1:42" ht="16.5" customHeight="1">
      <c r="A5071" s="434" t="s">
        <v>3498</v>
      </c>
      <c r="B5071" s="505" t="str">
        <f>" 조 경 공 : "&amp;TEXT(I5071,"#,##0"&amp;IF(I5071&lt;&gt;INT(I5071),".###",""))&amp;" * "&amp;AA5071&amp;" 인  / Q1 = "&amp;TEXT(C5071,"#,##0.0")&amp;" "</f>
        <v xml:space="preserve"> 조 경 공 : 235,204 * 2 인  / Q1 = 21,382.1 </v>
      </c>
      <c r="C5071" s="506">
        <f>E5071+D5071+F5071</f>
        <v>21382.1</v>
      </c>
      <c r="D5071" s="506">
        <f>IF(H5071=0,0,ROUNDDOWN(J5071*H5071,1))</f>
        <v>21382.1</v>
      </c>
      <c r="E5071" s="506">
        <f>IF(H5071=0,0,ROUNDDOWN(K5071*H5071,1))</f>
        <v>0</v>
      </c>
      <c r="F5071" s="506">
        <f>IF(H5071=0,0,ROUNDDOWN(L5071*H5071,1))</f>
        <v>0</v>
      </c>
      <c r="G5071" s="451" t="s">
        <v>3960</v>
      </c>
      <c r="H5071" s="507">
        <f>ROUNDUP(AE5071,14-LEN(ABS(INT(AE5071))))</f>
        <v>9.0909090909100002E-2</v>
      </c>
      <c r="I5071" s="508">
        <f>K5071+J5071+L5071</f>
        <v>235204</v>
      </c>
      <c r="J5071" s="509">
        <f>노무비목록표!E15</f>
        <v>235204</v>
      </c>
      <c r="M5071" s="501" t="s">
        <v>2359</v>
      </c>
      <c r="N5071" s="501" t="s">
        <v>3416</v>
      </c>
      <c r="O5071" s="501" t="s">
        <v>2355</v>
      </c>
      <c r="X5071" s="510" t="str">
        <f>노무비목록표!B15&amp;" / "&amp;노무비목록표!C15</f>
        <v xml:space="preserve">조경공 / </v>
      </c>
      <c r="Y5071" s="433" t="str">
        <f ca="1">HYPERLINK("#"&amp;노무비목록표!G2&amp;"!A"&amp;ROW(노무비목록표!A15),"L00184 →")</f>
        <v>L00184 →</v>
      </c>
      <c r="Z5071" s="501" t="s">
        <v>3500</v>
      </c>
      <c r="AA5071" s="515">
        <v>2</v>
      </c>
      <c r="AB5071" s="501" t="s">
        <v>3428</v>
      </c>
      <c r="AC5071" s="512">
        <f>AB5064</f>
        <v>22</v>
      </c>
      <c r="AD5071" s="501" t="s">
        <v>3418</v>
      </c>
      <c r="AE5071" s="512">
        <f>1*AA5071/AB5064</f>
        <v>9.0909090909090912E-2</v>
      </c>
      <c r="AF5071" s="500"/>
      <c r="AG5071" s="500"/>
      <c r="AH5071" s="500"/>
      <c r="AI5071" s="500"/>
      <c r="AJ5071" s="500"/>
      <c r="AK5071" s="500"/>
      <c r="AL5071" s="500"/>
      <c r="AM5071" s="500"/>
      <c r="AN5071" s="500"/>
      <c r="AO5071" s="500"/>
      <c r="AP5071" s="500"/>
    </row>
    <row r="5072" spans="1:42" ht="16.5" customHeight="1">
      <c r="A5072" s="439"/>
      <c r="B5072" s="439"/>
      <c r="C5072" s="439"/>
      <c r="D5072" s="439"/>
      <c r="E5072" s="439"/>
      <c r="F5072" s="439"/>
      <c r="G5072" s="451" t="s">
        <v>3406</v>
      </c>
      <c r="Z5072" s="500"/>
      <c r="AA5072" s="500"/>
      <c r="AB5072" s="500"/>
      <c r="AC5072" s="500"/>
      <c r="AD5072" s="500"/>
      <c r="AE5072" s="500"/>
      <c r="AF5072" s="500"/>
      <c r="AG5072" s="500"/>
      <c r="AH5072" s="500"/>
      <c r="AI5072" s="500"/>
      <c r="AJ5072" s="500"/>
      <c r="AK5072" s="500"/>
      <c r="AL5072" s="500"/>
      <c r="AM5072" s="500"/>
      <c r="AN5072" s="500"/>
      <c r="AO5072" s="500"/>
      <c r="AP5072" s="500"/>
    </row>
    <row r="5073" spans="1:42" ht="16.5" customHeight="1">
      <c r="A5073" s="434" t="s">
        <v>3414</v>
      </c>
      <c r="B5073" s="505" t="str">
        <f>" 보통인부 : "&amp;TEXT(I5073,"#,##0"&amp;IF(I5073&lt;&gt;INT(I5073),".###",""))&amp;" * "&amp;AA5073&amp;" 인  / Q1 = "&amp;TEXT(C5073,"#,##0.0")&amp;" "</f>
        <v xml:space="preserve"> 보통인부 : 172,068 * 1 인  / Q1 = 7,821.2 </v>
      </c>
      <c r="C5073" s="506">
        <f>E5073+D5073+F5073</f>
        <v>7821.2</v>
      </c>
      <c r="D5073" s="506">
        <f>IF(H5073=0,0,ROUNDDOWN(J5073*H5073,1))</f>
        <v>7821.2</v>
      </c>
      <c r="E5073" s="506">
        <f>IF(H5073=0,0,ROUNDDOWN(K5073*H5073,1))</f>
        <v>0</v>
      </c>
      <c r="F5073" s="506">
        <f>IF(H5073=0,0,ROUNDDOWN(L5073*H5073,1))</f>
        <v>0</v>
      </c>
      <c r="G5073" s="451" t="s">
        <v>3894</v>
      </c>
      <c r="H5073" s="507">
        <f>ROUNDUP(AE5073,14-LEN(ABS(INT(AE5073))))</f>
        <v>4.5454545454600002E-2</v>
      </c>
      <c r="I5073" s="508">
        <f>K5073+J5073+L5073</f>
        <v>172068</v>
      </c>
      <c r="J5073" s="509">
        <f>노무비목록표!E10</f>
        <v>172068</v>
      </c>
      <c r="M5073" s="501" t="s">
        <v>2363</v>
      </c>
      <c r="N5073" s="501" t="s">
        <v>3416</v>
      </c>
      <c r="O5073" s="501" t="s">
        <v>2355</v>
      </c>
      <c r="X5073" s="510" t="str">
        <f>노무비목록표!B10&amp;" / "&amp;노무비목록표!C10</f>
        <v xml:space="preserve">보통인부 / </v>
      </c>
      <c r="Y5073" s="433" t="str">
        <f ca="1">HYPERLINK("#"&amp;노무비목록표!G2&amp;"!A"&amp;ROW(노무비목록표!A10),"L00017 →")</f>
        <v>L00017 →</v>
      </c>
      <c r="Z5073" s="501" t="s">
        <v>3500</v>
      </c>
      <c r="AA5073" s="515">
        <v>1</v>
      </c>
      <c r="AB5073" s="501" t="s">
        <v>3428</v>
      </c>
      <c r="AC5073" s="512">
        <f>AB5064</f>
        <v>22</v>
      </c>
      <c r="AD5073" s="501" t="s">
        <v>3418</v>
      </c>
      <c r="AE5073" s="512">
        <f>1*AA5073/AB5064</f>
        <v>4.5454545454545456E-2</v>
      </c>
      <c r="AF5073" s="500"/>
      <c r="AG5073" s="500"/>
      <c r="AH5073" s="500"/>
      <c r="AI5073" s="500"/>
      <c r="AJ5073" s="500"/>
      <c r="AK5073" s="500"/>
      <c r="AL5073" s="500"/>
      <c r="AM5073" s="500"/>
      <c r="AN5073" s="500"/>
      <c r="AO5073" s="500"/>
      <c r="AP5073" s="500"/>
    </row>
    <row r="5074" spans="1:42" ht="16.5" customHeight="1">
      <c r="A5074" s="439"/>
      <c r="B5074" s="439"/>
      <c r="C5074" s="439"/>
      <c r="D5074" s="439"/>
      <c r="E5074" s="439"/>
      <c r="F5074" s="439"/>
      <c r="G5074" s="451" t="s">
        <v>3406</v>
      </c>
      <c r="Z5074" s="500"/>
      <c r="AA5074" s="500"/>
      <c r="AB5074" s="500"/>
      <c r="AC5074" s="500"/>
      <c r="AD5074" s="500"/>
      <c r="AE5074" s="500"/>
      <c r="AF5074" s="500"/>
      <c r="AG5074" s="500"/>
      <c r="AH5074" s="500"/>
      <c r="AI5074" s="500"/>
      <c r="AJ5074" s="500"/>
      <c r="AK5074" s="500"/>
      <c r="AL5074" s="500"/>
      <c r="AM5074" s="500"/>
      <c r="AN5074" s="500"/>
      <c r="AO5074" s="500"/>
      <c r="AP5074" s="500"/>
    </row>
    <row r="5075" spans="1:42" ht="16.5" customHeight="1">
      <c r="A5075" s="434"/>
      <c r="B5075" s="437" t="s">
        <v>3419</v>
      </c>
      <c r="C5075" s="513">
        <f>E5075+D5075+F5075</f>
        <v>29203.3</v>
      </c>
      <c r="D5075" s="513">
        <f>SUMIF(N5057:N5074,M5075,D5057:D5074)</f>
        <v>29203.3</v>
      </c>
      <c r="E5075" s="513">
        <f>SUMIF(N5057:N5074,M5075,E5057:E5074)</f>
        <v>0</v>
      </c>
      <c r="F5075" s="513">
        <f>SUMIF(N5057:N5074,M5075,F5057:F5074)</f>
        <v>0</v>
      </c>
      <c r="G5075" s="451" t="s">
        <v>3420</v>
      </c>
      <c r="M5075" s="501" t="s">
        <v>3416</v>
      </c>
      <c r="N5075" s="501" t="s">
        <v>3421</v>
      </c>
      <c r="Z5075" s="500"/>
      <c r="AA5075" s="500"/>
      <c r="AB5075" s="500"/>
      <c r="AC5075" s="500"/>
      <c r="AD5075" s="500"/>
      <c r="AE5075" s="500"/>
      <c r="AF5075" s="500"/>
      <c r="AG5075" s="500"/>
      <c r="AH5075" s="500"/>
      <c r="AI5075" s="500"/>
      <c r="AJ5075" s="500"/>
      <c r="AK5075" s="500"/>
      <c r="AL5075" s="500"/>
      <c r="AM5075" s="500"/>
      <c r="AN5075" s="500"/>
      <c r="AO5075" s="500"/>
      <c r="AP5075" s="500"/>
    </row>
    <row r="5076" spans="1:42" ht="16.5" customHeight="1">
      <c r="A5076" s="439"/>
      <c r="B5076" s="439"/>
      <c r="C5076" s="504"/>
      <c r="D5076" s="504"/>
      <c r="E5076" s="504"/>
      <c r="F5076" s="504"/>
      <c r="G5076" s="451" t="s">
        <v>3406</v>
      </c>
      <c r="Z5076" s="500"/>
      <c r="AA5076" s="500"/>
      <c r="AB5076" s="500"/>
      <c r="AC5076" s="500"/>
      <c r="AD5076" s="500"/>
      <c r="AE5076" s="500"/>
      <c r="AF5076" s="500"/>
      <c r="AG5076" s="500"/>
      <c r="AH5076" s="500"/>
      <c r="AI5076" s="500"/>
      <c r="AJ5076" s="500"/>
      <c r="AK5076" s="500"/>
      <c r="AL5076" s="500"/>
      <c r="AM5076" s="500"/>
      <c r="AN5076" s="500"/>
      <c r="AO5076" s="500"/>
      <c r="AP5076" s="500"/>
    </row>
    <row r="5077" spans="1:42" ht="16.5" customHeight="1">
      <c r="A5077" s="439"/>
      <c r="B5077" s="439"/>
      <c r="C5077" s="439"/>
      <c r="D5077" s="439"/>
      <c r="E5077" s="439"/>
      <c r="F5077" s="439"/>
      <c r="G5077" s="451" t="s">
        <v>3406</v>
      </c>
      <c r="Z5077" s="500"/>
      <c r="AA5077" s="500"/>
      <c r="AB5077" s="500"/>
      <c r="AC5077" s="500"/>
      <c r="AD5077" s="500"/>
      <c r="AE5077" s="500"/>
      <c r="AF5077" s="500"/>
      <c r="AG5077" s="500"/>
      <c r="AH5077" s="500"/>
      <c r="AI5077" s="500"/>
      <c r="AJ5077" s="500"/>
      <c r="AK5077" s="500"/>
      <c r="AL5077" s="500"/>
      <c r="AM5077" s="500"/>
      <c r="AN5077" s="500"/>
      <c r="AO5077" s="500"/>
      <c r="AP5077" s="500"/>
    </row>
    <row r="5078" spans="1:42" ht="16.5" customHeight="1">
      <c r="A5078" s="434"/>
      <c r="B5078" s="505" t="str">
        <f>" 2. 기계경비(인력품의 3%) : "&amp;TEXT(I5078,"#,##0.0")&amp;" * "&amp;AA5078&amp;" %  = "&amp;TEXT(C5078,"#,##0.0")&amp;""</f>
        <v xml:space="preserve"> 2. 기계경비(인력품의 3%) : 29,203.3 * 3 %  = 876.0</v>
      </c>
      <c r="C5078" s="506">
        <f>E5078+D5078+F5078</f>
        <v>876</v>
      </c>
      <c r="D5078" s="506">
        <f>IF(H5078=0,0,ROUNDDOWN(J5078*H5078/100,1))</f>
        <v>0</v>
      </c>
      <c r="E5078" s="506">
        <f>IF(H5078=0,0,ROUNDDOWN(K5078*H5078/100,1))</f>
        <v>0</v>
      </c>
      <c r="F5078" s="506">
        <f>IF(H5078=0,0,ROUNDDOWN(L5078*H5078/100,1))</f>
        <v>876</v>
      </c>
      <c r="G5078" s="451" t="s">
        <v>3923</v>
      </c>
      <c r="H5078" s="507">
        <f>ROUNDUP(AC5078,14-LEN(ABS(INT(AC5078))))</f>
        <v>3</v>
      </c>
      <c r="I5078" s="508">
        <f>K5078+J5078+L5078</f>
        <v>29203.3</v>
      </c>
      <c r="J5078" s="456">
        <v>0</v>
      </c>
      <c r="K5078" s="456">
        <v>0</v>
      </c>
      <c r="L5078" s="509">
        <f>D5071+D5073</f>
        <v>29203.3</v>
      </c>
      <c r="M5078" s="501" t="s">
        <v>3743</v>
      </c>
      <c r="N5078" s="501" t="s">
        <v>3416</v>
      </c>
      <c r="Z5078" s="501" t="s">
        <v>3500</v>
      </c>
      <c r="AA5078" s="515">
        <v>3</v>
      </c>
      <c r="AB5078" s="501" t="s">
        <v>3418</v>
      </c>
      <c r="AC5078" s="512">
        <f>1*AA5078</f>
        <v>3</v>
      </c>
      <c r="AD5078" s="500"/>
      <c r="AE5078" s="500"/>
      <c r="AF5078" s="500"/>
      <c r="AG5078" s="500"/>
      <c r="AH5078" s="500"/>
      <c r="AI5078" s="500"/>
      <c r="AJ5078" s="500"/>
      <c r="AK5078" s="500"/>
      <c r="AL5078" s="500"/>
      <c r="AM5078" s="500"/>
      <c r="AN5078" s="500"/>
      <c r="AO5078" s="500"/>
      <c r="AP5078" s="500"/>
    </row>
    <row r="5079" spans="1:42" ht="16.5" customHeight="1">
      <c r="A5079" s="439"/>
      <c r="B5079" s="439"/>
      <c r="C5079" s="439"/>
      <c r="D5079" s="439"/>
      <c r="E5079" s="439"/>
      <c r="F5079" s="439"/>
      <c r="G5079" s="451" t="s">
        <v>3406</v>
      </c>
      <c r="Z5079" s="500"/>
      <c r="AA5079" s="500"/>
      <c r="AB5079" s="500"/>
      <c r="AC5079" s="500"/>
      <c r="AD5079" s="500"/>
      <c r="AE5079" s="500"/>
      <c r="AF5079" s="500"/>
      <c r="AG5079" s="500"/>
      <c r="AH5079" s="500"/>
      <c r="AI5079" s="500"/>
      <c r="AJ5079" s="500"/>
      <c r="AK5079" s="500"/>
      <c r="AL5079" s="500"/>
      <c r="AM5079" s="500"/>
      <c r="AN5079" s="500"/>
      <c r="AO5079" s="500"/>
      <c r="AP5079" s="500"/>
    </row>
    <row r="5080" spans="1:42" ht="16.5" customHeight="1">
      <c r="A5080" s="434"/>
      <c r="B5080" s="437" t="s">
        <v>3419</v>
      </c>
      <c r="C5080" s="513">
        <f>E5080+D5080+F5080</f>
        <v>876</v>
      </c>
      <c r="D5080" s="513">
        <f>SUMIF(N5076:N5079,M5080,D5076:D5079)</f>
        <v>0</v>
      </c>
      <c r="E5080" s="513">
        <f>SUMIF(N5076:N5079,M5080,E5076:E5079)</f>
        <v>0</v>
      </c>
      <c r="F5080" s="513">
        <f>SUMIF(N5076:N5079,M5080,F5076:F5079)</f>
        <v>876</v>
      </c>
      <c r="G5080" s="451" t="s">
        <v>3439</v>
      </c>
      <c r="M5080" s="501" t="s">
        <v>3416</v>
      </c>
      <c r="N5080" s="501" t="s">
        <v>3421</v>
      </c>
      <c r="Z5080" s="500"/>
      <c r="AA5080" s="500"/>
      <c r="AB5080" s="500"/>
      <c r="AC5080" s="500"/>
      <c r="AD5080" s="500"/>
      <c r="AE5080" s="500"/>
      <c r="AF5080" s="500"/>
      <c r="AG5080" s="500"/>
      <c r="AH5080" s="500"/>
      <c r="AI5080" s="500"/>
      <c r="AJ5080" s="500"/>
      <c r="AK5080" s="500"/>
      <c r="AL5080" s="500"/>
      <c r="AM5080" s="500"/>
      <c r="AN5080" s="500"/>
      <c r="AO5080" s="500"/>
      <c r="AP5080" s="500"/>
    </row>
    <row r="5081" spans="1:42" ht="16.5" customHeight="1">
      <c r="A5081" s="439"/>
      <c r="B5081" s="439"/>
      <c r="C5081" s="504"/>
      <c r="D5081" s="504"/>
      <c r="E5081" s="504"/>
      <c r="F5081" s="504"/>
      <c r="G5081" s="451" t="s">
        <v>3406</v>
      </c>
      <c r="Z5081" s="500"/>
      <c r="AA5081" s="500"/>
      <c r="AB5081" s="500"/>
      <c r="AC5081" s="500"/>
      <c r="AD5081" s="500"/>
      <c r="AE5081" s="500"/>
      <c r="AF5081" s="500"/>
      <c r="AG5081" s="500"/>
      <c r="AH5081" s="500"/>
      <c r="AI5081" s="500"/>
      <c r="AJ5081" s="500"/>
      <c r="AK5081" s="500"/>
      <c r="AL5081" s="500"/>
      <c r="AM5081" s="500"/>
      <c r="AN5081" s="500"/>
      <c r="AO5081" s="500"/>
      <c r="AP5081" s="500"/>
    </row>
    <row r="5082" spans="1:42" ht="16.5" customHeight="1">
      <c r="A5082" s="434"/>
      <c r="B5082" s="505" t="str">
        <f>"  산지할증 : "&amp;TEXT(I5082,"#,##0.0")&amp;" * "&amp;AA5082&amp;" %  = "&amp;TEXT(C5082,"#,##0.0")&amp;""</f>
        <v xml:space="preserve">  산지할증 : 29,203.3 * 15 %  = 4,380.4</v>
      </c>
      <c r="C5082" s="506">
        <f>E5082+D5082+F5082</f>
        <v>4380.3999999999996</v>
      </c>
      <c r="D5082" s="506">
        <f>IF(H5082=0,0,ROUNDDOWN(J5082*H5082/100,1))</f>
        <v>4380.3999999999996</v>
      </c>
      <c r="E5082" s="506">
        <f>IF(H5082=0,0,ROUNDDOWN(K5082*H5082/100,1))</f>
        <v>0</v>
      </c>
      <c r="F5082" s="506">
        <f>IF(H5082=0,0,ROUNDDOWN(L5082*H5082/100,1))</f>
        <v>0</v>
      </c>
      <c r="G5082" s="451" t="s">
        <v>5587</v>
      </c>
      <c r="H5082" s="507">
        <f>ROUNDUP(AC5082,14-LEN(ABS(INT(AC5082))))</f>
        <v>15</v>
      </c>
      <c r="I5082" s="508">
        <f>K5082+J5082+L5082</f>
        <v>29203.3</v>
      </c>
      <c r="J5082" s="508">
        <f>D5075+D5080+SUMIF(N5081:N5081,N5082,D5081:D5081)</f>
        <v>29203.3</v>
      </c>
      <c r="K5082" s="456">
        <v>0</v>
      </c>
      <c r="L5082" s="456">
        <v>0</v>
      </c>
      <c r="M5082" s="501" t="s">
        <v>4208</v>
      </c>
      <c r="N5082" s="501" t="s">
        <v>3416</v>
      </c>
      <c r="Z5082" s="501" t="s">
        <v>3500</v>
      </c>
      <c r="AA5082" s="515">
        <v>15</v>
      </c>
      <c r="AB5082" s="501" t="s">
        <v>3418</v>
      </c>
      <c r="AC5082" s="512">
        <f>1*AA5082</f>
        <v>15</v>
      </c>
      <c r="AD5082" s="500"/>
      <c r="AE5082" s="500"/>
      <c r="AF5082" s="500"/>
      <c r="AG5082" s="500"/>
      <c r="AH5082" s="500"/>
      <c r="AI5082" s="500"/>
      <c r="AJ5082" s="500"/>
      <c r="AK5082" s="500"/>
      <c r="AL5082" s="500"/>
      <c r="AM5082" s="500"/>
      <c r="AN5082" s="500"/>
      <c r="AO5082" s="500"/>
      <c r="AP5082" s="500"/>
    </row>
    <row r="5083" spans="1:42" ht="16.5" customHeight="1">
      <c r="A5083" s="439"/>
      <c r="B5083" s="439"/>
      <c r="C5083" s="439"/>
      <c r="D5083" s="439"/>
      <c r="E5083" s="439"/>
      <c r="F5083" s="439"/>
      <c r="G5083" s="451" t="s">
        <v>3406</v>
      </c>
      <c r="Z5083" s="500"/>
      <c r="AA5083" s="500"/>
      <c r="AB5083" s="500"/>
      <c r="AC5083" s="500"/>
      <c r="AD5083" s="500"/>
      <c r="AE5083" s="500"/>
      <c r="AF5083" s="500"/>
      <c r="AG5083" s="500"/>
      <c r="AH5083" s="500"/>
      <c r="AI5083" s="500"/>
      <c r="AJ5083" s="500"/>
      <c r="AK5083" s="500"/>
      <c r="AL5083" s="500"/>
      <c r="AM5083" s="500"/>
      <c r="AN5083" s="500"/>
      <c r="AO5083" s="500"/>
      <c r="AP5083" s="500"/>
    </row>
    <row r="5084" spans="1:42" ht="16.5" customHeight="1">
      <c r="A5084" s="434"/>
      <c r="B5084" s="437" t="s">
        <v>3419</v>
      </c>
      <c r="C5084" s="513">
        <f>E5084+D5084+F5084</f>
        <v>4380.3999999999996</v>
      </c>
      <c r="D5084" s="513">
        <f>SUMIF(N5081:N5083,M5084,D5081:D5083)</f>
        <v>4380.3999999999996</v>
      </c>
      <c r="E5084" s="513">
        <f>SUMIF(N5081:N5083,M5084,E5081:E5083)</f>
        <v>0</v>
      </c>
      <c r="F5084" s="513">
        <f>SUMIF(N5081:N5083,M5084,F5081:F5083)</f>
        <v>0</v>
      </c>
      <c r="G5084" s="451" t="s">
        <v>3439</v>
      </c>
      <c r="M5084" s="501" t="s">
        <v>3416</v>
      </c>
      <c r="N5084" s="501" t="s">
        <v>3421</v>
      </c>
      <c r="Z5084" s="500"/>
      <c r="AA5084" s="500"/>
      <c r="AB5084" s="500"/>
      <c r="AC5084" s="500"/>
      <c r="AD5084" s="500"/>
      <c r="AE5084" s="500"/>
      <c r="AF5084" s="500"/>
      <c r="AG5084" s="500"/>
      <c r="AH5084" s="500"/>
      <c r="AI5084" s="500"/>
      <c r="AJ5084" s="500"/>
      <c r="AK5084" s="500"/>
      <c r="AL5084" s="500"/>
      <c r="AM5084" s="500"/>
      <c r="AN5084" s="500"/>
      <c r="AO5084" s="500"/>
      <c r="AP5084" s="500"/>
    </row>
    <row r="5085" spans="1:42" ht="16.5" customHeight="1">
      <c r="A5085" s="439"/>
      <c r="B5085" s="439"/>
      <c r="C5085" s="504"/>
      <c r="D5085" s="504"/>
      <c r="E5085" s="504"/>
      <c r="F5085" s="504"/>
      <c r="G5085" s="451" t="s">
        <v>3406</v>
      </c>
      <c r="Z5085" s="500"/>
      <c r="AA5085" s="500"/>
      <c r="AB5085" s="500"/>
      <c r="AC5085" s="500"/>
      <c r="AD5085" s="500"/>
      <c r="AE5085" s="500"/>
      <c r="AF5085" s="500"/>
      <c r="AG5085" s="500"/>
      <c r="AH5085" s="500"/>
      <c r="AI5085" s="500"/>
      <c r="AJ5085" s="500"/>
      <c r="AK5085" s="500"/>
      <c r="AL5085" s="500"/>
      <c r="AM5085" s="500"/>
      <c r="AN5085" s="500"/>
      <c r="AO5085" s="500"/>
      <c r="AP5085" s="500"/>
    </row>
    <row r="5086" spans="1:42" ht="16.5" customHeight="1">
      <c r="A5086" s="434"/>
      <c r="B5086" s="437" t="s">
        <v>3440</v>
      </c>
      <c r="C5086" s="513">
        <f>E5086+D5086+F5086</f>
        <v>34459.699999999997</v>
      </c>
      <c r="D5086" s="513">
        <f>SUMIF(N5057:N5085,M5086,D5057:D5085)</f>
        <v>33583.699999999997</v>
      </c>
      <c r="E5086" s="513">
        <f>SUMIF(N5057:N5085,M5086,E5057:E5085)</f>
        <v>0</v>
      </c>
      <c r="F5086" s="513">
        <f>SUMIF(N5057:N5085,M5086,F5057:F5085)</f>
        <v>876</v>
      </c>
      <c r="G5086" s="451" t="s">
        <v>3441</v>
      </c>
      <c r="M5086" s="501" t="s">
        <v>3421</v>
      </c>
      <c r="N5086" s="501" t="s">
        <v>2354</v>
      </c>
      <c r="Z5086" s="500"/>
      <c r="AA5086" s="500"/>
      <c r="AB5086" s="500"/>
      <c r="AC5086" s="500"/>
      <c r="AD5086" s="500"/>
      <c r="AE5086" s="500"/>
      <c r="AF5086" s="500"/>
      <c r="AG5086" s="500"/>
      <c r="AH5086" s="500"/>
      <c r="AI5086" s="500"/>
      <c r="AJ5086" s="500"/>
      <c r="AK5086" s="500"/>
      <c r="AL5086" s="500"/>
      <c r="AM5086" s="500"/>
      <c r="AN5086" s="500"/>
      <c r="AO5086" s="500"/>
      <c r="AP5086" s="500"/>
    </row>
    <row r="5087" spans="1:42" ht="16.5" customHeight="1">
      <c r="A5087" s="439"/>
      <c r="B5087" s="439"/>
      <c r="C5087" s="504"/>
      <c r="D5087" s="504"/>
      <c r="E5087" s="504"/>
      <c r="F5087" s="504"/>
      <c r="Z5087" s="500"/>
      <c r="AA5087" s="500"/>
      <c r="AB5087" s="500"/>
      <c r="AC5087" s="500"/>
      <c r="AD5087" s="500"/>
      <c r="AE5087" s="500"/>
      <c r="AF5087" s="500"/>
      <c r="AG5087" s="500"/>
      <c r="AH5087" s="500"/>
      <c r="AI5087" s="500"/>
      <c r="AJ5087" s="500"/>
      <c r="AK5087" s="500"/>
      <c r="AL5087" s="500"/>
      <c r="AM5087" s="500"/>
      <c r="AN5087" s="500"/>
      <c r="AO5087" s="500"/>
      <c r="AP5087" s="500"/>
    </row>
    <row r="5088" spans="1:42" ht="16.5" customHeight="1">
      <c r="A5088" s="439"/>
      <c r="B5088" s="439"/>
      <c r="C5088" s="439"/>
      <c r="D5088" s="439"/>
      <c r="E5088" s="439"/>
      <c r="F5088" s="439"/>
      <c r="Z5088" s="500"/>
      <c r="AA5088" s="500"/>
      <c r="AB5088" s="500"/>
      <c r="AC5088" s="500"/>
      <c r="AD5088" s="500"/>
      <c r="AE5088" s="500"/>
      <c r="AF5088" s="500"/>
      <c r="AG5088" s="500"/>
      <c r="AH5088" s="500"/>
      <c r="AI5088" s="500"/>
      <c r="AJ5088" s="500"/>
      <c r="AK5088" s="500"/>
      <c r="AL5088" s="500"/>
      <c r="AM5088" s="500"/>
      <c r="AN5088" s="500"/>
      <c r="AO5088" s="500"/>
      <c r="AP5088" s="500"/>
    </row>
    <row r="5089" spans="1:42" ht="16.5" customHeight="1">
      <c r="A5089" s="439"/>
      <c r="B5089" s="439"/>
      <c r="C5089" s="439"/>
      <c r="D5089" s="439"/>
      <c r="E5089" s="439"/>
      <c r="F5089" s="439"/>
      <c r="Z5089" s="500"/>
      <c r="AA5089" s="500"/>
      <c r="AB5089" s="500"/>
      <c r="AC5089" s="500"/>
      <c r="AD5089" s="500"/>
      <c r="AE5089" s="500"/>
      <c r="AF5089" s="500"/>
      <c r="AG5089" s="500"/>
      <c r="AH5089" s="500"/>
      <c r="AI5089" s="500"/>
      <c r="AJ5089" s="500"/>
      <c r="AK5089" s="500"/>
      <c r="AL5089" s="500"/>
      <c r="AM5089" s="500"/>
      <c r="AN5089" s="500"/>
      <c r="AO5089" s="500"/>
      <c r="AP5089" s="500"/>
    </row>
    <row r="5090" spans="1:42" ht="16.5" customHeight="1">
      <c r="A5090" s="439"/>
      <c r="B5090" s="439"/>
      <c r="C5090" s="439"/>
      <c r="D5090" s="439"/>
      <c r="E5090" s="439"/>
      <c r="F5090" s="439"/>
      <c r="Z5090" s="500"/>
      <c r="AA5090" s="500"/>
      <c r="AB5090" s="500"/>
      <c r="AC5090" s="500"/>
      <c r="AD5090" s="500"/>
      <c r="AE5090" s="500"/>
      <c r="AF5090" s="500"/>
      <c r="AG5090" s="500"/>
      <c r="AH5090" s="500"/>
      <c r="AI5090" s="500"/>
      <c r="AJ5090" s="500"/>
      <c r="AK5090" s="500"/>
      <c r="AL5090" s="500"/>
      <c r="AM5090" s="500"/>
      <c r="AN5090" s="500"/>
      <c r="AO5090" s="500"/>
      <c r="AP5090" s="500"/>
    </row>
    <row r="5091" spans="1:42" ht="16.5" customHeight="1">
      <c r="A5091" s="439"/>
      <c r="B5091" s="439"/>
      <c r="C5091" s="439"/>
      <c r="D5091" s="439"/>
      <c r="E5091" s="439"/>
      <c r="F5091" s="439"/>
      <c r="Z5091" s="500"/>
      <c r="AA5091" s="500"/>
      <c r="AB5091" s="500"/>
      <c r="AC5091" s="500"/>
      <c r="AD5091" s="500"/>
      <c r="AE5091" s="500"/>
      <c r="AF5091" s="500"/>
      <c r="AG5091" s="500"/>
      <c r="AH5091" s="500"/>
      <c r="AI5091" s="500"/>
      <c r="AJ5091" s="500"/>
      <c r="AK5091" s="500"/>
      <c r="AL5091" s="500"/>
      <c r="AM5091" s="500"/>
      <c r="AN5091" s="500"/>
      <c r="AO5091" s="500"/>
      <c r="AP5091" s="500"/>
    </row>
    <row r="5092" spans="1:42" ht="16.5" customHeight="1">
      <c r="A5092" s="439"/>
      <c r="B5092" s="439"/>
      <c r="C5092" s="439"/>
      <c r="D5092" s="439"/>
      <c r="E5092" s="439"/>
      <c r="F5092" s="439"/>
      <c r="Z5092" s="500"/>
      <c r="AA5092" s="500"/>
      <c r="AB5092" s="500"/>
      <c r="AC5092" s="500"/>
      <c r="AD5092" s="500"/>
      <c r="AE5092" s="500"/>
      <c r="AF5092" s="500"/>
      <c r="AG5092" s="500"/>
      <c r="AH5092" s="500"/>
      <c r="AI5092" s="500"/>
      <c r="AJ5092" s="500"/>
      <c r="AK5092" s="500"/>
      <c r="AL5092" s="500"/>
      <c r="AM5092" s="500"/>
      <c r="AN5092" s="500"/>
      <c r="AO5092" s="500"/>
      <c r="AP5092" s="500"/>
    </row>
    <row r="5093" spans="1:42" ht="16.5" customHeight="1">
      <c r="A5093" s="439"/>
      <c r="B5093" s="439"/>
      <c r="C5093" s="439"/>
      <c r="D5093" s="439"/>
      <c r="E5093" s="439"/>
      <c r="F5093" s="439"/>
      <c r="Z5093" s="500"/>
      <c r="AA5093" s="500"/>
      <c r="AB5093" s="500"/>
      <c r="AC5093" s="500"/>
      <c r="AD5093" s="500"/>
      <c r="AE5093" s="500"/>
      <c r="AF5093" s="500"/>
      <c r="AG5093" s="500"/>
      <c r="AH5093" s="500"/>
      <c r="AI5093" s="500"/>
      <c r="AJ5093" s="500"/>
      <c r="AK5093" s="500"/>
      <c r="AL5093" s="500"/>
      <c r="AM5093" s="500"/>
      <c r="AN5093" s="500"/>
      <c r="AO5093" s="500"/>
      <c r="AP5093" s="500"/>
    </row>
    <row r="5094" spans="1:42" ht="16.5" customHeight="1">
      <c r="A5094" s="439"/>
      <c r="B5094" s="439"/>
      <c r="C5094" s="439"/>
      <c r="D5094" s="439"/>
      <c r="E5094" s="439"/>
      <c r="F5094" s="439"/>
      <c r="Z5094" s="500"/>
      <c r="AA5094" s="500"/>
      <c r="AB5094" s="500"/>
      <c r="AC5094" s="500"/>
      <c r="AD5094" s="500"/>
      <c r="AE5094" s="500"/>
      <c r="AF5094" s="500"/>
      <c r="AG5094" s="500"/>
      <c r="AH5094" s="500"/>
      <c r="AI5094" s="500"/>
      <c r="AJ5094" s="500"/>
      <c r="AK5094" s="500"/>
      <c r="AL5094" s="500"/>
      <c r="AM5094" s="500"/>
      <c r="AN5094" s="500"/>
      <c r="AO5094" s="500"/>
      <c r="AP5094" s="500"/>
    </row>
    <row r="5095" spans="1:42" ht="16.5" customHeight="1">
      <c r="A5095" s="439"/>
      <c r="B5095" s="439"/>
      <c r="C5095" s="439"/>
      <c r="D5095" s="439"/>
      <c r="E5095" s="439"/>
      <c r="F5095" s="439"/>
      <c r="Z5095" s="500"/>
      <c r="AA5095" s="500"/>
      <c r="AB5095" s="500"/>
      <c r="AC5095" s="500"/>
      <c r="AD5095" s="500"/>
      <c r="AE5095" s="500"/>
      <c r="AF5095" s="500"/>
      <c r="AG5095" s="500"/>
      <c r="AH5095" s="500"/>
      <c r="AI5095" s="500"/>
      <c r="AJ5095" s="500"/>
      <c r="AK5095" s="500"/>
      <c r="AL5095" s="500"/>
      <c r="AM5095" s="500"/>
      <c r="AN5095" s="500"/>
      <c r="AO5095" s="500"/>
      <c r="AP5095" s="500"/>
    </row>
    <row r="5096" spans="1:42" ht="16.5" customHeight="1">
      <c r="A5096" s="439"/>
      <c r="B5096" s="439"/>
      <c r="C5096" s="439"/>
      <c r="D5096" s="439"/>
      <c r="E5096" s="439"/>
      <c r="F5096" s="439"/>
      <c r="Z5096" s="500"/>
      <c r="AA5096" s="500"/>
      <c r="AB5096" s="500"/>
      <c r="AC5096" s="500"/>
      <c r="AD5096" s="500"/>
      <c r="AE5096" s="500"/>
      <c r="AF5096" s="500"/>
      <c r="AG5096" s="500"/>
      <c r="AH5096" s="500"/>
      <c r="AI5096" s="500"/>
      <c r="AJ5096" s="500"/>
      <c r="AK5096" s="500"/>
      <c r="AL5096" s="500"/>
      <c r="AM5096" s="500"/>
      <c r="AN5096" s="500"/>
      <c r="AO5096" s="500"/>
      <c r="AP5096" s="500"/>
    </row>
    <row r="5097" spans="1:42" ht="16.5" customHeight="1">
      <c r="A5097" s="439"/>
      <c r="B5097" s="439"/>
      <c r="C5097" s="439"/>
      <c r="D5097" s="439"/>
      <c r="E5097" s="439"/>
      <c r="F5097" s="439"/>
      <c r="Z5097" s="500"/>
      <c r="AA5097" s="500"/>
      <c r="AB5097" s="500"/>
      <c r="AC5097" s="500"/>
      <c r="AD5097" s="500"/>
      <c r="AE5097" s="500"/>
      <c r="AF5097" s="500"/>
      <c r="AG5097" s="500"/>
      <c r="AH5097" s="500"/>
      <c r="AI5097" s="500"/>
      <c r="AJ5097" s="500"/>
      <c r="AK5097" s="500"/>
      <c r="AL5097" s="500"/>
      <c r="AM5097" s="500"/>
      <c r="AN5097" s="500"/>
      <c r="AO5097" s="500"/>
      <c r="AP5097" s="500"/>
    </row>
    <row r="5098" spans="1:42" ht="16.5" customHeight="1">
      <c r="A5098" s="439"/>
      <c r="B5098" s="439"/>
      <c r="C5098" s="439"/>
      <c r="D5098" s="439"/>
      <c r="E5098" s="439"/>
      <c r="F5098" s="439"/>
      <c r="Z5098" s="500"/>
      <c r="AA5098" s="500"/>
      <c r="AB5098" s="500"/>
      <c r="AC5098" s="500"/>
      <c r="AD5098" s="500"/>
      <c r="AE5098" s="500"/>
      <c r="AF5098" s="500"/>
      <c r="AG5098" s="500"/>
      <c r="AH5098" s="500"/>
      <c r="AI5098" s="500"/>
      <c r="AJ5098" s="500"/>
      <c r="AK5098" s="500"/>
      <c r="AL5098" s="500"/>
      <c r="AM5098" s="500"/>
      <c r="AN5098" s="500"/>
      <c r="AO5098" s="500"/>
      <c r="AP5098" s="500"/>
    </row>
    <row r="5099" spans="1:42" ht="16.5" customHeight="1">
      <c r="A5099" s="439"/>
      <c r="B5099" s="439"/>
      <c r="C5099" s="439"/>
      <c r="D5099" s="439"/>
      <c r="E5099" s="439"/>
      <c r="F5099" s="439"/>
      <c r="Z5099" s="500"/>
      <c r="AA5099" s="500"/>
      <c r="AB5099" s="500"/>
      <c r="AC5099" s="500"/>
      <c r="AD5099" s="500"/>
      <c r="AE5099" s="500"/>
      <c r="AF5099" s="500"/>
      <c r="AG5099" s="500"/>
      <c r="AH5099" s="500"/>
      <c r="AI5099" s="500"/>
      <c r="AJ5099" s="500"/>
      <c r="AK5099" s="500"/>
      <c r="AL5099" s="500"/>
      <c r="AM5099" s="500"/>
      <c r="AN5099" s="500"/>
      <c r="AO5099" s="500"/>
      <c r="AP5099" s="500"/>
    </row>
    <row r="5100" spans="1:42" ht="16.5" customHeight="1">
      <c r="A5100" s="439"/>
      <c r="B5100" s="439"/>
      <c r="C5100" s="439"/>
      <c r="D5100" s="439"/>
      <c r="E5100" s="439"/>
      <c r="F5100" s="439"/>
      <c r="Z5100" s="500"/>
      <c r="AA5100" s="500"/>
      <c r="AB5100" s="500"/>
      <c r="AC5100" s="500"/>
      <c r="AD5100" s="500"/>
      <c r="AE5100" s="500"/>
      <c r="AF5100" s="500"/>
      <c r="AG5100" s="500"/>
      <c r="AH5100" s="500"/>
      <c r="AI5100" s="500"/>
      <c r="AJ5100" s="500"/>
      <c r="AK5100" s="500"/>
      <c r="AL5100" s="500"/>
      <c r="AM5100" s="500"/>
      <c r="AN5100" s="500"/>
      <c r="AO5100" s="500"/>
      <c r="AP5100" s="500"/>
    </row>
    <row r="5101" spans="1:42" ht="16.5" customHeight="1">
      <c r="A5101" s="439"/>
      <c r="B5101" s="439"/>
      <c r="C5101" s="439"/>
      <c r="D5101" s="439"/>
      <c r="E5101" s="439"/>
      <c r="F5101" s="439"/>
      <c r="Z5101" s="500"/>
      <c r="AA5101" s="500"/>
      <c r="AB5101" s="500"/>
      <c r="AC5101" s="500"/>
      <c r="AD5101" s="500"/>
      <c r="AE5101" s="500"/>
      <c r="AF5101" s="500"/>
      <c r="AG5101" s="500"/>
      <c r="AH5101" s="500"/>
      <c r="AI5101" s="500"/>
      <c r="AJ5101" s="500"/>
      <c r="AK5101" s="500"/>
      <c r="AL5101" s="500"/>
      <c r="AM5101" s="500"/>
      <c r="AN5101" s="500"/>
      <c r="AO5101" s="500"/>
      <c r="AP5101" s="500"/>
    </row>
    <row r="5102" spans="1:42" ht="16.5" customHeight="1">
      <c r="A5102" s="439"/>
      <c r="B5102" s="439"/>
      <c r="C5102" s="439"/>
      <c r="D5102" s="439"/>
      <c r="E5102" s="439"/>
      <c r="F5102" s="439"/>
      <c r="Z5102" s="500"/>
      <c r="AA5102" s="500"/>
      <c r="AB5102" s="500"/>
      <c r="AC5102" s="500"/>
      <c r="AD5102" s="500"/>
      <c r="AE5102" s="500"/>
      <c r="AF5102" s="500"/>
      <c r="AG5102" s="500"/>
      <c r="AH5102" s="500"/>
      <c r="AI5102" s="500"/>
      <c r="AJ5102" s="500"/>
      <c r="AK5102" s="500"/>
      <c r="AL5102" s="500"/>
      <c r="AM5102" s="500"/>
      <c r="AN5102" s="500"/>
      <c r="AO5102" s="500"/>
      <c r="AP5102" s="500"/>
    </row>
    <row r="5103" spans="1:42" ht="16.5" customHeight="1">
      <c r="A5103" s="497"/>
      <c r="B5103" s="497"/>
      <c r="C5103" s="497"/>
      <c r="D5103" s="497"/>
      <c r="E5103" s="497"/>
      <c r="F5103" s="497"/>
      <c r="Z5103" s="500"/>
      <c r="AA5103" s="500"/>
      <c r="AB5103" s="500"/>
      <c r="AC5103" s="500"/>
      <c r="AD5103" s="500"/>
      <c r="AE5103" s="500"/>
      <c r="AF5103" s="500"/>
      <c r="AG5103" s="500"/>
      <c r="AH5103" s="500"/>
      <c r="AI5103" s="500"/>
      <c r="AJ5103" s="500"/>
      <c r="AK5103" s="500"/>
      <c r="AL5103" s="500"/>
      <c r="AM5103" s="500"/>
      <c r="AN5103" s="500"/>
      <c r="AO5103" s="500"/>
      <c r="AP5103" s="500"/>
    </row>
    <row r="5104" spans="1:42" ht="16.5" customHeight="1">
      <c r="A5104" s="616" t="s">
        <v>3487</v>
      </c>
      <c r="B5104" s="605"/>
      <c r="C5104" s="446">
        <f>E5104+D5104+F5104</f>
        <v>34459</v>
      </c>
      <c r="D5104" s="453">
        <f>ROUNDDOWN(SUMIF(N5057:N5086,M5104,D5057:D5086),0)</f>
        <v>33583</v>
      </c>
      <c r="E5104" s="454">
        <f>ROUNDDOWN(SUMIF(N5057:N5086,M5104,E5057:E5086),0)</f>
        <v>0</v>
      </c>
      <c r="F5104" s="446">
        <f>ROUNDDOWN(SUMIF(N5057:N5086,M5104,F5057:F5086),0)</f>
        <v>876</v>
      </c>
      <c r="M5104" s="501" t="s">
        <v>2354</v>
      </c>
      <c r="Z5104" s="500"/>
      <c r="AA5104" s="500"/>
      <c r="AB5104" s="500"/>
      <c r="AC5104" s="500"/>
      <c r="AD5104" s="500"/>
      <c r="AE5104" s="500"/>
      <c r="AF5104" s="500"/>
      <c r="AG5104" s="500"/>
      <c r="AH5104" s="500"/>
      <c r="AI5104" s="500"/>
      <c r="AJ5104" s="500"/>
      <c r="AK5104" s="500"/>
      <c r="AL5104" s="500"/>
      <c r="AM5104" s="500"/>
      <c r="AN5104" s="500"/>
      <c r="AO5104" s="500"/>
      <c r="AP5104" s="500"/>
    </row>
    <row r="5105" spans="1:42" ht="16.5" customHeight="1">
      <c r="A5105" s="502" t="s">
        <v>3371</v>
      </c>
      <c r="B5105" s="503" t="s">
        <v>5456</v>
      </c>
      <c r="C5105" s="615">
        <f>C5154</f>
        <v>58316</v>
      </c>
      <c r="D5105" s="615">
        <f>D5154</f>
        <v>56834</v>
      </c>
      <c r="E5105" s="615">
        <f>E5154</f>
        <v>0</v>
      </c>
      <c r="F5105" s="615">
        <f>F5154</f>
        <v>1482</v>
      </c>
      <c r="G5105" s="486" t="str">
        <f>HYPERLINK("#G"&amp;ROW(G5136),"_x0005_`BDCOD|D01364_x0007_`POSS|"&amp;ROW(G5107)&amp;"_x0007_`POSE|"&amp;ROW(G5136)&amp;"_x0007_`")</f>
        <v>_x0005_`BDCOD|D01364_x0007_`POSS|5107_x0007_`POSE|5136_x0007_`</v>
      </c>
      <c r="Z5105" s="500"/>
      <c r="AA5105" s="500"/>
      <c r="AB5105" s="500"/>
      <c r="AC5105" s="500"/>
      <c r="AD5105" s="500"/>
      <c r="AE5105" s="500"/>
      <c r="AF5105" s="500"/>
      <c r="AG5105" s="500"/>
      <c r="AH5105" s="500"/>
      <c r="AI5105" s="500"/>
      <c r="AJ5105" s="500"/>
      <c r="AK5105" s="500"/>
      <c r="AL5105" s="500"/>
      <c r="AM5105" s="500"/>
      <c r="AN5105" s="500"/>
      <c r="AO5105" s="500"/>
      <c r="AP5105" s="500"/>
    </row>
    <row r="5106" spans="1:42" ht="16.5" customHeight="1">
      <c r="A5106" s="485"/>
      <c r="B5106" s="503" t="s">
        <v>5628</v>
      </c>
      <c r="C5106" s="593"/>
      <c r="D5106" s="593"/>
      <c r="E5106" s="593"/>
      <c r="F5106" s="593"/>
      <c r="M5106" s="501" t="s">
        <v>5456</v>
      </c>
      <c r="Z5106" s="500"/>
      <c r="AA5106" s="500"/>
      <c r="AB5106" s="500"/>
      <c r="AC5106" s="500"/>
      <c r="AD5106" s="500"/>
      <c r="AE5106" s="500"/>
      <c r="AF5106" s="500"/>
      <c r="AG5106" s="500"/>
      <c r="AH5106" s="500"/>
      <c r="AI5106" s="500"/>
      <c r="AJ5106" s="500"/>
      <c r="AK5106" s="500"/>
      <c r="AL5106" s="500"/>
      <c r="AM5106" s="500"/>
      <c r="AN5106" s="500"/>
      <c r="AO5106" s="500"/>
      <c r="AP5106" s="500"/>
    </row>
    <row r="5107" spans="1:42" ht="16.5" customHeight="1">
      <c r="A5107" s="439"/>
      <c r="B5107" s="439"/>
      <c r="C5107" s="504"/>
      <c r="D5107" s="504"/>
      <c r="E5107" s="504"/>
      <c r="F5107" s="504"/>
      <c r="G5107" s="451" t="s">
        <v>3406</v>
      </c>
      <c r="Z5107" s="500"/>
      <c r="AA5107" s="500"/>
      <c r="AB5107" s="500"/>
      <c r="AC5107" s="500"/>
      <c r="AD5107" s="500"/>
      <c r="AE5107" s="500"/>
      <c r="AF5107" s="500"/>
      <c r="AG5107" s="500"/>
      <c r="AH5107" s="500"/>
      <c r="AI5107" s="500"/>
      <c r="AJ5107" s="500"/>
      <c r="AK5107" s="500"/>
      <c r="AL5107" s="500"/>
      <c r="AM5107" s="500"/>
      <c r="AN5107" s="500"/>
      <c r="AO5107" s="500"/>
      <c r="AP5107" s="500"/>
    </row>
    <row r="5108" spans="1:42" ht="16.5" customHeight="1">
      <c r="A5108" s="434"/>
      <c r="B5108" s="437" t="s">
        <v>3964</v>
      </c>
      <c r="C5108" s="439"/>
      <c r="D5108" s="439"/>
      <c r="E5108" s="439"/>
      <c r="F5108" s="439"/>
      <c r="G5108" s="451" t="s">
        <v>3965</v>
      </c>
      <c r="Z5108" s="500"/>
      <c r="AA5108" s="500"/>
      <c r="AB5108" s="500"/>
      <c r="AC5108" s="500"/>
      <c r="AD5108" s="500"/>
      <c r="AE5108" s="500"/>
      <c r="AF5108" s="500"/>
      <c r="AG5108" s="500"/>
      <c r="AH5108" s="500"/>
      <c r="AI5108" s="500"/>
      <c r="AJ5108" s="500"/>
      <c r="AK5108" s="500"/>
      <c r="AL5108" s="500"/>
      <c r="AM5108" s="500"/>
      <c r="AN5108" s="500"/>
      <c r="AO5108" s="500"/>
      <c r="AP5108" s="500"/>
    </row>
    <row r="5109" spans="1:42" ht="16.5" customHeight="1">
      <c r="A5109" s="439"/>
      <c r="B5109" s="439"/>
      <c r="C5109" s="439"/>
      <c r="D5109" s="439"/>
      <c r="E5109" s="439"/>
      <c r="F5109" s="439"/>
      <c r="G5109" s="451" t="s">
        <v>3406</v>
      </c>
      <c r="Z5109" s="500"/>
      <c r="AA5109" s="500"/>
      <c r="AB5109" s="500"/>
      <c r="AC5109" s="500"/>
      <c r="AD5109" s="500"/>
      <c r="AE5109" s="500"/>
      <c r="AF5109" s="500"/>
      <c r="AG5109" s="500"/>
      <c r="AH5109" s="500"/>
      <c r="AI5109" s="500"/>
      <c r="AJ5109" s="500"/>
      <c r="AK5109" s="500"/>
      <c r="AL5109" s="500"/>
      <c r="AM5109" s="500"/>
      <c r="AN5109" s="500"/>
      <c r="AO5109" s="500"/>
      <c r="AP5109" s="500"/>
    </row>
    <row r="5110" spans="1:42" ht="16.5" customHeight="1">
      <c r="A5110" s="434"/>
      <c r="B5110" s="437" t="s">
        <v>3907</v>
      </c>
      <c r="C5110" s="439"/>
      <c r="D5110" s="439"/>
      <c r="E5110" s="439"/>
      <c r="F5110" s="439"/>
      <c r="G5110" s="451" t="s">
        <v>3908</v>
      </c>
      <c r="Z5110" s="500"/>
      <c r="AA5110" s="500"/>
      <c r="AB5110" s="500"/>
      <c r="AC5110" s="500"/>
      <c r="AD5110" s="500"/>
      <c r="AE5110" s="500"/>
      <c r="AF5110" s="500"/>
      <c r="AG5110" s="500"/>
      <c r="AH5110" s="500"/>
      <c r="AI5110" s="500"/>
      <c r="AJ5110" s="500"/>
      <c r="AK5110" s="500"/>
      <c r="AL5110" s="500"/>
      <c r="AM5110" s="500"/>
      <c r="AN5110" s="500"/>
      <c r="AO5110" s="500"/>
      <c r="AP5110" s="500"/>
    </row>
    <row r="5111" spans="1:42" ht="16.5" customHeight="1">
      <c r="A5111" s="439"/>
      <c r="B5111" s="439"/>
      <c r="C5111" s="439"/>
      <c r="D5111" s="439"/>
      <c r="E5111" s="439"/>
      <c r="F5111" s="439"/>
      <c r="G5111" s="451" t="s">
        <v>3406</v>
      </c>
      <c r="Z5111" s="500"/>
      <c r="AA5111" s="500"/>
      <c r="AB5111" s="500"/>
      <c r="AC5111" s="500"/>
      <c r="AD5111" s="500"/>
      <c r="AE5111" s="500"/>
      <c r="AF5111" s="500"/>
      <c r="AG5111" s="500"/>
      <c r="AH5111" s="500"/>
      <c r="AI5111" s="500"/>
      <c r="AJ5111" s="500"/>
      <c r="AK5111" s="500"/>
      <c r="AL5111" s="500"/>
      <c r="AM5111" s="500"/>
      <c r="AN5111" s="500"/>
      <c r="AO5111" s="500"/>
      <c r="AP5111" s="500"/>
    </row>
    <row r="5112" spans="1:42" ht="16.5" customHeight="1">
      <c r="A5112" s="434"/>
      <c r="B5112" s="437" t="s">
        <v>3955</v>
      </c>
      <c r="C5112" s="439"/>
      <c r="D5112" s="439"/>
      <c r="E5112" s="439"/>
      <c r="F5112" s="439"/>
      <c r="G5112" s="451" t="s">
        <v>3956</v>
      </c>
      <c r="Z5112" s="500"/>
      <c r="AA5112" s="500"/>
      <c r="AB5112" s="500"/>
      <c r="AC5112" s="500"/>
      <c r="AD5112" s="500"/>
      <c r="AE5112" s="500"/>
      <c r="AF5112" s="500"/>
      <c r="AG5112" s="500"/>
      <c r="AH5112" s="500"/>
      <c r="AI5112" s="500"/>
      <c r="AJ5112" s="500"/>
      <c r="AK5112" s="500"/>
      <c r="AL5112" s="500"/>
      <c r="AM5112" s="500"/>
      <c r="AN5112" s="500"/>
      <c r="AO5112" s="500"/>
      <c r="AP5112" s="500"/>
    </row>
    <row r="5113" spans="1:42" ht="16.5" customHeight="1">
      <c r="A5113" s="439"/>
      <c r="B5113" s="439"/>
      <c r="C5113" s="439"/>
      <c r="D5113" s="439"/>
      <c r="E5113" s="439"/>
      <c r="F5113" s="439"/>
      <c r="G5113" s="451" t="s">
        <v>3406</v>
      </c>
      <c r="Z5113" s="500"/>
      <c r="AA5113" s="500"/>
      <c r="AB5113" s="500"/>
      <c r="AC5113" s="500"/>
      <c r="AD5113" s="500"/>
      <c r="AE5113" s="500"/>
      <c r="AF5113" s="500"/>
      <c r="AG5113" s="500"/>
      <c r="AH5113" s="500"/>
      <c r="AI5113" s="500"/>
      <c r="AJ5113" s="500"/>
      <c r="AK5113" s="500"/>
      <c r="AL5113" s="500"/>
      <c r="AM5113" s="500"/>
      <c r="AN5113" s="500"/>
      <c r="AO5113" s="500"/>
      <c r="AP5113" s="500"/>
    </row>
    <row r="5114" spans="1:42" ht="16.5" customHeight="1">
      <c r="A5114" s="434"/>
      <c r="B5114" s="437" t="str">
        <f>" 일당 작업량 :  Q1 = "&amp;Z5114&amp;" 주 "</f>
        <v xml:space="preserve"> 일당 작업량 :  Q1 = 13 주 </v>
      </c>
      <c r="C5114" s="439"/>
      <c r="D5114" s="439"/>
      <c r="E5114" s="439"/>
      <c r="F5114" s="439"/>
      <c r="G5114" s="451" t="s">
        <v>3966</v>
      </c>
      <c r="Z5114" s="515">
        <v>13</v>
      </c>
      <c r="AA5114" s="501" t="s">
        <v>3418</v>
      </c>
      <c r="AB5114" s="512">
        <f>Z5114</f>
        <v>13</v>
      </c>
      <c r="AC5114" s="500"/>
      <c r="AD5114" s="500"/>
      <c r="AE5114" s="500"/>
      <c r="AF5114" s="500"/>
      <c r="AG5114" s="500"/>
      <c r="AH5114" s="500"/>
      <c r="AI5114" s="500"/>
      <c r="AJ5114" s="500"/>
      <c r="AK5114" s="500"/>
      <c r="AL5114" s="500"/>
      <c r="AM5114" s="500"/>
      <c r="AN5114" s="500"/>
      <c r="AO5114" s="500"/>
      <c r="AP5114" s="500"/>
    </row>
    <row r="5115" spans="1:42" ht="16.5" customHeight="1">
      <c r="A5115" s="439"/>
      <c r="B5115" s="439"/>
      <c r="C5115" s="439"/>
      <c r="D5115" s="439"/>
      <c r="E5115" s="439"/>
      <c r="F5115" s="439"/>
      <c r="G5115" s="451" t="s">
        <v>3406</v>
      </c>
      <c r="Z5115" s="500"/>
      <c r="AA5115" s="500"/>
      <c r="AB5115" s="500"/>
      <c r="AC5115" s="500"/>
      <c r="AD5115" s="500"/>
      <c r="AE5115" s="500"/>
      <c r="AF5115" s="500"/>
      <c r="AG5115" s="500"/>
      <c r="AH5115" s="500"/>
      <c r="AI5115" s="500"/>
      <c r="AJ5115" s="500"/>
      <c r="AK5115" s="500"/>
      <c r="AL5115" s="500"/>
      <c r="AM5115" s="500"/>
      <c r="AN5115" s="500"/>
      <c r="AO5115" s="500"/>
      <c r="AP5115" s="500"/>
    </row>
    <row r="5116" spans="1:42" ht="16.5" customHeight="1">
      <c r="A5116" s="434"/>
      <c r="B5116" s="437" t="s">
        <v>3958</v>
      </c>
      <c r="C5116" s="439"/>
      <c r="D5116" s="439"/>
      <c r="E5116" s="439"/>
      <c r="F5116" s="439"/>
      <c r="G5116" s="451" t="s">
        <v>3959</v>
      </c>
      <c r="Z5116" s="500"/>
      <c r="AA5116" s="500"/>
      <c r="AB5116" s="500"/>
      <c r="AC5116" s="500"/>
      <c r="AD5116" s="500"/>
      <c r="AE5116" s="500"/>
      <c r="AF5116" s="500"/>
      <c r="AG5116" s="500"/>
      <c r="AH5116" s="500"/>
      <c r="AI5116" s="500"/>
      <c r="AJ5116" s="500"/>
      <c r="AK5116" s="500"/>
      <c r="AL5116" s="500"/>
      <c r="AM5116" s="500"/>
      <c r="AN5116" s="500"/>
      <c r="AO5116" s="500"/>
      <c r="AP5116" s="500"/>
    </row>
    <row r="5117" spans="1:42" ht="16.5" customHeight="1">
      <c r="A5117" s="439"/>
      <c r="B5117" s="439"/>
      <c r="C5117" s="439"/>
      <c r="D5117" s="439"/>
      <c r="E5117" s="439"/>
      <c r="F5117" s="439"/>
      <c r="G5117" s="451" t="s">
        <v>3406</v>
      </c>
      <c r="Z5117" s="500"/>
      <c r="AA5117" s="500"/>
      <c r="AB5117" s="500"/>
      <c r="AC5117" s="500"/>
      <c r="AD5117" s="500"/>
      <c r="AE5117" s="500"/>
      <c r="AF5117" s="500"/>
      <c r="AG5117" s="500"/>
      <c r="AH5117" s="500"/>
      <c r="AI5117" s="500"/>
      <c r="AJ5117" s="500"/>
      <c r="AK5117" s="500"/>
      <c r="AL5117" s="500"/>
      <c r="AM5117" s="500"/>
      <c r="AN5117" s="500"/>
      <c r="AO5117" s="500"/>
      <c r="AP5117" s="500"/>
    </row>
    <row r="5118" spans="1:42" ht="16.5" customHeight="1">
      <c r="A5118" s="439"/>
      <c r="B5118" s="439"/>
      <c r="C5118" s="439"/>
      <c r="D5118" s="439"/>
      <c r="E5118" s="439"/>
      <c r="F5118" s="439"/>
      <c r="G5118" s="451" t="s">
        <v>3406</v>
      </c>
      <c r="Z5118" s="500"/>
      <c r="AA5118" s="500"/>
      <c r="AB5118" s="500"/>
      <c r="AC5118" s="500"/>
      <c r="AD5118" s="500"/>
      <c r="AE5118" s="500"/>
      <c r="AF5118" s="500"/>
      <c r="AG5118" s="500"/>
      <c r="AH5118" s="500"/>
      <c r="AI5118" s="500"/>
      <c r="AJ5118" s="500"/>
      <c r="AK5118" s="500"/>
      <c r="AL5118" s="500"/>
      <c r="AM5118" s="500"/>
      <c r="AN5118" s="500"/>
      <c r="AO5118" s="500"/>
      <c r="AP5118" s="500"/>
    </row>
    <row r="5119" spans="1:42" ht="16.5" customHeight="1">
      <c r="A5119" s="434"/>
      <c r="B5119" s="437" t="s">
        <v>3496</v>
      </c>
      <c r="C5119" s="439"/>
      <c r="D5119" s="439"/>
      <c r="E5119" s="439"/>
      <c r="F5119" s="439"/>
      <c r="G5119" s="451" t="s">
        <v>3497</v>
      </c>
      <c r="Z5119" s="500"/>
      <c r="AA5119" s="500"/>
      <c r="AB5119" s="500"/>
      <c r="AC5119" s="500"/>
      <c r="AD5119" s="500"/>
      <c r="AE5119" s="500"/>
      <c r="AF5119" s="500"/>
      <c r="AG5119" s="500"/>
      <c r="AH5119" s="500"/>
      <c r="AI5119" s="500"/>
      <c r="AJ5119" s="500"/>
      <c r="AK5119" s="500"/>
      <c r="AL5119" s="500"/>
      <c r="AM5119" s="500"/>
      <c r="AN5119" s="500"/>
      <c r="AO5119" s="500"/>
      <c r="AP5119" s="500"/>
    </row>
    <row r="5120" spans="1:42" ht="16.5" customHeight="1">
      <c r="A5120" s="439"/>
      <c r="B5120" s="439"/>
      <c r="C5120" s="439"/>
      <c r="D5120" s="439"/>
      <c r="E5120" s="439"/>
      <c r="F5120" s="439"/>
      <c r="G5120" s="451" t="s">
        <v>3406</v>
      </c>
      <c r="Z5120" s="500"/>
      <c r="AA5120" s="500"/>
      <c r="AB5120" s="500"/>
      <c r="AC5120" s="500"/>
      <c r="AD5120" s="500"/>
      <c r="AE5120" s="500"/>
      <c r="AF5120" s="500"/>
      <c r="AG5120" s="500"/>
      <c r="AH5120" s="500"/>
      <c r="AI5120" s="500"/>
      <c r="AJ5120" s="500"/>
      <c r="AK5120" s="500"/>
      <c r="AL5120" s="500"/>
      <c r="AM5120" s="500"/>
      <c r="AN5120" s="500"/>
      <c r="AO5120" s="500"/>
      <c r="AP5120" s="500"/>
    </row>
    <row r="5121" spans="1:42" ht="16.5" customHeight="1">
      <c r="A5121" s="434" t="s">
        <v>3498</v>
      </c>
      <c r="B5121" s="505" t="str">
        <f>" 조 경 공 : "&amp;TEXT(I5121,"#,##0"&amp;IF(I5121&lt;&gt;INT(I5121),".###",""))&amp;" * "&amp;AA5121&amp;" 인  / Q1 = "&amp;TEXT(C5121,"#,##0.0")&amp;" "</f>
        <v xml:space="preserve"> 조 경 공 : 235,204 * 2 인  / Q1 = 36,185.2 </v>
      </c>
      <c r="C5121" s="506">
        <f>E5121+D5121+F5121</f>
        <v>36185.199999999997</v>
      </c>
      <c r="D5121" s="506">
        <f>IF(H5121=0,0,ROUNDDOWN(J5121*H5121,1))</f>
        <v>36185.199999999997</v>
      </c>
      <c r="E5121" s="506">
        <f>IF(H5121=0,0,ROUNDDOWN(K5121*H5121,1))</f>
        <v>0</v>
      </c>
      <c r="F5121" s="506">
        <f>IF(H5121=0,0,ROUNDDOWN(L5121*H5121,1))</f>
        <v>0</v>
      </c>
      <c r="G5121" s="451" t="s">
        <v>3960</v>
      </c>
      <c r="H5121" s="507">
        <f>ROUNDUP(AE5121,14-LEN(ABS(INT(AE5121))))</f>
        <v>0.15384615384620001</v>
      </c>
      <c r="I5121" s="508">
        <f>K5121+J5121+L5121</f>
        <v>235204</v>
      </c>
      <c r="J5121" s="509">
        <f>노무비목록표!E15</f>
        <v>235204</v>
      </c>
      <c r="M5121" s="501" t="s">
        <v>2359</v>
      </c>
      <c r="N5121" s="501" t="s">
        <v>3416</v>
      </c>
      <c r="O5121" s="501" t="s">
        <v>2355</v>
      </c>
      <c r="X5121" s="510" t="str">
        <f>노무비목록표!B15&amp;" / "&amp;노무비목록표!C15</f>
        <v xml:space="preserve">조경공 / </v>
      </c>
      <c r="Y5121" s="433" t="str">
        <f ca="1">HYPERLINK("#"&amp;노무비목록표!G2&amp;"!A"&amp;ROW(노무비목록표!A15),"L00184 →")</f>
        <v>L00184 →</v>
      </c>
      <c r="Z5121" s="501" t="s">
        <v>3500</v>
      </c>
      <c r="AA5121" s="515">
        <v>2</v>
      </c>
      <c r="AB5121" s="501" t="s">
        <v>3428</v>
      </c>
      <c r="AC5121" s="512">
        <f>AB5114</f>
        <v>13</v>
      </c>
      <c r="AD5121" s="501" t="s">
        <v>3418</v>
      </c>
      <c r="AE5121" s="512">
        <f>1*AA5121/AB5114</f>
        <v>0.15384615384615385</v>
      </c>
      <c r="AF5121" s="500"/>
      <c r="AG5121" s="500"/>
      <c r="AH5121" s="500"/>
      <c r="AI5121" s="500"/>
      <c r="AJ5121" s="500"/>
      <c r="AK5121" s="500"/>
      <c r="AL5121" s="500"/>
      <c r="AM5121" s="500"/>
      <c r="AN5121" s="500"/>
      <c r="AO5121" s="500"/>
      <c r="AP5121" s="500"/>
    </row>
    <row r="5122" spans="1:42" ht="16.5" customHeight="1">
      <c r="A5122" s="439"/>
      <c r="B5122" s="439"/>
      <c r="C5122" s="439"/>
      <c r="D5122" s="439"/>
      <c r="E5122" s="439"/>
      <c r="F5122" s="439"/>
      <c r="G5122" s="451" t="s">
        <v>3406</v>
      </c>
      <c r="Z5122" s="500"/>
      <c r="AA5122" s="500"/>
      <c r="AB5122" s="500"/>
      <c r="AC5122" s="500"/>
      <c r="AD5122" s="500"/>
      <c r="AE5122" s="500"/>
      <c r="AF5122" s="500"/>
      <c r="AG5122" s="500"/>
      <c r="AH5122" s="500"/>
      <c r="AI5122" s="500"/>
      <c r="AJ5122" s="500"/>
      <c r="AK5122" s="500"/>
      <c r="AL5122" s="500"/>
      <c r="AM5122" s="500"/>
      <c r="AN5122" s="500"/>
      <c r="AO5122" s="500"/>
      <c r="AP5122" s="500"/>
    </row>
    <row r="5123" spans="1:42" ht="16.5" customHeight="1">
      <c r="A5123" s="434" t="s">
        <v>3414</v>
      </c>
      <c r="B5123" s="505" t="str">
        <f>" 보통인부 : "&amp;TEXT(I5123,"#,##0"&amp;IF(I5123&lt;&gt;INT(I5123),".###",""))&amp;" * "&amp;AA5123&amp;" 인  / Q1 = "&amp;TEXT(C5123,"#,##0.0")&amp;" "</f>
        <v xml:space="preserve"> 보통인부 : 172,068 * 1 인  / Q1 = 13,236.0 </v>
      </c>
      <c r="C5123" s="506">
        <f>E5123+D5123+F5123</f>
        <v>13236</v>
      </c>
      <c r="D5123" s="506">
        <f>IF(H5123=0,0,ROUNDDOWN(J5123*H5123,1))</f>
        <v>13236</v>
      </c>
      <c r="E5123" s="506">
        <f>IF(H5123=0,0,ROUNDDOWN(K5123*H5123,1))</f>
        <v>0</v>
      </c>
      <c r="F5123" s="506">
        <f>IF(H5123=0,0,ROUNDDOWN(L5123*H5123,1))</f>
        <v>0</v>
      </c>
      <c r="G5123" s="451" t="s">
        <v>3894</v>
      </c>
      <c r="H5123" s="507">
        <f>ROUNDUP(AE5123,14-LEN(ABS(INT(AE5123))))</f>
        <v>7.6923076923100006E-2</v>
      </c>
      <c r="I5123" s="508">
        <f>K5123+J5123+L5123</f>
        <v>172068</v>
      </c>
      <c r="J5123" s="509">
        <f>노무비목록표!E10</f>
        <v>172068</v>
      </c>
      <c r="M5123" s="501" t="s">
        <v>2363</v>
      </c>
      <c r="N5123" s="501" t="s">
        <v>3416</v>
      </c>
      <c r="O5123" s="501" t="s">
        <v>2355</v>
      </c>
      <c r="X5123" s="510" t="str">
        <f>노무비목록표!B10&amp;" / "&amp;노무비목록표!C10</f>
        <v xml:space="preserve">보통인부 / </v>
      </c>
      <c r="Y5123" s="433" t="str">
        <f ca="1">HYPERLINK("#"&amp;노무비목록표!G2&amp;"!A"&amp;ROW(노무비목록표!A10),"L00017 →")</f>
        <v>L00017 →</v>
      </c>
      <c r="Z5123" s="501" t="s">
        <v>3500</v>
      </c>
      <c r="AA5123" s="515">
        <v>1</v>
      </c>
      <c r="AB5123" s="501" t="s">
        <v>3428</v>
      </c>
      <c r="AC5123" s="512">
        <f>AB5114</f>
        <v>13</v>
      </c>
      <c r="AD5123" s="501" t="s">
        <v>3418</v>
      </c>
      <c r="AE5123" s="512">
        <f>1*AA5123/AB5114</f>
        <v>7.6923076923076927E-2</v>
      </c>
      <c r="AF5123" s="500"/>
      <c r="AG5123" s="500"/>
      <c r="AH5123" s="500"/>
      <c r="AI5123" s="500"/>
      <c r="AJ5123" s="500"/>
      <c r="AK5123" s="500"/>
      <c r="AL5123" s="500"/>
      <c r="AM5123" s="500"/>
      <c r="AN5123" s="500"/>
      <c r="AO5123" s="500"/>
      <c r="AP5123" s="500"/>
    </row>
    <row r="5124" spans="1:42" ht="16.5" customHeight="1">
      <c r="A5124" s="439"/>
      <c r="B5124" s="439"/>
      <c r="C5124" s="439"/>
      <c r="D5124" s="439"/>
      <c r="E5124" s="439"/>
      <c r="F5124" s="439"/>
      <c r="G5124" s="451" t="s">
        <v>3406</v>
      </c>
      <c r="Z5124" s="500"/>
      <c r="AA5124" s="500"/>
      <c r="AB5124" s="500"/>
      <c r="AC5124" s="500"/>
      <c r="AD5124" s="500"/>
      <c r="AE5124" s="500"/>
      <c r="AF5124" s="500"/>
      <c r="AG5124" s="500"/>
      <c r="AH5124" s="500"/>
      <c r="AI5124" s="500"/>
      <c r="AJ5124" s="500"/>
      <c r="AK5124" s="500"/>
      <c r="AL5124" s="500"/>
      <c r="AM5124" s="500"/>
      <c r="AN5124" s="500"/>
      <c r="AO5124" s="500"/>
      <c r="AP5124" s="500"/>
    </row>
    <row r="5125" spans="1:42" ht="16.5" customHeight="1">
      <c r="A5125" s="434"/>
      <c r="B5125" s="437" t="s">
        <v>3419</v>
      </c>
      <c r="C5125" s="513">
        <f>E5125+D5125+F5125</f>
        <v>49421.2</v>
      </c>
      <c r="D5125" s="513">
        <f>SUMIF(N5107:N5124,M5125,D5107:D5124)</f>
        <v>49421.2</v>
      </c>
      <c r="E5125" s="513">
        <f>SUMIF(N5107:N5124,M5125,E5107:E5124)</f>
        <v>0</v>
      </c>
      <c r="F5125" s="513">
        <f>SUMIF(N5107:N5124,M5125,F5107:F5124)</f>
        <v>0</v>
      </c>
      <c r="G5125" s="451" t="s">
        <v>3420</v>
      </c>
      <c r="M5125" s="501" t="s">
        <v>3416</v>
      </c>
      <c r="N5125" s="501" t="s">
        <v>3421</v>
      </c>
      <c r="Z5125" s="500"/>
      <c r="AA5125" s="500"/>
      <c r="AB5125" s="500"/>
      <c r="AC5125" s="500"/>
      <c r="AD5125" s="500"/>
      <c r="AE5125" s="500"/>
      <c r="AF5125" s="500"/>
      <c r="AG5125" s="500"/>
      <c r="AH5125" s="500"/>
      <c r="AI5125" s="500"/>
      <c r="AJ5125" s="500"/>
      <c r="AK5125" s="500"/>
      <c r="AL5125" s="500"/>
      <c r="AM5125" s="500"/>
      <c r="AN5125" s="500"/>
      <c r="AO5125" s="500"/>
      <c r="AP5125" s="500"/>
    </row>
    <row r="5126" spans="1:42" ht="16.5" customHeight="1">
      <c r="A5126" s="439"/>
      <c r="B5126" s="439"/>
      <c r="C5126" s="504"/>
      <c r="D5126" s="504"/>
      <c r="E5126" s="504"/>
      <c r="F5126" s="504"/>
      <c r="G5126" s="451" t="s">
        <v>3406</v>
      </c>
      <c r="Z5126" s="500"/>
      <c r="AA5126" s="500"/>
      <c r="AB5126" s="500"/>
      <c r="AC5126" s="500"/>
      <c r="AD5126" s="500"/>
      <c r="AE5126" s="500"/>
      <c r="AF5126" s="500"/>
      <c r="AG5126" s="500"/>
      <c r="AH5126" s="500"/>
      <c r="AI5126" s="500"/>
      <c r="AJ5126" s="500"/>
      <c r="AK5126" s="500"/>
      <c r="AL5126" s="500"/>
      <c r="AM5126" s="500"/>
      <c r="AN5126" s="500"/>
      <c r="AO5126" s="500"/>
      <c r="AP5126" s="500"/>
    </row>
    <row r="5127" spans="1:42" ht="16.5" customHeight="1">
      <c r="A5127" s="439"/>
      <c r="B5127" s="439"/>
      <c r="C5127" s="439"/>
      <c r="D5127" s="439"/>
      <c r="E5127" s="439"/>
      <c r="F5127" s="439"/>
      <c r="G5127" s="451" t="s">
        <v>3406</v>
      </c>
      <c r="Z5127" s="500"/>
      <c r="AA5127" s="500"/>
      <c r="AB5127" s="500"/>
      <c r="AC5127" s="500"/>
      <c r="AD5127" s="500"/>
      <c r="AE5127" s="500"/>
      <c r="AF5127" s="500"/>
      <c r="AG5127" s="500"/>
      <c r="AH5127" s="500"/>
      <c r="AI5127" s="500"/>
      <c r="AJ5127" s="500"/>
      <c r="AK5127" s="500"/>
      <c r="AL5127" s="500"/>
      <c r="AM5127" s="500"/>
      <c r="AN5127" s="500"/>
      <c r="AO5127" s="500"/>
      <c r="AP5127" s="500"/>
    </row>
    <row r="5128" spans="1:42" ht="16.5" customHeight="1">
      <c r="A5128" s="434"/>
      <c r="B5128" s="505" t="str">
        <f>" 2. 기계경비(인력품의 3%) : "&amp;TEXT(I5128,"#,##0.0")&amp;" * "&amp;AA5128&amp;" %  = "&amp;TEXT(C5128,"#,##0.0")&amp;""</f>
        <v xml:space="preserve"> 2. 기계경비(인력품의 3%) : 49,421.2 * 3 %  = 1,482.6</v>
      </c>
      <c r="C5128" s="506">
        <f>E5128+D5128+F5128</f>
        <v>1482.6</v>
      </c>
      <c r="D5128" s="506">
        <f>IF(H5128=0,0,ROUNDDOWN(J5128*H5128/100,1))</f>
        <v>0</v>
      </c>
      <c r="E5128" s="506">
        <f>IF(H5128=0,0,ROUNDDOWN(K5128*H5128/100,1))</f>
        <v>0</v>
      </c>
      <c r="F5128" s="506">
        <f>IF(H5128=0,0,ROUNDDOWN(L5128*H5128/100,1))</f>
        <v>1482.6</v>
      </c>
      <c r="G5128" s="451" t="s">
        <v>3923</v>
      </c>
      <c r="H5128" s="507">
        <f>ROUNDUP(AC5128,14-LEN(ABS(INT(AC5128))))</f>
        <v>3</v>
      </c>
      <c r="I5128" s="508">
        <f>K5128+J5128+L5128</f>
        <v>49421.2</v>
      </c>
      <c r="J5128" s="456">
        <v>0</v>
      </c>
      <c r="K5128" s="456">
        <v>0</v>
      </c>
      <c r="L5128" s="509">
        <f>D5121+D5123</f>
        <v>49421.2</v>
      </c>
      <c r="M5128" s="501" t="s">
        <v>3743</v>
      </c>
      <c r="N5128" s="501" t="s">
        <v>3416</v>
      </c>
      <c r="Z5128" s="501" t="s">
        <v>3500</v>
      </c>
      <c r="AA5128" s="515">
        <v>3</v>
      </c>
      <c r="AB5128" s="501" t="s">
        <v>3418</v>
      </c>
      <c r="AC5128" s="512">
        <f>1*AA5128</f>
        <v>3</v>
      </c>
      <c r="AD5128" s="500"/>
      <c r="AE5128" s="500"/>
      <c r="AF5128" s="500"/>
      <c r="AG5128" s="500"/>
      <c r="AH5128" s="500"/>
      <c r="AI5128" s="500"/>
      <c r="AJ5128" s="500"/>
      <c r="AK5128" s="500"/>
      <c r="AL5128" s="500"/>
      <c r="AM5128" s="500"/>
      <c r="AN5128" s="500"/>
      <c r="AO5128" s="500"/>
      <c r="AP5128" s="500"/>
    </row>
    <row r="5129" spans="1:42" ht="16.5" customHeight="1">
      <c r="A5129" s="439"/>
      <c r="B5129" s="439"/>
      <c r="C5129" s="439"/>
      <c r="D5129" s="439"/>
      <c r="E5129" s="439"/>
      <c r="F5129" s="439"/>
      <c r="G5129" s="451" t="s">
        <v>3406</v>
      </c>
      <c r="Z5129" s="500"/>
      <c r="AA5129" s="500"/>
      <c r="AB5129" s="500"/>
      <c r="AC5129" s="500"/>
      <c r="AD5129" s="500"/>
      <c r="AE5129" s="500"/>
      <c r="AF5129" s="500"/>
      <c r="AG5129" s="500"/>
      <c r="AH5129" s="500"/>
      <c r="AI5129" s="500"/>
      <c r="AJ5129" s="500"/>
      <c r="AK5129" s="500"/>
      <c r="AL5129" s="500"/>
      <c r="AM5129" s="500"/>
      <c r="AN5129" s="500"/>
      <c r="AO5129" s="500"/>
      <c r="AP5129" s="500"/>
    </row>
    <row r="5130" spans="1:42" ht="16.5" customHeight="1">
      <c r="A5130" s="434"/>
      <c r="B5130" s="437" t="s">
        <v>3419</v>
      </c>
      <c r="C5130" s="513">
        <f>E5130+D5130+F5130</f>
        <v>1482.6</v>
      </c>
      <c r="D5130" s="513">
        <f>SUMIF(N5126:N5129,M5130,D5126:D5129)</f>
        <v>0</v>
      </c>
      <c r="E5130" s="513">
        <f>SUMIF(N5126:N5129,M5130,E5126:E5129)</f>
        <v>0</v>
      </c>
      <c r="F5130" s="513">
        <f>SUMIF(N5126:N5129,M5130,F5126:F5129)</f>
        <v>1482.6</v>
      </c>
      <c r="G5130" s="451" t="s">
        <v>3439</v>
      </c>
      <c r="M5130" s="501" t="s">
        <v>3416</v>
      </c>
      <c r="N5130" s="501" t="s">
        <v>3421</v>
      </c>
      <c r="Z5130" s="500"/>
      <c r="AA5130" s="500"/>
      <c r="AB5130" s="500"/>
      <c r="AC5130" s="500"/>
      <c r="AD5130" s="500"/>
      <c r="AE5130" s="500"/>
      <c r="AF5130" s="500"/>
      <c r="AG5130" s="500"/>
      <c r="AH5130" s="500"/>
      <c r="AI5130" s="500"/>
      <c r="AJ5130" s="500"/>
      <c r="AK5130" s="500"/>
      <c r="AL5130" s="500"/>
      <c r="AM5130" s="500"/>
      <c r="AN5130" s="500"/>
      <c r="AO5130" s="500"/>
      <c r="AP5130" s="500"/>
    </row>
    <row r="5131" spans="1:42" ht="16.5" customHeight="1">
      <c r="A5131" s="439"/>
      <c r="B5131" s="439"/>
      <c r="C5131" s="504"/>
      <c r="D5131" s="504"/>
      <c r="E5131" s="504"/>
      <c r="F5131" s="504"/>
      <c r="G5131" s="451" t="s">
        <v>3406</v>
      </c>
      <c r="Z5131" s="500"/>
      <c r="AA5131" s="500"/>
      <c r="AB5131" s="500"/>
      <c r="AC5131" s="500"/>
      <c r="AD5131" s="500"/>
      <c r="AE5131" s="500"/>
      <c r="AF5131" s="500"/>
      <c r="AG5131" s="500"/>
      <c r="AH5131" s="500"/>
      <c r="AI5131" s="500"/>
      <c r="AJ5131" s="500"/>
      <c r="AK5131" s="500"/>
      <c r="AL5131" s="500"/>
      <c r="AM5131" s="500"/>
      <c r="AN5131" s="500"/>
      <c r="AO5131" s="500"/>
      <c r="AP5131" s="500"/>
    </row>
    <row r="5132" spans="1:42" ht="16.5" customHeight="1">
      <c r="A5132" s="434"/>
      <c r="B5132" s="505" t="str">
        <f>"  산지할증 : "&amp;TEXT(I5132,"#,##0.0")&amp;" * "&amp;AA5132&amp;" %  = "&amp;TEXT(C5132,"#,##0.0")&amp;""</f>
        <v xml:space="preserve">  산지할증 : 49,421.2 * 15 %  = 7,413.1</v>
      </c>
      <c r="C5132" s="506">
        <f>E5132+D5132+F5132</f>
        <v>7413.1</v>
      </c>
      <c r="D5132" s="506">
        <f>IF(H5132=0,0,ROUNDDOWN(J5132*H5132/100,1))</f>
        <v>7413.1</v>
      </c>
      <c r="E5132" s="506">
        <f>IF(H5132=0,0,ROUNDDOWN(K5132*H5132/100,1))</f>
        <v>0</v>
      </c>
      <c r="F5132" s="506">
        <f>IF(H5132=0,0,ROUNDDOWN(L5132*H5132/100,1))</f>
        <v>0</v>
      </c>
      <c r="G5132" s="451" t="s">
        <v>5587</v>
      </c>
      <c r="H5132" s="507">
        <f>ROUNDUP(AC5132,14-LEN(ABS(INT(AC5132))))</f>
        <v>15</v>
      </c>
      <c r="I5132" s="508">
        <f>K5132+J5132+L5132</f>
        <v>49421.2</v>
      </c>
      <c r="J5132" s="508">
        <f>D5125+D5130+SUMIF(N5131:N5131,N5132,D5131:D5131)</f>
        <v>49421.2</v>
      </c>
      <c r="K5132" s="456">
        <v>0</v>
      </c>
      <c r="L5132" s="456">
        <v>0</v>
      </c>
      <c r="M5132" s="501" t="s">
        <v>4208</v>
      </c>
      <c r="N5132" s="501" t="s">
        <v>3416</v>
      </c>
      <c r="Z5132" s="501" t="s">
        <v>3500</v>
      </c>
      <c r="AA5132" s="515">
        <v>15</v>
      </c>
      <c r="AB5132" s="501" t="s">
        <v>3418</v>
      </c>
      <c r="AC5132" s="512">
        <f>1*AA5132</f>
        <v>15</v>
      </c>
      <c r="AD5132" s="500"/>
      <c r="AE5132" s="500"/>
      <c r="AF5132" s="500"/>
      <c r="AG5132" s="500"/>
      <c r="AH5132" s="500"/>
      <c r="AI5132" s="500"/>
      <c r="AJ5132" s="500"/>
      <c r="AK5132" s="500"/>
      <c r="AL5132" s="500"/>
      <c r="AM5132" s="500"/>
      <c r="AN5132" s="500"/>
      <c r="AO5132" s="500"/>
      <c r="AP5132" s="500"/>
    </row>
    <row r="5133" spans="1:42" ht="16.5" customHeight="1">
      <c r="A5133" s="439"/>
      <c r="B5133" s="439"/>
      <c r="C5133" s="439"/>
      <c r="D5133" s="439"/>
      <c r="E5133" s="439"/>
      <c r="F5133" s="439"/>
      <c r="G5133" s="451" t="s">
        <v>3406</v>
      </c>
      <c r="Z5133" s="500"/>
      <c r="AA5133" s="500"/>
      <c r="AB5133" s="500"/>
      <c r="AC5133" s="500"/>
      <c r="AD5133" s="500"/>
      <c r="AE5133" s="500"/>
      <c r="AF5133" s="500"/>
      <c r="AG5133" s="500"/>
      <c r="AH5133" s="500"/>
      <c r="AI5133" s="500"/>
      <c r="AJ5133" s="500"/>
      <c r="AK5133" s="500"/>
      <c r="AL5133" s="500"/>
      <c r="AM5133" s="500"/>
      <c r="AN5133" s="500"/>
      <c r="AO5133" s="500"/>
      <c r="AP5133" s="500"/>
    </row>
    <row r="5134" spans="1:42" ht="16.5" customHeight="1">
      <c r="A5134" s="434"/>
      <c r="B5134" s="437" t="s">
        <v>3419</v>
      </c>
      <c r="C5134" s="513">
        <f>E5134+D5134+F5134</f>
        <v>7413.1</v>
      </c>
      <c r="D5134" s="513">
        <f>SUMIF(N5131:N5133,M5134,D5131:D5133)</f>
        <v>7413.1</v>
      </c>
      <c r="E5134" s="513">
        <f>SUMIF(N5131:N5133,M5134,E5131:E5133)</f>
        <v>0</v>
      </c>
      <c r="F5134" s="513">
        <f>SUMIF(N5131:N5133,M5134,F5131:F5133)</f>
        <v>0</v>
      </c>
      <c r="G5134" s="451" t="s">
        <v>3439</v>
      </c>
      <c r="M5134" s="501" t="s">
        <v>3416</v>
      </c>
      <c r="N5134" s="501" t="s">
        <v>3421</v>
      </c>
      <c r="Z5134" s="500"/>
      <c r="AA5134" s="500"/>
      <c r="AB5134" s="500"/>
      <c r="AC5134" s="500"/>
      <c r="AD5134" s="500"/>
      <c r="AE5134" s="500"/>
      <c r="AF5134" s="500"/>
      <c r="AG5134" s="500"/>
      <c r="AH5134" s="500"/>
      <c r="AI5134" s="500"/>
      <c r="AJ5134" s="500"/>
      <c r="AK5134" s="500"/>
      <c r="AL5134" s="500"/>
      <c r="AM5134" s="500"/>
      <c r="AN5134" s="500"/>
      <c r="AO5134" s="500"/>
      <c r="AP5134" s="500"/>
    </row>
    <row r="5135" spans="1:42" ht="16.5" customHeight="1">
      <c r="A5135" s="439"/>
      <c r="B5135" s="439"/>
      <c r="C5135" s="504"/>
      <c r="D5135" s="504"/>
      <c r="E5135" s="504"/>
      <c r="F5135" s="504"/>
      <c r="G5135" s="451" t="s">
        <v>3406</v>
      </c>
      <c r="Z5135" s="500"/>
      <c r="AA5135" s="500"/>
      <c r="AB5135" s="500"/>
      <c r="AC5135" s="500"/>
      <c r="AD5135" s="500"/>
      <c r="AE5135" s="500"/>
      <c r="AF5135" s="500"/>
      <c r="AG5135" s="500"/>
      <c r="AH5135" s="500"/>
      <c r="AI5135" s="500"/>
      <c r="AJ5135" s="500"/>
      <c r="AK5135" s="500"/>
      <c r="AL5135" s="500"/>
      <c r="AM5135" s="500"/>
      <c r="AN5135" s="500"/>
      <c r="AO5135" s="500"/>
      <c r="AP5135" s="500"/>
    </row>
    <row r="5136" spans="1:42" ht="16.5" customHeight="1">
      <c r="A5136" s="434"/>
      <c r="B5136" s="437" t="s">
        <v>3440</v>
      </c>
      <c r="C5136" s="513">
        <f>E5136+D5136+F5136</f>
        <v>58316.899999999994</v>
      </c>
      <c r="D5136" s="513">
        <f>SUMIF(N5107:N5135,M5136,D5107:D5135)</f>
        <v>56834.299999999996</v>
      </c>
      <c r="E5136" s="513">
        <f>SUMIF(N5107:N5135,M5136,E5107:E5135)</f>
        <v>0</v>
      </c>
      <c r="F5136" s="513">
        <f>SUMIF(N5107:N5135,M5136,F5107:F5135)</f>
        <v>1482.6</v>
      </c>
      <c r="G5136" s="451" t="s">
        <v>3441</v>
      </c>
      <c r="M5136" s="501" t="s">
        <v>3421</v>
      </c>
      <c r="N5136" s="501" t="s">
        <v>2354</v>
      </c>
      <c r="Z5136" s="500"/>
      <c r="AA5136" s="500"/>
      <c r="AB5136" s="500"/>
      <c r="AC5136" s="500"/>
      <c r="AD5136" s="500"/>
      <c r="AE5136" s="500"/>
      <c r="AF5136" s="500"/>
      <c r="AG5136" s="500"/>
      <c r="AH5136" s="500"/>
      <c r="AI5136" s="500"/>
      <c r="AJ5136" s="500"/>
      <c r="AK5136" s="500"/>
      <c r="AL5136" s="500"/>
      <c r="AM5136" s="500"/>
      <c r="AN5136" s="500"/>
      <c r="AO5136" s="500"/>
      <c r="AP5136" s="500"/>
    </row>
    <row r="5137" spans="1:42" ht="16.5" customHeight="1">
      <c r="A5137" s="439"/>
      <c r="B5137" s="439"/>
      <c r="C5137" s="504"/>
      <c r="D5137" s="504"/>
      <c r="E5137" s="504"/>
      <c r="F5137" s="504"/>
      <c r="Z5137" s="500"/>
      <c r="AA5137" s="500"/>
      <c r="AB5137" s="500"/>
      <c r="AC5137" s="500"/>
      <c r="AD5137" s="500"/>
      <c r="AE5137" s="500"/>
      <c r="AF5137" s="500"/>
      <c r="AG5137" s="500"/>
      <c r="AH5137" s="500"/>
      <c r="AI5137" s="500"/>
      <c r="AJ5137" s="500"/>
      <c r="AK5137" s="500"/>
      <c r="AL5137" s="500"/>
      <c r="AM5137" s="500"/>
      <c r="AN5137" s="500"/>
      <c r="AO5137" s="500"/>
      <c r="AP5137" s="500"/>
    </row>
    <row r="5138" spans="1:42" ht="16.5" customHeight="1">
      <c r="A5138" s="439"/>
      <c r="B5138" s="439"/>
      <c r="C5138" s="439"/>
      <c r="D5138" s="439"/>
      <c r="E5138" s="439"/>
      <c r="F5138" s="439"/>
      <c r="Z5138" s="500"/>
      <c r="AA5138" s="500"/>
      <c r="AB5138" s="500"/>
      <c r="AC5138" s="500"/>
      <c r="AD5138" s="500"/>
      <c r="AE5138" s="500"/>
      <c r="AF5138" s="500"/>
      <c r="AG5138" s="500"/>
      <c r="AH5138" s="500"/>
      <c r="AI5138" s="500"/>
      <c r="AJ5138" s="500"/>
      <c r="AK5138" s="500"/>
      <c r="AL5138" s="500"/>
      <c r="AM5138" s="500"/>
      <c r="AN5138" s="500"/>
      <c r="AO5138" s="500"/>
      <c r="AP5138" s="500"/>
    </row>
    <row r="5139" spans="1:42" ht="16.5" customHeight="1">
      <c r="A5139" s="439"/>
      <c r="B5139" s="439"/>
      <c r="C5139" s="439"/>
      <c r="D5139" s="439"/>
      <c r="E5139" s="439"/>
      <c r="F5139" s="439"/>
      <c r="Z5139" s="500"/>
      <c r="AA5139" s="500"/>
      <c r="AB5139" s="500"/>
      <c r="AC5139" s="500"/>
      <c r="AD5139" s="500"/>
      <c r="AE5139" s="500"/>
      <c r="AF5139" s="500"/>
      <c r="AG5139" s="500"/>
      <c r="AH5139" s="500"/>
      <c r="AI5139" s="500"/>
      <c r="AJ5139" s="500"/>
      <c r="AK5139" s="500"/>
      <c r="AL5139" s="500"/>
      <c r="AM5139" s="500"/>
      <c r="AN5139" s="500"/>
      <c r="AO5139" s="500"/>
      <c r="AP5139" s="500"/>
    </row>
    <row r="5140" spans="1:42" ht="16.5" customHeight="1">
      <c r="A5140" s="439"/>
      <c r="B5140" s="439"/>
      <c r="C5140" s="439"/>
      <c r="D5140" s="439"/>
      <c r="E5140" s="439"/>
      <c r="F5140" s="439"/>
      <c r="Z5140" s="500"/>
      <c r="AA5140" s="500"/>
      <c r="AB5140" s="500"/>
      <c r="AC5140" s="500"/>
      <c r="AD5140" s="500"/>
      <c r="AE5140" s="500"/>
      <c r="AF5140" s="500"/>
      <c r="AG5140" s="500"/>
      <c r="AH5140" s="500"/>
      <c r="AI5140" s="500"/>
      <c r="AJ5140" s="500"/>
      <c r="AK5140" s="500"/>
      <c r="AL5140" s="500"/>
      <c r="AM5140" s="500"/>
      <c r="AN5140" s="500"/>
      <c r="AO5140" s="500"/>
      <c r="AP5140" s="500"/>
    </row>
    <row r="5141" spans="1:42" ht="16.5" customHeight="1">
      <c r="A5141" s="439"/>
      <c r="B5141" s="439"/>
      <c r="C5141" s="439"/>
      <c r="D5141" s="439"/>
      <c r="E5141" s="439"/>
      <c r="F5141" s="439"/>
      <c r="Z5141" s="500"/>
      <c r="AA5141" s="500"/>
      <c r="AB5141" s="500"/>
      <c r="AC5141" s="500"/>
      <c r="AD5141" s="500"/>
      <c r="AE5141" s="500"/>
      <c r="AF5141" s="500"/>
      <c r="AG5141" s="500"/>
      <c r="AH5141" s="500"/>
      <c r="AI5141" s="500"/>
      <c r="AJ5141" s="500"/>
      <c r="AK5141" s="500"/>
      <c r="AL5141" s="500"/>
      <c r="AM5141" s="500"/>
      <c r="AN5141" s="500"/>
      <c r="AO5141" s="500"/>
      <c r="AP5141" s="500"/>
    </row>
    <row r="5142" spans="1:42" ht="16.5" customHeight="1">
      <c r="A5142" s="439"/>
      <c r="B5142" s="439"/>
      <c r="C5142" s="439"/>
      <c r="D5142" s="439"/>
      <c r="E5142" s="439"/>
      <c r="F5142" s="439"/>
      <c r="Z5142" s="500"/>
      <c r="AA5142" s="500"/>
      <c r="AB5142" s="500"/>
      <c r="AC5142" s="500"/>
      <c r="AD5142" s="500"/>
      <c r="AE5142" s="500"/>
      <c r="AF5142" s="500"/>
      <c r="AG5142" s="500"/>
      <c r="AH5142" s="500"/>
      <c r="AI5142" s="500"/>
      <c r="AJ5142" s="500"/>
      <c r="AK5142" s="500"/>
      <c r="AL5142" s="500"/>
      <c r="AM5142" s="500"/>
      <c r="AN5142" s="500"/>
      <c r="AO5142" s="500"/>
      <c r="AP5142" s="500"/>
    </row>
    <row r="5143" spans="1:42" ht="16.5" customHeight="1">
      <c r="A5143" s="439"/>
      <c r="B5143" s="439"/>
      <c r="C5143" s="439"/>
      <c r="D5143" s="439"/>
      <c r="E5143" s="439"/>
      <c r="F5143" s="439"/>
      <c r="Z5143" s="500"/>
      <c r="AA5143" s="500"/>
      <c r="AB5143" s="500"/>
      <c r="AC5143" s="500"/>
      <c r="AD5143" s="500"/>
      <c r="AE5143" s="500"/>
      <c r="AF5143" s="500"/>
      <c r="AG5143" s="500"/>
      <c r="AH5143" s="500"/>
      <c r="AI5143" s="500"/>
      <c r="AJ5143" s="500"/>
      <c r="AK5143" s="500"/>
      <c r="AL5143" s="500"/>
      <c r="AM5143" s="500"/>
      <c r="AN5143" s="500"/>
      <c r="AO5143" s="500"/>
      <c r="AP5143" s="500"/>
    </row>
    <row r="5144" spans="1:42" ht="16.5" customHeight="1">
      <c r="A5144" s="439"/>
      <c r="B5144" s="439"/>
      <c r="C5144" s="439"/>
      <c r="D5144" s="439"/>
      <c r="E5144" s="439"/>
      <c r="F5144" s="439"/>
      <c r="Z5144" s="500"/>
      <c r="AA5144" s="500"/>
      <c r="AB5144" s="500"/>
      <c r="AC5144" s="500"/>
      <c r="AD5144" s="500"/>
      <c r="AE5144" s="500"/>
      <c r="AF5144" s="500"/>
      <c r="AG5144" s="500"/>
      <c r="AH5144" s="500"/>
      <c r="AI5144" s="500"/>
      <c r="AJ5144" s="500"/>
      <c r="AK5144" s="500"/>
      <c r="AL5144" s="500"/>
      <c r="AM5144" s="500"/>
      <c r="AN5144" s="500"/>
      <c r="AO5144" s="500"/>
      <c r="AP5144" s="500"/>
    </row>
    <row r="5145" spans="1:42" ht="16.5" customHeight="1">
      <c r="A5145" s="439"/>
      <c r="B5145" s="439"/>
      <c r="C5145" s="439"/>
      <c r="D5145" s="439"/>
      <c r="E5145" s="439"/>
      <c r="F5145" s="439"/>
      <c r="Z5145" s="500"/>
      <c r="AA5145" s="500"/>
      <c r="AB5145" s="500"/>
      <c r="AC5145" s="500"/>
      <c r="AD5145" s="500"/>
      <c r="AE5145" s="500"/>
      <c r="AF5145" s="500"/>
      <c r="AG5145" s="500"/>
      <c r="AH5145" s="500"/>
      <c r="AI5145" s="500"/>
      <c r="AJ5145" s="500"/>
      <c r="AK5145" s="500"/>
      <c r="AL5145" s="500"/>
      <c r="AM5145" s="500"/>
      <c r="AN5145" s="500"/>
      <c r="AO5145" s="500"/>
      <c r="AP5145" s="500"/>
    </row>
    <row r="5146" spans="1:42" ht="16.5" customHeight="1">
      <c r="A5146" s="439"/>
      <c r="B5146" s="439"/>
      <c r="C5146" s="439"/>
      <c r="D5146" s="439"/>
      <c r="E5146" s="439"/>
      <c r="F5146" s="439"/>
      <c r="Z5146" s="500"/>
      <c r="AA5146" s="500"/>
      <c r="AB5146" s="500"/>
      <c r="AC5146" s="500"/>
      <c r="AD5146" s="500"/>
      <c r="AE5146" s="500"/>
      <c r="AF5146" s="500"/>
      <c r="AG5146" s="500"/>
      <c r="AH5146" s="500"/>
      <c r="AI5146" s="500"/>
      <c r="AJ5146" s="500"/>
      <c r="AK5146" s="500"/>
      <c r="AL5146" s="500"/>
      <c r="AM5146" s="500"/>
      <c r="AN5146" s="500"/>
      <c r="AO5146" s="500"/>
      <c r="AP5146" s="500"/>
    </row>
    <row r="5147" spans="1:42" ht="16.5" customHeight="1">
      <c r="A5147" s="439"/>
      <c r="B5147" s="439"/>
      <c r="C5147" s="439"/>
      <c r="D5147" s="439"/>
      <c r="E5147" s="439"/>
      <c r="F5147" s="439"/>
      <c r="Z5147" s="500"/>
      <c r="AA5147" s="500"/>
      <c r="AB5147" s="500"/>
      <c r="AC5147" s="500"/>
      <c r="AD5147" s="500"/>
      <c r="AE5147" s="500"/>
      <c r="AF5147" s="500"/>
      <c r="AG5147" s="500"/>
      <c r="AH5147" s="500"/>
      <c r="AI5147" s="500"/>
      <c r="AJ5147" s="500"/>
      <c r="AK5147" s="500"/>
      <c r="AL5147" s="500"/>
      <c r="AM5147" s="500"/>
      <c r="AN5147" s="500"/>
      <c r="AO5147" s="500"/>
      <c r="AP5147" s="500"/>
    </row>
    <row r="5148" spans="1:42" ht="16.5" customHeight="1">
      <c r="A5148" s="439"/>
      <c r="B5148" s="439"/>
      <c r="C5148" s="439"/>
      <c r="D5148" s="439"/>
      <c r="E5148" s="439"/>
      <c r="F5148" s="439"/>
      <c r="Z5148" s="500"/>
      <c r="AA5148" s="500"/>
      <c r="AB5148" s="500"/>
      <c r="AC5148" s="500"/>
      <c r="AD5148" s="500"/>
      <c r="AE5148" s="500"/>
      <c r="AF5148" s="500"/>
      <c r="AG5148" s="500"/>
      <c r="AH5148" s="500"/>
      <c r="AI5148" s="500"/>
      <c r="AJ5148" s="500"/>
      <c r="AK5148" s="500"/>
      <c r="AL5148" s="500"/>
      <c r="AM5148" s="500"/>
      <c r="AN5148" s="500"/>
      <c r="AO5148" s="500"/>
      <c r="AP5148" s="500"/>
    </row>
    <row r="5149" spans="1:42" ht="16.5" customHeight="1">
      <c r="A5149" s="439"/>
      <c r="B5149" s="439"/>
      <c r="C5149" s="439"/>
      <c r="D5149" s="439"/>
      <c r="E5149" s="439"/>
      <c r="F5149" s="439"/>
      <c r="Z5149" s="500"/>
      <c r="AA5149" s="500"/>
      <c r="AB5149" s="500"/>
      <c r="AC5149" s="500"/>
      <c r="AD5149" s="500"/>
      <c r="AE5149" s="500"/>
      <c r="AF5149" s="500"/>
      <c r="AG5149" s="500"/>
      <c r="AH5149" s="500"/>
      <c r="AI5149" s="500"/>
      <c r="AJ5149" s="500"/>
      <c r="AK5149" s="500"/>
      <c r="AL5149" s="500"/>
      <c r="AM5149" s="500"/>
      <c r="AN5149" s="500"/>
      <c r="AO5149" s="500"/>
      <c r="AP5149" s="500"/>
    </row>
    <row r="5150" spans="1:42" ht="16.5" customHeight="1">
      <c r="A5150" s="439"/>
      <c r="B5150" s="439"/>
      <c r="C5150" s="439"/>
      <c r="D5150" s="439"/>
      <c r="E5150" s="439"/>
      <c r="F5150" s="439"/>
      <c r="Z5150" s="500"/>
      <c r="AA5150" s="500"/>
      <c r="AB5150" s="500"/>
      <c r="AC5150" s="500"/>
      <c r="AD5150" s="500"/>
      <c r="AE5150" s="500"/>
      <c r="AF5150" s="500"/>
      <c r="AG5150" s="500"/>
      <c r="AH5150" s="500"/>
      <c r="AI5150" s="500"/>
      <c r="AJ5150" s="500"/>
      <c r="AK5150" s="500"/>
      <c r="AL5150" s="500"/>
      <c r="AM5150" s="500"/>
      <c r="AN5150" s="500"/>
      <c r="AO5150" s="500"/>
      <c r="AP5150" s="500"/>
    </row>
    <row r="5151" spans="1:42" ht="16.5" customHeight="1">
      <c r="A5151" s="439"/>
      <c r="B5151" s="439"/>
      <c r="C5151" s="439"/>
      <c r="D5151" s="439"/>
      <c r="E5151" s="439"/>
      <c r="F5151" s="439"/>
      <c r="Z5151" s="500"/>
      <c r="AA5151" s="500"/>
      <c r="AB5151" s="500"/>
      <c r="AC5151" s="500"/>
      <c r="AD5151" s="500"/>
      <c r="AE5151" s="500"/>
      <c r="AF5151" s="500"/>
      <c r="AG5151" s="500"/>
      <c r="AH5151" s="500"/>
      <c r="AI5151" s="500"/>
      <c r="AJ5151" s="500"/>
      <c r="AK5151" s="500"/>
      <c r="AL5151" s="500"/>
      <c r="AM5151" s="500"/>
      <c r="AN5151" s="500"/>
      <c r="AO5151" s="500"/>
      <c r="AP5151" s="500"/>
    </row>
    <row r="5152" spans="1:42" ht="16.5" customHeight="1">
      <c r="A5152" s="439"/>
      <c r="B5152" s="439"/>
      <c r="C5152" s="439"/>
      <c r="D5152" s="439"/>
      <c r="E5152" s="439"/>
      <c r="F5152" s="439"/>
      <c r="Z5152" s="500"/>
      <c r="AA5152" s="500"/>
      <c r="AB5152" s="500"/>
      <c r="AC5152" s="500"/>
      <c r="AD5152" s="500"/>
      <c r="AE5152" s="500"/>
      <c r="AF5152" s="500"/>
      <c r="AG5152" s="500"/>
      <c r="AH5152" s="500"/>
      <c r="AI5152" s="500"/>
      <c r="AJ5152" s="500"/>
      <c r="AK5152" s="500"/>
      <c r="AL5152" s="500"/>
      <c r="AM5152" s="500"/>
      <c r="AN5152" s="500"/>
      <c r="AO5152" s="500"/>
      <c r="AP5152" s="500"/>
    </row>
    <row r="5153" spans="1:42" ht="16.5" customHeight="1">
      <c r="A5153" s="497"/>
      <c r="B5153" s="497"/>
      <c r="C5153" s="497"/>
      <c r="D5153" s="497"/>
      <c r="E5153" s="497"/>
      <c r="F5153" s="497"/>
      <c r="Z5153" s="500"/>
      <c r="AA5153" s="500"/>
      <c r="AB5153" s="500"/>
      <c r="AC5153" s="500"/>
      <c r="AD5153" s="500"/>
      <c r="AE5153" s="500"/>
      <c r="AF5153" s="500"/>
      <c r="AG5153" s="500"/>
      <c r="AH5153" s="500"/>
      <c r="AI5153" s="500"/>
      <c r="AJ5153" s="500"/>
      <c r="AK5153" s="500"/>
      <c r="AL5153" s="500"/>
      <c r="AM5153" s="500"/>
      <c r="AN5153" s="500"/>
      <c r="AO5153" s="500"/>
      <c r="AP5153" s="500"/>
    </row>
    <row r="5154" spans="1:42" ht="16.5" customHeight="1">
      <c r="A5154" s="616" t="s">
        <v>3487</v>
      </c>
      <c r="B5154" s="605"/>
      <c r="C5154" s="446">
        <f>E5154+D5154+F5154</f>
        <v>58316</v>
      </c>
      <c r="D5154" s="453">
        <f>ROUNDDOWN(SUMIF(N5107:N5136,M5154,D5107:D5136),0)</f>
        <v>56834</v>
      </c>
      <c r="E5154" s="454">
        <f>ROUNDDOWN(SUMIF(N5107:N5136,M5154,E5107:E5136),0)</f>
        <v>0</v>
      </c>
      <c r="F5154" s="446">
        <f>ROUNDDOWN(SUMIF(N5107:N5136,M5154,F5107:F5136),0)</f>
        <v>1482</v>
      </c>
      <c r="M5154" s="501" t="s">
        <v>2354</v>
      </c>
      <c r="Z5154" s="500"/>
      <c r="AA5154" s="500"/>
      <c r="AB5154" s="500"/>
      <c r="AC5154" s="500"/>
      <c r="AD5154" s="500"/>
      <c r="AE5154" s="500"/>
      <c r="AF5154" s="500"/>
      <c r="AG5154" s="500"/>
      <c r="AH5154" s="500"/>
      <c r="AI5154" s="500"/>
      <c r="AJ5154" s="500"/>
      <c r="AK5154" s="500"/>
      <c r="AL5154" s="500"/>
      <c r="AM5154" s="500"/>
      <c r="AN5154" s="500"/>
      <c r="AO5154" s="500"/>
      <c r="AP5154" s="500"/>
    </row>
    <row r="5155" spans="1:42" ht="16.5" customHeight="1">
      <c r="A5155" s="502" t="s">
        <v>3371</v>
      </c>
      <c r="B5155" s="503" t="s">
        <v>5469</v>
      </c>
      <c r="C5155" s="615">
        <f>C5204</f>
        <v>18049</v>
      </c>
      <c r="D5155" s="615">
        <f>D5204</f>
        <v>17591</v>
      </c>
      <c r="E5155" s="615">
        <f>E5204</f>
        <v>0</v>
      </c>
      <c r="F5155" s="615">
        <f>F5204</f>
        <v>458</v>
      </c>
      <c r="G5155" s="486" t="str">
        <f>HYPERLINK("#G"&amp;ROW(G5186),"_x0005_`BDCOD|D01365_x0007_`POSS|"&amp;ROW(G5157)&amp;"_x0007_`POSE|"&amp;ROW(G5186)&amp;"_x0007_`")</f>
        <v>_x0005_`BDCOD|D01365_x0007_`POSS|5157_x0007_`POSE|5186_x0007_`</v>
      </c>
      <c r="Z5155" s="500"/>
      <c r="AA5155" s="500"/>
      <c r="AB5155" s="500"/>
      <c r="AC5155" s="500"/>
      <c r="AD5155" s="500"/>
      <c r="AE5155" s="500"/>
      <c r="AF5155" s="500"/>
      <c r="AG5155" s="500"/>
      <c r="AH5155" s="500"/>
      <c r="AI5155" s="500"/>
      <c r="AJ5155" s="500"/>
      <c r="AK5155" s="500"/>
      <c r="AL5155" s="500"/>
      <c r="AM5155" s="500"/>
      <c r="AN5155" s="500"/>
      <c r="AO5155" s="500"/>
      <c r="AP5155" s="500"/>
    </row>
    <row r="5156" spans="1:42" ht="16.5" customHeight="1">
      <c r="A5156" s="485"/>
      <c r="B5156" s="503" t="s">
        <v>5629</v>
      </c>
      <c r="C5156" s="593"/>
      <c r="D5156" s="593"/>
      <c r="E5156" s="593"/>
      <c r="F5156" s="593"/>
      <c r="M5156" s="501" t="s">
        <v>5469</v>
      </c>
      <c r="Z5156" s="500"/>
      <c r="AA5156" s="500"/>
      <c r="AB5156" s="500"/>
      <c r="AC5156" s="500"/>
      <c r="AD5156" s="500"/>
      <c r="AE5156" s="500"/>
      <c r="AF5156" s="500"/>
      <c r="AG5156" s="500"/>
      <c r="AH5156" s="500"/>
      <c r="AI5156" s="500"/>
      <c r="AJ5156" s="500"/>
      <c r="AK5156" s="500"/>
      <c r="AL5156" s="500"/>
      <c r="AM5156" s="500"/>
      <c r="AN5156" s="500"/>
      <c r="AO5156" s="500"/>
      <c r="AP5156" s="500"/>
    </row>
    <row r="5157" spans="1:42" ht="16.5" customHeight="1">
      <c r="A5157" s="439"/>
      <c r="B5157" s="439"/>
      <c r="C5157" s="504"/>
      <c r="D5157" s="504"/>
      <c r="E5157" s="504"/>
      <c r="F5157" s="504"/>
      <c r="G5157" s="451" t="s">
        <v>3406</v>
      </c>
      <c r="Z5157" s="500"/>
      <c r="AA5157" s="500"/>
      <c r="AB5157" s="500"/>
      <c r="AC5157" s="500"/>
      <c r="AD5157" s="500"/>
      <c r="AE5157" s="500"/>
      <c r="AF5157" s="500"/>
      <c r="AG5157" s="500"/>
      <c r="AH5157" s="500"/>
      <c r="AI5157" s="500"/>
      <c r="AJ5157" s="500"/>
      <c r="AK5157" s="500"/>
      <c r="AL5157" s="500"/>
      <c r="AM5157" s="500"/>
      <c r="AN5157" s="500"/>
      <c r="AO5157" s="500"/>
      <c r="AP5157" s="500"/>
    </row>
    <row r="5158" spans="1:42" ht="16.5" customHeight="1">
      <c r="A5158" s="434"/>
      <c r="B5158" s="437" t="s">
        <v>3968</v>
      </c>
      <c r="C5158" s="439"/>
      <c r="D5158" s="439"/>
      <c r="E5158" s="439"/>
      <c r="F5158" s="439"/>
      <c r="G5158" s="451" t="s">
        <v>3969</v>
      </c>
      <c r="Z5158" s="500"/>
      <c r="AA5158" s="500"/>
      <c r="AB5158" s="500"/>
      <c r="AC5158" s="500"/>
      <c r="AD5158" s="500"/>
      <c r="AE5158" s="500"/>
      <c r="AF5158" s="500"/>
      <c r="AG5158" s="500"/>
      <c r="AH5158" s="500"/>
      <c r="AI5158" s="500"/>
      <c r="AJ5158" s="500"/>
      <c r="AK5158" s="500"/>
      <c r="AL5158" s="500"/>
      <c r="AM5158" s="500"/>
      <c r="AN5158" s="500"/>
      <c r="AO5158" s="500"/>
      <c r="AP5158" s="500"/>
    </row>
    <row r="5159" spans="1:42" ht="16.5" customHeight="1">
      <c r="A5159" s="439"/>
      <c r="B5159" s="439"/>
      <c r="C5159" s="439"/>
      <c r="D5159" s="439"/>
      <c r="E5159" s="439"/>
      <c r="F5159" s="439"/>
      <c r="G5159" s="451" t="s">
        <v>3406</v>
      </c>
      <c r="Z5159" s="500"/>
      <c r="AA5159" s="500"/>
      <c r="AB5159" s="500"/>
      <c r="AC5159" s="500"/>
      <c r="AD5159" s="500"/>
      <c r="AE5159" s="500"/>
      <c r="AF5159" s="500"/>
      <c r="AG5159" s="500"/>
      <c r="AH5159" s="500"/>
      <c r="AI5159" s="500"/>
      <c r="AJ5159" s="500"/>
      <c r="AK5159" s="500"/>
      <c r="AL5159" s="500"/>
      <c r="AM5159" s="500"/>
      <c r="AN5159" s="500"/>
      <c r="AO5159" s="500"/>
      <c r="AP5159" s="500"/>
    </row>
    <row r="5160" spans="1:42" ht="16.5" customHeight="1">
      <c r="A5160" s="434"/>
      <c r="B5160" s="437" t="s">
        <v>3907</v>
      </c>
      <c r="C5160" s="439"/>
      <c r="D5160" s="439"/>
      <c r="E5160" s="439"/>
      <c r="F5160" s="439"/>
      <c r="G5160" s="451" t="s">
        <v>3908</v>
      </c>
      <c r="Z5160" s="500"/>
      <c r="AA5160" s="500"/>
      <c r="AB5160" s="500"/>
      <c r="AC5160" s="500"/>
      <c r="AD5160" s="500"/>
      <c r="AE5160" s="500"/>
      <c r="AF5160" s="500"/>
      <c r="AG5160" s="500"/>
      <c r="AH5160" s="500"/>
      <c r="AI5160" s="500"/>
      <c r="AJ5160" s="500"/>
      <c r="AK5160" s="500"/>
      <c r="AL5160" s="500"/>
      <c r="AM5160" s="500"/>
      <c r="AN5160" s="500"/>
      <c r="AO5160" s="500"/>
      <c r="AP5160" s="500"/>
    </row>
    <row r="5161" spans="1:42" ht="16.5" customHeight="1">
      <c r="A5161" s="439"/>
      <c r="B5161" s="439"/>
      <c r="C5161" s="439"/>
      <c r="D5161" s="439"/>
      <c r="E5161" s="439"/>
      <c r="F5161" s="439"/>
      <c r="G5161" s="451" t="s">
        <v>3406</v>
      </c>
      <c r="Z5161" s="500"/>
      <c r="AA5161" s="500"/>
      <c r="AB5161" s="500"/>
      <c r="AC5161" s="500"/>
      <c r="AD5161" s="500"/>
      <c r="AE5161" s="500"/>
      <c r="AF5161" s="500"/>
      <c r="AG5161" s="500"/>
      <c r="AH5161" s="500"/>
      <c r="AI5161" s="500"/>
      <c r="AJ5161" s="500"/>
      <c r="AK5161" s="500"/>
      <c r="AL5161" s="500"/>
      <c r="AM5161" s="500"/>
      <c r="AN5161" s="500"/>
      <c r="AO5161" s="500"/>
      <c r="AP5161" s="500"/>
    </row>
    <row r="5162" spans="1:42" ht="16.5" customHeight="1">
      <c r="A5162" s="434"/>
      <c r="B5162" s="437" t="s">
        <v>3955</v>
      </c>
      <c r="C5162" s="439"/>
      <c r="D5162" s="439"/>
      <c r="E5162" s="439"/>
      <c r="F5162" s="439"/>
      <c r="G5162" s="451" t="s">
        <v>3956</v>
      </c>
      <c r="Z5162" s="500"/>
      <c r="AA5162" s="500"/>
      <c r="AB5162" s="500"/>
      <c r="AC5162" s="500"/>
      <c r="AD5162" s="500"/>
      <c r="AE5162" s="500"/>
      <c r="AF5162" s="500"/>
      <c r="AG5162" s="500"/>
      <c r="AH5162" s="500"/>
      <c r="AI5162" s="500"/>
      <c r="AJ5162" s="500"/>
      <c r="AK5162" s="500"/>
      <c r="AL5162" s="500"/>
      <c r="AM5162" s="500"/>
      <c r="AN5162" s="500"/>
      <c r="AO5162" s="500"/>
      <c r="AP5162" s="500"/>
    </row>
    <row r="5163" spans="1:42" ht="16.5" customHeight="1">
      <c r="A5163" s="439"/>
      <c r="B5163" s="439"/>
      <c r="C5163" s="439"/>
      <c r="D5163" s="439"/>
      <c r="E5163" s="439"/>
      <c r="F5163" s="439"/>
      <c r="G5163" s="451" t="s">
        <v>3406</v>
      </c>
      <c r="Z5163" s="500"/>
      <c r="AA5163" s="500"/>
      <c r="AB5163" s="500"/>
      <c r="AC5163" s="500"/>
      <c r="AD5163" s="500"/>
      <c r="AE5163" s="500"/>
      <c r="AF5163" s="500"/>
      <c r="AG5163" s="500"/>
      <c r="AH5163" s="500"/>
      <c r="AI5163" s="500"/>
      <c r="AJ5163" s="500"/>
      <c r="AK5163" s="500"/>
      <c r="AL5163" s="500"/>
      <c r="AM5163" s="500"/>
      <c r="AN5163" s="500"/>
      <c r="AO5163" s="500"/>
      <c r="AP5163" s="500"/>
    </row>
    <row r="5164" spans="1:42" ht="16.5" customHeight="1">
      <c r="A5164" s="434"/>
      <c r="B5164" s="437" t="str">
        <f>" 일당 작업량 :  Q1 = "&amp;Z5164&amp;" 주 "</f>
        <v xml:space="preserve"> 일당 작업량 :  Q1 = 42 주 </v>
      </c>
      <c r="C5164" s="439"/>
      <c r="D5164" s="439"/>
      <c r="E5164" s="439"/>
      <c r="F5164" s="439"/>
      <c r="G5164" s="451" t="s">
        <v>3970</v>
      </c>
      <c r="Z5164" s="515">
        <v>42</v>
      </c>
      <c r="AA5164" s="501" t="s">
        <v>3418</v>
      </c>
      <c r="AB5164" s="512">
        <f>Z5164</f>
        <v>42</v>
      </c>
      <c r="AC5164" s="500"/>
      <c r="AD5164" s="500"/>
      <c r="AE5164" s="500"/>
      <c r="AF5164" s="500"/>
      <c r="AG5164" s="500"/>
      <c r="AH5164" s="500"/>
      <c r="AI5164" s="500"/>
      <c r="AJ5164" s="500"/>
      <c r="AK5164" s="500"/>
      <c r="AL5164" s="500"/>
      <c r="AM5164" s="500"/>
      <c r="AN5164" s="500"/>
      <c r="AO5164" s="500"/>
      <c r="AP5164" s="500"/>
    </row>
    <row r="5165" spans="1:42" ht="16.5" customHeight="1">
      <c r="A5165" s="439"/>
      <c r="B5165" s="439"/>
      <c r="C5165" s="439"/>
      <c r="D5165" s="439"/>
      <c r="E5165" s="439"/>
      <c r="F5165" s="439"/>
      <c r="G5165" s="451" t="s">
        <v>3406</v>
      </c>
      <c r="Z5165" s="500"/>
      <c r="AA5165" s="500"/>
      <c r="AB5165" s="500"/>
      <c r="AC5165" s="500"/>
      <c r="AD5165" s="500"/>
      <c r="AE5165" s="500"/>
      <c r="AF5165" s="500"/>
      <c r="AG5165" s="500"/>
      <c r="AH5165" s="500"/>
      <c r="AI5165" s="500"/>
      <c r="AJ5165" s="500"/>
      <c r="AK5165" s="500"/>
      <c r="AL5165" s="500"/>
      <c r="AM5165" s="500"/>
      <c r="AN5165" s="500"/>
      <c r="AO5165" s="500"/>
      <c r="AP5165" s="500"/>
    </row>
    <row r="5166" spans="1:42" ht="16.5" customHeight="1">
      <c r="A5166" s="434"/>
      <c r="B5166" s="437" t="s">
        <v>3958</v>
      </c>
      <c r="C5166" s="439"/>
      <c r="D5166" s="439"/>
      <c r="E5166" s="439"/>
      <c r="F5166" s="439"/>
      <c r="G5166" s="451" t="s">
        <v>3959</v>
      </c>
      <c r="Z5166" s="500"/>
      <c r="AA5166" s="500"/>
      <c r="AB5166" s="500"/>
      <c r="AC5166" s="500"/>
      <c r="AD5166" s="500"/>
      <c r="AE5166" s="500"/>
      <c r="AF5166" s="500"/>
      <c r="AG5166" s="500"/>
      <c r="AH5166" s="500"/>
      <c r="AI5166" s="500"/>
      <c r="AJ5166" s="500"/>
      <c r="AK5166" s="500"/>
      <c r="AL5166" s="500"/>
      <c r="AM5166" s="500"/>
      <c r="AN5166" s="500"/>
      <c r="AO5166" s="500"/>
      <c r="AP5166" s="500"/>
    </row>
    <row r="5167" spans="1:42" ht="16.5" customHeight="1">
      <c r="A5167" s="439"/>
      <c r="B5167" s="439"/>
      <c r="C5167" s="439"/>
      <c r="D5167" s="439"/>
      <c r="E5167" s="439"/>
      <c r="F5167" s="439"/>
      <c r="G5167" s="451" t="s">
        <v>3406</v>
      </c>
      <c r="Z5167" s="500"/>
      <c r="AA5167" s="500"/>
      <c r="AB5167" s="500"/>
      <c r="AC5167" s="500"/>
      <c r="AD5167" s="500"/>
      <c r="AE5167" s="500"/>
      <c r="AF5167" s="500"/>
      <c r="AG5167" s="500"/>
      <c r="AH5167" s="500"/>
      <c r="AI5167" s="500"/>
      <c r="AJ5167" s="500"/>
      <c r="AK5167" s="500"/>
      <c r="AL5167" s="500"/>
      <c r="AM5167" s="500"/>
      <c r="AN5167" s="500"/>
      <c r="AO5167" s="500"/>
      <c r="AP5167" s="500"/>
    </row>
    <row r="5168" spans="1:42" ht="16.5" customHeight="1">
      <c r="A5168" s="439"/>
      <c r="B5168" s="439"/>
      <c r="C5168" s="439"/>
      <c r="D5168" s="439"/>
      <c r="E5168" s="439"/>
      <c r="F5168" s="439"/>
      <c r="G5168" s="451" t="s">
        <v>3406</v>
      </c>
      <c r="Z5168" s="500"/>
      <c r="AA5168" s="500"/>
      <c r="AB5168" s="500"/>
      <c r="AC5168" s="500"/>
      <c r="AD5168" s="500"/>
      <c r="AE5168" s="500"/>
      <c r="AF5168" s="500"/>
      <c r="AG5168" s="500"/>
      <c r="AH5168" s="500"/>
      <c r="AI5168" s="500"/>
      <c r="AJ5168" s="500"/>
      <c r="AK5168" s="500"/>
      <c r="AL5168" s="500"/>
      <c r="AM5168" s="500"/>
      <c r="AN5168" s="500"/>
      <c r="AO5168" s="500"/>
      <c r="AP5168" s="500"/>
    </row>
    <row r="5169" spans="1:42" ht="16.5" customHeight="1">
      <c r="A5169" s="434"/>
      <c r="B5169" s="437" t="s">
        <v>3496</v>
      </c>
      <c r="C5169" s="439"/>
      <c r="D5169" s="439"/>
      <c r="E5169" s="439"/>
      <c r="F5169" s="439"/>
      <c r="G5169" s="451" t="s">
        <v>3497</v>
      </c>
      <c r="Z5169" s="500"/>
      <c r="AA5169" s="500"/>
      <c r="AB5169" s="500"/>
      <c r="AC5169" s="500"/>
      <c r="AD5169" s="500"/>
      <c r="AE5169" s="500"/>
      <c r="AF5169" s="500"/>
      <c r="AG5169" s="500"/>
      <c r="AH5169" s="500"/>
      <c r="AI5169" s="500"/>
      <c r="AJ5169" s="500"/>
      <c r="AK5169" s="500"/>
      <c r="AL5169" s="500"/>
      <c r="AM5169" s="500"/>
      <c r="AN5169" s="500"/>
      <c r="AO5169" s="500"/>
      <c r="AP5169" s="500"/>
    </row>
    <row r="5170" spans="1:42" ht="16.5" customHeight="1">
      <c r="A5170" s="439"/>
      <c r="B5170" s="439"/>
      <c r="C5170" s="439"/>
      <c r="D5170" s="439"/>
      <c r="E5170" s="439"/>
      <c r="F5170" s="439"/>
      <c r="G5170" s="451" t="s">
        <v>3406</v>
      </c>
      <c r="Z5170" s="500"/>
      <c r="AA5170" s="500"/>
      <c r="AB5170" s="500"/>
      <c r="AC5170" s="500"/>
      <c r="AD5170" s="500"/>
      <c r="AE5170" s="500"/>
      <c r="AF5170" s="500"/>
      <c r="AG5170" s="500"/>
      <c r="AH5170" s="500"/>
      <c r="AI5170" s="500"/>
      <c r="AJ5170" s="500"/>
      <c r="AK5170" s="500"/>
      <c r="AL5170" s="500"/>
      <c r="AM5170" s="500"/>
      <c r="AN5170" s="500"/>
      <c r="AO5170" s="500"/>
      <c r="AP5170" s="500"/>
    </row>
    <row r="5171" spans="1:42" ht="16.5" customHeight="1">
      <c r="A5171" s="434" t="s">
        <v>3498</v>
      </c>
      <c r="B5171" s="505" t="str">
        <f>" 조 경 공 : "&amp;TEXT(I5171,"#,##0"&amp;IF(I5171&lt;&gt;INT(I5171),".###",""))&amp;" * "&amp;AA5171&amp;" 인  / Q1 = "&amp;TEXT(C5171,"#,##0.0")&amp;" "</f>
        <v xml:space="preserve"> 조 경 공 : 235,204 * 2 인  / Q1 = 11,200.1 </v>
      </c>
      <c r="C5171" s="506">
        <f>E5171+D5171+F5171</f>
        <v>11200.1</v>
      </c>
      <c r="D5171" s="506">
        <f>IF(H5171=0,0,ROUNDDOWN(J5171*H5171,1))</f>
        <v>11200.1</v>
      </c>
      <c r="E5171" s="506">
        <f>IF(H5171=0,0,ROUNDDOWN(K5171*H5171,1))</f>
        <v>0</v>
      </c>
      <c r="F5171" s="506">
        <f>IF(H5171=0,0,ROUNDDOWN(L5171*H5171,1))</f>
        <v>0</v>
      </c>
      <c r="G5171" s="451" t="s">
        <v>3960</v>
      </c>
      <c r="H5171" s="507">
        <f>ROUNDUP(AE5171,14-LEN(ABS(INT(AE5171))))</f>
        <v>4.7619047619100005E-2</v>
      </c>
      <c r="I5171" s="508">
        <f>K5171+J5171+L5171</f>
        <v>235204</v>
      </c>
      <c r="J5171" s="509">
        <f>노무비목록표!E15</f>
        <v>235204</v>
      </c>
      <c r="M5171" s="501" t="s">
        <v>2359</v>
      </c>
      <c r="N5171" s="501" t="s">
        <v>3416</v>
      </c>
      <c r="O5171" s="501" t="s">
        <v>2355</v>
      </c>
      <c r="X5171" s="510" t="str">
        <f>노무비목록표!B15&amp;" / "&amp;노무비목록표!C15</f>
        <v xml:space="preserve">조경공 / </v>
      </c>
      <c r="Y5171" s="433" t="str">
        <f ca="1">HYPERLINK("#"&amp;노무비목록표!G2&amp;"!A"&amp;ROW(노무비목록표!A15),"L00184 →")</f>
        <v>L00184 →</v>
      </c>
      <c r="Z5171" s="501" t="s">
        <v>3500</v>
      </c>
      <c r="AA5171" s="515">
        <v>2</v>
      </c>
      <c r="AB5171" s="501" t="s">
        <v>3428</v>
      </c>
      <c r="AC5171" s="512">
        <f>AB5164</f>
        <v>42</v>
      </c>
      <c r="AD5171" s="501" t="s">
        <v>3418</v>
      </c>
      <c r="AE5171" s="512">
        <f>1*AA5171/AB5164</f>
        <v>4.7619047619047616E-2</v>
      </c>
      <c r="AF5171" s="500"/>
      <c r="AG5171" s="500"/>
      <c r="AH5171" s="500"/>
      <c r="AI5171" s="500"/>
      <c r="AJ5171" s="500"/>
      <c r="AK5171" s="500"/>
      <c r="AL5171" s="500"/>
      <c r="AM5171" s="500"/>
      <c r="AN5171" s="500"/>
      <c r="AO5171" s="500"/>
      <c r="AP5171" s="500"/>
    </row>
    <row r="5172" spans="1:42" ht="16.5" customHeight="1">
      <c r="A5172" s="439"/>
      <c r="B5172" s="439"/>
      <c r="C5172" s="439"/>
      <c r="D5172" s="439"/>
      <c r="E5172" s="439"/>
      <c r="F5172" s="439"/>
      <c r="G5172" s="451" t="s">
        <v>3406</v>
      </c>
      <c r="Z5172" s="500"/>
      <c r="AA5172" s="500"/>
      <c r="AB5172" s="500"/>
      <c r="AC5172" s="500"/>
      <c r="AD5172" s="500"/>
      <c r="AE5172" s="500"/>
      <c r="AF5172" s="500"/>
      <c r="AG5172" s="500"/>
      <c r="AH5172" s="500"/>
      <c r="AI5172" s="500"/>
      <c r="AJ5172" s="500"/>
      <c r="AK5172" s="500"/>
      <c r="AL5172" s="500"/>
      <c r="AM5172" s="500"/>
      <c r="AN5172" s="500"/>
      <c r="AO5172" s="500"/>
      <c r="AP5172" s="500"/>
    </row>
    <row r="5173" spans="1:42" ht="16.5" customHeight="1">
      <c r="A5173" s="434" t="s">
        <v>3414</v>
      </c>
      <c r="B5173" s="505" t="str">
        <f>" 보통인부 : "&amp;TEXT(I5173,"#,##0"&amp;IF(I5173&lt;&gt;INT(I5173),".###",""))&amp;" * "&amp;AA5173&amp;" 인  / Q1 = "&amp;TEXT(C5173,"#,##0.0")&amp;" "</f>
        <v xml:space="preserve"> 보통인부 : 172,068 * 1 인  / Q1 = 4,096.8 </v>
      </c>
      <c r="C5173" s="506">
        <f>E5173+D5173+F5173</f>
        <v>4096.8</v>
      </c>
      <c r="D5173" s="506">
        <f>IF(H5173=0,0,ROUNDDOWN(J5173*H5173,1))</f>
        <v>4096.8</v>
      </c>
      <c r="E5173" s="506">
        <f>IF(H5173=0,0,ROUNDDOWN(K5173*H5173,1))</f>
        <v>0</v>
      </c>
      <c r="F5173" s="506">
        <f>IF(H5173=0,0,ROUNDDOWN(L5173*H5173,1))</f>
        <v>0</v>
      </c>
      <c r="G5173" s="451" t="s">
        <v>3894</v>
      </c>
      <c r="H5173" s="507">
        <f>ROUNDUP(AE5173,14-LEN(ABS(INT(AE5173))))</f>
        <v>2.3809523809600001E-2</v>
      </c>
      <c r="I5173" s="508">
        <f>K5173+J5173+L5173</f>
        <v>172068</v>
      </c>
      <c r="J5173" s="509">
        <f>노무비목록표!E10</f>
        <v>172068</v>
      </c>
      <c r="M5173" s="501" t="s">
        <v>2363</v>
      </c>
      <c r="N5173" s="501" t="s">
        <v>3416</v>
      </c>
      <c r="O5173" s="501" t="s">
        <v>2355</v>
      </c>
      <c r="X5173" s="510" t="str">
        <f>노무비목록표!B10&amp;" / "&amp;노무비목록표!C10</f>
        <v xml:space="preserve">보통인부 / </v>
      </c>
      <c r="Y5173" s="433" t="str">
        <f ca="1">HYPERLINK("#"&amp;노무비목록표!G2&amp;"!A"&amp;ROW(노무비목록표!A10),"L00017 →")</f>
        <v>L00017 →</v>
      </c>
      <c r="Z5173" s="501" t="s">
        <v>3500</v>
      </c>
      <c r="AA5173" s="515">
        <v>1</v>
      </c>
      <c r="AB5173" s="501" t="s">
        <v>3428</v>
      </c>
      <c r="AC5173" s="512">
        <f>AB5164</f>
        <v>42</v>
      </c>
      <c r="AD5173" s="501" t="s">
        <v>3418</v>
      </c>
      <c r="AE5173" s="512">
        <f>1*AA5173/AB5164</f>
        <v>2.3809523809523808E-2</v>
      </c>
      <c r="AF5173" s="500"/>
      <c r="AG5173" s="500"/>
      <c r="AH5173" s="500"/>
      <c r="AI5173" s="500"/>
      <c r="AJ5173" s="500"/>
      <c r="AK5173" s="500"/>
      <c r="AL5173" s="500"/>
      <c r="AM5173" s="500"/>
      <c r="AN5173" s="500"/>
      <c r="AO5173" s="500"/>
      <c r="AP5173" s="500"/>
    </row>
    <row r="5174" spans="1:42" ht="16.5" customHeight="1">
      <c r="A5174" s="439"/>
      <c r="B5174" s="439"/>
      <c r="C5174" s="439"/>
      <c r="D5174" s="439"/>
      <c r="E5174" s="439"/>
      <c r="F5174" s="439"/>
      <c r="G5174" s="451" t="s">
        <v>3406</v>
      </c>
      <c r="Z5174" s="500"/>
      <c r="AA5174" s="500"/>
      <c r="AB5174" s="500"/>
      <c r="AC5174" s="500"/>
      <c r="AD5174" s="500"/>
      <c r="AE5174" s="500"/>
      <c r="AF5174" s="500"/>
      <c r="AG5174" s="500"/>
      <c r="AH5174" s="500"/>
      <c r="AI5174" s="500"/>
      <c r="AJ5174" s="500"/>
      <c r="AK5174" s="500"/>
      <c r="AL5174" s="500"/>
      <c r="AM5174" s="500"/>
      <c r="AN5174" s="500"/>
      <c r="AO5174" s="500"/>
      <c r="AP5174" s="500"/>
    </row>
    <row r="5175" spans="1:42" ht="16.5" customHeight="1">
      <c r="A5175" s="434"/>
      <c r="B5175" s="437" t="s">
        <v>3419</v>
      </c>
      <c r="C5175" s="513">
        <f>E5175+D5175+F5175</f>
        <v>15296.900000000001</v>
      </c>
      <c r="D5175" s="513">
        <f>SUMIF(N5157:N5174,M5175,D5157:D5174)</f>
        <v>15296.900000000001</v>
      </c>
      <c r="E5175" s="513">
        <f>SUMIF(N5157:N5174,M5175,E5157:E5174)</f>
        <v>0</v>
      </c>
      <c r="F5175" s="513">
        <f>SUMIF(N5157:N5174,M5175,F5157:F5174)</f>
        <v>0</v>
      </c>
      <c r="G5175" s="451" t="s">
        <v>3420</v>
      </c>
      <c r="M5175" s="501" t="s">
        <v>3416</v>
      </c>
      <c r="N5175" s="501" t="s">
        <v>3421</v>
      </c>
      <c r="Z5175" s="500"/>
      <c r="AA5175" s="500"/>
      <c r="AB5175" s="500"/>
      <c r="AC5175" s="500"/>
      <c r="AD5175" s="500"/>
      <c r="AE5175" s="500"/>
      <c r="AF5175" s="500"/>
      <c r="AG5175" s="500"/>
      <c r="AH5175" s="500"/>
      <c r="AI5175" s="500"/>
      <c r="AJ5175" s="500"/>
      <c r="AK5175" s="500"/>
      <c r="AL5175" s="500"/>
      <c r="AM5175" s="500"/>
      <c r="AN5175" s="500"/>
      <c r="AO5175" s="500"/>
      <c r="AP5175" s="500"/>
    </row>
    <row r="5176" spans="1:42" ht="16.5" customHeight="1">
      <c r="A5176" s="439"/>
      <c r="B5176" s="439"/>
      <c r="C5176" s="504"/>
      <c r="D5176" s="504"/>
      <c r="E5176" s="504"/>
      <c r="F5176" s="504"/>
      <c r="G5176" s="451" t="s">
        <v>3406</v>
      </c>
      <c r="Z5176" s="500"/>
      <c r="AA5176" s="500"/>
      <c r="AB5176" s="500"/>
      <c r="AC5176" s="500"/>
      <c r="AD5176" s="500"/>
      <c r="AE5176" s="500"/>
      <c r="AF5176" s="500"/>
      <c r="AG5176" s="500"/>
      <c r="AH5176" s="500"/>
      <c r="AI5176" s="500"/>
      <c r="AJ5176" s="500"/>
      <c r="AK5176" s="500"/>
      <c r="AL5176" s="500"/>
      <c r="AM5176" s="500"/>
      <c r="AN5176" s="500"/>
      <c r="AO5176" s="500"/>
      <c r="AP5176" s="500"/>
    </row>
    <row r="5177" spans="1:42" ht="16.5" customHeight="1">
      <c r="A5177" s="439"/>
      <c r="B5177" s="439"/>
      <c r="C5177" s="439"/>
      <c r="D5177" s="439"/>
      <c r="E5177" s="439"/>
      <c r="F5177" s="439"/>
      <c r="G5177" s="451" t="s">
        <v>3406</v>
      </c>
      <c r="Z5177" s="500"/>
      <c r="AA5177" s="500"/>
      <c r="AB5177" s="500"/>
      <c r="AC5177" s="500"/>
      <c r="AD5177" s="500"/>
      <c r="AE5177" s="500"/>
      <c r="AF5177" s="500"/>
      <c r="AG5177" s="500"/>
      <c r="AH5177" s="500"/>
      <c r="AI5177" s="500"/>
      <c r="AJ5177" s="500"/>
      <c r="AK5177" s="500"/>
      <c r="AL5177" s="500"/>
      <c r="AM5177" s="500"/>
      <c r="AN5177" s="500"/>
      <c r="AO5177" s="500"/>
      <c r="AP5177" s="500"/>
    </row>
    <row r="5178" spans="1:42" ht="16.5" customHeight="1">
      <c r="A5178" s="434"/>
      <c r="B5178" s="505" t="str">
        <f>" 2. 기계경비(인력품의 3%) : "&amp;TEXT(I5178,"#,##0.0")&amp;" * "&amp;AA5178&amp;" %  = "&amp;TEXT(C5178,"#,##0.0")&amp;""</f>
        <v xml:space="preserve"> 2. 기계경비(인력품의 3%) : 15,296.9 * 3 %  = 458.9</v>
      </c>
      <c r="C5178" s="506">
        <f>E5178+D5178+F5178</f>
        <v>458.9</v>
      </c>
      <c r="D5178" s="506">
        <f>IF(H5178=0,0,ROUNDDOWN(J5178*H5178/100,1))</f>
        <v>0</v>
      </c>
      <c r="E5178" s="506">
        <f>IF(H5178=0,0,ROUNDDOWN(K5178*H5178/100,1))</f>
        <v>0</v>
      </c>
      <c r="F5178" s="506">
        <f>IF(H5178=0,0,ROUNDDOWN(L5178*H5178/100,1))</f>
        <v>458.9</v>
      </c>
      <c r="G5178" s="451" t="s">
        <v>3923</v>
      </c>
      <c r="H5178" s="507">
        <f>ROUNDUP(AC5178,14-LEN(ABS(INT(AC5178))))</f>
        <v>3</v>
      </c>
      <c r="I5178" s="508">
        <f>K5178+J5178+L5178</f>
        <v>15296.900000000001</v>
      </c>
      <c r="J5178" s="456">
        <v>0</v>
      </c>
      <c r="K5178" s="456">
        <v>0</v>
      </c>
      <c r="L5178" s="509">
        <f>D5171+D5173</f>
        <v>15296.900000000001</v>
      </c>
      <c r="M5178" s="501" t="s">
        <v>3743</v>
      </c>
      <c r="N5178" s="501" t="s">
        <v>3416</v>
      </c>
      <c r="Z5178" s="501" t="s">
        <v>3500</v>
      </c>
      <c r="AA5178" s="515">
        <v>3</v>
      </c>
      <c r="AB5178" s="501" t="s">
        <v>3418</v>
      </c>
      <c r="AC5178" s="512">
        <f>1*AA5178</f>
        <v>3</v>
      </c>
      <c r="AD5178" s="500"/>
      <c r="AE5178" s="500"/>
      <c r="AF5178" s="500"/>
      <c r="AG5178" s="500"/>
      <c r="AH5178" s="500"/>
      <c r="AI5178" s="500"/>
      <c r="AJ5178" s="500"/>
      <c r="AK5178" s="500"/>
      <c r="AL5178" s="500"/>
      <c r="AM5178" s="500"/>
      <c r="AN5178" s="500"/>
      <c r="AO5178" s="500"/>
      <c r="AP5178" s="500"/>
    </row>
    <row r="5179" spans="1:42" ht="16.5" customHeight="1">
      <c r="A5179" s="439"/>
      <c r="B5179" s="439"/>
      <c r="C5179" s="439"/>
      <c r="D5179" s="439"/>
      <c r="E5179" s="439"/>
      <c r="F5179" s="439"/>
      <c r="G5179" s="451" t="s">
        <v>3406</v>
      </c>
      <c r="Z5179" s="500"/>
      <c r="AA5179" s="500"/>
      <c r="AB5179" s="500"/>
      <c r="AC5179" s="500"/>
      <c r="AD5179" s="500"/>
      <c r="AE5179" s="500"/>
      <c r="AF5179" s="500"/>
      <c r="AG5179" s="500"/>
      <c r="AH5179" s="500"/>
      <c r="AI5179" s="500"/>
      <c r="AJ5179" s="500"/>
      <c r="AK5179" s="500"/>
      <c r="AL5179" s="500"/>
      <c r="AM5179" s="500"/>
      <c r="AN5179" s="500"/>
      <c r="AO5179" s="500"/>
      <c r="AP5179" s="500"/>
    </row>
    <row r="5180" spans="1:42" ht="16.5" customHeight="1">
      <c r="A5180" s="434"/>
      <c r="B5180" s="437" t="s">
        <v>3419</v>
      </c>
      <c r="C5180" s="513">
        <f>E5180+D5180+F5180</f>
        <v>458.9</v>
      </c>
      <c r="D5180" s="513">
        <f>SUMIF(N5176:N5179,M5180,D5176:D5179)</f>
        <v>0</v>
      </c>
      <c r="E5180" s="513">
        <f>SUMIF(N5176:N5179,M5180,E5176:E5179)</f>
        <v>0</v>
      </c>
      <c r="F5180" s="513">
        <f>SUMIF(N5176:N5179,M5180,F5176:F5179)</f>
        <v>458.9</v>
      </c>
      <c r="G5180" s="451" t="s">
        <v>3439</v>
      </c>
      <c r="M5180" s="501" t="s">
        <v>3416</v>
      </c>
      <c r="N5180" s="501" t="s">
        <v>3421</v>
      </c>
      <c r="Z5180" s="500"/>
      <c r="AA5180" s="500"/>
      <c r="AB5180" s="500"/>
      <c r="AC5180" s="500"/>
      <c r="AD5180" s="500"/>
      <c r="AE5180" s="500"/>
      <c r="AF5180" s="500"/>
      <c r="AG5180" s="500"/>
      <c r="AH5180" s="500"/>
      <c r="AI5180" s="500"/>
      <c r="AJ5180" s="500"/>
      <c r="AK5180" s="500"/>
      <c r="AL5180" s="500"/>
      <c r="AM5180" s="500"/>
      <c r="AN5180" s="500"/>
      <c r="AO5180" s="500"/>
      <c r="AP5180" s="500"/>
    </row>
    <row r="5181" spans="1:42" ht="16.5" customHeight="1">
      <c r="A5181" s="439"/>
      <c r="B5181" s="439"/>
      <c r="C5181" s="504"/>
      <c r="D5181" s="504"/>
      <c r="E5181" s="504"/>
      <c r="F5181" s="504"/>
      <c r="G5181" s="451" t="s">
        <v>3406</v>
      </c>
      <c r="Z5181" s="500"/>
      <c r="AA5181" s="500"/>
      <c r="AB5181" s="500"/>
      <c r="AC5181" s="500"/>
      <c r="AD5181" s="500"/>
      <c r="AE5181" s="500"/>
      <c r="AF5181" s="500"/>
      <c r="AG5181" s="500"/>
      <c r="AH5181" s="500"/>
      <c r="AI5181" s="500"/>
      <c r="AJ5181" s="500"/>
      <c r="AK5181" s="500"/>
      <c r="AL5181" s="500"/>
      <c r="AM5181" s="500"/>
      <c r="AN5181" s="500"/>
      <c r="AO5181" s="500"/>
      <c r="AP5181" s="500"/>
    </row>
    <row r="5182" spans="1:42" ht="16.5" customHeight="1">
      <c r="A5182" s="434"/>
      <c r="B5182" s="505" t="str">
        <f>"  산지할증 : "&amp;TEXT(I5182,"#,##0.0")&amp;" * "&amp;AA5182&amp;" %  = "&amp;TEXT(C5182,"#,##0.0")&amp;""</f>
        <v xml:space="preserve">  산지할증 : 15,296.9 * 15 %  = 2,294.5</v>
      </c>
      <c r="C5182" s="506">
        <f>E5182+D5182+F5182</f>
        <v>2294.5</v>
      </c>
      <c r="D5182" s="506">
        <f>IF(H5182=0,0,ROUNDDOWN(J5182*H5182/100,1))</f>
        <v>2294.5</v>
      </c>
      <c r="E5182" s="506">
        <f>IF(H5182=0,0,ROUNDDOWN(K5182*H5182/100,1))</f>
        <v>0</v>
      </c>
      <c r="F5182" s="506">
        <f>IF(H5182=0,0,ROUNDDOWN(L5182*H5182/100,1))</f>
        <v>0</v>
      </c>
      <c r="G5182" s="451" t="s">
        <v>5587</v>
      </c>
      <c r="H5182" s="507">
        <f>ROUNDUP(AC5182,14-LEN(ABS(INT(AC5182))))</f>
        <v>15</v>
      </c>
      <c r="I5182" s="508">
        <f>K5182+J5182+L5182</f>
        <v>15296.900000000001</v>
      </c>
      <c r="J5182" s="508">
        <f>D5175+D5180+SUMIF(N5181:N5181,N5182,D5181:D5181)</f>
        <v>15296.900000000001</v>
      </c>
      <c r="K5182" s="456">
        <v>0</v>
      </c>
      <c r="L5182" s="456">
        <v>0</v>
      </c>
      <c r="M5182" s="501" t="s">
        <v>4208</v>
      </c>
      <c r="N5182" s="501" t="s">
        <v>3416</v>
      </c>
      <c r="Z5182" s="501" t="s">
        <v>3500</v>
      </c>
      <c r="AA5182" s="515">
        <v>15</v>
      </c>
      <c r="AB5182" s="501" t="s">
        <v>3418</v>
      </c>
      <c r="AC5182" s="512">
        <f>1*AA5182</f>
        <v>15</v>
      </c>
      <c r="AD5182" s="500"/>
      <c r="AE5182" s="500"/>
      <c r="AF5182" s="500"/>
      <c r="AG5182" s="500"/>
      <c r="AH5182" s="500"/>
      <c r="AI5182" s="500"/>
      <c r="AJ5182" s="500"/>
      <c r="AK5182" s="500"/>
      <c r="AL5182" s="500"/>
      <c r="AM5182" s="500"/>
      <c r="AN5182" s="500"/>
      <c r="AO5182" s="500"/>
      <c r="AP5182" s="500"/>
    </row>
    <row r="5183" spans="1:42" ht="16.5" customHeight="1">
      <c r="A5183" s="439"/>
      <c r="B5183" s="439"/>
      <c r="C5183" s="439"/>
      <c r="D5183" s="439"/>
      <c r="E5183" s="439"/>
      <c r="F5183" s="439"/>
      <c r="G5183" s="451" t="s">
        <v>3406</v>
      </c>
      <c r="Z5183" s="500"/>
      <c r="AA5183" s="500"/>
      <c r="AB5183" s="500"/>
      <c r="AC5183" s="500"/>
      <c r="AD5183" s="500"/>
      <c r="AE5183" s="500"/>
      <c r="AF5183" s="500"/>
      <c r="AG5183" s="500"/>
      <c r="AH5183" s="500"/>
      <c r="AI5183" s="500"/>
      <c r="AJ5183" s="500"/>
      <c r="AK5183" s="500"/>
      <c r="AL5183" s="500"/>
      <c r="AM5183" s="500"/>
      <c r="AN5183" s="500"/>
      <c r="AO5183" s="500"/>
      <c r="AP5183" s="500"/>
    </row>
    <row r="5184" spans="1:42" ht="16.5" customHeight="1">
      <c r="A5184" s="434"/>
      <c r="B5184" s="437" t="s">
        <v>3419</v>
      </c>
      <c r="C5184" s="513">
        <f>E5184+D5184+F5184</f>
        <v>2294.5</v>
      </c>
      <c r="D5184" s="513">
        <f>SUMIF(N5181:N5183,M5184,D5181:D5183)</f>
        <v>2294.5</v>
      </c>
      <c r="E5184" s="513">
        <f>SUMIF(N5181:N5183,M5184,E5181:E5183)</f>
        <v>0</v>
      </c>
      <c r="F5184" s="513">
        <f>SUMIF(N5181:N5183,M5184,F5181:F5183)</f>
        <v>0</v>
      </c>
      <c r="G5184" s="451" t="s">
        <v>3439</v>
      </c>
      <c r="M5184" s="501" t="s">
        <v>3416</v>
      </c>
      <c r="N5184" s="501" t="s">
        <v>3421</v>
      </c>
      <c r="Z5184" s="500"/>
      <c r="AA5184" s="500"/>
      <c r="AB5184" s="500"/>
      <c r="AC5184" s="500"/>
      <c r="AD5184" s="500"/>
      <c r="AE5184" s="500"/>
      <c r="AF5184" s="500"/>
      <c r="AG5184" s="500"/>
      <c r="AH5184" s="500"/>
      <c r="AI5184" s="500"/>
      <c r="AJ5184" s="500"/>
      <c r="AK5184" s="500"/>
      <c r="AL5184" s="500"/>
      <c r="AM5184" s="500"/>
      <c r="AN5184" s="500"/>
      <c r="AO5184" s="500"/>
      <c r="AP5184" s="500"/>
    </row>
    <row r="5185" spans="1:42" ht="16.5" customHeight="1">
      <c r="A5185" s="439"/>
      <c r="B5185" s="439"/>
      <c r="C5185" s="504"/>
      <c r="D5185" s="504"/>
      <c r="E5185" s="504"/>
      <c r="F5185" s="504"/>
      <c r="G5185" s="451" t="s">
        <v>3406</v>
      </c>
      <c r="Z5185" s="500"/>
      <c r="AA5185" s="500"/>
      <c r="AB5185" s="500"/>
      <c r="AC5185" s="500"/>
      <c r="AD5185" s="500"/>
      <c r="AE5185" s="500"/>
      <c r="AF5185" s="500"/>
      <c r="AG5185" s="500"/>
      <c r="AH5185" s="500"/>
      <c r="AI5185" s="500"/>
      <c r="AJ5185" s="500"/>
      <c r="AK5185" s="500"/>
      <c r="AL5185" s="500"/>
      <c r="AM5185" s="500"/>
      <c r="AN5185" s="500"/>
      <c r="AO5185" s="500"/>
      <c r="AP5185" s="500"/>
    </row>
    <row r="5186" spans="1:42" ht="16.5" customHeight="1">
      <c r="A5186" s="434"/>
      <c r="B5186" s="437" t="s">
        <v>3440</v>
      </c>
      <c r="C5186" s="513">
        <f>E5186+D5186+F5186</f>
        <v>18050.300000000003</v>
      </c>
      <c r="D5186" s="513">
        <f>SUMIF(N5157:N5185,M5186,D5157:D5185)</f>
        <v>17591.400000000001</v>
      </c>
      <c r="E5186" s="513">
        <f>SUMIF(N5157:N5185,M5186,E5157:E5185)</f>
        <v>0</v>
      </c>
      <c r="F5186" s="513">
        <f>SUMIF(N5157:N5185,M5186,F5157:F5185)</f>
        <v>458.9</v>
      </c>
      <c r="G5186" s="451" t="s">
        <v>3441</v>
      </c>
      <c r="M5186" s="501" t="s">
        <v>3421</v>
      </c>
      <c r="N5186" s="501" t="s">
        <v>2354</v>
      </c>
      <c r="Z5186" s="500"/>
      <c r="AA5186" s="500"/>
      <c r="AB5186" s="500"/>
      <c r="AC5186" s="500"/>
      <c r="AD5186" s="500"/>
      <c r="AE5186" s="500"/>
      <c r="AF5186" s="500"/>
      <c r="AG5186" s="500"/>
      <c r="AH5186" s="500"/>
      <c r="AI5186" s="500"/>
      <c r="AJ5186" s="500"/>
      <c r="AK5186" s="500"/>
      <c r="AL5186" s="500"/>
      <c r="AM5186" s="500"/>
      <c r="AN5186" s="500"/>
      <c r="AO5186" s="500"/>
      <c r="AP5186" s="500"/>
    </row>
    <row r="5187" spans="1:42" ht="16.5" customHeight="1">
      <c r="A5187" s="439"/>
      <c r="B5187" s="439"/>
      <c r="C5187" s="504"/>
      <c r="D5187" s="504"/>
      <c r="E5187" s="504"/>
      <c r="F5187" s="504"/>
      <c r="Z5187" s="500"/>
      <c r="AA5187" s="500"/>
      <c r="AB5187" s="500"/>
      <c r="AC5187" s="500"/>
      <c r="AD5187" s="500"/>
      <c r="AE5187" s="500"/>
      <c r="AF5187" s="500"/>
      <c r="AG5187" s="500"/>
      <c r="AH5187" s="500"/>
      <c r="AI5187" s="500"/>
      <c r="AJ5187" s="500"/>
      <c r="AK5187" s="500"/>
      <c r="AL5187" s="500"/>
      <c r="AM5187" s="500"/>
      <c r="AN5187" s="500"/>
      <c r="AO5187" s="500"/>
      <c r="AP5187" s="500"/>
    </row>
    <row r="5188" spans="1:42" ht="16.5" customHeight="1">
      <c r="A5188" s="439"/>
      <c r="B5188" s="439"/>
      <c r="C5188" s="439"/>
      <c r="D5188" s="439"/>
      <c r="E5188" s="439"/>
      <c r="F5188" s="439"/>
      <c r="Z5188" s="500"/>
      <c r="AA5188" s="500"/>
      <c r="AB5188" s="500"/>
      <c r="AC5188" s="500"/>
      <c r="AD5188" s="500"/>
      <c r="AE5188" s="500"/>
      <c r="AF5188" s="500"/>
      <c r="AG5188" s="500"/>
      <c r="AH5188" s="500"/>
      <c r="AI5188" s="500"/>
      <c r="AJ5188" s="500"/>
      <c r="AK5188" s="500"/>
      <c r="AL5188" s="500"/>
      <c r="AM5188" s="500"/>
      <c r="AN5188" s="500"/>
      <c r="AO5188" s="500"/>
      <c r="AP5188" s="500"/>
    </row>
    <row r="5189" spans="1:42" ht="16.5" customHeight="1">
      <c r="A5189" s="439"/>
      <c r="B5189" s="439"/>
      <c r="C5189" s="439"/>
      <c r="D5189" s="439"/>
      <c r="E5189" s="439"/>
      <c r="F5189" s="439"/>
      <c r="Z5189" s="500"/>
      <c r="AA5189" s="500"/>
      <c r="AB5189" s="500"/>
      <c r="AC5189" s="500"/>
      <c r="AD5189" s="500"/>
      <c r="AE5189" s="500"/>
      <c r="AF5189" s="500"/>
      <c r="AG5189" s="500"/>
      <c r="AH5189" s="500"/>
      <c r="AI5189" s="500"/>
      <c r="AJ5189" s="500"/>
      <c r="AK5189" s="500"/>
      <c r="AL5189" s="500"/>
      <c r="AM5189" s="500"/>
      <c r="AN5189" s="500"/>
      <c r="AO5189" s="500"/>
      <c r="AP5189" s="500"/>
    </row>
    <row r="5190" spans="1:42" ht="16.5" customHeight="1">
      <c r="A5190" s="439"/>
      <c r="B5190" s="439"/>
      <c r="C5190" s="439"/>
      <c r="D5190" s="439"/>
      <c r="E5190" s="439"/>
      <c r="F5190" s="439"/>
      <c r="Z5190" s="500"/>
      <c r="AA5190" s="500"/>
      <c r="AB5190" s="500"/>
      <c r="AC5190" s="500"/>
      <c r="AD5190" s="500"/>
      <c r="AE5190" s="500"/>
      <c r="AF5190" s="500"/>
      <c r="AG5190" s="500"/>
      <c r="AH5190" s="500"/>
      <c r="AI5190" s="500"/>
      <c r="AJ5190" s="500"/>
      <c r="AK5190" s="500"/>
      <c r="AL5190" s="500"/>
      <c r="AM5190" s="500"/>
      <c r="AN5190" s="500"/>
      <c r="AO5190" s="500"/>
      <c r="AP5190" s="500"/>
    </row>
    <row r="5191" spans="1:42" ht="16.5" customHeight="1">
      <c r="A5191" s="439"/>
      <c r="B5191" s="439"/>
      <c r="C5191" s="439"/>
      <c r="D5191" s="439"/>
      <c r="E5191" s="439"/>
      <c r="F5191" s="439"/>
      <c r="Z5191" s="500"/>
      <c r="AA5191" s="500"/>
      <c r="AB5191" s="500"/>
      <c r="AC5191" s="500"/>
      <c r="AD5191" s="500"/>
      <c r="AE5191" s="500"/>
      <c r="AF5191" s="500"/>
      <c r="AG5191" s="500"/>
      <c r="AH5191" s="500"/>
      <c r="AI5191" s="500"/>
      <c r="AJ5191" s="500"/>
      <c r="AK5191" s="500"/>
      <c r="AL5191" s="500"/>
      <c r="AM5191" s="500"/>
      <c r="AN5191" s="500"/>
      <c r="AO5191" s="500"/>
      <c r="AP5191" s="500"/>
    </row>
    <row r="5192" spans="1:42" ht="16.5" customHeight="1">
      <c r="A5192" s="439"/>
      <c r="B5192" s="439"/>
      <c r="C5192" s="439"/>
      <c r="D5192" s="439"/>
      <c r="E5192" s="439"/>
      <c r="F5192" s="439"/>
      <c r="Z5192" s="500"/>
      <c r="AA5192" s="500"/>
      <c r="AB5192" s="500"/>
      <c r="AC5192" s="500"/>
      <c r="AD5192" s="500"/>
      <c r="AE5192" s="500"/>
      <c r="AF5192" s="500"/>
      <c r="AG5192" s="500"/>
      <c r="AH5192" s="500"/>
      <c r="AI5192" s="500"/>
      <c r="AJ5192" s="500"/>
      <c r="AK5192" s="500"/>
      <c r="AL5192" s="500"/>
      <c r="AM5192" s="500"/>
      <c r="AN5192" s="500"/>
      <c r="AO5192" s="500"/>
      <c r="AP5192" s="500"/>
    </row>
    <row r="5193" spans="1:42" ht="16.5" customHeight="1">
      <c r="A5193" s="439"/>
      <c r="B5193" s="439"/>
      <c r="C5193" s="439"/>
      <c r="D5193" s="439"/>
      <c r="E5193" s="439"/>
      <c r="F5193" s="439"/>
      <c r="Z5193" s="500"/>
      <c r="AA5193" s="500"/>
      <c r="AB5193" s="500"/>
      <c r="AC5193" s="500"/>
      <c r="AD5193" s="500"/>
      <c r="AE5193" s="500"/>
      <c r="AF5193" s="500"/>
      <c r="AG5193" s="500"/>
      <c r="AH5193" s="500"/>
      <c r="AI5193" s="500"/>
      <c r="AJ5193" s="500"/>
      <c r="AK5193" s="500"/>
      <c r="AL5193" s="500"/>
      <c r="AM5193" s="500"/>
      <c r="AN5193" s="500"/>
      <c r="AO5193" s="500"/>
      <c r="AP5193" s="500"/>
    </row>
    <row r="5194" spans="1:42" ht="16.5" customHeight="1">
      <c r="A5194" s="439"/>
      <c r="B5194" s="439"/>
      <c r="C5194" s="439"/>
      <c r="D5194" s="439"/>
      <c r="E5194" s="439"/>
      <c r="F5194" s="439"/>
      <c r="Z5194" s="500"/>
      <c r="AA5194" s="500"/>
      <c r="AB5194" s="500"/>
      <c r="AC5194" s="500"/>
      <c r="AD5194" s="500"/>
      <c r="AE5194" s="500"/>
      <c r="AF5194" s="500"/>
      <c r="AG5194" s="500"/>
      <c r="AH5194" s="500"/>
      <c r="AI5194" s="500"/>
      <c r="AJ5194" s="500"/>
      <c r="AK5194" s="500"/>
      <c r="AL5194" s="500"/>
      <c r="AM5194" s="500"/>
      <c r="AN5194" s="500"/>
      <c r="AO5194" s="500"/>
      <c r="AP5194" s="500"/>
    </row>
    <row r="5195" spans="1:42" ht="16.5" customHeight="1">
      <c r="A5195" s="439"/>
      <c r="B5195" s="439"/>
      <c r="C5195" s="439"/>
      <c r="D5195" s="439"/>
      <c r="E5195" s="439"/>
      <c r="F5195" s="439"/>
      <c r="Z5195" s="500"/>
      <c r="AA5195" s="500"/>
      <c r="AB5195" s="500"/>
      <c r="AC5195" s="500"/>
      <c r="AD5195" s="500"/>
      <c r="AE5195" s="500"/>
      <c r="AF5195" s="500"/>
      <c r="AG5195" s="500"/>
      <c r="AH5195" s="500"/>
      <c r="AI5195" s="500"/>
      <c r="AJ5195" s="500"/>
      <c r="AK5195" s="500"/>
      <c r="AL5195" s="500"/>
      <c r="AM5195" s="500"/>
      <c r="AN5195" s="500"/>
      <c r="AO5195" s="500"/>
      <c r="AP5195" s="500"/>
    </row>
    <row r="5196" spans="1:42" ht="16.5" customHeight="1">
      <c r="A5196" s="439"/>
      <c r="B5196" s="439"/>
      <c r="C5196" s="439"/>
      <c r="D5196" s="439"/>
      <c r="E5196" s="439"/>
      <c r="F5196" s="439"/>
      <c r="Z5196" s="500"/>
      <c r="AA5196" s="500"/>
      <c r="AB5196" s="500"/>
      <c r="AC5196" s="500"/>
      <c r="AD5196" s="500"/>
      <c r="AE5196" s="500"/>
      <c r="AF5196" s="500"/>
      <c r="AG5196" s="500"/>
      <c r="AH5196" s="500"/>
      <c r="AI5196" s="500"/>
      <c r="AJ5196" s="500"/>
      <c r="AK5196" s="500"/>
      <c r="AL5196" s="500"/>
      <c r="AM5196" s="500"/>
      <c r="AN5196" s="500"/>
      <c r="AO5196" s="500"/>
      <c r="AP5196" s="500"/>
    </row>
    <row r="5197" spans="1:42" ht="16.5" customHeight="1">
      <c r="A5197" s="439"/>
      <c r="B5197" s="439"/>
      <c r="C5197" s="439"/>
      <c r="D5197" s="439"/>
      <c r="E5197" s="439"/>
      <c r="F5197" s="439"/>
      <c r="Z5197" s="500"/>
      <c r="AA5197" s="500"/>
      <c r="AB5197" s="500"/>
      <c r="AC5197" s="500"/>
      <c r="AD5197" s="500"/>
      <c r="AE5197" s="500"/>
      <c r="AF5197" s="500"/>
      <c r="AG5197" s="500"/>
      <c r="AH5197" s="500"/>
      <c r="AI5197" s="500"/>
      <c r="AJ5197" s="500"/>
      <c r="AK5197" s="500"/>
      <c r="AL5197" s="500"/>
      <c r="AM5197" s="500"/>
      <c r="AN5197" s="500"/>
      <c r="AO5197" s="500"/>
      <c r="AP5197" s="500"/>
    </row>
    <row r="5198" spans="1:42" ht="16.5" customHeight="1">
      <c r="A5198" s="439"/>
      <c r="B5198" s="439"/>
      <c r="C5198" s="439"/>
      <c r="D5198" s="439"/>
      <c r="E5198" s="439"/>
      <c r="F5198" s="439"/>
      <c r="Z5198" s="500"/>
      <c r="AA5198" s="500"/>
      <c r="AB5198" s="500"/>
      <c r="AC5198" s="500"/>
      <c r="AD5198" s="500"/>
      <c r="AE5198" s="500"/>
      <c r="AF5198" s="500"/>
      <c r="AG5198" s="500"/>
      <c r="AH5198" s="500"/>
      <c r="AI5198" s="500"/>
      <c r="AJ5198" s="500"/>
      <c r="AK5198" s="500"/>
      <c r="AL5198" s="500"/>
      <c r="AM5198" s="500"/>
      <c r="AN5198" s="500"/>
      <c r="AO5198" s="500"/>
      <c r="AP5198" s="500"/>
    </row>
    <row r="5199" spans="1:42" ht="16.5" customHeight="1">
      <c r="A5199" s="439"/>
      <c r="B5199" s="439"/>
      <c r="C5199" s="439"/>
      <c r="D5199" s="439"/>
      <c r="E5199" s="439"/>
      <c r="F5199" s="439"/>
      <c r="Z5199" s="500"/>
      <c r="AA5199" s="500"/>
      <c r="AB5199" s="500"/>
      <c r="AC5199" s="500"/>
      <c r="AD5199" s="500"/>
      <c r="AE5199" s="500"/>
      <c r="AF5199" s="500"/>
      <c r="AG5199" s="500"/>
      <c r="AH5199" s="500"/>
      <c r="AI5199" s="500"/>
      <c r="AJ5199" s="500"/>
      <c r="AK5199" s="500"/>
      <c r="AL5199" s="500"/>
      <c r="AM5199" s="500"/>
      <c r="AN5199" s="500"/>
      <c r="AO5199" s="500"/>
      <c r="AP5199" s="500"/>
    </row>
    <row r="5200" spans="1:42" ht="16.5" customHeight="1">
      <c r="A5200" s="439"/>
      <c r="B5200" s="439"/>
      <c r="C5200" s="439"/>
      <c r="D5200" s="439"/>
      <c r="E5200" s="439"/>
      <c r="F5200" s="439"/>
      <c r="Z5200" s="500"/>
      <c r="AA5200" s="500"/>
      <c r="AB5200" s="500"/>
      <c r="AC5200" s="500"/>
      <c r="AD5200" s="500"/>
      <c r="AE5200" s="500"/>
      <c r="AF5200" s="500"/>
      <c r="AG5200" s="500"/>
      <c r="AH5200" s="500"/>
      <c r="AI5200" s="500"/>
      <c r="AJ5200" s="500"/>
      <c r="AK5200" s="500"/>
      <c r="AL5200" s="500"/>
      <c r="AM5200" s="500"/>
      <c r="AN5200" s="500"/>
      <c r="AO5200" s="500"/>
      <c r="AP5200" s="500"/>
    </row>
    <row r="5201" spans="1:42" ht="16.5" customHeight="1">
      <c r="A5201" s="439"/>
      <c r="B5201" s="439"/>
      <c r="C5201" s="439"/>
      <c r="D5201" s="439"/>
      <c r="E5201" s="439"/>
      <c r="F5201" s="439"/>
      <c r="Z5201" s="500"/>
      <c r="AA5201" s="500"/>
      <c r="AB5201" s="500"/>
      <c r="AC5201" s="500"/>
      <c r="AD5201" s="500"/>
      <c r="AE5201" s="500"/>
      <c r="AF5201" s="500"/>
      <c r="AG5201" s="500"/>
      <c r="AH5201" s="500"/>
      <c r="AI5201" s="500"/>
      <c r="AJ5201" s="500"/>
      <c r="AK5201" s="500"/>
      <c r="AL5201" s="500"/>
      <c r="AM5201" s="500"/>
      <c r="AN5201" s="500"/>
      <c r="AO5201" s="500"/>
      <c r="AP5201" s="500"/>
    </row>
    <row r="5202" spans="1:42" ht="16.5" customHeight="1">
      <c r="A5202" s="439"/>
      <c r="B5202" s="439"/>
      <c r="C5202" s="439"/>
      <c r="D5202" s="439"/>
      <c r="E5202" s="439"/>
      <c r="F5202" s="439"/>
      <c r="Z5202" s="500"/>
      <c r="AA5202" s="500"/>
      <c r="AB5202" s="500"/>
      <c r="AC5202" s="500"/>
      <c r="AD5202" s="500"/>
      <c r="AE5202" s="500"/>
      <c r="AF5202" s="500"/>
      <c r="AG5202" s="500"/>
      <c r="AH5202" s="500"/>
      <c r="AI5202" s="500"/>
      <c r="AJ5202" s="500"/>
      <c r="AK5202" s="500"/>
      <c r="AL5202" s="500"/>
      <c r="AM5202" s="500"/>
      <c r="AN5202" s="500"/>
      <c r="AO5202" s="500"/>
      <c r="AP5202" s="500"/>
    </row>
    <row r="5203" spans="1:42" ht="16.5" customHeight="1">
      <c r="A5203" s="497"/>
      <c r="B5203" s="497"/>
      <c r="C5203" s="497"/>
      <c r="D5203" s="497"/>
      <c r="E5203" s="497"/>
      <c r="F5203" s="497"/>
      <c r="Z5203" s="500"/>
      <c r="AA5203" s="500"/>
      <c r="AB5203" s="500"/>
      <c r="AC5203" s="500"/>
      <c r="AD5203" s="500"/>
      <c r="AE5203" s="500"/>
      <c r="AF5203" s="500"/>
      <c r="AG5203" s="500"/>
      <c r="AH5203" s="500"/>
      <c r="AI5203" s="500"/>
      <c r="AJ5203" s="500"/>
      <c r="AK5203" s="500"/>
      <c r="AL5203" s="500"/>
      <c r="AM5203" s="500"/>
      <c r="AN5203" s="500"/>
      <c r="AO5203" s="500"/>
      <c r="AP5203" s="500"/>
    </row>
    <row r="5204" spans="1:42" ht="16.5" customHeight="1">
      <c r="A5204" s="616" t="s">
        <v>3487</v>
      </c>
      <c r="B5204" s="605"/>
      <c r="C5204" s="446">
        <f>E5204+D5204+F5204</f>
        <v>18049</v>
      </c>
      <c r="D5204" s="453">
        <f>ROUNDDOWN(SUMIF(N5157:N5186,M5204,D5157:D5186),0)</f>
        <v>17591</v>
      </c>
      <c r="E5204" s="454">
        <f>ROUNDDOWN(SUMIF(N5157:N5186,M5204,E5157:E5186),0)</f>
        <v>0</v>
      </c>
      <c r="F5204" s="446">
        <f>ROUNDDOWN(SUMIF(N5157:N5186,M5204,F5157:F5186),0)</f>
        <v>458</v>
      </c>
      <c r="M5204" s="501" t="s">
        <v>2354</v>
      </c>
      <c r="Z5204" s="500"/>
      <c r="AA5204" s="500"/>
      <c r="AB5204" s="500"/>
      <c r="AC5204" s="500"/>
      <c r="AD5204" s="500"/>
      <c r="AE5204" s="500"/>
      <c r="AF5204" s="500"/>
      <c r="AG5204" s="500"/>
      <c r="AH5204" s="500"/>
      <c r="AI5204" s="500"/>
      <c r="AJ5204" s="500"/>
      <c r="AK5204" s="500"/>
      <c r="AL5204" s="500"/>
      <c r="AM5204" s="500"/>
      <c r="AN5204" s="500"/>
      <c r="AO5204" s="500"/>
      <c r="AP5204" s="500"/>
    </row>
    <row r="5205" spans="1:42" ht="16.5" customHeight="1">
      <c r="A5205" s="502" t="s">
        <v>3371</v>
      </c>
      <c r="B5205" s="503" t="s">
        <v>5472</v>
      </c>
      <c r="C5205" s="615">
        <f>C5254</f>
        <v>31588</v>
      </c>
      <c r="D5205" s="615">
        <f>D5254</f>
        <v>30785</v>
      </c>
      <c r="E5205" s="615">
        <f>E5254</f>
        <v>0</v>
      </c>
      <c r="F5205" s="615">
        <f>F5254</f>
        <v>803</v>
      </c>
      <c r="G5205" s="486" t="str">
        <f>HYPERLINK("#G"&amp;ROW(G5236),"_x0005_`BDCOD|D01366_x0007_`POSS|"&amp;ROW(G5207)&amp;"_x0007_`POSE|"&amp;ROW(G5236)&amp;"_x0007_`")</f>
        <v>_x0005_`BDCOD|D01366_x0007_`POSS|5207_x0007_`POSE|5236_x0007_`</v>
      </c>
      <c r="Z5205" s="500"/>
      <c r="AA5205" s="500"/>
      <c r="AB5205" s="500"/>
      <c r="AC5205" s="500"/>
      <c r="AD5205" s="500"/>
      <c r="AE5205" s="500"/>
      <c r="AF5205" s="500"/>
      <c r="AG5205" s="500"/>
      <c r="AH5205" s="500"/>
      <c r="AI5205" s="500"/>
      <c r="AJ5205" s="500"/>
      <c r="AK5205" s="500"/>
      <c r="AL5205" s="500"/>
      <c r="AM5205" s="500"/>
      <c r="AN5205" s="500"/>
      <c r="AO5205" s="500"/>
      <c r="AP5205" s="500"/>
    </row>
    <row r="5206" spans="1:42" ht="16.5" customHeight="1">
      <c r="A5206" s="485"/>
      <c r="B5206" s="503" t="s">
        <v>5630</v>
      </c>
      <c r="C5206" s="593"/>
      <c r="D5206" s="593"/>
      <c r="E5206" s="593"/>
      <c r="F5206" s="593"/>
      <c r="M5206" s="501" t="s">
        <v>5472</v>
      </c>
      <c r="Z5206" s="500"/>
      <c r="AA5206" s="500"/>
      <c r="AB5206" s="500"/>
      <c r="AC5206" s="500"/>
      <c r="AD5206" s="500"/>
      <c r="AE5206" s="500"/>
      <c r="AF5206" s="500"/>
      <c r="AG5206" s="500"/>
      <c r="AH5206" s="500"/>
      <c r="AI5206" s="500"/>
      <c r="AJ5206" s="500"/>
      <c r="AK5206" s="500"/>
      <c r="AL5206" s="500"/>
      <c r="AM5206" s="500"/>
      <c r="AN5206" s="500"/>
      <c r="AO5206" s="500"/>
      <c r="AP5206" s="500"/>
    </row>
    <row r="5207" spans="1:42" ht="16.5" customHeight="1">
      <c r="A5207" s="439"/>
      <c r="B5207" s="439"/>
      <c r="C5207" s="504"/>
      <c r="D5207" s="504"/>
      <c r="E5207" s="504"/>
      <c r="F5207" s="504"/>
      <c r="G5207" s="451" t="s">
        <v>3406</v>
      </c>
      <c r="Z5207" s="500"/>
      <c r="AA5207" s="500"/>
      <c r="AB5207" s="500"/>
      <c r="AC5207" s="500"/>
      <c r="AD5207" s="500"/>
      <c r="AE5207" s="500"/>
      <c r="AF5207" s="500"/>
      <c r="AG5207" s="500"/>
      <c r="AH5207" s="500"/>
      <c r="AI5207" s="500"/>
      <c r="AJ5207" s="500"/>
      <c r="AK5207" s="500"/>
      <c r="AL5207" s="500"/>
      <c r="AM5207" s="500"/>
      <c r="AN5207" s="500"/>
      <c r="AO5207" s="500"/>
      <c r="AP5207" s="500"/>
    </row>
    <row r="5208" spans="1:42" ht="16.5" customHeight="1">
      <c r="A5208" s="434"/>
      <c r="B5208" s="437" t="s">
        <v>3972</v>
      </c>
      <c r="C5208" s="439"/>
      <c r="D5208" s="439"/>
      <c r="E5208" s="439"/>
      <c r="F5208" s="439"/>
      <c r="G5208" s="451" t="s">
        <v>3973</v>
      </c>
      <c r="Z5208" s="500"/>
      <c r="AA5208" s="500"/>
      <c r="AB5208" s="500"/>
      <c r="AC5208" s="500"/>
      <c r="AD5208" s="500"/>
      <c r="AE5208" s="500"/>
      <c r="AF5208" s="500"/>
      <c r="AG5208" s="500"/>
      <c r="AH5208" s="500"/>
      <c r="AI5208" s="500"/>
      <c r="AJ5208" s="500"/>
      <c r="AK5208" s="500"/>
      <c r="AL5208" s="500"/>
      <c r="AM5208" s="500"/>
      <c r="AN5208" s="500"/>
      <c r="AO5208" s="500"/>
      <c r="AP5208" s="500"/>
    </row>
    <row r="5209" spans="1:42" ht="16.5" customHeight="1">
      <c r="A5209" s="439"/>
      <c r="B5209" s="439"/>
      <c r="C5209" s="439"/>
      <c r="D5209" s="439"/>
      <c r="E5209" s="439"/>
      <c r="F5209" s="439"/>
      <c r="G5209" s="451" t="s">
        <v>3406</v>
      </c>
      <c r="Z5209" s="500"/>
      <c r="AA5209" s="500"/>
      <c r="AB5209" s="500"/>
      <c r="AC5209" s="500"/>
      <c r="AD5209" s="500"/>
      <c r="AE5209" s="500"/>
      <c r="AF5209" s="500"/>
      <c r="AG5209" s="500"/>
      <c r="AH5209" s="500"/>
      <c r="AI5209" s="500"/>
      <c r="AJ5209" s="500"/>
      <c r="AK5209" s="500"/>
      <c r="AL5209" s="500"/>
      <c r="AM5209" s="500"/>
      <c r="AN5209" s="500"/>
      <c r="AO5209" s="500"/>
      <c r="AP5209" s="500"/>
    </row>
    <row r="5210" spans="1:42" ht="16.5" customHeight="1">
      <c r="A5210" s="434"/>
      <c r="B5210" s="437" t="s">
        <v>3907</v>
      </c>
      <c r="C5210" s="439"/>
      <c r="D5210" s="439"/>
      <c r="E5210" s="439"/>
      <c r="F5210" s="439"/>
      <c r="G5210" s="451" t="s">
        <v>3908</v>
      </c>
      <c r="Z5210" s="500"/>
      <c r="AA5210" s="500"/>
      <c r="AB5210" s="500"/>
      <c r="AC5210" s="500"/>
      <c r="AD5210" s="500"/>
      <c r="AE5210" s="500"/>
      <c r="AF5210" s="500"/>
      <c r="AG5210" s="500"/>
      <c r="AH5210" s="500"/>
      <c r="AI5210" s="500"/>
      <c r="AJ5210" s="500"/>
      <c r="AK5210" s="500"/>
      <c r="AL5210" s="500"/>
      <c r="AM5210" s="500"/>
      <c r="AN5210" s="500"/>
      <c r="AO5210" s="500"/>
      <c r="AP5210" s="500"/>
    </row>
    <row r="5211" spans="1:42" ht="16.5" customHeight="1">
      <c r="A5211" s="439"/>
      <c r="B5211" s="439"/>
      <c r="C5211" s="439"/>
      <c r="D5211" s="439"/>
      <c r="E5211" s="439"/>
      <c r="F5211" s="439"/>
      <c r="G5211" s="451" t="s">
        <v>3406</v>
      </c>
      <c r="Z5211" s="500"/>
      <c r="AA5211" s="500"/>
      <c r="AB5211" s="500"/>
      <c r="AC5211" s="500"/>
      <c r="AD5211" s="500"/>
      <c r="AE5211" s="500"/>
      <c r="AF5211" s="500"/>
      <c r="AG5211" s="500"/>
      <c r="AH5211" s="500"/>
      <c r="AI5211" s="500"/>
      <c r="AJ5211" s="500"/>
      <c r="AK5211" s="500"/>
      <c r="AL5211" s="500"/>
      <c r="AM5211" s="500"/>
      <c r="AN5211" s="500"/>
      <c r="AO5211" s="500"/>
      <c r="AP5211" s="500"/>
    </row>
    <row r="5212" spans="1:42" ht="16.5" customHeight="1">
      <c r="A5212" s="434"/>
      <c r="B5212" s="437" t="s">
        <v>3955</v>
      </c>
      <c r="C5212" s="439"/>
      <c r="D5212" s="439"/>
      <c r="E5212" s="439"/>
      <c r="F5212" s="439"/>
      <c r="G5212" s="451" t="s">
        <v>3956</v>
      </c>
      <c r="Z5212" s="500"/>
      <c r="AA5212" s="500"/>
      <c r="AB5212" s="500"/>
      <c r="AC5212" s="500"/>
      <c r="AD5212" s="500"/>
      <c r="AE5212" s="500"/>
      <c r="AF5212" s="500"/>
      <c r="AG5212" s="500"/>
      <c r="AH5212" s="500"/>
      <c r="AI5212" s="500"/>
      <c r="AJ5212" s="500"/>
      <c r="AK5212" s="500"/>
      <c r="AL5212" s="500"/>
      <c r="AM5212" s="500"/>
      <c r="AN5212" s="500"/>
      <c r="AO5212" s="500"/>
      <c r="AP5212" s="500"/>
    </row>
    <row r="5213" spans="1:42" ht="16.5" customHeight="1">
      <c r="A5213" s="439"/>
      <c r="B5213" s="439"/>
      <c r="C5213" s="439"/>
      <c r="D5213" s="439"/>
      <c r="E5213" s="439"/>
      <c r="F5213" s="439"/>
      <c r="G5213" s="451" t="s">
        <v>3406</v>
      </c>
      <c r="Z5213" s="500"/>
      <c r="AA5213" s="500"/>
      <c r="AB5213" s="500"/>
      <c r="AC5213" s="500"/>
      <c r="AD5213" s="500"/>
      <c r="AE5213" s="500"/>
      <c r="AF5213" s="500"/>
      <c r="AG5213" s="500"/>
      <c r="AH5213" s="500"/>
      <c r="AI5213" s="500"/>
      <c r="AJ5213" s="500"/>
      <c r="AK5213" s="500"/>
      <c r="AL5213" s="500"/>
      <c r="AM5213" s="500"/>
      <c r="AN5213" s="500"/>
      <c r="AO5213" s="500"/>
      <c r="AP5213" s="500"/>
    </row>
    <row r="5214" spans="1:42" ht="16.5" customHeight="1">
      <c r="A5214" s="434"/>
      <c r="B5214" s="437" t="str">
        <f>" 일당 작업량 :  Q1 = "&amp;Z5214&amp;" 주 "</f>
        <v xml:space="preserve"> 일당 작업량 :  Q1 = 24 주 </v>
      </c>
      <c r="C5214" s="439"/>
      <c r="D5214" s="439"/>
      <c r="E5214" s="439"/>
      <c r="F5214" s="439"/>
      <c r="G5214" s="451" t="s">
        <v>3974</v>
      </c>
      <c r="Z5214" s="515">
        <v>24</v>
      </c>
      <c r="AA5214" s="501" t="s">
        <v>3418</v>
      </c>
      <c r="AB5214" s="512">
        <f>Z5214</f>
        <v>24</v>
      </c>
      <c r="AC5214" s="500"/>
      <c r="AD5214" s="500"/>
      <c r="AE5214" s="500"/>
      <c r="AF5214" s="500"/>
      <c r="AG5214" s="500"/>
      <c r="AH5214" s="500"/>
      <c r="AI5214" s="500"/>
      <c r="AJ5214" s="500"/>
      <c r="AK5214" s="500"/>
      <c r="AL5214" s="500"/>
      <c r="AM5214" s="500"/>
      <c r="AN5214" s="500"/>
      <c r="AO5214" s="500"/>
      <c r="AP5214" s="500"/>
    </row>
    <row r="5215" spans="1:42" ht="16.5" customHeight="1">
      <c r="A5215" s="439"/>
      <c r="B5215" s="439"/>
      <c r="C5215" s="439"/>
      <c r="D5215" s="439"/>
      <c r="E5215" s="439"/>
      <c r="F5215" s="439"/>
      <c r="G5215" s="451" t="s">
        <v>3406</v>
      </c>
      <c r="Z5215" s="500"/>
      <c r="AA5215" s="500"/>
      <c r="AB5215" s="500"/>
      <c r="AC5215" s="500"/>
      <c r="AD5215" s="500"/>
      <c r="AE5215" s="500"/>
      <c r="AF5215" s="500"/>
      <c r="AG5215" s="500"/>
      <c r="AH5215" s="500"/>
      <c r="AI5215" s="500"/>
      <c r="AJ5215" s="500"/>
      <c r="AK5215" s="500"/>
      <c r="AL5215" s="500"/>
      <c r="AM5215" s="500"/>
      <c r="AN5215" s="500"/>
      <c r="AO5215" s="500"/>
      <c r="AP5215" s="500"/>
    </row>
    <row r="5216" spans="1:42" ht="16.5" customHeight="1">
      <c r="A5216" s="434"/>
      <c r="B5216" s="437" t="s">
        <v>3958</v>
      </c>
      <c r="C5216" s="439"/>
      <c r="D5216" s="439"/>
      <c r="E5216" s="439"/>
      <c r="F5216" s="439"/>
      <c r="G5216" s="451" t="s">
        <v>3959</v>
      </c>
      <c r="Z5216" s="500"/>
      <c r="AA5216" s="500"/>
      <c r="AB5216" s="500"/>
      <c r="AC5216" s="500"/>
      <c r="AD5216" s="500"/>
      <c r="AE5216" s="500"/>
      <c r="AF5216" s="500"/>
      <c r="AG5216" s="500"/>
      <c r="AH5216" s="500"/>
      <c r="AI5216" s="500"/>
      <c r="AJ5216" s="500"/>
      <c r="AK5216" s="500"/>
      <c r="AL5216" s="500"/>
      <c r="AM5216" s="500"/>
      <c r="AN5216" s="500"/>
      <c r="AO5216" s="500"/>
      <c r="AP5216" s="500"/>
    </row>
    <row r="5217" spans="1:42" ht="16.5" customHeight="1">
      <c r="A5217" s="439"/>
      <c r="B5217" s="439"/>
      <c r="C5217" s="439"/>
      <c r="D5217" s="439"/>
      <c r="E5217" s="439"/>
      <c r="F5217" s="439"/>
      <c r="G5217" s="451" t="s">
        <v>3406</v>
      </c>
      <c r="Z5217" s="500"/>
      <c r="AA5217" s="500"/>
      <c r="AB5217" s="500"/>
      <c r="AC5217" s="500"/>
      <c r="AD5217" s="500"/>
      <c r="AE5217" s="500"/>
      <c r="AF5217" s="500"/>
      <c r="AG5217" s="500"/>
      <c r="AH5217" s="500"/>
      <c r="AI5217" s="500"/>
      <c r="AJ5217" s="500"/>
      <c r="AK5217" s="500"/>
      <c r="AL5217" s="500"/>
      <c r="AM5217" s="500"/>
      <c r="AN5217" s="500"/>
      <c r="AO5217" s="500"/>
      <c r="AP5217" s="500"/>
    </row>
    <row r="5218" spans="1:42" ht="16.5" customHeight="1">
      <c r="A5218" s="439"/>
      <c r="B5218" s="439"/>
      <c r="C5218" s="439"/>
      <c r="D5218" s="439"/>
      <c r="E5218" s="439"/>
      <c r="F5218" s="439"/>
      <c r="G5218" s="451" t="s">
        <v>3406</v>
      </c>
      <c r="Z5218" s="500"/>
      <c r="AA5218" s="500"/>
      <c r="AB5218" s="500"/>
      <c r="AC5218" s="500"/>
      <c r="AD5218" s="500"/>
      <c r="AE5218" s="500"/>
      <c r="AF5218" s="500"/>
      <c r="AG5218" s="500"/>
      <c r="AH5218" s="500"/>
      <c r="AI5218" s="500"/>
      <c r="AJ5218" s="500"/>
      <c r="AK5218" s="500"/>
      <c r="AL5218" s="500"/>
      <c r="AM5218" s="500"/>
      <c r="AN5218" s="500"/>
      <c r="AO5218" s="500"/>
      <c r="AP5218" s="500"/>
    </row>
    <row r="5219" spans="1:42" ht="16.5" customHeight="1">
      <c r="A5219" s="434"/>
      <c r="B5219" s="437" t="s">
        <v>3496</v>
      </c>
      <c r="C5219" s="439"/>
      <c r="D5219" s="439"/>
      <c r="E5219" s="439"/>
      <c r="F5219" s="439"/>
      <c r="G5219" s="451" t="s">
        <v>3497</v>
      </c>
      <c r="Z5219" s="500"/>
      <c r="AA5219" s="500"/>
      <c r="AB5219" s="500"/>
      <c r="AC5219" s="500"/>
      <c r="AD5219" s="500"/>
      <c r="AE5219" s="500"/>
      <c r="AF5219" s="500"/>
      <c r="AG5219" s="500"/>
      <c r="AH5219" s="500"/>
      <c r="AI5219" s="500"/>
      <c r="AJ5219" s="500"/>
      <c r="AK5219" s="500"/>
      <c r="AL5219" s="500"/>
      <c r="AM5219" s="500"/>
      <c r="AN5219" s="500"/>
      <c r="AO5219" s="500"/>
      <c r="AP5219" s="500"/>
    </row>
    <row r="5220" spans="1:42" ht="16.5" customHeight="1">
      <c r="A5220" s="439"/>
      <c r="B5220" s="439"/>
      <c r="C5220" s="439"/>
      <c r="D5220" s="439"/>
      <c r="E5220" s="439"/>
      <c r="F5220" s="439"/>
      <c r="G5220" s="451" t="s">
        <v>3406</v>
      </c>
      <c r="Z5220" s="500"/>
      <c r="AA5220" s="500"/>
      <c r="AB5220" s="500"/>
      <c r="AC5220" s="500"/>
      <c r="AD5220" s="500"/>
      <c r="AE5220" s="500"/>
      <c r="AF5220" s="500"/>
      <c r="AG5220" s="500"/>
      <c r="AH5220" s="500"/>
      <c r="AI5220" s="500"/>
      <c r="AJ5220" s="500"/>
      <c r="AK5220" s="500"/>
      <c r="AL5220" s="500"/>
      <c r="AM5220" s="500"/>
      <c r="AN5220" s="500"/>
      <c r="AO5220" s="500"/>
      <c r="AP5220" s="500"/>
    </row>
    <row r="5221" spans="1:42" ht="16.5" customHeight="1">
      <c r="A5221" s="434" t="s">
        <v>3498</v>
      </c>
      <c r="B5221" s="505" t="str">
        <f>" 조 경 공 : "&amp;TEXT(I5221,"#,##0"&amp;IF(I5221&lt;&gt;INT(I5221),".###",""))&amp;" * "&amp;AA5221&amp;" 인  / Q1 = "&amp;TEXT(C5221,"#,##0.0")&amp;" "</f>
        <v xml:space="preserve"> 조 경 공 : 235,204 * 2 인  / Q1 = 19,600.3 </v>
      </c>
      <c r="C5221" s="506">
        <f>E5221+D5221+F5221</f>
        <v>19600.3</v>
      </c>
      <c r="D5221" s="506">
        <f>IF(H5221=0,0,ROUNDDOWN(J5221*H5221,1))</f>
        <v>19600.3</v>
      </c>
      <c r="E5221" s="506">
        <f>IF(H5221=0,0,ROUNDDOWN(K5221*H5221,1))</f>
        <v>0</v>
      </c>
      <c r="F5221" s="506">
        <f>IF(H5221=0,0,ROUNDDOWN(L5221*H5221,1))</f>
        <v>0</v>
      </c>
      <c r="G5221" s="451" t="s">
        <v>3960</v>
      </c>
      <c r="H5221" s="507">
        <f>ROUNDUP(AE5221,14-LEN(ABS(INT(AE5221))))</f>
        <v>8.3333333333399998E-2</v>
      </c>
      <c r="I5221" s="508">
        <f>K5221+J5221+L5221</f>
        <v>235204</v>
      </c>
      <c r="J5221" s="509">
        <f>노무비목록표!E15</f>
        <v>235204</v>
      </c>
      <c r="M5221" s="501" t="s">
        <v>2359</v>
      </c>
      <c r="N5221" s="501" t="s">
        <v>3416</v>
      </c>
      <c r="O5221" s="501" t="s">
        <v>2355</v>
      </c>
      <c r="X5221" s="510" t="str">
        <f>노무비목록표!B15&amp;" / "&amp;노무비목록표!C15</f>
        <v xml:space="preserve">조경공 / </v>
      </c>
      <c r="Y5221" s="433" t="str">
        <f ca="1">HYPERLINK("#"&amp;노무비목록표!G2&amp;"!A"&amp;ROW(노무비목록표!A15),"L00184 →")</f>
        <v>L00184 →</v>
      </c>
      <c r="Z5221" s="501" t="s">
        <v>3500</v>
      </c>
      <c r="AA5221" s="515">
        <v>2</v>
      </c>
      <c r="AB5221" s="501" t="s">
        <v>3428</v>
      </c>
      <c r="AC5221" s="512">
        <f>AB5214</f>
        <v>24</v>
      </c>
      <c r="AD5221" s="501" t="s">
        <v>3418</v>
      </c>
      <c r="AE5221" s="512">
        <f>1*AA5221/AB5214</f>
        <v>8.3333333333333329E-2</v>
      </c>
      <c r="AF5221" s="500"/>
      <c r="AG5221" s="500"/>
      <c r="AH5221" s="500"/>
      <c r="AI5221" s="500"/>
      <c r="AJ5221" s="500"/>
      <c r="AK5221" s="500"/>
      <c r="AL5221" s="500"/>
      <c r="AM5221" s="500"/>
      <c r="AN5221" s="500"/>
      <c r="AO5221" s="500"/>
      <c r="AP5221" s="500"/>
    </row>
    <row r="5222" spans="1:42" ht="16.5" customHeight="1">
      <c r="A5222" s="439"/>
      <c r="B5222" s="439"/>
      <c r="C5222" s="439"/>
      <c r="D5222" s="439"/>
      <c r="E5222" s="439"/>
      <c r="F5222" s="439"/>
      <c r="G5222" s="451" t="s">
        <v>3406</v>
      </c>
      <c r="Z5222" s="500"/>
      <c r="AA5222" s="500"/>
      <c r="AB5222" s="500"/>
      <c r="AC5222" s="500"/>
      <c r="AD5222" s="500"/>
      <c r="AE5222" s="500"/>
      <c r="AF5222" s="500"/>
      <c r="AG5222" s="500"/>
      <c r="AH5222" s="500"/>
      <c r="AI5222" s="500"/>
      <c r="AJ5222" s="500"/>
      <c r="AK5222" s="500"/>
      <c r="AL5222" s="500"/>
      <c r="AM5222" s="500"/>
      <c r="AN5222" s="500"/>
      <c r="AO5222" s="500"/>
      <c r="AP5222" s="500"/>
    </row>
    <row r="5223" spans="1:42" ht="16.5" customHeight="1">
      <c r="A5223" s="434" t="s">
        <v>3414</v>
      </c>
      <c r="B5223" s="505" t="str">
        <f>" 보통인부 : "&amp;TEXT(I5223,"#,##0"&amp;IF(I5223&lt;&gt;INT(I5223),".###",""))&amp;" * "&amp;AA5223&amp;" 인  / Q1 = "&amp;TEXT(C5223,"#,##0.0")&amp;" "</f>
        <v xml:space="preserve"> 보통인부 : 172,068 * 1 인  / Q1 = 7,169.5 </v>
      </c>
      <c r="C5223" s="506">
        <f>E5223+D5223+F5223</f>
        <v>7169.5</v>
      </c>
      <c r="D5223" s="506">
        <f>IF(H5223=0,0,ROUNDDOWN(J5223*H5223,1))</f>
        <v>7169.5</v>
      </c>
      <c r="E5223" s="506">
        <f>IF(H5223=0,0,ROUNDDOWN(K5223*H5223,1))</f>
        <v>0</v>
      </c>
      <c r="F5223" s="506">
        <f>IF(H5223=0,0,ROUNDDOWN(L5223*H5223,1))</f>
        <v>0</v>
      </c>
      <c r="G5223" s="451" t="s">
        <v>3894</v>
      </c>
      <c r="H5223" s="507">
        <f>ROUNDUP(AE5223,14-LEN(ABS(INT(AE5223))))</f>
        <v>4.1666666666700006E-2</v>
      </c>
      <c r="I5223" s="508">
        <f>K5223+J5223+L5223</f>
        <v>172068</v>
      </c>
      <c r="J5223" s="509">
        <f>노무비목록표!E10</f>
        <v>172068</v>
      </c>
      <c r="M5223" s="501" t="s">
        <v>2363</v>
      </c>
      <c r="N5223" s="501" t="s">
        <v>3416</v>
      </c>
      <c r="O5223" s="501" t="s">
        <v>2355</v>
      </c>
      <c r="X5223" s="510" t="str">
        <f>노무비목록표!B10&amp;" / "&amp;노무비목록표!C10</f>
        <v xml:space="preserve">보통인부 / </v>
      </c>
      <c r="Y5223" s="433" t="str">
        <f ca="1">HYPERLINK("#"&amp;노무비목록표!G2&amp;"!A"&amp;ROW(노무비목록표!A10),"L00017 →")</f>
        <v>L00017 →</v>
      </c>
      <c r="Z5223" s="501" t="s">
        <v>3500</v>
      </c>
      <c r="AA5223" s="515">
        <v>1</v>
      </c>
      <c r="AB5223" s="501" t="s">
        <v>3428</v>
      </c>
      <c r="AC5223" s="512">
        <f>AB5214</f>
        <v>24</v>
      </c>
      <c r="AD5223" s="501" t="s">
        <v>3418</v>
      </c>
      <c r="AE5223" s="512">
        <f>1*AA5223/AB5214</f>
        <v>4.1666666666666664E-2</v>
      </c>
      <c r="AF5223" s="500"/>
      <c r="AG5223" s="500"/>
      <c r="AH5223" s="500"/>
      <c r="AI5223" s="500"/>
      <c r="AJ5223" s="500"/>
      <c r="AK5223" s="500"/>
      <c r="AL5223" s="500"/>
      <c r="AM5223" s="500"/>
      <c r="AN5223" s="500"/>
      <c r="AO5223" s="500"/>
      <c r="AP5223" s="500"/>
    </row>
    <row r="5224" spans="1:42" ht="16.5" customHeight="1">
      <c r="A5224" s="439"/>
      <c r="B5224" s="439"/>
      <c r="C5224" s="439"/>
      <c r="D5224" s="439"/>
      <c r="E5224" s="439"/>
      <c r="F5224" s="439"/>
      <c r="G5224" s="451" t="s">
        <v>3406</v>
      </c>
      <c r="Z5224" s="500"/>
      <c r="AA5224" s="500"/>
      <c r="AB5224" s="500"/>
      <c r="AC5224" s="500"/>
      <c r="AD5224" s="500"/>
      <c r="AE5224" s="500"/>
      <c r="AF5224" s="500"/>
      <c r="AG5224" s="500"/>
      <c r="AH5224" s="500"/>
      <c r="AI5224" s="500"/>
      <c r="AJ5224" s="500"/>
      <c r="AK5224" s="500"/>
      <c r="AL5224" s="500"/>
      <c r="AM5224" s="500"/>
      <c r="AN5224" s="500"/>
      <c r="AO5224" s="500"/>
      <c r="AP5224" s="500"/>
    </row>
    <row r="5225" spans="1:42" ht="16.5" customHeight="1">
      <c r="A5225" s="434"/>
      <c r="B5225" s="437" t="s">
        <v>3419</v>
      </c>
      <c r="C5225" s="513">
        <f>E5225+D5225+F5225</f>
        <v>26769.8</v>
      </c>
      <c r="D5225" s="513">
        <f>SUMIF(N5207:N5224,M5225,D5207:D5224)</f>
        <v>26769.8</v>
      </c>
      <c r="E5225" s="513">
        <f>SUMIF(N5207:N5224,M5225,E5207:E5224)</f>
        <v>0</v>
      </c>
      <c r="F5225" s="513">
        <f>SUMIF(N5207:N5224,M5225,F5207:F5224)</f>
        <v>0</v>
      </c>
      <c r="G5225" s="451" t="s">
        <v>3420</v>
      </c>
      <c r="M5225" s="501" t="s">
        <v>3416</v>
      </c>
      <c r="N5225" s="501" t="s">
        <v>3421</v>
      </c>
      <c r="Z5225" s="500"/>
      <c r="AA5225" s="500"/>
      <c r="AB5225" s="500"/>
      <c r="AC5225" s="500"/>
      <c r="AD5225" s="500"/>
      <c r="AE5225" s="500"/>
      <c r="AF5225" s="500"/>
      <c r="AG5225" s="500"/>
      <c r="AH5225" s="500"/>
      <c r="AI5225" s="500"/>
      <c r="AJ5225" s="500"/>
      <c r="AK5225" s="500"/>
      <c r="AL5225" s="500"/>
      <c r="AM5225" s="500"/>
      <c r="AN5225" s="500"/>
      <c r="AO5225" s="500"/>
      <c r="AP5225" s="500"/>
    </row>
    <row r="5226" spans="1:42" ht="16.5" customHeight="1">
      <c r="A5226" s="439"/>
      <c r="B5226" s="439"/>
      <c r="C5226" s="504"/>
      <c r="D5226" s="504"/>
      <c r="E5226" s="504"/>
      <c r="F5226" s="504"/>
      <c r="G5226" s="451" t="s">
        <v>3406</v>
      </c>
      <c r="Z5226" s="500"/>
      <c r="AA5226" s="500"/>
      <c r="AB5226" s="500"/>
      <c r="AC5226" s="500"/>
      <c r="AD5226" s="500"/>
      <c r="AE5226" s="500"/>
      <c r="AF5226" s="500"/>
      <c r="AG5226" s="500"/>
      <c r="AH5226" s="500"/>
      <c r="AI5226" s="500"/>
      <c r="AJ5226" s="500"/>
      <c r="AK5226" s="500"/>
      <c r="AL5226" s="500"/>
      <c r="AM5226" s="500"/>
      <c r="AN5226" s="500"/>
      <c r="AO5226" s="500"/>
      <c r="AP5226" s="500"/>
    </row>
    <row r="5227" spans="1:42" ht="16.5" customHeight="1">
      <c r="A5227" s="439"/>
      <c r="B5227" s="439"/>
      <c r="C5227" s="439"/>
      <c r="D5227" s="439"/>
      <c r="E5227" s="439"/>
      <c r="F5227" s="439"/>
      <c r="G5227" s="451" t="s">
        <v>3406</v>
      </c>
      <c r="Z5227" s="500"/>
      <c r="AA5227" s="500"/>
      <c r="AB5227" s="500"/>
      <c r="AC5227" s="500"/>
      <c r="AD5227" s="500"/>
      <c r="AE5227" s="500"/>
      <c r="AF5227" s="500"/>
      <c r="AG5227" s="500"/>
      <c r="AH5227" s="500"/>
      <c r="AI5227" s="500"/>
      <c r="AJ5227" s="500"/>
      <c r="AK5227" s="500"/>
      <c r="AL5227" s="500"/>
      <c r="AM5227" s="500"/>
      <c r="AN5227" s="500"/>
      <c r="AO5227" s="500"/>
      <c r="AP5227" s="500"/>
    </row>
    <row r="5228" spans="1:42" ht="16.5" customHeight="1">
      <c r="A5228" s="434"/>
      <c r="B5228" s="505" t="str">
        <f>" 2. 기계경비(인력품의 3%) : "&amp;TEXT(I5228,"#,##0.0")&amp;" * "&amp;AA5228&amp;" %  = "&amp;TEXT(C5228,"#,##0.0")&amp;""</f>
        <v xml:space="preserve"> 2. 기계경비(인력품의 3%) : 26,769.8 * 3 %  = 803.0</v>
      </c>
      <c r="C5228" s="506">
        <f>E5228+D5228+F5228</f>
        <v>803</v>
      </c>
      <c r="D5228" s="506">
        <f>IF(H5228=0,0,ROUNDDOWN(J5228*H5228/100,1))</f>
        <v>0</v>
      </c>
      <c r="E5228" s="506">
        <f>IF(H5228=0,0,ROUNDDOWN(K5228*H5228/100,1))</f>
        <v>0</v>
      </c>
      <c r="F5228" s="506">
        <f>IF(H5228=0,0,ROUNDDOWN(L5228*H5228/100,1))</f>
        <v>803</v>
      </c>
      <c r="G5228" s="451" t="s">
        <v>3923</v>
      </c>
      <c r="H5228" s="507">
        <f>ROUNDUP(AC5228,14-LEN(ABS(INT(AC5228))))</f>
        <v>3</v>
      </c>
      <c r="I5228" s="508">
        <f>K5228+J5228+L5228</f>
        <v>26769.8</v>
      </c>
      <c r="J5228" s="456">
        <v>0</v>
      </c>
      <c r="K5228" s="456">
        <v>0</v>
      </c>
      <c r="L5228" s="509">
        <f>D5221+D5223</f>
        <v>26769.8</v>
      </c>
      <c r="M5228" s="501" t="s">
        <v>3743</v>
      </c>
      <c r="N5228" s="501" t="s">
        <v>3416</v>
      </c>
      <c r="Z5228" s="501" t="s">
        <v>3500</v>
      </c>
      <c r="AA5228" s="515">
        <v>3</v>
      </c>
      <c r="AB5228" s="501" t="s">
        <v>3418</v>
      </c>
      <c r="AC5228" s="512">
        <f>1*AA5228</f>
        <v>3</v>
      </c>
      <c r="AD5228" s="500"/>
      <c r="AE5228" s="500"/>
      <c r="AF5228" s="500"/>
      <c r="AG5228" s="500"/>
      <c r="AH5228" s="500"/>
      <c r="AI5228" s="500"/>
      <c r="AJ5228" s="500"/>
      <c r="AK5228" s="500"/>
      <c r="AL5228" s="500"/>
      <c r="AM5228" s="500"/>
      <c r="AN5228" s="500"/>
      <c r="AO5228" s="500"/>
      <c r="AP5228" s="500"/>
    </row>
    <row r="5229" spans="1:42" ht="16.5" customHeight="1">
      <c r="A5229" s="439"/>
      <c r="B5229" s="439"/>
      <c r="C5229" s="439"/>
      <c r="D5229" s="439"/>
      <c r="E5229" s="439"/>
      <c r="F5229" s="439"/>
      <c r="G5229" s="451" t="s">
        <v>3406</v>
      </c>
      <c r="Z5229" s="500"/>
      <c r="AA5229" s="500"/>
      <c r="AB5229" s="500"/>
      <c r="AC5229" s="500"/>
      <c r="AD5229" s="500"/>
      <c r="AE5229" s="500"/>
      <c r="AF5229" s="500"/>
      <c r="AG5229" s="500"/>
      <c r="AH5229" s="500"/>
      <c r="AI5229" s="500"/>
      <c r="AJ5229" s="500"/>
      <c r="AK5229" s="500"/>
      <c r="AL5229" s="500"/>
      <c r="AM5229" s="500"/>
      <c r="AN5229" s="500"/>
      <c r="AO5229" s="500"/>
      <c r="AP5229" s="500"/>
    </row>
    <row r="5230" spans="1:42" ht="16.5" customHeight="1">
      <c r="A5230" s="434"/>
      <c r="B5230" s="437" t="s">
        <v>3419</v>
      </c>
      <c r="C5230" s="513">
        <f>E5230+D5230+F5230</f>
        <v>803</v>
      </c>
      <c r="D5230" s="513">
        <f>SUMIF(N5226:N5229,M5230,D5226:D5229)</f>
        <v>0</v>
      </c>
      <c r="E5230" s="513">
        <f>SUMIF(N5226:N5229,M5230,E5226:E5229)</f>
        <v>0</v>
      </c>
      <c r="F5230" s="513">
        <f>SUMIF(N5226:N5229,M5230,F5226:F5229)</f>
        <v>803</v>
      </c>
      <c r="G5230" s="451" t="s">
        <v>3439</v>
      </c>
      <c r="M5230" s="501" t="s">
        <v>3416</v>
      </c>
      <c r="N5230" s="501" t="s">
        <v>3421</v>
      </c>
      <c r="Z5230" s="500"/>
      <c r="AA5230" s="500"/>
      <c r="AB5230" s="500"/>
      <c r="AC5230" s="500"/>
      <c r="AD5230" s="500"/>
      <c r="AE5230" s="500"/>
      <c r="AF5230" s="500"/>
      <c r="AG5230" s="500"/>
      <c r="AH5230" s="500"/>
      <c r="AI5230" s="500"/>
      <c r="AJ5230" s="500"/>
      <c r="AK5230" s="500"/>
      <c r="AL5230" s="500"/>
      <c r="AM5230" s="500"/>
      <c r="AN5230" s="500"/>
      <c r="AO5230" s="500"/>
      <c r="AP5230" s="500"/>
    </row>
    <row r="5231" spans="1:42" ht="16.5" customHeight="1">
      <c r="A5231" s="439"/>
      <c r="B5231" s="439"/>
      <c r="C5231" s="504"/>
      <c r="D5231" s="504"/>
      <c r="E5231" s="504"/>
      <c r="F5231" s="504"/>
      <c r="G5231" s="451" t="s">
        <v>3406</v>
      </c>
      <c r="Z5231" s="500"/>
      <c r="AA5231" s="500"/>
      <c r="AB5231" s="500"/>
      <c r="AC5231" s="500"/>
      <c r="AD5231" s="500"/>
      <c r="AE5231" s="500"/>
      <c r="AF5231" s="500"/>
      <c r="AG5231" s="500"/>
      <c r="AH5231" s="500"/>
      <c r="AI5231" s="500"/>
      <c r="AJ5231" s="500"/>
      <c r="AK5231" s="500"/>
      <c r="AL5231" s="500"/>
      <c r="AM5231" s="500"/>
      <c r="AN5231" s="500"/>
      <c r="AO5231" s="500"/>
      <c r="AP5231" s="500"/>
    </row>
    <row r="5232" spans="1:42" ht="16.5" customHeight="1">
      <c r="A5232" s="434"/>
      <c r="B5232" s="505" t="str">
        <f>"  산지할증 : "&amp;TEXT(I5232,"#,##0.0")&amp;" * "&amp;AA5232&amp;" %  = "&amp;TEXT(C5232,"#,##0.0")&amp;""</f>
        <v xml:space="preserve">  산지할증 : 26,769.8 * 15 %  = 4,015.4</v>
      </c>
      <c r="C5232" s="506">
        <f>E5232+D5232+F5232</f>
        <v>4015.4</v>
      </c>
      <c r="D5232" s="506">
        <f>IF(H5232=0,0,ROUNDDOWN(J5232*H5232/100,1))</f>
        <v>4015.4</v>
      </c>
      <c r="E5232" s="506">
        <f>IF(H5232=0,0,ROUNDDOWN(K5232*H5232/100,1))</f>
        <v>0</v>
      </c>
      <c r="F5232" s="506">
        <f>IF(H5232=0,0,ROUNDDOWN(L5232*H5232/100,1))</f>
        <v>0</v>
      </c>
      <c r="G5232" s="451" t="s">
        <v>5587</v>
      </c>
      <c r="H5232" s="507">
        <f>ROUNDUP(AC5232,14-LEN(ABS(INT(AC5232))))</f>
        <v>15</v>
      </c>
      <c r="I5232" s="508">
        <f>K5232+J5232+L5232</f>
        <v>26769.8</v>
      </c>
      <c r="J5232" s="508">
        <f>D5225+D5230+SUMIF(N5231:N5231,N5232,D5231:D5231)</f>
        <v>26769.8</v>
      </c>
      <c r="K5232" s="456">
        <v>0</v>
      </c>
      <c r="L5232" s="456">
        <v>0</v>
      </c>
      <c r="M5232" s="501" t="s">
        <v>4208</v>
      </c>
      <c r="N5232" s="501" t="s">
        <v>3416</v>
      </c>
      <c r="Z5232" s="501" t="s">
        <v>3500</v>
      </c>
      <c r="AA5232" s="515">
        <v>15</v>
      </c>
      <c r="AB5232" s="501" t="s">
        <v>3418</v>
      </c>
      <c r="AC5232" s="512">
        <f>1*AA5232</f>
        <v>15</v>
      </c>
      <c r="AD5232" s="500"/>
      <c r="AE5232" s="500"/>
      <c r="AF5232" s="500"/>
      <c r="AG5232" s="500"/>
      <c r="AH5232" s="500"/>
      <c r="AI5232" s="500"/>
      <c r="AJ5232" s="500"/>
      <c r="AK5232" s="500"/>
      <c r="AL5232" s="500"/>
      <c r="AM5232" s="500"/>
      <c r="AN5232" s="500"/>
      <c r="AO5232" s="500"/>
      <c r="AP5232" s="500"/>
    </row>
    <row r="5233" spans="1:42" ht="16.5" customHeight="1">
      <c r="A5233" s="439"/>
      <c r="B5233" s="439"/>
      <c r="C5233" s="439"/>
      <c r="D5233" s="439"/>
      <c r="E5233" s="439"/>
      <c r="F5233" s="439"/>
      <c r="G5233" s="451" t="s">
        <v>3406</v>
      </c>
      <c r="Z5233" s="500"/>
      <c r="AA5233" s="500"/>
      <c r="AB5233" s="500"/>
      <c r="AC5233" s="500"/>
      <c r="AD5233" s="500"/>
      <c r="AE5233" s="500"/>
      <c r="AF5233" s="500"/>
      <c r="AG5233" s="500"/>
      <c r="AH5233" s="500"/>
      <c r="AI5233" s="500"/>
      <c r="AJ5233" s="500"/>
      <c r="AK5233" s="500"/>
      <c r="AL5233" s="500"/>
      <c r="AM5233" s="500"/>
      <c r="AN5233" s="500"/>
      <c r="AO5233" s="500"/>
      <c r="AP5233" s="500"/>
    </row>
    <row r="5234" spans="1:42" ht="16.5" customHeight="1">
      <c r="A5234" s="434"/>
      <c r="B5234" s="437" t="s">
        <v>3419</v>
      </c>
      <c r="C5234" s="513">
        <f>E5234+D5234+F5234</f>
        <v>4015.4</v>
      </c>
      <c r="D5234" s="513">
        <f>SUMIF(N5231:N5233,M5234,D5231:D5233)</f>
        <v>4015.4</v>
      </c>
      <c r="E5234" s="513">
        <f>SUMIF(N5231:N5233,M5234,E5231:E5233)</f>
        <v>0</v>
      </c>
      <c r="F5234" s="513">
        <f>SUMIF(N5231:N5233,M5234,F5231:F5233)</f>
        <v>0</v>
      </c>
      <c r="G5234" s="451" t="s">
        <v>3439</v>
      </c>
      <c r="M5234" s="501" t="s">
        <v>3416</v>
      </c>
      <c r="N5234" s="501" t="s">
        <v>3421</v>
      </c>
      <c r="Z5234" s="500"/>
      <c r="AA5234" s="500"/>
      <c r="AB5234" s="500"/>
      <c r="AC5234" s="500"/>
      <c r="AD5234" s="500"/>
      <c r="AE5234" s="500"/>
      <c r="AF5234" s="500"/>
      <c r="AG5234" s="500"/>
      <c r="AH5234" s="500"/>
      <c r="AI5234" s="500"/>
      <c r="AJ5234" s="500"/>
      <c r="AK5234" s="500"/>
      <c r="AL5234" s="500"/>
      <c r="AM5234" s="500"/>
      <c r="AN5234" s="500"/>
      <c r="AO5234" s="500"/>
      <c r="AP5234" s="500"/>
    </row>
    <row r="5235" spans="1:42" ht="16.5" customHeight="1">
      <c r="A5235" s="439"/>
      <c r="B5235" s="439"/>
      <c r="C5235" s="504"/>
      <c r="D5235" s="504"/>
      <c r="E5235" s="504"/>
      <c r="F5235" s="504"/>
      <c r="G5235" s="451" t="s">
        <v>3406</v>
      </c>
      <c r="Z5235" s="500"/>
      <c r="AA5235" s="500"/>
      <c r="AB5235" s="500"/>
      <c r="AC5235" s="500"/>
      <c r="AD5235" s="500"/>
      <c r="AE5235" s="500"/>
      <c r="AF5235" s="500"/>
      <c r="AG5235" s="500"/>
      <c r="AH5235" s="500"/>
      <c r="AI5235" s="500"/>
      <c r="AJ5235" s="500"/>
      <c r="AK5235" s="500"/>
      <c r="AL5235" s="500"/>
      <c r="AM5235" s="500"/>
      <c r="AN5235" s="500"/>
      <c r="AO5235" s="500"/>
      <c r="AP5235" s="500"/>
    </row>
    <row r="5236" spans="1:42" ht="16.5" customHeight="1">
      <c r="A5236" s="434"/>
      <c r="B5236" s="437" t="s">
        <v>3440</v>
      </c>
      <c r="C5236" s="513">
        <f>E5236+D5236+F5236</f>
        <v>31588.2</v>
      </c>
      <c r="D5236" s="513">
        <f>SUMIF(N5207:N5235,M5236,D5207:D5235)</f>
        <v>30785.200000000001</v>
      </c>
      <c r="E5236" s="513">
        <f>SUMIF(N5207:N5235,M5236,E5207:E5235)</f>
        <v>0</v>
      </c>
      <c r="F5236" s="513">
        <f>SUMIF(N5207:N5235,M5236,F5207:F5235)</f>
        <v>803</v>
      </c>
      <c r="G5236" s="451" t="s">
        <v>3441</v>
      </c>
      <c r="M5236" s="501" t="s">
        <v>3421</v>
      </c>
      <c r="N5236" s="501" t="s">
        <v>2354</v>
      </c>
      <c r="Z5236" s="500"/>
      <c r="AA5236" s="500"/>
      <c r="AB5236" s="500"/>
      <c r="AC5236" s="500"/>
      <c r="AD5236" s="500"/>
      <c r="AE5236" s="500"/>
      <c r="AF5236" s="500"/>
      <c r="AG5236" s="500"/>
      <c r="AH5236" s="500"/>
      <c r="AI5236" s="500"/>
      <c r="AJ5236" s="500"/>
      <c r="AK5236" s="500"/>
      <c r="AL5236" s="500"/>
      <c r="AM5236" s="500"/>
      <c r="AN5236" s="500"/>
      <c r="AO5236" s="500"/>
      <c r="AP5236" s="500"/>
    </row>
    <row r="5237" spans="1:42" ht="16.5" customHeight="1">
      <c r="A5237" s="439"/>
      <c r="B5237" s="439"/>
      <c r="C5237" s="504"/>
      <c r="D5237" s="504"/>
      <c r="E5237" s="504"/>
      <c r="F5237" s="504"/>
      <c r="Z5237" s="500"/>
      <c r="AA5237" s="500"/>
      <c r="AB5237" s="500"/>
      <c r="AC5237" s="500"/>
      <c r="AD5237" s="500"/>
      <c r="AE5237" s="500"/>
      <c r="AF5237" s="500"/>
      <c r="AG5237" s="500"/>
      <c r="AH5237" s="500"/>
      <c r="AI5237" s="500"/>
      <c r="AJ5237" s="500"/>
      <c r="AK5237" s="500"/>
      <c r="AL5237" s="500"/>
      <c r="AM5237" s="500"/>
      <c r="AN5237" s="500"/>
      <c r="AO5237" s="500"/>
      <c r="AP5237" s="500"/>
    </row>
    <row r="5238" spans="1:42" ht="16.5" customHeight="1">
      <c r="A5238" s="439"/>
      <c r="B5238" s="439"/>
      <c r="C5238" s="439"/>
      <c r="D5238" s="439"/>
      <c r="E5238" s="439"/>
      <c r="F5238" s="439"/>
      <c r="Z5238" s="500"/>
      <c r="AA5238" s="500"/>
      <c r="AB5238" s="500"/>
      <c r="AC5238" s="500"/>
      <c r="AD5238" s="500"/>
      <c r="AE5238" s="500"/>
      <c r="AF5238" s="500"/>
      <c r="AG5238" s="500"/>
      <c r="AH5238" s="500"/>
      <c r="AI5238" s="500"/>
      <c r="AJ5238" s="500"/>
      <c r="AK5238" s="500"/>
      <c r="AL5238" s="500"/>
      <c r="AM5238" s="500"/>
      <c r="AN5238" s="500"/>
      <c r="AO5238" s="500"/>
      <c r="AP5238" s="500"/>
    </row>
    <row r="5239" spans="1:42" ht="16.5" customHeight="1">
      <c r="A5239" s="439"/>
      <c r="B5239" s="439"/>
      <c r="C5239" s="439"/>
      <c r="D5239" s="439"/>
      <c r="E5239" s="439"/>
      <c r="F5239" s="439"/>
      <c r="Z5239" s="500"/>
      <c r="AA5239" s="500"/>
      <c r="AB5239" s="500"/>
      <c r="AC5239" s="500"/>
      <c r="AD5239" s="500"/>
      <c r="AE5239" s="500"/>
      <c r="AF5239" s="500"/>
      <c r="AG5239" s="500"/>
      <c r="AH5239" s="500"/>
      <c r="AI5239" s="500"/>
      <c r="AJ5239" s="500"/>
      <c r="AK5239" s="500"/>
      <c r="AL5239" s="500"/>
      <c r="AM5239" s="500"/>
      <c r="AN5239" s="500"/>
      <c r="AO5239" s="500"/>
      <c r="AP5239" s="500"/>
    </row>
    <row r="5240" spans="1:42" ht="16.5" customHeight="1">
      <c r="A5240" s="439"/>
      <c r="B5240" s="439"/>
      <c r="C5240" s="439"/>
      <c r="D5240" s="439"/>
      <c r="E5240" s="439"/>
      <c r="F5240" s="439"/>
      <c r="Z5240" s="500"/>
      <c r="AA5240" s="500"/>
      <c r="AB5240" s="500"/>
      <c r="AC5240" s="500"/>
      <c r="AD5240" s="500"/>
      <c r="AE5240" s="500"/>
      <c r="AF5240" s="500"/>
      <c r="AG5240" s="500"/>
      <c r="AH5240" s="500"/>
      <c r="AI5240" s="500"/>
      <c r="AJ5240" s="500"/>
      <c r="AK5240" s="500"/>
      <c r="AL5240" s="500"/>
      <c r="AM5240" s="500"/>
      <c r="AN5240" s="500"/>
      <c r="AO5240" s="500"/>
      <c r="AP5240" s="500"/>
    </row>
    <row r="5241" spans="1:42" ht="16.5" customHeight="1">
      <c r="A5241" s="439"/>
      <c r="B5241" s="439"/>
      <c r="C5241" s="439"/>
      <c r="D5241" s="439"/>
      <c r="E5241" s="439"/>
      <c r="F5241" s="439"/>
      <c r="Z5241" s="500"/>
      <c r="AA5241" s="500"/>
      <c r="AB5241" s="500"/>
      <c r="AC5241" s="500"/>
      <c r="AD5241" s="500"/>
      <c r="AE5241" s="500"/>
      <c r="AF5241" s="500"/>
      <c r="AG5241" s="500"/>
      <c r="AH5241" s="500"/>
      <c r="AI5241" s="500"/>
      <c r="AJ5241" s="500"/>
      <c r="AK5241" s="500"/>
      <c r="AL5241" s="500"/>
      <c r="AM5241" s="500"/>
      <c r="AN5241" s="500"/>
      <c r="AO5241" s="500"/>
      <c r="AP5241" s="500"/>
    </row>
    <row r="5242" spans="1:42" ht="16.5" customHeight="1">
      <c r="A5242" s="439"/>
      <c r="B5242" s="439"/>
      <c r="C5242" s="439"/>
      <c r="D5242" s="439"/>
      <c r="E5242" s="439"/>
      <c r="F5242" s="439"/>
      <c r="Z5242" s="500"/>
      <c r="AA5242" s="500"/>
      <c r="AB5242" s="500"/>
      <c r="AC5242" s="500"/>
      <c r="AD5242" s="500"/>
      <c r="AE5242" s="500"/>
      <c r="AF5242" s="500"/>
      <c r="AG5242" s="500"/>
      <c r="AH5242" s="500"/>
      <c r="AI5242" s="500"/>
      <c r="AJ5242" s="500"/>
      <c r="AK5242" s="500"/>
      <c r="AL5242" s="500"/>
      <c r="AM5242" s="500"/>
      <c r="AN5242" s="500"/>
      <c r="AO5242" s="500"/>
      <c r="AP5242" s="500"/>
    </row>
    <row r="5243" spans="1:42" ht="16.5" customHeight="1">
      <c r="A5243" s="439"/>
      <c r="B5243" s="439"/>
      <c r="C5243" s="439"/>
      <c r="D5243" s="439"/>
      <c r="E5243" s="439"/>
      <c r="F5243" s="439"/>
      <c r="Z5243" s="500"/>
      <c r="AA5243" s="500"/>
      <c r="AB5243" s="500"/>
      <c r="AC5243" s="500"/>
      <c r="AD5243" s="500"/>
      <c r="AE5243" s="500"/>
      <c r="AF5243" s="500"/>
      <c r="AG5243" s="500"/>
      <c r="AH5243" s="500"/>
      <c r="AI5243" s="500"/>
      <c r="AJ5243" s="500"/>
      <c r="AK5243" s="500"/>
      <c r="AL5243" s="500"/>
      <c r="AM5243" s="500"/>
      <c r="AN5243" s="500"/>
      <c r="AO5243" s="500"/>
      <c r="AP5243" s="500"/>
    </row>
    <row r="5244" spans="1:42" ht="16.5" customHeight="1">
      <c r="A5244" s="439"/>
      <c r="B5244" s="439"/>
      <c r="C5244" s="439"/>
      <c r="D5244" s="439"/>
      <c r="E5244" s="439"/>
      <c r="F5244" s="439"/>
      <c r="Z5244" s="500"/>
      <c r="AA5244" s="500"/>
      <c r="AB5244" s="500"/>
      <c r="AC5244" s="500"/>
      <c r="AD5244" s="500"/>
      <c r="AE5244" s="500"/>
      <c r="AF5244" s="500"/>
      <c r="AG5244" s="500"/>
      <c r="AH5244" s="500"/>
      <c r="AI5244" s="500"/>
      <c r="AJ5244" s="500"/>
      <c r="AK5244" s="500"/>
      <c r="AL5244" s="500"/>
      <c r="AM5244" s="500"/>
      <c r="AN5244" s="500"/>
      <c r="AO5244" s="500"/>
      <c r="AP5244" s="500"/>
    </row>
    <row r="5245" spans="1:42" ht="16.5" customHeight="1">
      <c r="A5245" s="439"/>
      <c r="B5245" s="439"/>
      <c r="C5245" s="439"/>
      <c r="D5245" s="439"/>
      <c r="E5245" s="439"/>
      <c r="F5245" s="439"/>
      <c r="Z5245" s="500"/>
      <c r="AA5245" s="500"/>
      <c r="AB5245" s="500"/>
      <c r="AC5245" s="500"/>
      <c r="AD5245" s="500"/>
      <c r="AE5245" s="500"/>
      <c r="AF5245" s="500"/>
      <c r="AG5245" s="500"/>
      <c r="AH5245" s="500"/>
      <c r="AI5245" s="500"/>
      <c r="AJ5245" s="500"/>
      <c r="AK5245" s="500"/>
      <c r="AL5245" s="500"/>
      <c r="AM5245" s="500"/>
      <c r="AN5245" s="500"/>
      <c r="AO5245" s="500"/>
      <c r="AP5245" s="500"/>
    </row>
    <row r="5246" spans="1:42" ht="16.5" customHeight="1">
      <c r="A5246" s="439"/>
      <c r="B5246" s="439"/>
      <c r="C5246" s="439"/>
      <c r="D5246" s="439"/>
      <c r="E5246" s="439"/>
      <c r="F5246" s="439"/>
      <c r="Z5246" s="500"/>
      <c r="AA5246" s="500"/>
      <c r="AB5246" s="500"/>
      <c r="AC5246" s="500"/>
      <c r="AD5246" s="500"/>
      <c r="AE5246" s="500"/>
      <c r="AF5246" s="500"/>
      <c r="AG5246" s="500"/>
      <c r="AH5246" s="500"/>
      <c r="AI5246" s="500"/>
      <c r="AJ5246" s="500"/>
      <c r="AK5246" s="500"/>
      <c r="AL5246" s="500"/>
      <c r="AM5246" s="500"/>
      <c r="AN5246" s="500"/>
      <c r="AO5246" s="500"/>
      <c r="AP5246" s="500"/>
    </row>
    <row r="5247" spans="1:42" ht="16.5" customHeight="1">
      <c r="A5247" s="439"/>
      <c r="B5247" s="439"/>
      <c r="C5247" s="439"/>
      <c r="D5247" s="439"/>
      <c r="E5247" s="439"/>
      <c r="F5247" s="439"/>
      <c r="Z5247" s="500"/>
      <c r="AA5247" s="500"/>
      <c r="AB5247" s="500"/>
      <c r="AC5247" s="500"/>
      <c r="AD5247" s="500"/>
      <c r="AE5247" s="500"/>
      <c r="AF5247" s="500"/>
      <c r="AG5247" s="500"/>
      <c r="AH5247" s="500"/>
      <c r="AI5247" s="500"/>
      <c r="AJ5247" s="500"/>
      <c r="AK5247" s="500"/>
      <c r="AL5247" s="500"/>
      <c r="AM5247" s="500"/>
      <c r="AN5247" s="500"/>
      <c r="AO5247" s="500"/>
      <c r="AP5247" s="500"/>
    </row>
    <row r="5248" spans="1:42" ht="16.5" customHeight="1">
      <c r="A5248" s="439"/>
      <c r="B5248" s="439"/>
      <c r="C5248" s="439"/>
      <c r="D5248" s="439"/>
      <c r="E5248" s="439"/>
      <c r="F5248" s="439"/>
      <c r="Z5248" s="500"/>
      <c r="AA5248" s="500"/>
      <c r="AB5248" s="500"/>
      <c r="AC5248" s="500"/>
      <c r="AD5248" s="500"/>
      <c r="AE5248" s="500"/>
      <c r="AF5248" s="500"/>
      <c r="AG5248" s="500"/>
      <c r="AH5248" s="500"/>
      <c r="AI5248" s="500"/>
      <c r="AJ5248" s="500"/>
      <c r="AK5248" s="500"/>
      <c r="AL5248" s="500"/>
      <c r="AM5248" s="500"/>
      <c r="AN5248" s="500"/>
      <c r="AO5248" s="500"/>
      <c r="AP5248" s="500"/>
    </row>
    <row r="5249" spans="1:42" ht="16.5" customHeight="1">
      <c r="A5249" s="439"/>
      <c r="B5249" s="439"/>
      <c r="C5249" s="439"/>
      <c r="D5249" s="439"/>
      <c r="E5249" s="439"/>
      <c r="F5249" s="439"/>
      <c r="Z5249" s="500"/>
      <c r="AA5249" s="500"/>
      <c r="AB5249" s="500"/>
      <c r="AC5249" s="500"/>
      <c r="AD5249" s="500"/>
      <c r="AE5249" s="500"/>
      <c r="AF5249" s="500"/>
      <c r="AG5249" s="500"/>
      <c r="AH5249" s="500"/>
      <c r="AI5249" s="500"/>
      <c r="AJ5249" s="500"/>
      <c r="AK5249" s="500"/>
      <c r="AL5249" s="500"/>
      <c r="AM5249" s="500"/>
      <c r="AN5249" s="500"/>
      <c r="AO5249" s="500"/>
      <c r="AP5249" s="500"/>
    </row>
    <row r="5250" spans="1:42" ht="16.5" customHeight="1">
      <c r="A5250" s="439"/>
      <c r="B5250" s="439"/>
      <c r="C5250" s="439"/>
      <c r="D5250" s="439"/>
      <c r="E5250" s="439"/>
      <c r="F5250" s="439"/>
      <c r="Z5250" s="500"/>
      <c r="AA5250" s="500"/>
      <c r="AB5250" s="500"/>
      <c r="AC5250" s="500"/>
      <c r="AD5250" s="500"/>
      <c r="AE5250" s="500"/>
      <c r="AF5250" s="500"/>
      <c r="AG5250" s="500"/>
      <c r="AH5250" s="500"/>
      <c r="AI5250" s="500"/>
      <c r="AJ5250" s="500"/>
      <c r="AK5250" s="500"/>
      <c r="AL5250" s="500"/>
      <c r="AM5250" s="500"/>
      <c r="AN5250" s="500"/>
      <c r="AO5250" s="500"/>
      <c r="AP5250" s="500"/>
    </row>
    <row r="5251" spans="1:42" ht="16.5" customHeight="1">
      <c r="A5251" s="439"/>
      <c r="B5251" s="439"/>
      <c r="C5251" s="439"/>
      <c r="D5251" s="439"/>
      <c r="E5251" s="439"/>
      <c r="F5251" s="439"/>
      <c r="Z5251" s="500"/>
      <c r="AA5251" s="500"/>
      <c r="AB5251" s="500"/>
      <c r="AC5251" s="500"/>
      <c r="AD5251" s="500"/>
      <c r="AE5251" s="500"/>
      <c r="AF5251" s="500"/>
      <c r="AG5251" s="500"/>
      <c r="AH5251" s="500"/>
      <c r="AI5251" s="500"/>
      <c r="AJ5251" s="500"/>
      <c r="AK5251" s="500"/>
      <c r="AL5251" s="500"/>
      <c r="AM5251" s="500"/>
      <c r="AN5251" s="500"/>
      <c r="AO5251" s="500"/>
      <c r="AP5251" s="500"/>
    </row>
    <row r="5252" spans="1:42" ht="16.5" customHeight="1">
      <c r="A5252" s="439"/>
      <c r="B5252" s="439"/>
      <c r="C5252" s="439"/>
      <c r="D5252" s="439"/>
      <c r="E5252" s="439"/>
      <c r="F5252" s="439"/>
      <c r="Z5252" s="500"/>
      <c r="AA5252" s="500"/>
      <c r="AB5252" s="500"/>
      <c r="AC5252" s="500"/>
      <c r="AD5252" s="500"/>
      <c r="AE5252" s="500"/>
      <c r="AF5252" s="500"/>
      <c r="AG5252" s="500"/>
      <c r="AH5252" s="500"/>
      <c r="AI5252" s="500"/>
      <c r="AJ5252" s="500"/>
      <c r="AK5252" s="500"/>
      <c r="AL5252" s="500"/>
      <c r="AM5252" s="500"/>
      <c r="AN5252" s="500"/>
      <c r="AO5252" s="500"/>
      <c r="AP5252" s="500"/>
    </row>
    <row r="5253" spans="1:42" ht="16.5" customHeight="1">
      <c r="A5253" s="497"/>
      <c r="B5253" s="497"/>
      <c r="C5253" s="497"/>
      <c r="D5253" s="497"/>
      <c r="E5253" s="497"/>
      <c r="F5253" s="497"/>
      <c r="Z5253" s="500"/>
      <c r="AA5253" s="500"/>
      <c r="AB5253" s="500"/>
      <c r="AC5253" s="500"/>
      <c r="AD5253" s="500"/>
      <c r="AE5253" s="500"/>
      <c r="AF5253" s="500"/>
      <c r="AG5253" s="500"/>
      <c r="AH5253" s="500"/>
      <c r="AI5253" s="500"/>
      <c r="AJ5253" s="500"/>
      <c r="AK5253" s="500"/>
      <c r="AL5253" s="500"/>
      <c r="AM5253" s="500"/>
      <c r="AN5253" s="500"/>
      <c r="AO5253" s="500"/>
      <c r="AP5253" s="500"/>
    </row>
    <row r="5254" spans="1:42" ht="16.5" customHeight="1">
      <c r="A5254" s="616" t="s">
        <v>3487</v>
      </c>
      <c r="B5254" s="605"/>
      <c r="C5254" s="446">
        <f>E5254+D5254+F5254</f>
        <v>31588</v>
      </c>
      <c r="D5254" s="453">
        <f>ROUNDDOWN(SUMIF(N5207:N5236,M5254,D5207:D5236),0)</f>
        <v>30785</v>
      </c>
      <c r="E5254" s="454">
        <f>ROUNDDOWN(SUMIF(N5207:N5236,M5254,E5207:E5236),0)</f>
        <v>0</v>
      </c>
      <c r="F5254" s="446">
        <f>ROUNDDOWN(SUMIF(N5207:N5236,M5254,F5207:F5236),0)</f>
        <v>803</v>
      </c>
      <c r="M5254" s="501" t="s">
        <v>2354</v>
      </c>
      <c r="Z5254" s="500"/>
      <c r="AA5254" s="500"/>
      <c r="AB5254" s="500"/>
      <c r="AC5254" s="500"/>
      <c r="AD5254" s="500"/>
      <c r="AE5254" s="500"/>
      <c r="AF5254" s="500"/>
      <c r="AG5254" s="500"/>
      <c r="AH5254" s="500"/>
      <c r="AI5254" s="500"/>
      <c r="AJ5254" s="500"/>
      <c r="AK5254" s="500"/>
      <c r="AL5254" s="500"/>
      <c r="AM5254" s="500"/>
      <c r="AN5254" s="500"/>
      <c r="AO5254" s="500"/>
      <c r="AP5254" s="500"/>
    </row>
    <row r="5255" spans="1:42" ht="16.5" customHeight="1">
      <c r="A5255" s="502" t="s">
        <v>3371</v>
      </c>
      <c r="B5255" s="503" t="s">
        <v>5475</v>
      </c>
      <c r="C5255" s="615">
        <f>C5304</f>
        <v>50540</v>
      </c>
      <c r="D5255" s="615">
        <f>D5304</f>
        <v>49256</v>
      </c>
      <c r="E5255" s="615">
        <f>E5304</f>
        <v>0</v>
      </c>
      <c r="F5255" s="615">
        <f>F5304</f>
        <v>1284</v>
      </c>
      <c r="G5255" s="486" t="str">
        <f>HYPERLINK("#G"&amp;ROW(G5286),"_x0005_`BDCOD|D01367_x0007_`POSS|"&amp;ROW(G5257)&amp;"_x0007_`POSE|"&amp;ROW(G5286)&amp;"_x0007_`")</f>
        <v>_x0005_`BDCOD|D01367_x0007_`POSS|5257_x0007_`POSE|5286_x0007_`</v>
      </c>
      <c r="Z5255" s="500"/>
      <c r="AA5255" s="500"/>
      <c r="AB5255" s="500"/>
      <c r="AC5255" s="500"/>
      <c r="AD5255" s="500"/>
      <c r="AE5255" s="500"/>
      <c r="AF5255" s="500"/>
      <c r="AG5255" s="500"/>
      <c r="AH5255" s="500"/>
      <c r="AI5255" s="500"/>
      <c r="AJ5255" s="500"/>
      <c r="AK5255" s="500"/>
      <c r="AL5255" s="500"/>
      <c r="AM5255" s="500"/>
      <c r="AN5255" s="500"/>
      <c r="AO5255" s="500"/>
      <c r="AP5255" s="500"/>
    </row>
    <row r="5256" spans="1:42" ht="16.5" customHeight="1">
      <c r="A5256" s="485"/>
      <c r="B5256" s="503" t="s">
        <v>5631</v>
      </c>
      <c r="C5256" s="593"/>
      <c r="D5256" s="593"/>
      <c r="E5256" s="593"/>
      <c r="F5256" s="593"/>
      <c r="M5256" s="501" t="s">
        <v>5475</v>
      </c>
      <c r="Z5256" s="500"/>
      <c r="AA5256" s="500"/>
      <c r="AB5256" s="500"/>
      <c r="AC5256" s="500"/>
      <c r="AD5256" s="500"/>
      <c r="AE5256" s="500"/>
      <c r="AF5256" s="500"/>
      <c r="AG5256" s="500"/>
      <c r="AH5256" s="500"/>
      <c r="AI5256" s="500"/>
      <c r="AJ5256" s="500"/>
      <c r="AK5256" s="500"/>
      <c r="AL5256" s="500"/>
      <c r="AM5256" s="500"/>
      <c r="AN5256" s="500"/>
      <c r="AO5256" s="500"/>
      <c r="AP5256" s="500"/>
    </row>
    <row r="5257" spans="1:42" ht="16.5" customHeight="1">
      <c r="A5257" s="439"/>
      <c r="B5257" s="439"/>
      <c r="C5257" s="504"/>
      <c r="D5257" s="504"/>
      <c r="E5257" s="504"/>
      <c r="F5257" s="504"/>
      <c r="G5257" s="451" t="s">
        <v>3406</v>
      </c>
      <c r="Z5257" s="500"/>
      <c r="AA5257" s="500"/>
      <c r="AB5257" s="500"/>
      <c r="AC5257" s="500"/>
      <c r="AD5257" s="500"/>
      <c r="AE5257" s="500"/>
      <c r="AF5257" s="500"/>
      <c r="AG5257" s="500"/>
      <c r="AH5257" s="500"/>
      <c r="AI5257" s="500"/>
      <c r="AJ5257" s="500"/>
      <c r="AK5257" s="500"/>
      <c r="AL5257" s="500"/>
      <c r="AM5257" s="500"/>
      <c r="AN5257" s="500"/>
      <c r="AO5257" s="500"/>
      <c r="AP5257" s="500"/>
    </row>
    <row r="5258" spans="1:42" ht="16.5" customHeight="1">
      <c r="A5258" s="434"/>
      <c r="B5258" s="437" t="s">
        <v>3976</v>
      </c>
      <c r="C5258" s="439"/>
      <c r="D5258" s="439"/>
      <c r="E5258" s="439"/>
      <c r="F5258" s="439"/>
      <c r="G5258" s="451" t="s">
        <v>3977</v>
      </c>
      <c r="Z5258" s="500"/>
      <c r="AA5258" s="500"/>
      <c r="AB5258" s="500"/>
      <c r="AC5258" s="500"/>
      <c r="AD5258" s="500"/>
      <c r="AE5258" s="500"/>
      <c r="AF5258" s="500"/>
      <c r="AG5258" s="500"/>
      <c r="AH5258" s="500"/>
      <c r="AI5258" s="500"/>
      <c r="AJ5258" s="500"/>
      <c r="AK5258" s="500"/>
      <c r="AL5258" s="500"/>
      <c r="AM5258" s="500"/>
      <c r="AN5258" s="500"/>
      <c r="AO5258" s="500"/>
      <c r="AP5258" s="500"/>
    </row>
    <row r="5259" spans="1:42" ht="16.5" customHeight="1">
      <c r="A5259" s="439"/>
      <c r="B5259" s="439"/>
      <c r="C5259" s="439"/>
      <c r="D5259" s="439"/>
      <c r="E5259" s="439"/>
      <c r="F5259" s="439"/>
      <c r="G5259" s="451" t="s">
        <v>3406</v>
      </c>
      <c r="Z5259" s="500"/>
      <c r="AA5259" s="500"/>
      <c r="AB5259" s="500"/>
      <c r="AC5259" s="500"/>
      <c r="AD5259" s="500"/>
      <c r="AE5259" s="500"/>
      <c r="AF5259" s="500"/>
      <c r="AG5259" s="500"/>
      <c r="AH5259" s="500"/>
      <c r="AI5259" s="500"/>
      <c r="AJ5259" s="500"/>
      <c r="AK5259" s="500"/>
      <c r="AL5259" s="500"/>
      <c r="AM5259" s="500"/>
      <c r="AN5259" s="500"/>
      <c r="AO5259" s="500"/>
      <c r="AP5259" s="500"/>
    </row>
    <row r="5260" spans="1:42" ht="16.5" customHeight="1">
      <c r="A5260" s="434"/>
      <c r="B5260" s="437" t="s">
        <v>3907</v>
      </c>
      <c r="C5260" s="439"/>
      <c r="D5260" s="439"/>
      <c r="E5260" s="439"/>
      <c r="F5260" s="439"/>
      <c r="G5260" s="451" t="s">
        <v>3908</v>
      </c>
      <c r="Z5260" s="500"/>
      <c r="AA5260" s="500"/>
      <c r="AB5260" s="500"/>
      <c r="AC5260" s="500"/>
      <c r="AD5260" s="500"/>
      <c r="AE5260" s="500"/>
      <c r="AF5260" s="500"/>
      <c r="AG5260" s="500"/>
      <c r="AH5260" s="500"/>
      <c r="AI5260" s="500"/>
      <c r="AJ5260" s="500"/>
      <c r="AK5260" s="500"/>
      <c r="AL5260" s="500"/>
      <c r="AM5260" s="500"/>
      <c r="AN5260" s="500"/>
      <c r="AO5260" s="500"/>
      <c r="AP5260" s="500"/>
    </row>
    <row r="5261" spans="1:42" ht="16.5" customHeight="1">
      <c r="A5261" s="439"/>
      <c r="B5261" s="439"/>
      <c r="C5261" s="439"/>
      <c r="D5261" s="439"/>
      <c r="E5261" s="439"/>
      <c r="F5261" s="439"/>
      <c r="G5261" s="451" t="s">
        <v>3406</v>
      </c>
      <c r="Z5261" s="500"/>
      <c r="AA5261" s="500"/>
      <c r="AB5261" s="500"/>
      <c r="AC5261" s="500"/>
      <c r="AD5261" s="500"/>
      <c r="AE5261" s="500"/>
      <c r="AF5261" s="500"/>
      <c r="AG5261" s="500"/>
      <c r="AH5261" s="500"/>
      <c r="AI5261" s="500"/>
      <c r="AJ5261" s="500"/>
      <c r="AK5261" s="500"/>
      <c r="AL5261" s="500"/>
      <c r="AM5261" s="500"/>
      <c r="AN5261" s="500"/>
      <c r="AO5261" s="500"/>
      <c r="AP5261" s="500"/>
    </row>
    <row r="5262" spans="1:42" ht="16.5" customHeight="1">
      <c r="A5262" s="434"/>
      <c r="B5262" s="437" t="s">
        <v>3955</v>
      </c>
      <c r="C5262" s="439"/>
      <c r="D5262" s="439"/>
      <c r="E5262" s="439"/>
      <c r="F5262" s="439"/>
      <c r="G5262" s="451" t="s">
        <v>3956</v>
      </c>
      <c r="Z5262" s="500"/>
      <c r="AA5262" s="500"/>
      <c r="AB5262" s="500"/>
      <c r="AC5262" s="500"/>
      <c r="AD5262" s="500"/>
      <c r="AE5262" s="500"/>
      <c r="AF5262" s="500"/>
      <c r="AG5262" s="500"/>
      <c r="AH5262" s="500"/>
      <c r="AI5262" s="500"/>
      <c r="AJ5262" s="500"/>
      <c r="AK5262" s="500"/>
      <c r="AL5262" s="500"/>
      <c r="AM5262" s="500"/>
      <c r="AN5262" s="500"/>
      <c r="AO5262" s="500"/>
      <c r="AP5262" s="500"/>
    </row>
    <row r="5263" spans="1:42" ht="16.5" customHeight="1">
      <c r="A5263" s="439"/>
      <c r="B5263" s="439"/>
      <c r="C5263" s="439"/>
      <c r="D5263" s="439"/>
      <c r="E5263" s="439"/>
      <c r="F5263" s="439"/>
      <c r="G5263" s="451" t="s">
        <v>3406</v>
      </c>
      <c r="Z5263" s="500"/>
      <c r="AA5263" s="500"/>
      <c r="AB5263" s="500"/>
      <c r="AC5263" s="500"/>
      <c r="AD5263" s="500"/>
      <c r="AE5263" s="500"/>
      <c r="AF5263" s="500"/>
      <c r="AG5263" s="500"/>
      <c r="AH5263" s="500"/>
      <c r="AI5263" s="500"/>
      <c r="AJ5263" s="500"/>
      <c r="AK5263" s="500"/>
      <c r="AL5263" s="500"/>
      <c r="AM5263" s="500"/>
      <c r="AN5263" s="500"/>
      <c r="AO5263" s="500"/>
      <c r="AP5263" s="500"/>
    </row>
    <row r="5264" spans="1:42" ht="16.5" customHeight="1">
      <c r="A5264" s="434"/>
      <c r="B5264" s="437" t="str">
        <f>" 일당 작업량 :  Q1 = "&amp;Z5264&amp;" 주 "</f>
        <v xml:space="preserve"> 일당 작업량 :  Q1 = 15 주 </v>
      </c>
      <c r="C5264" s="439"/>
      <c r="D5264" s="439"/>
      <c r="E5264" s="439"/>
      <c r="F5264" s="439"/>
      <c r="G5264" s="451" t="s">
        <v>3978</v>
      </c>
      <c r="Z5264" s="515">
        <v>15</v>
      </c>
      <c r="AA5264" s="501" t="s">
        <v>3418</v>
      </c>
      <c r="AB5264" s="512">
        <f>Z5264</f>
        <v>15</v>
      </c>
      <c r="AC5264" s="500"/>
      <c r="AD5264" s="500"/>
      <c r="AE5264" s="500"/>
      <c r="AF5264" s="500"/>
      <c r="AG5264" s="500"/>
      <c r="AH5264" s="500"/>
      <c r="AI5264" s="500"/>
      <c r="AJ5264" s="500"/>
      <c r="AK5264" s="500"/>
      <c r="AL5264" s="500"/>
      <c r="AM5264" s="500"/>
      <c r="AN5264" s="500"/>
      <c r="AO5264" s="500"/>
      <c r="AP5264" s="500"/>
    </row>
    <row r="5265" spans="1:42" ht="16.5" customHeight="1">
      <c r="A5265" s="439"/>
      <c r="B5265" s="439"/>
      <c r="C5265" s="439"/>
      <c r="D5265" s="439"/>
      <c r="E5265" s="439"/>
      <c r="F5265" s="439"/>
      <c r="G5265" s="451" t="s">
        <v>3406</v>
      </c>
      <c r="Z5265" s="500"/>
      <c r="AA5265" s="500"/>
      <c r="AB5265" s="500"/>
      <c r="AC5265" s="500"/>
      <c r="AD5265" s="500"/>
      <c r="AE5265" s="500"/>
      <c r="AF5265" s="500"/>
      <c r="AG5265" s="500"/>
      <c r="AH5265" s="500"/>
      <c r="AI5265" s="500"/>
      <c r="AJ5265" s="500"/>
      <c r="AK5265" s="500"/>
      <c r="AL5265" s="500"/>
      <c r="AM5265" s="500"/>
      <c r="AN5265" s="500"/>
      <c r="AO5265" s="500"/>
      <c r="AP5265" s="500"/>
    </row>
    <row r="5266" spans="1:42" ht="16.5" customHeight="1">
      <c r="A5266" s="434"/>
      <c r="B5266" s="437" t="s">
        <v>3958</v>
      </c>
      <c r="C5266" s="439"/>
      <c r="D5266" s="439"/>
      <c r="E5266" s="439"/>
      <c r="F5266" s="439"/>
      <c r="G5266" s="451" t="s">
        <v>3959</v>
      </c>
      <c r="Z5266" s="500"/>
      <c r="AA5266" s="500"/>
      <c r="AB5266" s="500"/>
      <c r="AC5266" s="500"/>
      <c r="AD5266" s="500"/>
      <c r="AE5266" s="500"/>
      <c r="AF5266" s="500"/>
      <c r="AG5266" s="500"/>
      <c r="AH5266" s="500"/>
      <c r="AI5266" s="500"/>
      <c r="AJ5266" s="500"/>
      <c r="AK5266" s="500"/>
      <c r="AL5266" s="500"/>
      <c r="AM5266" s="500"/>
      <c r="AN5266" s="500"/>
      <c r="AO5266" s="500"/>
      <c r="AP5266" s="500"/>
    </row>
    <row r="5267" spans="1:42" ht="16.5" customHeight="1">
      <c r="A5267" s="439"/>
      <c r="B5267" s="439"/>
      <c r="C5267" s="439"/>
      <c r="D5267" s="439"/>
      <c r="E5267" s="439"/>
      <c r="F5267" s="439"/>
      <c r="G5267" s="451" t="s">
        <v>3406</v>
      </c>
      <c r="Z5267" s="500"/>
      <c r="AA5267" s="500"/>
      <c r="AB5267" s="500"/>
      <c r="AC5267" s="500"/>
      <c r="AD5267" s="500"/>
      <c r="AE5267" s="500"/>
      <c r="AF5267" s="500"/>
      <c r="AG5267" s="500"/>
      <c r="AH5267" s="500"/>
      <c r="AI5267" s="500"/>
      <c r="AJ5267" s="500"/>
      <c r="AK5267" s="500"/>
      <c r="AL5267" s="500"/>
      <c r="AM5267" s="500"/>
      <c r="AN5267" s="500"/>
      <c r="AO5267" s="500"/>
      <c r="AP5267" s="500"/>
    </row>
    <row r="5268" spans="1:42" ht="16.5" customHeight="1">
      <c r="A5268" s="439"/>
      <c r="B5268" s="439"/>
      <c r="C5268" s="439"/>
      <c r="D5268" s="439"/>
      <c r="E5268" s="439"/>
      <c r="F5268" s="439"/>
      <c r="G5268" s="451" t="s">
        <v>3406</v>
      </c>
      <c r="Z5268" s="500"/>
      <c r="AA5268" s="500"/>
      <c r="AB5268" s="500"/>
      <c r="AC5268" s="500"/>
      <c r="AD5268" s="500"/>
      <c r="AE5268" s="500"/>
      <c r="AF5268" s="500"/>
      <c r="AG5268" s="500"/>
      <c r="AH5268" s="500"/>
      <c r="AI5268" s="500"/>
      <c r="AJ5268" s="500"/>
      <c r="AK5268" s="500"/>
      <c r="AL5268" s="500"/>
      <c r="AM5268" s="500"/>
      <c r="AN5268" s="500"/>
      <c r="AO5268" s="500"/>
      <c r="AP5268" s="500"/>
    </row>
    <row r="5269" spans="1:42" ht="16.5" customHeight="1">
      <c r="A5269" s="434"/>
      <c r="B5269" s="437" t="s">
        <v>3496</v>
      </c>
      <c r="C5269" s="439"/>
      <c r="D5269" s="439"/>
      <c r="E5269" s="439"/>
      <c r="F5269" s="439"/>
      <c r="G5269" s="451" t="s">
        <v>3497</v>
      </c>
      <c r="Z5269" s="500"/>
      <c r="AA5269" s="500"/>
      <c r="AB5269" s="500"/>
      <c r="AC5269" s="500"/>
      <c r="AD5269" s="500"/>
      <c r="AE5269" s="500"/>
      <c r="AF5269" s="500"/>
      <c r="AG5269" s="500"/>
      <c r="AH5269" s="500"/>
      <c r="AI5269" s="500"/>
      <c r="AJ5269" s="500"/>
      <c r="AK5269" s="500"/>
      <c r="AL5269" s="500"/>
      <c r="AM5269" s="500"/>
      <c r="AN5269" s="500"/>
      <c r="AO5269" s="500"/>
      <c r="AP5269" s="500"/>
    </row>
    <row r="5270" spans="1:42" ht="16.5" customHeight="1">
      <c r="A5270" s="439"/>
      <c r="B5270" s="439"/>
      <c r="C5270" s="439"/>
      <c r="D5270" s="439"/>
      <c r="E5270" s="439"/>
      <c r="F5270" s="439"/>
      <c r="G5270" s="451" t="s">
        <v>3406</v>
      </c>
      <c r="Z5270" s="500"/>
      <c r="AA5270" s="500"/>
      <c r="AB5270" s="500"/>
      <c r="AC5270" s="500"/>
      <c r="AD5270" s="500"/>
      <c r="AE5270" s="500"/>
      <c r="AF5270" s="500"/>
      <c r="AG5270" s="500"/>
      <c r="AH5270" s="500"/>
      <c r="AI5270" s="500"/>
      <c r="AJ5270" s="500"/>
      <c r="AK5270" s="500"/>
      <c r="AL5270" s="500"/>
      <c r="AM5270" s="500"/>
      <c r="AN5270" s="500"/>
      <c r="AO5270" s="500"/>
      <c r="AP5270" s="500"/>
    </row>
    <row r="5271" spans="1:42" ht="16.5" customHeight="1">
      <c r="A5271" s="434" t="s">
        <v>3498</v>
      </c>
      <c r="B5271" s="505" t="str">
        <f>" 조 경 공 : "&amp;TEXT(I5271,"#,##0"&amp;IF(I5271&lt;&gt;INT(I5271),".###",""))&amp;" * "&amp;AA5271&amp;" 인  / Q1 = "&amp;TEXT(C5271,"#,##0.0")&amp;" "</f>
        <v xml:space="preserve"> 조 경 공 : 235,204 * 2 인  / Q1 = 31,360.5 </v>
      </c>
      <c r="C5271" s="506">
        <f>E5271+D5271+F5271</f>
        <v>31360.5</v>
      </c>
      <c r="D5271" s="506">
        <f>IF(H5271=0,0,ROUNDDOWN(J5271*H5271,1))</f>
        <v>31360.5</v>
      </c>
      <c r="E5271" s="506">
        <f>IF(H5271=0,0,ROUNDDOWN(K5271*H5271,1))</f>
        <v>0</v>
      </c>
      <c r="F5271" s="506">
        <f>IF(H5271=0,0,ROUNDDOWN(L5271*H5271,1))</f>
        <v>0</v>
      </c>
      <c r="G5271" s="451" t="s">
        <v>3960</v>
      </c>
      <c r="H5271" s="507">
        <f>ROUNDUP(AE5271,14-LEN(ABS(INT(AE5271))))</f>
        <v>0.1333333333334</v>
      </c>
      <c r="I5271" s="508">
        <f>K5271+J5271+L5271</f>
        <v>235204</v>
      </c>
      <c r="J5271" s="509">
        <f>노무비목록표!E15</f>
        <v>235204</v>
      </c>
      <c r="M5271" s="501" t="s">
        <v>2359</v>
      </c>
      <c r="N5271" s="501" t="s">
        <v>3416</v>
      </c>
      <c r="O5271" s="501" t="s">
        <v>2355</v>
      </c>
      <c r="X5271" s="510" t="str">
        <f>노무비목록표!B15&amp;" / "&amp;노무비목록표!C15</f>
        <v xml:space="preserve">조경공 / </v>
      </c>
      <c r="Y5271" s="433" t="str">
        <f ca="1">HYPERLINK("#"&amp;노무비목록표!G2&amp;"!A"&amp;ROW(노무비목록표!A15),"L00184 →")</f>
        <v>L00184 →</v>
      </c>
      <c r="Z5271" s="501" t="s">
        <v>3500</v>
      </c>
      <c r="AA5271" s="515">
        <v>2</v>
      </c>
      <c r="AB5271" s="501" t="s">
        <v>3428</v>
      </c>
      <c r="AC5271" s="512">
        <f>AB5264</f>
        <v>15</v>
      </c>
      <c r="AD5271" s="501" t="s">
        <v>3418</v>
      </c>
      <c r="AE5271" s="512">
        <f>1*AA5271/AB5264</f>
        <v>0.13333333333333333</v>
      </c>
      <c r="AF5271" s="500"/>
      <c r="AG5271" s="500"/>
      <c r="AH5271" s="500"/>
      <c r="AI5271" s="500"/>
      <c r="AJ5271" s="500"/>
      <c r="AK5271" s="500"/>
      <c r="AL5271" s="500"/>
      <c r="AM5271" s="500"/>
      <c r="AN5271" s="500"/>
      <c r="AO5271" s="500"/>
      <c r="AP5271" s="500"/>
    </row>
    <row r="5272" spans="1:42" ht="16.5" customHeight="1">
      <c r="A5272" s="439"/>
      <c r="B5272" s="439"/>
      <c r="C5272" s="439"/>
      <c r="D5272" s="439"/>
      <c r="E5272" s="439"/>
      <c r="F5272" s="439"/>
      <c r="G5272" s="451" t="s">
        <v>3406</v>
      </c>
      <c r="Z5272" s="500"/>
      <c r="AA5272" s="500"/>
      <c r="AB5272" s="500"/>
      <c r="AC5272" s="500"/>
      <c r="AD5272" s="500"/>
      <c r="AE5272" s="500"/>
      <c r="AF5272" s="500"/>
      <c r="AG5272" s="500"/>
      <c r="AH5272" s="500"/>
      <c r="AI5272" s="500"/>
      <c r="AJ5272" s="500"/>
      <c r="AK5272" s="500"/>
      <c r="AL5272" s="500"/>
      <c r="AM5272" s="500"/>
      <c r="AN5272" s="500"/>
      <c r="AO5272" s="500"/>
      <c r="AP5272" s="500"/>
    </row>
    <row r="5273" spans="1:42" ht="16.5" customHeight="1">
      <c r="A5273" s="434" t="s">
        <v>3414</v>
      </c>
      <c r="B5273" s="505" t="str">
        <f>" 보통인부 : "&amp;TEXT(I5273,"#,##0"&amp;IF(I5273&lt;&gt;INT(I5273),".###",""))&amp;" * "&amp;AA5273&amp;" 인  / Q1 = "&amp;TEXT(C5273,"#,##0.0")&amp;" "</f>
        <v xml:space="preserve"> 보통인부 : 172,068 * 1 인  / Q1 = 11,471.2 </v>
      </c>
      <c r="C5273" s="506">
        <f>E5273+D5273+F5273</f>
        <v>11471.2</v>
      </c>
      <c r="D5273" s="506">
        <f>IF(H5273=0,0,ROUNDDOWN(J5273*H5273,1))</f>
        <v>11471.2</v>
      </c>
      <c r="E5273" s="506">
        <f>IF(H5273=0,0,ROUNDDOWN(K5273*H5273,1))</f>
        <v>0</v>
      </c>
      <c r="F5273" s="506">
        <f>IF(H5273=0,0,ROUNDDOWN(L5273*H5273,1))</f>
        <v>0</v>
      </c>
      <c r="G5273" s="451" t="s">
        <v>3894</v>
      </c>
      <c r="H5273" s="507">
        <f>ROUNDUP(AE5273,14-LEN(ABS(INT(AE5273))))</f>
        <v>6.66666666667E-2</v>
      </c>
      <c r="I5273" s="508">
        <f>K5273+J5273+L5273</f>
        <v>172068</v>
      </c>
      <c r="J5273" s="509">
        <f>노무비목록표!E10</f>
        <v>172068</v>
      </c>
      <c r="M5273" s="501" t="s">
        <v>2363</v>
      </c>
      <c r="N5273" s="501" t="s">
        <v>3416</v>
      </c>
      <c r="O5273" s="501" t="s">
        <v>2355</v>
      </c>
      <c r="X5273" s="510" t="str">
        <f>노무비목록표!B10&amp;" / "&amp;노무비목록표!C10</f>
        <v xml:space="preserve">보통인부 / </v>
      </c>
      <c r="Y5273" s="433" t="str">
        <f ca="1">HYPERLINK("#"&amp;노무비목록표!G2&amp;"!A"&amp;ROW(노무비목록표!A10),"L00017 →")</f>
        <v>L00017 →</v>
      </c>
      <c r="Z5273" s="501" t="s">
        <v>3500</v>
      </c>
      <c r="AA5273" s="515">
        <v>1</v>
      </c>
      <c r="AB5273" s="501" t="s">
        <v>3428</v>
      </c>
      <c r="AC5273" s="512">
        <f>AB5264</f>
        <v>15</v>
      </c>
      <c r="AD5273" s="501" t="s">
        <v>3418</v>
      </c>
      <c r="AE5273" s="512">
        <f>1*AA5273/AB5264</f>
        <v>6.6666666666666666E-2</v>
      </c>
      <c r="AF5273" s="500"/>
      <c r="AG5273" s="500"/>
      <c r="AH5273" s="500"/>
      <c r="AI5273" s="500"/>
      <c r="AJ5273" s="500"/>
      <c r="AK5273" s="500"/>
      <c r="AL5273" s="500"/>
      <c r="AM5273" s="500"/>
      <c r="AN5273" s="500"/>
      <c r="AO5273" s="500"/>
      <c r="AP5273" s="500"/>
    </row>
    <row r="5274" spans="1:42" ht="16.5" customHeight="1">
      <c r="A5274" s="439"/>
      <c r="B5274" s="439"/>
      <c r="C5274" s="439"/>
      <c r="D5274" s="439"/>
      <c r="E5274" s="439"/>
      <c r="F5274" s="439"/>
      <c r="G5274" s="451" t="s">
        <v>3406</v>
      </c>
      <c r="Z5274" s="500"/>
      <c r="AA5274" s="500"/>
      <c r="AB5274" s="500"/>
      <c r="AC5274" s="500"/>
      <c r="AD5274" s="500"/>
      <c r="AE5274" s="500"/>
      <c r="AF5274" s="500"/>
      <c r="AG5274" s="500"/>
      <c r="AH5274" s="500"/>
      <c r="AI5274" s="500"/>
      <c r="AJ5274" s="500"/>
      <c r="AK5274" s="500"/>
      <c r="AL5274" s="500"/>
      <c r="AM5274" s="500"/>
      <c r="AN5274" s="500"/>
      <c r="AO5274" s="500"/>
      <c r="AP5274" s="500"/>
    </row>
    <row r="5275" spans="1:42" ht="16.5" customHeight="1">
      <c r="A5275" s="434"/>
      <c r="B5275" s="437" t="s">
        <v>3419</v>
      </c>
      <c r="C5275" s="513">
        <f>E5275+D5275+F5275</f>
        <v>42831.7</v>
      </c>
      <c r="D5275" s="513">
        <f>SUMIF(N5257:N5274,M5275,D5257:D5274)</f>
        <v>42831.7</v>
      </c>
      <c r="E5275" s="513">
        <f>SUMIF(N5257:N5274,M5275,E5257:E5274)</f>
        <v>0</v>
      </c>
      <c r="F5275" s="513">
        <f>SUMIF(N5257:N5274,M5275,F5257:F5274)</f>
        <v>0</v>
      </c>
      <c r="G5275" s="451" t="s">
        <v>3420</v>
      </c>
      <c r="M5275" s="501" t="s">
        <v>3416</v>
      </c>
      <c r="N5275" s="501" t="s">
        <v>3421</v>
      </c>
      <c r="Z5275" s="500"/>
      <c r="AA5275" s="500"/>
      <c r="AB5275" s="500"/>
      <c r="AC5275" s="500"/>
      <c r="AD5275" s="500"/>
      <c r="AE5275" s="500"/>
      <c r="AF5275" s="500"/>
      <c r="AG5275" s="500"/>
      <c r="AH5275" s="500"/>
      <c r="AI5275" s="500"/>
      <c r="AJ5275" s="500"/>
      <c r="AK5275" s="500"/>
      <c r="AL5275" s="500"/>
      <c r="AM5275" s="500"/>
      <c r="AN5275" s="500"/>
      <c r="AO5275" s="500"/>
      <c r="AP5275" s="500"/>
    </row>
    <row r="5276" spans="1:42" ht="16.5" customHeight="1">
      <c r="A5276" s="439"/>
      <c r="B5276" s="439"/>
      <c r="C5276" s="504"/>
      <c r="D5276" s="504"/>
      <c r="E5276" s="504"/>
      <c r="F5276" s="504"/>
      <c r="G5276" s="451" t="s">
        <v>3406</v>
      </c>
      <c r="Z5276" s="500"/>
      <c r="AA5276" s="500"/>
      <c r="AB5276" s="500"/>
      <c r="AC5276" s="500"/>
      <c r="AD5276" s="500"/>
      <c r="AE5276" s="500"/>
      <c r="AF5276" s="500"/>
      <c r="AG5276" s="500"/>
      <c r="AH5276" s="500"/>
      <c r="AI5276" s="500"/>
      <c r="AJ5276" s="500"/>
      <c r="AK5276" s="500"/>
      <c r="AL5276" s="500"/>
      <c r="AM5276" s="500"/>
      <c r="AN5276" s="500"/>
      <c r="AO5276" s="500"/>
      <c r="AP5276" s="500"/>
    </row>
    <row r="5277" spans="1:42" ht="16.5" customHeight="1">
      <c r="A5277" s="439"/>
      <c r="B5277" s="439"/>
      <c r="C5277" s="439"/>
      <c r="D5277" s="439"/>
      <c r="E5277" s="439"/>
      <c r="F5277" s="439"/>
      <c r="G5277" s="451" t="s">
        <v>3406</v>
      </c>
      <c r="Z5277" s="500"/>
      <c r="AA5277" s="500"/>
      <c r="AB5277" s="500"/>
      <c r="AC5277" s="500"/>
      <c r="AD5277" s="500"/>
      <c r="AE5277" s="500"/>
      <c r="AF5277" s="500"/>
      <c r="AG5277" s="500"/>
      <c r="AH5277" s="500"/>
      <c r="AI5277" s="500"/>
      <c r="AJ5277" s="500"/>
      <c r="AK5277" s="500"/>
      <c r="AL5277" s="500"/>
      <c r="AM5277" s="500"/>
      <c r="AN5277" s="500"/>
      <c r="AO5277" s="500"/>
      <c r="AP5277" s="500"/>
    </row>
    <row r="5278" spans="1:42" ht="16.5" customHeight="1">
      <c r="A5278" s="434"/>
      <c r="B5278" s="505" t="str">
        <f>" 2. 기계경비(인력품의 3%) : "&amp;TEXT(I5278,"#,##0.0")&amp;" * "&amp;AA5278&amp;" %  = "&amp;TEXT(C5278,"#,##0.0")&amp;""</f>
        <v xml:space="preserve"> 2. 기계경비(인력품의 3%) : 42,831.7 * 3 %  = 1,284.9</v>
      </c>
      <c r="C5278" s="506">
        <f>E5278+D5278+F5278</f>
        <v>1284.9000000000001</v>
      </c>
      <c r="D5278" s="506">
        <f>IF(H5278=0,0,ROUNDDOWN(J5278*H5278/100,1))</f>
        <v>0</v>
      </c>
      <c r="E5278" s="506">
        <f>IF(H5278=0,0,ROUNDDOWN(K5278*H5278/100,1))</f>
        <v>0</v>
      </c>
      <c r="F5278" s="506">
        <f>IF(H5278=0,0,ROUNDDOWN(L5278*H5278/100,1))</f>
        <v>1284.9000000000001</v>
      </c>
      <c r="G5278" s="451" t="s">
        <v>3923</v>
      </c>
      <c r="H5278" s="507">
        <f>ROUNDUP(AC5278,14-LEN(ABS(INT(AC5278))))</f>
        <v>3</v>
      </c>
      <c r="I5278" s="508">
        <f>K5278+J5278+L5278</f>
        <v>42831.7</v>
      </c>
      <c r="J5278" s="456">
        <v>0</v>
      </c>
      <c r="K5278" s="456">
        <v>0</v>
      </c>
      <c r="L5278" s="509">
        <f>D5271+D5273</f>
        <v>42831.7</v>
      </c>
      <c r="M5278" s="501" t="s">
        <v>3743</v>
      </c>
      <c r="N5278" s="501" t="s">
        <v>3416</v>
      </c>
      <c r="Z5278" s="501" t="s">
        <v>3500</v>
      </c>
      <c r="AA5278" s="515">
        <v>3</v>
      </c>
      <c r="AB5278" s="501" t="s">
        <v>3418</v>
      </c>
      <c r="AC5278" s="512">
        <f>1*AA5278</f>
        <v>3</v>
      </c>
      <c r="AD5278" s="500"/>
      <c r="AE5278" s="500"/>
      <c r="AF5278" s="500"/>
      <c r="AG5278" s="500"/>
      <c r="AH5278" s="500"/>
      <c r="AI5278" s="500"/>
      <c r="AJ5278" s="500"/>
      <c r="AK5278" s="500"/>
      <c r="AL5278" s="500"/>
      <c r="AM5278" s="500"/>
      <c r="AN5278" s="500"/>
      <c r="AO5278" s="500"/>
      <c r="AP5278" s="500"/>
    </row>
    <row r="5279" spans="1:42" ht="16.5" customHeight="1">
      <c r="A5279" s="439"/>
      <c r="B5279" s="439"/>
      <c r="C5279" s="439"/>
      <c r="D5279" s="439"/>
      <c r="E5279" s="439"/>
      <c r="F5279" s="439"/>
      <c r="G5279" s="451" t="s">
        <v>3406</v>
      </c>
      <c r="Z5279" s="500"/>
      <c r="AA5279" s="500"/>
      <c r="AB5279" s="500"/>
      <c r="AC5279" s="500"/>
      <c r="AD5279" s="500"/>
      <c r="AE5279" s="500"/>
      <c r="AF5279" s="500"/>
      <c r="AG5279" s="500"/>
      <c r="AH5279" s="500"/>
      <c r="AI5279" s="500"/>
      <c r="AJ5279" s="500"/>
      <c r="AK5279" s="500"/>
      <c r="AL5279" s="500"/>
      <c r="AM5279" s="500"/>
      <c r="AN5279" s="500"/>
      <c r="AO5279" s="500"/>
      <c r="AP5279" s="500"/>
    </row>
    <row r="5280" spans="1:42" ht="16.5" customHeight="1">
      <c r="A5280" s="434"/>
      <c r="B5280" s="437" t="s">
        <v>3419</v>
      </c>
      <c r="C5280" s="513">
        <f>E5280+D5280+F5280</f>
        <v>1284.9000000000001</v>
      </c>
      <c r="D5280" s="513">
        <f>SUMIF(N5276:N5279,M5280,D5276:D5279)</f>
        <v>0</v>
      </c>
      <c r="E5280" s="513">
        <f>SUMIF(N5276:N5279,M5280,E5276:E5279)</f>
        <v>0</v>
      </c>
      <c r="F5280" s="513">
        <f>SUMIF(N5276:N5279,M5280,F5276:F5279)</f>
        <v>1284.9000000000001</v>
      </c>
      <c r="G5280" s="451" t="s">
        <v>3439</v>
      </c>
      <c r="M5280" s="501" t="s">
        <v>3416</v>
      </c>
      <c r="N5280" s="501" t="s">
        <v>3421</v>
      </c>
      <c r="Z5280" s="500"/>
      <c r="AA5280" s="500"/>
      <c r="AB5280" s="500"/>
      <c r="AC5280" s="500"/>
      <c r="AD5280" s="500"/>
      <c r="AE5280" s="500"/>
      <c r="AF5280" s="500"/>
      <c r="AG5280" s="500"/>
      <c r="AH5280" s="500"/>
      <c r="AI5280" s="500"/>
      <c r="AJ5280" s="500"/>
      <c r="AK5280" s="500"/>
      <c r="AL5280" s="500"/>
      <c r="AM5280" s="500"/>
      <c r="AN5280" s="500"/>
      <c r="AO5280" s="500"/>
      <c r="AP5280" s="500"/>
    </row>
    <row r="5281" spans="1:42" ht="16.5" customHeight="1">
      <c r="A5281" s="439"/>
      <c r="B5281" s="439"/>
      <c r="C5281" s="504"/>
      <c r="D5281" s="504"/>
      <c r="E5281" s="504"/>
      <c r="F5281" s="504"/>
      <c r="G5281" s="451" t="s">
        <v>3406</v>
      </c>
      <c r="Z5281" s="500"/>
      <c r="AA5281" s="500"/>
      <c r="AB5281" s="500"/>
      <c r="AC5281" s="500"/>
      <c r="AD5281" s="500"/>
      <c r="AE5281" s="500"/>
      <c r="AF5281" s="500"/>
      <c r="AG5281" s="500"/>
      <c r="AH5281" s="500"/>
      <c r="AI5281" s="500"/>
      <c r="AJ5281" s="500"/>
      <c r="AK5281" s="500"/>
      <c r="AL5281" s="500"/>
      <c r="AM5281" s="500"/>
      <c r="AN5281" s="500"/>
      <c r="AO5281" s="500"/>
      <c r="AP5281" s="500"/>
    </row>
    <row r="5282" spans="1:42" ht="16.5" customHeight="1">
      <c r="A5282" s="434"/>
      <c r="B5282" s="505" t="str">
        <f>"  산지할증 : "&amp;TEXT(I5282,"#,##0.0")&amp;" * "&amp;AA5282&amp;" %  = "&amp;TEXT(C5282,"#,##0.0")&amp;""</f>
        <v xml:space="preserve">  산지할증 : 42,831.7 * 15 %  = 6,424.7</v>
      </c>
      <c r="C5282" s="506">
        <f>E5282+D5282+F5282</f>
        <v>6424.7</v>
      </c>
      <c r="D5282" s="506">
        <f>IF(H5282=0,0,ROUNDDOWN(J5282*H5282/100,1))</f>
        <v>6424.7</v>
      </c>
      <c r="E5282" s="506">
        <f>IF(H5282=0,0,ROUNDDOWN(K5282*H5282/100,1))</f>
        <v>0</v>
      </c>
      <c r="F5282" s="506">
        <f>IF(H5282=0,0,ROUNDDOWN(L5282*H5282/100,1))</f>
        <v>0</v>
      </c>
      <c r="G5282" s="451" t="s">
        <v>5587</v>
      </c>
      <c r="H5282" s="507">
        <f>ROUNDUP(AC5282,14-LEN(ABS(INT(AC5282))))</f>
        <v>15</v>
      </c>
      <c r="I5282" s="508">
        <f>K5282+J5282+L5282</f>
        <v>42831.7</v>
      </c>
      <c r="J5282" s="508">
        <f>D5275+D5280+SUMIF(N5281:N5281,N5282,D5281:D5281)</f>
        <v>42831.7</v>
      </c>
      <c r="K5282" s="456">
        <v>0</v>
      </c>
      <c r="L5282" s="456">
        <v>0</v>
      </c>
      <c r="M5282" s="501" t="s">
        <v>4208</v>
      </c>
      <c r="N5282" s="501" t="s">
        <v>3416</v>
      </c>
      <c r="Z5282" s="501" t="s">
        <v>3500</v>
      </c>
      <c r="AA5282" s="515">
        <v>15</v>
      </c>
      <c r="AB5282" s="501" t="s">
        <v>3418</v>
      </c>
      <c r="AC5282" s="512">
        <f>1*AA5282</f>
        <v>15</v>
      </c>
      <c r="AD5282" s="500"/>
      <c r="AE5282" s="500"/>
      <c r="AF5282" s="500"/>
      <c r="AG5282" s="500"/>
      <c r="AH5282" s="500"/>
      <c r="AI5282" s="500"/>
      <c r="AJ5282" s="500"/>
      <c r="AK5282" s="500"/>
      <c r="AL5282" s="500"/>
      <c r="AM5282" s="500"/>
      <c r="AN5282" s="500"/>
      <c r="AO5282" s="500"/>
      <c r="AP5282" s="500"/>
    </row>
    <row r="5283" spans="1:42" ht="16.5" customHeight="1">
      <c r="A5283" s="439"/>
      <c r="B5283" s="439"/>
      <c r="C5283" s="439"/>
      <c r="D5283" s="439"/>
      <c r="E5283" s="439"/>
      <c r="F5283" s="439"/>
      <c r="G5283" s="451" t="s">
        <v>3406</v>
      </c>
      <c r="Z5283" s="500"/>
      <c r="AA5283" s="500"/>
      <c r="AB5283" s="500"/>
      <c r="AC5283" s="500"/>
      <c r="AD5283" s="500"/>
      <c r="AE5283" s="500"/>
      <c r="AF5283" s="500"/>
      <c r="AG5283" s="500"/>
      <c r="AH5283" s="500"/>
      <c r="AI5283" s="500"/>
      <c r="AJ5283" s="500"/>
      <c r="AK5283" s="500"/>
      <c r="AL5283" s="500"/>
      <c r="AM5283" s="500"/>
      <c r="AN5283" s="500"/>
      <c r="AO5283" s="500"/>
      <c r="AP5283" s="500"/>
    </row>
    <row r="5284" spans="1:42" ht="16.5" customHeight="1">
      <c r="A5284" s="434"/>
      <c r="B5284" s="437" t="s">
        <v>3419</v>
      </c>
      <c r="C5284" s="513">
        <f>E5284+D5284+F5284</f>
        <v>6424.7</v>
      </c>
      <c r="D5284" s="513">
        <f>SUMIF(N5281:N5283,M5284,D5281:D5283)</f>
        <v>6424.7</v>
      </c>
      <c r="E5284" s="513">
        <f>SUMIF(N5281:N5283,M5284,E5281:E5283)</f>
        <v>0</v>
      </c>
      <c r="F5284" s="513">
        <f>SUMIF(N5281:N5283,M5284,F5281:F5283)</f>
        <v>0</v>
      </c>
      <c r="G5284" s="451" t="s">
        <v>3439</v>
      </c>
      <c r="M5284" s="501" t="s">
        <v>3416</v>
      </c>
      <c r="N5284" s="501" t="s">
        <v>3421</v>
      </c>
      <c r="Z5284" s="500"/>
      <c r="AA5284" s="500"/>
      <c r="AB5284" s="500"/>
      <c r="AC5284" s="500"/>
      <c r="AD5284" s="500"/>
      <c r="AE5284" s="500"/>
      <c r="AF5284" s="500"/>
      <c r="AG5284" s="500"/>
      <c r="AH5284" s="500"/>
      <c r="AI5284" s="500"/>
      <c r="AJ5284" s="500"/>
      <c r="AK5284" s="500"/>
      <c r="AL5284" s="500"/>
      <c r="AM5284" s="500"/>
      <c r="AN5284" s="500"/>
      <c r="AO5284" s="500"/>
      <c r="AP5284" s="500"/>
    </row>
    <row r="5285" spans="1:42" ht="16.5" customHeight="1">
      <c r="A5285" s="439"/>
      <c r="B5285" s="439"/>
      <c r="C5285" s="504"/>
      <c r="D5285" s="504"/>
      <c r="E5285" s="504"/>
      <c r="F5285" s="504"/>
      <c r="G5285" s="451" t="s">
        <v>3406</v>
      </c>
      <c r="Z5285" s="500"/>
      <c r="AA5285" s="500"/>
      <c r="AB5285" s="500"/>
      <c r="AC5285" s="500"/>
      <c r="AD5285" s="500"/>
      <c r="AE5285" s="500"/>
      <c r="AF5285" s="500"/>
      <c r="AG5285" s="500"/>
      <c r="AH5285" s="500"/>
      <c r="AI5285" s="500"/>
      <c r="AJ5285" s="500"/>
      <c r="AK5285" s="500"/>
      <c r="AL5285" s="500"/>
      <c r="AM5285" s="500"/>
      <c r="AN5285" s="500"/>
      <c r="AO5285" s="500"/>
      <c r="AP5285" s="500"/>
    </row>
    <row r="5286" spans="1:42" ht="16.5" customHeight="1">
      <c r="A5286" s="434"/>
      <c r="B5286" s="437" t="s">
        <v>3440</v>
      </c>
      <c r="C5286" s="513">
        <f>E5286+D5286+F5286</f>
        <v>50541.299999999996</v>
      </c>
      <c r="D5286" s="513">
        <f>SUMIF(N5257:N5285,M5286,D5257:D5285)</f>
        <v>49256.399999999994</v>
      </c>
      <c r="E5286" s="513">
        <f>SUMIF(N5257:N5285,M5286,E5257:E5285)</f>
        <v>0</v>
      </c>
      <c r="F5286" s="513">
        <f>SUMIF(N5257:N5285,M5286,F5257:F5285)</f>
        <v>1284.9000000000001</v>
      </c>
      <c r="G5286" s="451" t="s">
        <v>3441</v>
      </c>
      <c r="M5286" s="501" t="s">
        <v>3421</v>
      </c>
      <c r="N5286" s="501" t="s">
        <v>2354</v>
      </c>
      <c r="Z5286" s="500"/>
      <c r="AA5286" s="500"/>
      <c r="AB5286" s="500"/>
      <c r="AC5286" s="500"/>
      <c r="AD5286" s="500"/>
      <c r="AE5286" s="500"/>
      <c r="AF5286" s="500"/>
      <c r="AG5286" s="500"/>
      <c r="AH5286" s="500"/>
      <c r="AI5286" s="500"/>
      <c r="AJ5286" s="500"/>
      <c r="AK5286" s="500"/>
      <c r="AL5286" s="500"/>
      <c r="AM5286" s="500"/>
      <c r="AN5286" s="500"/>
      <c r="AO5286" s="500"/>
      <c r="AP5286" s="500"/>
    </row>
    <row r="5287" spans="1:42" ht="16.5" customHeight="1">
      <c r="A5287" s="439"/>
      <c r="B5287" s="439"/>
      <c r="C5287" s="504"/>
      <c r="D5287" s="504"/>
      <c r="E5287" s="504"/>
      <c r="F5287" s="504"/>
      <c r="Z5287" s="500"/>
      <c r="AA5287" s="500"/>
      <c r="AB5287" s="500"/>
      <c r="AC5287" s="500"/>
      <c r="AD5287" s="500"/>
      <c r="AE5287" s="500"/>
      <c r="AF5287" s="500"/>
      <c r="AG5287" s="500"/>
      <c r="AH5287" s="500"/>
      <c r="AI5287" s="500"/>
      <c r="AJ5287" s="500"/>
      <c r="AK5287" s="500"/>
      <c r="AL5287" s="500"/>
      <c r="AM5287" s="500"/>
      <c r="AN5287" s="500"/>
      <c r="AO5287" s="500"/>
      <c r="AP5287" s="500"/>
    </row>
    <row r="5288" spans="1:42" ht="16.5" customHeight="1">
      <c r="A5288" s="439"/>
      <c r="B5288" s="439"/>
      <c r="C5288" s="439"/>
      <c r="D5288" s="439"/>
      <c r="E5288" s="439"/>
      <c r="F5288" s="439"/>
      <c r="Z5288" s="500"/>
      <c r="AA5288" s="500"/>
      <c r="AB5288" s="500"/>
      <c r="AC5288" s="500"/>
      <c r="AD5288" s="500"/>
      <c r="AE5288" s="500"/>
      <c r="AF5288" s="500"/>
      <c r="AG5288" s="500"/>
      <c r="AH5288" s="500"/>
      <c r="AI5288" s="500"/>
      <c r="AJ5288" s="500"/>
      <c r="AK5288" s="500"/>
      <c r="AL5288" s="500"/>
      <c r="AM5288" s="500"/>
      <c r="AN5288" s="500"/>
      <c r="AO5288" s="500"/>
      <c r="AP5288" s="500"/>
    </row>
    <row r="5289" spans="1:42" ht="16.5" customHeight="1">
      <c r="A5289" s="439"/>
      <c r="B5289" s="439"/>
      <c r="C5289" s="439"/>
      <c r="D5289" s="439"/>
      <c r="E5289" s="439"/>
      <c r="F5289" s="439"/>
      <c r="Z5289" s="500"/>
      <c r="AA5289" s="500"/>
      <c r="AB5289" s="500"/>
      <c r="AC5289" s="500"/>
      <c r="AD5289" s="500"/>
      <c r="AE5289" s="500"/>
      <c r="AF5289" s="500"/>
      <c r="AG5289" s="500"/>
      <c r="AH5289" s="500"/>
      <c r="AI5289" s="500"/>
      <c r="AJ5289" s="500"/>
      <c r="AK5289" s="500"/>
      <c r="AL5289" s="500"/>
      <c r="AM5289" s="500"/>
      <c r="AN5289" s="500"/>
      <c r="AO5289" s="500"/>
      <c r="AP5289" s="500"/>
    </row>
    <row r="5290" spans="1:42" ht="16.5" customHeight="1">
      <c r="A5290" s="439"/>
      <c r="B5290" s="439"/>
      <c r="C5290" s="439"/>
      <c r="D5290" s="439"/>
      <c r="E5290" s="439"/>
      <c r="F5290" s="439"/>
      <c r="Z5290" s="500"/>
      <c r="AA5290" s="500"/>
      <c r="AB5290" s="500"/>
      <c r="AC5290" s="500"/>
      <c r="AD5290" s="500"/>
      <c r="AE5290" s="500"/>
      <c r="AF5290" s="500"/>
      <c r="AG5290" s="500"/>
      <c r="AH5290" s="500"/>
      <c r="AI5290" s="500"/>
      <c r="AJ5290" s="500"/>
      <c r="AK5290" s="500"/>
      <c r="AL5290" s="500"/>
      <c r="AM5290" s="500"/>
      <c r="AN5290" s="500"/>
      <c r="AO5290" s="500"/>
      <c r="AP5290" s="500"/>
    </row>
    <row r="5291" spans="1:42" ht="16.5" customHeight="1">
      <c r="A5291" s="439"/>
      <c r="B5291" s="439"/>
      <c r="C5291" s="439"/>
      <c r="D5291" s="439"/>
      <c r="E5291" s="439"/>
      <c r="F5291" s="439"/>
      <c r="Z5291" s="500"/>
      <c r="AA5291" s="500"/>
      <c r="AB5291" s="500"/>
      <c r="AC5291" s="500"/>
      <c r="AD5291" s="500"/>
      <c r="AE5291" s="500"/>
      <c r="AF5291" s="500"/>
      <c r="AG5291" s="500"/>
      <c r="AH5291" s="500"/>
      <c r="AI5291" s="500"/>
      <c r="AJ5291" s="500"/>
      <c r="AK5291" s="500"/>
      <c r="AL5291" s="500"/>
      <c r="AM5291" s="500"/>
      <c r="AN5291" s="500"/>
      <c r="AO5291" s="500"/>
      <c r="AP5291" s="500"/>
    </row>
    <row r="5292" spans="1:42" ht="16.5" customHeight="1">
      <c r="A5292" s="439"/>
      <c r="B5292" s="439"/>
      <c r="C5292" s="439"/>
      <c r="D5292" s="439"/>
      <c r="E5292" s="439"/>
      <c r="F5292" s="439"/>
      <c r="Z5292" s="500"/>
      <c r="AA5292" s="500"/>
      <c r="AB5292" s="500"/>
      <c r="AC5292" s="500"/>
      <c r="AD5292" s="500"/>
      <c r="AE5292" s="500"/>
      <c r="AF5292" s="500"/>
      <c r="AG5292" s="500"/>
      <c r="AH5292" s="500"/>
      <c r="AI5292" s="500"/>
      <c r="AJ5292" s="500"/>
      <c r="AK5292" s="500"/>
      <c r="AL5292" s="500"/>
      <c r="AM5292" s="500"/>
      <c r="AN5292" s="500"/>
      <c r="AO5292" s="500"/>
      <c r="AP5292" s="500"/>
    </row>
    <row r="5293" spans="1:42" ht="16.5" customHeight="1">
      <c r="A5293" s="439"/>
      <c r="B5293" s="439"/>
      <c r="C5293" s="439"/>
      <c r="D5293" s="439"/>
      <c r="E5293" s="439"/>
      <c r="F5293" s="439"/>
      <c r="Z5293" s="500"/>
      <c r="AA5293" s="500"/>
      <c r="AB5293" s="500"/>
      <c r="AC5293" s="500"/>
      <c r="AD5293" s="500"/>
      <c r="AE5293" s="500"/>
      <c r="AF5293" s="500"/>
      <c r="AG5293" s="500"/>
      <c r="AH5293" s="500"/>
      <c r="AI5293" s="500"/>
      <c r="AJ5293" s="500"/>
      <c r="AK5293" s="500"/>
      <c r="AL5293" s="500"/>
      <c r="AM5293" s="500"/>
      <c r="AN5293" s="500"/>
      <c r="AO5293" s="500"/>
      <c r="AP5293" s="500"/>
    </row>
    <row r="5294" spans="1:42" ht="16.5" customHeight="1">
      <c r="A5294" s="439"/>
      <c r="B5294" s="439"/>
      <c r="C5294" s="439"/>
      <c r="D5294" s="439"/>
      <c r="E5294" s="439"/>
      <c r="F5294" s="439"/>
      <c r="Z5294" s="500"/>
      <c r="AA5294" s="500"/>
      <c r="AB5294" s="500"/>
      <c r="AC5294" s="500"/>
      <c r="AD5294" s="500"/>
      <c r="AE5294" s="500"/>
      <c r="AF5294" s="500"/>
      <c r="AG5294" s="500"/>
      <c r="AH5294" s="500"/>
      <c r="AI5294" s="500"/>
      <c r="AJ5294" s="500"/>
      <c r="AK5294" s="500"/>
      <c r="AL5294" s="500"/>
      <c r="AM5294" s="500"/>
      <c r="AN5294" s="500"/>
      <c r="AO5294" s="500"/>
      <c r="AP5294" s="500"/>
    </row>
    <row r="5295" spans="1:42" ht="16.5" customHeight="1">
      <c r="A5295" s="439"/>
      <c r="B5295" s="439"/>
      <c r="C5295" s="439"/>
      <c r="D5295" s="439"/>
      <c r="E5295" s="439"/>
      <c r="F5295" s="439"/>
      <c r="Z5295" s="500"/>
      <c r="AA5295" s="500"/>
      <c r="AB5295" s="500"/>
      <c r="AC5295" s="500"/>
      <c r="AD5295" s="500"/>
      <c r="AE5295" s="500"/>
      <c r="AF5295" s="500"/>
      <c r="AG5295" s="500"/>
      <c r="AH5295" s="500"/>
      <c r="AI5295" s="500"/>
      <c r="AJ5295" s="500"/>
      <c r="AK5295" s="500"/>
      <c r="AL5295" s="500"/>
      <c r="AM5295" s="500"/>
      <c r="AN5295" s="500"/>
      <c r="AO5295" s="500"/>
      <c r="AP5295" s="500"/>
    </row>
    <row r="5296" spans="1:42" ht="16.5" customHeight="1">
      <c r="A5296" s="439"/>
      <c r="B5296" s="439"/>
      <c r="C5296" s="439"/>
      <c r="D5296" s="439"/>
      <c r="E5296" s="439"/>
      <c r="F5296" s="439"/>
      <c r="Z5296" s="500"/>
      <c r="AA5296" s="500"/>
      <c r="AB5296" s="500"/>
      <c r="AC5296" s="500"/>
      <c r="AD5296" s="500"/>
      <c r="AE5296" s="500"/>
      <c r="AF5296" s="500"/>
      <c r="AG5296" s="500"/>
      <c r="AH5296" s="500"/>
      <c r="AI5296" s="500"/>
      <c r="AJ5296" s="500"/>
      <c r="AK5296" s="500"/>
      <c r="AL5296" s="500"/>
      <c r="AM5296" s="500"/>
      <c r="AN5296" s="500"/>
      <c r="AO5296" s="500"/>
      <c r="AP5296" s="500"/>
    </row>
    <row r="5297" spans="1:42" ht="16.5" customHeight="1">
      <c r="A5297" s="439"/>
      <c r="B5297" s="439"/>
      <c r="C5297" s="439"/>
      <c r="D5297" s="439"/>
      <c r="E5297" s="439"/>
      <c r="F5297" s="439"/>
      <c r="Z5297" s="500"/>
      <c r="AA5297" s="500"/>
      <c r="AB5297" s="500"/>
      <c r="AC5297" s="500"/>
      <c r="AD5297" s="500"/>
      <c r="AE5297" s="500"/>
      <c r="AF5297" s="500"/>
      <c r="AG5297" s="500"/>
      <c r="AH5297" s="500"/>
      <c r="AI5297" s="500"/>
      <c r="AJ5297" s="500"/>
      <c r="AK5297" s="500"/>
      <c r="AL5297" s="500"/>
      <c r="AM5297" s="500"/>
      <c r="AN5297" s="500"/>
      <c r="AO5297" s="500"/>
      <c r="AP5297" s="500"/>
    </row>
    <row r="5298" spans="1:42" ht="16.5" customHeight="1">
      <c r="A5298" s="439"/>
      <c r="B5298" s="439"/>
      <c r="C5298" s="439"/>
      <c r="D5298" s="439"/>
      <c r="E5298" s="439"/>
      <c r="F5298" s="439"/>
      <c r="Z5298" s="500"/>
      <c r="AA5298" s="500"/>
      <c r="AB5298" s="500"/>
      <c r="AC5298" s="500"/>
      <c r="AD5298" s="500"/>
      <c r="AE5298" s="500"/>
      <c r="AF5298" s="500"/>
      <c r="AG5298" s="500"/>
      <c r="AH5298" s="500"/>
      <c r="AI5298" s="500"/>
      <c r="AJ5298" s="500"/>
      <c r="AK5298" s="500"/>
      <c r="AL5298" s="500"/>
      <c r="AM5298" s="500"/>
      <c r="AN5298" s="500"/>
      <c r="AO5298" s="500"/>
      <c r="AP5298" s="500"/>
    </row>
    <row r="5299" spans="1:42" ht="16.5" customHeight="1">
      <c r="A5299" s="439"/>
      <c r="B5299" s="439"/>
      <c r="C5299" s="439"/>
      <c r="D5299" s="439"/>
      <c r="E5299" s="439"/>
      <c r="F5299" s="439"/>
      <c r="Z5299" s="500"/>
      <c r="AA5299" s="500"/>
      <c r="AB5299" s="500"/>
      <c r="AC5299" s="500"/>
      <c r="AD5299" s="500"/>
      <c r="AE5299" s="500"/>
      <c r="AF5299" s="500"/>
      <c r="AG5299" s="500"/>
      <c r="AH5299" s="500"/>
      <c r="AI5299" s="500"/>
      <c r="AJ5299" s="500"/>
      <c r="AK5299" s="500"/>
      <c r="AL5299" s="500"/>
      <c r="AM5299" s="500"/>
      <c r="AN5299" s="500"/>
      <c r="AO5299" s="500"/>
      <c r="AP5299" s="500"/>
    </row>
    <row r="5300" spans="1:42" ht="16.5" customHeight="1">
      <c r="A5300" s="439"/>
      <c r="B5300" s="439"/>
      <c r="C5300" s="439"/>
      <c r="D5300" s="439"/>
      <c r="E5300" s="439"/>
      <c r="F5300" s="439"/>
      <c r="Z5300" s="500"/>
      <c r="AA5300" s="500"/>
      <c r="AB5300" s="500"/>
      <c r="AC5300" s="500"/>
      <c r="AD5300" s="500"/>
      <c r="AE5300" s="500"/>
      <c r="AF5300" s="500"/>
      <c r="AG5300" s="500"/>
      <c r="AH5300" s="500"/>
      <c r="AI5300" s="500"/>
      <c r="AJ5300" s="500"/>
      <c r="AK5300" s="500"/>
      <c r="AL5300" s="500"/>
      <c r="AM5300" s="500"/>
      <c r="AN5300" s="500"/>
      <c r="AO5300" s="500"/>
      <c r="AP5300" s="500"/>
    </row>
    <row r="5301" spans="1:42" ht="16.5" customHeight="1">
      <c r="A5301" s="439"/>
      <c r="B5301" s="439"/>
      <c r="C5301" s="439"/>
      <c r="D5301" s="439"/>
      <c r="E5301" s="439"/>
      <c r="F5301" s="439"/>
      <c r="Z5301" s="500"/>
      <c r="AA5301" s="500"/>
      <c r="AB5301" s="500"/>
      <c r="AC5301" s="500"/>
      <c r="AD5301" s="500"/>
      <c r="AE5301" s="500"/>
      <c r="AF5301" s="500"/>
      <c r="AG5301" s="500"/>
      <c r="AH5301" s="500"/>
      <c r="AI5301" s="500"/>
      <c r="AJ5301" s="500"/>
      <c r="AK5301" s="500"/>
      <c r="AL5301" s="500"/>
      <c r="AM5301" s="500"/>
      <c r="AN5301" s="500"/>
      <c r="AO5301" s="500"/>
      <c r="AP5301" s="500"/>
    </row>
    <row r="5302" spans="1:42" ht="16.5" customHeight="1">
      <c r="A5302" s="439"/>
      <c r="B5302" s="439"/>
      <c r="C5302" s="439"/>
      <c r="D5302" s="439"/>
      <c r="E5302" s="439"/>
      <c r="F5302" s="439"/>
      <c r="Z5302" s="500"/>
      <c r="AA5302" s="500"/>
      <c r="AB5302" s="500"/>
      <c r="AC5302" s="500"/>
      <c r="AD5302" s="500"/>
      <c r="AE5302" s="500"/>
      <c r="AF5302" s="500"/>
      <c r="AG5302" s="500"/>
      <c r="AH5302" s="500"/>
      <c r="AI5302" s="500"/>
      <c r="AJ5302" s="500"/>
      <c r="AK5302" s="500"/>
      <c r="AL5302" s="500"/>
      <c r="AM5302" s="500"/>
      <c r="AN5302" s="500"/>
      <c r="AO5302" s="500"/>
      <c r="AP5302" s="500"/>
    </row>
    <row r="5303" spans="1:42" ht="16.5" customHeight="1">
      <c r="A5303" s="497"/>
      <c r="B5303" s="497"/>
      <c r="C5303" s="497"/>
      <c r="D5303" s="497"/>
      <c r="E5303" s="497"/>
      <c r="F5303" s="497"/>
      <c r="Z5303" s="500"/>
      <c r="AA5303" s="500"/>
      <c r="AB5303" s="500"/>
      <c r="AC5303" s="500"/>
      <c r="AD5303" s="500"/>
      <c r="AE5303" s="500"/>
      <c r="AF5303" s="500"/>
      <c r="AG5303" s="500"/>
      <c r="AH5303" s="500"/>
      <c r="AI5303" s="500"/>
      <c r="AJ5303" s="500"/>
      <c r="AK5303" s="500"/>
      <c r="AL5303" s="500"/>
      <c r="AM5303" s="500"/>
      <c r="AN5303" s="500"/>
      <c r="AO5303" s="500"/>
      <c r="AP5303" s="500"/>
    </row>
    <row r="5304" spans="1:42" ht="16.5" customHeight="1">
      <c r="A5304" s="616" t="s">
        <v>3487</v>
      </c>
      <c r="B5304" s="605"/>
      <c r="C5304" s="446">
        <f>E5304+D5304+F5304</f>
        <v>50540</v>
      </c>
      <c r="D5304" s="453">
        <f>ROUNDDOWN(SUMIF(N5257:N5286,M5304,D5257:D5286),0)</f>
        <v>49256</v>
      </c>
      <c r="E5304" s="454">
        <f>ROUNDDOWN(SUMIF(N5257:N5286,M5304,E5257:E5286),0)</f>
        <v>0</v>
      </c>
      <c r="F5304" s="446">
        <f>ROUNDDOWN(SUMIF(N5257:N5286,M5304,F5257:F5286),0)</f>
        <v>1284</v>
      </c>
      <c r="M5304" s="501" t="s">
        <v>2354</v>
      </c>
      <c r="Z5304" s="500"/>
      <c r="AA5304" s="500"/>
      <c r="AB5304" s="500"/>
      <c r="AC5304" s="500"/>
      <c r="AD5304" s="500"/>
      <c r="AE5304" s="500"/>
      <c r="AF5304" s="500"/>
      <c r="AG5304" s="500"/>
      <c r="AH5304" s="500"/>
      <c r="AI5304" s="500"/>
      <c r="AJ5304" s="500"/>
      <c r="AK5304" s="500"/>
      <c r="AL5304" s="500"/>
      <c r="AM5304" s="500"/>
      <c r="AN5304" s="500"/>
      <c r="AO5304" s="500"/>
      <c r="AP5304" s="500"/>
    </row>
    <row r="5305" spans="1:42" ht="16.5" customHeight="1">
      <c r="A5305" s="502" t="s">
        <v>3371</v>
      </c>
      <c r="B5305" s="503" t="s">
        <v>5460</v>
      </c>
      <c r="C5305" s="615">
        <f>C5354</f>
        <v>22843</v>
      </c>
      <c r="D5305" s="615">
        <f>D5354</f>
        <v>22308</v>
      </c>
      <c r="E5305" s="615">
        <f>E5354</f>
        <v>0</v>
      </c>
      <c r="F5305" s="615">
        <f>F5354</f>
        <v>535</v>
      </c>
      <c r="G5305" s="486" t="str">
        <f>HYPERLINK("#G"&amp;ROW(G5336),"_x0005_`BDCOD|D01339_x0007_`POSS|"&amp;ROW(G5307)&amp;"_x0007_`POSE|"&amp;ROW(G5336)&amp;"_x0007_`")</f>
        <v>_x0005_`BDCOD|D01339_x0007_`POSS|5307_x0007_`POSE|5336_x0007_`</v>
      </c>
      <c r="Z5305" s="500"/>
      <c r="AA5305" s="500"/>
      <c r="AB5305" s="500"/>
      <c r="AC5305" s="500"/>
      <c r="AD5305" s="500"/>
      <c r="AE5305" s="500"/>
      <c r="AF5305" s="500"/>
      <c r="AG5305" s="500"/>
      <c r="AH5305" s="500"/>
      <c r="AI5305" s="500"/>
      <c r="AJ5305" s="500"/>
      <c r="AK5305" s="500"/>
      <c r="AL5305" s="500"/>
      <c r="AM5305" s="500"/>
      <c r="AN5305" s="500"/>
      <c r="AO5305" s="500"/>
      <c r="AP5305" s="500"/>
    </row>
    <row r="5306" spans="1:42" ht="16.5" customHeight="1">
      <c r="A5306" s="485"/>
      <c r="B5306" s="503" t="s">
        <v>5632</v>
      </c>
      <c r="C5306" s="593"/>
      <c r="D5306" s="593"/>
      <c r="E5306" s="593"/>
      <c r="F5306" s="593"/>
      <c r="M5306" s="501" t="s">
        <v>5460</v>
      </c>
      <c r="Z5306" s="500"/>
      <c r="AA5306" s="500"/>
      <c r="AB5306" s="500"/>
      <c r="AC5306" s="500"/>
      <c r="AD5306" s="500"/>
      <c r="AE5306" s="500"/>
      <c r="AF5306" s="500"/>
      <c r="AG5306" s="500"/>
      <c r="AH5306" s="500"/>
      <c r="AI5306" s="500"/>
      <c r="AJ5306" s="500"/>
      <c r="AK5306" s="500"/>
      <c r="AL5306" s="500"/>
      <c r="AM5306" s="500"/>
      <c r="AN5306" s="500"/>
      <c r="AO5306" s="500"/>
      <c r="AP5306" s="500"/>
    </row>
    <row r="5307" spans="1:42" ht="16.5" customHeight="1">
      <c r="A5307" s="439"/>
      <c r="B5307" s="439"/>
      <c r="C5307" s="504"/>
      <c r="D5307" s="504"/>
      <c r="E5307" s="504"/>
      <c r="F5307" s="504"/>
      <c r="G5307" s="451" t="s">
        <v>3406</v>
      </c>
      <c r="Z5307" s="500"/>
      <c r="AA5307" s="500"/>
      <c r="AB5307" s="500"/>
      <c r="AC5307" s="500"/>
      <c r="AD5307" s="500"/>
      <c r="AE5307" s="500"/>
      <c r="AF5307" s="500"/>
      <c r="AG5307" s="500"/>
      <c r="AH5307" s="500"/>
      <c r="AI5307" s="500"/>
      <c r="AJ5307" s="500"/>
      <c r="AK5307" s="500"/>
      <c r="AL5307" s="500"/>
      <c r="AM5307" s="500"/>
      <c r="AN5307" s="500"/>
      <c r="AO5307" s="500"/>
      <c r="AP5307" s="500"/>
    </row>
    <row r="5308" spans="1:42" ht="16.5" customHeight="1">
      <c r="A5308" s="434"/>
      <c r="B5308" s="437" t="s">
        <v>3953</v>
      </c>
      <c r="C5308" s="439"/>
      <c r="D5308" s="439"/>
      <c r="E5308" s="439"/>
      <c r="F5308" s="439"/>
      <c r="G5308" s="451" t="s">
        <v>3954</v>
      </c>
      <c r="Z5308" s="500"/>
      <c r="AA5308" s="500"/>
      <c r="AB5308" s="500"/>
      <c r="AC5308" s="500"/>
      <c r="AD5308" s="500"/>
      <c r="AE5308" s="500"/>
      <c r="AF5308" s="500"/>
      <c r="AG5308" s="500"/>
      <c r="AH5308" s="500"/>
      <c r="AI5308" s="500"/>
      <c r="AJ5308" s="500"/>
      <c r="AK5308" s="500"/>
      <c r="AL5308" s="500"/>
      <c r="AM5308" s="500"/>
      <c r="AN5308" s="500"/>
      <c r="AO5308" s="500"/>
      <c r="AP5308" s="500"/>
    </row>
    <row r="5309" spans="1:42" ht="16.5" customHeight="1">
      <c r="A5309" s="439"/>
      <c r="B5309" s="439"/>
      <c r="C5309" s="439"/>
      <c r="D5309" s="439"/>
      <c r="E5309" s="439"/>
      <c r="F5309" s="439"/>
      <c r="G5309" s="451" t="s">
        <v>3406</v>
      </c>
      <c r="Z5309" s="500"/>
      <c r="AA5309" s="500"/>
      <c r="AB5309" s="500"/>
      <c r="AC5309" s="500"/>
      <c r="AD5309" s="500"/>
      <c r="AE5309" s="500"/>
      <c r="AF5309" s="500"/>
      <c r="AG5309" s="500"/>
      <c r="AH5309" s="500"/>
      <c r="AI5309" s="500"/>
      <c r="AJ5309" s="500"/>
      <c r="AK5309" s="500"/>
      <c r="AL5309" s="500"/>
      <c r="AM5309" s="500"/>
      <c r="AN5309" s="500"/>
      <c r="AO5309" s="500"/>
      <c r="AP5309" s="500"/>
    </row>
    <row r="5310" spans="1:42" ht="16.5" customHeight="1">
      <c r="A5310" s="434"/>
      <c r="B5310" s="437" t="s">
        <v>3907</v>
      </c>
      <c r="C5310" s="439"/>
      <c r="D5310" s="439"/>
      <c r="E5310" s="439"/>
      <c r="F5310" s="439"/>
      <c r="G5310" s="451" t="s">
        <v>3908</v>
      </c>
      <c r="Z5310" s="500"/>
      <c r="AA5310" s="500"/>
      <c r="AB5310" s="500"/>
      <c r="AC5310" s="500"/>
      <c r="AD5310" s="500"/>
      <c r="AE5310" s="500"/>
      <c r="AF5310" s="500"/>
      <c r="AG5310" s="500"/>
      <c r="AH5310" s="500"/>
      <c r="AI5310" s="500"/>
      <c r="AJ5310" s="500"/>
      <c r="AK5310" s="500"/>
      <c r="AL5310" s="500"/>
      <c r="AM5310" s="500"/>
      <c r="AN5310" s="500"/>
      <c r="AO5310" s="500"/>
      <c r="AP5310" s="500"/>
    </row>
    <row r="5311" spans="1:42" ht="16.5" customHeight="1">
      <c r="A5311" s="439"/>
      <c r="B5311" s="439"/>
      <c r="C5311" s="439"/>
      <c r="D5311" s="439"/>
      <c r="E5311" s="439"/>
      <c r="F5311" s="439"/>
      <c r="G5311" s="451" t="s">
        <v>3406</v>
      </c>
      <c r="Z5311" s="500"/>
      <c r="AA5311" s="500"/>
      <c r="AB5311" s="500"/>
      <c r="AC5311" s="500"/>
      <c r="AD5311" s="500"/>
      <c r="AE5311" s="500"/>
      <c r="AF5311" s="500"/>
      <c r="AG5311" s="500"/>
      <c r="AH5311" s="500"/>
      <c r="AI5311" s="500"/>
      <c r="AJ5311" s="500"/>
      <c r="AK5311" s="500"/>
      <c r="AL5311" s="500"/>
      <c r="AM5311" s="500"/>
      <c r="AN5311" s="500"/>
      <c r="AO5311" s="500"/>
      <c r="AP5311" s="500"/>
    </row>
    <row r="5312" spans="1:42" ht="16.5" customHeight="1">
      <c r="A5312" s="434"/>
      <c r="B5312" s="437" t="s">
        <v>3955</v>
      </c>
      <c r="C5312" s="439"/>
      <c r="D5312" s="439"/>
      <c r="E5312" s="439"/>
      <c r="F5312" s="439"/>
      <c r="G5312" s="451" t="s">
        <v>3956</v>
      </c>
      <c r="Z5312" s="500"/>
      <c r="AA5312" s="500"/>
      <c r="AB5312" s="500"/>
      <c r="AC5312" s="500"/>
      <c r="AD5312" s="500"/>
      <c r="AE5312" s="500"/>
      <c r="AF5312" s="500"/>
      <c r="AG5312" s="500"/>
      <c r="AH5312" s="500"/>
      <c r="AI5312" s="500"/>
      <c r="AJ5312" s="500"/>
      <c r="AK5312" s="500"/>
      <c r="AL5312" s="500"/>
      <c r="AM5312" s="500"/>
      <c r="AN5312" s="500"/>
      <c r="AO5312" s="500"/>
      <c r="AP5312" s="500"/>
    </row>
    <row r="5313" spans="1:42" ht="16.5" customHeight="1">
      <c r="A5313" s="439"/>
      <c r="B5313" s="439"/>
      <c r="C5313" s="439"/>
      <c r="D5313" s="439"/>
      <c r="E5313" s="439"/>
      <c r="F5313" s="439"/>
      <c r="G5313" s="451" t="s">
        <v>3406</v>
      </c>
      <c r="Z5313" s="500"/>
      <c r="AA5313" s="500"/>
      <c r="AB5313" s="500"/>
      <c r="AC5313" s="500"/>
      <c r="AD5313" s="500"/>
      <c r="AE5313" s="500"/>
      <c r="AF5313" s="500"/>
      <c r="AG5313" s="500"/>
      <c r="AH5313" s="500"/>
      <c r="AI5313" s="500"/>
      <c r="AJ5313" s="500"/>
      <c r="AK5313" s="500"/>
      <c r="AL5313" s="500"/>
      <c r="AM5313" s="500"/>
      <c r="AN5313" s="500"/>
      <c r="AO5313" s="500"/>
      <c r="AP5313" s="500"/>
    </row>
    <row r="5314" spans="1:42" ht="16.5" customHeight="1">
      <c r="A5314" s="434"/>
      <c r="B5314" s="437" t="str">
        <f>" 일당 작업량 :  Q1 = "&amp;Z5314&amp;" 주 "</f>
        <v xml:space="preserve"> 일당 작업량 :  Q1 = 36 주 </v>
      </c>
      <c r="C5314" s="439"/>
      <c r="D5314" s="439"/>
      <c r="E5314" s="439"/>
      <c r="F5314" s="439"/>
      <c r="G5314" s="451" t="s">
        <v>3957</v>
      </c>
      <c r="Z5314" s="515">
        <v>36</v>
      </c>
      <c r="AA5314" s="501" t="s">
        <v>3418</v>
      </c>
      <c r="AB5314" s="512">
        <f>Z5314</f>
        <v>36</v>
      </c>
      <c r="AC5314" s="500"/>
      <c r="AD5314" s="500"/>
      <c r="AE5314" s="500"/>
      <c r="AF5314" s="500"/>
      <c r="AG5314" s="500"/>
      <c r="AH5314" s="500"/>
      <c r="AI5314" s="500"/>
      <c r="AJ5314" s="500"/>
      <c r="AK5314" s="500"/>
      <c r="AL5314" s="500"/>
      <c r="AM5314" s="500"/>
      <c r="AN5314" s="500"/>
      <c r="AO5314" s="500"/>
      <c r="AP5314" s="500"/>
    </row>
    <row r="5315" spans="1:42" ht="16.5" customHeight="1">
      <c r="A5315" s="439"/>
      <c r="B5315" s="439"/>
      <c r="C5315" s="439"/>
      <c r="D5315" s="439"/>
      <c r="E5315" s="439"/>
      <c r="F5315" s="439"/>
      <c r="G5315" s="451" t="s">
        <v>3406</v>
      </c>
      <c r="Z5315" s="500"/>
      <c r="AA5315" s="500"/>
      <c r="AB5315" s="500"/>
      <c r="AC5315" s="500"/>
      <c r="AD5315" s="500"/>
      <c r="AE5315" s="500"/>
      <c r="AF5315" s="500"/>
      <c r="AG5315" s="500"/>
      <c r="AH5315" s="500"/>
      <c r="AI5315" s="500"/>
      <c r="AJ5315" s="500"/>
      <c r="AK5315" s="500"/>
      <c r="AL5315" s="500"/>
      <c r="AM5315" s="500"/>
      <c r="AN5315" s="500"/>
      <c r="AO5315" s="500"/>
      <c r="AP5315" s="500"/>
    </row>
    <row r="5316" spans="1:42" ht="16.5" customHeight="1">
      <c r="A5316" s="434"/>
      <c r="B5316" s="437" t="s">
        <v>3958</v>
      </c>
      <c r="C5316" s="439"/>
      <c r="D5316" s="439"/>
      <c r="E5316" s="439"/>
      <c r="F5316" s="439"/>
      <c r="G5316" s="451" t="s">
        <v>3959</v>
      </c>
      <c r="Z5316" s="500"/>
      <c r="AA5316" s="500"/>
      <c r="AB5316" s="500"/>
      <c r="AC5316" s="500"/>
      <c r="AD5316" s="500"/>
      <c r="AE5316" s="500"/>
      <c r="AF5316" s="500"/>
      <c r="AG5316" s="500"/>
      <c r="AH5316" s="500"/>
      <c r="AI5316" s="500"/>
      <c r="AJ5316" s="500"/>
      <c r="AK5316" s="500"/>
      <c r="AL5316" s="500"/>
      <c r="AM5316" s="500"/>
      <c r="AN5316" s="500"/>
      <c r="AO5316" s="500"/>
      <c r="AP5316" s="500"/>
    </row>
    <row r="5317" spans="1:42" ht="16.5" customHeight="1">
      <c r="A5317" s="439"/>
      <c r="B5317" s="439"/>
      <c r="C5317" s="439"/>
      <c r="D5317" s="439"/>
      <c r="E5317" s="439"/>
      <c r="F5317" s="439"/>
      <c r="G5317" s="451" t="s">
        <v>3406</v>
      </c>
      <c r="Z5317" s="500"/>
      <c r="AA5317" s="500"/>
      <c r="AB5317" s="500"/>
      <c r="AC5317" s="500"/>
      <c r="AD5317" s="500"/>
      <c r="AE5317" s="500"/>
      <c r="AF5317" s="500"/>
      <c r="AG5317" s="500"/>
      <c r="AH5317" s="500"/>
      <c r="AI5317" s="500"/>
      <c r="AJ5317" s="500"/>
      <c r="AK5317" s="500"/>
      <c r="AL5317" s="500"/>
      <c r="AM5317" s="500"/>
      <c r="AN5317" s="500"/>
      <c r="AO5317" s="500"/>
      <c r="AP5317" s="500"/>
    </row>
    <row r="5318" spans="1:42" ht="16.5" customHeight="1">
      <c r="A5318" s="439"/>
      <c r="B5318" s="439"/>
      <c r="C5318" s="439"/>
      <c r="D5318" s="439"/>
      <c r="E5318" s="439"/>
      <c r="F5318" s="439"/>
      <c r="G5318" s="451" t="s">
        <v>3406</v>
      </c>
      <c r="Z5318" s="500"/>
      <c r="AA5318" s="500"/>
      <c r="AB5318" s="500"/>
      <c r="AC5318" s="500"/>
      <c r="AD5318" s="500"/>
      <c r="AE5318" s="500"/>
      <c r="AF5318" s="500"/>
      <c r="AG5318" s="500"/>
      <c r="AH5318" s="500"/>
      <c r="AI5318" s="500"/>
      <c r="AJ5318" s="500"/>
      <c r="AK5318" s="500"/>
      <c r="AL5318" s="500"/>
      <c r="AM5318" s="500"/>
      <c r="AN5318" s="500"/>
      <c r="AO5318" s="500"/>
      <c r="AP5318" s="500"/>
    </row>
    <row r="5319" spans="1:42" ht="16.5" customHeight="1">
      <c r="A5319" s="434"/>
      <c r="B5319" s="437" t="s">
        <v>3496</v>
      </c>
      <c r="C5319" s="439"/>
      <c r="D5319" s="439"/>
      <c r="E5319" s="439"/>
      <c r="F5319" s="439"/>
      <c r="G5319" s="451" t="s">
        <v>3497</v>
      </c>
      <c r="Z5319" s="500"/>
      <c r="AA5319" s="500"/>
      <c r="AB5319" s="500"/>
      <c r="AC5319" s="500"/>
      <c r="AD5319" s="500"/>
      <c r="AE5319" s="500"/>
      <c r="AF5319" s="500"/>
      <c r="AG5319" s="500"/>
      <c r="AH5319" s="500"/>
      <c r="AI5319" s="500"/>
      <c r="AJ5319" s="500"/>
      <c r="AK5319" s="500"/>
      <c r="AL5319" s="500"/>
      <c r="AM5319" s="500"/>
      <c r="AN5319" s="500"/>
      <c r="AO5319" s="500"/>
      <c r="AP5319" s="500"/>
    </row>
    <row r="5320" spans="1:42" ht="16.5" customHeight="1">
      <c r="A5320" s="439"/>
      <c r="B5320" s="439"/>
      <c r="C5320" s="439"/>
      <c r="D5320" s="439"/>
      <c r="E5320" s="439"/>
      <c r="F5320" s="439"/>
      <c r="G5320" s="451" t="s">
        <v>3406</v>
      </c>
      <c r="Z5320" s="500"/>
      <c r="AA5320" s="500"/>
      <c r="AB5320" s="500"/>
      <c r="AC5320" s="500"/>
      <c r="AD5320" s="500"/>
      <c r="AE5320" s="500"/>
      <c r="AF5320" s="500"/>
      <c r="AG5320" s="500"/>
      <c r="AH5320" s="500"/>
      <c r="AI5320" s="500"/>
      <c r="AJ5320" s="500"/>
      <c r="AK5320" s="500"/>
      <c r="AL5320" s="500"/>
      <c r="AM5320" s="500"/>
      <c r="AN5320" s="500"/>
      <c r="AO5320" s="500"/>
      <c r="AP5320" s="500"/>
    </row>
    <row r="5321" spans="1:42" ht="16.5" customHeight="1">
      <c r="A5321" s="434" t="s">
        <v>3498</v>
      </c>
      <c r="B5321" s="505" t="str">
        <f>" 조 경 공 : "&amp;TEXT(I5321,"#,##0"&amp;IF(I5321&lt;&gt;INT(I5321),".###",""))&amp;" * "&amp;AA5321&amp;" 인  / Q1 = "&amp;TEXT(C5321,"#,##0.0")&amp;" "</f>
        <v xml:space="preserve"> 조 경 공 : 235,204 * 2 인  / Q1 = 13,066.8 </v>
      </c>
      <c r="C5321" s="506">
        <f>E5321+D5321+F5321</f>
        <v>13066.8</v>
      </c>
      <c r="D5321" s="506">
        <f>IF(H5321=0,0,ROUNDDOWN(J5321*H5321,1))</f>
        <v>13066.8</v>
      </c>
      <c r="E5321" s="506">
        <f>IF(H5321=0,0,ROUNDDOWN(K5321*H5321,1))</f>
        <v>0</v>
      </c>
      <c r="F5321" s="506">
        <f>IF(H5321=0,0,ROUNDDOWN(L5321*H5321,1))</f>
        <v>0</v>
      </c>
      <c r="G5321" s="451" t="s">
        <v>3960</v>
      </c>
      <c r="H5321" s="507">
        <f>ROUNDUP(AE5321,14-LEN(ABS(INT(AE5321))))</f>
        <v>5.5555555555600003E-2</v>
      </c>
      <c r="I5321" s="508">
        <f>K5321+J5321+L5321</f>
        <v>235204</v>
      </c>
      <c r="J5321" s="509">
        <f>노무비목록표!E15</f>
        <v>235204</v>
      </c>
      <c r="M5321" s="501" t="s">
        <v>2359</v>
      </c>
      <c r="N5321" s="501" t="s">
        <v>3416</v>
      </c>
      <c r="O5321" s="501" t="s">
        <v>2355</v>
      </c>
      <c r="X5321" s="510" t="str">
        <f>노무비목록표!B15&amp;" / "&amp;노무비목록표!C15</f>
        <v xml:space="preserve">조경공 / </v>
      </c>
      <c r="Y5321" s="433" t="str">
        <f ca="1">HYPERLINK("#"&amp;노무비목록표!G2&amp;"!A"&amp;ROW(노무비목록표!A15),"L00184 →")</f>
        <v>L00184 →</v>
      </c>
      <c r="Z5321" s="501" t="s">
        <v>3500</v>
      </c>
      <c r="AA5321" s="515">
        <v>2</v>
      </c>
      <c r="AB5321" s="501" t="s">
        <v>3428</v>
      </c>
      <c r="AC5321" s="512">
        <f>AB5314</f>
        <v>36</v>
      </c>
      <c r="AD5321" s="501" t="s">
        <v>3418</v>
      </c>
      <c r="AE5321" s="512">
        <f>1*AA5321/AB5314</f>
        <v>5.5555555555555552E-2</v>
      </c>
      <c r="AF5321" s="500"/>
      <c r="AG5321" s="500"/>
      <c r="AH5321" s="500"/>
      <c r="AI5321" s="500"/>
      <c r="AJ5321" s="500"/>
      <c r="AK5321" s="500"/>
      <c r="AL5321" s="500"/>
      <c r="AM5321" s="500"/>
      <c r="AN5321" s="500"/>
      <c r="AO5321" s="500"/>
      <c r="AP5321" s="500"/>
    </row>
    <row r="5322" spans="1:42" ht="16.5" customHeight="1">
      <c r="A5322" s="439"/>
      <c r="B5322" s="439"/>
      <c r="C5322" s="439"/>
      <c r="D5322" s="439"/>
      <c r="E5322" s="439"/>
      <c r="F5322" s="439"/>
      <c r="G5322" s="451" t="s">
        <v>3406</v>
      </c>
      <c r="Z5322" s="500"/>
      <c r="AA5322" s="500"/>
      <c r="AB5322" s="500"/>
      <c r="AC5322" s="500"/>
      <c r="AD5322" s="500"/>
      <c r="AE5322" s="500"/>
      <c r="AF5322" s="500"/>
      <c r="AG5322" s="500"/>
      <c r="AH5322" s="500"/>
      <c r="AI5322" s="500"/>
      <c r="AJ5322" s="500"/>
      <c r="AK5322" s="500"/>
      <c r="AL5322" s="500"/>
      <c r="AM5322" s="500"/>
      <c r="AN5322" s="500"/>
      <c r="AO5322" s="500"/>
      <c r="AP5322" s="500"/>
    </row>
    <row r="5323" spans="1:42" ht="16.5" customHeight="1">
      <c r="A5323" s="434" t="s">
        <v>3414</v>
      </c>
      <c r="B5323" s="505" t="str">
        <f>" 보통인부 : "&amp;TEXT(I5323,"#,##0"&amp;IF(I5323&lt;&gt;INT(I5323),".###",""))&amp;" * "&amp;AA5323&amp;" 인  / Q1 = "&amp;TEXT(C5323,"#,##0.0")&amp;" "</f>
        <v xml:space="preserve"> 보통인부 : 172,068 * 1 인  / Q1 = 4,779.6 </v>
      </c>
      <c r="C5323" s="506">
        <f>E5323+D5323+F5323</f>
        <v>4779.6000000000004</v>
      </c>
      <c r="D5323" s="506">
        <f>IF(H5323=0,0,ROUNDDOWN(J5323*H5323,1))</f>
        <v>4779.6000000000004</v>
      </c>
      <c r="E5323" s="506">
        <f>IF(H5323=0,0,ROUNDDOWN(K5323*H5323,1))</f>
        <v>0</v>
      </c>
      <c r="F5323" s="506">
        <f>IF(H5323=0,0,ROUNDDOWN(L5323*H5323,1))</f>
        <v>0</v>
      </c>
      <c r="G5323" s="451" t="s">
        <v>3894</v>
      </c>
      <c r="H5323" s="507">
        <f>ROUNDUP(AE5323,14-LEN(ABS(INT(AE5323))))</f>
        <v>2.7777777777800002E-2</v>
      </c>
      <c r="I5323" s="508">
        <f>K5323+J5323+L5323</f>
        <v>172068</v>
      </c>
      <c r="J5323" s="509">
        <f>노무비목록표!E10</f>
        <v>172068</v>
      </c>
      <c r="M5323" s="501" t="s">
        <v>2363</v>
      </c>
      <c r="N5323" s="501" t="s">
        <v>3416</v>
      </c>
      <c r="O5323" s="501" t="s">
        <v>2355</v>
      </c>
      <c r="X5323" s="510" t="str">
        <f>노무비목록표!B10&amp;" / "&amp;노무비목록표!C10</f>
        <v xml:space="preserve">보통인부 / </v>
      </c>
      <c r="Y5323" s="433" t="str">
        <f ca="1">HYPERLINK("#"&amp;노무비목록표!G2&amp;"!A"&amp;ROW(노무비목록표!A10),"L00017 →")</f>
        <v>L00017 →</v>
      </c>
      <c r="Z5323" s="501" t="s">
        <v>3500</v>
      </c>
      <c r="AA5323" s="515">
        <v>1</v>
      </c>
      <c r="AB5323" s="501" t="s">
        <v>3428</v>
      </c>
      <c r="AC5323" s="512">
        <f>AB5314</f>
        <v>36</v>
      </c>
      <c r="AD5323" s="501" t="s">
        <v>3418</v>
      </c>
      <c r="AE5323" s="512">
        <f>1*AA5323/AB5314</f>
        <v>2.7777777777777776E-2</v>
      </c>
      <c r="AF5323" s="500"/>
      <c r="AG5323" s="500"/>
      <c r="AH5323" s="500"/>
      <c r="AI5323" s="500"/>
      <c r="AJ5323" s="500"/>
      <c r="AK5323" s="500"/>
      <c r="AL5323" s="500"/>
      <c r="AM5323" s="500"/>
      <c r="AN5323" s="500"/>
      <c r="AO5323" s="500"/>
      <c r="AP5323" s="500"/>
    </row>
    <row r="5324" spans="1:42" ht="16.5" customHeight="1">
      <c r="A5324" s="439"/>
      <c r="B5324" s="439"/>
      <c r="C5324" s="439"/>
      <c r="D5324" s="439"/>
      <c r="E5324" s="439"/>
      <c r="F5324" s="439"/>
      <c r="G5324" s="451" t="s">
        <v>3406</v>
      </c>
      <c r="Z5324" s="500"/>
      <c r="AA5324" s="500"/>
      <c r="AB5324" s="500"/>
      <c r="AC5324" s="500"/>
      <c r="AD5324" s="500"/>
      <c r="AE5324" s="500"/>
      <c r="AF5324" s="500"/>
      <c r="AG5324" s="500"/>
      <c r="AH5324" s="500"/>
      <c r="AI5324" s="500"/>
      <c r="AJ5324" s="500"/>
      <c r="AK5324" s="500"/>
      <c r="AL5324" s="500"/>
      <c r="AM5324" s="500"/>
      <c r="AN5324" s="500"/>
      <c r="AO5324" s="500"/>
      <c r="AP5324" s="500"/>
    </row>
    <row r="5325" spans="1:42" ht="16.5" customHeight="1">
      <c r="A5325" s="434"/>
      <c r="B5325" s="437" t="s">
        <v>3419</v>
      </c>
      <c r="C5325" s="513">
        <f>E5325+D5325+F5325</f>
        <v>17846.400000000001</v>
      </c>
      <c r="D5325" s="513">
        <f>SUMIF(N5307:N5324,M5325,D5307:D5324)</f>
        <v>17846.400000000001</v>
      </c>
      <c r="E5325" s="513">
        <f>SUMIF(N5307:N5324,M5325,E5307:E5324)</f>
        <v>0</v>
      </c>
      <c r="F5325" s="513">
        <f>SUMIF(N5307:N5324,M5325,F5307:F5324)</f>
        <v>0</v>
      </c>
      <c r="G5325" s="451" t="s">
        <v>3420</v>
      </c>
      <c r="M5325" s="501" t="s">
        <v>3416</v>
      </c>
      <c r="N5325" s="501" t="s">
        <v>3421</v>
      </c>
      <c r="Z5325" s="500"/>
      <c r="AA5325" s="500"/>
      <c r="AB5325" s="500"/>
      <c r="AC5325" s="500"/>
      <c r="AD5325" s="500"/>
      <c r="AE5325" s="500"/>
      <c r="AF5325" s="500"/>
      <c r="AG5325" s="500"/>
      <c r="AH5325" s="500"/>
      <c r="AI5325" s="500"/>
      <c r="AJ5325" s="500"/>
      <c r="AK5325" s="500"/>
      <c r="AL5325" s="500"/>
      <c r="AM5325" s="500"/>
      <c r="AN5325" s="500"/>
      <c r="AO5325" s="500"/>
      <c r="AP5325" s="500"/>
    </row>
    <row r="5326" spans="1:42" ht="16.5" customHeight="1">
      <c r="A5326" s="439"/>
      <c r="B5326" s="439"/>
      <c r="C5326" s="504"/>
      <c r="D5326" s="504"/>
      <c r="E5326" s="504"/>
      <c r="F5326" s="504"/>
      <c r="G5326" s="451" t="s">
        <v>3406</v>
      </c>
      <c r="Z5326" s="500"/>
      <c r="AA5326" s="500"/>
      <c r="AB5326" s="500"/>
      <c r="AC5326" s="500"/>
      <c r="AD5326" s="500"/>
      <c r="AE5326" s="500"/>
      <c r="AF5326" s="500"/>
      <c r="AG5326" s="500"/>
      <c r="AH5326" s="500"/>
      <c r="AI5326" s="500"/>
      <c r="AJ5326" s="500"/>
      <c r="AK5326" s="500"/>
      <c r="AL5326" s="500"/>
      <c r="AM5326" s="500"/>
      <c r="AN5326" s="500"/>
      <c r="AO5326" s="500"/>
      <c r="AP5326" s="500"/>
    </row>
    <row r="5327" spans="1:42" ht="16.5" customHeight="1">
      <c r="A5327" s="439"/>
      <c r="B5327" s="439"/>
      <c r="C5327" s="439"/>
      <c r="D5327" s="439"/>
      <c r="E5327" s="439"/>
      <c r="F5327" s="439"/>
      <c r="G5327" s="451" t="s">
        <v>3406</v>
      </c>
      <c r="Z5327" s="500"/>
      <c r="AA5327" s="500"/>
      <c r="AB5327" s="500"/>
      <c r="AC5327" s="500"/>
      <c r="AD5327" s="500"/>
      <c r="AE5327" s="500"/>
      <c r="AF5327" s="500"/>
      <c r="AG5327" s="500"/>
      <c r="AH5327" s="500"/>
      <c r="AI5327" s="500"/>
      <c r="AJ5327" s="500"/>
      <c r="AK5327" s="500"/>
      <c r="AL5327" s="500"/>
      <c r="AM5327" s="500"/>
      <c r="AN5327" s="500"/>
      <c r="AO5327" s="500"/>
      <c r="AP5327" s="500"/>
    </row>
    <row r="5328" spans="1:42" ht="16.5" customHeight="1">
      <c r="A5328" s="434"/>
      <c r="B5328" s="505" t="str">
        <f>" 2. 기계경비(인력품의 3%) : "&amp;TEXT(I5328,"#,##0.0")&amp;" * "&amp;AA5328&amp;" %  = "&amp;TEXT(C5328,"#,##0.0")&amp;""</f>
        <v xml:space="preserve"> 2. 기계경비(인력품의 3%) : 17,846.4 * 3 %  = 535.3</v>
      </c>
      <c r="C5328" s="506">
        <f>E5328+D5328+F5328</f>
        <v>535.29999999999995</v>
      </c>
      <c r="D5328" s="506">
        <f>IF(H5328=0,0,ROUNDDOWN(J5328*H5328/100,1))</f>
        <v>0</v>
      </c>
      <c r="E5328" s="506">
        <f>IF(H5328=0,0,ROUNDDOWN(K5328*H5328/100,1))</f>
        <v>0</v>
      </c>
      <c r="F5328" s="506">
        <f>IF(H5328=0,0,ROUNDDOWN(L5328*H5328/100,1))</f>
        <v>535.29999999999995</v>
      </c>
      <c r="G5328" s="451" t="s">
        <v>3923</v>
      </c>
      <c r="H5328" s="507">
        <f>ROUNDUP(AC5328,14-LEN(ABS(INT(AC5328))))</f>
        <v>3</v>
      </c>
      <c r="I5328" s="508">
        <f>K5328+J5328+L5328</f>
        <v>17846.400000000001</v>
      </c>
      <c r="J5328" s="456">
        <v>0</v>
      </c>
      <c r="K5328" s="456">
        <v>0</v>
      </c>
      <c r="L5328" s="509">
        <f>D5321+D5323</f>
        <v>17846.400000000001</v>
      </c>
      <c r="M5328" s="501" t="s">
        <v>3743</v>
      </c>
      <c r="N5328" s="501" t="s">
        <v>3416</v>
      </c>
      <c r="Z5328" s="501" t="s">
        <v>3500</v>
      </c>
      <c r="AA5328" s="515">
        <v>3</v>
      </c>
      <c r="AB5328" s="501" t="s">
        <v>3418</v>
      </c>
      <c r="AC5328" s="512">
        <f>1*AA5328</f>
        <v>3</v>
      </c>
      <c r="AD5328" s="500"/>
      <c r="AE5328" s="500"/>
      <c r="AF5328" s="500"/>
      <c r="AG5328" s="500"/>
      <c r="AH5328" s="500"/>
      <c r="AI5328" s="500"/>
      <c r="AJ5328" s="500"/>
      <c r="AK5328" s="500"/>
      <c r="AL5328" s="500"/>
      <c r="AM5328" s="500"/>
      <c r="AN5328" s="500"/>
      <c r="AO5328" s="500"/>
      <c r="AP5328" s="500"/>
    </row>
    <row r="5329" spans="1:42" ht="16.5" customHeight="1">
      <c r="A5329" s="439"/>
      <c r="B5329" s="439"/>
      <c r="C5329" s="439"/>
      <c r="D5329" s="439"/>
      <c r="E5329" s="439"/>
      <c r="F5329" s="439"/>
      <c r="G5329" s="451" t="s">
        <v>3406</v>
      </c>
      <c r="Z5329" s="500"/>
      <c r="AA5329" s="500"/>
      <c r="AB5329" s="500"/>
      <c r="AC5329" s="500"/>
      <c r="AD5329" s="500"/>
      <c r="AE5329" s="500"/>
      <c r="AF5329" s="500"/>
      <c r="AG5329" s="500"/>
      <c r="AH5329" s="500"/>
      <c r="AI5329" s="500"/>
      <c r="AJ5329" s="500"/>
      <c r="AK5329" s="500"/>
      <c r="AL5329" s="500"/>
      <c r="AM5329" s="500"/>
      <c r="AN5329" s="500"/>
      <c r="AO5329" s="500"/>
      <c r="AP5329" s="500"/>
    </row>
    <row r="5330" spans="1:42" ht="16.5" customHeight="1">
      <c r="A5330" s="434"/>
      <c r="B5330" s="437" t="s">
        <v>3419</v>
      </c>
      <c r="C5330" s="513">
        <f>E5330+D5330+F5330</f>
        <v>535.29999999999995</v>
      </c>
      <c r="D5330" s="513">
        <f>SUMIF(N5326:N5329,M5330,D5326:D5329)</f>
        <v>0</v>
      </c>
      <c r="E5330" s="513">
        <f>SUMIF(N5326:N5329,M5330,E5326:E5329)</f>
        <v>0</v>
      </c>
      <c r="F5330" s="513">
        <f>SUMIF(N5326:N5329,M5330,F5326:F5329)</f>
        <v>535.29999999999995</v>
      </c>
      <c r="G5330" s="451" t="s">
        <v>3439</v>
      </c>
      <c r="M5330" s="501" t="s">
        <v>3416</v>
      </c>
      <c r="N5330" s="501" t="s">
        <v>3421</v>
      </c>
      <c r="Z5330" s="500"/>
      <c r="AA5330" s="500"/>
      <c r="AB5330" s="500"/>
      <c r="AC5330" s="500"/>
      <c r="AD5330" s="500"/>
      <c r="AE5330" s="500"/>
      <c r="AF5330" s="500"/>
      <c r="AG5330" s="500"/>
      <c r="AH5330" s="500"/>
      <c r="AI5330" s="500"/>
      <c r="AJ5330" s="500"/>
      <c r="AK5330" s="500"/>
      <c r="AL5330" s="500"/>
      <c r="AM5330" s="500"/>
      <c r="AN5330" s="500"/>
      <c r="AO5330" s="500"/>
      <c r="AP5330" s="500"/>
    </row>
    <row r="5331" spans="1:42" ht="16.5" customHeight="1">
      <c r="A5331" s="439"/>
      <c r="B5331" s="439"/>
      <c r="C5331" s="504"/>
      <c r="D5331" s="504"/>
      <c r="E5331" s="504"/>
      <c r="F5331" s="504"/>
      <c r="G5331" s="451" t="s">
        <v>3406</v>
      </c>
      <c r="Z5331" s="500"/>
      <c r="AA5331" s="500"/>
      <c r="AB5331" s="500"/>
      <c r="AC5331" s="500"/>
      <c r="AD5331" s="500"/>
      <c r="AE5331" s="500"/>
      <c r="AF5331" s="500"/>
      <c r="AG5331" s="500"/>
      <c r="AH5331" s="500"/>
      <c r="AI5331" s="500"/>
      <c r="AJ5331" s="500"/>
      <c r="AK5331" s="500"/>
      <c r="AL5331" s="500"/>
      <c r="AM5331" s="500"/>
      <c r="AN5331" s="500"/>
      <c r="AO5331" s="500"/>
      <c r="AP5331" s="500"/>
    </row>
    <row r="5332" spans="1:42" ht="16.5" customHeight="1">
      <c r="A5332" s="434"/>
      <c r="B5332" s="505" t="str">
        <f>"  산지할증 : "&amp;TEXT(I5332,"#,##0.0")&amp;" * "&amp;AA5332&amp;" %  = "&amp;TEXT(C5332,"#,##0.0")&amp;""</f>
        <v xml:space="preserve">  산지할증 : 17,846.4 * 25 %  = 4,461.6</v>
      </c>
      <c r="C5332" s="506">
        <f>E5332+D5332+F5332</f>
        <v>4461.6000000000004</v>
      </c>
      <c r="D5332" s="506">
        <f>IF(H5332=0,0,ROUNDDOWN(J5332*H5332/100,1))</f>
        <v>4461.6000000000004</v>
      </c>
      <c r="E5332" s="506">
        <f>IF(H5332=0,0,ROUNDDOWN(K5332*H5332/100,1))</f>
        <v>0</v>
      </c>
      <c r="F5332" s="506">
        <f>IF(H5332=0,0,ROUNDDOWN(L5332*H5332/100,1))</f>
        <v>0</v>
      </c>
      <c r="G5332" s="451" t="s">
        <v>5592</v>
      </c>
      <c r="H5332" s="507">
        <f>ROUNDUP(AC5332,14-LEN(ABS(INT(AC5332))))</f>
        <v>25</v>
      </c>
      <c r="I5332" s="508">
        <f>K5332+J5332+L5332</f>
        <v>17846.400000000001</v>
      </c>
      <c r="J5332" s="508">
        <f>D5325+D5330+SUMIF(N5331:N5331,N5332,D5331:D5331)</f>
        <v>17846.400000000001</v>
      </c>
      <c r="K5332" s="456">
        <v>0</v>
      </c>
      <c r="L5332" s="456">
        <v>0</v>
      </c>
      <c r="M5332" s="501" t="s">
        <v>4208</v>
      </c>
      <c r="N5332" s="501" t="s">
        <v>3416</v>
      </c>
      <c r="Z5332" s="501" t="s">
        <v>3500</v>
      </c>
      <c r="AA5332" s="515">
        <v>25</v>
      </c>
      <c r="AB5332" s="501" t="s">
        <v>3418</v>
      </c>
      <c r="AC5332" s="512">
        <f>1*AA5332</f>
        <v>25</v>
      </c>
      <c r="AD5332" s="500"/>
      <c r="AE5332" s="500"/>
      <c r="AF5332" s="500"/>
      <c r="AG5332" s="500"/>
      <c r="AH5332" s="500"/>
      <c r="AI5332" s="500"/>
      <c r="AJ5332" s="500"/>
      <c r="AK5332" s="500"/>
      <c r="AL5332" s="500"/>
      <c r="AM5332" s="500"/>
      <c r="AN5332" s="500"/>
      <c r="AO5332" s="500"/>
      <c r="AP5332" s="500"/>
    </row>
    <row r="5333" spans="1:42" ht="16.5" customHeight="1">
      <c r="A5333" s="439"/>
      <c r="B5333" s="439"/>
      <c r="C5333" s="439"/>
      <c r="D5333" s="439"/>
      <c r="E5333" s="439"/>
      <c r="F5333" s="439"/>
      <c r="G5333" s="451" t="s">
        <v>3406</v>
      </c>
      <c r="Z5333" s="500"/>
      <c r="AA5333" s="500"/>
      <c r="AB5333" s="500"/>
      <c r="AC5333" s="500"/>
      <c r="AD5333" s="500"/>
      <c r="AE5333" s="500"/>
      <c r="AF5333" s="500"/>
      <c r="AG5333" s="500"/>
      <c r="AH5333" s="500"/>
      <c r="AI5333" s="500"/>
      <c r="AJ5333" s="500"/>
      <c r="AK5333" s="500"/>
      <c r="AL5333" s="500"/>
      <c r="AM5333" s="500"/>
      <c r="AN5333" s="500"/>
      <c r="AO5333" s="500"/>
      <c r="AP5333" s="500"/>
    </row>
    <row r="5334" spans="1:42" ht="16.5" customHeight="1">
      <c r="A5334" s="434"/>
      <c r="B5334" s="437" t="s">
        <v>3419</v>
      </c>
      <c r="C5334" s="513">
        <f>E5334+D5334+F5334</f>
        <v>4461.6000000000004</v>
      </c>
      <c r="D5334" s="513">
        <f>SUMIF(N5331:N5333,M5334,D5331:D5333)</f>
        <v>4461.6000000000004</v>
      </c>
      <c r="E5334" s="513">
        <f>SUMIF(N5331:N5333,M5334,E5331:E5333)</f>
        <v>0</v>
      </c>
      <c r="F5334" s="513">
        <f>SUMIF(N5331:N5333,M5334,F5331:F5333)</f>
        <v>0</v>
      </c>
      <c r="G5334" s="451" t="s">
        <v>3439</v>
      </c>
      <c r="M5334" s="501" t="s">
        <v>3416</v>
      </c>
      <c r="N5334" s="501" t="s">
        <v>3421</v>
      </c>
      <c r="Z5334" s="500"/>
      <c r="AA5334" s="500"/>
      <c r="AB5334" s="500"/>
      <c r="AC5334" s="500"/>
      <c r="AD5334" s="500"/>
      <c r="AE5334" s="500"/>
      <c r="AF5334" s="500"/>
      <c r="AG5334" s="500"/>
      <c r="AH5334" s="500"/>
      <c r="AI5334" s="500"/>
      <c r="AJ5334" s="500"/>
      <c r="AK5334" s="500"/>
      <c r="AL5334" s="500"/>
      <c r="AM5334" s="500"/>
      <c r="AN5334" s="500"/>
      <c r="AO5334" s="500"/>
      <c r="AP5334" s="500"/>
    </row>
    <row r="5335" spans="1:42" ht="16.5" customHeight="1">
      <c r="A5335" s="439"/>
      <c r="B5335" s="439"/>
      <c r="C5335" s="504"/>
      <c r="D5335" s="504"/>
      <c r="E5335" s="504"/>
      <c r="F5335" s="504"/>
      <c r="G5335" s="451" t="s">
        <v>3406</v>
      </c>
      <c r="Z5335" s="500"/>
      <c r="AA5335" s="500"/>
      <c r="AB5335" s="500"/>
      <c r="AC5335" s="500"/>
      <c r="AD5335" s="500"/>
      <c r="AE5335" s="500"/>
      <c r="AF5335" s="500"/>
      <c r="AG5335" s="500"/>
      <c r="AH5335" s="500"/>
      <c r="AI5335" s="500"/>
      <c r="AJ5335" s="500"/>
      <c r="AK5335" s="500"/>
      <c r="AL5335" s="500"/>
      <c r="AM5335" s="500"/>
      <c r="AN5335" s="500"/>
      <c r="AO5335" s="500"/>
      <c r="AP5335" s="500"/>
    </row>
    <row r="5336" spans="1:42" ht="16.5" customHeight="1">
      <c r="A5336" s="434"/>
      <c r="B5336" s="437" t="s">
        <v>3440</v>
      </c>
      <c r="C5336" s="513">
        <f>E5336+D5336+F5336</f>
        <v>22843.3</v>
      </c>
      <c r="D5336" s="513">
        <f>SUMIF(N5307:N5335,M5336,D5307:D5335)</f>
        <v>22308</v>
      </c>
      <c r="E5336" s="513">
        <f>SUMIF(N5307:N5335,M5336,E5307:E5335)</f>
        <v>0</v>
      </c>
      <c r="F5336" s="513">
        <f>SUMIF(N5307:N5335,M5336,F5307:F5335)</f>
        <v>535.29999999999995</v>
      </c>
      <c r="G5336" s="451" t="s">
        <v>3441</v>
      </c>
      <c r="M5336" s="501" t="s">
        <v>3421</v>
      </c>
      <c r="N5336" s="501" t="s">
        <v>2354</v>
      </c>
      <c r="Z5336" s="500"/>
      <c r="AA5336" s="500"/>
      <c r="AB5336" s="500"/>
      <c r="AC5336" s="500"/>
      <c r="AD5336" s="500"/>
      <c r="AE5336" s="500"/>
      <c r="AF5336" s="500"/>
      <c r="AG5336" s="500"/>
      <c r="AH5336" s="500"/>
      <c r="AI5336" s="500"/>
      <c r="AJ5336" s="500"/>
      <c r="AK5336" s="500"/>
      <c r="AL5336" s="500"/>
      <c r="AM5336" s="500"/>
      <c r="AN5336" s="500"/>
      <c r="AO5336" s="500"/>
      <c r="AP5336" s="500"/>
    </row>
    <row r="5337" spans="1:42" ht="16.5" customHeight="1">
      <c r="A5337" s="439"/>
      <c r="B5337" s="439"/>
      <c r="C5337" s="504"/>
      <c r="D5337" s="504"/>
      <c r="E5337" s="504"/>
      <c r="F5337" s="504"/>
      <c r="Z5337" s="500"/>
      <c r="AA5337" s="500"/>
      <c r="AB5337" s="500"/>
      <c r="AC5337" s="500"/>
      <c r="AD5337" s="500"/>
      <c r="AE5337" s="500"/>
      <c r="AF5337" s="500"/>
      <c r="AG5337" s="500"/>
      <c r="AH5337" s="500"/>
      <c r="AI5337" s="500"/>
      <c r="AJ5337" s="500"/>
      <c r="AK5337" s="500"/>
      <c r="AL5337" s="500"/>
      <c r="AM5337" s="500"/>
      <c r="AN5337" s="500"/>
      <c r="AO5337" s="500"/>
      <c r="AP5337" s="500"/>
    </row>
    <row r="5338" spans="1:42" ht="16.5" customHeight="1">
      <c r="A5338" s="439"/>
      <c r="B5338" s="439"/>
      <c r="C5338" s="439"/>
      <c r="D5338" s="439"/>
      <c r="E5338" s="439"/>
      <c r="F5338" s="439"/>
      <c r="Z5338" s="500"/>
      <c r="AA5338" s="500"/>
      <c r="AB5338" s="500"/>
      <c r="AC5338" s="500"/>
      <c r="AD5338" s="500"/>
      <c r="AE5338" s="500"/>
      <c r="AF5338" s="500"/>
      <c r="AG5338" s="500"/>
      <c r="AH5338" s="500"/>
      <c r="AI5338" s="500"/>
      <c r="AJ5338" s="500"/>
      <c r="AK5338" s="500"/>
      <c r="AL5338" s="500"/>
      <c r="AM5338" s="500"/>
      <c r="AN5338" s="500"/>
      <c r="AO5338" s="500"/>
      <c r="AP5338" s="500"/>
    </row>
    <row r="5339" spans="1:42" ht="16.5" customHeight="1">
      <c r="A5339" s="439"/>
      <c r="B5339" s="439"/>
      <c r="C5339" s="439"/>
      <c r="D5339" s="439"/>
      <c r="E5339" s="439"/>
      <c r="F5339" s="439"/>
      <c r="Z5339" s="500"/>
      <c r="AA5339" s="500"/>
      <c r="AB5339" s="500"/>
      <c r="AC5339" s="500"/>
      <c r="AD5339" s="500"/>
      <c r="AE5339" s="500"/>
      <c r="AF5339" s="500"/>
      <c r="AG5339" s="500"/>
      <c r="AH5339" s="500"/>
      <c r="AI5339" s="500"/>
      <c r="AJ5339" s="500"/>
      <c r="AK5339" s="500"/>
      <c r="AL5339" s="500"/>
      <c r="AM5339" s="500"/>
      <c r="AN5339" s="500"/>
      <c r="AO5339" s="500"/>
      <c r="AP5339" s="500"/>
    </row>
    <row r="5340" spans="1:42" ht="16.5" customHeight="1">
      <c r="A5340" s="439"/>
      <c r="B5340" s="439"/>
      <c r="C5340" s="439"/>
      <c r="D5340" s="439"/>
      <c r="E5340" s="439"/>
      <c r="F5340" s="439"/>
      <c r="Z5340" s="500"/>
      <c r="AA5340" s="500"/>
      <c r="AB5340" s="500"/>
      <c r="AC5340" s="500"/>
      <c r="AD5340" s="500"/>
      <c r="AE5340" s="500"/>
      <c r="AF5340" s="500"/>
      <c r="AG5340" s="500"/>
      <c r="AH5340" s="500"/>
      <c r="AI5340" s="500"/>
      <c r="AJ5340" s="500"/>
      <c r="AK5340" s="500"/>
      <c r="AL5340" s="500"/>
      <c r="AM5340" s="500"/>
      <c r="AN5340" s="500"/>
      <c r="AO5340" s="500"/>
      <c r="AP5340" s="500"/>
    </row>
    <row r="5341" spans="1:42" ht="16.5" customHeight="1">
      <c r="A5341" s="439"/>
      <c r="B5341" s="439"/>
      <c r="C5341" s="439"/>
      <c r="D5341" s="439"/>
      <c r="E5341" s="439"/>
      <c r="F5341" s="439"/>
      <c r="Z5341" s="500"/>
      <c r="AA5341" s="500"/>
      <c r="AB5341" s="500"/>
      <c r="AC5341" s="500"/>
      <c r="AD5341" s="500"/>
      <c r="AE5341" s="500"/>
      <c r="AF5341" s="500"/>
      <c r="AG5341" s="500"/>
      <c r="AH5341" s="500"/>
      <c r="AI5341" s="500"/>
      <c r="AJ5341" s="500"/>
      <c r="AK5341" s="500"/>
      <c r="AL5341" s="500"/>
      <c r="AM5341" s="500"/>
      <c r="AN5341" s="500"/>
      <c r="AO5341" s="500"/>
      <c r="AP5341" s="500"/>
    </row>
    <row r="5342" spans="1:42" ht="16.5" customHeight="1">
      <c r="A5342" s="439"/>
      <c r="B5342" s="439"/>
      <c r="C5342" s="439"/>
      <c r="D5342" s="439"/>
      <c r="E5342" s="439"/>
      <c r="F5342" s="439"/>
      <c r="Z5342" s="500"/>
      <c r="AA5342" s="500"/>
      <c r="AB5342" s="500"/>
      <c r="AC5342" s="500"/>
      <c r="AD5342" s="500"/>
      <c r="AE5342" s="500"/>
      <c r="AF5342" s="500"/>
      <c r="AG5342" s="500"/>
      <c r="AH5342" s="500"/>
      <c r="AI5342" s="500"/>
      <c r="AJ5342" s="500"/>
      <c r="AK5342" s="500"/>
      <c r="AL5342" s="500"/>
      <c r="AM5342" s="500"/>
      <c r="AN5342" s="500"/>
      <c r="AO5342" s="500"/>
      <c r="AP5342" s="500"/>
    </row>
    <row r="5343" spans="1:42" ht="16.5" customHeight="1">
      <c r="A5343" s="439"/>
      <c r="B5343" s="439"/>
      <c r="C5343" s="439"/>
      <c r="D5343" s="439"/>
      <c r="E5343" s="439"/>
      <c r="F5343" s="439"/>
      <c r="Z5343" s="500"/>
      <c r="AA5343" s="500"/>
      <c r="AB5343" s="500"/>
      <c r="AC5343" s="500"/>
      <c r="AD5343" s="500"/>
      <c r="AE5343" s="500"/>
      <c r="AF5343" s="500"/>
      <c r="AG5343" s="500"/>
      <c r="AH5343" s="500"/>
      <c r="AI5343" s="500"/>
      <c r="AJ5343" s="500"/>
      <c r="AK5343" s="500"/>
      <c r="AL5343" s="500"/>
      <c r="AM5343" s="500"/>
      <c r="AN5343" s="500"/>
      <c r="AO5343" s="500"/>
      <c r="AP5343" s="500"/>
    </row>
    <row r="5344" spans="1:42" ht="16.5" customHeight="1">
      <c r="A5344" s="439"/>
      <c r="B5344" s="439"/>
      <c r="C5344" s="439"/>
      <c r="D5344" s="439"/>
      <c r="E5344" s="439"/>
      <c r="F5344" s="439"/>
      <c r="Z5344" s="500"/>
      <c r="AA5344" s="500"/>
      <c r="AB5344" s="500"/>
      <c r="AC5344" s="500"/>
      <c r="AD5344" s="500"/>
      <c r="AE5344" s="500"/>
      <c r="AF5344" s="500"/>
      <c r="AG5344" s="500"/>
      <c r="AH5344" s="500"/>
      <c r="AI5344" s="500"/>
      <c r="AJ5344" s="500"/>
      <c r="AK5344" s="500"/>
      <c r="AL5344" s="500"/>
      <c r="AM5344" s="500"/>
      <c r="AN5344" s="500"/>
      <c r="AO5344" s="500"/>
      <c r="AP5344" s="500"/>
    </row>
    <row r="5345" spans="1:42" ht="16.5" customHeight="1">
      <c r="A5345" s="439"/>
      <c r="B5345" s="439"/>
      <c r="C5345" s="439"/>
      <c r="D5345" s="439"/>
      <c r="E5345" s="439"/>
      <c r="F5345" s="439"/>
      <c r="Z5345" s="500"/>
      <c r="AA5345" s="500"/>
      <c r="AB5345" s="500"/>
      <c r="AC5345" s="500"/>
      <c r="AD5345" s="500"/>
      <c r="AE5345" s="500"/>
      <c r="AF5345" s="500"/>
      <c r="AG5345" s="500"/>
      <c r="AH5345" s="500"/>
      <c r="AI5345" s="500"/>
      <c r="AJ5345" s="500"/>
      <c r="AK5345" s="500"/>
      <c r="AL5345" s="500"/>
      <c r="AM5345" s="500"/>
      <c r="AN5345" s="500"/>
      <c r="AO5345" s="500"/>
      <c r="AP5345" s="500"/>
    </row>
    <row r="5346" spans="1:42" ht="16.5" customHeight="1">
      <c r="A5346" s="439"/>
      <c r="B5346" s="439"/>
      <c r="C5346" s="439"/>
      <c r="D5346" s="439"/>
      <c r="E5346" s="439"/>
      <c r="F5346" s="439"/>
      <c r="Z5346" s="500"/>
      <c r="AA5346" s="500"/>
      <c r="AB5346" s="500"/>
      <c r="AC5346" s="500"/>
      <c r="AD5346" s="500"/>
      <c r="AE5346" s="500"/>
      <c r="AF5346" s="500"/>
      <c r="AG5346" s="500"/>
      <c r="AH5346" s="500"/>
      <c r="AI5346" s="500"/>
      <c r="AJ5346" s="500"/>
      <c r="AK5346" s="500"/>
      <c r="AL5346" s="500"/>
      <c r="AM5346" s="500"/>
      <c r="AN5346" s="500"/>
      <c r="AO5346" s="500"/>
      <c r="AP5346" s="500"/>
    </row>
    <row r="5347" spans="1:42" ht="16.5" customHeight="1">
      <c r="A5347" s="439"/>
      <c r="B5347" s="439"/>
      <c r="C5347" s="439"/>
      <c r="D5347" s="439"/>
      <c r="E5347" s="439"/>
      <c r="F5347" s="439"/>
      <c r="Z5347" s="500"/>
      <c r="AA5347" s="500"/>
      <c r="AB5347" s="500"/>
      <c r="AC5347" s="500"/>
      <c r="AD5347" s="500"/>
      <c r="AE5347" s="500"/>
      <c r="AF5347" s="500"/>
      <c r="AG5347" s="500"/>
      <c r="AH5347" s="500"/>
      <c r="AI5347" s="500"/>
      <c r="AJ5347" s="500"/>
      <c r="AK5347" s="500"/>
      <c r="AL5347" s="500"/>
      <c r="AM5347" s="500"/>
      <c r="AN5347" s="500"/>
      <c r="AO5347" s="500"/>
      <c r="AP5347" s="500"/>
    </row>
    <row r="5348" spans="1:42" ht="16.5" customHeight="1">
      <c r="A5348" s="439"/>
      <c r="B5348" s="439"/>
      <c r="C5348" s="439"/>
      <c r="D5348" s="439"/>
      <c r="E5348" s="439"/>
      <c r="F5348" s="439"/>
      <c r="Z5348" s="500"/>
      <c r="AA5348" s="500"/>
      <c r="AB5348" s="500"/>
      <c r="AC5348" s="500"/>
      <c r="AD5348" s="500"/>
      <c r="AE5348" s="500"/>
      <c r="AF5348" s="500"/>
      <c r="AG5348" s="500"/>
      <c r="AH5348" s="500"/>
      <c r="AI5348" s="500"/>
      <c r="AJ5348" s="500"/>
      <c r="AK5348" s="500"/>
      <c r="AL5348" s="500"/>
      <c r="AM5348" s="500"/>
      <c r="AN5348" s="500"/>
      <c r="AO5348" s="500"/>
      <c r="AP5348" s="500"/>
    </row>
    <row r="5349" spans="1:42" ht="16.5" customHeight="1">
      <c r="A5349" s="439"/>
      <c r="B5349" s="439"/>
      <c r="C5349" s="439"/>
      <c r="D5349" s="439"/>
      <c r="E5349" s="439"/>
      <c r="F5349" s="439"/>
      <c r="Z5349" s="500"/>
      <c r="AA5349" s="500"/>
      <c r="AB5349" s="500"/>
      <c r="AC5349" s="500"/>
      <c r="AD5349" s="500"/>
      <c r="AE5349" s="500"/>
      <c r="AF5349" s="500"/>
      <c r="AG5349" s="500"/>
      <c r="AH5349" s="500"/>
      <c r="AI5349" s="500"/>
      <c r="AJ5349" s="500"/>
      <c r="AK5349" s="500"/>
      <c r="AL5349" s="500"/>
      <c r="AM5349" s="500"/>
      <c r="AN5349" s="500"/>
      <c r="AO5349" s="500"/>
      <c r="AP5349" s="500"/>
    </row>
    <row r="5350" spans="1:42" ht="16.5" customHeight="1">
      <c r="A5350" s="439"/>
      <c r="B5350" s="439"/>
      <c r="C5350" s="439"/>
      <c r="D5350" s="439"/>
      <c r="E5350" s="439"/>
      <c r="F5350" s="439"/>
      <c r="Z5350" s="500"/>
      <c r="AA5350" s="500"/>
      <c r="AB5350" s="500"/>
      <c r="AC5350" s="500"/>
      <c r="AD5350" s="500"/>
      <c r="AE5350" s="500"/>
      <c r="AF5350" s="500"/>
      <c r="AG5350" s="500"/>
      <c r="AH5350" s="500"/>
      <c r="AI5350" s="500"/>
      <c r="AJ5350" s="500"/>
      <c r="AK5350" s="500"/>
      <c r="AL5350" s="500"/>
      <c r="AM5350" s="500"/>
      <c r="AN5350" s="500"/>
      <c r="AO5350" s="500"/>
      <c r="AP5350" s="500"/>
    </row>
    <row r="5351" spans="1:42" ht="16.5" customHeight="1">
      <c r="A5351" s="439"/>
      <c r="B5351" s="439"/>
      <c r="C5351" s="439"/>
      <c r="D5351" s="439"/>
      <c r="E5351" s="439"/>
      <c r="F5351" s="439"/>
      <c r="Z5351" s="500"/>
      <c r="AA5351" s="500"/>
      <c r="AB5351" s="500"/>
      <c r="AC5351" s="500"/>
      <c r="AD5351" s="500"/>
      <c r="AE5351" s="500"/>
      <c r="AF5351" s="500"/>
      <c r="AG5351" s="500"/>
      <c r="AH5351" s="500"/>
      <c r="AI5351" s="500"/>
      <c r="AJ5351" s="500"/>
      <c r="AK5351" s="500"/>
      <c r="AL5351" s="500"/>
      <c r="AM5351" s="500"/>
      <c r="AN5351" s="500"/>
      <c r="AO5351" s="500"/>
      <c r="AP5351" s="500"/>
    </row>
    <row r="5352" spans="1:42" ht="16.5" customHeight="1">
      <c r="A5352" s="439"/>
      <c r="B5352" s="439"/>
      <c r="C5352" s="439"/>
      <c r="D5352" s="439"/>
      <c r="E5352" s="439"/>
      <c r="F5352" s="439"/>
      <c r="Z5352" s="500"/>
      <c r="AA5352" s="500"/>
      <c r="AB5352" s="500"/>
      <c r="AC5352" s="500"/>
      <c r="AD5352" s="500"/>
      <c r="AE5352" s="500"/>
      <c r="AF5352" s="500"/>
      <c r="AG5352" s="500"/>
      <c r="AH5352" s="500"/>
      <c r="AI5352" s="500"/>
      <c r="AJ5352" s="500"/>
      <c r="AK5352" s="500"/>
      <c r="AL5352" s="500"/>
      <c r="AM5352" s="500"/>
      <c r="AN5352" s="500"/>
      <c r="AO5352" s="500"/>
      <c r="AP5352" s="500"/>
    </row>
    <row r="5353" spans="1:42" ht="16.5" customHeight="1">
      <c r="A5353" s="497"/>
      <c r="B5353" s="497"/>
      <c r="C5353" s="497"/>
      <c r="D5353" s="497"/>
      <c r="E5353" s="497"/>
      <c r="F5353" s="497"/>
      <c r="Z5353" s="500"/>
      <c r="AA5353" s="500"/>
      <c r="AB5353" s="500"/>
      <c r="AC5353" s="500"/>
      <c r="AD5353" s="500"/>
      <c r="AE5353" s="500"/>
      <c r="AF5353" s="500"/>
      <c r="AG5353" s="500"/>
      <c r="AH5353" s="500"/>
      <c r="AI5353" s="500"/>
      <c r="AJ5353" s="500"/>
      <c r="AK5353" s="500"/>
      <c r="AL5353" s="500"/>
      <c r="AM5353" s="500"/>
      <c r="AN5353" s="500"/>
      <c r="AO5353" s="500"/>
      <c r="AP5353" s="500"/>
    </row>
    <row r="5354" spans="1:42" ht="16.5" customHeight="1">
      <c r="A5354" s="616" t="s">
        <v>3487</v>
      </c>
      <c r="B5354" s="605"/>
      <c r="C5354" s="446">
        <f>E5354+D5354+F5354</f>
        <v>22843</v>
      </c>
      <c r="D5354" s="453">
        <f>ROUNDDOWN(SUMIF(N5307:N5336,M5354,D5307:D5336),0)</f>
        <v>22308</v>
      </c>
      <c r="E5354" s="454">
        <f>ROUNDDOWN(SUMIF(N5307:N5336,M5354,E5307:E5336),0)</f>
        <v>0</v>
      </c>
      <c r="F5354" s="446">
        <f>ROUNDDOWN(SUMIF(N5307:N5336,M5354,F5307:F5336),0)</f>
        <v>535</v>
      </c>
      <c r="M5354" s="501" t="s">
        <v>2354</v>
      </c>
      <c r="Z5354" s="500"/>
      <c r="AA5354" s="500"/>
      <c r="AB5354" s="500"/>
      <c r="AC5354" s="500"/>
      <c r="AD5354" s="500"/>
      <c r="AE5354" s="500"/>
      <c r="AF5354" s="500"/>
      <c r="AG5354" s="500"/>
      <c r="AH5354" s="500"/>
      <c r="AI5354" s="500"/>
      <c r="AJ5354" s="500"/>
      <c r="AK5354" s="500"/>
      <c r="AL5354" s="500"/>
      <c r="AM5354" s="500"/>
      <c r="AN5354" s="500"/>
      <c r="AO5354" s="500"/>
      <c r="AP5354" s="500"/>
    </row>
    <row r="5355" spans="1:42" ht="16.5" customHeight="1">
      <c r="A5355" s="502" t="s">
        <v>3371</v>
      </c>
      <c r="B5355" s="503" t="s">
        <v>5463</v>
      </c>
      <c r="C5355" s="615">
        <f>C5404</f>
        <v>37380</v>
      </c>
      <c r="D5355" s="615">
        <f>D5404</f>
        <v>36504</v>
      </c>
      <c r="E5355" s="615">
        <f>E5404</f>
        <v>0</v>
      </c>
      <c r="F5355" s="615">
        <f>F5404</f>
        <v>876</v>
      </c>
      <c r="G5355" s="486" t="str">
        <f>HYPERLINK("#G"&amp;ROW(G5386),"_x0005_`BDCOD|D01340_x0007_`POSS|"&amp;ROW(G5357)&amp;"_x0007_`POSE|"&amp;ROW(G5386)&amp;"_x0007_`")</f>
        <v>_x0005_`BDCOD|D01340_x0007_`POSS|5357_x0007_`POSE|5386_x0007_`</v>
      </c>
      <c r="Z5355" s="500"/>
      <c r="AA5355" s="500"/>
      <c r="AB5355" s="500"/>
      <c r="AC5355" s="500"/>
      <c r="AD5355" s="500"/>
      <c r="AE5355" s="500"/>
      <c r="AF5355" s="500"/>
      <c r="AG5355" s="500"/>
      <c r="AH5355" s="500"/>
      <c r="AI5355" s="500"/>
      <c r="AJ5355" s="500"/>
      <c r="AK5355" s="500"/>
      <c r="AL5355" s="500"/>
      <c r="AM5355" s="500"/>
      <c r="AN5355" s="500"/>
      <c r="AO5355" s="500"/>
      <c r="AP5355" s="500"/>
    </row>
    <row r="5356" spans="1:42" ht="16.5" customHeight="1">
      <c r="A5356" s="485"/>
      <c r="B5356" s="503" t="s">
        <v>5633</v>
      </c>
      <c r="C5356" s="593"/>
      <c r="D5356" s="593"/>
      <c r="E5356" s="593"/>
      <c r="F5356" s="593"/>
      <c r="M5356" s="501" t="s">
        <v>5463</v>
      </c>
      <c r="Z5356" s="500"/>
      <c r="AA5356" s="500"/>
      <c r="AB5356" s="500"/>
      <c r="AC5356" s="500"/>
      <c r="AD5356" s="500"/>
      <c r="AE5356" s="500"/>
      <c r="AF5356" s="500"/>
      <c r="AG5356" s="500"/>
      <c r="AH5356" s="500"/>
      <c r="AI5356" s="500"/>
      <c r="AJ5356" s="500"/>
      <c r="AK5356" s="500"/>
      <c r="AL5356" s="500"/>
      <c r="AM5356" s="500"/>
      <c r="AN5356" s="500"/>
      <c r="AO5356" s="500"/>
      <c r="AP5356" s="500"/>
    </row>
    <row r="5357" spans="1:42" ht="16.5" customHeight="1">
      <c r="A5357" s="439"/>
      <c r="B5357" s="439"/>
      <c r="C5357" s="504"/>
      <c r="D5357" s="504"/>
      <c r="E5357" s="504"/>
      <c r="F5357" s="504"/>
      <c r="G5357" s="451" t="s">
        <v>3406</v>
      </c>
      <c r="Z5357" s="500"/>
      <c r="AA5357" s="500"/>
      <c r="AB5357" s="500"/>
      <c r="AC5357" s="500"/>
      <c r="AD5357" s="500"/>
      <c r="AE5357" s="500"/>
      <c r="AF5357" s="500"/>
      <c r="AG5357" s="500"/>
      <c r="AH5357" s="500"/>
      <c r="AI5357" s="500"/>
      <c r="AJ5357" s="500"/>
      <c r="AK5357" s="500"/>
      <c r="AL5357" s="500"/>
      <c r="AM5357" s="500"/>
      <c r="AN5357" s="500"/>
      <c r="AO5357" s="500"/>
      <c r="AP5357" s="500"/>
    </row>
    <row r="5358" spans="1:42" ht="16.5" customHeight="1">
      <c r="A5358" s="434"/>
      <c r="B5358" s="437" t="s">
        <v>3953</v>
      </c>
      <c r="C5358" s="439"/>
      <c r="D5358" s="439"/>
      <c r="E5358" s="439"/>
      <c r="F5358" s="439"/>
      <c r="G5358" s="451" t="s">
        <v>3954</v>
      </c>
      <c r="Z5358" s="500"/>
      <c r="AA5358" s="500"/>
      <c r="AB5358" s="500"/>
      <c r="AC5358" s="500"/>
      <c r="AD5358" s="500"/>
      <c r="AE5358" s="500"/>
      <c r="AF5358" s="500"/>
      <c r="AG5358" s="500"/>
      <c r="AH5358" s="500"/>
      <c r="AI5358" s="500"/>
      <c r="AJ5358" s="500"/>
      <c r="AK5358" s="500"/>
      <c r="AL5358" s="500"/>
      <c r="AM5358" s="500"/>
      <c r="AN5358" s="500"/>
      <c r="AO5358" s="500"/>
      <c r="AP5358" s="500"/>
    </row>
    <row r="5359" spans="1:42" ht="16.5" customHeight="1">
      <c r="A5359" s="439"/>
      <c r="B5359" s="439"/>
      <c r="C5359" s="439"/>
      <c r="D5359" s="439"/>
      <c r="E5359" s="439"/>
      <c r="F5359" s="439"/>
      <c r="G5359" s="451" t="s">
        <v>3406</v>
      </c>
      <c r="Z5359" s="500"/>
      <c r="AA5359" s="500"/>
      <c r="AB5359" s="500"/>
      <c r="AC5359" s="500"/>
      <c r="AD5359" s="500"/>
      <c r="AE5359" s="500"/>
      <c r="AF5359" s="500"/>
      <c r="AG5359" s="500"/>
      <c r="AH5359" s="500"/>
      <c r="AI5359" s="500"/>
      <c r="AJ5359" s="500"/>
      <c r="AK5359" s="500"/>
      <c r="AL5359" s="500"/>
      <c r="AM5359" s="500"/>
      <c r="AN5359" s="500"/>
      <c r="AO5359" s="500"/>
      <c r="AP5359" s="500"/>
    </row>
    <row r="5360" spans="1:42" ht="16.5" customHeight="1">
      <c r="A5360" s="434"/>
      <c r="B5360" s="437" t="s">
        <v>3907</v>
      </c>
      <c r="C5360" s="439"/>
      <c r="D5360" s="439"/>
      <c r="E5360" s="439"/>
      <c r="F5360" s="439"/>
      <c r="G5360" s="451" t="s">
        <v>3908</v>
      </c>
      <c r="Z5360" s="500"/>
      <c r="AA5360" s="500"/>
      <c r="AB5360" s="500"/>
      <c r="AC5360" s="500"/>
      <c r="AD5360" s="500"/>
      <c r="AE5360" s="500"/>
      <c r="AF5360" s="500"/>
      <c r="AG5360" s="500"/>
      <c r="AH5360" s="500"/>
      <c r="AI5360" s="500"/>
      <c r="AJ5360" s="500"/>
      <c r="AK5360" s="500"/>
      <c r="AL5360" s="500"/>
      <c r="AM5360" s="500"/>
      <c r="AN5360" s="500"/>
      <c r="AO5360" s="500"/>
      <c r="AP5360" s="500"/>
    </row>
    <row r="5361" spans="1:42" ht="16.5" customHeight="1">
      <c r="A5361" s="439"/>
      <c r="B5361" s="439"/>
      <c r="C5361" s="439"/>
      <c r="D5361" s="439"/>
      <c r="E5361" s="439"/>
      <c r="F5361" s="439"/>
      <c r="G5361" s="451" t="s">
        <v>3406</v>
      </c>
      <c r="Z5361" s="500"/>
      <c r="AA5361" s="500"/>
      <c r="AB5361" s="500"/>
      <c r="AC5361" s="500"/>
      <c r="AD5361" s="500"/>
      <c r="AE5361" s="500"/>
      <c r="AF5361" s="500"/>
      <c r="AG5361" s="500"/>
      <c r="AH5361" s="500"/>
      <c r="AI5361" s="500"/>
      <c r="AJ5361" s="500"/>
      <c r="AK5361" s="500"/>
      <c r="AL5361" s="500"/>
      <c r="AM5361" s="500"/>
      <c r="AN5361" s="500"/>
      <c r="AO5361" s="500"/>
      <c r="AP5361" s="500"/>
    </row>
    <row r="5362" spans="1:42" ht="16.5" customHeight="1">
      <c r="A5362" s="434"/>
      <c r="B5362" s="437" t="s">
        <v>3955</v>
      </c>
      <c r="C5362" s="439"/>
      <c r="D5362" s="439"/>
      <c r="E5362" s="439"/>
      <c r="F5362" s="439"/>
      <c r="G5362" s="451" t="s">
        <v>3956</v>
      </c>
      <c r="Z5362" s="500"/>
      <c r="AA5362" s="500"/>
      <c r="AB5362" s="500"/>
      <c r="AC5362" s="500"/>
      <c r="AD5362" s="500"/>
      <c r="AE5362" s="500"/>
      <c r="AF5362" s="500"/>
      <c r="AG5362" s="500"/>
      <c r="AH5362" s="500"/>
      <c r="AI5362" s="500"/>
      <c r="AJ5362" s="500"/>
      <c r="AK5362" s="500"/>
      <c r="AL5362" s="500"/>
      <c r="AM5362" s="500"/>
      <c r="AN5362" s="500"/>
      <c r="AO5362" s="500"/>
      <c r="AP5362" s="500"/>
    </row>
    <row r="5363" spans="1:42" ht="16.5" customHeight="1">
      <c r="A5363" s="439"/>
      <c r="B5363" s="439"/>
      <c r="C5363" s="439"/>
      <c r="D5363" s="439"/>
      <c r="E5363" s="439"/>
      <c r="F5363" s="439"/>
      <c r="G5363" s="451" t="s">
        <v>3406</v>
      </c>
      <c r="Z5363" s="500"/>
      <c r="AA5363" s="500"/>
      <c r="AB5363" s="500"/>
      <c r="AC5363" s="500"/>
      <c r="AD5363" s="500"/>
      <c r="AE5363" s="500"/>
      <c r="AF5363" s="500"/>
      <c r="AG5363" s="500"/>
      <c r="AH5363" s="500"/>
      <c r="AI5363" s="500"/>
      <c r="AJ5363" s="500"/>
      <c r="AK5363" s="500"/>
      <c r="AL5363" s="500"/>
      <c r="AM5363" s="500"/>
      <c r="AN5363" s="500"/>
      <c r="AO5363" s="500"/>
      <c r="AP5363" s="500"/>
    </row>
    <row r="5364" spans="1:42" ht="16.5" customHeight="1">
      <c r="A5364" s="434"/>
      <c r="B5364" s="437" t="str">
        <f>" 일당 작업량 :  Q1 = "&amp;Z5364&amp;" 주 "</f>
        <v xml:space="preserve"> 일당 작업량 :  Q1 = 22 주 </v>
      </c>
      <c r="C5364" s="439"/>
      <c r="D5364" s="439"/>
      <c r="E5364" s="439"/>
      <c r="F5364" s="439"/>
      <c r="G5364" s="451" t="s">
        <v>3962</v>
      </c>
      <c r="Z5364" s="515">
        <v>22</v>
      </c>
      <c r="AA5364" s="501" t="s">
        <v>3418</v>
      </c>
      <c r="AB5364" s="512">
        <f>Z5364</f>
        <v>22</v>
      </c>
      <c r="AC5364" s="500"/>
      <c r="AD5364" s="500"/>
      <c r="AE5364" s="500"/>
      <c r="AF5364" s="500"/>
      <c r="AG5364" s="500"/>
      <c r="AH5364" s="500"/>
      <c r="AI5364" s="500"/>
      <c r="AJ5364" s="500"/>
      <c r="AK5364" s="500"/>
      <c r="AL5364" s="500"/>
      <c r="AM5364" s="500"/>
      <c r="AN5364" s="500"/>
      <c r="AO5364" s="500"/>
      <c r="AP5364" s="500"/>
    </row>
    <row r="5365" spans="1:42" ht="16.5" customHeight="1">
      <c r="A5365" s="439"/>
      <c r="B5365" s="439"/>
      <c r="C5365" s="439"/>
      <c r="D5365" s="439"/>
      <c r="E5365" s="439"/>
      <c r="F5365" s="439"/>
      <c r="G5365" s="451" t="s">
        <v>3406</v>
      </c>
      <c r="Z5365" s="500"/>
      <c r="AA5365" s="500"/>
      <c r="AB5365" s="500"/>
      <c r="AC5365" s="500"/>
      <c r="AD5365" s="500"/>
      <c r="AE5365" s="500"/>
      <c r="AF5365" s="500"/>
      <c r="AG5365" s="500"/>
      <c r="AH5365" s="500"/>
      <c r="AI5365" s="500"/>
      <c r="AJ5365" s="500"/>
      <c r="AK5365" s="500"/>
      <c r="AL5365" s="500"/>
      <c r="AM5365" s="500"/>
      <c r="AN5365" s="500"/>
      <c r="AO5365" s="500"/>
      <c r="AP5365" s="500"/>
    </row>
    <row r="5366" spans="1:42" ht="16.5" customHeight="1">
      <c r="A5366" s="434"/>
      <c r="B5366" s="437" t="s">
        <v>3958</v>
      </c>
      <c r="C5366" s="439"/>
      <c r="D5366" s="439"/>
      <c r="E5366" s="439"/>
      <c r="F5366" s="439"/>
      <c r="G5366" s="451" t="s">
        <v>3959</v>
      </c>
      <c r="Z5366" s="500"/>
      <c r="AA5366" s="500"/>
      <c r="AB5366" s="500"/>
      <c r="AC5366" s="500"/>
      <c r="AD5366" s="500"/>
      <c r="AE5366" s="500"/>
      <c r="AF5366" s="500"/>
      <c r="AG5366" s="500"/>
      <c r="AH5366" s="500"/>
      <c r="AI5366" s="500"/>
      <c r="AJ5366" s="500"/>
      <c r="AK5366" s="500"/>
      <c r="AL5366" s="500"/>
      <c r="AM5366" s="500"/>
      <c r="AN5366" s="500"/>
      <c r="AO5366" s="500"/>
      <c r="AP5366" s="500"/>
    </row>
    <row r="5367" spans="1:42" ht="16.5" customHeight="1">
      <c r="A5367" s="439"/>
      <c r="B5367" s="439"/>
      <c r="C5367" s="439"/>
      <c r="D5367" s="439"/>
      <c r="E5367" s="439"/>
      <c r="F5367" s="439"/>
      <c r="G5367" s="451" t="s">
        <v>3406</v>
      </c>
      <c r="Z5367" s="500"/>
      <c r="AA5367" s="500"/>
      <c r="AB5367" s="500"/>
      <c r="AC5367" s="500"/>
      <c r="AD5367" s="500"/>
      <c r="AE5367" s="500"/>
      <c r="AF5367" s="500"/>
      <c r="AG5367" s="500"/>
      <c r="AH5367" s="500"/>
      <c r="AI5367" s="500"/>
      <c r="AJ5367" s="500"/>
      <c r="AK5367" s="500"/>
      <c r="AL5367" s="500"/>
      <c r="AM5367" s="500"/>
      <c r="AN5367" s="500"/>
      <c r="AO5367" s="500"/>
      <c r="AP5367" s="500"/>
    </row>
    <row r="5368" spans="1:42" ht="16.5" customHeight="1">
      <c r="A5368" s="439"/>
      <c r="B5368" s="439"/>
      <c r="C5368" s="439"/>
      <c r="D5368" s="439"/>
      <c r="E5368" s="439"/>
      <c r="F5368" s="439"/>
      <c r="G5368" s="451" t="s">
        <v>3406</v>
      </c>
      <c r="Z5368" s="500"/>
      <c r="AA5368" s="500"/>
      <c r="AB5368" s="500"/>
      <c r="AC5368" s="500"/>
      <c r="AD5368" s="500"/>
      <c r="AE5368" s="500"/>
      <c r="AF5368" s="500"/>
      <c r="AG5368" s="500"/>
      <c r="AH5368" s="500"/>
      <c r="AI5368" s="500"/>
      <c r="AJ5368" s="500"/>
      <c r="AK5368" s="500"/>
      <c r="AL5368" s="500"/>
      <c r="AM5368" s="500"/>
      <c r="AN5368" s="500"/>
      <c r="AO5368" s="500"/>
      <c r="AP5368" s="500"/>
    </row>
    <row r="5369" spans="1:42" ht="16.5" customHeight="1">
      <c r="A5369" s="434"/>
      <c r="B5369" s="437" t="s">
        <v>3496</v>
      </c>
      <c r="C5369" s="439"/>
      <c r="D5369" s="439"/>
      <c r="E5369" s="439"/>
      <c r="F5369" s="439"/>
      <c r="G5369" s="451" t="s">
        <v>3497</v>
      </c>
      <c r="Z5369" s="500"/>
      <c r="AA5369" s="500"/>
      <c r="AB5369" s="500"/>
      <c r="AC5369" s="500"/>
      <c r="AD5369" s="500"/>
      <c r="AE5369" s="500"/>
      <c r="AF5369" s="500"/>
      <c r="AG5369" s="500"/>
      <c r="AH5369" s="500"/>
      <c r="AI5369" s="500"/>
      <c r="AJ5369" s="500"/>
      <c r="AK5369" s="500"/>
      <c r="AL5369" s="500"/>
      <c r="AM5369" s="500"/>
      <c r="AN5369" s="500"/>
      <c r="AO5369" s="500"/>
      <c r="AP5369" s="500"/>
    </row>
    <row r="5370" spans="1:42" ht="16.5" customHeight="1">
      <c r="A5370" s="439"/>
      <c r="B5370" s="439"/>
      <c r="C5370" s="439"/>
      <c r="D5370" s="439"/>
      <c r="E5370" s="439"/>
      <c r="F5370" s="439"/>
      <c r="G5370" s="451" t="s">
        <v>3406</v>
      </c>
      <c r="Z5370" s="500"/>
      <c r="AA5370" s="500"/>
      <c r="AB5370" s="500"/>
      <c r="AC5370" s="500"/>
      <c r="AD5370" s="500"/>
      <c r="AE5370" s="500"/>
      <c r="AF5370" s="500"/>
      <c r="AG5370" s="500"/>
      <c r="AH5370" s="500"/>
      <c r="AI5370" s="500"/>
      <c r="AJ5370" s="500"/>
      <c r="AK5370" s="500"/>
      <c r="AL5370" s="500"/>
      <c r="AM5370" s="500"/>
      <c r="AN5370" s="500"/>
      <c r="AO5370" s="500"/>
      <c r="AP5370" s="500"/>
    </row>
    <row r="5371" spans="1:42" ht="16.5" customHeight="1">
      <c r="A5371" s="434" t="s">
        <v>3498</v>
      </c>
      <c r="B5371" s="505" t="str">
        <f>" 조 경 공 : "&amp;TEXT(I5371,"#,##0"&amp;IF(I5371&lt;&gt;INT(I5371),".###",""))&amp;" * "&amp;AA5371&amp;" 인  / Q1 = "&amp;TEXT(C5371,"#,##0.0")&amp;" "</f>
        <v xml:space="preserve"> 조 경 공 : 235,204 * 2 인  / Q1 = 21,382.1 </v>
      </c>
      <c r="C5371" s="506">
        <f>E5371+D5371+F5371</f>
        <v>21382.1</v>
      </c>
      <c r="D5371" s="506">
        <f>IF(H5371=0,0,ROUNDDOWN(J5371*H5371,1))</f>
        <v>21382.1</v>
      </c>
      <c r="E5371" s="506">
        <f>IF(H5371=0,0,ROUNDDOWN(K5371*H5371,1))</f>
        <v>0</v>
      </c>
      <c r="F5371" s="506">
        <f>IF(H5371=0,0,ROUNDDOWN(L5371*H5371,1))</f>
        <v>0</v>
      </c>
      <c r="G5371" s="451" t="s">
        <v>3960</v>
      </c>
      <c r="H5371" s="507">
        <f>ROUNDUP(AE5371,14-LEN(ABS(INT(AE5371))))</f>
        <v>9.0909090909100002E-2</v>
      </c>
      <c r="I5371" s="508">
        <f>K5371+J5371+L5371</f>
        <v>235204</v>
      </c>
      <c r="J5371" s="509">
        <f>노무비목록표!E15</f>
        <v>235204</v>
      </c>
      <c r="M5371" s="501" t="s">
        <v>2359</v>
      </c>
      <c r="N5371" s="501" t="s">
        <v>3416</v>
      </c>
      <c r="O5371" s="501" t="s">
        <v>2355</v>
      </c>
      <c r="X5371" s="510" t="str">
        <f>노무비목록표!B15&amp;" / "&amp;노무비목록표!C15</f>
        <v xml:space="preserve">조경공 / </v>
      </c>
      <c r="Y5371" s="433" t="str">
        <f ca="1">HYPERLINK("#"&amp;노무비목록표!G2&amp;"!A"&amp;ROW(노무비목록표!A15),"L00184 →")</f>
        <v>L00184 →</v>
      </c>
      <c r="Z5371" s="501" t="s">
        <v>3500</v>
      </c>
      <c r="AA5371" s="515">
        <v>2</v>
      </c>
      <c r="AB5371" s="501" t="s">
        <v>3428</v>
      </c>
      <c r="AC5371" s="512">
        <f>AB5364</f>
        <v>22</v>
      </c>
      <c r="AD5371" s="501" t="s">
        <v>3418</v>
      </c>
      <c r="AE5371" s="512">
        <f>1*AA5371/AB5364</f>
        <v>9.0909090909090912E-2</v>
      </c>
      <c r="AF5371" s="500"/>
      <c r="AG5371" s="500"/>
      <c r="AH5371" s="500"/>
      <c r="AI5371" s="500"/>
      <c r="AJ5371" s="500"/>
      <c r="AK5371" s="500"/>
      <c r="AL5371" s="500"/>
      <c r="AM5371" s="500"/>
      <c r="AN5371" s="500"/>
      <c r="AO5371" s="500"/>
      <c r="AP5371" s="500"/>
    </row>
    <row r="5372" spans="1:42" ht="16.5" customHeight="1">
      <c r="A5372" s="439"/>
      <c r="B5372" s="439"/>
      <c r="C5372" s="439"/>
      <c r="D5372" s="439"/>
      <c r="E5372" s="439"/>
      <c r="F5372" s="439"/>
      <c r="G5372" s="451" t="s">
        <v>3406</v>
      </c>
      <c r="Z5372" s="500"/>
      <c r="AA5372" s="500"/>
      <c r="AB5372" s="500"/>
      <c r="AC5372" s="500"/>
      <c r="AD5372" s="500"/>
      <c r="AE5372" s="500"/>
      <c r="AF5372" s="500"/>
      <c r="AG5372" s="500"/>
      <c r="AH5372" s="500"/>
      <c r="AI5372" s="500"/>
      <c r="AJ5372" s="500"/>
      <c r="AK5372" s="500"/>
      <c r="AL5372" s="500"/>
      <c r="AM5372" s="500"/>
      <c r="AN5372" s="500"/>
      <c r="AO5372" s="500"/>
      <c r="AP5372" s="500"/>
    </row>
    <row r="5373" spans="1:42" ht="16.5" customHeight="1">
      <c r="A5373" s="434" t="s">
        <v>3414</v>
      </c>
      <c r="B5373" s="505" t="str">
        <f>" 보통인부 : "&amp;TEXT(I5373,"#,##0"&amp;IF(I5373&lt;&gt;INT(I5373),".###",""))&amp;" * "&amp;AA5373&amp;" 인  / Q1 = "&amp;TEXT(C5373,"#,##0.0")&amp;" "</f>
        <v xml:space="preserve"> 보통인부 : 172,068 * 1 인  / Q1 = 7,821.2 </v>
      </c>
      <c r="C5373" s="506">
        <f>E5373+D5373+F5373</f>
        <v>7821.2</v>
      </c>
      <c r="D5373" s="506">
        <f>IF(H5373=0,0,ROUNDDOWN(J5373*H5373,1))</f>
        <v>7821.2</v>
      </c>
      <c r="E5373" s="506">
        <f>IF(H5373=0,0,ROUNDDOWN(K5373*H5373,1))</f>
        <v>0</v>
      </c>
      <c r="F5373" s="506">
        <f>IF(H5373=0,0,ROUNDDOWN(L5373*H5373,1))</f>
        <v>0</v>
      </c>
      <c r="G5373" s="451" t="s">
        <v>3894</v>
      </c>
      <c r="H5373" s="507">
        <f>ROUNDUP(AE5373,14-LEN(ABS(INT(AE5373))))</f>
        <v>4.5454545454600002E-2</v>
      </c>
      <c r="I5373" s="508">
        <f>K5373+J5373+L5373</f>
        <v>172068</v>
      </c>
      <c r="J5373" s="509">
        <f>노무비목록표!E10</f>
        <v>172068</v>
      </c>
      <c r="M5373" s="501" t="s">
        <v>2363</v>
      </c>
      <c r="N5373" s="501" t="s">
        <v>3416</v>
      </c>
      <c r="O5373" s="501" t="s">
        <v>2355</v>
      </c>
      <c r="X5373" s="510" t="str">
        <f>노무비목록표!B10&amp;" / "&amp;노무비목록표!C10</f>
        <v xml:space="preserve">보통인부 / </v>
      </c>
      <c r="Y5373" s="433" t="str">
        <f ca="1">HYPERLINK("#"&amp;노무비목록표!G2&amp;"!A"&amp;ROW(노무비목록표!A10),"L00017 →")</f>
        <v>L00017 →</v>
      </c>
      <c r="Z5373" s="501" t="s">
        <v>3500</v>
      </c>
      <c r="AA5373" s="515">
        <v>1</v>
      </c>
      <c r="AB5373" s="501" t="s">
        <v>3428</v>
      </c>
      <c r="AC5373" s="512">
        <f>AB5364</f>
        <v>22</v>
      </c>
      <c r="AD5373" s="501" t="s">
        <v>3418</v>
      </c>
      <c r="AE5373" s="512">
        <f>1*AA5373/AB5364</f>
        <v>4.5454545454545456E-2</v>
      </c>
      <c r="AF5373" s="500"/>
      <c r="AG5373" s="500"/>
      <c r="AH5373" s="500"/>
      <c r="AI5373" s="500"/>
      <c r="AJ5373" s="500"/>
      <c r="AK5373" s="500"/>
      <c r="AL5373" s="500"/>
      <c r="AM5373" s="500"/>
      <c r="AN5373" s="500"/>
      <c r="AO5373" s="500"/>
      <c r="AP5373" s="500"/>
    </row>
    <row r="5374" spans="1:42" ht="16.5" customHeight="1">
      <c r="A5374" s="439"/>
      <c r="B5374" s="439"/>
      <c r="C5374" s="439"/>
      <c r="D5374" s="439"/>
      <c r="E5374" s="439"/>
      <c r="F5374" s="439"/>
      <c r="G5374" s="451" t="s">
        <v>3406</v>
      </c>
      <c r="Z5374" s="500"/>
      <c r="AA5374" s="500"/>
      <c r="AB5374" s="500"/>
      <c r="AC5374" s="500"/>
      <c r="AD5374" s="500"/>
      <c r="AE5374" s="500"/>
      <c r="AF5374" s="500"/>
      <c r="AG5374" s="500"/>
      <c r="AH5374" s="500"/>
      <c r="AI5374" s="500"/>
      <c r="AJ5374" s="500"/>
      <c r="AK5374" s="500"/>
      <c r="AL5374" s="500"/>
      <c r="AM5374" s="500"/>
      <c r="AN5374" s="500"/>
      <c r="AO5374" s="500"/>
      <c r="AP5374" s="500"/>
    </row>
    <row r="5375" spans="1:42" ht="16.5" customHeight="1">
      <c r="A5375" s="434"/>
      <c r="B5375" s="437" t="s">
        <v>3419</v>
      </c>
      <c r="C5375" s="513">
        <f>E5375+D5375+F5375</f>
        <v>29203.3</v>
      </c>
      <c r="D5375" s="513">
        <f>SUMIF(N5357:N5374,M5375,D5357:D5374)</f>
        <v>29203.3</v>
      </c>
      <c r="E5375" s="513">
        <f>SUMIF(N5357:N5374,M5375,E5357:E5374)</f>
        <v>0</v>
      </c>
      <c r="F5375" s="513">
        <f>SUMIF(N5357:N5374,M5375,F5357:F5374)</f>
        <v>0</v>
      </c>
      <c r="G5375" s="451" t="s">
        <v>3420</v>
      </c>
      <c r="M5375" s="501" t="s">
        <v>3416</v>
      </c>
      <c r="N5375" s="501" t="s">
        <v>3421</v>
      </c>
      <c r="Z5375" s="500"/>
      <c r="AA5375" s="500"/>
      <c r="AB5375" s="500"/>
      <c r="AC5375" s="500"/>
      <c r="AD5375" s="500"/>
      <c r="AE5375" s="500"/>
      <c r="AF5375" s="500"/>
      <c r="AG5375" s="500"/>
      <c r="AH5375" s="500"/>
      <c r="AI5375" s="500"/>
      <c r="AJ5375" s="500"/>
      <c r="AK5375" s="500"/>
      <c r="AL5375" s="500"/>
      <c r="AM5375" s="500"/>
      <c r="AN5375" s="500"/>
      <c r="AO5375" s="500"/>
      <c r="AP5375" s="500"/>
    </row>
    <row r="5376" spans="1:42" ht="16.5" customHeight="1">
      <c r="A5376" s="439"/>
      <c r="B5376" s="439"/>
      <c r="C5376" s="504"/>
      <c r="D5376" s="504"/>
      <c r="E5376" s="504"/>
      <c r="F5376" s="504"/>
      <c r="G5376" s="451" t="s">
        <v>3406</v>
      </c>
      <c r="Z5376" s="500"/>
      <c r="AA5376" s="500"/>
      <c r="AB5376" s="500"/>
      <c r="AC5376" s="500"/>
      <c r="AD5376" s="500"/>
      <c r="AE5376" s="500"/>
      <c r="AF5376" s="500"/>
      <c r="AG5376" s="500"/>
      <c r="AH5376" s="500"/>
      <c r="AI5376" s="500"/>
      <c r="AJ5376" s="500"/>
      <c r="AK5376" s="500"/>
      <c r="AL5376" s="500"/>
      <c r="AM5376" s="500"/>
      <c r="AN5376" s="500"/>
      <c r="AO5376" s="500"/>
      <c r="AP5376" s="500"/>
    </row>
    <row r="5377" spans="1:42" ht="16.5" customHeight="1">
      <c r="A5377" s="439"/>
      <c r="B5377" s="439"/>
      <c r="C5377" s="439"/>
      <c r="D5377" s="439"/>
      <c r="E5377" s="439"/>
      <c r="F5377" s="439"/>
      <c r="G5377" s="451" t="s">
        <v>3406</v>
      </c>
      <c r="Z5377" s="500"/>
      <c r="AA5377" s="500"/>
      <c r="AB5377" s="500"/>
      <c r="AC5377" s="500"/>
      <c r="AD5377" s="500"/>
      <c r="AE5377" s="500"/>
      <c r="AF5377" s="500"/>
      <c r="AG5377" s="500"/>
      <c r="AH5377" s="500"/>
      <c r="AI5377" s="500"/>
      <c r="AJ5377" s="500"/>
      <c r="AK5377" s="500"/>
      <c r="AL5377" s="500"/>
      <c r="AM5377" s="500"/>
      <c r="AN5377" s="500"/>
      <c r="AO5377" s="500"/>
      <c r="AP5377" s="500"/>
    </row>
    <row r="5378" spans="1:42" ht="16.5" customHeight="1">
      <c r="A5378" s="434"/>
      <c r="B5378" s="505" t="str">
        <f>" 2. 기계경비(인력품의 3%) : "&amp;TEXT(I5378,"#,##0.0")&amp;" * "&amp;AA5378&amp;" %  = "&amp;TEXT(C5378,"#,##0.0")&amp;""</f>
        <v xml:space="preserve"> 2. 기계경비(인력품의 3%) : 29,203.3 * 3 %  = 876.0</v>
      </c>
      <c r="C5378" s="506">
        <f>E5378+D5378+F5378</f>
        <v>876</v>
      </c>
      <c r="D5378" s="506">
        <f>IF(H5378=0,0,ROUNDDOWN(J5378*H5378/100,1))</f>
        <v>0</v>
      </c>
      <c r="E5378" s="506">
        <f>IF(H5378=0,0,ROUNDDOWN(K5378*H5378/100,1))</f>
        <v>0</v>
      </c>
      <c r="F5378" s="506">
        <f>IF(H5378=0,0,ROUNDDOWN(L5378*H5378/100,1))</f>
        <v>876</v>
      </c>
      <c r="G5378" s="451" t="s">
        <v>3923</v>
      </c>
      <c r="H5378" s="507">
        <f>ROUNDUP(AC5378,14-LEN(ABS(INT(AC5378))))</f>
        <v>3</v>
      </c>
      <c r="I5378" s="508">
        <f>K5378+J5378+L5378</f>
        <v>29203.3</v>
      </c>
      <c r="J5378" s="456">
        <v>0</v>
      </c>
      <c r="K5378" s="456">
        <v>0</v>
      </c>
      <c r="L5378" s="509">
        <f>D5371+D5373</f>
        <v>29203.3</v>
      </c>
      <c r="M5378" s="501" t="s">
        <v>3743</v>
      </c>
      <c r="N5378" s="501" t="s">
        <v>3416</v>
      </c>
      <c r="Z5378" s="501" t="s">
        <v>3500</v>
      </c>
      <c r="AA5378" s="515">
        <v>3</v>
      </c>
      <c r="AB5378" s="501" t="s">
        <v>3418</v>
      </c>
      <c r="AC5378" s="512">
        <f>1*AA5378</f>
        <v>3</v>
      </c>
      <c r="AD5378" s="500"/>
      <c r="AE5378" s="500"/>
      <c r="AF5378" s="500"/>
      <c r="AG5378" s="500"/>
      <c r="AH5378" s="500"/>
      <c r="AI5378" s="500"/>
      <c r="AJ5378" s="500"/>
      <c r="AK5378" s="500"/>
      <c r="AL5378" s="500"/>
      <c r="AM5378" s="500"/>
      <c r="AN5378" s="500"/>
      <c r="AO5378" s="500"/>
      <c r="AP5378" s="500"/>
    </row>
    <row r="5379" spans="1:42" ht="16.5" customHeight="1">
      <c r="A5379" s="439"/>
      <c r="B5379" s="439"/>
      <c r="C5379" s="439"/>
      <c r="D5379" s="439"/>
      <c r="E5379" s="439"/>
      <c r="F5379" s="439"/>
      <c r="G5379" s="451" t="s">
        <v>3406</v>
      </c>
      <c r="Z5379" s="500"/>
      <c r="AA5379" s="500"/>
      <c r="AB5379" s="500"/>
      <c r="AC5379" s="500"/>
      <c r="AD5379" s="500"/>
      <c r="AE5379" s="500"/>
      <c r="AF5379" s="500"/>
      <c r="AG5379" s="500"/>
      <c r="AH5379" s="500"/>
      <c r="AI5379" s="500"/>
      <c r="AJ5379" s="500"/>
      <c r="AK5379" s="500"/>
      <c r="AL5379" s="500"/>
      <c r="AM5379" s="500"/>
      <c r="AN5379" s="500"/>
      <c r="AO5379" s="500"/>
      <c r="AP5379" s="500"/>
    </row>
    <row r="5380" spans="1:42" ht="16.5" customHeight="1">
      <c r="A5380" s="434"/>
      <c r="B5380" s="437" t="s">
        <v>3419</v>
      </c>
      <c r="C5380" s="513">
        <f>E5380+D5380+F5380</f>
        <v>876</v>
      </c>
      <c r="D5380" s="513">
        <f>SUMIF(N5376:N5379,M5380,D5376:D5379)</f>
        <v>0</v>
      </c>
      <c r="E5380" s="513">
        <f>SUMIF(N5376:N5379,M5380,E5376:E5379)</f>
        <v>0</v>
      </c>
      <c r="F5380" s="513">
        <f>SUMIF(N5376:N5379,M5380,F5376:F5379)</f>
        <v>876</v>
      </c>
      <c r="G5380" s="451" t="s">
        <v>3439</v>
      </c>
      <c r="M5380" s="501" t="s">
        <v>3416</v>
      </c>
      <c r="N5380" s="501" t="s">
        <v>3421</v>
      </c>
      <c r="Z5380" s="500"/>
      <c r="AA5380" s="500"/>
      <c r="AB5380" s="500"/>
      <c r="AC5380" s="500"/>
      <c r="AD5380" s="500"/>
      <c r="AE5380" s="500"/>
      <c r="AF5380" s="500"/>
      <c r="AG5380" s="500"/>
      <c r="AH5380" s="500"/>
      <c r="AI5380" s="500"/>
      <c r="AJ5380" s="500"/>
      <c r="AK5380" s="500"/>
      <c r="AL5380" s="500"/>
      <c r="AM5380" s="500"/>
      <c r="AN5380" s="500"/>
      <c r="AO5380" s="500"/>
      <c r="AP5380" s="500"/>
    </row>
    <row r="5381" spans="1:42" ht="16.5" customHeight="1">
      <c r="A5381" s="439"/>
      <c r="B5381" s="439"/>
      <c r="C5381" s="504"/>
      <c r="D5381" s="504"/>
      <c r="E5381" s="504"/>
      <c r="F5381" s="504"/>
      <c r="G5381" s="451" t="s">
        <v>3406</v>
      </c>
      <c r="Z5381" s="500"/>
      <c r="AA5381" s="500"/>
      <c r="AB5381" s="500"/>
      <c r="AC5381" s="500"/>
      <c r="AD5381" s="500"/>
      <c r="AE5381" s="500"/>
      <c r="AF5381" s="500"/>
      <c r="AG5381" s="500"/>
      <c r="AH5381" s="500"/>
      <c r="AI5381" s="500"/>
      <c r="AJ5381" s="500"/>
      <c r="AK5381" s="500"/>
      <c r="AL5381" s="500"/>
      <c r="AM5381" s="500"/>
      <c r="AN5381" s="500"/>
      <c r="AO5381" s="500"/>
      <c r="AP5381" s="500"/>
    </row>
    <row r="5382" spans="1:42" ht="16.5" customHeight="1">
      <c r="A5382" s="434"/>
      <c r="B5382" s="505" t="str">
        <f>"  산지할증 : "&amp;TEXT(I5382,"#,##0.0")&amp;" * "&amp;AA5382&amp;" %  = "&amp;TEXT(C5382,"#,##0.0")&amp;""</f>
        <v xml:space="preserve">  산지할증 : 29,203.3 * 25 %  = 7,300.8</v>
      </c>
      <c r="C5382" s="506">
        <f>E5382+D5382+F5382</f>
        <v>7300.8</v>
      </c>
      <c r="D5382" s="506">
        <f>IF(H5382=0,0,ROUNDDOWN(J5382*H5382/100,1))</f>
        <v>7300.8</v>
      </c>
      <c r="E5382" s="506">
        <f>IF(H5382=0,0,ROUNDDOWN(K5382*H5382/100,1))</f>
        <v>0</v>
      </c>
      <c r="F5382" s="506">
        <f>IF(H5382=0,0,ROUNDDOWN(L5382*H5382/100,1))</f>
        <v>0</v>
      </c>
      <c r="G5382" s="451" t="s">
        <v>5592</v>
      </c>
      <c r="H5382" s="507">
        <f>ROUNDUP(AC5382,14-LEN(ABS(INT(AC5382))))</f>
        <v>25</v>
      </c>
      <c r="I5382" s="508">
        <f>K5382+J5382+L5382</f>
        <v>29203.3</v>
      </c>
      <c r="J5382" s="508">
        <f>D5375+D5380+SUMIF(N5381:N5381,N5382,D5381:D5381)</f>
        <v>29203.3</v>
      </c>
      <c r="K5382" s="456">
        <v>0</v>
      </c>
      <c r="L5382" s="456">
        <v>0</v>
      </c>
      <c r="M5382" s="501" t="s">
        <v>4208</v>
      </c>
      <c r="N5382" s="501" t="s">
        <v>3416</v>
      </c>
      <c r="Z5382" s="501" t="s">
        <v>3500</v>
      </c>
      <c r="AA5382" s="515">
        <v>25</v>
      </c>
      <c r="AB5382" s="501" t="s">
        <v>3418</v>
      </c>
      <c r="AC5382" s="512">
        <f>1*AA5382</f>
        <v>25</v>
      </c>
      <c r="AD5382" s="500"/>
      <c r="AE5382" s="500"/>
      <c r="AF5382" s="500"/>
      <c r="AG5382" s="500"/>
      <c r="AH5382" s="500"/>
      <c r="AI5382" s="500"/>
      <c r="AJ5382" s="500"/>
      <c r="AK5382" s="500"/>
      <c r="AL5382" s="500"/>
      <c r="AM5382" s="500"/>
      <c r="AN5382" s="500"/>
      <c r="AO5382" s="500"/>
      <c r="AP5382" s="500"/>
    </row>
    <row r="5383" spans="1:42" ht="16.5" customHeight="1">
      <c r="A5383" s="439"/>
      <c r="B5383" s="439"/>
      <c r="C5383" s="439"/>
      <c r="D5383" s="439"/>
      <c r="E5383" s="439"/>
      <c r="F5383" s="439"/>
      <c r="G5383" s="451" t="s">
        <v>3406</v>
      </c>
      <c r="Z5383" s="500"/>
      <c r="AA5383" s="500"/>
      <c r="AB5383" s="500"/>
      <c r="AC5383" s="500"/>
      <c r="AD5383" s="500"/>
      <c r="AE5383" s="500"/>
      <c r="AF5383" s="500"/>
      <c r="AG5383" s="500"/>
      <c r="AH5383" s="500"/>
      <c r="AI5383" s="500"/>
      <c r="AJ5383" s="500"/>
      <c r="AK5383" s="500"/>
      <c r="AL5383" s="500"/>
      <c r="AM5383" s="500"/>
      <c r="AN5383" s="500"/>
      <c r="AO5383" s="500"/>
      <c r="AP5383" s="500"/>
    </row>
    <row r="5384" spans="1:42" ht="16.5" customHeight="1">
      <c r="A5384" s="434"/>
      <c r="B5384" s="437" t="s">
        <v>3419</v>
      </c>
      <c r="C5384" s="513">
        <f>E5384+D5384+F5384</f>
        <v>7300.8</v>
      </c>
      <c r="D5384" s="513">
        <f>SUMIF(N5381:N5383,M5384,D5381:D5383)</f>
        <v>7300.8</v>
      </c>
      <c r="E5384" s="513">
        <f>SUMIF(N5381:N5383,M5384,E5381:E5383)</f>
        <v>0</v>
      </c>
      <c r="F5384" s="513">
        <f>SUMIF(N5381:N5383,M5384,F5381:F5383)</f>
        <v>0</v>
      </c>
      <c r="G5384" s="451" t="s">
        <v>3439</v>
      </c>
      <c r="M5384" s="501" t="s">
        <v>3416</v>
      </c>
      <c r="N5384" s="501" t="s">
        <v>3421</v>
      </c>
      <c r="Z5384" s="500"/>
      <c r="AA5384" s="500"/>
      <c r="AB5384" s="500"/>
      <c r="AC5384" s="500"/>
      <c r="AD5384" s="500"/>
      <c r="AE5384" s="500"/>
      <c r="AF5384" s="500"/>
      <c r="AG5384" s="500"/>
      <c r="AH5384" s="500"/>
      <c r="AI5384" s="500"/>
      <c r="AJ5384" s="500"/>
      <c r="AK5384" s="500"/>
      <c r="AL5384" s="500"/>
      <c r="AM5384" s="500"/>
      <c r="AN5384" s="500"/>
      <c r="AO5384" s="500"/>
      <c r="AP5384" s="500"/>
    </row>
    <row r="5385" spans="1:42" ht="16.5" customHeight="1">
      <c r="A5385" s="439"/>
      <c r="B5385" s="439"/>
      <c r="C5385" s="504"/>
      <c r="D5385" s="504"/>
      <c r="E5385" s="504"/>
      <c r="F5385" s="504"/>
      <c r="G5385" s="451" t="s">
        <v>3406</v>
      </c>
      <c r="Z5385" s="500"/>
      <c r="AA5385" s="500"/>
      <c r="AB5385" s="500"/>
      <c r="AC5385" s="500"/>
      <c r="AD5385" s="500"/>
      <c r="AE5385" s="500"/>
      <c r="AF5385" s="500"/>
      <c r="AG5385" s="500"/>
      <c r="AH5385" s="500"/>
      <c r="AI5385" s="500"/>
      <c r="AJ5385" s="500"/>
      <c r="AK5385" s="500"/>
      <c r="AL5385" s="500"/>
      <c r="AM5385" s="500"/>
      <c r="AN5385" s="500"/>
      <c r="AO5385" s="500"/>
      <c r="AP5385" s="500"/>
    </row>
    <row r="5386" spans="1:42" ht="16.5" customHeight="1">
      <c r="A5386" s="434"/>
      <c r="B5386" s="437" t="s">
        <v>3440</v>
      </c>
      <c r="C5386" s="513">
        <f>E5386+D5386+F5386</f>
        <v>37380.1</v>
      </c>
      <c r="D5386" s="513">
        <f>SUMIF(N5357:N5385,M5386,D5357:D5385)</f>
        <v>36504.1</v>
      </c>
      <c r="E5386" s="513">
        <f>SUMIF(N5357:N5385,M5386,E5357:E5385)</f>
        <v>0</v>
      </c>
      <c r="F5386" s="513">
        <f>SUMIF(N5357:N5385,M5386,F5357:F5385)</f>
        <v>876</v>
      </c>
      <c r="G5386" s="451" t="s">
        <v>3441</v>
      </c>
      <c r="M5386" s="501" t="s">
        <v>3421</v>
      </c>
      <c r="N5386" s="501" t="s">
        <v>2354</v>
      </c>
      <c r="Z5386" s="500"/>
      <c r="AA5386" s="500"/>
      <c r="AB5386" s="500"/>
      <c r="AC5386" s="500"/>
      <c r="AD5386" s="500"/>
      <c r="AE5386" s="500"/>
      <c r="AF5386" s="500"/>
      <c r="AG5386" s="500"/>
      <c r="AH5386" s="500"/>
      <c r="AI5386" s="500"/>
      <c r="AJ5386" s="500"/>
      <c r="AK5386" s="500"/>
      <c r="AL5386" s="500"/>
      <c r="AM5386" s="500"/>
      <c r="AN5386" s="500"/>
      <c r="AO5386" s="500"/>
      <c r="AP5386" s="500"/>
    </row>
    <row r="5387" spans="1:42" ht="16.5" customHeight="1">
      <c r="A5387" s="439"/>
      <c r="B5387" s="439"/>
      <c r="C5387" s="504"/>
      <c r="D5387" s="504"/>
      <c r="E5387" s="504"/>
      <c r="F5387" s="504"/>
      <c r="Z5387" s="500"/>
      <c r="AA5387" s="500"/>
      <c r="AB5387" s="500"/>
      <c r="AC5387" s="500"/>
      <c r="AD5387" s="500"/>
      <c r="AE5387" s="500"/>
      <c r="AF5387" s="500"/>
      <c r="AG5387" s="500"/>
      <c r="AH5387" s="500"/>
      <c r="AI5387" s="500"/>
      <c r="AJ5387" s="500"/>
      <c r="AK5387" s="500"/>
      <c r="AL5387" s="500"/>
      <c r="AM5387" s="500"/>
      <c r="AN5387" s="500"/>
      <c r="AO5387" s="500"/>
      <c r="AP5387" s="500"/>
    </row>
    <row r="5388" spans="1:42" ht="16.5" customHeight="1">
      <c r="A5388" s="439"/>
      <c r="B5388" s="439"/>
      <c r="C5388" s="439"/>
      <c r="D5388" s="439"/>
      <c r="E5388" s="439"/>
      <c r="F5388" s="439"/>
      <c r="Z5388" s="500"/>
      <c r="AA5388" s="500"/>
      <c r="AB5388" s="500"/>
      <c r="AC5388" s="500"/>
      <c r="AD5388" s="500"/>
      <c r="AE5388" s="500"/>
      <c r="AF5388" s="500"/>
      <c r="AG5388" s="500"/>
      <c r="AH5388" s="500"/>
      <c r="AI5388" s="500"/>
      <c r="AJ5388" s="500"/>
      <c r="AK5388" s="500"/>
      <c r="AL5388" s="500"/>
      <c r="AM5388" s="500"/>
      <c r="AN5388" s="500"/>
      <c r="AO5388" s="500"/>
      <c r="AP5388" s="500"/>
    </row>
    <row r="5389" spans="1:42" ht="16.5" customHeight="1">
      <c r="A5389" s="439"/>
      <c r="B5389" s="439"/>
      <c r="C5389" s="439"/>
      <c r="D5389" s="439"/>
      <c r="E5389" s="439"/>
      <c r="F5389" s="439"/>
      <c r="Z5389" s="500"/>
      <c r="AA5389" s="500"/>
      <c r="AB5389" s="500"/>
      <c r="AC5389" s="500"/>
      <c r="AD5389" s="500"/>
      <c r="AE5389" s="500"/>
      <c r="AF5389" s="500"/>
      <c r="AG5389" s="500"/>
      <c r="AH5389" s="500"/>
      <c r="AI5389" s="500"/>
      <c r="AJ5389" s="500"/>
      <c r="AK5389" s="500"/>
      <c r="AL5389" s="500"/>
      <c r="AM5389" s="500"/>
      <c r="AN5389" s="500"/>
      <c r="AO5389" s="500"/>
      <c r="AP5389" s="500"/>
    </row>
    <row r="5390" spans="1:42" ht="16.5" customHeight="1">
      <c r="A5390" s="439"/>
      <c r="B5390" s="439"/>
      <c r="C5390" s="439"/>
      <c r="D5390" s="439"/>
      <c r="E5390" s="439"/>
      <c r="F5390" s="439"/>
      <c r="Z5390" s="500"/>
      <c r="AA5390" s="500"/>
      <c r="AB5390" s="500"/>
      <c r="AC5390" s="500"/>
      <c r="AD5390" s="500"/>
      <c r="AE5390" s="500"/>
      <c r="AF5390" s="500"/>
      <c r="AG5390" s="500"/>
      <c r="AH5390" s="500"/>
      <c r="AI5390" s="500"/>
      <c r="AJ5390" s="500"/>
      <c r="AK5390" s="500"/>
      <c r="AL5390" s="500"/>
      <c r="AM5390" s="500"/>
      <c r="AN5390" s="500"/>
      <c r="AO5390" s="500"/>
      <c r="AP5390" s="500"/>
    </row>
    <row r="5391" spans="1:42" ht="16.5" customHeight="1">
      <c r="A5391" s="439"/>
      <c r="B5391" s="439"/>
      <c r="C5391" s="439"/>
      <c r="D5391" s="439"/>
      <c r="E5391" s="439"/>
      <c r="F5391" s="439"/>
      <c r="Z5391" s="500"/>
      <c r="AA5391" s="500"/>
      <c r="AB5391" s="500"/>
      <c r="AC5391" s="500"/>
      <c r="AD5391" s="500"/>
      <c r="AE5391" s="500"/>
      <c r="AF5391" s="500"/>
      <c r="AG5391" s="500"/>
      <c r="AH5391" s="500"/>
      <c r="AI5391" s="500"/>
      <c r="AJ5391" s="500"/>
      <c r="AK5391" s="500"/>
      <c r="AL5391" s="500"/>
      <c r="AM5391" s="500"/>
      <c r="AN5391" s="500"/>
      <c r="AO5391" s="500"/>
      <c r="AP5391" s="500"/>
    </row>
    <row r="5392" spans="1:42" ht="16.5" customHeight="1">
      <c r="A5392" s="439"/>
      <c r="B5392" s="439"/>
      <c r="C5392" s="439"/>
      <c r="D5392" s="439"/>
      <c r="E5392" s="439"/>
      <c r="F5392" s="439"/>
      <c r="Z5392" s="500"/>
      <c r="AA5392" s="500"/>
      <c r="AB5392" s="500"/>
      <c r="AC5392" s="500"/>
      <c r="AD5392" s="500"/>
      <c r="AE5392" s="500"/>
      <c r="AF5392" s="500"/>
      <c r="AG5392" s="500"/>
      <c r="AH5392" s="500"/>
      <c r="AI5392" s="500"/>
      <c r="AJ5392" s="500"/>
      <c r="AK5392" s="500"/>
      <c r="AL5392" s="500"/>
      <c r="AM5392" s="500"/>
      <c r="AN5392" s="500"/>
      <c r="AO5392" s="500"/>
      <c r="AP5392" s="500"/>
    </row>
    <row r="5393" spans="1:42" ht="16.5" customHeight="1">
      <c r="A5393" s="439"/>
      <c r="B5393" s="439"/>
      <c r="C5393" s="439"/>
      <c r="D5393" s="439"/>
      <c r="E5393" s="439"/>
      <c r="F5393" s="439"/>
      <c r="Z5393" s="500"/>
      <c r="AA5393" s="500"/>
      <c r="AB5393" s="500"/>
      <c r="AC5393" s="500"/>
      <c r="AD5393" s="500"/>
      <c r="AE5393" s="500"/>
      <c r="AF5393" s="500"/>
      <c r="AG5393" s="500"/>
      <c r="AH5393" s="500"/>
      <c r="AI5393" s="500"/>
      <c r="AJ5393" s="500"/>
      <c r="AK5393" s="500"/>
      <c r="AL5393" s="500"/>
      <c r="AM5393" s="500"/>
      <c r="AN5393" s="500"/>
      <c r="AO5393" s="500"/>
      <c r="AP5393" s="500"/>
    </row>
    <row r="5394" spans="1:42" ht="16.5" customHeight="1">
      <c r="A5394" s="439"/>
      <c r="B5394" s="439"/>
      <c r="C5394" s="439"/>
      <c r="D5394" s="439"/>
      <c r="E5394" s="439"/>
      <c r="F5394" s="439"/>
      <c r="Z5394" s="500"/>
      <c r="AA5394" s="500"/>
      <c r="AB5394" s="500"/>
      <c r="AC5394" s="500"/>
      <c r="AD5394" s="500"/>
      <c r="AE5394" s="500"/>
      <c r="AF5394" s="500"/>
      <c r="AG5394" s="500"/>
      <c r="AH5394" s="500"/>
      <c r="AI5394" s="500"/>
      <c r="AJ5394" s="500"/>
      <c r="AK5394" s="500"/>
      <c r="AL5394" s="500"/>
      <c r="AM5394" s="500"/>
      <c r="AN5394" s="500"/>
      <c r="AO5394" s="500"/>
      <c r="AP5394" s="500"/>
    </row>
    <row r="5395" spans="1:42" ht="16.5" customHeight="1">
      <c r="A5395" s="439"/>
      <c r="B5395" s="439"/>
      <c r="C5395" s="439"/>
      <c r="D5395" s="439"/>
      <c r="E5395" s="439"/>
      <c r="F5395" s="439"/>
      <c r="Z5395" s="500"/>
      <c r="AA5395" s="500"/>
      <c r="AB5395" s="500"/>
      <c r="AC5395" s="500"/>
      <c r="AD5395" s="500"/>
      <c r="AE5395" s="500"/>
      <c r="AF5395" s="500"/>
      <c r="AG5395" s="500"/>
      <c r="AH5395" s="500"/>
      <c r="AI5395" s="500"/>
      <c r="AJ5395" s="500"/>
      <c r="AK5395" s="500"/>
      <c r="AL5395" s="500"/>
      <c r="AM5395" s="500"/>
      <c r="AN5395" s="500"/>
      <c r="AO5395" s="500"/>
      <c r="AP5395" s="500"/>
    </row>
    <row r="5396" spans="1:42" ht="16.5" customHeight="1">
      <c r="A5396" s="439"/>
      <c r="B5396" s="439"/>
      <c r="C5396" s="439"/>
      <c r="D5396" s="439"/>
      <c r="E5396" s="439"/>
      <c r="F5396" s="439"/>
      <c r="Z5396" s="500"/>
      <c r="AA5396" s="500"/>
      <c r="AB5396" s="500"/>
      <c r="AC5396" s="500"/>
      <c r="AD5396" s="500"/>
      <c r="AE5396" s="500"/>
      <c r="AF5396" s="500"/>
      <c r="AG5396" s="500"/>
      <c r="AH5396" s="500"/>
      <c r="AI5396" s="500"/>
      <c r="AJ5396" s="500"/>
      <c r="AK5396" s="500"/>
      <c r="AL5396" s="500"/>
      <c r="AM5396" s="500"/>
      <c r="AN5396" s="500"/>
      <c r="AO5396" s="500"/>
      <c r="AP5396" s="500"/>
    </row>
    <row r="5397" spans="1:42" ht="16.5" customHeight="1">
      <c r="A5397" s="439"/>
      <c r="B5397" s="439"/>
      <c r="C5397" s="439"/>
      <c r="D5397" s="439"/>
      <c r="E5397" s="439"/>
      <c r="F5397" s="439"/>
      <c r="Z5397" s="500"/>
      <c r="AA5397" s="500"/>
      <c r="AB5397" s="500"/>
      <c r="AC5397" s="500"/>
      <c r="AD5397" s="500"/>
      <c r="AE5397" s="500"/>
      <c r="AF5397" s="500"/>
      <c r="AG5397" s="500"/>
      <c r="AH5397" s="500"/>
      <c r="AI5397" s="500"/>
      <c r="AJ5397" s="500"/>
      <c r="AK5397" s="500"/>
      <c r="AL5397" s="500"/>
      <c r="AM5397" s="500"/>
      <c r="AN5397" s="500"/>
      <c r="AO5397" s="500"/>
      <c r="AP5397" s="500"/>
    </row>
    <row r="5398" spans="1:42" ht="16.5" customHeight="1">
      <c r="A5398" s="439"/>
      <c r="B5398" s="439"/>
      <c r="C5398" s="439"/>
      <c r="D5398" s="439"/>
      <c r="E5398" s="439"/>
      <c r="F5398" s="439"/>
      <c r="Z5398" s="500"/>
      <c r="AA5398" s="500"/>
      <c r="AB5398" s="500"/>
      <c r="AC5398" s="500"/>
      <c r="AD5398" s="500"/>
      <c r="AE5398" s="500"/>
      <c r="AF5398" s="500"/>
      <c r="AG5398" s="500"/>
      <c r="AH5398" s="500"/>
      <c r="AI5398" s="500"/>
      <c r="AJ5398" s="500"/>
      <c r="AK5398" s="500"/>
      <c r="AL5398" s="500"/>
      <c r="AM5398" s="500"/>
      <c r="AN5398" s="500"/>
      <c r="AO5398" s="500"/>
      <c r="AP5398" s="500"/>
    </row>
    <row r="5399" spans="1:42" ht="16.5" customHeight="1">
      <c r="A5399" s="439"/>
      <c r="B5399" s="439"/>
      <c r="C5399" s="439"/>
      <c r="D5399" s="439"/>
      <c r="E5399" s="439"/>
      <c r="F5399" s="439"/>
      <c r="Z5399" s="500"/>
      <c r="AA5399" s="500"/>
      <c r="AB5399" s="500"/>
      <c r="AC5399" s="500"/>
      <c r="AD5399" s="500"/>
      <c r="AE5399" s="500"/>
      <c r="AF5399" s="500"/>
      <c r="AG5399" s="500"/>
      <c r="AH5399" s="500"/>
      <c r="AI5399" s="500"/>
      <c r="AJ5399" s="500"/>
      <c r="AK5399" s="500"/>
      <c r="AL5399" s="500"/>
      <c r="AM5399" s="500"/>
      <c r="AN5399" s="500"/>
      <c r="AO5399" s="500"/>
      <c r="AP5399" s="500"/>
    </row>
    <row r="5400" spans="1:42" ht="16.5" customHeight="1">
      <c r="A5400" s="439"/>
      <c r="B5400" s="439"/>
      <c r="C5400" s="439"/>
      <c r="D5400" s="439"/>
      <c r="E5400" s="439"/>
      <c r="F5400" s="439"/>
      <c r="Z5400" s="500"/>
      <c r="AA5400" s="500"/>
      <c r="AB5400" s="500"/>
      <c r="AC5400" s="500"/>
      <c r="AD5400" s="500"/>
      <c r="AE5400" s="500"/>
      <c r="AF5400" s="500"/>
      <c r="AG5400" s="500"/>
      <c r="AH5400" s="500"/>
      <c r="AI5400" s="500"/>
      <c r="AJ5400" s="500"/>
      <c r="AK5400" s="500"/>
      <c r="AL5400" s="500"/>
      <c r="AM5400" s="500"/>
      <c r="AN5400" s="500"/>
      <c r="AO5400" s="500"/>
      <c r="AP5400" s="500"/>
    </row>
    <row r="5401" spans="1:42" ht="16.5" customHeight="1">
      <c r="A5401" s="439"/>
      <c r="B5401" s="439"/>
      <c r="C5401" s="439"/>
      <c r="D5401" s="439"/>
      <c r="E5401" s="439"/>
      <c r="F5401" s="439"/>
      <c r="Z5401" s="500"/>
      <c r="AA5401" s="500"/>
      <c r="AB5401" s="500"/>
      <c r="AC5401" s="500"/>
      <c r="AD5401" s="500"/>
      <c r="AE5401" s="500"/>
      <c r="AF5401" s="500"/>
      <c r="AG5401" s="500"/>
      <c r="AH5401" s="500"/>
      <c r="AI5401" s="500"/>
      <c r="AJ5401" s="500"/>
      <c r="AK5401" s="500"/>
      <c r="AL5401" s="500"/>
      <c r="AM5401" s="500"/>
      <c r="AN5401" s="500"/>
      <c r="AO5401" s="500"/>
      <c r="AP5401" s="500"/>
    </row>
    <row r="5402" spans="1:42" ht="16.5" customHeight="1">
      <c r="A5402" s="439"/>
      <c r="B5402" s="439"/>
      <c r="C5402" s="439"/>
      <c r="D5402" s="439"/>
      <c r="E5402" s="439"/>
      <c r="F5402" s="439"/>
      <c r="Z5402" s="500"/>
      <c r="AA5402" s="500"/>
      <c r="AB5402" s="500"/>
      <c r="AC5402" s="500"/>
      <c r="AD5402" s="500"/>
      <c r="AE5402" s="500"/>
      <c r="AF5402" s="500"/>
      <c r="AG5402" s="500"/>
      <c r="AH5402" s="500"/>
      <c r="AI5402" s="500"/>
      <c r="AJ5402" s="500"/>
      <c r="AK5402" s="500"/>
      <c r="AL5402" s="500"/>
      <c r="AM5402" s="500"/>
      <c r="AN5402" s="500"/>
      <c r="AO5402" s="500"/>
      <c r="AP5402" s="500"/>
    </row>
    <row r="5403" spans="1:42" ht="16.5" customHeight="1">
      <c r="A5403" s="497"/>
      <c r="B5403" s="497"/>
      <c r="C5403" s="497"/>
      <c r="D5403" s="497"/>
      <c r="E5403" s="497"/>
      <c r="F5403" s="497"/>
      <c r="Z5403" s="500"/>
      <c r="AA5403" s="500"/>
      <c r="AB5403" s="500"/>
      <c r="AC5403" s="500"/>
      <c r="AD5403" s="500"/>
      <c r="AE5403" s="500"/>
      <c r="AF5403" s="500"/>
      <c r="AG5403" s="500"/>
      <c r="AH5403" s="500"/>
      <c r="AI5403" s="500"/>
      <c r="AJ5403" s="500"/>
      <c r="AK5403" s="500"/>
      <c r="AL5403" s="500"/>
      <c r="AM5403" s="500"/>
      <c r="AN5403" s="500"/>
      <c r="AO5403" s="500"/>
      <c r="AP5403" s="500"/>
    </row>
    <row r="5404" spans="1:42" ht="16.5" customHeight="1">
      <c r="A5404" s="616" t="s">
        <v>3487</v>
      </c>
      <c r="B5404" s="605"/>
      <c r="C5404" s="446">
        <f>E5404+D5404+F5404</f>
        <v>37380</v>
      </c>
      <c r="D5404" s="453">
        <f>ROUNDDOWN(SUMIF(N5357:N5386,M5404,D5357:D5386),0)</f>
        <v>36504</v>
      </c>
      <c r="E5404" s="454">
        <f>ROUNDDOWN(SUMIF(N5357:N5386,M5404,E5357:E5386),0)</f>
        <v>0</v>
      </c>
      <c r="F5404" s="446">
        <f>ROUNDDOWN(SUMIF(N5357:N5386,M5404,F5357:F5386),0)</f>
        <v>876</v>
      </c>
      <c r="M5404" s="501" t="s">
        <v>2354</v>
      </c>
      <c r="Z5404" s="500"/>
      <c r="AA5404" s="500"/>
      <c r="AB5404" s="500"/>
      <c r="AC5404" s="500"/>
      <c r="AD5404" s="500"/>
      <c r="AE5404" s="500"/>
      <c r="AF5404" s="500"/>
      <c r="AG5404" s="500"/>
      <c r="AH5404" s="500"/>
      <c r="AI5404" s="500"/>
      <c r="AJ5404" s="500"/>
      <c r="AK5404" s="500"/>
      <c r="AL5404" s="500"/>
      <c r="AM5404" s="500"/>
      <c r="AN5404" s="500"/>
      <c r="AO5404" s="500"/>
      <c r="AP5404" s="500"/>
    </row>
    <row r="5405" spans="1:42" ht="16.5" customHeight="1">
      <c r="A5405" s="502" t="s">
        <v>3371</v>
      </c>
      <c r="B5405" s="503" t="s">
        <v>5466</v>
      </c>
      <c r="C5405" s="615">
        <f>C5454</f>
        <v>63258</v>
      </c>
      <c r="D5405" s="615">
        <f>D5454</f>
        <v>61776</v>
      </c>
      <c r="E5405" s="615">
        <f>E5454</f>
        <v>0</v>
      </c>
      <c r="F5405" s="615">
        <f>F5454</f>
        <v>1482</v>
      </c>
      <c r="G5405" s="486" t="str">
        <f>HYPERLINK("#G"&amp;ROW(G5436),"_x0005_`BDCOD|D01341_x0007_`POSS|"&amp;ROW(G5407)&amp;"_x0007_`POSE|"&amp;ROW(G5436)&amp;"_x0007_`")</f>
        <v>_x0005_`BDCOD|D01341_x0007_`POSS|5407_x0007_`POSE|5436_x0007_`</v>
      </c>
      <c r="Z5405" s="500"/>
      <c r="AA5405" s="500"/>
      <c r="AB5405" s="500"/>
      <c r="AC5405" s="500"/>
      <c r="AD5405" s="500"/>
      <c r="AE5405" s="500"/>
      <c r="AF5405" s="500"/>
      <c r="AG5405" s="500"/>
      <c r="AH5405" s="500"/>
      <c r="AI5405" s="500"/>
      <c r="AJ5405" s="500"/>
      <c r="AK5405" s="500"/>
      <c r="AL5405" s="500"/>
      <c r="AM5405" s="500"/>
      <c r="AN5405" s="500"/>
      <c r="AO5405" s="500"/>
      <c r="AP5405" s="500"/>
    </row>
    <row r="5406" spans="1:42" ht="16.5" customHeight="1">
      <c r="A5406" s="485"/>
      <c r="B5406" s="503" t="s">
        <v>5634</v>
      </c>
      <c r="C5406" s="593"/>
      <c r="D5406" s="593"/>
      <c r="E5406" s="593"/>
      <c r="F5406" s="593"/>
      <c r="M5406" s="501" t="s">
        <v>5466</v>
      </c>
      <c r="Z5406" s="500"/>
      <c r="AA5406" s="500"/>
      <c r="AB5406" s="500"/>
      <c r="AC5406" s="500"/>
      <c r="AD5406" s="500"/>
      <c r="AE5406" s="500"/>
      <c r="AF5406" s="500"/>
      <c r="AG5406" s="500"/>
      <c r="AH5406" s="500"/>
      <c r="AI5406" s="500"/>
      <c r="AJ5406" s="500"/>
      <c r="AK5406" s="500"/>
      <c r="AL5406" s="500"/>
      <c r="AM5406" s="500"/>
      <c r="AN5406" s="500"/>
      <c r="AO5406" s="500"/>
      <c r="AP5406" s="500"/>
    </row>
    <row r="5407" spans="1:42" ht="16.5" customHeight="1">
      <c r="A5407" s="439"/>
      <c r="B5407" s="439"/>
      <c r="C5407" s="504"/>
      <c r="D5407" s="504"/>
      <c r="E5407" s="504"/>
      <c r="F5407" s="504"/>
      <c r="G5407" s="451" t="s">
        <v>3406</v>
      </c>
      <c r="Z5407" s="500"/>
      <c r="AA5407" s="500"/>
      <c r="AB5407" s="500"/>
      <c r="AC5407" s="500"/>
      <c r="AD5407" s="500"/>
      <c r="AE5407" s="500"/>
      <c r="AF5407" s="500"/>
      <c r="AG5407" s="500"/>
      <c r="AH5407" s="500"/>
      <c r="AI5407" s="500"/>
      <c r="AJ5407" s="500"/>
      <c r="AK5407" s="500"/>
      <c r="AL5407" s="500"/>
      <c r="AM5407" s="500"/>
      <c r="AN5407" s="500"/>
      <c r="AO5407" s="500"/>
      <c r="AP5407" s="500"/>
    </row>
    <row r="5408" spans="1:42" ht="16.5" customHeight="1">
      <c r="A5408" s="434"/>
      <c r="B5408" s="437" t="s">
        <v>3964</v>
      </c>
      <c r="C5408" s="439"/>
      <c r="D5408" s="439"/>
      <c r="E5408" s="439"/>
      <c r="F5408" s="439"/>
      <c r="G5408" s="451" t="s">
        <v>3965</v>
      </c>
      <c r="Z5408" s="500"/>
      <c r="AA5408" s="500"/>
      <c r="AB5408" s="500"/>
      <c r="AC5408" s="500"/>
      <c r="AD5408" s="500"/>
      <c r="AE5408" s="500"/>
      <c r="AF5408" s="500"/>
      <c r="AG5408" s="500"/>
      <c r="AH5408" s="500"/>
      <c r="AI5408" s="500"/>
      <c r="AJ5408" s="500"/>
      <c r="AK5408" s="500"/>
      <c r="AL5408" s="500"/>
      <c r="AM5408" s="500"/>
      <c r="AN5408" s="500"/>
      <c r="AO5408" s="500"/>
      <c r="AP5408" s="500"/>
    </row>
    <row r="5409" spans="1:42" ht="16.5" customHeight="1">
      <c r="A5409" s="439"/>
      <c r="B5409" s="439"/>
      <c r="C5409" s="439"/>
      <c r="D5409" s="439"/>
      <c r="E5409" s="439"/>
      <c r="F5409" s="439"/>
      <c r="G5409" s="451" t="s">
        <v>3406</v>
      </c>
      <c r="Z5409" s="500"/>
      <c r="AA5409" s="500"/>
      <c r="AB5409" s="500"/>
      <c r="AC5409" s="500"/>
      <c r="AD5409" s="500"/>
      <c r="AE5409" s="500"/>
      <c r="AF5409" s="500"/>
      <c r="AG5409" s="500"/>
      <c r="AH5409" s="500"/>
      <c r="AI5409" s="500"/>
      <c r="AJ5409" s="500"/>
      <c r="AK5409" s="500"/>
      <c r="AL5409" s="500"/>
      <c r="AM5409" s="500"/>
      <c r="AN5409" s="500"/>
      <c r="AO5409" s="500"/>
      <c r="AP5409" s="500"/>
    </row>
    <row r="5410" spans="1:42" ht="16.5" customHeight="1">
      <c r="A5410" s="434"/>
      <c r="B5410" s="437" t="s">
        <v>3907</v>
      </c>
      <c r="C5410" s="439"/>
      <c r="D5410" s="439"/>
      <c r="E5410" s="439"/>
      <c r="F5410" s="439"/>
      <c r="G5410" s="451" t="s">
        <v>3908</v>
      </c>
      <c r="Z5410" s="500"/>
      <c r="AA5410" s="500"/>
      <c r="AB5410" s="500"/>
      <c r="AC5410" s="500"/>
      <c r="AD5410" s="500"/>
      <c r="AE5410" s="500"/>
      <c r="AF5410" s="500"/>
      <c r="AG5410" s="500"/>
      <c r="AH5410" s="500"/>
      <c r="AI5410" s="500"/>
      <c r="AJ5410" s="500"/>
      <c r="AK5410" s="500"/>
      <c r="AL5410" s="500"/>
      <c r="AM5410" s="500"/>
      <c r="AN5410" s="500"/>
      <c r="AO5410" s="500"/>
      <c r="AP5410" s="500"/>
    </row>
    <row r="5411" spans="1:42" ht="16.5" customHeight="1">
      <c r="A5411" s="439"/>
      <c r="B5411" s="439"/>
      <c r="C5411" s="439"/>
      <c r="D5411" s="439"/>
      <c r="E5411" s="439"/>
      <c r="F5411" s="439"/>
      <c r="G5411" s="451" t="s">
        <v>3406</v>
      </c>
      <c r="Z5411" s="500"/>
      <c r="AA5411" s="500"/>
      <c r="AB5411" s="500"/>
      <c r="AC5411" s="500"/>
      <c r="AD5411" s="500"/>
      <c r="AE5411" s="500"/>
      <c r="AF5411" s="500"/>
      <c r="AG5411" s="500"/>
      <c r="AH5411" s="500"/>
      <c r="AI5411" s="500"/>
      <c r="AJ5411" s="500"/>
      <c r="AK5411" s="500"/>
      <c r="AL5411" s="500"/>
      <c r="AM5411" s="500"/>
      <c r="AN5411" s="500"/>
      <c r="AO5411" s="500"/>
      <c r="AP5411" s="500"/>
    </row>
    <row r="5412" spans="1:42" ht="16.5" customHeight="1">
      <c r="A5412" s="434"/>
      <c r="B5412" s="437" t="s">
        <v>3955</v>
      </c>
      <c r="C5412" s="439"/>
      <c r="D5412" s="439"/>
      <c r="E5412" s="439"/>
      <c r="F5412" s="439"/>
      <c r="G5412" s="451" t="s">
        <v>3956</v>
      </c>
      <c r="Z5412" s="500"/>
      <c r="AA5412" s="500"/>
      <c r="AB5412" s="500"/>
      <c r="AC5412" s="500"/>
      <c r="AD5412" s="500"/>
      <c r="AE5412" s="500"/>
      <c r="AF5412" s="500"/>
      <c r="AG5412" s="500"/>
      <c r="AH5412" s="500"/>
      <c r="AI5412" s="500"/>
      <c r="AJ5412" s="500"/>
      <c r="AK5412" s="500"/>
      <c r="AL5412" s="500"/>
      <c r="AM5412" s="500"/>
      <c r="AN5412" s="500"/>
      <c r="AO5412" s="500"/>
      <c r="AP5412" s="500"/>
    </row>
    <row r="5413" spans="1:42" ht="16.5" customHeight="1">
      <c r="A5413" s="439"/>
      <c r="B5413" s="439"/>
      <c r="C5413" s="439"/>
      <c r="D5413" s="439"/>
      <c r="E5413" s="439"/>
      <c r="F5413" s="439"/>
      <c r="G5413" s="451" t="s">
        <v>3406</v>
      </c>
      <c r="Z5413" s="500"/>
      <c r="AA5413" s="500"/>
      <c r="AB5413" s="500"/>
      <c r="AC5413" s="500"/>
      <c r="AD5413" s="500"/>
      <c r="AE5413" s="500"/>
      <c r="AF5413" s="500"/>
      <c r="AG5413" s="500"/>
      <c r="AH5413" s="500"/>
      <c r="AI5413" s="500"/>
      <c r="AJ5413" s="500"/>
      <c r="AK5413" s="500"/>
      <c r="AL5413" s="500"/>
      <c r="AM5413" s="500"/>
      <c r="AN5413" s="500"/>
      <c r="AO5413" s="500"/>
      <c r="AP5413" s="500"/>
    </row>
    <row r="5414" spans="1:42" ht="16.5" customHeight="1">
      <c r="A5414" s="434"/>
      <c r="B5414" s="437" t="str">
        <f>" 일당 작업량 :  Q1 = "&amp;Z5414&amp;" 주 "</f>
        <v xml:space="preserve"> 일당 작업량 :  Q1 = 13 주 </v>
      </c>
      <c r="C5414" s="439"/>
      <c r="D5414" s="439"/>
      <c r="E5414" s="439"/>
      <c r="F5414" s="439"/>
      <c r="G5414" s="451" t="s">
        <v>3966</v>
      </c>
      <c r="Z5414" s="515">
        <v>13</v>
      </c>
      <c r="AA5414" s="501" t="s">
        <v>3418</v>
      </c>
      <c r="AB5414" s="512">
        <f>Z5414</f>
        <v>13</v>
      </c>
      <c r="AC5414" s="500"/>
      <c r="AD5414" s="500"/>
      <c r="AE5414" s="500"/>
      <c r="AF5414" s="500"/>
      <c r="AG5414" s="500"/>
      <c r="AH5414" s="500"/>
      <c r="AI5414" s="500"/>
      <c r="AJ5414" s="500"/>
      <c r="AK5414" s="500"/>
      <c r="AL5414" s="500"/>
      <c r="AM5414" s="500"/>
      <c r="AN5414" s="500"/>
      <c r="AO5414" s="500"/>
      <c r="AP5414" s="500"/>
    </row>
    <row r="5415" spans="1:42" ht="16.5" customHeight="1">
      <c r="A5415" s="439"/>
      <c r="B5415" s="439"/>
      <c r="C5415" s="439"/>
      <c r="D5415" s="439"/>
      <c r="E5415" s="439"/>
      <c r="F5415" s="439"/>
      <c r="G5415" s="451" t="s">
        <v>3406</v>
      </c>
      <c r="Z5415" s="500"/>
      <c r="AA5415" s="500"/>
      <c r="AB5415" s="500"/>
      <c r="AC5415" s="500"/>
      <c r="AD5415" s="500"/>
      <c r="AE5415" s="500"/>
      <c r="AF5415" s="500"/>
      <c r="AG5415" s="500"/>
      <c r="AH5415" s="500"/>
      <c r="AI5415" s="500"/>
      <c r="AJ5415" s="500"/>
      <c r="AK5415" s="500"/>
      <c r="AL5415" s="500"/>
      <c r="AM5415" s="500"/>
      <c r="AN5415" s="500"/>
      <c r="AO5415" s="500"/>
      <c r="AP5415" s="500"/>
    </row>
    <row r="5416" spans="1:42" ht="16.5" customHeight="1">
      <c r="A5416" s="434"/>
      <c r="B5416" s="437" t="s">
        <v>3958</v>
      </c>
      <c r="C5416" s="439"/>
      <c r="D5416" s="439"/>
      <c r="E5416" s="439"/>
      <c r="F5416" s="439"/>
      <c r="G5416" s="451" t="s">
        <v>3959</v>
      </c>
      <c r="Z5416" s="500"/>
      <c r="AA5416" s="500"/>
      <c r="AB5416" s="500"/>
      <c r="AC5416" s="500"/>
      <c r="AD5416" s="500"/>
      <c r="AE5416" s="500"/>
      <c r="AF5416" s="500"/>
      <c r="AG5416" s="500"/>
      <c r="AH5416" s="500"/>
      <c r="AI5416" s="500"/>
      <c r="AJ5416" s="500"/>
      <c r="AK5416" s="500"/>
      <c r="AL5416" s="500"/>
      <c r="AM5416" s="500"/>
      <c r="AN5416" s="500"/>
      <c r="AO5416" s="500"/>
      <c r="AP5416" s="500"/>
    </row>
    <row r="5417" spans="1:42" ht="16.5" customHeight="1">
      <c r="A5417" s="439"/>
      <c r="B5417" s="439"/>
      <c r="C5417" s="439"/>
      <c r="D5417" s="439"/>
      <c r="E5417" s="439"/>
      <c r="F5417" s="439"/>
      <c r="G5417" s="451" t="s">
        <v>3406</v>
      </c>
      <c r="Z5417" s="500"/>
      <c r="AA5417" s="500"/>
      <c r="AB5417" s="500"/>
      <c r="AC5417" s="500"/>
      <c r="AD5417" s="500"/>
      <c r="AE5417" s="500"/>
      <c r="AF5417" s="500"/>
      <c r="AG5417" s="500"/>
      <c r="AH5417" s="500"/>
      <c r="AI5417" s="500"/>
      <c r="AJ5417" s="500"/>
      <c r="AK5417" s="500"/>
      <c r="AL5417" s="500"/>
      <c r="AM5417" s="500"/>
      <c r="AN5417" s="500"/>
      <c r="AO5417" s="500"/>
      <c r="AP5417" s="500"/>
    </row>
    <row r="5418" spans="1:42" ht="16.5" customHeight="1">
      <c r="A5418" s="439"/>
      <c r="B5418" s="439"/>
      <c r="C5418" s="439"/>
      <c r="D5418" s="439"/>
      <c r="E5418" s="439"/>
      <c r="F5418" s="439"/>
      <c r="G5418" s="451" t="s">
        <v>3406</v>
      </c>
      <c r="Z5418" s="500"/>
      <c r="AA5418" s="500"/>
      <c r="AB5418" s="500"/>
      <c r="AC5418" s="500"/>
      <c r="AD5418" s="500"/>
      <c r="AE5418" s="500"/>
      <c r="AF5418" s="500"/>
      <c r="AG5418" s="500"/>
      <c r="AH5418" s="500"/>
      <c r="AI5418" s="500"/>
      <c r="AJ5418" s="500"/>
      <c r="AK5418" s="500"/>
      <c r="AL5418" s="500"/>
      <c r="AM5418" s="500"/>
      <c r="AN5418" s="500"/>
      <c r="AO5418" s="500"/>
      <c r="AP5418" s="500"/>
    </row>
    <row r="5419" spans="1:42" ht="16.5" customHeight="1">
      <c r="A5419" s="434"/>
      <c r="B5419" s="437" t="s">
        <v>3496</v>
      </c>
      <c r="C5419" s="439"/>
      <c r="D5419" s="439"/>
      <c r="E5419" s="439"/>
      <c r="F5419" s="439"/>
      <c r="G5419" s="451" t="s">
        <v>3497</v>
      </c>
      <c r="Z5419" s="500"/>
      <c r="AA5419" s="500"/>
      <c r="AB5419" s="500"/>
      <c r="AC5419" s="500"/>
      <c r="AD5419" s="500"/>
      <c r="AE5419" s="500"/>
      <c r="AF5419" s="500"/>
      <c r="AG5419" s="500"/>
      <c r="AH5419" s="500"/>
      <c r="AI5419" s="500"/>
      <c r="AJ5419" s="500"/>
      <c r="AK5419" s="500"/>
      <c r="AL5419" s="500"/>
      <c r="AM5419" s="500"/>
      <c r="AN5419" s="500"/>
      <c r="AO5419" s="500"/>
      <c r="AP5419" s="500"/>
    </row>
    <row r="5420" spans="1:42" ht="16.5" customHeight="1">
      <c r="A5420" s="439"/>
      <c r="B5420" s="439"/>
      <c r="C5420" s="439"/>
      <c r="D5420" s="439"/>
      <c r="E5420" s="439"/>
      <c r="F5420" s="439"/>
      <c r="G5420" s="451" t="s">
        <v>3406</v>
      </c>
      <c r="Z5420" s="500"/>
      <c r="AA5420" s="500"/>
      <c r="AB5420" s="500"/>
      <c r="AC5420" s="500"/>
      <c r="AD5420" s="500"/>
      <c r="AE5420" s="500"/>
      <c r="AF5420" s="500"/>
      <c r="AG5420" s="500"/>
      <c r="AH5420" s="500"/>
      <c r="AI5420" s="500"/>
      <c r="AJ5420" s="500"/>
      <c r="AK5420" s="500"/>
      <c r="AL5420" s="500"/>
      <c r="AM5420" s="500"/>
      <c r="AN5420" s="500"/>
      <c r="AO5420" s="500"/>
      <c r="AP5420" s="500"/>
    </row>
    <row r="5421" spans="1:42" ht="16.5" customHeight="1">
      <c r="A5421" s="434" t="s">
        <v>3498</v>
      </c>
      <c r="B5421" s="505" t="str">
        <f>" 조 경 공 : "&amp;TEXT(I5421,"#,##0"&amp;IF(I5421&lt;&gt;INT(I5421),".###",""))&amp;" * "&amp;AA5421&amp;" 인  / Q1 = "&amp;TEXT(C5421,"#,##0.0")&amp;" "</f>
        <v xml:space="preserve"> 조 경 공 : 235,204 * 2 인  / Q1 = 36,185.2 </v>
      </c>
      <c r="C5421" s="506">
        <f>E5421+D5421+F5421</f>
        <v>36185.199999999997</v>
      </c>
      <c r="D5421" s="506">
        <f>IF(H5421=0,0,ROUNDDOWN(J5421*H5421,1))</f>
        <v>36185.199999999997</v>
      </c>
      <c r="E5421" s="506">
        <f>IF(H5421=0,0,ROUNDDOWN(K5421*H5421,1))</f>
        <v>0</v>
      </c>
      <c r="F5421" s="506">
        <f>IF(H5421=0,0,ROUNDDOWN(L5421*H5421,1))</f>
        <v>0</v>
      </c>
      <c r="G5421" s="451" t="s">
        <v>3960</v>
      </c>
      <c r="H5421" s="507">
        <f>ROUNDUP(AE5421,14-LEN(ABS(INT(AE5421))))</f>
        <v>0.15384615384620001</v>
      </c>
      <c r="I5421" s="508">
        <f>K5421+J5421+L5421</f>
        <v>235204</v>
      </c>
      <c r="J5421" s="509">
        <f>노무비목록표!E15</f>
        <v>235204</v>
      </c>
      <c r="M5421" s="501" t="s">
        <v>2359</v>
      </c>
      <c r="N5421" s="501" t="s">
        <v>3416</v>
      </c>
      <c r="O5421" s="501" t="s">
        <v>2355</v>
      </c>
      <c r="X5421" s="510" t="str">
        <f>노무비목록표!B15&amp;" / "&amp;노무비목록표!C15</f>
        <v xml:space="preserve">조경공 / </v>
      </c>
      <c r="Y5421" s="433" t="str">
        <f ca="1">HYPERLINK("#"&amp;노무비목록표!G2&amp;"!A"&amp;ROW(노무비목록표!A15),"L00184 →")</f>
        <v>L00184 →</v>
      </c>
      <c r="Z5421" s="501" t="s">
        <v>3500</v>
      </c>
      <c r="AA5421" s="515">
        <v>2</v>
      </c>
      <c r="AB5421" s="501" t="s">
        <v>3428</v>
      </c>
      <c r="AC5421" s="512">
        <f>AB5414</f>
        <v>13</v>
      </c>
      <c r="AD5421" s="501" t="s">
        <v>3418</v>
      </c>
      <c r="AE5421" s="512">
        <f>1*AA5421/AB5414</f>
        <v>0.15384615384615385</v>
      </c>
      <c r="AF5421" s="500"/>
      <c r="AG5421" s="500"/>
      <c r="AH5421" s="500"/>
      <c r="AI5421" s="500"/>
      <c r="AJ5421" s="500"/>
      <c r="AK5421" s="500"/>
      <c r="AL5421" s="500"/>
      <c r="AM5421" s="500"/>
      <c r="AN5421" s="500"/>
      <c r="AO5421" s="500"/>
      <c r="AP5421" s="500"/>
    </row>
    <row r="5422" spans="1:42" ht="16.5" customHeight="1">
      <c r="A5422" s="439"/>
      <c r="B5422" s="439"/>
      <c r="C5422" s="439"/>
      <c r="D5422" s="439"/>
      <c r="E5422" s="439"/>
      <c r="F5422" s="439"/>
      <c r="G5422" s="451" t="s">
        <v>3406</v>
      </c>
      <c r="Z5422" s="500"/>
      <c r="AA5422" s="500"/>
      <c r="AB5422" s="500"/>
      <c r="AC5422" s="500"/>
      <c r="AD5422" s="500"/>
      <c r="AE5422" s="500"/>
      <c r="AF5422" s="500"/>
      <c r="AG5422" s="500"/>
      <c r="AH5422" s="500"/>
      <c r="AI5422" s="500"/>
      <c r="AJ5422" s="500"/>
      <c r="AK5422" s="500"/>
      <c r="AL5422" s="500"/>
      <c r="AM5422" s="500"/>
      <c r="AN5422" s="500"/>
      <c r="AO5422" s="500"/>
      <c r="AP5422" s="500"/>
    </row>
    <row r="5423" spans="1:42" ht="16.5" customHeight="1">
      <c r="A5423" s="434" t="s">
        <v>3414</v>
      </c>
      <c r="B5423" s="505" t="str">
        <f>" 보통인부 : "&amp;TEXT(I5423,"#,##0"&amp;IF(I5423&lt;&gt;INT(I5423),".###",""))&amp;" * "&amp;AA5423&amp;" 인  / Q1 = "&amp;TEXT(C5423,"#,##0.0")&amp;" "</f>
        <v xml:space="preserve"> 보통인부 : 172,068 * 1 인  / Q1 = 13,236.0 </v>
      </c>
      <c r="C5423" s="506">
        <f>E5423+D5423+F5423</f>
        <v>13236</v>
      </c>
      <c r="D5423" s="506">
        <f>IF(H5423=0,0,ROUNDDOWN(J5423*H5423,1))</f>
        <v>13236</v>
      </c>
      <c r="E5423" s="506">
        <f>IF(H5423=0,0,ROUNDDOWN(K5423*H5423,1))</f>
        <v>0</v>
      </c>
      <c r="F5423" s="506">
        <f>IF(H5423=0,0,ROUNDDOWN(L5423*H5423,1))</f>
        <v>0</v>
      </c>
      <c r="G5423" s="451" t="s">
        <v>3894</v>
      </c>
      <c r="H5423" s="507">
        <f>ROUNDUP(AE5423,14-LEN(ABS(INT(AE5423))))</f>
        <v>7.6923076923100006E-2</v>
      </c>
      <c r="I5423" s="508">
        <f>K5423+J5423+L5423</f>
        <v>172068</v>
      </c>
      <c r="J5423" s="509">
        <f>노무비목록표!E10</f>
        <v>172068</v>
      </c>
      <c r="M5423" s="501" t="s">
        <v>2363</v>
      </c>
      <c r="N5423" s="501" t="s">
        <v>3416</v>
      </c>
      <c r="O5423" s="501" t="s">
        <v>2355</v>
      </c>
      <c r="X5423" s="510" t="str">
        <f>노무비목록표!B10&amp;" / "&amp;노무비목록표!C10</f>
        <v xml:space="preserve">보통인부 / </v>
      </c>
      <c r="Y5423" s="433" t="str">
        <f ca="1">HYPERLINK("#"&amp;노무비목록표!G2&amp;"!A"&amp;ROW(노무비목록표!A10),"L00017 →")</f>
        <v>L00017 →</v>
      </c>
      <c r="Z5423" s="501" t="s">
        <v>3500</v>
      </c>
      <c r="AA5423" s="515">
        <v>1</v>
      </c>
      <c r="AB5423" s="501" t="s">
        <v>3428</v>
      </c>
      <c r="AC5423" s="512">
        <f>AB5414</f>
        <v>13</v>
      </c>
      <c r="AD5423" s="501" t="s">
        <v>3418</v>
      </c>
      <c r="AE5423" s="512">
        <f>1*AA5423/AB5414</f>
        <v>7.6923076923076927E-2</v>
      </c>
      <c r="AF5423" s="500"/>
      <c r="AG5423" s="500"/>
      <c r="AH5423" s="500"/>
      <c r="AI5423" s="500"/>
      <c r="AJ5423" s="500"/>
      <c r="AK5423" s="500"/>
      <c r="AL5423" s="500"/>
      <c r="AM5423" s="500"/>
      <c r="AN5423" s="500"/>
      <c r="AO5423" s="500"/>
      <c r="AP5423" s="500"/>
    </row>
    <row r="5424" spans="1:42" ht="16.5" customHeight="1">
      <c r="A5424" s="439"/>
      <c r="B5424" s="439"/>
      <c r="C5424" s="439"/>
      <c r="D5424" s="439"/>
      <c r="E5424" s="439"/>
      <c r="F5424" s="439"/>
      <c r="G5424" s="451" t="s">
        <v>3406</v>
      </c>
      <c r="Z5424" s="500"/>
      <c r="AA5424" s="500"/>
      <c r="AB5424" s="500"/>
      <c r="AC5424" s="500"/>
      <c r="AD5424" s="500"/>
      <c r="AE5424" s="500"/>
      <c r="AF5424" s="500"/>
      <c r="AG5424" s="500"/>
      <c r="AH5424" s="500"/>
      <c r="AI5424" s="500"/>
      <c r="AJ5424" s="500"/>
      <c r="AK5424" s="500"/>
      <c r="AL5424" s="500"/>
      <c r="AM5424" s="500"/>
      <c r="AN5424" s="500"/>
      <c r="AO5424" s="500"/>
      <c r="AP5424" s="500"/>
    </row>
    <row r="5425" spans="1:42" ht="16.5" customHeight="1">
      <c r="A5425" s="434"/>
      <c r="B5425" s="437" t="s">
        <v>3419</v>
      </c>
      <c r="C5425" s="513">
        <f>E5425+D5425+F5425</f>
        <v>49421.2</v>
      </c>
      <c r="D5425" s="513">
        <f>SUMIF(N5407:N5424,M5425,D5407:D5424)</f>
        <v>49421.2</v>
      </c>
      <c r="E5425" s="513">
        <f>SUMIF(N5407:N5424,M5425,E5407:E5424)</f>
        <v>0</v>
      </c>
      <c r="F5425" s="513">
        <f>SUMIF(N5407:N5424,M5425,F5407:F5424)</f>
        <v>0</v>
      </c>
      <c r="G5425" s="451" t="s">
        <v>3420</v>
      </c>
      <c r="M5425" s="501" t="s">
        <v>3416</v>
      </c>
      <c r="N5425" s="501" t="s">
        <v>3421</v>
      </c>
      <c r="Z5425" s="500"/>
      <c r="AA5425" s="500"/>
      <c r="AB5425" s="500"/>
      <c r="AC5425" s="500"/>
      <c r="AD5425" s="500"/>
      <c r="AE5425" s="500"/>
      <c r="AF5425" s="500"/>
      <c r="AG5425" s="500"/>
      <c r="AH5425" s="500"/>
      <c r="AI5425" s="500"/>
      <c r="AJ5425" s="500"/>
      <c r="AK5425" s="500"/>
      <c r="AL5425" s="500"/>
      <c r="AM5425" s="500"/>
      <c r="AN5425" s="500"/>
      <c r="AO5425" s="500"/>
      <c r="AP5425" s="500"/>
    </row>
    <row r="5426" spans="1:42" ht="16.5" customHeight="1">
      <c r="A5426" s="439"/>
      <c r="B5426" s="439"/>
      <c r="C5426" s="504"/>
      <c r="D5426" s="504"/>
      <c r="E5426" s="504"/>
      <c r="F5426" s="504"/>
      <c r="G5426" s="451" t="s">
        <v>3406</v>
      </c>
      <c r="Z5426" s="500"/>
      <c r="AA5426" s="500"/>
      <c r="AB5426" s="500"/>
      <c r="AC5426" s="500"/>
      <c r="AD5426" s="500"/>
      <c r="AE5426" s="500"/>
      <c r="AF5426" s="500"/>
      <c r="AG5426" s="500"/>
      <c r="AH5426" s="500"/>
      <c r="AI5426" s="500"/>
      <c r="AJ5426" s="500"/>
      <c r="AK5426" s="500"/>
      <c r="AL5426" s="500"/>
      <c r="AM5426" s="500"/>
      <c r="AN5426" s="500"/>
      <c r="AO5426" s="500"/>
      <c r="AP5426" s="500"/>
    </row>
    <row r="5427" spans="1:42" ht="16.5" customHeight="1">
      <c r="A5427" s="439"/>
      <c r="B5427" s="439"/>
      <c r="C5427" s="439"/>
      <c r="D5427" s="439"/>
      <c r="E5427" s="439"/>
      <c r="F5427" s="439"/>
      <c r="G5427" s="451" t="s">
        <v>3406</v>
      </c>
      <c r="Z5427" s="500"/>
      <c r="AA5427" s="500"/>
      <c r="AB5427" s="500"/>
      <c r="AC5427" s="500"/>
      <c r="AD5427" s="500"/>
      <c r="AE5427" s="500"/>
      <c r="AF5427" s="500"/>
      <c r="AG5427" s="500"/>
      <c r="AH5427" s="500"/>
      <c r="AI5427" s="500"/>
      <c r="AJ5427" s="500"/>
      <c r="AK5427" s="500"/>
      <c r="AL5427" s="500"/>
      <c r="AM5427" s="500"/>
      <c r="AN5427" s="500"/>
      <c r="AO5427" s="500"/>
      <c r="AP5427" s="500"/>
    </row>
    <row r="5428" spans="1:42" ht="16.5" customHeight="1">
      <c r="A5428" s="434"/>
      <c r="B5428" s="505" t="str">
        <f>" 2. 기계경비(인력품의 3%) : "&amp;TEXT(I5428,"#,##0.0")&amp;" * "&amp;AA5428&amp;" %  = "&amp;TEXT(C5428,"#,##0.0")&amp;""</f>
        <v xml:space="preserve"> 2. 기계경비(인력품의 3%) : 49,421.2 * 3 %  = 1,482.6</v>
      </c>
      <c r="C5428" s="506">
        <f>E5428+D5428+F5428</f>
        <v>1482.6</v>
      </c>
      <c r="D5428" s="506">
        <f>IF(H5428=0,0,ROUNDDOWN(J5428*H5428/100,1))</f>
        <v>0</v>
      </c>
      <c r="E5428" s="506">
        <f>IF(H5428=0,0,ROUNDDOWN(K5428*H5428/100,1))</f>
        <v>0</v>
      </c>
      <c r="F5428" s="506">
        <f>IF(H5428=0,0,ROUNDDOWN(L5428*H5428/100,1))</f>
        <v>1482.6</v>
      </c>
      <c r="G5428" s="451" t="s">
        <v>3923</v>
      </c>
      <c r="H5428" s="507">
        <f>ROUNDUP(AC5428,14-LEN(ABS(INT(AC5428))))</f>
        <v>3</v>
      </c>
      <c r="I5428" s="508">
        <f>K5428+J5428+L5428</f>
        <v>49421.2</v>
      </c>
      <c r="J5428" s="456">
        <v>0</v>
      </c>
      <c r="K5428" s="456">
        <v>0</v>
      </c>
      <c r="L5428" s="509">
        <f>D5421+D5423</f>
        <v>49421.2</v>
      </c>
      <c r="M5428" s="501" t="s">
        <v>3743</v>
      </c>
      <c r="N5428" s="501" t="s">
        <v>3416</v>
      </c>
      <c r="Z5428" s="501" t="s">
        <v>3500</v>
      </c>
      <c r="AA5428" s="515">
        <v>3</v>
      </c>
      <c r="AB5428" s="501" t="s">
        <v>3418</v>
      </c>
      <c r="AC5428" s="512">
        <f>1*AA5428</f>
        <v>3</v>
      </c>
      <c r="AD5428" s="500"/>
      <c r="AE5428" s="500"/>
      <c r="AF5428" s="500"/>
      <c r="AG5428" s="500"/>
      <c r="AH5428" s="500"/>
      <c r="AI5428" s="500"/>
      <c r="AJ5428" s="500"/>
      <c r="AK5428" s="500"/>
      <c r="AL5428" s="500"/>
      <c r="AM5428" s="500"/>
      <c r="AN5428" s="500"/>
      <c r="AO5428" s="500"/>
      <c r="AP5428" s="500"/>
    </row>
    <row r="5429" spans="1:42" ht="16.5" customHeight="1">
      <c r="A5429" s="439"/>
      <c r="B5429" s="439"/>
      <c r="C5429" s="439"/>
      <c r="D5429" s="439"/>
      <c r="E5429" s="439"/>
      <c r="F5429" s="439"/>
      <c r="G5429" s="451" t="s">
        <v>3406</v>
      </c>
      <c r="Z5429" s="500"/>
      <c r="AA5429" s="500"/>
      <c r="AB5429" s="500"/>
      <c r="AC5429" s="500"/>
      <c r="AD5429" s="500"/>
      <c r="AE5429" s="500"/>
      <c r="AF5429" s="500"/>
      <c r="AG5429" s="500"/>
      <c r="AH5429" s="500"/>
      <c r="AI5429" s="500"/>
      <c r="AJ5429" s="500"/>
      <c r="AK5429" s="500"/>
      <c r="AL5429" s="500"/>
      <c r="AM5429" s="500"/>
      <c r="AN5429" s="500"/>
      <c r="AO5429" s="500"/>
      <c r="AP5429" s="500"/>
    </row>
    <row r="5430" spans="1:42" ht="16.5" customHeight="1">
      <c r="A5430" s="434"/>
      <c r="B5430" s="437" t="s">
        <v>3419</v>
      </c>
      <c r="C5430" s="513">
        <f>E5430+D5430+F5430</f>
        <v>1482.6</v>
      </c>
      <c r="D5430" s="513">
        <f>SUMIF(N5426:N5429,M5430,D5426:D5429)</f>
        <v>0</v>
      </c>
      <c r="E5430" s="513">
        <f>SUMIF(N5426:N5429,M5430,E5426:E5429)</f>
        <v>0</v>
      </c>
      <c r="F5430" s="513">
        <f>SUMIF(N5426:N5429,M5430,F5426:F5429)</f>
        <v>1482.6</v>
      </c>
      <c r="G5430" s="451" t="s">
        <v>3439</v>
      </c>
      <c r="M5430" s="501" t="s">
        <v>3416</v>
      </c>
      <c r="N5430" s="501" t="s">
        <v>3421</v>
      </c>
      <c r="Z5430" s="500"/>
      <c r="AA5430" s="500"/>
      <c r="AB5430" s="500"/>
      <c r="AC5430" s="500"/>
      <c r="AD5430" s="500"/>
      <c r="AE5430" s="500"/>
      <c r="AF5430" s="500"/>
      <c r="AG5430" s="500"/>
      <c r="AH5430" s="500"/>
      <c r="AI5430" s="500"/>
      <c r="AJ5430" s="500"/>
      <c r="AK5430" s="500"/>
      <c r="AL5430" s="500"/>
      <c r="AM5430" s="500"/>
      <c r="AN5430" s="500"/>
      <c r="AO5430" s="500"/>
      <c r="AP5430" s="500"/>
    </row>
    <row r="5431" spans="1:42" ht="16.5" customHeight="1">
      <c r="A5431" s="439"/>
      <c r="B5431" s="439"/>
      <c r="C5431" s="504"/>
      <c r="D5431" s="504"/>
      <c r="E5431" s="504"/>
      <c r="F5431" s="504"/>
      <c r="G5431" s="451" t="s">
        <v>3406</v>
      </c>
      <c r="Z5431" s="500"/>
      <c r="AA5431" s="500"/>
      <c r="AB5431" s="500"/>
      <c r="AC5431" s="500"/>
      <c r="AD5431" s="500"/>
      <c r="AE5431" s="500"/>
      <c r="AF5431" s="500"/>
      <c r="AG5431" s="500"/>
      <c r="AH5431" s="500"/>
      <c r="AI5431" s="500"/>
      <c r="AJ5431" s="500"/>
      <c r="AK5431" s="500"/>
      <c r="AL5431" s="500"/>
      <c r="AM5431" s="500"/>
      <c r="AN5431" s="500"/>
      <c r="AO5431" s="500"/>
      <c r="AP5431" s="500"/>
    </row>
    <row r="5432" spans="1:42" ht="16.5" customHeight="1">
      <c r="A5432" s="434"/>
      <c r="B5432" s="505" t="str">
        <f>"  산지할증 : "&amp;TEXT(I5432,"#,##0.0")&amp;" * "&amp;AA5432&amp;" %  = "&amp;TEXT(C5432,"#,##0.0")&amp;""</f>
        <v xml:space="preserve">  산지할증 : 49,421.2 * 25 %  = 12,355.3</v>
      </c>
      <c r="C5432" s="506">
        <f>E5432+D5432+F5432</f>
        <v>12355.3</v>
      </c>
      <c r="D5432" s="506">
        <f>IF(H5432=0,0,ROUNDDOWN(J5432*H5432/100,1))</f>
        <v>12355.3</v>
      </c>
      <c r="E5432" s="506">
        <f>IF(H5432=0,0,ROUNDDOWN(K5432*H5432/100,1))</f>
        <v>0</v>
      </c>
      <c r="F5432" s="506">
        <f>IF(H5432=0,0,ROUNDDOWN(L5432*H5432/100,1))</f>
        <v>0</v>
      </c>
      <c r="G5432" s="451" t="s">
        <v>5592</v>
      </c>
      <c r="H5432" s="507">
        <f>ROUNDUP(AC5432,14-LEN(ABS(INT(AC5432))))</f>
        <v>25</v>
      </c>
      <c r="I5432" s="508">
        <f>K5432+J5432+L5432</f>
        <v>49421.2</v>
      </c>
      <c r="J5432" s="508">
        <f>D5425+D5430+SUMIF(N5431:N5431,N5432,D5431:D5431)</f>
        <v>49421.2</v>
      </c>
      <c r="K5432" s="456">
        <v>0</v>
      </c>
      <c r="L5432" s="456">
        <v>0</v>
      </c>
      <c r="M5432" s="501" t="s">
        <v>4208</v>
      </c>
      <c r="N5432" s="501" t="s">
        <v>3416</v>
      </c>
      <c r="Z5432" s="501" t="s">
        <v>3500</v>
      </c>
      <c r="AA5432" s="515">
        <v>25</v>
      </c>
      <c r="AB5432" s="501" t="s">
        <v>3418</v>
      </c>
      <c r="AC5432" s="512">
        <f>1*AA5432</f>
        <v>25</v>
      </c>
      <c r="AD5432" s="500"/>
      <c r="AE5432" s="500"/>
      <c r="AF5432" s="500"/>
      <c r="AG5432" s="500"/>
      <c r="AH5432" s="500"/>
      <c r="AI5432" s="500"/>
      <c r="AJ5432" s="500"/>
      <c r="AK5432" s="500"/>
      <c r="AL5432" s="500"/>
      <c r="AM5432" s="500"/>
      <c r="AN5432" s="500"/>
      <c r="AO5432" s="500"/>
      <c r="AP5432" s="500"/>
    </row>
    <row r="5433" spans="1:42" ht="16.5" customHeight="1">
      <c r="A5433" s="439"/>
      <c r="B5433" s="439"/>
      <c r="C5433" s="439"/>
      <c r="D5433" s="439"/>
      <c r="E5433" s="439"/>
      <c r="F5433" s="439"/>
      <c r="G5433" s="451" t="s">
        <v>3406</v>
      </c>
      <c r="Z5433" s="500"/>
      <c r="AA5433" s="500"/>
      <c r="AB5433" s="500"/>
      <c r="AC5433" s="500"/>
      <c r="AD5433" s="500"/>
      <c r="AE5433" s="500"/>
      <c r="AF5433" s="500"/>
      <c r="AG5433" s="500"/>
      <c r="AH5433" s="500"/>
      <c r="AI5433" s="500"/>
      <c r="AJ5433" s="500"/>
      <c r="AK5433" s="500"/>
      <c r="AL5433" s="500"/>
      <c r="AM5433" s="500"/>
      <c r="AN5433" s="500"/>
      <c r="AO5433" s="500"/>
      <c r="AP5433" s="500"/>
    </row>
    <row r="5434" spans="1:42" ht="16.5" customHeight="1">
      <c r="A5434" s="434"/>
      <c r="B5434" s="437" t="s">
        <v>3419</v>
      </c>
      <c r="C5434" s="513">
        <f>E5434+D5434+F5434</f>
        <v>12355.3</v>
      </c>
      <c r="D5434" s="513">
        <f>SUMIF(N5431:N5433,M5434,D5431:D5433)</f>
        <v>12355.3</v>
      </c>
      <c r="E5434" s="513">
        <f>SUMIF(N5431:N5433,M5434,E5431:E5433)</f>
        <v>0</v>
      </c>
      <c r="F5434" s="513">
        <f>SUMIF(N5431:N5433,M5434,F5431:F5433)</f>
        <v>0</v>
      </c>
      <c r="G5434" s="451" t="s">
        <v>3439</v>
      </c>
      <c r="M5434" s="501" t="s">
        <v>3416</v>
      </c>
      <c r="N5434" s="501" t="s">
        <v>3421</v>
      </c>
      <c r="Z5434" s="500"/>
      <c r="AA5434" s="500"/>
      <c r="AB5434" s="500"/>
      <c r="AC5434" s="500"/>
      <c r="AD5434" s="500"/>
      <c r="AE5434" s="500"/>
      <c r="AF5434" s="500"/>
      <c r="AG5434" s="500"/>
      <c r="AH5434" s="500"/>
      <c r="AI5434" s="500"/>
      <c r="AJ5434" s="500"/>
      <c r="AK5434" s="500"/>
      <c r="AL5434" s="500"/>
      <c r="AM5434" s="500"/>
      <c r="AN5434" s="500"/>
      <c r="AO5434" s="500"/>
      <c r="AP5434" s="500"/>
    </row>
    <row r="5435" spans="1:42" ht="16.5" customHeight="1">
      <c r="A5435" s="439"/>
      <c r="B5435" s="439"/>
      <c r="C5435" s="504"/>
      <c r="D5435" s="504"/>
      <c r="E5435" s="504"/>
      <c r="F5435" s="504"/>
      <c r="G5435" s="451" t="s">
        <v>3406</v>
      </c>
      <c r="Z5435" s="500"/>
      <c r="AA5435" s="500"/>
      <c r="AB5435" s="500"/>
      <c r="AC5435" s="500"/>
      <c r="AD5435" s="500"/>
      <c r="AE5435" s="500"/>
      <c r="AF5435" s="500"/>
      <c r="AG5435" s="500"/>
      <c r="AH5435" s="500"/>
      <c r="AI5435" s="500"/>
      <c r="AJ5435" s="500"/>
      <c r="AK5435" s="500"/>
      <c r="AL5435" s="500"/>
      <c r="AM5435" s="500"/>
      <c r="AN5435" s="500"/>
      <c r="AO5435" s="500"/>
      <c r="AP5435" s="500"/>
    </row>
    <row r="5436" spans="1:42" ht="16.5" customHeight="1">
      <c r="A5436" s="434"/>
      <c r="B5436" s="437" t="s">
        <v>3440</v>
      </c>
      <c r="C5436" s="513">
        <f>E5436+D5436+F5436</f>
        <v>63259.1</v>
      </c>
      <c r="D5436" s="513">
        <f>SUMIF(N5407:N5435,M5436,D5407:D5435)</f>
        <v>61776.5</v>
      </c>
      <c r="E5436" s="513">
        <f>SUMIF(N5407:N5435,M5436,E5407:E5435)</f>
        <v>0</v>
      </c>
      <c r="F5436" s="513">
        <f>SUMIF(N5407:N5435,M5436,F5407:F5435)</f>
        <v>1482.6</v>
      </c>
      <c r="G5436" s="451" t="s">
        <v>3441</v>
      </c>
      <c r="M5436" s="501" t="s">
        <v>3421</v>
      </c>
      <c r="N5436" s="501" t="s">
        <v>2354</v>
      </c>
      <c r="Z5436" s="500"/>
      <c r="AA5436" s="500"/>
      <c r="AB5436" s="500"/>
      <c r="AC5436" s="500"/>
      <c r="AD5436" s="500"/>
      <c r="AE5436" s="500"/>
      <c r="AF5436" s="500"/>
      <c r="AG5436" s="500"/>
      <c r="AH5436" s="500"/>
      <c r="AI5436" s="500"/>
      <c r="AJ5436" s="500"/>
      <c r="AK5436" s="500"/>
      <c r="AL5436" s="500"/>
      <c r="AM5436" s="500"/>
      <c r="AN5436" s="500"/>
      <c r="AO5436" s="500"/>
      <c r="AP5436" s="500"/>
    </row>
    <row r="5437" spans="1:42" ht="16.5" customHeight="1">
      <c r="A5437" s="439"/>
      <c r="B5437" s="439"/>
      <c r="C5437" s="504"/>
      <c r="D5437" s="504"/>
      <c r="E5437" s="504"/>
      <c r="F5437" s="504"/>
      <c r="Z5437" s="500"/>
      <c r="AA5437" s="500"/>
      <c r="AB5437" s="500"/>
      <c r="AC5437" s="500"/>
      <c r="AD5437" s="500"/>
      <c r="AE5437" s="500"/>
      <c r="AF5437" s="500"/>
      <c r="AG5437" s="500"/>
      <c r="AH5437" s="500"/>
      <c r="AI5437" s="500"/>
      <c r="AJ5437" s="500"/>
      <c r="AK5437" s="500"/>
      <c r="AL5437" s="500"/>
      <c r="AM5437" s="500"/>
      <c r="AN5437" s="500"/>
      <c r="AO5437" s="500"/>
      <c r="AP5437" s="500"/>
    </row>
    <row r="5438" spans="1:42" ht="16.5" customHeight="1">
      <c r="A5438" s="439"/>
      <c r="B5438" s="439"/>
      <c r="C5438" s="439"/>
      <c r="D5438" s="439"/>
      <c r="E5438" s="439"/>
      <c r="F5438" s="439"/>
      <c r="Z5438" s="500"/>
      <c r="AA5438" s="500"/>
      <c r="AB5438" s="500"/>
      <c r="AC5438" s="500"/>
      <c r="AD5438" s="500"/>
      <c r="AE5438" s="500"/>
      <c r="AF5438" s="500"/>
      <c r="AG5438" s="500"/>
      <c r="AH5438" s="500"/>
      <c r="AI5438" s="500"/>
      <c r="AJ5438" s="500"/>
      <c r="AK5438" s="500"/>
      <c r="AL5438" s="500"/>
      <c r="AM5438" s="500"/>
      <c r="AN5438" s="500"/>
      <c r="AO5438" s="500"/>
      <c r="AP5438" s="500"/>
    </row>
    <row r="5439" spans="1:42" ht="16.5" customHeight="1">
      <c r="A5439" s="439"/>
      <c r="B5439" s="439"/>
      <c r="C5439" s="439"/>
      <c r="D5439" s="439"/>
      <c r="E5439" s="439"/>
      <c r="F5439" s="439"/>
      <c r="Z5439" s="500"/>
      <c r="AA5439" s="500"/>
      <c r="AB5439" s="500"/>
      <c r="AC5439" s="500"/>
      <c r="AD5439" s="500"/>
      <c r="AE5439" s="500"/>
      <c r="AF5439" s="500"/>
      <c r="AG5439" s="500"/>
      <c r="AH5439" s="500"/>
      <c r="AI5439" s="500"/>
      <c r="AJ5439" s="500"/>
      <c r="AK5439" s="500"/>
      <c r="AL5439" s="500"/>
      <c r="AM5439" s="500"/>
      <c r="AN5439" s="500"/>
      <c r="AO5439" s="500"/>
      <c r="AP5439" s="500"/>
    </row>
    <row r="5440" spans="1:42" ht="16.5" customHeight="1">
      <c r="A5440" s="439"/>
      <c r="B5440" s="439"/>
      <c r="C5440" s="439"/>
      <c r="D5440" s="439"/>
      <c r="E5440" s="439"/>
      <c r="F5440" s="439"/>
      <c r="Z5440" s="500"/>
      <c r="AA5440" s="500"/>
      <c r="AB5440" s="500"/>
      <c r="AC5440" s="500"/>
      <c r="AD5440" s="500"/>
      <c r="AE5440" s="500"/>
      <c r="AF5440" s="500"/>
      <c r="AG5440" s="500"/>
      <c r="AH5440" s="500"/>
      <c r="AI5440" s="500"/>
      <c r="AJ5440" s="500"/>
      <c r="AK5440" s="500"/>
      <c r="AL5440" s="500"/>
      <c r="AM5440" s="500"/>
      <c r="AN5440" s="500"/>
      <c r="AO5440" s="500"/>
      <c r="AP5440" s="500"/>
    </row>
    <row r="5441" spans="1:42" ht="16.5" customHeight="1">
      <c r="A5441" s="439"/>
      <c r="B5441" s="439"/>
      <c r="C5441" s="439"/>
      <c r="D5441" s="439"/>
      <c r="E5441" s="439"/>
      <c r="F5441" s="439"/>
      <c r="Z5441" s="500"/>
      <c r="AA5441" s="500"/>
      <c r="AB5441" s="500"/>
      <c r="AC5441" s="500"/>
      <c r="AD5441" s="500"/>
      <c r="AE5441" s="500"/>
      <c r="AF5441" s="500"/>
      <c r="AG5441" s="500"/>
      <c r="AH5441" s="500"/>
      <c r="AI5441" s="500"/>
      <c r="AJ5441" s="500"/>
      <c r="AK5441" s="500"/>
      <c r="AL5441" s="500"/>
      <c r="AM5441" s="500"/>
      <c r="AN5441" s="500"/>
      <c r="AO5441" s="500"/>
      <c r="AP5441" s="500"/>
    </row>
    <row r="5442" spans="1:42" ht="16.5" customHeight="1">
      <c r="A5442" s="439"/>
      <c r="B5442" s="439"/>
      <c r="C5442" s="439"/>
      <c r="D5442" s="439"/>
      <c r="E5442" s="439"/>
      <c r="F5442" s="439"/>
      <c r="Z5442" s="500"/>
      <c r="AA5442" s="500"/>
      <c r="AB5442" s="500"/>
      <c r="AC5442" s="500"/>
      <c r="AD5442" s="500"/>
      <c r="AE5442" s="500"/>
      <c r="AF5442" s="500"/>
      <c r="AG5442" s="500"/>
      <c r="AH5442" s="500"/>
      <c r="AI5442" s="500"/>
      <c r="AJ5442" s="500"/>
      <c r="AK5442" s="500"/>
      <c r="AL5442" s="500"/>
      <c r="AM5442" s="500"/>
      <c r="AN5442" s="500"/>
      <c r="AO5442" s="500"/>
      <c r="AP5442" s="500"/>
    </row>
    <row r="5443" spans="1:42" ht="16.5" customHeight="1">
      <c r="A5443" s="439"/>
      <c r="B5443" s="439"/>
      <c r="C5443" s="439"/>
      <c r="D5443" s="439"/>
      <c r="E5443" s="439"/>
      <c r="F5443" s="439"/>
      <c r="Z5443" s="500"/>
      <c r="AA5443" s="500"/>
      <c r="AB5443" s="500"/>
      <c r="AC5443" s="500"/>
      <c r="AD5443" s="500"/>
      <c r="AE5443" s="500"/>
      <c r="AF5443" s="500"/>
      <c r="AG5443" s="500"/>
      <c r="AH5443" s="500"/>
      <c r="AI5443" s="500"/>
      <c r="AJ5443" s="500"/>
      <c r="AK5443" s="500"/>
      <c r="AL5443" s="500"/>
      <c r="AM5443" s="500"/>
      <c r="AN5443" s="500"/>
      <c r="AO5443" s="500"/>
      <c r="AP5443" s="500"/>
    </row>
    <row r="5444" spans="1:42" ht="16.5" customHeight="1">
      <c r="A5444" s="439"/>
      <c r="B5444" s="439"/>
      <c r="C5444" s="439"/>
      <c r="D5444" s="439"/>
      <c r="E5444" s="439"/>
      <c r="F5444" s="439"/>
      <c r="Z5444" s="500"/>
      <c r="AA5444" s="500"/>
      <c r="AB5444" s="500"/>
      <c r="AC5444" s="500"/>
      <c r="AD5444" s="500"/>
      <c r="AE5444" s="500"/>
      <c r="AF5444" s="500"/>
      <c r="AG5444" s="500"/>
      <c r="AH5444" s="500"/>
      <c r="AI5444" s="500"/>
      <c r="AJ5444" s="500"/>
      <c r="AK5444" s="500"/>
      <c r="AL5444" s="500"/>
      <c r="AM5444" s="500"/>
      <c r="AN5444" s="500"/>
      <c r="AO5444" s="500"/>
      <c r="AP5444" s="500"/>
    </row>
    <row r="5445" spans="1:42" ht="16.5" customHeight="1">
      <c r="A5445" s="439"/>
      <c r="B5445" s="439"/>
      <c r="C5445" s="439"/>
      <c r="D5445" s="439"/>
      <c r="E5445" s="439"/>
      <c r="F5445" s="439"/>
      <c r="Z5445" s="500"/>
      <c r="AA5445" s="500"/>
      <c r="AB5445" s="500"/>
      <c r="AC5445" s="500"/>
      <c r="AD5445" s="500"/>
      <c r="AE5445" s="500"/>
      <c r="AF5445" s="500"/>
      <c r="AG5445" s="500"/>
      <c r="AH5445" s="500"/>
      <c r="AI5445" s="500"/>
      <c r="AJ5445" s="500"/>
      <c r="AK5445" s="500"/>
      <c r="AL5445" s="500"/>
      <c r="AM5445" s="500"/>
      <c r="AN5445" s="500"/>
      <c r="AO5445" s="500"/>
      <c r="AP5445" s="500"/>
    </row>
    <row r="5446" spans="1:42" ht="16.5" customHeight="1">
      <c r="A5446" s="439"/>
      <c r="B5446" s="439"/>
      <c r="C5446" s="439"/>
      <c r="D5446" s="439"/>
      <c r="E5446" s="439"/>
      <c r="F5446" s="439"/>
      <c r="Z5446" s="500"/>
      <c r="AA5446" s="500"/>
      <c r="AB5446" s="500"/>
      <c r="AC5446" s="500"/>
      <c r="AD5446" s="500"/>
      <c r="AE5446" s="500"/>
      <c r="AF5446" s="500"/>
      <c r="AG5446" s="500"/>
      <c r="AH5446" s="500"/>
      <c r="AI5446" s="500"/>
      <c r="AJ5446" s="500"/>
      <c r="AK5446" s="500"/>
      <c r="AL5446" s="500"/>
      <c r="AM5446" s="500"/>
      <c r="AN5446" s="500"/>
      <c r="AO5446" s="500"/>
      <c r="AP5446" s="500"/>
    </row>
    <row r="5447" spans="1:42" ht="16.5" customHeight="1">
      <c r="A5447" s="439"/>
      <c r="B5447" s="439"/>
      <c r="C5447" s="439"/>
      <c r="D5447" s="439"/>
      <c r="E5447" s="439"/>
      <c r="F5447" s="439"/>
      <c r="Z5447" s="500"/>
      <c r="AA5447" s="500"/>
      <c r="AB5447" s="500"/>
      <c r="AC5447" s="500"/>
      <c r="AD5447" s="500"/>
      <c r="AE5447" s="500"/>
      <c r="AF5447" s="500"/>
      <c r="AG5447" s="500"/>
      <c r="AH5447" s="500"/>
      <c r="AI5447" s="500"/>
      <c r="AJ5447" s="500"/>
      <c r="AK5447" s="500"/>
      <c r="AL5447" s="500"/>
      <c r="AM5447" s="500"/>
      <c r="AN5447" s="500"/>
      <c r="AO5447" s="500"/>
      <c r="AP5447" s="500"/>
    </row>
    <row r="5448" spans="1:42" ht="16.5" customHeight="1">
      <c r="A5448" s="439"/>
      <c r="B5448" s="439"/>
      <c r="C5448" s="439"/>
      <c r="D5448" s="439"/>
      <c r="E5448" s="439"/>
      <c r="F5448" s="439"/>
      <c r="Z5448" s="500"/>
      <c r="AA5448" s="500"/>
      <c r="AB5448" s="500"/>
      <c r="AC5448" s="500"/>
      <c r="AD5448" s="500"/>
      <c r="AE5448" s="500"/>
      <c r="AF5448" s="500"/>
      <c r="AG5448" s="500"/>
      <c r="AH5448" s="500"/>
      <c r="AI5448" s="500"/>
      <c r="AJ5448" s="500"/>
      <c r="AK5448" s="500"/>
      <c r="AL5448" s="500"/>
      <c r="AM5448" s="500"/>
      <c r="AN5448" s="500"/>
      <c r="AO5448" s="500"/>
      <c r="AP5448" s="500"/>
    </row>
    <row r="5449" spans="1:42" ht="16.5" customHeight="1">
      <c r="A5449" s="439"/>
      <c r="B5449" s="439"/>
      <c r="C5449" s="439"/>
      <c r="D5449" s="439"/>
      <c r="E5449" s="439"/>
      <c r="F5449" s="439"/>
      <c r="Z5449" s="500"/>
      <c r="AA5449" s="500"/>
      <c r="AB5449" s="500"/>
      <c r="AC5449" s="500"/>
      <c r="AD5449" s="500"/>
      <c r="AE5449" s="500"/>
      <c r="AF5449" s="500"/>
      <c r="AG5449" s="500"/>
      <c r="AH5449" s="500"/>
      <c r="AI5449" s="500"/>
      <c r="AJ5449" s="500"/>
      <c r="AK5449" s="500"/>
      <c r="AL5449" s="500"/>
      <c r="AM5449" s="500"/>
      <c r="AN5449" s="500"/>
      <c r="AO5449" s="500"/>
      <c r="AP5449" s="500"/>
    </row>
    <row r="5450" spans="1:42" ht="16.5" customHeight="1">
      <c r="A5450" s="439"/>
      <c r="B5450" s="439"/>
      <c r="C5450" s="439"/>
      <c r="D5450" s="439"/>
      <c r="E5450" s="439"/>
      <c r="F5450" s="439"/>
      <c r="Z5450" s="500"/>
      <c r="AA5450" s="500"/>
      <c r="AB5450" s="500"/>
      <c r="AC5450" s="500"/>
      <c r="AD5450" s="500"/>
      <c r="AE5450" s="500"/>
      <c r="AF5450" s="500"/>
      <c r="AG5450" s="500"/>
      <c r="AH5450" s="500"/>
      <c r="AI5450" s="500"/>
      <c r="AJ5450" s="500"/>
      <c r="AK5450" s="500"/>
      <c r="AL5450" s="500"/>
      <c r="AM5450" s="500"/>
      <c r="AN5450" s="500"/>
      <c r="AO5450" s="500"/>
      <c r="AP5450" s="500"/>
    </row>
    <row r="5451" spans="1:42" ht="16.5" customHeight="1">
      <c r="A5451" s="439"/>
      <c r="B5451" s="439"/>
      <c r="C5451" s="439"/>
      <c r="D5451" s="439"/>
      <c r="E5451" s="439"/>
      <c r="F5451" s="439"/>
      <c r="Z5451" s="500"/>
      <c r="AA5451" s="500"/>
      <c r="AB5451" s="500"/>
      <c r="AC5451" s="500"/>
      <c r="AD5451" s="500"/>
      <c r="AE5451" s="500"/>
      <c r="AF5451" s="500"/>
      <c r="AG5451" s="500"/>
      <c r="AH5451" s="500"/>
      <c r="AI5451" s="500"/>
      <c r="AJ5451" s="500"/>
      <c r="AK5451" s="500"/>
      <c r="AL5451" s="500"/>
      <c r="AM5451" s="500"/>
      <c r="AN5451" s="500"/>
      <c r="AO5451" s="500"/>
      <c r="AP5451" s="500"/>
    </row>
    <row r="5452" spans="1:42" ht="16.5" customHeight="1">
      <c r="A5452" s="439"/>
      <c r="B5452" s="439"/>
      <c r="C5452" s="439"/>
      <c r="D5452" s="439"/>
      <c r="E5452" s="439"/>
      <c r="F5452" s="439"/>
      <c r="Z5452" s="500"/>
      <c r="AA5452" s="500"/>
      <c r="AB5452" s="500"/>
      <c r="AC5452" s="500"/>
      <c r="AD5452" s="500"/>
      <c r="AE5452" s="500"/>
      <c r="AF5452" s="500"/>
      <c r="AG5452" s="500"/>
      <c r="AH5452" s="500"/>
      <c r="AI5452" s="500"/>
      <c r="AJ5452" s="500"/>
      <c r="AK5452" s="500"/>
      <c r="AL5452" s="500"/>
      <c r="AM5452" s="500"/>
      <c r="AN5452" s="500"/>
      <c r="AO5452" s="500"/>
      <c r="AP5452" s="500"/>
    </row>
    <row r="5453" spans="1:42" ht="16.5" customHeight="1">
      <c r="A5453" s="497"/>
      <c r="B5453" s="497"/>
      <c r="C5453" s="497"/>
      <c r="D5453" s="497"/>
      <c r="E5453" s="497"/>
      <c r="F5453" s="497"/>
      <c r="Z5453" s="500"/>
      <c r="AA5453" s="500"/>
      <c r="AB5453" s="500"/>
      <c r="AC5453" s="500"/>
      <c r="AD5453" s="500"/>
      <c r="AE5453" s="500"/>
      <c r="AF5453" s="500"/>
      <c r="AG5453" s="500"/>
      <c r="AH5453" s="500"/>
      <c r="AI5453" s="500"/>
      <c r="AJ5453" s="500"/>
      <c r="AK5453" s="500"/>
      <c r="AL5453" s="500"/>
      <c r="AM5453" s="500"/>
      <c r="AN5453" s="500"/>
      <c r="AO5453" s="500"/>
      <c r="AP5453" s="500"/>
    </row>
    <row r="5454" spans="1:42" ht="16.5" customHeight="1">
      <c r="A5454" s="616" t="s">
        <v>3487</v>
      </c>
      <c r="B5454" s="605"/>
      <c r="C5454" s="446">
        <f>E5454+D5454+F5454</f>
        <v>63258</v>
      </c>
      <c r="D5454" s="453">
        <f>ROUNDDOWN(SUMIF(N5407:N5436,M5454,D5407:D5436),0)</f>
        <v>61776</v>
      </c>
      <c r="E5454" s="454">
        <f>ROUNDDOWN(SUMIF(N5407:N5436,M5454,E5407:E5436),0)</f>
        <v>0</v>
      </c>
      <c r="F5454" s="446">
        <f>ROUNDDOWN(SUMIF(N5407:N5436,M5454,F5407:F5436),0)</f>
        <v>1482</v>
      </c>
      <c r="M5454" s="501" t="s">
        <v>2354</v>
      </c>
      <c r="Z5454" s="500"/>
      <c r="AA5454" s="500"/>
      <c r="AB5454" s="500"/>
      <c r="AC5454" s="500"/>
      <c r="AD5454" s="500"/>
      <c r="AE5454" s="500"/>
      <c r="AF5454" s="500"/>
      <c r="AG5454" s="500"/>
      <c r="AH5454" s="500"/>
      <c r="AI5454" s="500"/>
      <c r="AJ5454" s="500"/>
      <c r="AK5454" s="500"/>
      <c r="AL5454" s="500"/>
      <c r="AM5454" s="500"/>
      <c r="AN5454" s="500"/>
      <c r="AO5454" s="500"/>
      <c r="AP5454" s="500"/>
    </row>
    <row r="5455" spans="1:42" ht="16.5" customHeight="1">
      <c r="A5455" s="502" t="s">
        <v>3371</v>
      </c>
      <c r="B5455" s="503" t="s">
        <v>5478</v>
      </c>
      <c r="C5455" s="615">
        <f>C5504</f>
        <v>19579</v>
      </c>
      <c r="D5455" s="615">
        <f>D5504</f>
        <v>19121</v>
      </c>
      <c r="E5455" s="615">
        <f>E5504</f>
        <v>0</v>
      </c>
      <c r="F5455" s="615">
        <f>F5504</f>
        <v>458</v>
      </c>
      <c r="G5455" s="486" t="str">
        <f>HYPERLINK("#G"&amp;ROW(G5486),"_x0005_`BDCOD|D01342_x0007_`POSS|"&amp;ROW(G5457)&amp;"_x0007_`POSE|"&amp;ROW(G5486)&amp;"_x0007_`")</f>
        <v>_x0005_`BDCOD|D01342_x0007_`POSS|5457_x0007_`POSE|5486_x0007_`</v>
      </c>
      <c r="Z5455" s="500"/>
      <c r="AA5455" s="500"/>
      <c r="AB5455" s="500"/>
      <c r="AC5455" s="500"/>
      <c r="AD5455" s="500"/>
      <c r="AE5455" s="500"/>
      <c r="AF5455" s="500"/>
      <c r="AG5455" s="500"/>
      <c r="AH5455" s="500"/>
      <c r="AI5455" s="500"/>
      <c r="AJ5455" s="500"/>
      <c r="AK5455" s="500"/>
      <c r="AL5455" s="500"/>
      <c r="AM5455" s="500"/>
      <c r="AN5455" s="500"/>
      <c r="AO5455" s="500"/>
      <c r="AP5455" s="500"/>
    </row>
    <row r="5456" spans="1:42" ht="16.5" customHeight="1">
      <c r="A5456" s="485"/>
      <c r="B5456" s="503" t="s">
        <v>5635</v>
      </c>
      <c r="C5456" s="593"/>
      <c r="D5456" s="593"/>
      <c r="E5456" s="593"/>
      <c r="F5456" s="593"/>
      <c r="M5456" s="501" t="s">
        <v>5478</v>
      </c>
      <c r="Z5456" s="500"/>
      <c r="AA5456" s="500"/>
      <c r="AB5456" s="500"/>
      <c r="AC5456" s="500"/>
      <c r="AD5456" s="500"/>
      <c r="AE5456" s="500"/>
      <c r="AF5456" s="500"/>
      <c r="AG5456" s="500"/>
      <c r="AH5456" s="500"/>
      <c r="AI5456" s="500"/>
      <c r="AJ5456" s="500"/>
      <c r="AK5456" s="500"/>
      <c r="AL5456" s="500"/>
      <c r="AM5456" s="500"/>
      <c r="AN5456" s="500"/>
      <c r="AO5456" s="500"/>
      <c r="AP5456" s="500"/>
    </row>
    <row r="5457" spans="1:42" ht="16.5" customHeight="1">
      <c r="A5457" s="439"/>
      <c r="B5457" s="439"/>
      <c r="C5457" s="504"/>
      <c r="D5457" s="504"/>
      <c r="E5457" s="504"/>
      <c r="F5457" s="504"/>
      <c r="G5457" s="451" t="s">
        <v>3406</v>
      </c>
      <c r="Z5457" s="500"/>
      <c r="AA5457" s="500"/>
      <c r="AB5457" s="500"/>
      <c r="AC5457" s="500"/>
      <c r="AD5457" s="500"/>
      <c r="AE5457" s="500"/>
      <c r="AF5457" s="500"/>
      <c r="AG5457" s="500"/>
      <c r="AH5457" s="500"/>
      <c r="AI5457" s="500"/>
      <c r="AJ5457" s="500"/>
      <c r="AK5457" s="500"/>
      <c r="AL5457" s="500"/>
      <c r="AM5457" s="500"/>
      <c r="AN5457" s="500"/>
      <c r="AO5457" s="500"/>
      <c r="AP5457" s="500"/>
    </row>
    <row r="5458" spans="1:42" ht="16.5" customHeight="1">
      <c r="A5458" s="434"/>
      <c r="B5458" s="437" t="s">
        <v>3968</v>
      </c>
      <c r="C5458" s="439"/>
      <c r="D5458" s="439"/>
      <c r="E5458" s="439"/>
      <c r="F5458" s="439"/>
      <c r="G5458" s="451" t="s">
        <v>3969</v>
      </c>
      <c r="Z5458" s="500"/>
      <c r="AA5458" s="500"/>
      <c r="AB5458" s="500"/>
      <c r="AC5458" s="500"/>
      <c r="AD5458" s="500"/>
      <c r="AE5458" s="500"/>
      <c r="AF5458" s="500"/>
      <c r="AG5458" s="500"/>
      <c r="AH5458" s="500"/>
      <c r="AI5458" s="500"/>
      <c r="AJ5458" s="500"/>
      <c r="AK5458" s="500"/>
      <c r="AL5458" s="500"/>
      <c r="AM5458" s="500"/>
      <c r="AN5458" s="500"/>
      <c r="AO5458" s="500"/>
      <c r="AP5458" s="500"/>
    </row>
    <row r="5459" spans="1:42" ht="16.5" customHeight="1">
      <c r="A5459" s="439"/>
      <c r="B5459" s="439"/>
      <c r="C5459" s="439"/>
      <c r="D5459" s="439"/>
      <c r="E5459" s="439"/>
      <c r="F5459" s="439"/>
      <c r="G5459" s="451" t="s">
        <v>3406</v>
      </c>
      <c r="Z5459" s="500"/>
      <c r="AA5459" s="500"/>
      <c r="AB5459" s="500"/>
      <c r="AC5459" s="500"/>
      <c r="AD5459" s="500"/>
      <c r="AE5459" s="500"/>
      <c r="AF5459" s="500"/>
      <c r="AG5459" s="500"/>
      <c r="AH5459" s="500"/>
      <c r="AI5459" s="500"/>
      <c r="AJ5459" s="500"/>
      <c r="AK5459" s="500"/>
      <c r="AL5459" s="500"/>
      <c r="AM5459" s="500"/>
      <c r="AN5459" s="500"/>
      <c r="AO5459" s="500"/>
      <c r="AP5459" s="500"/>
    </row>
    <row r="5460" spans="1:42" ht="16.5" customHeight="1">
      <c r="A5460" s="434"/>
      <c r="B5460" s="437" t="s">
        <v>3907</v>
      </c>
      <c r="C5460" s="439"/>
      <c r="D5460" s="439"/>
      <c r="E5460" s="439"/>
      <c r="F5460" s="439"/>
      <c r="G5460" s="451" t="s">
        <v>3908</v>
      </c>
      <c r="Z5460" s="500"/>
      <c r="AA5460" s="500"/>
      <c r="AB5460" s="500"/>
      <c r="AC5460" s="500"/>
      <c r="AD5460" s="500"/>
      <c r="AE5460" s="500"/>
      <c r="AF5460" s="500"/>
      <c r="AG5460" s="500"/>
      <c r="AH5460" s="500"/>
      <c r="AI5460" s="500"/>
      <c r="AJ5460" s="500"/>
      <c r="AK5460" s="500"/>
      <c r="AL5460" s="500"/>
      <c r="AM5460" s="500"/>
      <c r="AN5460" s="500"/>
      <c r="AO5460" s="500"/>
      <c r="AP5460" s="500"/>
    </row>
    <row r="5461" spans="1:42" ht="16.5" customHeight="1">
      <c r="A5461" s="439"/>
      <c r="B5461" s="439"/>
      <c r="C5461" s="439"/>
      <c r="D5461" s="439"/>
      <c r="E5461" s="439"/>
      <c r="F5461" s="439"/>
      <c r="G5461" s="451" t="s">
        <v>3406</v>
      </c>
      <c r="Z5461" s="500"/>
      <c r="AA5461" s="500"/>
      <c r="AB5461" s="500"/>
      <c r="AC5461" s="500"/>
      <c r="AD5461" s="500"/>
      <c r="AE5461" s="500"/>
      <c r="AF5461" s="500"/>
      <c r="AG5461" s="500"/>
      <c r="AH5461" s="500"/>
      <c r="AI5461" s="500"/>
      <c r="AJ5461" s="500"/>
      <c r="AK5461" s="500"/>
      <c r="AL5461" s="500"/>
      <c r="AM5461" s="500"/>
      <c r="AN5461" s="500"/>
      <c r="AO5461" s="500"/>
      <c r="AP5461" s="500"/>
    </row>
    <row r="5462" spans="1:42" ht="16.5" customHeight="1">
      <c r="A5462" s="434"/>
      <c r="B5462" s="437" t="s">
        <v>3955</v>
      </c>
      <c r="C5462" s="439"/>
      <c r="D5462" s="439"/>
      <c r="E5462" s="439"/>
      <c r="F5462" s="439"/>
      <c r="G5462" s="451" t="s">
        <v>3956</v>
      </c>
      <c r="Z5462" s="500"/>
      <c r="AA5462" s="500"/>
      <c r="AB5462" s="500"/>
      <c r="AC5462" s="500"/>
      <c r="AD5462" s="500"/>
      <c r="AE5462" s="500"/>
      <c r="AF5462" s="500"/>
      <c r="AG5462" s="500"/>
      <c r="AH5462" s="500"/>
      <c r="AI5462" s="500"/>
      <c r="AJ5462" s="500"/>
      <c r="AK5462" s="500"/>
      <c r="AL5462" s="500"/>
      <c r="AM5462" s="500"/>
      <c r="AN5462" s="500"/>
      <c r="AO5462" s="500"/>
      <c r="AP5462" s="500"/>
    </row>
    <row r="5463" spans="1:42" ht="16.5" customHeight="1">
      <c r="A5463" s="439"/>
      <c r="B5463" s="439"/>
      <c r="C5463" s="439"/>
      <c r="D5463" s="439"/>
      <c r="E5463" s="439"/>
      <c r="F5463" s="439"/>
      <c r="G5463" s="451" t="s">
        <v>3406</v>
      </c>
      <c r="Z5463" s="500"/>
      <c r="AA5463" s="500"/>
      <c r="AB5463" s="500"/>
      <c r="AC5463" s="500"/>
      <c r="AD5463" s="500"/>
      <c r="AE5463" s="500"/>
      <c r="AF5463" s="500"/>
      <c r="AG5463" s="500"/>
      <c r="AH5463" s="500"/>
      <c r="AI5463" s="500"/>
      <c r="AJ5463" s="500"/>
      <c r="AK5463" s="500"/>
      <c r="AL5463" s="500"/>
      <c r="AM5463" s="500"/>
      <c r="AN5463" s="500"/>
      <c r="AO5463" s="500"/>
      <c r="AP5463" s="500"/>
    </row>
    <row r="5464" spans="1:42" ht="16.5" customHeight="1">
      <c r="A5464" s="434"/>
      <c r="B5464" s="437" t="str">
        <f>" 일당 작업량 :  Q1 = "&amp;Z5464&amp;" 주 "</f>
        <v xml:space="preserve"> 일당 작업량 :  Q1 = 42 주 </v>
      </c>
      <c r="C5464" s="439"/>
      <c r="D5464" s="439"/>
      <c r="E5464" s="439"/>
      <c r="F5464" s="439"/>
      <c r="G5464" s="451" t="s">
        <v>3970</v>
      </c>
      <c r="Z5464" s="515">
        <v>42</v>
      </c>
      <c r="AA5464" s="501" t="s">
        <v>3418</v>
      </c>
      <c r="AB5464" s="512">
        <f>Z5464</f>
        <v>42</v>
      </c>
      <c r="AC5464" s="500"/>
      <c r="AD5464" s="500"/>
      <c r="AE5464" s="500"/>
      <c r="AF5464" s="500"/>
      <c r="AG5464" s="500"/>
      <c r="AH5464" s="500"/>
      <c r="AI5464" s="500"/>
      <c r="AJ5464" s="500"/>
      <c r="AK5464" s="500"/>
      <c r="AL5464" s="500"/>
      <c r="AM5464" s="500"/>
      <c r="AN5464" s="500"/>
      <c r="AO5464" s="500"/>
      <c r="AP5464" s="500"/>
    </row>
    <row r="5465" spans="1:42" ht="16.5" customHeight="1">
      <c r="A5465" s="439"/>
      <c r="B5465" s="439"/>
      <c r="C5465" s="439"/>
      <c r="D5465" s="439"/>
      <c r="E5465" s="439"/>
      <c r="F5465" s="439"/>
      <c r="G5465" s="451" t="s">
        <v>3406</v>
      </c>
      <c r="Z5465" s="500"/>
      <c r="AA5465" s="500"/>
      <c r="AB5465" s="500"/>
      <c r="AC5465" s="500"/>
      <c r="AD5465" s="500"/>
      <c r="AE5465" s="500"/>
      <c r="AF5465" s="500"/>
      <c r="AG5465" s="500"/>
      <c r="AH5465" s="500"/>
      <c r="AI5465" s="500"/>
      <c r="AJ5465" s="500"/>
      <c r="AK5465" s="500"/>
      <c r="AL5465" s="500"/>
      <c r="AM5465" s="500"/>
      <c r="AN5465" s="500"/>
      <c r="AO5465" s="500"/>
      <c r="AP5465" s="500"/>
    </row>
    <row r="5466" spans="1:42" ht="16.5" customHeight="1">
      <c r="A5466" s="434"/>
      <c r="B5466" s="437" t="s">
        <v>3958</v>
      </c>
      <c r="C5466" s="439"/>
      <c r="D5466" s="439"/>
      <c r="E5466" s="439"/>
      <c r="F5466" s="439"/>
      <c r="G5466" s="451" t="s">
        <v>3959</v>
      </c>
      <c r="Z5466" s="500"/>
      <c r="AA5466" s="500"/>
      <c r="AB5466" s="500"/>
      <c r="AC5466" s="500"/>
      <c r="AD5466" s="500"/>
      <c r="AE5466" s="500"/>
      <c r="AF5466" s="500"/>
      <c r="AG5466" s="500"/>
      <c r="AH5466" s="500"/>
      <c r="AI5466" s="500"/>
      <c r="AJ5466" s="500"/>
      <c r="AK5466" s="500"/>
      <c r="AL5466" s="500"/>
      <c r="AM5466" s="500"/>
      <c r="AN5466" s="500"/>
      <c r="AO5466" s="500"/>
      <c r="AP5466" s="500"/>
    </row>
    <row r="5467" spans="1:42" ht="16.5" customHeight="1">
      <c r="A5467" s="439"/>
      <c r="B5467" s="439"/>
      <c r="C5467" s="439"/>
      <c r="D5467" s="439"/>
      <c r="E5467" s="439"/>
      <c r="F5467" s="439"/>
      <c r="G5467" s="451" t="s">
        <v>3406</v>
      </c>
      <c r="Z5467" s="500"/>
      <c r="AA5467" s="500"/>
      <c r="AB5467" s="500"/>
      <c r="AC5467" s="500"/>
      <c r="AD5467" s="500"/>
      <c r="AE5467" s="500"/>
      <c r="AF5467" s="500"/>
      <c r="AG5467" s="500"/>
      <c r="AH5467" s="500"/>
      <c r="AI5467" s="500"/>
      <c r="AJ5467" s="500"/>
      <c r="AK5467" s="500"/>
      <c r="AL5467" s="500"/>
      <c r="AM5467" s="500"/>
      <c r="AN5467" s="500"/>
      <c r="AO5467" s="500"/>
      <c r="AP5467" s="500"/>
    </row>
    <row r="5468" spans="1:42" ht="16.5" customHeight="1">
      <c r="A5468" s="439"/>
      <c r="B5468" s="439"/>
      <c r="C5468" s="439"/>
      <c r="D5468" s="439"/>
      <c r="E5468" s="439"/>
      <c r="F5468" s="439"/>
      <c r="G5468" s="451" t="s">
        <v>3406</v>
      </c>
      <c r="Z5468" s="500"/>
      <c r="AA5468" s="500"/>
      <c r="AB5468" s="500"/>
      <c r="AC5468" s="500"/>
      <c r="AD5468" s="500"/>
      <c r="AE5468" s="500"/>
      <c r="AF5468" s="500"/>
      <c r="AG5468" s="500"/>
      <c r="AH5468" s="500"/>
      <c r="AI5468" s="500"/>
      <c r="AJ5468" s="500"/>
      <c r="AK5468" s="500"/>
      <c r="AL5468" s="500"/>
      <c r="AM5468" s="500"/>
      <c r="AN5468" s="500"/>
      <c r="AO5468" s="500"/>
      <c r="AP5468" s="500"/>
    </row>
    <row r="5469" spans="1:42" ht="16.5" customHeight="1">
      <c r="A5469" s="434"/>
      <c r="B5469" s="437" t="s">
        <v>3496</v>
      </c>
      <c r="C5469" s="439"/>
      <c r="D5469" s="439"/>
      <c r="E5469" s="439"/>
      <c r="F5469" s="439"/>
      <c r="G5469" s="451" t="s">
        <v>3497</v>
      </c>
      <c r="Z5469" s="500"/>
      <c r="AA5469" s="500"/>
      <c r="AB5469" s="500"/>
      <c r="AC5469" s="500"/>
      <c r="AD5469" s="500"/>
      <c r="AE5469" s="500"/>
      <c r="AF5469" s="500"/>
      <c r="AG5469" s="500"/>
      <c r="AH5469" s="500"/>
      <c r="AI5469" s="500"/>
      <c r="AJ5469" s="500"/>
      <c r="AK5469" s="500"/>
      <c r="AL5469" s="500"/>
      <c r="AM5469" s="500"/>
      <c r="AN5469" s="500"/>
      <c r="AO5469" s="500"/>
      <c r="AP5469" s="500"/>
    </row>
    <row r="5470" spans="1:42" ht="16.5" customHeight="1">
      <c r="A5470" s="439"/>
      <c r="B5470" s="439"/>
      <c r="C5470" s="439"/>
      <c r="D5470" s="439"/>
      <c r="E5470" s="439"/>
      <c r="F5470" s="439"/>
      <c r="G5470" s="451" t="s">
        <v>3406</v>
      </c>
      <c r="Z5470" s="500"/>
      <c r="AA5470" s="500"/>
      <c r="AB5470" s="500"/>
      <c r="AC5470" s="500"/>
      <c r="AD5470" s="500"/>
      <c r="AE5470" s="500"/>
      <c r="AF5470" s="500"/>
      <c r="AG5470" s="500"/>
      <c r="AH5470" s="500"/>
      <c r="AI5470" s="500"/>
      <c r="AJ5470" s="500"/>
      <c r="AK5470" s="500"/>
      <c r="AL5470" s="500"/>
      <c r="AM5470" s="500"/>
      <c r="AN5470" s="500"/>
      <c r="AO5470" s="500"/>
      <c r="AP5470" s="500"/>
    </row>
    <row r="5471" spans="1:42" ht="16.5" customHeight="1">
      <c r="A5471" s="434" t="s">
        <v>3498</v>
      </c>
      <c r="B5471" s="505" t="str">
        <f>" 조 경 공 : "&amp;TEXT(I5471,"#,##0"&amp;IF(I5471&lt;&gt;INT(I5471),".###",""))&amp;" * "&amp;AA5471&amp;" 인  / Q1 = "&amp;TEXT(C5471,"#,##0.0")&amp;" "</f>
        <v xml:space="preserve"> 조 경 공 : 235,204 * 2 인  / Q1 = 11,200.1 </v>
      </c>
      <c r="C5471" s="506">
        <f>E5471+D5471+F5471</f>
        <v>11200.1</v>
      </c>
      <c r="D5471" s="506">
        <f>IF(H5471=0,0,ROUNDDOWN(J5471*H5471,1))</f>
        <v>11200.1</v>
      </c>
      <c r="E5471" s="506">
        <f>IF(H5471=0,0,ROUNDDOWN(K5471*H5471,1))</f>
        <v>0</v>
      </c>
      <c r="F5471" s="506">
        <f>IF(H5471=0,0,ROUNDDOWN(L5471*H5471,1))</f>
        <v>0</v>
      </c>
      <c r="G5471" s="451" t="s">
        <v>3960</v>
      </c>
      <c r="H5471" s="507">
        <f>ROUNDUP(AE5471,14-LEN(ABS(INT(AE5471))))</f>
        <v>4.7619047619100005E-2</v>
      </c>
      <c r="I5471" s="508">
        <f>K5471+J5471+L5471</f>
        <v>235204</v>
      </c>
      <c r="J5471" s="509">
        <f>노무비목록표!E15</f>
        <v>235204</v>
      </c>
      <c r="M5471" s="501" t="s">
        <v>2359</v>
      </c>
      <c r="N5471" s="501" t="s">
        <v>3416</v>
      </c>
      <c r="O5471" s="501" t="s">
        <v>2355</v>
      </c>
      <c r="X5471" s="510" t="str">
        <f>노무비목록표!B15&amp;" / "&amp;노무비목록표!C15</f>
        <v xml:space="preserve">조경공 / </v>
      </c>
      <c r="Y5471" s="433" t="str">
        <f ca="1">HYPERLINK("#"&amp;노무비목록표!G2&amp;"!A"&amp;ROW(노무비목록표!A15),"L00184 →")</f>
        <v>L00184 →</v>
      </c>
      <c r="Z5471" s="501" t="s">
        <v>3500</v>
      </c>
      <c r="AA5471" s="515">
        <v>2</v>
      </c>
      <c r="AB5471" s="501" t="s">
        <v>3428</v>
      </c>
      <c r="AC5471" s="512">
        <f>AB5464</f>
        <v>42</v>
      </c>
      <c r="AD5471" s="501" t="s">
        <v>3418</v>
      </c>
      <c r="AE5471" s="512">
        <f>1*AA5471/AB5464</f>
        <v>4.7619047619047616E-2</v>
      </c>
      <c r="AF5471" s="500"/>
      <c r="AG5471" s="500"/>
      <c r="AH5471" s="500"/>
      <c r="AI5471" s="500"/>
      <c r="AJ5471" s="500"/>
      <c r="AK5471" s="500"/>
      <c r="AL5471" s="500"/>
      <c r="AM5471" s="500"/>
      <c r="AN5471" s="500"/>
      <c r="AO5471" s="500"/>
      <c r="AP5471" s="500"/>
    </row>
    <row r="5472" spans="1:42" ht="16.5" customHeight="1">
      <c r="A5472" s="439"/>
      <c r="B5472" s="439"/>
      <c r="C5472" s="439"/>
      <c r="D5472" s="439"/>
      <c r="E5472" s="439"/>
      <c r="F5472" s="439"/>
      <c r="G5472" s="451" t="s">
        <v>3406</v>
      </c>
      <c r="Z5472" s="500"/>
      <c r="AA5472" s="500"/>
      <c r="AB5472" s="500"/>
      <c r="AC5472" s="500"/>
      <c r="AD5472" s="500"/>
      <c r="AE5472" s="500"/>
      <c r="AF5472" s="500"/>
      <c r="AG5472" s="500"/>
      <c r="AH5472" s="500"/>
      <c r="AI5472" s="500"/>
      <c r="AJ5472" s="500"/>
      <c r="AK5472" s="500"/>
      <c r="AL5472" s="500"/>
      <c r="AM5472" s="500"/>
      <c r="AN5472" s="500"/>
      <c r="AO5472" s="500"/>
      <c r="AP5472" s="500"/>
    </row>
    <row r="5473" spans="1:42" ht="16.5" customHeight="1">
      <c r="A5473" s="434" t="s">
        <v>3414</v>
      </c>
      <c r="B5473" s="505" t="str">
        <f>" 보통인부 : "&amp;TEXT(I5473,"#,##0"&amp;IF(I5473&lt;&gt;INT(I5473),".###",""))&amp;" * "&amp;AA5473&amp;" 인  / Q1 = "&amp;TEXT(C5473,"#,##0.0")&amp;" "</f>
        <v xml:space="preserve"> 보통인부 : 172,068 * 1 인  / Q1 = 4,096.8 </v>
      </c>
      <c r="C5473" s="506">
        <f>E5473+D5473+F5473</f>
        <v>4096.8</v>
      </c>
      <c r="D5473" s="506">
        <f>IF(H5473=0,0,ROUNDDOWN(J5473*H5473,1))</f>
        <v>4096.8</v>
      </c>
      <c r="E5473" s="506">
        <f>IF(H5473=0,0,ROUNDDOWN(K5473*H5473,1))</f>
        <v>0</v>
      </c>
      <c r="F5473" s="506">
        <f>IF(H5473=0,0,ROUNDDOWN(L5473*H5473,1))</f>
        <v>0</v>
      </c>
      <c r="G5473" s="451" t="s">
        <v>3894</v>
      </c>
      <c r="H5473" s="507">
        <f>ROUNDUP(AE5473,14-LEN(ABS(INT(AE5473))))</f>
        <v>2.3809523809600001E-2</v>
      </c>
      <c r="I5473" s="508">
        <f>K5473+J5473+L5473</f>
        <v>172068</v>
      </c>
      <c r="J5473" s="509">
        <f>노무비목록표!E10</f>
        <v>172068</v>
      </c>
      <c r="M5473" s="501" t="s">
        <v>2363</v>
      </c>
      <c r="N5473" s="501" t="s">
        <v>3416</v>
      </c>
      <c r="O5473" s="501" t="s">
        <v>2355</v>
      </c>
      <c r="X5473" s="510" t="str">
        <f>노무비목록표!B10&amp;" / "&amp;노무비목록표!C10</f>
        <v xml:space="preserve">보통인부 / </v>
      </c>
      <c r="Y5473" s="433" t="str">
        <f ca="1">HYPERLINK("#"&amp;노무비목록표!G2&amp;"!A"&amp;ROW(노무비목록표!A10),"L00017 →")</f>
        <v>L00017 →</v>
      </c>
      <c r="Z5473" s="501" t="s">
        <v>3500</v>
      </c>
      <c r="AA5473" s="515">
        <v>1</v>
      </c>
      <c r="AB5473" s="501" t="s">
        <v>3428</v>
      </c>
      <c r="AC5473" s="512">
        <f>AB5464</f>
        <v>42</v>
      </c>
      <c r="AD5473" s="501" t="s">
        <v>3418</v>
      </c>
      <c r="AE5473" s="512">
        <f>1*AA5473/AB5464</f>
        <v>2.3809523809523808E-2</v>
      </c>
      <c r="AF5473" s="500"/>
      <c r="AG5473" s="500"/>
      <c r="AH5473" s="500"/>
      <c r="AI5473" s="500"/>
      <c r="AJ5473" s="500"/>
      <c r="AK5473" s="500"/>
      <c r="AL5473" s="500"/>
      <c r="AM5473" s="500"/>
      <c r="AN5473" s="500"/>
      <c r="AO5473" s="500"/>
      <c r="AP5473" s="500"/>
    </row>
    <row r="5474" spans="1:42" ht="16.5" customHeight="1">
      <c r="A5474" s="439"/>
      <c r="B5474" s="439"/>
      <c r="C5474" s="439"/>
      <c r="D5474" s="439"/>
      <c r="E5474" s="439"/>
      <c r="F5474" s="439"/>
      <c r="G5474" s="451" t="s">
        <v>3406</v>
      </c>
      <c r="Z5474" s="500"/>
      <c r="AA5474" s="500"/>
      <c r="AB5474" s="500"/>
      <c r="AC5474" s="500"/>
      <c r="AD5474" s="500"/>
      <c r="AE5474" s="500"/>
      <c r="AF5474" s="500"/>
      <c r="AG5474" s="500"/>
      <c r="AH5474" s="500"/>
      <c r="AI5474" s="500"/>
      <c r="AJ5474" s="500"/>
      <c r="AK5474" s="500"/>
      <c r="AL5474" s="500"/>
      <c r="AM5474" s="500"/>
      <c r="AN5474" s="500"/>
      <c r="AO5474" s="500"/>
      <c r="AP5474" s="500"/>
    </row>
    <row r="5475" spans="1:42" ht="16.5" customHeight="1">
      <c r="A5475" s="434"/>
      <c r="B5475" s="437" t="s">
        <v>3419</v>
      </c>
      <c r="C5475" s="513">
        <f>E5475+D5475+F5475</f>
        <v>15296.900000000001</v>
      </c>
      <c r="D5475" s="513">
        <f>SUMIF(N5457:N5474,M5475,D5457:D5474)</f>
        <v>15296.900000000001</v>
      </c>
      <c r="E5475" s="513">
        <f>SUMIF(N5457:N5474,M5475,E5457:E5474)</f>
        <v>0</v>
      </c>
      <c r="F5475" s="513">
        <f>SUMIF(N5457:N5474,M5475,F5457:F5474)</f>
        <v>0</v>
      </c>
      <c r="G5475" s="451" t="s">
        <v>3420</v>
      </c>
      <c r="M5475" s="501" t="s">
        <v>3416</v>
      </c>
      <c r="N5475" s="501" t="s">
        <v>3421</v>
      </c>
      <c r="Z5475" s="500"/>
      <c r="AA5475" s="500"/>
      <c r="AB5475" s="500"/>
      <c r="AC5475" s="500"/>
      <c r="AD5475" s="500"/>
      <c r="AE5475" s="500"/>
      <c r="AF5475" s="500"/>
      <c r="AG5475" s="500"/>
      <c r="AH5475" s="500"/>
      <c r="AI5475" s="500"/>
      <c r="AJ5475" s="500"/>
      <c r="AK5475" s="500"/>
      <c r="AL5475" s="500"/>
      <c r="AM5475" s="500"/>
      <c r="AN5475" s="500"/>
      <c r="AO5475" s="500"/>
      <c r="AP5475" s="500"/>
    </row>
    <row r="5476" spans="1:42" ht="16.5" customHeight="1">
      <c r="A5476" s="439"/>
      <c r="B5476" s="439"/>
      <c r="C5476" s="504"/>
      <c r="D5476" s="504"/>
      <c r="E5476" s="504"/>
      <c r="F5476" s="504"/>
      <c r="G5476" s="451" t="s">
        <v>3406</v>
      </c>
      <c r="Z5476" s="500"/>
      <c r="AA5476" s="500"/>
      <c r="AB5476" s="500"/>
      <c r="AC5476" s="500"/>
      <c r="AD5476" s="500"/>
      <c r="AE5476" s="500"/>
      <c r="AF5476" s="500"/>
      <c r="AG5476" s="500"/>
      <c r="AH5476" s="500"/>
      <c r="AI5476" s="500"/>
      <c r="AJ5476" s="500"/>
      <c r="AK5476" s="500"/>
      <c r="AL5476" s="500"/>
      <c r="AM5476" s="500"/>
      <c r="AN5476" s="500"/>
      <c r="AO5476" s="500"/>
      <c r="AP5476" s="500"/>
    </row>
    <row r="5477" spans="1:42" ht="16.5" customHeight="1">
      <c r="A5477" s="439"/>
      <c r="B5477" s="439"/>
      <c r="C5477" s="439"/>
      <c r="D5477" s="439"/>
      <c r="E5477" s="439"/>
      <c r="F5477" s="439"/>
      <c r="G5477" s="451" t="s">
        <v>3406</v>
      </c>
      <c r="Z5477" s="500"/>
      <c r="AA5477" s="500"/>
      <c r="AB5477" s="500"/>
      <c r="AC5477" s="500"/>
      <c r="AD5477" s="500"/>
      <c r="AE5477" s="500"/>
      <c r="AF5477" s="500"/>
      <c r="AG5477" s="500"/>
      <c r="AH5477" s="500"/>
      <c r="AI5477" s="500"/>
      <c r="AJ5477" s="500"/>
      <c r="AK5477" s="500"/>
      <c r="AL5477" s="500"/>
      <c r="AM5477" s="500"/>
      <c r="AN5477" s="500"/>
      <c r="AO5477" s="500"/>
      <c r="AP5477" s="500"/>
    </row>
    <row r="5478" spans="1:42" ht="16.5" customHeight="1">
      <c r="A5478" s="434"/>
      <c r="B5478" s="505" t="str">
        <f>" 2. 기계경비(인력품의 3%) : "&amp;TEXT(I5478,"#,##0.0")&amp;" * "&amp;AA5478&amp;" %  = "&amp;TEXT(C5478,"#,##0.0")&amp;""</f>
        <v xml:space="preserve"> 2. 기계경비(인력품의 3%) : 15,296.9 * 3 %  = 458.9</v>
      </c>
      <c r="C5478" s="506">
        <f>E5478+D5478+F5478</f>
        <v>458.9</v>
      </c>
      <c r="D5478" s="506">
        <f>IF(H5478=0,0,ROUNDDOWN(J5478*H5478/100,1))</f>
        <v>0</v>
      </c>
      <c r="E5478" s="506">
        <f>IF(H5478=0,0,ROUNDDOWN(K5478*H5478/100,1))</f>
        <v>0</v>
      </c>
      <c r="F5478" s="506">
        <f>IF(H5478=0,0,ROUNDDOWN(L5478*H5478/100,1))</f>
        <v>458.9</v>
      </c>
      <c r="G5478" s="451" t="s">
        <v>3923</v>
      </c>
      <c r="H5478" s="507">
        <f>ROUNDUP(AC5478,14-LEN(ABS(INT(AC5478))))</f>
        <v>3</v>
      </c>
      <c r="I5478" s="508">
        <f>K5478+J5478+L5478</f>
        <v>15296.900000000001</v>
      </c>
      <c r="J5478" s="456">
        <v>0</v>
      </c>
      <c r="K5478" s="456">
        <v>0</v>
      </c>
      <c r="L5478" s="509">
        <f>D5471+D5473</f>
        <v>15296.900000000001</v>
      </c>
      <c r="M5478" s="501" t="s">
        <v>3743</v>
      </c>
      <c r="N5478" s="501" t="s">
        <v>3416</v>
      </c>
      <c r="Z5478" s="501" t="s">
        <v>3500</v>
      </c>
      <c r="AA5478" s="515">
        <v>3</v>
      </c>
      <c r="AB5478" s="501" t="s">
        <v>3418</v>
      </c>
      <c r="AC5478" s="512">
        <f>1*AA5478</f>
        <v>3</v>
      </c>
      <c r="AD5478" s="500"/>
      <c r="AE5478" s="500"/>
      <c r="AF5478" s="500"/>
      <c r="AG5478" s="500"/>
      <c r="AH5478" s="500"/>
      <c r="AI5478" s="500"/>
      <c r="AJ5478" s="500"/>
      <c r="AK5478" s="500"/>
      <c r="AL5478" s="500"/>
      <c r="AM5478" s="500"/>
      <c r="AN5478" s="500"/>
      <c r="AO5478" s="500"/>
      <c r="AP5478" s="500"/>
    </row>
    <row r="5479" spans="1:42" ht="16.5" customHeight="1">
      <c r="A5479" s="439"/>
      <c r="B5479" s="439"/>
      <c r="C5479" s="439"/>
      <c r="D5479" s="439"/>
      <c r="E5479" s="439"/>
      <c r="F5479" s="439"/>
      <c r="G5479" s="451" t="s">
        <v>3406</v>
      </c>
      <c r="Z5479" s="500"/>
      <c r="AA5479" s="500"/>
      <c r="AB5479" s="500"/>
      <c r="AC5479" s="500"/>
      <c r="AD5479" s="500"/>
      <c r="AE5479" s="500"/>
      <c r="AF5479" s="500"/>
      <c r="AG5479" s="500"/>
      <c r="AH5479" s="500"/>
      <c r="AI5479" s="500"/>
      <c r="AJ5479" s="500"/>
      <c r="AK5479" s="500"/>
      <c r="AL5479" s="500"/>
      <c r="AM5479" s="500"/>
      <c r="AN5479" s="500"/>
      <c r="AO5479" s="500"/>
      <c r="AP5479" s="500"/>
    </row>
    <row r="5480" spans="1:42" ht="16.5" customHeight="1">
      <c r="A5480" s="434"/>
      <c r="B5480" s="437" t="s">
        <v>3419</v>
      </c>
      <c r="C5480" s="513">
        <f>E5480+D5480+F5480</f>
        <v>458.9</v>
      </c>
      <c r="D5480" s="513">
        <f>SUMIF(N5476:N5479,M5480,D5476:D5479)</f>
        <v>0</v>
      </c>
      <c r="E5480" s="513">
        <f>SUMIF(N5476:N5479,M5480,E5476:E5479)</f>
        <v>0</v>
      </c>
      <c r="F5480" s="513">
        <f>SUMIF(N5476:N5479,M5480,F5476:F5479)</f>
        <v>458.9</v>
      </c>
      <c r="G5480" s="451" t="s">
        <v>3439</v>
      </c>
      <c r="M5480" s="501" t="s">
        <v>3416</v>
      </c>
      <c r="N5480" s="501" t="s">
        <v>3421</v>
      </c>
      <c r="Z5480" s="500"/>
      <c r="AA5480" s="500"/>
      <c r="AB5480" s="500"/>
      <c r="AC5480" s="500"/>
      <c r="AD5480" s="500"/>
      <c r="AE5480" s="500"/>
      <c r="AF5480" s="500"/>
      <c r="AG5480" s="500"/>
      <c r="AH5480" s="500"/>
      <c r="AI5480" s="500"/>
      <c r="AJ5480" s="500"/>
      <c r="AK5480" s="500"/>
      <c r="AL5480" s="500"/>
      <c r="AM5480" s="500"/>
      <c r="AN5480" s="500"/>
      <c r="AO5480" s="500"/>
      <c r="AP5480" s="500"/>
    </row>
    <row r="5481" spans="1:42" ht="16.5" customHeight="1">
      <c r="A5481" s="439"/>
      <c r="B5481" s="439"/>
      <c r="C5481" s="504"/>
      <c r="D5481" s="504"/>
      <c r="E5481" s="504"/>
      <c r="F5481" s="504"/>
      <c r="G5481" s="451" t="s">
        <v>3406</v>
      </c>
      <c r="Z5481" s="500"/>
      <c r="AA5481" s="500"/>
      <c r="AB5481" s="500"/>
      <c r="AC5481" s="500"/>
      <c r="AD5481" s="500"/>
      <c r="AE5481" s="500"/>
      <c r="AF5481" s="500"/>
      <c r="AG5481" s="500"/>
      <c r="AH5481" s="500"/>
      <c r="AI5481" s="500"/>
      <c r="AJ5481" s="500"/>
      <c r="AK5481" s="500"/>
      <c r="AL5481" s="500"/>
      <c r="AM5481" s="500"/>
      <c r="AN5481" s="500"/>
      <c r="AO5481" s="500"/>
      <c r="AP5481" s="500"/>
    </row>
    <row r="5482" spans="1:42" ht="16.5" customHeight="1">
      <c r="A5482" s="434"/>
      <c r="B5482" s="505" t="str">
        <f>"  산지할증 : "&amp;TEXT(I5482,"#,##0.0")&amp;" * "&amp;AA5482&amp;" %  = "&amp;TEXT(C5482,"#,##0.0")&amp;""</f>
        <v xml:space="preserve">  산지할증 : 15,296.9 * 25 %  = 3,824.2</v>
      </c>
      <c r="C5482" s="506">
        <f>E5482+D5482+F5482</f>
        <v>3824.2</v>
      </c>
      <c r="D5482" s="506">
        <f>IF(H5482=0,0,ROUNDDOWN(J5482*H5482/100,1))</f>
        <v>3824.2</v>
      </c>
      <c r="E5482" s="506">
        <f>IF(H5482=0,0,ROUNDDOWN(K5482*H5482/100,1))</f>
        <v>0</v>
      </c>
      <c r="F5482" s="506">
        <f>IF(H5482=0,0,ROUNDDOWN(L5482*H5482/100,1))</f>
        <v>0</v>
      </c>
      <c r="G5482" s="451" t="s">
        <v>5592</v>
      </c>
      <c r="H5482" s="507">
        <f>ROUNDUP(AC5482,14-LEN(ABS(INT(AC5482))))</f>
        <v>25</v>
      </c>
      <c r="I5482" s="508">
        <f>K5482+J5482+L5482</f>
        <v>15296.900000000001</v>
      </c>
      <c r="J5482" s="508">
        <f>D5475+D5480+SUMIF(N5481:N5481,N5482,D5481:D5481)</f>
        <v>15296.900000000001</v>
      </c>
      <c r="K5482" s="456">
        <v>0</v>
      </c>
      <c r="L5482" s="456">
        <v>0</v>
      </c>
      <c r="M5482" s="501" t="s">
        <v>4208</v>
      </c>
      <c r="N5482" s="501" t="s">
        <v>3416</v>
      </c>
      <c r="Z5482" s="501" t="s">
        <v>3500</v>
      </c>
      <c r="AA5482" s="515">
        <v>25</v>
      </c>
      <c r="AB5482" s="501" t="s">
        <v>3418</v>
      </c>
      <c r="AC5482" s="512">
        <f>1*AA5482</f>
        <v>25</v>
      </c>
      <c r="AD5482" s="500"/>
      <c r="AE5482" s="500"/>
      <c r="AF5482" s="500"/>
      <c r="AG5482" s="500"/>
      <c r="AH5482" s="500"/>
      <c r="AI5482" s="500"/>
      <c r="AJ5482" s="500"/>
      <c r="AK5482" s="500"/>
      <c r="AL5482" s="500"/>
      <c r="AM5482" s="500"/>
      <c r="AN5482" s="500"/>
      <c r="AO5482" s="500"/>
      <c r="AP5482" s="500"/>
    </row>
    <row r="5483" spans="1:42" ht="16.5" customHeight="1">
      <c r="A5483" s="439"/>
      <c r="B5483" s="439"/>
      <c r="C5483" s="439"/>
      <c r="D5483" s="439"/>
      <c r="E5483" s="439"/>
      <c r="F5483" s="439"/>
      <c r="G5483" s="451" t="s">
        <v>3406</v>
      </c>
      <c r="Z5483" s="500"/>
      <c r="AA5483" s="500"/>
      <c r="AB5483" s="500"/>
      <c r="AC5483" s="500"/>
      <c r="AD5483" s="500"/>
      <c r="AE5483" s="500"/>
      <c r="AF5483" s="500"/>
      <c r="AG5483" s="500"/>
      <c r="AH5483" s="500"/>
      <c r="AI5483" s="500"/>
      <c r="AJ5483" s="500"/>
      <c r="AK5483" s="500"/>
      <c r="AL5483" s="500"/>
      <c r="AM5483" s="500"/>
      <c r="AN5483" s="500"/>
      <c r="AO5483" s="500"/>
      <c r="AP5483" s="500"/>
    </row>
    <row r="5484" spans="1:42" ht="16.5" customHeight="1">
      <c r="A5484" s="434"/>
      <c r="B5484" s="437" t="s">
        <v>3419</v>
      </c>
      <c r="C5484" s="513">
        <f>E5484+D5484+F5484</f>
        <v>3824.2</v>
      </c>
      <c r="D5484" s="513">
        <f>SUMIF(N5481:N5483,M5484,D5481:D5483)</f>
        <v>3824.2</v>
      </c>
      <c r="E5484" s="513">
        <f>SUMIF(N5481:N5483,M5484,E5481:E5483)</f>
        <v>0</v>
      </c>
      <c r="F5484" s="513">
        <f>SUMIF(N5481:N5483,M5484,F5481:F5483)</f>
        <v>0</v>
      </c>
      <c r="G5484" s="451" t="s">
        <v>3439</v>
      </c>
      <c r="M5484" s="501" t="s">
        <v>3416</v>
      </c>
      <c r="N5484" s="501" t="s">
        <v>3421</v>
      </c>
      <c r="Z5484" s="500"/>
      <c r="AA5484" s="500"/>
      <c r="AB5484" s="500"/>
      <c r="AC5484" s="500"/>
      <c r="AD5484" s="500"/>
      <c r="AE5484" s="500"/>
      <c r="AF5484" s="500"/>
      <c r="AG5484" s="500"/>
      <c r="AH5484" s="500"/>
      <c r="AI5484" s="500"/>
      <c r="AJ5484" s="500"/>
      <c r="AK5484" s="500"/>
      <c r="AL5484" s="500"/>
      <c r="AM5484" s="500"/>
      <c r="AN5484" s="500"/>
      <c r="AO5484" s="500"/>
      <c r="AP5484" s="500"/>
    </row>
    <row r="5485" spans="1:42" ht="16.5" customHeight="1">
      <c r="A5485" s="439"/>
      <c r="B5485" s="439"/>
      <c r="C5485" s="504"/>
      <c r="D5485" s="504"/>
      <c r="E5485" s="504"/>
      <c r="F5485" s="504"/>
      <c r="G5485" s="451" t="s">
        <v>3406</v>
      </c>
      <c r="Z5485" s="500"/>
      <c r="AA5485" s="500"/>
      <c r="AB5485" s="500"/>
      <c r="AC5485" s="500"/>
      <c r="AD5485" s="500"/>
      <c r="AE5485" s="500"/>
      <c r="AF5485" s="500"/>
      <c r="AG5485" s="500"/>
      <c r="AH5485" s="500"/>
      <c r="AI5485" s="500"/>
      <c r="AJ5485" s="500"/>
      <c r="AK5485" s="500"/>
      <c r="AL5485" s="500"/>
      <c r="AM5485" s="500"/>
      <c r="AN5485" s="500"/>
      <c r="AO5485" s="500"/>
      <c r="AP5485" s="500"/>
    </row>
    <row r="5486" spans="1:42" ht="16.5" customHeight="1">
      <c r="A5486" s="434"/>
      <c r="B5486" s="437" t="s">
        <v>3440</v>
      </c>
      <c r="C5486" s="513">
        <f>E5486+D5486+F5486</f>
        <v>19580.000000000004</v>
      </c>
      <c r="D5486" s="513">
        <f>SUMIF(N5457:N5485,M5486,D5457:D5485)</f>
        <v>19121.100000000002</v>
      </c>
      <c r="E5486" s="513">
        <f>SUMIF(N5457:N5485,M5486,E5457:E5485)</f>
        <v>0</v>
      </c>
      <c r="F5486" s="513">
        <f>SUMIF(N5457:N5485,M5486,F5457:F5485)</f>
        <v>458.9</v>
      </c>
      <c r="G5486" s="451" t="s">
        <v>3441</v>
      </c>
      <c r="M5486" s="501" t="s">
        <v>3421</v>
      </c>
      <c r="N5486" s="501" t="s">
        <v>2354</v>
      </c>
      <c r="Z5486" s="500"/>
      <c r="AA5486" s="500"/>
      <c r="AB5486" s="500"/>
      <c r="AC5486" s="500"/>
      <c r="AD5486" s="500"/>
      <c r="AE5486" s="500"/>
      <c r="AF5486" s="500"/>
      <c r="AG5486" s="500"/>
      <c r="AH5486" s="500"/>
      <c r="AI5486" s="500"/>
      <c r="AJ5486" s="500"/>
      <c r="AK5486" s="500"/>
      <c r="AL5486" s="500"/>
      <c r="AM5486" s="500"/>
      <c r="AN5486" s="500"/>
      <c r="AO5486" s="500"/>
      <c r="AP5486" s="500"/>
    </row>
    <row r="5487" spans="1:42" ht="16.5" customHeight="1">
      <c r="A5487" s="439"/>
      <c r="B5487" s="439"/>
      <c r="C5487" s="504"/>
      <c r="D5487" s="504"/>
      <c r="E5487" s="504"/>
      <c r="F5487" s="504"/>
      <c r="Z5487" s="500"/>
      <c r="AA5487" s="500"/>
      <c r="AB5487" s="500"/>
      <c r="AC5487" s="500"/>
      <c r="AD5487" s="500"/>
      <c r="AE5487" s="500"/>
      <c r="AF5487" s="500"/>
      <c r="AG5487" s="500"/>
      <c r="AH5487" s="500"/>
      <c r="AI5487" s="500"/>
      <c r="AJ5487" s="500"/>
      <c r="AK5487" s="500"/>
      <c r="AL5487" s="500"/>
      <c r="AM5487" s="500"/>
      <c r="AN5487" s="500"/>
      <c r="AO5487" s="500"/>
      <c r="AP5487" s="500"/>
    </row>
    <row r="5488" spans="1:42" ht="16.5" customHeight="1">
      <c r="A5488" s="439"/>
      <c r="B5488" s="439"/>
      <c r="C5488" s="439"/>
      <c r="D5488" s="439"/>
      <c r="E5488" s="439"/>
      <c r="F5488" s="439"/>
      <c r="Z5488" s="500"/>
      <c r="AA5488" s="500"/>
      <c r="AB5488" s="500"/>
      <c r="AC5488" s="500"/>
      <c r="AD5488" s="500"/>
      <c r="AE5488" s="500"/>
      <c r="AF5488" s="500"/>
      <c r="AG5488" s="500"/>
      <c r="AH5488" s="500"/>
      <c r="AI5488" s="500"/>
      <c r="AJ5488" s="500"/>
      <c r="AK5488" s="500"/>
      <c r="AL5488" s="500"/>
      <c r="AM5488" s="500"/>
      <c r="AN5488" s="500"/>
      <c r="AO5488" s="500"/>
      <c r="AP5488" s="500"/>
    </row>
    <row r="5489" spans="1:42" ht="16.5" customHeight="1">
      <c r="A5489" s="439"/>
      <c r="B5489" s="439"/>
      <c r="C5489" s="439"/>
      <c r="D5489" s="439"/>
      <c r="E5489" s="439"/>
      <c r="F5489" s="439"/>
      <c r="Z5489" s="500"/>
      <c r="AA5489" s="500"/>
      <c r="AB5489" s="500"/>
      <c r="AC5489" s="500"/>
      <c r="AD5489" s="500"/>
      <c r="AE5489" s="500"/>
      <c r="AF5489" s="500"/>
      <c r="AG5489" s="500"/>
      <c r="AH5489" s="500"/>
      <c r="AI5489" s="500"/>
      <c r="AJ5489" s="500"/>
      <c r="AK5489" s="500"/>
      <c r="AL5489" s="500"/>
      <c r="AM5489" s="500"/>
      <c r="AN5489" s="500"/>
      <c r="AO5489" s="500"/>
      <c r="AP5489" s="500"/>
    </row>
    <row r="5490" spans="1:42" ht="16.5" customHeight="1">
      <c r="A5490" s="439"/>
      <c r="B5490" s="439"/>
      <c r="C5490" s="439"/>
      <c r="D5490" s="439"/>
      <c r="E5490" s="439"/>
      <c r="F5490" s="439"/>
      <c r="Z5490" s="500"/>
      <c r="AA5490" s="500"/>
      <c r="AB5490" s="500"/>
      <c r="AC5490" s="500"/>
      <c r="AD5490" s="500"/>
      <c r="AE5490" s="500"/>
      <c r="AF5490" s="500"/>
      <c r="AG5490" s="500"/>
      <c r="AH5490" s="500"/>
      <c r="AI5490" s="500"/>
      <c r="AJ5490" s="500"/>
      <c r="AK5490" s="500"/>
      <c r="AL5490" s="500"/>
      <c r="AM5490" s="500"/>
      <c r="AN5490" s="500"/>
      <c r="AO5490" s="500"/>
      <c r="AP5490" s="500"/>
    </row>
    <row r="5491" spans="1:42" ht="16.5" customHeight="1">
      <c r="A5491" s="439"/>
      <c r="B5491" s="439"/>
      <c r="C5491" s="439"/>
      <c r="D5491" s="439"/>
      <c r="E5491" s="439"/>
      <c r="F5491" s="439"/>
      <c r="Z5491" s="500"/>
      <c r="AA5491" s="500"/>
      <c r="AB5491" s="500"/>
      <c r="AC5491" s="500"/>
      <c r="AD5491" s="500"/>
      <c r="AE5491" s="500"/>
      <c r="AF5491" s="500"/>
      <c r="AG5491" s="500"/>
      <c r="AH5491" s="500"/>
      <c r="AI5491" s="500"/>
      <c r="AJ5491" s="500"/>
      <c r="AK5491" s="500"/>
      <c r="AL5491" s="500"/>
      <c r="AM5491" s="500"/>
      <c r="AN5491" s="500"/>
      <c r="AO5491" s="500"/>
      <c r="AP5491" s="500"/>
    </row>
    <row r="5492" spans="1:42" ht="16.5" customHeight="1">
      <c r="A5492" s="439"/>
      <c r="B5492" s="439"/>
      <c r="C5492" s="439"/>
      <c r="D5492" s="439"/>
      <c r="E5492" s="439"/>
      <c r="F5492" s="439"/>
      <c r="Z5492" s="500"/>
      <c r="AA5492" s="500"/>
      <c r="AB5492" s="500"/>
      <c r="AC5492" s="500"/>
      <c r="AD5492" s="500"/>
      <c r="AE5492" s="500"/>
      <c r="AF5492" s="500"/>
      <c r="AG5492" s="500"/>
      <c r="AH5492" s="500"/>
      <c r="AI5492" s="500"/>
      <c r="AJ5492" s="500"/>
      <c r="AK5492" s="500"/>
      <c r="AL5492" s="500"/>
      <c r="AM5492" s="500"/>
      <c r="AN5492" s="500"/>
      <c r="AO5492" s="500"/>
      <c r="AP5492" s="500"/>
    </row>
    <row r="5493" spans="1:42" ht="16.5" customHeight="1">
      <c r="A5493" s="439"/>
      <c r="B5493" s="439"/>
      <c r="C5493" s="439"/>
      <c r="D5493" s="439"/>
      <c r="E5493" s="439"/>
      <c r="F5493" s="439"/>
      <c r="Z5493" s="500"/>
      <c r="AA5493" s="500"/>
      <c r="AB5493" s="500"/>
      <c r="AC5493" s="500"/>
      <c r="AD5493" s="500"/>
      <c r="AE5493" s="500"/>
      <c r="AF5493" s="500"/>
      <c r="AG5493" s="500"/>
      <c r="AH5493" s="500"/>
      <c r="AI5493" s="500"/>
      <c r="AJ5493" s="500"/>
      <c r="AK5493" s="500"/>
      <c r="AL5493" s="500"/>
      <c r="AM5493" s="500"/>
      <c r="AN5493" s="500"/>
      <c r="AO5493" s="500"/>
      <c r="AP5493" s="500"/>
    </row>
    <row r="5494" spans="1:42" ht="16.5" customHeight="1">
      <c r="A5494" s="439"/>
      <c r="B5494" s="439"/>
      <c r="C5494" s="439"/>
      <c r="D5494" s="439"/>
      <c r="E5494" s="439"/>
      <c r="F5494" s="439"/>
      <c r="Z5494" s="500"/>
      <c r="AA5494" s="500"/>
      <c r="AB5494" s="500"/>
      <c r="AC5494" s="500"/>
      <c r="AD5494" s="500"/>
      <c r="AE5494" s="500"/>
      <c r="AF5494" s="500"/>
      <c r="AG5494" s="500"/>
      <c r="AH5494" s="500"/>
      <c r="AI5494" s="500"/>
      <c r="AJ5494" s="500"/>
      <c r="AK5494" s="500"/>
      <c r="AL5494" s="500"/>
      <c r="AM5494" s="500"/>
      <c r="AN5494" s="500"/>
      <c r="AO5494" s="500"/>
      <c r="AP5494" s="500"/>
    </row>
    <row r="5495" spans="1:42" ht="16.5" customHeight="1">
      <c r="A5495" s="439"/>
      <c r="B5495" s="439"/>
      <c r="C5495" s="439"/>
      <c r="D5495" s="439"/>
      <c r="E5495" s="439"/>
      <c r="F5495" s="439"/>
      <c r="Z5495" s="500"/>
      <c r="AA5495" s="500"/>
      <c r="AB5495" s="500"/>
      <c r="AC5495" s="500"/>
      <c r="AD5495" s="500"/>
      <c r="AE5495" s="500"/>
      <c r="AF5495" s="500"/>
      <c r="AG5495" s="500"/>
      <c r="AH5495" s="500"/>
      <c r="AI5495" s="500"/>
      <c r="AJ5495" s="500"/>
      <c r="AK5495" s="500"/>
      <c r="AL5495" s="500"/>
      <c r="AM5495" s="500"/>
      <c r="AN5495" s="500"/>
      <c r="AO5495" s="500"/>
      <c r="AP5495" s="500"/>
    </row>
    <row r="5496" spans="1:42" ht="16.5" customHeight="1">
      <c r="A5496" s="439"/>
      <c r="B5496" s="439"/>
      <c r="C5496" s="439"/>
      <c r="D5496" s="439"/>
      <c r="E5496" s="439"/>
      <c r="F5496" s="439"/>
      <c r="Z5496" s="500"/>
      <c r="AA5496" s="500"/>
      <c r="AB5496" s="500"/>
      <c r="AC5496" s="500"/>
      <c r="AD5496" s="500"/>
      <c r="AE5496" s="500"/>
      <c r="AF5496" s="500"/>
      <c r="AG5496" s="500"/>
      <c r="AH5496" s="500"/>
      <c r="AI5496" s="500"/>
      <c r="AJ5496" s="500"/>
      <c r="AK5496" s="500"/>
      <c r="AL5496" s="500"/>
      <c r="AM5496" s="500"/>
      <c r="AN5496" s="500"/>
      <c r="AO5496" s="500"/>
      <c r="AP5496" s="500"/>
    </row>
    <row r="5497" spans="1:42" ht="16.5" customHeight="1">
      <c r="A5497" s="439"/>
      <c r="B5497" s="439"/>
      <c r="C5497" s="439"/>
      <c r="D5497" s="439"/>
      <c r="E5497" s="439"/>
      <c r="F5497" s="439"/>
      <c r="Z5497" s="500"/>
      <c r="AA5497" s="500"/>
      <c r="AB5497" s="500"/>
      <c r="AC5497" s="500"/>
      <c r="AD5497" s="500"/>
      <c r="AE5497" s="500"/>
      <c r="AF5497" s="500"/>
      <c r="AG5497" s="500"/>
      <c r="AH5497" s="500"/>
      <c r="AI5497" s="500"/>
      <c r="AJ5497" s="500"/>
      <c r="AK5497" s="500"/>
      <c r="AL5497" s="500"/>
      <c r="AM5497" s="500"/>
      <c r="AN5497" s="500"/>
      <c r="AO5497" s="500"/>
      <c r="AP5497" s="500"/>
    </row>
    <row r="5498" spans="1:42" ht="16.5" customHeight="1">
      <c r="A5498" s="439"/>
      <c r="B5498" s="439"/>
      <c r="C5498" s="439"/>
      <c r="D5498" s="439"/>
      <c r="E5498" s="439"/>
      <c r="F5498" s="439"/>
      <c r="Z5498" s="500"/>
      <c r="AA5498" s="500"/>
      <c r="AB5498" s="500"/>
      <c r="AC5498" s="500"/>
      <c r="AD5498" s="500"/>
      <c r="AE5498" s="500"/>
      <c r="AF5498" s="500"/>
      <c r="AG5498" s="500"/>
      <c r="AH5498" s="500"/>
      <c r="AI5498" s="500"/>
      <c r="AJ5498" s="500"/>
      <c r="AK5498" s="500"/>
      <c r="AL5498" s="500"/>
      <c r="AM5498" s="500"/>
      <c r="AN5498" s="500"/>
      <c r="AO5498" s="500"/>
      <c r="AP5498" s="500"/>
    </row>
    <row r="5499" spans="1:42" ht="16.5" customHeight="1">
      <c r="A5499" s="439"/>
      <c r="B5499" s="439"/>
      <c r="C5499" s="439"/>
      <c r="D5499" s="439"/>
      <c r="E5499" s="439"/>
      <c r="F5499" s="439"/>
      <c r="Z5499" s="500"/>
      <c r="AA5499" s="500"/>
      <c r="AB5499" s="500"/>
      <c r="AC5499" s="500"/>
      <c r="AD5499" s="500"/>
      <c r="AE5499" s="500"/>
      <c r="AF5499" s="500"/>
      <c r="AG5499" s="500"/>
      <c r="AH5499" s="500"/>
      <c r="AI5499" s="500"/>
      <c r="AJ5499" s="500"/>
      <c r="AK5499" s="500"/>
      <c r="AL5499" s="500"/>
      <c r="AM5499" s="500"/>
      <c r="AN5499" s="500"/>
      <c r="AO5499" s="500"/>
      <c r="AP5499" s="500"/>
    </row>
    <row r="5500" spans="1:42" ht="16.5" customHeight="1">
      <c r="A5500" s="439"/>
      <c r="B5500" s="439"/>
      <c r="C5500" s="439"/>
      <c r="D5500" s="439"/>
      <c r="E5500" s="439"/>
      <c r="F5500" s="439"/>
      <c r="Z5500" s="500"/>
      <c r="AA5500" s="500"/>
      <c r="AB5500" s="500"/>
      <c r="AC5500" s="500"/>
      <c r="AD5500" s="500"/>
      <c r="AE5500" s="500"/>
      <c r="AF5500" s="500"/>
      <c r="AG5500" s="500"/>
      <c r="AH5500" s="500"/>
      <c r="AI5500" s="500"/>
      <c r="AJ5500" s="500"/>
      <c r="AK5500" s="500"/>
      <c r="AL5500" s="500"/>
      <c r="AM5500" s="500"/>
      <c r="AN5500" s="500"/>
      <c r="AO5500" s="500"/>
      <c r="AP5500" s="500"/>
    </row>
    <row r="5501" spans="1:42" ht="16.5" customHeight="1">
      <c r="A5501" s="439"/>
      <c r="B5501" s="439"/>
      <c r="C5501" s="439"/>
      <c r="D5501" s="439"/>
      <c r="E5501" s="439"/>
      <c r="F5501" s="439"/>
      <c r="Z5501" s="500"/>
      <c r="AA5501" s="500"/>
      <c r="AB5501" s="500"/>
      <c r="AC5501" s="500"/>
      <c r="AD5501" s="500"/>
      <c r="AE5501" s="500"/>
      <c r="AF5501" s="500"/>
      <c r="AG5501" s="500"/>
      <c r="AH5501" s="500"/>
      <c r="AI5501" s="500"/>
      <c r="AJ5501" s="500"/>
      <c r="AK5501" s="500"/>
      <c r="AL5501" s="500"/>
      <c r="AM5501" s="500"/>
      <c r="AN5501" s="500"/>
      <c r="AO5501" s="500"/>
      <c r="AP5501" s="500"/>
    </row>
    <row r="5502" spans="1:42" ht="16.5" customHeight="1">
      <c r="A5502" s="439"/>
      <c r="B5502" s="439"/>
      <c r="C5502" s="439"/>
      <c r="D5502" s="439"/>
      <c r="E5502" s="439"/>
      <c r="F5502" s="439"/>
      <c r="Z5502" s="500"/>
      <c r="AA5502" s="500"/>
      <c r="AB5502" s="500"/>
      <c r="AC5502" s="500"/>
      <c r="AD5502" s="500"/>
      <c r="AE5502" s="500"/>
      <c r="AF5502" s="500"/>
      <c r="AG5502" s="500"/>
      <c r="AH5502" s="500"/>
      <c r="AI5502" s="500"/>
      <c r="AJ5502" s="500"/>
      <c r="AK5502" s="500"/>
      <c r="AL5502" s="500"/>
      <c r="AM5502" s="500"/>
      <c r="AN5502" s="500"/>
      <c r="AO5502" s="500"/>
      <c r="AP5502" s="500"/>
    </row>
    <row r="5503" spans="1:42" ht="16.5" customHeight="1">
      <c r="A5503" s="497"/>
      <c r="B5503" s="497"/>
      <c r="C5503" s="497"/>
      <c r="D5503" s="497"/>
      <c r="E5503" s="497"/>
      <c r="F5503" s="497"/>
      <c r="Z5503" s="500"/>
      <c r="AA5503" s="500"/>
      <c r="AB5503" s="500"/>
      <c r="AC5503" s="500"/>
      <c r="AD5503" s="500"/>
      <c r="AE5503" s="500"/>
      <c r="AF5503" s="500"/>
      <c r="AG5503" s="500"/>
      <c r="AH5503" s="500"/>
      <c r="AI5503" s="500"/>
      <c r="AJ5503" s="500"/>
      <c r="AK5503" s="500"/>
      <c r="AL5503" s="500"/>
      <c r="AM5503" s="500"/>
      <c r="AN5503" s="500"/>
      <c r="AO5503" s="500"/>
      <c r="AP5503" s="500"/>
    </row>
    <row r="5504" spans="1:42" ht="16.5" customHeight="1">
      <c r="A5504" s="616" t="s">
        <v>3487</v>
      </c>
      <c r="B5504" s="605"/>
      <c r="C5504" s="446">
        <f>E5504+D5504+F5504</f>
        <v>19579</v>
      </c>
      <c r="D5504" s="453">
        <f>ROUNDDOWN(SUMIF(N5457:N5486,M5504,D5457:D5486),0)</f>
        <v>19121</v>
      </c>
      <c r="E5504" s="454">
        <f>ROUNDDOWN(SUMIF(N5457:N5486,M5504,E5457:E5486),0)</f>
        <v>0</v>
      </c>
      <c r="F5504" s="446">
        <f>ROUNDDOWN(SUMIF(N5457:N5486,M5504,F5457:F5486),0)</f>
        <v>458</v>
      </c>
      <c r="M5504" s="501" t="s">
        <v>2354</v>
      </c>
      <c r="Z5504" s="500"/>
      <c r="AA5504" s="500"/>
      <c r="AB5504" s="500"/>
      <c r="AC5504" s="500"/>
      <c r="AD5504" s="500"/>
      <c r="AE5504" s="500"/>
      <c r="AF5504" s="500"/>
      <c r="AG5504" s="500"/>
      <c r="AH5504" s="500"/>
      <c r="AI5504" s="500"/>
      <c r="AJ5504" s="500"/>
      <c r="AK5504" s="500"/>
      <c r="AL5504" s="500"/>
      <c r="AM5504" s="500"/>
      <c r="AN5504" s="500"/>
      <c r="AO5504" s="500"/>
      <c r="AP5504" s="500"/>
    </row>
    <row r="5505" spans="1:42" ht="16.5" customHeight="1">
      <c r="A5505" s="502" t="s">
        <v>3371</v>
      </c>
      <c r="B5505" s="503" t="s">
        <v>5481</v>
      </c>
      <c r="C5505" s="615">
        <f>C5554</f>
        <v>34265</v>
      </c>
      <c r="D5505" s="615">
        <f>D5554</f>
        <v>33462</v>
      </c>
      <c r="E5505" s="615">
        <f>E5554</f>
        <v>0</v>
      </c>
      <c r="F5505" s="615">
        <f>F5554</f>
        <v>803</v>
      </c>
      <c r="G5505" s="486" t="str">
        <f>HYPERLINK("#G"&amp;ROW(G5536),"_x0005_`BDCOD|D01343_x0007_`POSS|"&amp;ROW(G5507)&amp;"_x0007_`POSE|"&amp;ROW(G5536)&amp;"_x0007_`")</f>
        <v>_x0005_`BDCOD|D01343_x0007_`POSS|5507_x0007_`POSE|5536_x0007_`</v>
      </c>
      <c r="Z5505" s="500"/>
      <c r="AA5505" s="500"/>
      <c r="AB5505" s="500"/>
      <c r="AC5505" s="500"/>
      <c r="AD5505" s="500"/>
      <c r="AE5505" s="500"/>
      <c r="AF5505" s="500"/>
      <c r="AG5505" s="500"/>
      <c r="AH5505" s="500"/>
      <c r="AI5505" s="500"/>
      <c r="AJ5505" s="500"/>
      <c r="AK5505" s="500"/>
      <c r="AL5505" s="500"/>
      <c r="AM5505" s="500"/>
      <c r="AN5505" s="500"/>
      <c r="AO5505" s="500"/>
      <c r="AP5505" s="500"/>
    </row>
    <row r="5506" spans="1:42" ht="16.5" customHeight="1">
      <c r="A5506" s="485"/>
      <c r="B5506" s="503" t="s">
        <v>5636</v>
      </c>
      <c r="C5506" s="593"/>
      <c r="D5506" s="593"/>
      <c r="E5506" s="593"/>
      <c r="F5506" s="593"/>
      <c r="M5506" s="501" t="s">
        <v>5481</v>
      </c>
      <c r="Z5506" s="500"/>
      <c r="AA5506" s="500"/>
      <c r="AB5506" s="500"/>
      <c r="AC5506" s="500"/>
      <c r="AD5506" s="500"/>
      <c r="AE5506" s="500"/>
      <c r="AF5506" s="500"/>
      <c r="AG5506" s="500"/>
      <c r="AH5506" s="500"/>
      <c r="AI5506" s="500"/>
      <c r="AJ5506" s="500"/>
      <c r="AK5506" s="500"/>
      <c r="AL5506" s="500"/>
      <c r="AM5506" s="500"/>
      <c r="AN5506" s="500"/>
      <c r="AO5506" s="500"/>
      <c r="AP5506" s="500"/>
    </row>
    <row r="5507" spans="1:42" ht="16.5" customHeight="1">
      <c r="A5507" s="439"/>
      <c r="B5507" s="439"/>
      <c r="C5507" s="504"/>
      <c r="D5507" s="504"/>
      <c r="E5507" s="504"/>
      <c r="F5507" s="504"/>
      <c r="G5507" s="451" t="s">
        <v>3406</v>
      </c>
      <c r="Z5507" s="500"/>
      <c r="AA5507" s="500"/>
      <c r="AB5507" s="500"/>
      <c r="AC5507" s="500"/>
      <c r="AD5507" s="500"/>
      <c r="AE5507" s="500"/>
      <c r="AF5507" s="500"/>
      <c r="AG5507" s="500"/>
      <c r="AH5507" s="500"/>
      <c r="AI5507" s="500"/>
      <c r="AJ5507" s="500"/>
      <c r="AK5507" s="500"/>
      <c r="AL5507" s="500"/>
      <c r="AM5507" s="500"/>
      <c r="AN5507" s="500"/>
      <c r="AO5507" s="500"/>
      <c r="AP5507" s="500"/>
    </row>
    <row r="5508" spans="1:42" ht="16.5" customHeight="1">
      <c r="A5508" s="434"/>
      <c r="B5508" s="437" t="s">
        <v>3972</v>
      </c>
      <c r="C5508" s="439"/>
      <c r="D5508" s="439"/>
      <c r="E5508" s="439"/>
      <c r="F5508" s="439"/>
      <c r="G5508" s="451" t="s">
        <v>3973</v>
      </c>
      <c r="Z5508" s="500"/>
      <c r="AA5508" s="500"/>
      <c r="AB5508" s="500"/>
      <c r="AC5508" s="500"/>
      <c r="AD5508" s="500"/>
      <c r="AE5508" s="500"/>
      <c r="AF5508" s="500"/>
      <c r="AG5508" s="500"/>
      <c r="AH5508" s="500"/>
      <c r="AI5508" s="500"/>
      <c r="AJ5508" s="500"/>
      <c r="AK5508" s="500"/>
      <c r="AL5508" s="500"/>
      <c r="AM5508" s="500"/>
      <c r="AN5508" s="500"/>
      <c r="AO5508" s="500"/>
      <c r="AP5508" s="500"/>
    </row>
    <row r="5509" spans="1:42" ht="16.5" customHeight="1">
      <c r="A5509" s="439"/>
      <c r="B5509" s="439"/>
      <c r="C5509" s="439"/>
      <c r="D5509" s="439"/>
      <c r="E5509" s="439"/>
      <c r="F5509" s="439"/>
      <c r="G5509" s="451" t="s">
        <v>3406</v>
      </c>
      <c r="Z5509" s="500"/>
      <c r="AA5509" s="500"/>
      <c r="AB5509" s="500"/>
      <c r="AC5509" s="500"/>
      <c r="AD5509" s="500"/>
      <c r="AE5509" s="500"/>
      <c r="AF5509" s="500"/>
      <c r="AG5509" s="500"/>
      <c r="AH5509" s="500"/>
      <c r="AI5509" s="500"/>
      <c r="AJ5509" s="500"/>
      <c r="AK5509" s="500"/>
      <c r="AL5509" s="500"/>
      <c r="AM5509" s="500"/>
      <c r="AN5509" s="500"/>
      <c r="AO5509" s="500"/>
      <c r="AP5509" s="500"/>
    </row>
    <row r="5510" spans="1:42" ht="16.5" customHeight="1">
      <c r="A5510" s="434"/>
      <c r="B5510" s="437" t="s">
        <v>3907</v>
      </c>
      <c r="C5510" s="439"/>
      <c r="D5510" s="439"/>
      <c r="E5510" s="439"/>
      <c r="F5510" s="439"/>
      <c r="G5510" s="451" t="s">
        <v>3908</v>
      </c>
      <c r="Z5510" s="500"/>
      <c r="AA5510" s="500"/>
      <c r="AB5510" s="500"/>
      <c r="AC5510" s="500"/>
      <c r="AD5510" s="500"/>
      <c r="AE5510" s="500"/>
      <c r="AF5510" s="500"/>
      <c r="AG5510" s="500"/>
      <c r="AH5510" s="500"/>
      <c r="AI5510" s="500"/>
      <c r="AJ5510" s="500"/>
      <c r="AK5510" s="500"/>
      <c r="AL5510" s="500"/>
      <c r="AM5510" s="500"/>
      <c r="AN5510" s="500"/>
      <c r="AO5510" s="500"/>
      <c r="AP5510" s="500"/>
    </row>
    <row r="5511" spans="1:42" ht="16.5" customHeight="1">
      <c r="A5511" s="439"/>
      <c r="B5511" s="439"/>
      <c r="C5511" s="439"/>
      <c r="D5511" s="439"/>
      <c r="E5511" s="439"/>
      <c r="F5511" s="439"/>
      <c r="G5511" s="451" t="s">
        <v>3406</v>
      </c>
      <c r="Z5511" s="500"/>
      <c r="AA5511" s="500"/>
      <c r="AB5511" s="500"/>
      <c r="AC5511" s="500"/>
      <c r="AD5511" s="500"/>
      <c r="AE5511" s="500"/>
      <c r="AF5511" s="500"/>
      <c r="AG5511" s="500"/>
      <c r="AH5511" s="500"/>
      <c r="AI5511" s="500"/>
      <c r="AJ5511" s="500"/>
      <c r="AK5511" s="500"/>
      <c r="AL5511" s="500"/>
      <c r="AM5511" s="500"/>
      <c r="AN5511" s="500"/>
      <c r="AO5511" s="500"/>
      <c r="AP5511" s="500"/>
    </row>
    <row r="5512" spans="1:42" ht="16.5" customHeight="1">
      <c r="A5512" s="434"/>
      <c r="B5512" s="437" t="s">
        <v>3955</v>
      </c>
      <c r="C5512" s="439"/>
      <c r="D5512" s="439"/>
      <c r="E5512" s="439"/>
      <c r="F5512" s="439"/>
      <c r="G5512" s="451" t="s">
        <v>3956</v>
      </c>
      <c r="Z5512" s="500"/>
      <c r="AA5512" s="500"/>
      <c r="AB5512" s="500"/>
      <c r="AC5512" s="500"/>
      <c r="AD5512" s="500"/>
      <c r="AE5512" s="500"/>
      <c r="AF5512" s="500"/>
      <c r="AG5512" s="500"/>
      <c r="AH5512" s="500"/>
      <c r="AI5512" s="500"/>
      <c r="AJ5512" s="500"/>
      <c r="AK5512" s="500"/>
      <c r="AL5512" s="500"/>
      <c r="AM5512" s="500"/>
      <c r="AN5512" s="500"/>
      <c r="AO5512" s="500"/>
      <c r="AP5512" s="500"/>
    </row>
    <row r="5513" spans="1:42" ht="16.5" customHeight="1">
      <c r="A5513" s="439"/>
      <c r="B5513" s="439"/>
      <c r="C5513" s="439"/>
      <c r="D5513" s="439"/>
      <c r="E5513" s="439"/>
      <c r="F5513" s="439"/>
      <c r="G5513" s="451" t="s">
        <v>3406</v>
      </c>
      <c r="Z5513" s="500"/>
      <c r="AA5513" s="500"/>
      <c r="AB5513" s="500"/>
      <c r="AC5513" s="500"/>
      <c r="AD5513" s="500"/>
      <c r="AE5513" s="500"/>
      <c r="AF5513" s="500"/>
      <c r="AG5513" s="500"/>
      <c r="AH5513" s="500"/>
      <c r="AI5513" s="500"/>
      <c r="AJ5513" s="500"/>
      <c r="AK5513" s="500"/>
      <c r="AL5513" s="500"/>
      <c r="AM5513" s="500"/>
      <c r="AN5513" s="500"/>
      <c r="AO5513" s="500"/>
      <c r="AP5513" s="500"/>
    </row>
    <row r="5514" spans="1:42" ht="16.5" customHeight="1">
      <c r="A5514" s="434"/>
      <c r="B5514" s="437" t="str">
        <f>" 일당 작업량 :  Q1 = "&amp;Z5514&amp;" 주 "</f>
        <v xml:space="preserve"> 일당 작업량 :  Q1 = 24 주 </v>
      </c>
      <c r="C5514" s="439"/>
      <c r="D5514" s="439"/>
      <c r="E5514" s="439"/>
      <c r="F5514" s="439"/>
      <c r="G5514" s="451" t="s">
        <v>3974</v>
      </c>
      <c r="Z5514" s="515">
        <v>24</v>
      </c>
      <c r="AA5514" s="501" t="s">
        <v>3418</v>
      </c>
      <c r="AB5514" s="512">
        <f>Z5514</f>
        <v>24</v>
      </c>
      <c r="AC5514" s="500"/>
      <c r="AD5514" s="500"/>
      <c r="AE5514" s="500"/>
      <c r="AF5514" s="500"/>
      <c r="AG5514" s="500"/>
      <c r="AH5514" s="500"/>
      <c r="AI5514" s="500"/>
      <c r="AJ5514" s="500"/>
      <c r="AK5514" s="500"/>
      <c r="AL5514" s="500"/>
      <c r="AM5514" s="500"/>
      <c r="AN5514" s="500"/>
      <c r="AO5514" s="500"/>
      <c r="AP5514" s="500"/>
    </row>
    <row r="5515" spans="1:42" ht="16.5" customHeight="1">
      <c r="A5515" s="439"/>
      <c r="B5515" s="439"/>
      <c r="C5515" s="439"/>
      <c r="D5515" s="439"/>
      <c r="E5515" s="439"/>
      <c r="F5515" s="439"/>
      <c r="G5515" s="451" t="s">
        <v>3406</v>
      </c>
      <c r="Z5515" s="500"/>
      <c r="AA5515" s="500"/>
      <c r="AB5515" s="500"/>
      <c r="AC5515" s="500"/>
      <c r="AD5515" s="500"/>
      <c r="AE5515" s="500"/>
      <c r="AF5515" s="500"/>
      <c r="AG5515" s="500"/>
      <c r="AH5515" s="500"/>
      <c r="AI5515" s="500"/>
      <c r="AJ5515" s="500"/>
      <c r="AK5515" s="500"/>
      <c r="AL5515" s="500"/>
      <c r="AM5515" s="500"/>
      <c r="AN5515" s="500"/>
      <c r="AO5515" s="500"/>
      <c r="AP5515" s="500"/>
    </row>
    <row r="5516" spans="1:42" ht="16.5" customHeight="1">
      <c r="A5516" s="434"/>
      <c r="B5516" s="437" t="s">
        <v>3958</v>
      </c>
      <c r="C5516" s="439"/>
      <c r="D5516" s="439"/>
      <c r="E5516" s="439"/>
      <c r="F5516" s="439"/>
      <c r="G5516" s="451" t="s">
        <v>3959</v>
      </c>
      <c r="Z5516" s="500"/>
      <c r="AA5516" s="500"/>
      <c r="AB5516" s="500"/>
      <c r="AC5516" s="500"/>
      <c r="AD5516" s="500"/>
      <c r="AE5516" s="500"/>
      <c r="AF5516" s="500"/>
      <c r="AG5516" s="500"/>
      <c r="AH5516" s="500"/>
      <c r="AI5516" s="500"/>
      <c r="AJ5516" s="500"/>
      <c r="AK5516" s="500"/>
      <c r="AL5516" s="500"/>
      <c r="AM5516" s="500"/>
      <c r="AN5516" s="500"/>
      <c r="AO5516" s="500"/>
      <c r="AP5516" s="500"/>
    </row>
    <row r="5517" spans="1:42" ht="16.5" customHeight="1">
      <c r="A5517" s="439"/>
      <c r="B5517" s="439"/>
      <c r="C5517" s="439"/>
      <c r="D5517" s="439"/>
      <c r="E5517" s="439"/>
      <c r="F5517" s="439"/>
      <c r="G5517" s="451" t="s">
        <v>3406</v>
      </c>
      <c r="Z5517" s="500"/>
      <c r="AA5517" s="500"/>
      <c r="AB5517" s="500"/>
      <c r="AC5517" s="500"/>
      <c r="AD5517" s="500"/>
      <c r="AE5517" s="500"/>
      <c r="AF5517" s="500"/>
      <c r="AG5517" s="500"/>
      <c r="AH5517" s="500"/>
      <c r="AI5517" s="500"/>
      <c r="AJ5517" s="500"/>
      <c r="AK5517" s="500"/>
      <c r="AL5517" s="500"/>
      <c r="AM5517" s="500"/>
      <c r="AN5517" s="500"/>
      <c r="AO5517" s="500"/>
      <c r="AP5517" s="500"/>
    </row>
    <row r="5518" spans="1:42" ht="16.5" customHeight="1">
      <c r="A5518" s="439"/>
      <c r="B5518" s="439"/>
      <c r="C5518" s="439"/>
      <c r="D5518" s="439"/>
      <c r="E5518" s="439"/>
      <c r="F5518" s="439"/>
      <c r="G5518" s="451" t="s">
        <v>3406</v>
      </c>
      <c r="Z5518" s="500"/>
      <c r="AA5518" s="500"/>
      <c r="AB5518" s="500"/>
      <c r="AC5518" s="500"/>
      <c r="AD5518" s="500"/>
      <c r="AE5518" s="500"/>
      <c r="AF5518" s="500"/>
      <c r="AG5518" s="500"/>
      <c r="AH5518" s="500"/>
      <c r="AI5518" s="500"/>
      <c r="AJ5518" s="500"/>
      <c r="AK5518" s="500"/>
      <c r="AL5518" s="500"/>
      <c r="AM5518" s="500"/>
      <c r="AN5518" s="500"/>
      <c r="AO5518" s="500"/>
      <c r="AP5518" s="500"/>
    </row>
    <row r="5519" spans="1:42" ht="16.5" customHeight="1">
      <c r="A5519" s="434"/>
      <c r="B5519" s="437" t="s">
        <v>3496</v>
      </c>
      <c r="C5519" s="439"/>
      <c r="D5519" s="439"/>
      <c r="E5519" s="439"/>
      <c r="F5519" s="439"/>
      <c r="G5519" s="451" t="s">
        <v>3497</v>
      </c>
      <c r="Z5519" s="500"/>
      <c r="AA5519" s="500"/>
      <c r="AB5519" s="500"/>
      <c r="AC5519" s="500"/>
      <c r="AD5519" s="500"/>
      <c r="AE5519" s="500"/>
      <c r="AF5519" s="500"/>
      <c r="AG5519" s="500"/>
      <c r="AH5519" s="500"/>
      <c r="AI5519" s="500"/>
      <c r="AJ5519" s="500"/>
      <c r="AK5519" s="500"/>
      <c r="AL5519" s="500"/>
      <c r="AM5519" s="500"/>
      <c r="AN5519" s="500"/>
      <c r="AO5519" s="500"/>
      <c r="AP5519" s="500"/>
    </row>
    <row r="5520" spans="1:42" ht="16.5" customHeight="1">
      <c r="A5520" s="439"/>
      <c r="B5520" s="439"/>
      <c r="C5520" s="439"/>
      <c r="D5520" s="439"/>
      <c r="E5520" s="439"/>
      <c r="F5520" s="439"/>
      <c r="G5520" s="451" t="s">
        <v>3406</v>
      </c>
      <c r="Z5520" s="500"/>
      <c r="AA5520" s="500"/>
      <c r="AB5520" s="500"/>
      <c r="AC5520" s="500"/>
      <c r="AD5520" s="500"/>
      <c r="AE5520" s="500"/>
      <c r="AF5520" s="500"/>
      <c r="AG5520" s="500"/>
      <c r="AH5520" s="500"/>
      <c r="AI5520" s="500"/>
      <c r="AJ5520" s="500"/>
      <c r="AK5520" s="500"/>
      <c r="AL5520" s="500"/>
      <c r="AM5520" s="500"/>
      <c r="AN5520" s="500"/>
      <c r="AO5520" s="500"/>
      <c r="AP5520" s="500"/>
    </row>
    <row r="5521" spans="1:42" ht="16.5" customHeight="1">
      <c r="A5521" s="434" t="s">
        <v>3498</v>
      </c>
      <c r="B5521" s="505" t="str">
        <f>" 조 경 공 : "&amp;TEXT(I5521,"#,##0"&amp;IF(I5521&lt;&gt;INT(I5521),".###",""))&amp;" * "&amp;AA5521&amp;" 인  / Q1 = "&amp;TEXT(C5521,"#,##0.0")&amp;" "</f>
        <v xml:space="preserve"> 조 경 공 : 235,204 * 2 인  / Q1 = 19,600.3 </v>
      </c>
      <c r="C5521" s="506">
        <f>E5521+D5521+F5521</f>
        <v>19600.3</v>
      </c>
      <c r="D5521" s="506">
        <f>IF(H5521=0,0,ROUNDDOWN(J5521*H5521,1))</f>
        <v>19600.3</v>
      </c>
      <c r="E5521" s="506">
        <f>IF(H5521=0,0,ROUNDDOWN(K5521*H5521,1))</f>
        <v>0</v>
      </c>
      <c r="F5521" s="506">
        <f>IF(H5521=0,0,ROUNDDOWN(L5521*H5521,1))</f>
        <v>0</v>
      </c>
      <c r="G5521" s="451" t="s">
        <v>3960</v>
      </c>
      <c r="H5521" s="507">
        <f>ROUNDUP(AE5521,14-LEN(ABS(INT(AE5521))))</f>
        <v>8.3333333333399998E-2</v>
      </c>
      <c r="I5521" s="508">
        <f>K5521+J5521+L5521</f>
        <v>235204</v>
      </c>
      <c r="J5521" s="509">
        <f>노무비목록표!E15</f>
        <v>235204</v>
      </c>
      <c r="M5521" s="501" t="s">
        <v>2359</v>
      </c>
      <c r="N5521" s="501" t="s">
        <v>3416</v>
      </c>
      <c r="O5521" s="501" t="s">
        <v>2355</v>
      </c>
      <c r="X5521" s="510" t="str">
        <f>노무비목록표!B15&amp;" / "&amp;노무비목록표!C15</f>
        <v xml:space="preserve">조경공 / </v>
      </c>
      <c r="Y5521" s="433" t="str">
        <f ca="1">HYPERLINK("#"&amp;노무비목록표!G2&amp;"!A"&amp;ROW(노무비목록표!A15),"L00184 →")</f>
        <v>L00184 →</v>
      </c>
      <c r="Z5521" s="501" t="s">
        <v>3500</v>
      </c>
      <c r="AA5521" s="515">
        <v>2</v>
      </c>
      <c r="AB5521" s="501" t="s">
        <v>3428</v>
      </c>
      <c r="AC5521" s="512">
        <f>AB5514</f>
        <v>24</v>
      </c>
      <c r="AD5521" s="501" t="s">
        <v>3418</v>
      </c>
      <c r="AE5521" s="512">
        <f>1*AA5521/AB5514</f>
        <v>8.3333333333333329E-2</v>
      </c>
      <c r="AF5521" s="500"/>
      <c r="AG5521" s="500"/>
      <c r="AH5521" s="500"/>
      <c r="AI5521" s="500"/>
      <c r="AJ5521" s="500"/>
      <c r="AK5521" s="500"/>
      <c r="AL5521" s="500"/>
      <c r="AM5521" s="500"/>
      <c r="AN5521" s="500"/>
      <c r="AO5521" s="500"/>
      <c r="AP5521" s="500"/>
    </row>
    <row r="5522" spans="1:42" ht="16.5" customHeight="1">
      <c r="A5522" s="439"/>
      <c r="B5522" s="439"/>
      <c r="C5522" s="439"/>
      <c r="D5522" s="439"/>
      <c r="E5522" s="439"/>
      <c r="F5522" s="439"/>
      <c r="G5522" s="451" t="s">
        <v>3406</v>
      </c>
      <c r="Z5522" s="500"/>
      <c r="AA5522" s="500"/>
      <c r="AB5522" s="500"/>
      <c r="AC5522" s="500"/>
      <c r="AD5522" s="500"/>
      <c r="AE5522" s="500"/>
      <c r="AF5522" s="500"/>
      <c r="AG5522" s="500"/>
      <c r="AH5522" s="500"/>
      <c r="AI5522" s="500"/>
      <c r="AJ5522" s="500"/>
      <c r="AK5522" s="500"/>
      <c r="AL5522" s="500"/>
      <c r="AM5522" s="500"/>
      <c r="AN5522" s="500"/>
      <c r="AO5522" s="500"/>
      <c r="AP5522" s="500"/>
    </row>
    <row r="5523" spans="1:42" ht="16.5" customHeight="1">
      <c r="A5523" s="434" t="s">
        <v>3414</v>
      </c>
      <c r="B5523" s="505" t="str">
        <f>" 보통인부 : "&amp;TEXT(I5523,"#,##0"&amp;IF(I5523&lt;&gt;INT(I5523),".###",""))&amp;" * "&amp;AA5523&amp;" 인  / Q1 = "&amp;TEXT(C5523,"#,##0.0")&amp;" "</f>
        <v xml:space="preserve"> 보통인부 : 172,068 * 1 인  / Q1 = 7,169.5 </v>
      </c>
      <c r="C5523" s="506">
        <f>E5523+D5523+F5523</f>
        <v>7169.5</v>
      </c>
      <c r="D5523" s="506">
        <f>IF(H5523=0,0,ROUNDDOWN(J5523*H5523,1))</f>
        <v>7169.5</v>
      </c>
      <c r="E5523" s="506">
        <f>IF(H5523=0,0,ROUNDDOWN(K5523*H5523,1))</f>
        <v>0</v>
      </c>
      <c r="F5523" s="506">
        <f>IF(H5523=0,0,ROUNDDOWN(L5523*H5523,1))</f>
        <v>0</v>
      </c>
      <c r="G5523" s="451" t="s">
        <v>3894</v>
      </c>
      <c r="H5523" s="507">
        <f>ROUNDUP(AE5523,14-LEN(ABS(INT(AE5523))))</f>
        <v>4.1666666666700006E-2</v>
      </c>
      <c r="I5523" s="508">
        <f>K5523+J5523+L5523</f>
        <v>172068</v>
      </c>
      <c r="J5523" s="509">
        <f>노무비목록표!E10</f>
        <v>172068</v>
      </c>
      <c r="M5523" s="501" t="s">
        <v>2363</v>
      </c>
      <c r="N5523" s="501" t="s">
        <v>3416</v>
      </c>
      <c r="O5523" s="501" t="s">
        <v>2355</v>
      </c>
      <c r="X5523" s="510" t="str">
        <f>노무비목록표!B10&amp;" / "&amp;노무비목록표!C10</f>
        <v xml:space="preserve">보통인부 / </v>
      </c>
      <c r="Y5523" s="433" t="str">
        <f ca="1">HYPERLINK("#"&amp;노무비목록표!G2&amp;"!A"&amp;ROW(노무비목록표!A10),"L00017 →")</f>
        <v>L00017 →</v>
      </c>
      <c r="Z5523" s="501" t="s">
        <v>3500</v>
      </c>
      <c r="AA5523" s="515">
        <v>1</v>
      </c>
      <c r="AB5523" s="501" t="s">
        <v>3428</v>
      </c>
      <c r="AC5523" s="512">
        <f>AB5514</f>
        <v>24</v>
      </c>
      <c r="AD5523" s="501" t="s">
        <v>3418</v>
      </c>
      <c r="AE5523" s="512">
        <f>1*AA5523/AB5514</f>
        <v>4.1666666666666664E-2</v>
      </c>
      <c r="AF5523" s="500"/>
      <c r="AG5523" s="500"/>
      <c r="AH5523" s="500"/>
      <c r="AI5523" s="500"/>
      <c r="AJ5523" s="500"/>
      <c r="AK5523" s="500"/>
      <c r="AL5523" s="500"/>
      <c r="AM5523" s="500"/>
      <c r="AN5523" s="500"/>
      <c r="AO5523" s="500"/>
      <c r="AP5523" s="500"/>
    </row>
    <row r="5524" spans="1:42" ht="16.5" customHeight="1">
      <c r="A5524" s="439"/>
      <c r="B5524" s="439"/>
      <c r="C5524" s="439"/>
      <c r="D5524" s="439"/>
      <c r="E5524" s="439"/>
      <c r="F5524" s="439"/>
      <c r="G5524" s="451" t="s">
        <v>3406</v>
      </c>
      <c r="Z5524" s="500"/>
      <c r="AA5524" s="500"/>
      <c r="AB5524" s="500"/>
      <c r="AC5524" s="500"/>
      <c r="AD5524" s="500"/>
      <c r="AE5524" s="500"/>
      <c r="AF5524" s="500"/>
      <c r="AG5524" s="500"/>
      <c r="AH5524" s="500"/>
      <c r="AI5524" s="500"/>
      <c r="AJ5524" s="500"/>
      <c r="AK5524" s="500"/>
      <c r="AL5524" s="500"/>
      <c r="AM5524" s="500"/>
      <c r="AN5524" s="500"/>
      <c r="AO5524" s="500"/>
      <c r="AP5524" s="500"/>
    </row>
    <row r="5525" spans="1:42" ht="16.5" customHeight="1">
      <c r="A5525" s="434"/>
      <c r="B5525" s="437" t="s">
        <v>3419</v>
      </c>
      <c r="C5525" s="513">
        <f>E5525+D5525+F5525</f>
        <v>26769.8</v>
      </c>
      <c r="D5525" s="513">
        <f>SUMIF(N5507:N5524,M5525,D5507:D5524)</f>
        <v>26769.8</v>
      </c>
      <c r="E5525" s="513">
        <f>SUMIF(N5507:N5524,M5525,E5507:E5524)</f>
        <v>0</v>
      </c>
      <c r="F5525" s="513">
        <f>SUMIF(N5507:N5524,M5525,F5507:F5524)</f>
        <v>0</v>
      </c>
      <c r="G5525" s="451" t="s">
        <v>3420</v>
      </c>
      <c r="M5525" s="501" t="s">
        <v>3416</v>
      </c>
      <c r="N5525" s="501" t="s">
        <v>3421</v>
      </c>
      <c r="Z5525" s="500"/>
      <c r="AA5525" s="500"/>
      <c r="AB5525" s="500"/>
      <c r="AC5525" s="500"/>
      <c r="AD5525" s="500"/>
      <c r="AE5525" s="500"/>
      <c r="AF5525" s="500"/>
      <c r="AG5525" s="500"/>
      <c r="AH5525" s="500"/>
      <c r="AI5525" s="500"/>
      <c r="AJ5525" s="500"/>
      <c r="AK5525" s="500"/>
      <c r="AL5525" s="500"/>
      <c r="AM5525" s="500"/>
      <c r="AN5525" s="500"/>
      <c r="AO5525" s="500"/>
      <c r="AP5525" s="500"/>
    </row>
    <row r="5526" spans="1:42" ht="16.5" customHeight="1">
      <c r="A5526" s="439"/>
      <c r="B5526" s="439"/>
      <c r="C5526" s="504"/>
      <c r="D5526" s="504"/>
      <c r="E5526" s="504"/>
      <c r="F5526" s="504"/>
      <c r="G5526" s="451" t="s">
        <v>3406</v>
      </c>
      <c r="Z5526" s="500"/>
      <c r="AA5526" s="500"/>
      <c r="AB5526" s="500"/>
      <c r="AC5526" s="500"/>
      <c r="AD5526" s="500"/>
      <c r="AE5526" s="500"/>
      <c r="AF5526" s="500"/>
      <c r="AG5526" s="500"/>
      <c r="AH5526" s="500"/>
      <c r="AI5526" s="500"/>
      <c r="AJ5526" s="500"/>
      <c r="AK5526" s="500"/>
      <c r="AL5526" s="500"/>
      <c r="AM5526" s="500"/>
      <c r="AN5526" s="500"/>
      <c r="AO5526" s="500"/>
      <c r="AP5526" s="500"/>
    </row>
    <row r="5527" spans="1:42" ht="16.5" customHeight="1">
      <c r="A5527" s="439"/>
      <c r="B5527" s="439"/>
      <c r="C5527" s="439"/>
      <c r="D5527" s="439"/>
      <c r="E5527" s="439"/>
      <c r="F5527" s="439"/>
      <c r="G5527" s="451" t="s">
        <v>3406</v>
      </c>
      <c r="Z5527" s="500"/>
      <c r="AA5527" s="500"/>
      <c r="AB5527" s="500"/>
      <c r="AC5527" s="500"/>
      <c r="AD5527" s="500"/>
      <c r="AE5527" s="500"/>
      <c r="AF5527" s="500"/>
      <c r="AG5527" s="500"/>
      <c r="AH5527" s="500"/>
      <c r="AI5527" s="500"/>
      <c r="AJ5527" s="500"/>
      <c r="AK5527" s="500"/>
      <c r="AL5527" s="500"/>
      <c r="AM5527" s="500"/>
      <c r="AN5527" s="500"/>
      <c r="AO5527" s="500"/>
      <c r="AP5527" s="500"/>
    </row>
    <row r="5528" spans="1:42" ht="16.5" customHeight="1">
      <c r="A5528" s="434"/>
      <c r="B5528" s="505" t="str">
        <f>" 2. 기계경비(인력품의 3%) : "&amp;TEXT(I5528,"#,##0.0")&amp;" * "&amp;AA5528&amp;" %  = "&amp;TEXT(C5528,"#,##0.0")&amp;""</f>
        <v xml:space="preserve"> 2. 기계경비(인력품의 3%) : 26,769.8 * 3 %  = 803.0</v>
      </c>
      <c r="C5528" s="506">
        <f>E5528+D5528+F5528</f>
        <v>803</v>
      </c>
      <c r="D5528" s="506">
        <f>IF(H5528=0,0,ROUNDDOWN(J5528*H5528/100,1))</f>
        <v>0</v>
      </c>
      <c r="E5528" s="506">
        <f>IF(H5528=0,0,ROUNDDOWN(K5528*H5528/100,1))</f>
        <v>0</v>
      </c>
      <c r="F5528" s="506">
        <f>IF(H5528=0,0,ROUNDDOWN(L5528*H5528/100,1))</f>
        <v>803</v>
      </c>
      <c r="G5528" s="451" t="s">
        <v>3923</v>
      </c>
      <c r="H5528" s="507">
        <f>ROUNDUP(AC5528,14-LEN(ABS(INT(AC5528))))</f>
        <v>3</v>
      </c>
      <c r="I5528" s="508">
        <f>K5528+J5528+L5528</f>
        <v>26769.8</v>
      </c>
      <c r="J5528" s="456">
        <v>0</v>
      </c>
      <c r="K5528" s="456">
        <v>0</v>
      </c>
      <c r="L5528" s="509">
        <f>D5521+D5523</f>
        <v>26769.8</v>
      </c>
      <c r="M5528" s="501" t="s">
        <v>3743</v>
      </c>
      <c r="N5528" s="501" t="s">
        <v>3416</v>
      </c>
      <c r="Z5528" s="501" t="s">
        <v>3500</v>
      </c>
      <c r="AA5528" s="515">
        <v>3</v>
      </c>
      <c r="AB5528" s="501" t="s">
        <v>3418</v>
      </c>
      <c r="AC5528" s="512">
        <f>1*AA5528</f>
        <v>3</v>
      </c>
      <c r="AD5528" s="500"/>
      <c r="AE5528" s="500"/>
      <c r="AF5528" s="500"/>
      <c r="AG5528" s="500"/>
      <c r="AH5528" s="500"/>
      <c r="AI5528" s="500"/>
      <c r="AJ5528" s="500"/>
      <c r="AK5528" s="500"/>
      <c r="AL5528" s="500"/>
      <c r="AM5528" s="500"/>
      <c r="AN5528" s="500"/>
      <c r="AO5528" s="500"/>
      <c r="AP5528" s="500"/>
    </row>
    <row r="5529" spans="1:42" ht="16.5" customHeight="1">
      <c r="A5529" s="439"/>
      <c r="B5529" s="439"/>
      <c r="C5529" s="439"/>
      <c r="D5529" s="439"/>
      <c r="E5529" s="439"/>
      <c r="F5529" s="439"/>
      <c r="G5529" s="451" t="s">
        <v>3406</v>
      </c>
      <c r="Z5529" s="500"/>
      <c r="AA5529" s="500"/>
      <c r="AB5529" s="500"/>
      <c r="AC5529" s="500"/>
      <c r="AD5529" s="500"/>
      <c r="AE5529" s="500"/>
      <c r="AF5529" s="500"/>
      <c r="AG5529" s="500"/>
      <c r="AH5529" s="500"/>
      <c r="AI5529" s="500"/>
      <c r="AJ5529" s="500"/>
      <c r="AK5529" s="500"/>
      <c r="AL5529" s="500"/>
      <c r="AM5529" s="500"/>
      <c r="AN5529" s="500"/>
      <c r="AO5529" s="500"/>
      <c r="AP5529" s="500"/>
    </row>
    <row r="5530" spans="1:42" ht="16.5" customHeight="1">
      <c r="A5530" s="434"/>
      <c r="B5530" s="437" t="s">
        <v>3419</v>
      </c>
      <c r="C5530" s="513">
        <f>E5530+D5530+F5530</f>
        <v>803</v>
      </c>
      <c r="D5530" s="513">
        <f>SUMIF(N5526:N5529,M5530,D5526:D5529)</f>
        <v>0</v>
      </c>
      <c r="E5530" s="513">
        <f>SUMIF(N5526:N5529,M5530,E5526:E5529)</f>
        <v>0</v>
      </c>
      <c r="F5530" s="513">
        <f>SUMIF(N5526:N5529,M5530,F5526:F5529)</f>
        <v>803</v>
      </c>
      <c r="G5530" s="451" t="s">
        <v>3439</v>
      </c>
      <c r="M5530" s="501" t="s">
        <v>3416</v>
      </c>
      <c r="N5530" s="501" t="s">
        <v>3421</v>
      </c>
      <c r="Z5530" s="500"/>
      <c r="AA5530" s="500"/>
      <c r="AB5530" s="500"/>
      <c r="AC5530" s="500"/>
      <c r="AD5530" s="500"/>
      <c r="AE5530" s="500"/>
      <c r="AF5530" s="500"/>
      <c r="AG5530" s="500"/>
      <c r="AH5530" s="500"/>
      <c r="AI5530" s="500"/>
      <c r="AJ5530" s="500"/>
      <c r="AK5530" s="500"/>
      <c r="AL5530" s="500"/>
      <c r="AM5530" s="500"/>
      <c r="AN5530" s="500"/>
      <c r="AO5530" s="500"/>
      <c r="AP5530" s="500"/>
    </row>
    <row r="5531" spans="1:42" ht="16.5" customHeight="1">
      <c r="A5531" s="439"/>
      <c r="B5531" s="439"/>
      <c r="C5531" s="504"/>
      <c r="D5531" s="504"/>
      <c r="E5531" s="504"/>
      <c r="F5531" s="504"/>
      <c r="G5531" s="451" t="s">
        <v>3406</v>
      </c>
      <c r="Z5531" s="500"/>
      <c r="AA5531" s="500"/>
      <c r="AB5531" s="500"/>
      <c r="AC5531" s="500"/>
      <c r="AD5531" s="500"/>
      <c r="AE5531" s="500"/>
      <c r="AF5531" s="500"/>
      <c r="AG5531" s="500"/>
      <c r="AH5531" s="500"/>
      <c r="AI5531" s="500"/>
      <c r="AJ5531" s="500"/>
      <c r="AK5531" s="500"/>
      <c r="AL5531" s="500"/>
      <c r="AM5531" s="500"/>
      <c r="AN5531" s="500"/>
      <c r="AO5531" s="500"/>
      <c r="AP5531" s="500"/>
    </row>
    <row r="5532" spans="1:42" ht="16.5" customHeight="1">
      <c r="A5532" s="434"/>
      <c r="B5532" s="505" t="str">
        <f>"  산지할증 : "&amp;TEXT(I5532,"#,##0.0")&amp;" * "&amp;AA5532&amp;" %  = "&amp;TEXT(C5532,"#,##0.0")&amp;""</f>
        <v xml:space="preserve">  산지할증 : 26,769.8 * 25 %  = 6,692.4</v>
      </c>
      <c r="C5532" s="506">
        <f>E5532+D5532+F5532</f>
        <v>6692.4</v>
      </c>
      <c r="D5532" s="506">
        <f>IF(H5532=0,0,ROUNDDOWN(J5532*H5532/100,1))</f>
        <v>6692.4</v>
      </c>
      <c r="E5532" s="506">
        <f>IF(H5532=0,0,ROUNDDOWN(K5532*H5532/100,1))</f>
        <v>0</v>
      </c>
      <c r="F5532" s="506">
        <f>IF(H5532=0,0,ROUNDDOWN(L5532*H5532/100,1))</f>
        <v>0</v>
      </c>
      <c r="G5532" s="451" t="s">
        <v>5592</v>
      </c>
      <c r="H5532" s="507">
        <f>ROUNDUP(AC5532,14-LEN(ABS(INT(AC5532))))</f>
        <v>25</v>
      </c>
      <c r="I5532" s="508">
        <f>K5532+J5532+L5532</f>
        <v>26769.8</v>
      </c>
      <c r="J5532" s="508">
        <f>D5525+D5530+SUMIF(N5531:N5531,N5532,D5531:D5531)</f>
        <v>26769.8</v>
      </c>
      <c r="K5532" s="456">
        <v>0</v>
      </c>
      <c r="L5532" s="456">
        <v>0</v>
      </c>
      <c r="M5532" s="501" t="s">
        <v>4208</v>
      </c>
      <c r="N5532" s="501" t="s">
        <v>3416</v>
      </c>
      <c r="Z5532" s="501" t="s">
        <v>3500</v>
      </c>
      <c r="AA5532" s="515">
        <v>25</v>
      </c>
      <c r="AB5532" s="501" t="s">
        <v>3418</v>
      </c>
      <c r="AC5532" s="512">
        <f>1*AA5532</f>
        <v>25</v>
      </c>
      <c r="AD5532" s="500"/>
      <c r="AE5532" s="500"/>
      <c r="AF5532" s="500"/>
      <c r="AG5532" s="500"/>
      <c r="AH5532" s="500"/>
      <c r="AI5532" s="500"/>
      <c r="AJ5532" s="500"/>
      <c r="AK5532" s="500"/>
      <c r="AL5532" s="500"/>
      <c r="AM5532" s="500"/>
      <c r="AN5532" s="500"/>
      <c r="AO5532" s="500"/>
      <c r="AP5532" s="500"/>
    </row>
    <row r="5533" spans="1:42" ht="16.5" customHeight="1">
      <c r="A5533" s="439"/>
      <c r="B5533" s="439"/>
      <c r="C5533" s="439"/>
      <c r="D5533" s="439"/>
      <c r="E5533" s="439"/>
      <c r="F5533" s="439"/>
      <c r="G5533" s="451" t="s">
        <v>3406</v>
      </c>
      <c r="Z5533" s="500"/>
      <c r="AA5533" s="500"/>
      <c r="AB5533" s="500"/>
      <c r="AC5533" s="500"/>
      <c r="AD5533" s="500"/>
      <c r="AE5533" s="500"/>
      <c r="AF5533" s="500"/>
      <c r="AG5533" s="500"/>
      <c r="AH5533" s="500"/>
      <c r="AI5533" s="500"/>
      <c r="AJ5533" s="500"/>
      <c r="AK5533" s="500"/>
      <c r="AL5533" s="500"/>
      <c r="AM5533" s="500"/>
      <c r="AN5533" s="500"/>
      <c r="AO5533" s="500"/>
      <c r="AP5533" s="500"/>
    </row>
    <row r="5534" spans="1:42" ht="16.5" customHeight="1">
      <c r="A5534" s="434"/>
      <c r="B5534" s="437" t="s">
        <v>3419</v>
      </c>
      <c r="C5534" s="513">
        <f>E5534+D5534+F5534</f>
        <v>6692.4</v>
      </c>
      <c r="D5534" s="513">
        <f>SUMIF(N5531:N5533,M5534,D5531:D5533)</f>
        <v>6692.4</v>
      </c>
      <c r="E5534" s="513">
        <f>SUMIF(N5531:N5533,M5534,E5531:E5533)</f>
        <v>0</v>
      </c>
      <c r="F5534" s="513">
        <f>SUMIF(N5531:N5533,M5534,F5531:F5533)</f>
        <v>0</v>
      </c>
      <c r="G5534" s="451" t="s">
        <v>3439</v>
      </c>
      <c r="M5534" s="501" t="s">
        <v>3416</v>
      </c>
      <c r="N5534" s="501" t="s">
        <v>3421</v>
      </c>
      <c r="Z5534" s="500"/>
      <c r="AA5534" s="500"/>
      <c r="AB5534" s="500"/>
      <c r="AC5534" s="500"/>
      <c r="AD5534" s="500"/>
      <c r="AE5534" s="500"/>
      <c r="AF5534" s="500"/>
      <c r="AG5534" s="500"/>
      <c r="AH5534" s="500"/>
      <c r="AI5534" s="500"/>
      <c r="AJ5534" s="500"/>
      <c r="AK5534" s="500"/>
      <c r="AL5534" s="500"/>
      <c r="AM5534" s="500"/>
      <c r="AN5534" s="500"/>
      <c r="AO5534" s="500"/>
      <c r="AP5534" s="500"/>
    </row>
    <row r="5535" spans="1:42" ht="16.5" customHeight="1">
      <c r="A5535" s="439"/>
      <c r="B5535" s="439"/>
      <c r="C5535" s="504"/>
      <c r="D5535" s="504"/>
      <c r="E5535" s="504"/>
      <c r="F5535" s="504"/>
      <c r="G5535" s="451" t="s">
        <v>3406</v>
      </c>
      <c r="Z5535" s="500"/>
      <c r="AA5535" s="500"/>
      <c r="AB5535" s="500"/>
      <c r="AC5535" s="500"/>
      <c r="AD5535" s="500"/>
      <c r="AE5535" s="500"/>
      <c r="AF5535" s="500"/>
      <c r="AG5535" s="500"/>
      <c r="AH5535" s="500"/>
      <c r="AI5535" s="500"/>
      <c r="AJ5535" s="500"/>
      <c r="AK5535" s="500"/>
      <c r="AL5535" s="500"/>
      <c r="AM5535" s="500"/>
      <c r="AN5535" s="500"/>
      <c r="AO5535" s="500"/>
      <c r="AP5535" s="500"/>
    </row>
    <row r="5536" spans="1:42" ht="16.5" customHeight="1">
      <c r="A5536" s="434"/>
      <c r="B5536" s="437" t="s">
        <v>3440</v>
      </c>
      <c r="C5536" s="513">
        <f>E5536+D5536+F5536</f>
        <v>34265.199999999997</v>
      </c>
      <c r="D5536" s="513">
        <f>SUMIF(N5507:N5535,M5536,D5507:D5535)</f>
        <v>33462.199999999997</v>
      </c>
      <c r="E5536" s="513">
        <f>SUMIF(N5507:N5535,M5536,E5507:E5535)</f>
        <v>0</v>
      </c>
      <c r="F5536" s="513">
        <f>SUMIF(N5507:N5535,M5536,F5507:F5535)</f>
        <v>803</v>
      </c>
      <c r="G5536" s="451" t="s">
        <v>3441</v>
      </c>
      <c r="M5536" s="501" t="s">
        <v>3421</v>
      </c>
      <c r="N5536" s="501" t="s">
        <v>2354</v>
      </c>
      <c r="Z5536" s="500"/>
      <c r="AA5536" s="500"/>
      <c r="AB5536" s="500"/>
      <c r="AC5536" s="500"/>
      <c r="AD5536" s="500"/>
      <c r="AE5536" s="500"/>
      <c r="AF5536" s="500"/>
      <c r="AG5536" s="500"/>
      <c r="AH5536" s="500"/>
      <c r="AI5536" s="500"/>
      <c r="AJ5536" s="500"/>
      <c r="AK5536" s="500"/>
      <c r="AL5536" s="500"/>
      <c r="AM5536" s="500"/>
      <c r="AN5536" s="500"/>
      <c r="AO5536" s="500"/>
      <c r="AP5536" s="500"/>
    </row>
    <row r="5537" spans="1:42" ht="16.5" customHeight="1">
      <c r="A5537" s="439"/>
      <c r="B5537" s="439"/>
      <c r="C5537" s="504"/>
      <c r="D5537" s="504"/>
      <c r="E5537" s="504"/>
      <c r="F5537" s="504"/>
      <c r="Z5537" s="500"/>
      <c r="AA5537" s="500"/>
      <c r="AB5537" s="500"/>
      <c r="AC5537" s="500"/>
      <c r="AD5537" s="500"/>
      <c r="AE5537" s="500"/>
      <c r="AF5537" s="500"/>
      <c r="AG5537" s="500"/>
      <c r="AH5537" s="500"/>
      <c r="AI5537" s="500"/>
      <c r="AJ5537" s="500"/>
      <c r="AK5537" s="500"/>
      <c r="AL5537" s="500"/>
      <c r="AM5537" s="500"/>
      <c r="AN5537" s="500"/>
      <c r="AO5537" s="500"/>
      <c r="AP5537" s="500"/>
    </row>
    <row r="5538" spans="1:42" ht="16.5" customHeight="1">
      <c r="A5538" s="439"/>
      <c r="B5538" s="439"/>
      <c r="C5538" s="439"/>
      <c r="D5538" s="439"/>
      <c r="E5538" s="439"/>
      <c r="F5538" s="439"/>
      <c r="Z5538" s="500"/>
      <c r="AA5538" s="500"/>
      <c r="AB5538" s="500"/>
      <c r="AC5538" s="500"/>
      <c r="AD5538" s="500"/>
      <c r="AE5538" s="500"/>
      <c r="AF5538" s="500"/>
      <c r="AG5538" s="500"/>
      <c r="AH5538" s="500"/>
      <c r="AI5538" s="500"/>
      <c r="AJ5538" s="500"/>
      <c r="AK5538" s="500"/>
      <c r="AL5538" s="500"/>
      <c r="AM5538" s="500"/>
      <c r="AN5538" s="500"/>
      <c r="AO5538" s="500"/>
      <c r="AP5538" s="500"/>
    </row>
    <row r="5539" spans="1:42" ht="16.5" customHeight="1">
      <c r="A5539" s="439"/>
      <c r="B5539" s="439"/>
      <c r="C5539" s="439"/>
      <c r="D5539" s="439"/>
      <c r="E5539" s="439"/>
      <c r="F5539" s="439"/>
      <c r="Z5539" s="500"/>
      <c r="AA5539" s="500"/>
      <c r="AB5539" s="500"/>
      <c r="AC5539" s="500"/>
      <c r="AD5539" s="500"/>
      <c r="AE5539" s="500"/>
      <c r="AF5539" s="500"/>
      <c r="AG5539" s="500"/>
      <c r="AH5539" s="500"/>
      <c r="AI5539" s="500"/>
      <c r="AJ5539" s="500"/>
      <c r="AK5539" s="500"/>
      <c r="AL5539" s="500"/>
      <c r="AM5539" s="500"/>
      <c r="AN5539" s="500"/>
      <c r="AO5539" s="500"/>
      <c r="AP5539" s="500"/>
    </row>
    <row r="5540" spans="1:42" ht="16.5" customHeight="1">
      <c r="A5540" s="439"/>
      <c r="B5540" s="439"/>
      <c r="C5540" s="439"/>
      <c r="D5540" s="439"/>
      <c r="E5540" s="439"/>
      <c r="F5540" s="439"/>
      <c r="Z5540" s="500"/>
      <c r="AA5540" s="500"/>
      <c r="AB5540" s="500"/>
      <c r="AC5540" s="500"/>
      <c r="AD5540" s="500"/>
      <c r="AE5540" s="500"/>
      <c r="AF5540" s="500"/>
      <c r="AG5540" s="500"/>
      <c r="AH5540" s="500"/>
      <c r="AI5540" s="500"/>
      <c r="AJ5540" s="500"/>
      <c r="AK5540" s="500"/>
      <c r="AL5540" s="500"/>
      <c r="AM5540" s="500"/>
      <c r="AN5540" s="500"/>
      <c r="AO5540" s="500"/>
      <c r="AP5540" s="500"/>
    </row>
    <row r="5541" spans="1:42" ht="16.5" customHeight="1">
      <c r="A5541" s="439"/>
      <c r="B5541" s="439"/>
      <c r="C5541" s="439"/>
      <c r="D5541" s="439"/>
      <c r="E5541" s="439"/>
      <c r="F5541" s="439"/>
      <c r="Z5541" s="500"/>
      <c r="AA5541" s="500"/>
      <c r="AB5541" s="500"/>
      <c r="AC5541" s="500"/>
      <c r="AD5541" s="500"/>
      <c r="AE5541" s="500"/>
      <c r="AF5541" s="500"/>
      <c r="AG5541" s="500"/>
      <c r="AH5541" s="500"/>
      <c r="AI5541" s="500"/>
      <c r="AJ5541" s="500"/>
      <c r="AK5541" s="500"/>
      <c r="AL5541" s="500"/>
      <c r="AM5541" s="500"/>
      <c r="AN5541" s="500"/>
      <c r="AO5541" s="500"/>
      <c r="AP5541" s="500"/>
    </row>
    <row r="5542" spans="1:42" ht="16.5" customHeight="1">
      <c r="A5542" s="439"/>
      <c r="B5542" s="439"/>
      <c r="C5542" s="439"/>
      <c r="D5542" s="439"/>
      <c r="E5542" s="439"/>
      <c r="F5542" s="439"/>
      <c r="Z5542" s="500"/>
      <c r="AA5542" s="500"/>
      <c r="AB5542" s="500"/>
      <c r="AC5542" s="500"/>
      <c r="AD5542" s="500"/>
      <c r="AE5542" s="500"/>
      <c r="AF5542" s="500"/>
      <c r="AG5542" s="500"/>
      <c r="AH5542" s="500"/>
      <c r="AI5542" s="500"/>
      <c r="AJ5542" s="500"/>
      <c r="AK5542" s="500"/>
      <c r="AL5542" s="500"/>
      <c r="AM5542" s="500"/>
      <c r="AN5542" s="500"/>
      <c r="AO5542" s="500"/>
      <c r="AP5542" s="500"/>
    </row>
    <row r="5543" spans="1:42" ht="16.5" customHeight="1">
      <c r="A5543" s="439"/>
      <c r="B5543" s="439"/>
      <c r="C5543" s="439"/>
      <c r="D5543" s="439"/>
      <c r="E5543" s="439"/>
      <c r="F5543" s="439"/>
      <c r="Z5543" s="500"/>
      <c r="AA5543" s="500"/>
      <c r="AB5543" s="500"/>
      <c r="AC5543" s="500"/>
      <c r="AD5543" s="500"/>
      <c r="AE5543" s="500"/>
      <c r="AF5543" s="500"/>
      <c r="AG5543" s="500"/>
      <c r="AH5543" s="500"/>
      <c r="AI5543" s="500"/>
      <c r="AJ5543" s="500"/>
      <c r="AK5543" s="500"/>
      <c r="AL5543" s="500"/>
      <c r="AM5543" s="500"/>
      <c r="AN5543" s="500"/>
      <c r="AO5543" s="500"/>
      <c r="AP5543" s="500"/>
    </row>
    <row r="5544" spans="1:42" ht="16.5" customHeight="1">
      <c r="A5544" s="439"/>
      <c r="B5544" s="439"/>
      <c r="C5544" s="439"/>
      <c r="D5544" s="439"/>
      <c r="E5544" s="439"/>
      <c r="F5544" s="439"/>
      <c r="Z5544" s="500"/>
      <c r="AA5544" s="500"/>
      <c r="AB5544" s="500"/>
      <c r="AC5544" s="500"/>
      <c r="AD5544" s="500"/>
      <c r="AE5544" s="500"/>
      <c r="AF5544" s="500"/>
      <c r="AG5544" s="500"/>
      <c r="AH5544" s="500"/>
      <c r="AI5544" s="500"/>
      <c r="AJ5544" s="500"/>
      <c r="AK5544" s="500"/>
      <c r="AL5544" s="500"/>
      <c r="AM5544" s="500"/>
      <c r="AN5544" s="500"/>
      <c r="AO5544" s="500"/>
      <c r="AP5544" s="500"/>
    </row>
    <row r="5545" spans="1:42" ht="16.5" customHeight="1">
      <c r="A5545" s="439"/>
      <c r="B5545" s="439"/>
      <c r="C5545" s="439"/>
      <c r="D5545" s="439"/>
      <c r="E5545" s="439"/>
      <c r="F5545" s="439"/>
      <c r="Z5545" s="500"/>
      <c r="AA5545" s="500"/>
      <c r="AB5545" s="500"/>
      <c r="AC5545" s="500"/>
      <c r="AD5545" s="500"/>
      <c r="AE5545" s="500"/>
      <c r="AF5545" s="500"/>
      <c r="AG5545" s="500"/>
      <c r="AH5545" s="500"/>
      <c r="AI5545" s="500"/>
      <c r="AJ5545" s="500"/>
      <c r="AK5545" s="500"/>
      <c r="AL5545" s="500"/>
      <c r="AM5545" s="500"/>
      <c r="AN5545" s="500"/>
      <c r="AO5545" s="500"/>
      <c r="AP5545" s="500"/>
    </row>
    <row r="5546" spans="1:42" ht="16.5" customHeight="1">
      <c r="A5546" s="439"/>
      <c r="B5546" s="439"/>
      <c r="C5546" s="439"/>
      <c r="D5546" s="439"/>
      <c r="E5546" s="439"/>
      <c r="F5546" s="439"/>
      <c r="Z5546" s="500"/>
      <c r="AA5546" s="500"/>
      <c r="AB5546" s="500"/>
      <c r="AC5546" s="500"/>
      <c r="AD5546" s="500"/>
      <c r="AE5546" s="500"/>
      <c r="AF5546" s="500"/>
      <c r="AG5546" s="500"/>
      <c r="AH5546" s="500"/>
      <c r="AI5546" s="500"/>
      <c r="AJ5546" s="500"/>
      <c r="AK5546" s="500"/>
      <c r="AL5546" s="500"/>
      <c r="AM5546" s="500"/>
      <c r="AN5546" s="500"/>
      <c r="AO5546" s="500"/>
      <c r="AP5546" s="500"/>
    </row>
    <row r="5547" spans="1:42" ht="16.5" customHeight="1">
      <c r="A5547" s="439"/>
      <c r="B5547" s="439"/>
      <c r="C5547" s="439"/>
      <c r="D5547" s="439"/>
      <c r="E5547" s="439"/>
      <c r="F5547" s="439"/>
      <c r="Z5547" s="500"/>
      <c r="AA5547" s="500"/>
      <c r="AB5547" s="500"/>
      <c r="AC5547" s="500"/>
      <c r="AD5547" s="500"/>
      <c r="AE5547" s="500"/>
      <c r="AF5547" s="500"/>
      <c r="AG5547" s="500"/>
      <c r="AH5547" s="500"/>
      <c r="AI5547" s="500"/>
      <c r="AJ5547" s="500"/>
      <c r="AK5547" s="500"/>
      <c r="AL5547" s="500"/>
      <c r="AM5547" s="500"/>
      <c r="AN5547" s="500"/>
      <c r="AO5547" s="500"/>
      <c r="AP5547" s="500"/>
    </row>
    <row r="5548" spans="1:42" ht="16.5" customHeight="1">
      <c r="A5548" s="439"/>
      <c r="B5548" s="439"/>
      <c r="C5548" s="439"/>
      <c r="D5548" s="439"/>
      <c r="E5548" s="439"/>
      <c r="F5548" s="439"/>
      <c r="Z5548" s="500"/>
      <c r="AA5548" s="500"/>
      <c r="AB5548" s="500"/>
      <c r="AC5548" s="500"/>
      <c r="AD5548" s="500"/>
      <c r="AE5548" s="500"/>
      <c r="AF5548" s="500"/>
      <c r="AG5548" s="500"/>
      <c r="AH5548" s="500"/>
      <c r="AI5548" s="500"/>
      <c r="AJ5548" s="500"/>
      <c r="AK5548" s="500"/>
      <c r="AL5548" s="500"/>
      <c r="AM5548" s="500"/>
      <c r="AN5548" s="500"/>
      <c r="AO5548" s="500"/>
      <c r="AP5548" s="500"/>
    </row>
    <row r="5549" spans="1:42" ht="16.5" customHeight="1">
      <c r="A5549" s="439"/>
      <c r="B5549" s="439"/>
      <c r="C5549" s="439"/>
      <c r="D5549" s="439"/>
      <c r="E5549" s="439"/>
      <c r="F5549" s="439"/>
      <c r="Z5549" s="500"/>
      <c r="AA5549" s="500"/>
      <c r="AB5549" s="500"/>
      <c r="AC5549" s="500"/>
      <c r="AD5549" s="500"/>
      <c r="AE5549" s="500"/>
      <c r="AF5549" s="500"/>
      <c r="AG5549" s="500"/>
      <c r="AH5549" s="500"/>
      <c r="AI5549" s="500"/>
      <c r="AJ5549" s="500"/>
      <c r="AK5549" s="500"/>
      <c r="AL5549" s="500"/>
      <c r="AM5549" s="500"/>
      <c r="AN5549" s="500"/>
      <c r="AO5549" s="500"/>
      <c r="AP5549" s="500"/>
    </row>
    <row r="5550" spans="1:42" ht="16.5" customHeight="1">
      <c r="A5550" s="439"/>
      <c r="B5550" s="439"/>
      <c r="C5550" s="439"/>
      <c r="D5550" s="439"/>
      <c r="E5550" s="439"/>
      <c r="F5550" s="439"/>
      <c r="Z5550" s="500"/>
      <c r="AA5550" s="500"/>
      <c r="AB5550" s="500"/>
      <c r="AC5550" s="500"/>
      <c r="AD5550" s="500"/>
      <c r="AE5550" s="500"/>
      <c r="AF5550" s="500"/>
      <c r="AG5550" s="500"/>
      <c r="AH5550" s="500"/>
      <c r="AI5550" s="500"/>
      <c r="AJ5550" s="500"/>
      <c r="AK5550" s="500"/>
      <c r="AL5550" s="500"/>
      <c r="AM5550" s="500"/>
      <c r="AN5550" s="500"/>
      <c r="AO5550" s="500"/>
      <c r="AP5550" s="500"/>
    </row>
    <row r="5551" spans="1:42" ht="16.5" customHeight="1">
      <c r="A5551" s="439"/>
      <c r="B5551" s="439"/>
      <c r="C5551" s="439"/>
      <c r="D5551" s="439"/>
      <c r="E5551" s="439"/>
      <c r="F5551" s="439"/>
      <c r="Z5551" s="500"/>
      <c r="AA5551" s="500"/>
      <c r="AB5551" s="500"/>
      <c r="AC5551" s="500"/>
      <c r="AD5551" s="500"/>
      <c r="AE5551" s="500"/>
      <c r="AF5551" s="500"/>
      <c r="AG5551" s="500"/>
      <c r="AH5551" s="500"/>
      <c r="AI5551" s="500"/>
      <c r="AJ5551" s="500"/>
      <c r="AK5551" s="500"/>
      <c r="AL5551" s="500"/>
      <c r="AM5551" s="500"/>
      <c r="AN5551" s="500"/>
      <c r="AO5551" s="500"/>
      <c r="AP5551" s="500"/>
    </row>
    <row r="5552" spans="1:42" ht="16.5" customHeight="1">
      <c r="A5552" s="439"/>
      <c r="B5552" s="439"/>
      <c r="C5552" s="439"/>
      <c r="D5552" s="439"/>
      <c r="E5552" s="439"/>
      <c r="F5552" s="439"/>
      <c r="Z5552" s="500"/>
      <c r="AA5552" s="500"/>
      <c r="AB5552" s="500"/>
      <c r="AC5552" s="500"/>
      <c r="AD5552" s="500"/>
      <c r="AE5552" s="500"/>
      <c r="AF5552" s="500"/>
      <c r="AG5552" s="500"/>
      <c r="AH5552" s="500"/>
      <c r="AI5552" s="500"/>
      <c r="AJ5552" s="500"/>
      <c r="AK5552" s="500"/>
      <c r="AL5552" s="500"/>
      <c r="AM5552" s="500"/>
      <c r="AN5552" s="500"/>
      <c r="AO5552" s="500"/>
      <c r="AP5552" s="500"/>
    </row>
    <row r="5553" spans="1:42" ht="16.5" customHeight="1">
      <c r="A5553" s="497"/>
      <c r="B5553" s="497"/>
      <c r="C5553" s="497"/>
      <c r="D5553" s="497"/>
      <c r="E5553" s="497"/>
      <c r="F5553" s="497"/>
      <c r="Z5553" s="500"/>
      <c r="AA5553" s="500"/>
      <c r="AB5553" s="500"/>
      <c r="AC5553" s="500"/>
      <c r="AD5553" s="500"/>
      <c r="AE5553" s="500"/>
      <c r="AF5553" s="500"/>
      <c r="AG5553" s="500"/>
      <c r="AH5553" s="500"/>
      <c r="AI5553" s="500"/>
      <c r="AJ5553" s="500"/>
      <c r="AK5553" s="500"/>
      <c r="AL5553" s="500"/>
      <c r="AM5553" s="500"/>
      <c r="AN5553" s="500"/>
      <c r="AO5553" s="500"/>
      <c r="AP5553" s="500"/>
    </row>
    <row r="5554" spans="1:42" ht="16.5" customHeight="1">
      <c r="A5554" s="616" t="s">
        <v>3487</v>
      </c>
      <c r="B5554" s="605"/>
      <c r="C5554" s="446">
        <f>E5554+D5554+F5554</f>
        <v>34265</v>
      </c>
      <c r="D5554" s="453">
        <f>ROUNDDOWN(SUMIF(N5507:N5536,M5554,D5507:D5536),0)</f>
        <v>33462</v>
      </c>
      <c r="E5554" s="454">
        <f>ROUNDDOWN(SUMIF(N5507:N5536,M5554,E5507:E5536),0)</f>
        <v>0</v>
      </c>
      <c r="F5554" s="446">
        <f>ROUNDDOWN(SUMIF(N5507:N5536,M5554,F5507:F5536),0)</f>
        <v>803</v>
      </c>
      <c r="M5554" s="501" t="s">
        <v>2354</v>
      </c>
      <c r="Z5554" s="500"/>
      <c r="AA5554" s="500"/>
      <c r="AB5554" s="500"/>
      <c r="AC5554" s="500"/>
      <c r="AD5554" s="500"/>
      <c r="AE5554" s="500"/>
      <c r="AF5554" s="500"/>
      <c r="AG5554" s="500"/>
      <c r="AH5554" s="500"/>
      <c r="AI5554" s="500"/>
      <c r="AJ5554" s="500"/>
      <c r="AK5554" s="500"/>
      <c r="AL5554" s="500"/>
      <c r="AM5554" s="500"/>
      <c r="AN5554" s="500"/>
      <c r="AO5554" s="500"/>
      <c r="AP5554" s="500"/>
    </row>
    <row r="5555" spans="1:42" ht="16.5" customHeight="1">
      <c r="A5555" s="502" t="s">
        <v>3371</v>
      </c>
      <c r="B5555" s="503" t="s">
        <v>5484</v>
      </c>
      <c r="C5555" s="615">
        <f>C5604</f>
        <v>54823</v>
      </c>
      <c r="D5555" s="615">
        <f>D5604</f>
        <v>53539</v>
      </c>
      <c r="E5555" s="615">
        <f>E5604</f>
        <v>0</v>
      </c>
      <c r="F5555" s="615">
        <f>F5604</f>
        <v>1284</v>
      </c>
      <c r="G5555" s="486" t="str">
        <f>HYPERLINK("#G"&amp;ROW(G5586),"_x0005_`BDCOD|D01344_x0007_`POSS|"&amp;ROW(G5557)&amp;"_x0007_`POSE|"&amp;ROW(G5586)&amp;"_x0007_`")</f>
        <v>_x0005_`BDCOD|D01344_x0007_`POSS|5557_x0007_`POSE|5586_x0007_`</v>
      </c>
      <c r="Z5555" s="500"/>
      <c r="AA5555" s="500"/>
      <c r="AB5555" s="500"/>
      <c r="AC5555" s="500"/>
      <c r="AD5555" s="500"/>
      <c r="AE5555" s="500"/>
      <c r="AF5555" s="500"/>
      <c r="AG5555" s="500"/>
      <c r="AH5555" s="500"/>
      <c r="AI5555" s="500"/>
      <c r="AJ5555" s="500"/>
      <c r="AK5555" s="500"/>
      <c r="AL5555" s="500"/>
      <c r="AM5555" s="500"/>
      <c r="AN5555" s="500"/>
      <c r="AO5555" s="500"/>
      <c r="AP5555" s="500"/>
    </row>
    <row r="5556" spans="1:42" ht="16.5" customHeight="1">
      <c r="A5556" s="485"/>
      <c r="B5556" s="503" t="s">
        <v>5637</v>
      </c>
      <c r="C5556" s="593"/>
      <c r="D5556" s="593"/>
      <c r="E5556" s="593"/>
      <c r="F5556" s="593"/>
      <c r="M5556" s="501" t="s">
        <v>5484</v>
      </c>
      <c r="Z5556" s="500"/>
      <c r="AA5556" s="500"/>
      <c r="AB5556" s="500"/>
      <c r="AC5556" s="500"/>
      <c r="AD5556" s="500"/>
      <c r="AE5556" s="500"/>
      <c r="AF5556" s="500"/>
      <c r="AG5556" s="500"/>
      <c r="AH5556" s="500"/>
      <c r="AI5556" s="500"/>
      <c r="AJ5556" s="500"/>
      <c r="AK5556" s="500"/>
      <c r="AL5556" s="500"/>
      <c r="AM5556" s="500"/>
      <c r="AN5556" s="500"/>
      <c r="AO5556" s="500"/>
      <c r="AP5556" s="500"/>
    </row>
    <row r="5557" spans="1:42" ht="16.5" customHeight="1">
      <c r="A5557" s="439"/>
      <c r="B5557" s="439"/>
      <c r="C5557" s="504"/>
      <c r="D5557" s="504"/>
      <c r="E5557" s="504"/>
      <c r="F5557" s="504"/>
      <c r="G5557" s="451" t="s">
        <v>3406</v>
      </c>
      <c r="Z5557" s="500"/>
      <c r="AA5557" s="500"/>
      <c r="AB5557" s="500"/>
      <c r="AC5557" s="500"/>
      <c r="AD5557" s="500"/>
      <c r="AE5557" s="500"/>
      <c r="AF5557" s="500"/>
      <c r="AG5557" s="500"/>
      <c r="AH5557" s="500"/>
      <c r="AI5557" s="500"/>
      <c r="AJ5557" s="500"/>
      <c r="AK5557" s="500"/>
      <c r="AL5557" s="500"/>
      <c r="AM5557" s="500"/>
      <c r="AN5557" s="500"/>
      <c r="AO5557" s="500"/>
      <c r="AP5557" s="500"/>
    </row>
    <row r="5558" spans="1:42" ht="16.5" customHeight="1">
      <c r="A5558" s="434"/>
      <c r="B5558" s="437" t="s">
        <v>3976</v>
      </c>
      <c r="C5558" s="439"/>
      <c r="D5558" s="439"/>
      <c r="E5558" s="439"/>
      <c r="F5558" s="439"/>
      <c r="G5558" s="451" t="s">
        <v>3977</v>
      </c>
      <c r="Z5558" s="500"/>
      <c r="AA5558" s="500"/>
      <c r="AB5558" s="500"/>
      <c r="AC5558" s="500"/>
      <c r="AD5558" s="500"/>
      <c r="AE5558" s="500"/>
      <c r="AF5558" s="500"/>
      <c r="AG5558" s="500"/>
      <c r="AH5558" s="500"/>
      <c r="AI5558" s="500"/>
      <c r="AJ5558" s="500"/>
      <c r="AK5558" s="500"/>
      <c r="AL5558" s="500"/>
      <c r="AM5558" s="500"/>
      <c r="AN5558" s="500"/>
      <c r="AO5558" s="500"/>
      <c r="AP5558" s="500"/>
    </row>
    <row r="5559" spans="1:42" ht="16.5" customHeight="1">
      <c r="A5559" s="439"/>
      <c r="B5559" s="439"/>
      <c r="C5559" s="439"/>
      <c r="D5559" s="439"/>
      <c r="E5559" s="439"/>
      <c r="F5559" s="439"/>
      <c r="G5559" s="451" t="s">
        <v>3406</v>
      </c>
      <c r="Z5559" s="500"/>
      <c r="AA5559" s="500"/>
      <c r="AB5559" s="500"/>
      <c r="AC5559" s="500"/>
      <c r="AD5559" s="500"/>
      <c r="AE5559" s="500"/>
      <c r="AF5559" s="500"/>
      <c r="AG5559" s="500"/>
      <c r="AH5559" s="500"/>
      <c r="AI5559" s="500"/>
      <c r="AJ5559" s="500"/>
      <c r="AK5559" s="500"/>
      <c r="AL5559" s="500"/>
      <c r="AM5559" s="500"/>
      <c r="AN5559" s="500"/>
      <c r="AO5559" s="500"/>
      <c r="AP5559" s="500"/>
    </row>
    <row r="5560" spans="1:42" ht="16.5" customHeight="1">
      <c r="A5560" s="434"/>
      <c r="B5560" s="437" t="s">
        <v>3907</v>
      </c>
      <c r="C5560" s="439"/>
      <c r="D5560" s="439"/>
      <c r="E5560" s="439"/>
      <c r="F5560" s="439"/>
      <c r="G5560" s="451" t="s">
        <v>3908</v>
      </c>
      <c r="Z5560" s="500"/>
      <c r="AA5560" s="500"/>
      <c r="AB5560" s="500"/>
      <c r="AC5560" s="500"/>
      <c r="AD5560" s="500"/>
      <c r="AE5560" s="500"/>
      <c r="AF5560" s="500"/>
      <c r="AG5560" s="500"/>
      <c r="AH5560" s="500"/>
      <c r="AI5560" s="500"/>
      <c r="AJ5560" s="500"/>
      <c r="AK5560" s="500"/>
      <c r="AL5560" s="500"/>
      <c r="AM5560" s="500"/>
      <c r="AN5560" s="500"/>
      <c r="AO5560" s="500"/>
      <c r="AP5560" s="500"/>
    </row>
    <row r="5561" spans="1:42" ht="16.5" customHeight="1">
      <c r="A5561" s="439"/>
      <c r="B5561" s="439"/>
      <c r="C5561" s="439"/>
      <c r="D5561" s="439"/>
      <c r="E5561" s="439"/>
      <c r="F5561" s="439"/>
      <c r="G5561" s="451" t="s">
        <v>3406</v>
      </c>
      <c r="Z5561" s="500"/>
      <c r="AA5561" s="500"/>
      <c r="AB5561" s="500"/>
      <c r="AC5561" s="500"/>
      <c r="AD5561" s="500"/>
      <c r="AE5561" s="500"/>
      <c r="AF5561" s="500"/>
      <c r="AG5561" s="500"/>
      <c r="AH5561" s="500"/>
      <c r="AI5561" s="500"/>
      <c r="AJ5561" s="500"/>
      <c r="AK5561" s="500"/>
      <c r="AL5561" s="500"/>
      <c r="AM5561" s="500"/>
      <c r="AN5561" s="500"/>
      <c r="AO5561" s="500"/>
      <c r="AP5561" s="500"/>
    </row>
    <row r="5562" spans="1:42" ht="16.5" customHeight="1">
      <c r="A5562" s="434"/>
      <c r="B5562" s="437" t="s">
        <v>3955</v>
      </c>
      <c r="C5562" s="439"/>
      <c r="D5562" s="439"/>
      <c r="E5562" s="439"/>
      <c r="F5562" s="439"/>
      <c r="G5562" s="451" t="s">
        <v>3956</v>
      </c>
      <c r="Z5562" s="500"/>
      <c r="AA5562" s="500"/>
      <c r="AB5562" s="500"/>
      <c r="AC5562" s="500"/>
      <c r="AD5562" s="500"/>
      <c r="AE5562" s="500"/>
      <c r="AF5562" s="500"/>
      <c r="AG5562" s="500"/>
      <c r="AH5562" s="500"/>
      <c r="AI5562" s="500"/>
      <c r="AJ5562" s="500"/>
      <c r="AK5562" s="500"/>
      <c r="AL5562" s="500"/>
      <c r="AM5562" s="500"/>
      <c r="AN5562" s="500"/>
      <c r="AO5562" s="500"/>
      <c r="AP5562" s="500"/>
    </row>
    <row r="5563" spans="1:42" ht="16.5" customHeight="1">
      <c r="A5563" s="439"/>
      <c r="B5563" s="439"/>
      <c r="C5563" s="439"/>
      <c r="D5563" s="439"/>
      <c r="E5563" s="439"/>
      <c r="F5563" s="439"/>
      <c r="G5563" s="451" t="s">
        <v>3406</v>
      </c>
      <c r="Z5563" s="500"/>
      <c r="AA5563" s="500"/>
      <c r="AB5563" s="500"/>
      <c r="AC5563" s="500"/>
      <c r="AD5563" s="500"/>
      <c r="AE5563" s="500"/>
      <c r="AF5563" s="500"/>
      <c r="AG5563" s="500"/>
      <c r="AH5563" s="500"/>
      <c r="AI5563" s="500"/>
      <c r="AJ5563" s="500"/>
      <c r="AK5563" s="500"/>
      <c r="AL5563" s="500"/>
      <c r="AM5563" s="500"/>
      <c r="AN5563" s="500"/>
      <c r="AO5563" s="500"/>
      <c r="AP5563" s="500"/>
    </row>
    <row r="5564" spans="1:42" ht="16.5" customHeight="1">
      <c r="A5564" s="434"/>
      <c r="B5564" s="437" t="str">
        <f>" 일당 작업량 :  Q1 = "&amp;Z5564&amp;" 주 "</f>
        <v xml:space="preserve"> 일당 작업량 :  Q1 = 15 주 </v>
      </c>
      <c r="C5564" s="439"/>
      <c r="D5564" s="439"/>
      <c r="E5564" s="439"/>
      <c r="F5564" s="439"/>
      <c r="G5564" s="451" t="s">
        <v>3978</v>
      </c>
      <c r="Z5564" s="515">
        <v>15</v>
      </c>
      <c r="AA5564" s="501" t="s">
        <v>3418</v>
      </c>
      <c r="AB5564" s="512">
        <f>Z5564</f>
        <v>15</v>
      </c>
      <c r="AC5564" s="500"/>
      <c r="AD5564" s="500"/>
      <c r="AE5564" s="500"/>
      <c r="AF5564" s="500"/>
      <c r="AG5564" s="500"/>
      <c r="AH5564" s="500"/>
      <c r="AI5564" s="500"/>
      <c r="AJ5564" s="500"/>
      <c r="AK5564" s="500"/>
      <c r="AL5564" s="500"/>
      <c r="AM5564" s="500"/>
      <c r="AN5564" s="500"/>
      <c r="AO5564" s="500"/>
      <c r="AP5564" s="500"/>
    </row>
    <row r="5565" spans="1:42" ht="16.5" customHeight="1">
      <c r="A5565" s="439"/>
      <c r="B5565" s="439"/>
      <c r="C5565" s="439"/>
      <c r="D5565" s="439"/>
      <c r="E5565" s="439"/>
      <c r="F5565" s="439"/>
      <c r="G5565" s="451" t="s">
        <v>3406</v>
      </c>
      <c r="Z5565" s="500"/>
      <c r="AA5565" s="500"/>
      <c r="AB5565" s="500"/>
      <c r="AC5565" s="500"/>
      <c r="AD5565" s="500"/>
      <c r="AE5565" s="500"/>
      <c r="AF5565" s="500"/>
      <c r="AG5565" s="500"/>
      <c r="AH5565" s="500"/>
      <c r="AI5565" s="500"/>
      <c r="AJ5565" s="500"/>
      <c r="AK5565" s="500"/>
      <c r="AL5565" s="500"/>
      <c r="AM5565" s="500"/>
      <c r="AN5565" s="500"/>
      <c r="AO5565" s="500"/>
      <c r="AP5565" s="500"/>
    </row>
    <row r="5566" spans="1:42" ht="16.5" customHeight="1">
      <c r="A5566" s="434"/>
      <c r="B5566" s="437" t="s">
        <v>3958</v>
      </c>
      <c r="C5566" s="439"/>
      <c r="D5566" s="439"/>
      <c r="E5566" s="439"/>
      <c r="F5566" s="439"/>
      <c r="G5566" s="451" t="s">
        <v>3959</v>
      </c>
      <c r="Z5566" s="500"/>
      <c r="AA5566" s="500"/>
      <c r="AB5566" s="500"/>
      <c r="AC5566" s="500"/>
      <c r="AD5566" s="500"/>
      <c r="AE5566" s="500"/>
      <c r="AF5566" s="500"/>
      <c r="AG5566" s="500"/>
      <c r="AH5566" s="500"/>
      <c r="AI5566" s="500"/>
      <c r="AJ5566" s="500"/>
      <c r="AK5566" s="500"/>
      <c r="AL5566" s="500"/>
      <c r="AM5566" s="500"/>
      <c r="AN5566" s="500"/>
      <c r="AO5566" s="500"/>
      <c r="AP5566" s="500"/>
    </row>
    <row r="5567" spans="1:42" ht="16.5" customHeight="1">
      <c r="A5567" s="439"/>
      <c r="B5567" s="439"/>
      <c r="C5567" s="439"/>
      <c r="D5567" s="439"/>
      <c r="E5567" s="439"/>
      <c r="F5567" s="439"/>
      <c r="G5567" s="451" t="s">
        <v>3406</v>
      </c>
      <c r="Z5567" s="500"/>
      <c r="AA5567" s="500"/>
      <c r="AB5567" s="500"/>
      <c r="AC5567" s="500"/>
      <c r="AD5567" s="500"/>
      <c r="AE5567" s="500"/>
      <c r="AF5567" s="500"/>
      <c r="AG5567" s="500"/>
      <c r="AH5567" s="500"/>
      <c r="AI5567" s="500"/>
      <c r="AJ5567" s="500"/>
      <c r="AK5567" s="500"/>
      <c r="AL5567" s="500"/>
      <c r="AM5567" s="500"/>
      <c r="AN5567" s="500"/>
      <c r="AO5567" s="500"/>
      <c r="AP5567" s="500"/>
    </row>
    <row r="5568" spans="1:42" ht="16.5" customHeight="1">
      <c r="A5568" s="439"/>
      <c r="B5568" s="439"/>
      <c r="C5568" s="439"/>
      <c r="D5568" s="439"/>
      <c r="E5568" s="439"/>
      <c r="F5568" s="439"/>
      <c r="G5568" s="451" t="s">
        <v>3406</v>
      </c>
      <c r="Z5568" s="500"/>
      <c r="AA5568" s="500"/>
      <c r="AB5568" s="500"/>
      <c r="AC5568" s="500"/>
      <c r="AD5568" s="500"/>
      <c r="AE5568" s="500"/>
      <c r="AF5568" s="500"/>
      <c r="AG5568" s="500"/>
      <c r="AH5568" s="500"/>
      <c r="AI5568" s="500"/>
      <c r="AJ5568" s="500"/>
      <c r="AK5568" s="500"/>
      <c r="AL5568" s="500"/>
      <c r="AM5568" s="500"/>
      <c r="AN5568" s="500"/>
      <c r="AO5568" s="500"/>
      <c r="AP5568" s="500"/>
    </row>
    <row r="5569" spans="1:42" ht="16.5" customHeight="1">
      <c r="A5569" s="434"/>
      <c r="B5569" s="437" t="s">
        <v>3496</v>
      </c>
      <c r="C5569" s="439"/>
      <c r="D5569" s="439"/>
      <c r="E5569" s="439"/>
      <c r="F5569" s="439"/>
      <c r="G5569" s="451" t="s">
        <v>3497</v>
      </c>
      <c r="Z5569" s="500"/>
      <c r="AA5569" s="500"/>
      <c r="AB5569" s="500"/>
      <c r="AC5569" s="500"/>
      <c r="AD5569" s="500"/>
      <c r="AE5569" s="500"/>
      <c r="AF5569" s="500"/>
      <c r="AG5569" s="500"/>
      <c r="AH5569" s="500"/>
      <c r="AI5569" s="500"/>
      <c r="AJ5569" s="500"/>
      <c r="AK5569" s="500"/>
      <c r="AL5569" s="500"/>
      <c r="AM5569" s="500"/>
      <c r="AN5569" s="500"/>
      <c r="AO5569" s="500"/>
      <c r="AP5569" s="500"/>
    </row>
    <row r="5570" spans="1:42" ht="16.5" customHeight="1">
      <c r="A5570" s="439"/>
      <c r="B5570" s="439"/>
      <c r="C5570" s="439"/>
      <c r="D5570" s="439"/>
      <c r="E5570" s="439"/>
      <c r="F5570" s="439"/>
      <c r="G5570" s="451" t="s">
        <v>3406</v>
      </c>
      <c r="Z5570" s="500"/>
      <c r="AA5570" s="500"/>
      <c r="AB5570" s="500"/>
      <c r="AC5570" s="500"/>
      <c r="AD5570" s="500"/>
      <c r="AE5570" s="500"/>
      <c r="AF5570" s="500"/>
      <c r="AG5570" s="500"/>
      <c r="AH5570" s="500"/>
      <c r="AI5570" s="500"/>
      <c r="AJ5570" s="500"/>
      <c r="AK5570" s="500"/>
      <c r="AL5570" s="500"/>
      <c r="AM5570" s="500"/>
      <c r="AN5570" s="500"/>
      <c r="AO5570" s="500"/>
      <c r="AP5570" s="500"/>
    </row>
    <row r="5571" spans="1:42" ht="16.5" customHeight="1">
      <c r="A5571" s="434" t="s">
        <v>3498</v>
      </c>
      <c r="B5571" s="505" t="str">
        <f>" 조 경 공 : "&amp;TEXT(I5571,"#,##0"&amp;IF(I5571&lt;&gt;INT(I5571),".###",""))&amp;" * "&amp;AA5571&amp;" 인  / Q1 = "&amp;TEXT(C5571,"#,##0.0")&amp;" "</f>
        <v xml:space="preserve"> 조 경 공 : 235,204 * 2 인  / Q1 = 31,360.5 </v>
      </c>
      <c r="C5571" s="506">
        <f>E5571+D5571+F5571</f>
        <v>31360.5</v>
      </c>
      <c r="D5571" s="506">
        <f>IF(H5571=0,0,ROUNDDOWN(J5571*H5571,1))</f>
        <v>31360.5</v>
      </c>
      <c r="E5571" s="506">
        <f>IF(H5571=0,0,ROUNDDOWN(K5571*H5571,1))</f>
        <v>0</v>
      </c>
      <c r="F5571" s="506">
        <f>IF(H5571=0,0,ROUNDDOWN(L5571*H5571,1))</f>
        <v>0</v>
      </c>
      <c r="G5571" s="451" t="s">
        <v>3960</v>
      </c>
      <c r="H5571" s="507">
        <f>ROUNDUP(AE5571,14-LEN(ABS(INT(AE5571))))</f>
        <v>0.1333333333334</v>
      </c>
      <c r="I5571" s="508">
        <f>K5571+J5571+L5571</f>
        <v>235204</v>
      </c>
      <c r="J5571" s="509">
        <f>노무비목록표!E15</f>
        <v>235204</v>
      </c>
      <c r="M5571" s="501" t="s">
        <v>2359</v>
      </c>
      <c r="N5571" s="501" t="s">
        <v>3416</v>
      </c>
      <c r="O5571" s="501" t="s">
        <v>2355</v>
      </c>
      <c r="X5571" s="510" t="str">
        <f>노무비목록표!B15&amp;" / "&amp;노무비목록표!C15</f>
        <v xml:space="preserve">조경공 / </v>
      </c>
      <c r="Y5571" s="433" t="str">
        <f ca="1">HYPERLINK("#"&amp;노무비목록표!G2&amp;"!A"&amp;ROW(노무비목록표!A15),"L00184 →")</f>
        <v>L00184 →</v>
      </c>
      <c r="Z5571" s="501" t="s">
        <v>3500</v>
      </c>
      <c r="AA5571" s="515">
        <v>2</v>
      </c>
      <c r="AB5571" s="501" t="s">
        <v>3428</v>
      </c>
      <c r="AC5571" s="512">
        <f>AB5564</f>
        <v>15</v>
      </c>
      <c r="AD5571" s="501" t="s">
        <v>3418</v>
      </c>
      <c r="AE5571" s="512">
        <f>1*AA5571/AB5564</f>
        <v>0.13333333333333333</v>
      </c>
      <c r="AF5571" s="500"/>
      <c r="AG5571" s="500"/>
      <c r="AH5571" s="500"/>
      <c r="AI5571" s="500"/>
      <c r="AJ5571" s="500"/>
      <c r="AK5571" s="500"/>
      <c r="AL5571" s="500"/>
      <c r="AM5571" s="500"/>
      <c r="AN5571" s="500"/>
      <c r="AO5571" s="500"/>
      <c r="AP5571" s="500"/>
    </row>
    <row r="5572" spans="1:42" ht="16.5" customHeight="1">
      <c r="A5572" s="439"/>
      <c r="B5572" s="439"/>
      <c r="C5572" s="439"/>
      <c r="D5572" s="439"/>
      <c r="E5572" s="439"/>
      <c r="F5572" s="439"/>
      <c r="G5572" s="451" t="s">
        <v>3406</v>
      </c>
      <c r="Z5572" s="500"/>
      <c r="AA5572" s="500"/>
      <c r="AB5572" s="500"/>
      <c r="AC5572" s="500"/>
      <c r="AD5572" s="500"/>
      <c r="AE5572" s="500"/>
      <c r="AF5572" s="500"/>
      <c r="AG5572" s="500"/>
      <c r="AH5572" s="500"/>
      <c r="AI5572" s="500"/>
      <c r="AJ5572" s="500"/>
      <c r="AK5572" s="500"/>
      <c r="AL5572" s="500"/>
      <c r="AM5572" s="500"/>
      <c r="AN5572" s="500"/>
      <c r="AO5572" s="500"/>
      <c r="AP5572" s="500"/>
    </row>
    <row r="5573" spans="1:42" ht="16.5" customHeight="1">
      <c r="A5573" s="434" t="s">
        <v>3414</v>
      </c>
      <c r="B5573" s="505" t="str">
        <f>" 보통인부 : "&amp;TEXT(I5573,"#,##0"&amp;IF(I5573&lt;&gt;INT(I5573),".###",""))&amp;" * "&amp;AA5573&amp;" 인  / Q1 = "&amp;TEXT(C5573,"#,##0.0")&amp;" "</f>
        <v xml:space="preserve"> 보통인부 : 172,068 * 1 인  / Q1 = 11,471.2 </v>
      </c>
      <c r="C5573" s="506">
        <f>E5573+D5573+F5573</f>
        <v>11471.2</v>
      </c>
      <c r="D5573" s="506">
        <f>IF(H5573=0,0,ROUNDDOWN(J5573*H5573,1))</f>
        <v>11471.2</v>
      </c>
      <c r="E5573" s="506">
        <f>IF(H5573=0,0,ROUNDDOWN(K5573*H5573,1))</f>
        <v>0</v>
      </c>
      <c r="F5573" s="506">
        <f>IF(H5573=0,0,ROUNDDOWN(L5573*H5573,1))</f>
        <v>0</v>
      </c>
      <c r="G5573" s="451" t="s">
        <v>3894</v>
      </c>
      <c r="H5573" s="507">
        <f>ROUNDUP(AE5573,14-LEN(ABS(INT(AE5573))))</f>
        <v>6.66666666667E-2</v>
      </c>
      <c r="I5573" s="508">
        <f>K5573+J5573+L5573</f>
        <v>172068</v>
      </c>
      <c r="J5573" s="509">
        <f>노무비목록표!E10</f>
        <v>172068</v>
      </c>
      <c r="M5573" s="501" t="s">
        <v>2363</v>
      </c>
      <c r="N5573" s="501" t="s">
        <v>3416</v>
      </c>
      <c r="O5573" s="501" t="s">
        <v>2355</v>
      </c>
      <c r="X5573" s="510" t="str">
        <f>노무비목록표!B10&amp;" / "&amp;노무비목록표!C10</f>
        <v xml:space="preserve">보통인부 / </v>
      </c>
      <c r="Y5573" s="433" t="str">
        <f ca="1">HYPERLINK("#"&amp;노무비목록표!G2&amp;"!A"&amp;ROW(노무비목록표!A10),"L00017 →")</f>
        <v>L00017 →</v>
      </c>
      <c r="Z5573" s="501" t="s">
        <v>3500</v>
      </c>
      <c r="AA5573" s="515">
        <v>1</v>
      </c>
      <c r="AB5573" s="501" t="s">
        <v>3428</v>
      </c>
      <c r="AC5573" s="512">
        <f>AB5564</f>
        <v>15</v>
      </c>
      <c r="AD5573" s="501" t="s">
        <v>3418</v>
      </c>
      <c r="AE5573" s="512">
        <f>1*AA5573/AB5564</f>
        <v>6.6666666666666666E-2</v>
      </c>
      <c r="AF5573" s="500"/>
      <c r="AG5573" s="500"/>
      <c r="AH5573" s="500"/>
      <c r="AI5573" s="500"/>
      <c r="AJ5573" s="500"/>
      <c r="AK5573" s="500"/>
      <c r="AL5573" s="500"/>
      <c r="AM5573" s="500"/>
      <c r="AN5573" s="500"/>
      <c r="AO5573" s="500"/>
      <c r="AP5573" s="500"/>
    </row>
    <row r="5574" spans="1:42" ht="16.5" customHeight="1">
      <c r="A5574" s="439"/>
      <c r="B5574" s="439"/>
      <c r="C5574" s="439"/>
      <c r="D5574" s="439"/>
      <c r="E5574" s="439"/>
      <c r="F5574" s="439"/>
      <c r="G5574" s="451" t="s">
        <v>3406</v>
      </c>
      <c r="Z5574" s="500"/>
      <c r="AA5574" s="500"/>
      <c r="AB5574" s="500"/>
      <c r="AC5574" s="500"/>
      <c r="AD5574" s="500"/>
      <c r="AE5574" s="500"/>
      <c r="AF5574" s="500"/>
      <c r="AG5574" s="500"/>
      <c r="AH5574" s="500"/>
      <c r="AI5574" s="500"/>
      <c r="AJ5574" s="500"/>
      <c r="AK5574" s="500"/>
      <c r="AL5574" s="500"/>
      <c r="AM5574" s="500"/>
      <c r="AN5574" s="500"/>
      <c r="AO5574" s="500"/>
      <c r="AP5574" s="500"/>
    </row>
    <row r="5575" spans="1:42" ht="16.5" customHeight="1">
      <c r="A5575" s="434"/>
      <c r="B5575" s="437" t="s">
        <v>3419</v>
      </c>
      <c r="C5575" s="513">
        <f>E5575+D5575+F5575</f>
        <v>42831.7</v>
      </c>
      <c r="D5575" s="513">
        <f>SUMIF(N5557:N5574,M5575,D5557:D5574)</f>
        <v>42831.7</v>
      </c>
      <c r="E5575" s="513">
        <f>SUMIF(N5557:N5574,M5575,E5557:E5574)</f>
        <v>0</v>
      </c>
      <c r="F5575" s="513">
        <f>SUMIF(N5557:N5574,M5575,F5557:F5574)</f>
        <v>0</v>
      </c>
      <c r="G5575" s="451" t="s">
        <v>3420</v>
      </c>
      <c r="M5575" s="501" t="s">
        <v>3416</v>
      </c>
      <c r="N5575" s="501" t="s">
        <v>3421</v>
      </c>
      <c r="Z5575" s="500"/>
      <c r="AA5575" s="500"/>
      <c r="AB5575" s="500"/>
      <c r="AC5575" s="500"/>
      <c r="AD5575" s="500"/>
      <c r="AE5575" s="500"/>
      <c r="AF5575" s="500"/>
      <c r="AG5575" s="500"/>
      <c r="AH5575" s="500"/>
      <c r="AI5575" s="500"/>
      <c r="AJ5575" s="500"/>
      <c r="AK5575" s="500"/>
      <c r="AL5575" s="500"/>
      <c r="AM5575" s="500"/>
      <c r="AN5575" s="500"/>
      <c r="AO5575" s="500"/>
      <c r="AP5575" s="500"/>
    </row>
    <row r="5576" spans="1:42" ht="16.5" customHeight="1">
      <c r="A5576" s="439"/>
      <c r="B5576" s="439"/>
      <c r="C5576" s="504"/>
      <c r="D5576" s="504"/>
      <c r="E5576" s="504"/>
      <c r="F5576" s="504"/>
      <c r="G5576" s="451" t="s">
        <v>3406</v>
      </c>
      <c r="Z5576" s="500"/>
      <c r="AA5576" s="500"/>
      <c r="AB5576" s="500"/>
      <c r="AC5576" s="500"/>
      <c r="AD5576" s="500"/>
      <c r="AE5576" s="500"/>
      <c r="AF5576" s="500"/>
      <c r="AG5576" s="500"/>
      <c r="AH5576" s="500"/>
      <c r="AI5576" s="500"/>
      <c r="AJ5576" s="500"/>
      <c r="AK5576" s="500"/>
      <c r="AL5576" s="500"/>
      <c r="AM5576" s="500"/>
      <c r="AN5576" s="500"/>
      <c r="AO5576" s="500"/>
      <c r="AP5576" s="500"/>
    </row>
    <row r="5577" spans="1:42" ht="16.5" customHeight="1">
      <c r="A5577" s="439"/>
      <c r="B5577" s="439"/>
      <c r="C5577" s="439"/>
      <c r="D5577" s="439"/>
      <c r="E5577" s="439"/>
      <c r="F5577" s="439"/>
      <c r="G5577" s="451" t="s">
        <v>3406</v>
      </c>
      <c r="Z5577" s="500"/>
      <c r="AA5577" s="500"/>
      <c r="AB5577" s="500"/>
      <c r="AC5577" s="500"/>
      <c r="AD5577" s="500"/>
      <c r="AE5577" s="500"/>
      <c r="AF5577" s="500"/>
      <c r="AG5577" s="500"/>
      <c r="AH5577" s="500"/>
      <c r="AI5577" s="500"/>
      <c r="AJ5577" s="500"/>
      <c r="AK5577" s="500"/>
      <c r="AL5577" s="500"/>
      <c r="AM5577" s="500"/>
      <c r="AN5577" s="500"/>
      <c r="AO5577" s="500"/>
      <c r="AP5577" s="500"/>
    </row>
    <row r="5578" spans="1:42" ht="16.5" customHeight="1">
      <c r="A5578" s="434"/>
      <c r="B5578" s="505" t="str">
        <f>" 2. 기계경비(인력품의 3%) : "&amp;TEXT(I5578,"#,##0.0")&amp;" * "&amp;AA5578&amp;" %  = "&amp;TEXT(C5578,"#,##0.0")&amp;""</f>
        <v xml:space="preserve"> 2. 기계경비(인력품의 3%) : 42,831.7 * 3 %  = 1,284.9</v>
      </c>
      <c r="C5578" s="506">
        <f>E5578+D5578+F5578</f>
        <v>1284.9000000000001</v>
      </c>
      <c r="D5578" s="506">
        <f>IF(H5578=0,0,ROUNDDOWN(J5578*H5578/100,1))</f>
        <v>0</v>
      </c>
      <c r="E5578" s="506">
        <f>IF(H5578=0,0,ROUNDDOWN(K5578*H5578/100,1))</f>
        <v>0</v>
      </c>
      <c r="F5578" s="506">
        <f>IF(H5578=0,0,ROUNDDOWN(L5578*H5578/100,1))</f>
        <v>1284.9000000000001</v>
      </c>
      <c r="G5578" s="451" t="s">
        <v>3923</v>
      </c>
      <c r="H5578" s="507">
        <f>ROUNDUP(AC5578,14-LEN(ABS(INT(AC5578))))</f>
        <v>3</v>
      </c>
      <c r="I5578" s="508">
        <f>K5578+J5578+L5578</f>
        <v>42831.7</v>
      </c>
      <c r="J5578" s="456">
        <v>0</v>
      </c>
      <c r="K5578" s="456">
        <v>0</v>
      </c>
      <c r="L5578" s="509">
        <f>D5571+D5573</f>
        <v>42831.7</v>
      </c>
      <c r="M5578" s="501" t="s">
        <v>3743</v>
      </c>
      <c r="N5578" s="501" t="s">
        <v>3416</v>
      </c>
      <c r="Z5578" s="501" t="s">
        <v>3500</v>
      </c>
      <c r="AA5578" s="515">
        <v>3</v>
      </c>
      <c r="AB5578" s="501" t="s">
        <v>3418</v>
      </c>
      <c r="AC5578" s="512">
        <f>1*AA5578</f>
        <v>3</v>
      </c>
      <c r="AD5578" s="500"/>
      <c r="AE5578" s="500"/>
      <c r="AF5578" s="500"/>
      <c r="AG5578" s="500"/>
      <c r="AH5578" s="500"/>
      <c r="AI5578" s="500"/>
      <c r="AJ5578" s="500"/>
      <c r="AK5578" s="500"/>
      <c r="AL5578" s="500"/>
      <c r="AM5578" s="500"/>
      <c r="AN5578" s="500"/>
      <c r="AO5578" s="500"/>
      <c r="AP5578" s="500"/>
    </row>
    <row r="5579" spans="1:42" ht="16.5" customHeight="1">
      <c r="A5579" s="439"/>
      <c r="B5579" s="439"/>
      <c r="C5579" s="439"/>
      <c r="D5579" s="439"/>
      <c r="E5579" s="439"/>
      <c r="F5579" s="439"/>
      <c r="G5579" s="451" t="s">
        <v>3406</v>
      </c>
      <c r="Z5579" s="500"/>
      <c r="AA5579" s="500"/>
      <c r="AB5579" s="500"/>
      <c r="AC5579" s="500"/>
      <c r="AD5579" s="500"/>
      <c r="AE5579" s="500"/>
      <c r="AF5579" s="500"/>
      <c r="AG5579" s="500"/>
      <c r="AH5579" s="500"/>
      <c r="AI5579" s="500"/>
      <c r="AJ5579" s="500"/>
      <c r="AK5579" s="500"/>
      <c r="AL5579" s="500"/>
      <c r="AM5579" s="500"/>
      <c r="AN5579" s="500"/>
      <c r="AO5579" s="500"/>
      <c r="AP5579" s="500"/>
    </row>
    <row r="5580" spans="1:42" ht="16.5" customHeight="1">
      <c r="A5580" s="434"/>
      <c r="B5580" s="437" t="s">
        <v>3419</v>
      </c>
      <c r="C5580" s="513">
        <f>E5580+D5580+F5580</f>
        <v>1284.9000000000001</v>
      </c>
      <c r="D5580" s="513">
        <f>SUMIF(N5576:N5579,M5580,D5576:D5579)</f>
        <v>0</v>
      </c>
      <c r="E5580" s="513">
        <f>SUMIF(N5576:N5579,M5580,E5576:E5579)</f>
        <v>0</v>
      </c>
      <c r="F5580" s="513">
        <f>SUMIF(N5576:N5579,M5580,F5576:F5579)</f>
        <v>1284.9000000000001</v>
      </c>
      <c r="G5580" s="451" t="s">
        <v>3439</v>
      </c>
      <c r="M5580" s="501" t="s">
        <v>3416</v>
      </c>
      <c r="N5580" s="501" t="s">
        <v>3421</v>
      </c>
      <c r="Z5580" s="500"/>
      <c r="AA5580" s="500"/>
      <c r="AB5580" s="500"/>
      <c r="AC5580" s="500"/>
      <c r="AD5580" s="500"/>
      <c r="AE5580" s="500"/>
      <c r="AF5580" s="500"/>
      <c r="AG5580" s="500"/>
      <c r="AH5580" s="500"/>
      <c r="AI5580" s="500"/>
      <c r="AJ5580" s="500"/>
      <c r="AK5580" s="500"/>
      <c r="AL5580" s="500"/>
      <c r="AM5580" s="500"/>
      <c r="AN5580" s="500"/>
      <c r="AO5580" s="500"/>
      <c r="AP5580" s="500"/>
    </row>
    <row r="5581" spans="1:42" ht="16.5" customHeight="1">
      <c r="A5581" s="439"/>
      <c r="B5581" s="439"/>
      <c r="C5581" s="504"/>
      <c r="D5581" s="504"/>
      <c r="E5581" s="504"/>
      <c r="F5581" s="504"/>
      <c r="G5581" s="451" t="s">
        <v>3406</v>
      </c>
      <c r="Z5581" s="500"/>
      <c r="AA5581" s="500"/>
      <c r="AB5581" s="500"/>
      <c r="AC5581" s="500"/>
      <c r="AD5581" s="500"/>
      <c r="AE5581" s="500"/>
      <c r="AF5581" s="500"/>
      <c r="AG5581" s="500"/>
      <c r="AH5581" s="500"/>
      <c r="AI5581" s="500"/>
      <c r="AJ5581" s="500"/>
      <c r="AK5581" s="500"/>
      <c r="AL5581" s="500"/>
      <c r="AM5581" s="500"/>
      <c r="AN5581" s="500"/>
      <c r="AO5581" s="500"/>
      <c r="AP5581" s="500"/>
    </row>
    <row r="5582" spans="1:42" ht="16.5" customHeight="1">
      <c r="A5582" s="434"/>
      <c r="B5582" s="505" t="str">
        <f>"  산지할증 : "&amp;TEXT(I5582,"#,##0.0")&amp;" * "&amp;AA5582&amp;" %  = "&amp;TEXT(C5582,"#,##0.0")&amp;""</f>
        <v xml:space="preserve">  산지할증 : 42,831.7 * 25 %  = 10,707.9</v>
      </c>
      <c r="C5582" s="506">
        <f>E5582+D5582+F5582</f>
        <v>10707.9</v>
      </c>
      <c r="D5582" s="506">
        <f>IF(H5582=0,0,ROUNDDOWN(J5582*H5582/100,1))</f>
        <v>10707.9</v>
      </c>
      <c r="E5582" s="506">
        <f>IF(H5582=0,0,ROUNDDOWN(K5582*H5582/100,1))</f>
        <v>0</v>
      </c>
      <c r="F5582" s="506">
        <f>IF(H5582=0,0,ROUNDDOWN(L5582*H5582/100,1))</f>
        <v>0</v>
      </c>
      <c r="G5582" s="451" t="s">
        <v>5592</v>
      </c>
      <c r="H5582" s="507">
        <f>ROUNDUP(AC5582,14-LEN(ABS(INT(AC5582))))</f>
        <v>25</v>
      </c>
      <c r="I5582" s="508">
        <f>K5582+J5582+L5582</f>
        <v>42831.7</v>
      </c>
      <c r="J5582" s="508">
        <f>D5575+D5580+SUMIF(N5581:N5581,N5582,D5581:D5581)</f>
        <v>42831.7</v>
      </c>
      <c r="K5582" s="456">
        <v>0</v>
      </c>
      <c r="L5582" s="456">
        <v>0</v>
      </c>
      <c r="M5582" s="501" t="s">
        <v>4208</v>
      </c>
      <c r="N5582" s="501" t="s">
        <v>3416</v>
      </c>
      <c r="Z5582" s="501" t="s">
        <v>3500</v>
      </c>
      <c r="AA5582" s="515">
        <v>25</v>
      </c>
      <c r="AB5582" s="501" t="s">
        <v>3418</v>
      </c>
      <c r="AC5582" s="512">
        <f>1*AA5582</f>
        <v>25</v>
      </c>
      <c r="AD5582" s="500"/>
      <c r="AE5582" s="500"/>
      <c r="AF5582" s="500"/>
      <c r="AG5582" s="500"/>
      <c r="AH5582" s="500"/>
      <c r="AI5582" s="500"/>
      <c r="AJ5582" s="500"/>
      <c r="AK5582" s="500"/>
      <c r="AL5582" s="500"/>
      <c r="AM5582" s="500"/>
      <c r="AN5582" s="500"/>
      <c r="AO5582" s="500"/>
      <c r="AP5582" s="500"/>
    </row>
    <row r="5583" spans="1:42" ht="16.5" customHeight="1">
      <c r="A5583" s="439"/>
      <c r="B5583" s="439"/>
      <c r="C5583" s="439"/>
      <c r="D5583" s="439"/>
      <c r="E5583" s="439"/>
      <c r="F5583" s="439"/>
      <c r="G5583" s="451" t="s">
        <v>3406</v>
      </c>
      <c r="Z5583" s="500"/>
      <c r="AA5583" s="500"/>
      <c r="AB5583" s="500"/>
      <c r="AC5583" s="500"/>
      <c r="AD5583" s="500"/>
      <c r="AE5583" s="500"/>
      <c r="AF5583" s="500"/>
      <c r="AG5583" s="500"/>
      <c r="AH5583" s="500"/>
      <c r="AI5583" s="500"/>
      <c r="AJ5583" s="500"/>
      <c r="AK5583" s="500"/>
      <c r="AL5583" s="500"/>
      <c r="AM5583" s="500"/>
      <c r="AN5583" s="500"/>
      <c r="AO5583" s="500"/>
      <c r="AP5583" s="500"/>
    </row>
    <row r="5584" spans="1:42" ht="16.5" customHeight="1">
      <c r="A5584" s="434"/>
      <c r="B5584" s="437" t="s">
        <v>3419</v>
      </c>
      <c r="C5584" s="513">
        <f>E5584+D5584+F5584</f>
        <v>10707.9</v>
      </c>
      <c r="D5584" s="513">
        <f>SUMIF(N5581:N5583,M5584,D5581:D5583)</f>
        <v>10707.9</v>
      </c>
      <c r="E5584" s="513">
        <f>SUMIF(N5581:N5583,M5584,E5581:E5583)</f>
        <v>0</v>
      </c>
      <c r="F5584" s="513">
        <f>SUMIF(N5581:N5583,M5584,F5581:F5583)</f>
        <v>0</v>
      </c>
      <c r="G5584" s="451" t="s">
        <v>3439</v>
      </c>
      <c r="M5584" s="501" t="s">
        <v>3416</v>
      </c>
      <c r="N5584" s="501" t="s">
        <v>3421</v>
      </c>
      <c r="Z5584" s="500"/>
      <c r="AA5584" s="500"/>
      <c r="AB5584" s="500"/>
      <c r="AC5584" s="500"/>
      <c r="AD5584" s="500"/>
      <c r="AE5584" s="500"/>
      <c r="AF5584" s="500"/>
      <c r="AG5584" s="500"/>
      <c r="AH5584" s="500"/>
      <c r="AI5584" s="500"/>
      <c r="AJ5584" s="500"/>
      <c r="AK5584" s="500"/>
      <c r="AL5584" s="500"/>
      <c r="AM5584" s="500"/>
      <c r="AN5584" s="500"/>
      <c r="AO5584" s="500"/>
      <c r="AP5584" s="500"/>
    </row>
    <row r="5585" spans="1:42" ht="16.5" customHeight="1">
      <c r="A5585" s="439"/>
      <c r="B5585" s="439"/>
      <c r="C5585" s="504"/>
      <c r="D5585" s="504"/>
      <c r="E5585" s="504"/>
      <c r="F5585" s="504"/>
      <c r="G5585" s="451" t="s">
        <v>3406</v>
      </c>
      <c r="Z5585" s="500"/>
      <c r="AA5585" s="500"/>
      <c r="AB5585" s="500"/>
      <c r="AC5585" s="500"/>
      <c r="AD5585" s="500"/>
      <c r="AE5585" s="500"/>
      <c r="AF5585" s="500"/>
      <c r="AG5585" s="500"/>
      <c r="AH5585" s="500"/>
      <c r="AI5585" s="500"/>
      <c r="AJ5585" s="500"/>
      <c r="AK5585" s="500"/>
      <c r="AL5585" s="500"/>
      <c r="AM5585" s="500"/>
      <c r="AN5585" s="500"/>
      <c r="AO5585" s="500"/>
      <c r="AP5585" s="500"/>
    </row>
    <row r="5586" spans="1:42" ht="16.5" customHeight="1">
      <c r="A5586" s="434"/>
      <c r="B5586" s="437" t="s">
        <v>3440</v>
      </c>
      <c r="C5586" s="513">
        <f>E5586+D5586+F5586</f>
        <v>54824.5</v>
      </c>
      <c r="D5586" s="513">
        <f>SUMIF(N5557:N5585,M5586,D5557:D5585)</f>
        <v>53539.6</v>
      </c>
      <c r="E5586" s="513">
        <f>SUMIF(N5557:N5585,M5586,E5557:E5585)</f>
        <v>0</v>
      </c>
      <c r="F5586" s="513">
        <f>SUMIF(N5557:N5585,M5586,F5557:F5585)</f>
        <v>1284.9000000000001</v>
      </c>
      <c r="G5586" s="451" t="s">
        <v>3441</v>
      </c>
      <c r="M5586" s="501" t="s">
        <v>3421</v>
      </c>
      <c r="N5586" s="501" t="s">
        <v>2354</v>
      </c>
      <c r="Z5586" s="500"/>
      <c r="AA5586" s="500"/>
      <c r="AB5586" s="500"/>
      <c r="AC5586" s="500"/>
      <c r="AD5586" s="500"/>
      <c r="AE5586" s="500"/>
      <c r="AF5586" s="500"/>
      <c r="AG5586" s="500"/>
      <c r="AH5586" s="500"/>
      <c r="AI5586" s="500"/>
      <c r="AJ5586" s="500"/>
      <c r="AK5586" s="500"/>
      <c r="AL5586" s="500"/>
      <c r="AM5586" s="500"/>
      <c r="AN5586" s="500"/>
      <c r="AO5586" s="500"/>
      <c r="AP5586" s="500"/>
    </row>
    <row r="5587" spans="1:42" ht="16.5" customHeight="1">
      <c r="A5587" s="439"/>
      <c r="B5587" s="439"/>
      <c r="C5587" s="504"/>
      <c r="D5587" s="504"/>
      <c r="E5587" s="504"/>
      <c r="F5587" s="504"/>
      <c r="Z5587" s="500"/>
      <c r="AA5587" s="500"/>
      <c r="AB5587" s="500"/>
      <c r="AC5587" s="500"/>
      <c r="AD5587" s="500"/>
      <c r="AE5587" s="500"/>
      <c r="AF5587" s="500"/>
      <c r="AG5587" s="500"/>
      <c r="AH5587" s="500"/>
      <c r="AI5587" s="500"/>
      <c r="AJ5587" s="500"/>
      <c r="AK5587" s="500"/>
      <c r="AL5587" s="500"/>
      <c r="AM5587" s="500"/>
      <c r="AN5587" s="500"/>
      <c r="AO5587" s="500"/>
      <c r="AP5587" s="500"/>
    </row>
    <row r="5588" spans="1:42" ht="16.5" customHeight="1">
      <c r="A5588" s="439"/>
      <c r="B5588" s="439"/>
      <c r="C5588" s="439"/>
      <c r="D5588" s="439"/>
      <c r="E5588" s="439"/>
      <c r="F5588" s="439"/>
      <c r="Z5588" s="500"/>
      <c r="AA5588" s="500"/>
      <c r="AB5588" s="500"/>
      <c r="AC5588" s="500"/>
      <c r="AD5588" s="500"/>
      <c r="AE5588" s="500"/>
      <c r="AF5588" s="500"/>
      <c r="AG5588" s="500"/>
      <c r="AH5588" s="500"/>
      <c r="AI5588" s="500"/>
      <c r="AJ5588" s="500"/>
      <c r="AK5588" s="500"/>
      <c r="AL5588" s="500"/>
      <c r="AM5588" s="500"/>
      <c r="AN5588" s="500"/>
      <c r="AO5588" s="500"/>
      <c r="AP5588" s="500"/>
    </row>
    <row r="5589" spans="1:42" ht="16.5" customHeight="1">
      <c r="A5589" s="439"/>
      <c r="B5589" s="439"/>
      <c r="C5589" s="439"/>
      <c r="D5589" s="439"/>
      <c r="E5589" s="439"/>
      <c r="F5589" s="439"/>
      <c r="Z5589" s="500"/>
      <c r="AA5589" s="500"/>
      <c r="AB5589" s="500"/>
      <c r="AC5589" s="500"/>
      <c r="AD5589" s="500"/>
      <c r="AE5589" s="500"/>
      <c r="AF5589" s="500"/>
      <c r="AG5589" s="500"/>
      <c r="AH5589" s="500"/>
      <c r="AI5589" s="500"/>
      <c r="AJ5589" s="500"/>
      <c r="AK5589" s="500"/>
      <c r="AL5589" s="500"/>
      <c r="AM5589" s="500"/>
      <c r="AN5589" s="500"/>
      <c r="AO5589" s="500"/>
      <c r="AP5589" s="500"/>
    </row>
    <row r="5590" spans="1:42" ht="16.5" customHeight="1">
      <c r="A5590" s="439"/>
      <c r="B5590" s="439"/>
      <c r="C5590" s="439"/>
      <c r="D5590" s="439"/>
      <c r="E5590" s="439"/>
      <c r="F5590" s="439"/>
      <c r="Z5590" s="500"/>
      <c r="AA5590" s="500"/>
      <c r="AB5590" s="500"/>
      <c r="AC5590" s="500"/>
      <c r="AD5590" s="500"/>
      <c r="AE5590" s="500"/>
      <c r="AF5590" s="500"/>
      <c r="AG5590" s="500"/>
      <c r="AH5590" s="500"/>
      <c r="AI5590" s="500"/>
      <c r="AJ5590" s="500"/>
      <c r="AK5590" s="500"/>
      <c r="AL5590" s="500"/>
      <c r="AM5590" s="500"/>
      <c r="AN5590" s="500"/>
      <c r="AO5590" s="500"/>
      <c r="AP5590" s="500"/>
    </row>
    <row r="5591" spans="1:42" ht="16.5" customHeight="1">
      <c r="A5591" s="439"/>
      <c r="B5591" s="439"/>
      <c r="C5591" s="439"/>
      <c r="D5591" s="439"/>
      <c r="E5591" s="439"/>
      <c r="F5591" s="439"/>
      <c r="Z5591" s="500"/>
      <c r="AA5591" s="500"/>
      <c r="AB5591" s="500"/>
      <c r="AC5591" s="500"/>
      <c r="AD5591" s="500"/>
      <c r="AE5591" s="500"/>
      <c r="AF5591" s="500"/>
      <c r="AG5591" s="500"/>
      <c r="AH5591" s="500"/>
      <c r="AI5591" s="500"/>
      <c r="AJ5591" s="500"/>
      <c r="AK5591" s="500"/>
      <c r="AL5591" s="500"/>
      <c r="AM5591" s="500"/>
      <c r="AN5591" s="500"/>
      <c r="AO5591" s="500"/>
      <c r="AP5591" s="500"/>
    </row>
    <row r="5592" spans="1:42" ht="16.5" customHeight="1">
      <c r="A5592" s="439"/>
      <c r="B5592" s="439"/>
      <c r="C5592" s="439"/>
      <c r="D5592" s="439"/>
      <c r="E5592" s="439"/>
      <c r="F5592" s="439"/>
      <c r="Z5592" s="500"/>
      <c r="AA5592" s="500"/>
      <c r="AB5592" s="500"/>
      <c r="AC5592" s="500"/>
      <c r="AD5592" s="500"/>
      <c r="AE5592" s="500"/>
      <c r="AF5592" s="500"/>
      <c r="AG5592" s="500"/>
      <c r="AH5592" s="500"/>
      <c r="AI5592" s="500"/>
      <c r="AJ5592" s="500"/>
      <c r="AK5592" s="500"/>
      <c r="AL5592" s="500"/>
      <c r="AM5592" s="500"/>
      <c r="AN5592" s="500"/>
      <c r="AO5592" s="500"/>
      <c r="AP5592" s="500"/>
    </row>
    <row r="5593" spans="1:42" ht="16.5" customHeight="1">
      <c r="A5593" s="439"/>
      <c r="B5593" s="439"/>
      <c r="C5593" s="439"/>
      <c r="D5593" s="439"/>
      <c r="E5593" s="439"/>
      <c r="F5593" s="439"/>
      <c r="Z5593" s="500"/>
      <c r="AA5593" s="500"/>
      <c r="AB5593" s="500"/>
      <c r="AC5593" s="500"/>
      <c r="AD5593" s="500"/>
      <c r="AE5593" s="500"/>
      <c r="AF5593" s="500"/>
      <c r="AG5593" s="500"/>
      <c r="AH5593" s="500"/>
      <c r="AI5593" s="500"/>
      <c r="AJ5593" s="500"/>
      <c r="AK5593" s="500"/>
      <c r="AL5593" s="500"/>
      <c r="AM5593" s="500"/>
      <c r="AN5593" s="500"/>
      <c r="AO5593" s="500"/>
      <c r="AP5593" s="500"/>
    </row>
    <row r="5594" spans="1:42" ht="16.5" customHeight="1">
      <c r="A5594" s="439"/>
      <c r="B5594" s="439"/>
      <c r="C5594" s="439"/>
      <c r="D5594" s="439"/>
      <c r="E5594" s="439"/>
      <c r="F5594" s="439"/>
      <c r="Z5594" s="500"/>
      <c r="AA5594" s="500"/>
      <c r="AB5594" s="500"/>
      <c r="AC5594" s="500"/>
      <c r="AD5594" s="500"/>
      <c r="AE5594" s="500"/>
      <c r="AF5594" s="500"/>
      <c r="AG5594" s="500"/>
      <c r="AH5594" s="500"/>
      <c r="AI5594" s="500"/>
      <c r="AJ5594" s="500"/>
      <c r="AK5594" s="500"/>
      <c r="AL5594" s="500"/>
      <c r="AM5594" s="500"/>
      <c r="AN5594" s="500"/>
      <c r="AO5594" s="500"/>
      <c r="AP5594" s="500"/>
    </row>
    <row r="5595" spans="1:42" ht="16.5" customHeight="1">
      <c r="A5595" s="439"/>
      <c r="B5595" s="439"/>
      <c r="C5595" s="439"/>
      <c r="D5595" s="439"/>
      <c r="E5595" s="439"/>
      <c r="F5595" s="439"/>
      <c r="Z5595" s="500"/>
      <c r="AA5595" s="500"/>
      <c r="AB5595" s="500"/>
      <c r="AC5595" s="500"/>
      <c r="AD5595" s="500"/>
      <c r="AE5595" s="500"/>
      <c r="AF5595" s="500"/>
      <c r="AG5595" s="500"/>
      <c r="AH5595" s="500"/>
      <c r="AI5595" s="500"/>
      <c r="AJ5595" s="500"/>
      <c r="AK5595" s="500"/>
      <c r="AL5595" s="500"/>
      <c r="AM5595" s="500"/>
      <c r="AN5595" s="500"/>
      <c r="AO5595" s="500"/>
      <c r="AP5595" s="500"/>
    </row>
    <row r="5596" spans="1:42" ht="16.5" customHeight="1">
      <c r="A5596" s="439"/>
      <c r="B5596" s="439"/>
      <c r="C5596" s="439"/>
      <c r="D5596" s="439"/>
      <c r="E5596" s="439"/>
      <c r="F5596" s="439"/>
      <c r="Z5596" s="500"/>
      <c r="AA5596" s="500"/>
      <c r="AB5596" s="500"/>
      <c r="AC5596" s="500"/>
      <c r="AD5596" s="500"/>
      <c r="AE5596" s="500"/>
      <c r="AF5596" s="500"/>
      <c r="AG5596" s="500"/>
      <c r="AH5596" s="500"/>
      <c r="AI5596" s="500"/>
      <c r="AJ5596" s="500"/>
      <c r="AK5596" s="500"/>
      <c r="AL5596" s="500"/>
      <c r="AM5596" s="500"/>
      <c r="AN5596" s="500"/>
      <c r="AO5596" s="500"/>
      <c r="AP5596" s="500"/>
    </row>
    <row r="5597" spans="1:42" ht="16.5" customHeight="1">
      <c r="A5597" s="439"/>
      <c r="B5597" s="439"/>
      <c r="C5597" s="439"/>
      <c r="D5597" s="439"/>
      <c r="E5597" s="439"/>
      <c r="F5597" s="439"/>
      <c r="Z5597" s="500"/>
      <c r="AA5597" s="500"/>
      <c r="AB5597" s="500"/>
      <c r="AC5597" s="500"/>
      <c r="AD5597" s="500"/>
      <c r="AE5597" s="500"/>
      <c r="AF5597" s="500"/>
      <c r="AG5597" s="500"/>
      <c r="AH5597" s="500"/>
      <c r="AI5597" s="500"/>
      <c r="AJ5597" s="500"/>
      <c r="AK5597" s="500"/>
      <c r="AL5597" s="500"/>
      <c r="AM5597" s="500"/>
      <c r="AN5597" s="500"/>
      <c r="AO5597" s="500"/>
      <c r="AP5597" s="500"/>
    </row>
    <row r="5598" spans="1:42" ht="16.5" customHeight="1">
      <c r="A5598" s="439"/>
      <c r="B5598" s="439"/>
      <c r="C5598" s="439"/>
      <c r="D5598" s="439"/>
      <c r="E5598" s="439"/>
      <c r="F5598" s="439"/>
      <c r="Z5598" s="500"/>
      <c r="AA5598" s="500"/>
      <c r="AB5598" s="500"/>
      <c r="AC5598" s="500"/>
      <c r="AD5598" s="500"/>
      <c r="AE5598" s="500"/>
      <c r="AF5598" s="500"/>
      <c r="AG5598" s="500"/>
      <c r="AH5598" s="500"/>
      <c r="AI5598" s="500"/>
      <c r="AJ5598" s="500"/>
      <c r="AK5598" s="500"/>
      <c r="AL5598" s="500"/>
      <c r="AM5598" s="500"/>
      <c r="AN5598" s="500"/>
      <c r="AO5598" s="500"/>
      <c r="AP5598" s="500"/>
    </row>
    <row r="5599" spans="1:42" ht="16.5" customHeight="1">
      <c r="A5599" s="439"/>
      <c r="B5599" s="439"/>
      <c r="C5599" s="439"/>
      <c r="D5599" s="439"/>
      <c r="E5599" s="439"/>
      <c r="F5599" s="439"/>
      <c r="Z5599" s="500"/>
      <c r="AA5599" s="500"/>
      <c r="AB5599" s="500"/>
      <c r="AC5599" s="500"/>
      <c r="AD5599" s="500"/>
      <c r="AE5599" s="500"/>
      <c r="AF5599" s="500"/>
      <c r="AG5599" s="500"/>
      <c r="AH5599" s="500"/>
      <c r="AI5599" s="500"/>
      <c r="AJ5599" s="500"/>
      <c r="AK5599" s="500"/>
      <c r="AL5599" s="500"/>
      <c r="AM5599" s="500"/>
      <c r="AN5599" s="500"/>
      <c r="AO5599" s="500"/>
      <c r="AP5599" s="500"/>
    </row>
    <row r="5600" spans="1:42" ht="16.5" customHeight="1">
      <c r="A5600" s="439"/>
      <c r="B5600" s="439"/>
      <c r="C5600" s="439"/>
      <c r="D5600" s="439"/>
      <c r="E5600" s="439"/>
      <c r="F5600" s="439"/>
      <c r="Z5600" s="500"/>
      <c r="AA5600" s="500"/>
      <c r="AB5600" s="500"/>
      <c r="AC5600" s="500"/>
      <c r="AD5600" s="500"/>
      <c r="AE5600" s="500"/>
      <c r="AF5600" s="500"/>
      <c r="AG5600" s="500"/>
      <c r="AH5600" s="500"/>
      <c r="AI5600" s="500"/>
      <c r="AJ5600" s="500"/>
      <c r="AK5600" s="500"/>
      <c r="AL5600" s="500"/>
      <c r="AM5600" s="500"/>
      <c r="AN5600" s="500"/>
      <c r="AO5600" s="500"/>
      <c r="AP5600" s="500"/>
    </row>
    <row r="5601" spans="1:42" ht="16.5" customHeight="1">
      <c r="A5601" s="439"/>
      <c r="B5601" s="439"/>
      <c r="C5601" s="439"/>
      <c r="D5601" s="439"/>
      <c r="E5601" s="439"/>
      <c r="F5601" s="439"/>
      <c r="Z5601" s="500"/>
      <c r="AA5601" s="500"/>
      <c r="AB5601" s="500"/>
      <c r="AC5601" s="500"/>
      <c r="AD5601" s="500"/>
      <c r="AE5601" s="500"/>
      <c r="AF5601" s="500"/>
      <c r="AG5601" s="500"/>
      <c r="AH5601" s="500"/>
      <c r="AI5601" s="500"/>
      <c r="AJ5601" s="500"/>
      <c r="AK5601" s="500"/>
      <c r="AL5601" s="500"/>
      <c r="AM5601" s="500"/>
      <c r="AN5601" s="500"/>
      <c r="AO5601" s="500"/>
      <c r="AP5601" s="500"/>
    </row>
    <row r="5602" spans="1:42" ht="16.5" customHeight="1">
      <c r="A5602" s="439"/>
      <c r="B5602" s="439"/>
      <c r="C5602" s="439"/>
      <c r="D5602" s="439"/>
      <c r="E5602" s="439"/>
      <c r="F5602" s="439"/>
      <c r="Z5602" s="500"/>
      <c r="AA5602" s="500"/>
      <c r="AB5602" s="500"/>
      <c r="AC5602" s="500"/>
      <c r="AD5602" s="500"/>
      <c r="AE5602" s="500"/>
      <c r="AF5602" s="500"/>
      <c r="AG5602" s="500"/>
      <c r="AH5602" s="500"/>
      <c r="AI5602" s="500"/>
      <c r="AJ5602" s="500"/>
      <c r="AK5602" s="500"/>
      <c r="AL5602" s="500"/>
      <c r="AM5602" s="500"/>
      <c r="AN5602" s="500"/>
      <c r="AO5602" s="500"/>
      <c r="AP5602" s="500"/>
    </row>
    <row r="5603" spans="1:42" ht="16.5" customHeight="1">
      <c r="A5603" s="497"/>
      <c r="B5603" s="497"/>
      <c r="C5603" s="497"/>
      <c r="D5603" s="497"/>
      <c r="E5603" s="497"/>
      <c r="F5603" s="497"/>
      <c r="Z5603" s="500"/>
      <c r="AA5603" s="500"/>
      <c r="AB5603" s="500"/>
      <c r="AC5603" s="500"/>
      <c r="AD5603" s="500"/>
      <c r="AE5603" s="500"/>
      <c r="AF5603" s="500"/>
      <c r="AG5603" s="500"/>
      <c r="AH5603" s="500"/>
      <c r="AI5603" s="500"/>
      <c r="AJ5603" s="500"/>
      <c r="AK5603" s="500"/>
      <c r="AL5603" s="500"/>
      <c r="AM5603" s="500"/>
      <c r="AN5603" s="500"/>
      <c r="AO5603" s="500"/>
      <c r="AP5603" s="500"/>
    </row>
    <row r="5604" spans="1:42" ht="16.5" customHeight="1">
      <c r="A5604" s="616" t="s">
        <v>3487</v>
      </c>
      <c r="B5604" s="605"/>
      <c r="C5604" s="446">
        <f>E5604+D5604+F5604</f>
        <v>54823</v>
      </c>
      <c r="D5604" s="453">
        <f>ROUNDDOWN(SUMIF(N5557:N5586,M5604,D5557:D5586),0)</f>
        <v>53539</v>
      </c>
      <c r="E5604" s="454">
        <f>ROUNDDOWN(SUMIF(N5557:N5586,M5604,E5557:E5586),0)</f>
        <v>0</v>
      </c>
      <c r="F5604" s="446">
        <f>ROUNDDOWN(SUMIF(N5557:N5586,M5604,F5557:F5586),0)</f>
        <v>1284</v>
      </c>
      <c r="M5604" s="501" t="s">
        <v>2354</v>
      </c>
      <c r="Z5604" s="500"/>
      <c r="AA5604" s="500"/>
      <c r="AB5604" s="500"/>
      <c r="AC5604" s="500"/>
      <c r="AD5604" s="500"/>
      <c r="AE5604" s="500"/>
      <c r="AF5604" s="500"/>
      <c r="AG5604" s="500"/>
      <c r="AH5604" s="500"/>
      <c r="AI5604" s="500"/>
      <c r="AJ5604" s="500"/>
      <c r="AK5604" s="500"/>
      <c r="AL5604" s="500"/>
      <c r="AM5604" s="500"/>
      <c r="AN5604" s="500"/>
      <c r="AO5604" s="500"/>
      <c r="AP5604" s="500"/>
    </row>
    <row r="5605" spans="1:42" ht="16.5" customHeight="1">
      <c r="A5605" s="502"/>
      <c r="B5605" s="503" t="s">
        <v>2205</v>
      </c>
      <c r="C5605" s="615">
        <f>C5654</f>
        <v>764746</v>
      </c>
      <c r="D5605" s="615">
        <f>D5654</f>
        <v>0</v>
      </c>
      <c r="E5605" s="615">
        <f>E5654</f>
        <v>0</v>
      </c>
      <c r="F5605" s="615">
        <f>F5654</f>
        <v>764746</v>
      </c>
      <c r="G5605" s="486" t="str">
        <f>HYPERLINK("#G"&amp;ROW(G5642),"_x0005_`BDCOD|D01197_x0007_`POSS|"&amp;ROW(G5607)&amp;"_x0007_`POSE|"&amp;ROW(G5642)&amp;"_x0007_`")</f>
        <v>_x0005_`BDCOD|D01197_x0007_`POSS|5607_x0007_`POSE|5642_x0007_`</v>
      </c>
      <c r="Z5605" s="500"/>
      <c r="AA5605" s="500"/>
      <c r="AB5605" s="500"/>
      <c r="AC5605" s="500"/>
      <c r="AD5605" s="500"/>
      <c r="AE5605" s="500"/>
      <c r="AF5605" s="500"/>
      <c r="AG5605" s="500"/>
      <c r="AH5605" s="500"/>
      <c r="AI5605" s="500"/>
      <c r="AJ5605" s="500"/>
      <c r="AK5605" s="500"/>
      <c r="AL5605" s="500"/>
      <c r="AM5605" s="500"/>
      <c r="AN5605" s="500"/>
      <c r="AO5605" s="500"/>
      <c r="AP5605" s="500"/>
    </row>
    <row r="5606" spans="1:42" ht="16.5" customHeight="1">
      <c r="A5606" s="485"/>
      <c r="B5606" s="503" t="s">
        <v>3979</v>
      </c>
      <c r="C5606" s="593"/>
      <c r="D5606" s="593"/>
      <c r="E5606" s="593"/>
      <c r="F5606" s="593"/>
      <c r="M5606" s="501" t="s">
        <v>2205</v>
      </c>
      <c r="Z5606" s="500"/>
      <c r="AA5606" s="500"/>
      <c r="AB5606" s="500"/>
      <c r="AC5606" s="500"/>
      <c r="AD5606" s="500"/>
      <c r="AE5606" s="500"/>
      <c r="AF5606" s="500"/>
      <c r="AG5606" s="500"/>
      <c r="AH5606" s="500"/>
      <c r="AI5606" s="500"/>
      <c r="AJ5606" s="500"/>
      <c r="AK5606" s="500"/>
      <c r="AL5606" s="500"/>
      <c r="AM5606" s="500"/>
      <c r="AN5606" s="500"/>
      <c r="AO5606" s="500"/>
      <c r="AP5606" s="500"/>
    </row>
    <row r="5607" spans="1:42" ht="16.5" customHeight="1">
      <c r="A5607" s="434"/>
      <c r="B5607" s="437" t="s">
        <v>3980</v>
      </c>
      <c r="C5607" s="504"/>
      <c r="D5607" s="504"/>
      <c r="E5607" s="504"/>
      <c r="F5607" s="504"/>
      <c r="G5607" s="451" t="s">
        <v>3981</v>
      </c>
      <c r="Z5607" s="500"/>
      <c r="AA5607" s="500"/>
      <c r="AB5607" s="500"/>
      <c r="AC5607" s="500"/>
      <c r="AD5607" s="500"/>
      <c r="AE5607" s="500"/>
      <c r="AF5607" s="500"/>
      <c r="AG5607" s="500"/>
      <c r="AH5607" s="500"/>
      <c r="AI5607" s="500"/>
      <c r="AJ5607" s="500"/>
      <c r="AK5607" s="500"/>
      <c r="AL5607" s="500"/>
      <c r="AM5607" s="500"/>
      <c r="AN5607" s="500"/>
      <c r="AO5607" s="500"/>
      <c r="AP5607" s="500"/>
    </row>
    <row r="5608" spans="1:42" ht="16.5" customHeight="1">
      <c r="A5608" s="439"/>
      <c r="B5608" s="439"/>
      <c r="C5608" s="439"/>
      <c r="D5608" s="439"/>
      <c r="E5608" s="439"/>
      <c r="F5608" s="439"/>
      <c r="G5608" s="451" t="s">
        <v>3406</v>
      </c>
      <c r="Z5608" s="500"/>
      <c r="AA5608" s="500"/>
      <c r="AB5608" s="500"/>
      <c r="AC5608" s="500"/>
      <c r="AD5608" s="500"/>
      <c r="AE5608" s="500"/>
      <c r="AF5608" s="500"/>
      <c r="AG5608" s="500"/>
      <c r="AH5608" s="500"/>
      <c r="AI5608" s="500"/>
      <c r="AJ5608" s="500"/>
      <c r="AK5608" s="500"/>
      <c r="AL5608" s="500"/>
      <c r="AM5608" s="500"/>
      <c r="AN5608" s="500"/>
      <c r="AO5608" s="500"/>
      <c r="AP5608" s="500"/>
    </row>
    <row r="5609" spans="1:42" ht="16.5" customHeight="1">
      <c r="A5609" s="434"/>
      <c r="B5609" s="437" t="s">
        <v>3982</v>
      </c>
      <c r="C5609" s="439"/>
      <c r="D5609" s="439"/>
      <c r="E5609" s="439"/>
      <c r="F5609" s="439"/>
      <c r="G5609" s="451" t="s">
        <v>3983</v>
      </c>
      <c r="Z5609" s="500"/>
      <c r="AA5609" s="500"/>
      <c r="AB5609" s="500"/>
      <c r="AC5609" s="500"/>
      <c r="AD5609" s="500"/>
      <c r="AE5609" s="500"/>
      <c r="AF5609" s="500"/>
      <c r="AG5609" s="500"/>
      <c r="AH5609" s="500"/>
      <c r="AI5609" s="500"/>
      <c r="AJ5609" s="500"/>
      <c r="AK5609" s="500"/>
      <c r="AL5609" s="500"/>
      <c r="AM5609" s="500"/>
      <c r="AN5609" s="500"/>
      <c r="AO5609" s="500"/>
      <c r="AP5609" s="500"/>
    </row>
    <row r="5610" spans="1:42" ht="16.5" customHeight="1">
      <c r="A5610" s="439"/>
      <c r="B5610" s="439"/>
      <c r="C5610" s="439"/>
      <c r="D5610" s="439"/>
      <c r="E5610" s="439"/>
      <c r="F5610" s="439"/>
      <c r="G5610" s="451" t="s">
        <v>3406</v>
      </c>
      <c r="Z5610" s="500"/>
      <c r="AA5610" s="500"/>
      <c r="AB5610" s="500"/>
      <c r="AC5610" s="500"/>
      <c r="AD5610" s="500"/>
      <c r="AE5610" s="500"/>
      <c r="AF5610" s="500"/>
      <c r="AG5610" s="500"/>
      <c r="AH5610" s="500"/>
      <c r="AI5610" s="500"/>
      <c r="AJ5610" s="500"/>
      <c r="AK5610" s="500"/>
      <c r="AL5610" s="500"/>
      <c r="AM5610" s="500"/>
      <c r="AN5610" s="500"/>
      <c r="AO5610" s="500"/>
      <c r="AP5610" s="500"/>
    </row>
    <row r="5611" spans="1:42" ht="16.5" customHeight="1">
      <c r="A5611" s="439"/>
      <c r="B5611" s="439"/>
      <c r="C5611" s="439"/>
      <c r="D5611" s="439"/>
      <c r="E5611" s="439"/>
      <c r="F5611" s="439"/>
      <c r="G5611" s="451" t="s">
        <v>3406</v>
      </c>
      <c r="Z5611" s="500"/>
      <c r="AA5611" s="500"/>
      <c r="AB5611" s="500"/>
      <c r="AC5611" s="500"/>
      <c r="AD5611" s="500"/>
      <c r="AE5611" s="500"/>
      <c r="AF5611" s="500"/>
      <c r="AG5611" s="500"/>
      <c r="AH5611" s="500"/>
      <c r="AI5611" s="500"/>
      <c r="AJ5611" s="500"/>
      <c r="AK5611" s="500"/>
      <c r="AL5611" s="500"/>
      <c r="AM5611" s="500"/>
      <c r="AN5611" s="500"/>
      <c r="AO5611" s="500"/>
      <c r="AP5611" s="500"/>
    </row>
    <row r="5612" spans="1:42" ht="16.5" customHeight="1">
      <c r="A5612" s="434"/>
      <c r="B5612" s="437" t="s">
        <v>3984</v>
      </c>
      <c r="C5612" s="439"/>
      <c r="D5612" s="439"/>
      <c r="E5612" s="439"/>
      <c r="F5612" s="439"/>
      <c r="G5612" s="451" t="s">
        <v>3985</v>
      </c>
      <c r="Z5612" s="500"/>
      <c r="AA5612" s="500"/>
      <c r="AB5612" s="500"/>
      <c r="AC5612" s="500"/>
      <c r="AD5612" s="500"/>
      <c r="AE5612" s="500"/>
      <c r="AF5612" s="500"/>
      <c r="AG5612" s="500"/>
      <c r="AH5612" s="500"/>
      <c r="AI5612" s="500"/>
      <c r="AJ5612" s="500"/>
      <c r="AK5612" s="500"/>
      <c r="AL5612" s="500"/>
      <c r="AM5612" s="500"/>
      <c r="AN5612" s="500"/>
      <c r="AO5612" s="500"/>
      <c r="AP5612" s="500"/>
    </row>
    <row r="5613" spans="1:42" ht="16.5" customHeight="1">
      <c r="A5613" s="439"/>
      <c r="B5613" s="439"/>
      <c r="C5613" s="439"/>
      <c r="D5613" s="439"/>
      <c r="E5613" s="439"/>
      <c r="F5613" s="439"/>
      <c r="G5613" s="451" t="s">
        <v>3406</v>
      </c>
      <c r="Z5613" s="500"/>
      <c r="AA5613" s="500"/>
      <c r="AB5613" s="500"/>
      <c r="AC5613" s="500"/>
      <c r="AD5613" s="500"/>
      <c r="AE5613" s="500"/>
      <c r="AF5613" s="500"/>
      <c r="AG5613" s="500"/>
      <c r="AH5613" s="500"/>
      <c r="AI5613" s="500"/>
      <c r="AJ5613" s="500"/>
      <c r="AK5613" s="500"/>
      <c r="AL5613" s="500"/>
      <c r="AM5613" s="500"/>
      <c r="AN5613" s="500"/>
      <c r="AO5613" s="500"/>
      <c r="AP5613" s="500"/>
    </row>
    <row r="5614" spans="1:42" ht="16.5" customHeight="1">
      <c r="A5614" s="439"/>
      <c r="B5614" s="439"/>
      <c r="C5614" s="439"/>
      <c r="D5614" s="439"/>
      <c r="E5614" s="439"/>
      <c r="F5614" s="439"/>
      <c r="G5614" s="451" t="s">
        <v>3406</v>
      </c>
      <c r="Z5614" s="500"/>
      <c r="AA5614" s="500"/>
      <c r="AB5614" s="500"/>
      <c r="AC5614" s="500"/>
      <c r="AD5614" s="500"/>
      <c r="AE5614" s="500"/>
      <c r="AF5614" s="500"/>
      <c r="AG5614" s="500"/>
      <c r="AH5614" s="500"/>
      <c r="AI5614" s="500"/>
      <c r="AJ5614" s="500"/>
      <c r="AK5614" s="500"/>
      <c r="AL5614" s="500"/>
      <c r="AM5614" s="500"/>
      <c r="AN5614" s="500"/>
      <c r="AO5614" s="500"/>
      <c r="AP5614" s="500"/>
    </row>
    <row r="5615" spans="1:42" ht="16.5" customHeight="1">
      <c r="A5615" s="434"/>
      <c r="B5615" s="437" t="s">
        <v>3986</v>
      </c>
      <c r="C5615" s="439"/>
      <c r="D5615" s="439"/>
      <c r="E5615" s="439"/>
      <c r="F5615" s="439"/>
      <c r="G5615" s="451" t="s">
        <v>3987</v>
      </c>
      <c r="Z5615" s="500"/>
      <c r="AA5615" s="500"/>
      <c r="AB5615" s="500"/>
      <c r="AC5615" s="500"/>
      <c r="AD5615" s="500"/>
      <c r="AE5615" s="500"/>
      <c r="AF5615" s="500"/>
      <c r="AG5615" s="500"/>
      <c r="AH5615" s="500"/>
      <c r="AI5615" s="500"/>
      <c r="AJ5615" s="500"/>
      <c r="AK5615" s="500"/>
      <c r="AL5615" s="500"/>
      <c r="AM5615" s="500"/>
      <c r="AN5615" s="500"/>
      <c r="AO5615" s="500"/>
      <c r="AP5615" s="500"/>
    </row>
    <row r="5616" spans="1:42" ht="16.5" customHeight="1">
      <c r="A5616" s="439"/>
      <c r="B5616" s="439"/>
      <c r="C5616" s="439"/>
      <c r="D5616" s="439"/>
      <c r="E5616" s="439"/>
      <c r="F5616" s="439"/>
      <c r="G5616" s="451" t="s">
        <v>3406</v>
      </c>
      <c r="Z5616" s="500"/>
      <c r="AA5616" s="500"/>
      <c r="AB5616" s="500"/>
      <c r="AC5616" s="500"/>
      <c r="AD5616" s="500"/>
      <c r="AE5616" s="500"/>
      <c r="AF5616" s="500"/>
      <c r="AG5616" s="500"/>
      <c r="AH5616" s="500"/>
      <c r="AI5616" s="500"/>
      <c r="AJ5616" s="500"/>
      <c r="AK5616" s="500"/>
      <c r="AL5616" s="500"/>
      <c r="AM5616" s="500"/>
      <c r="AN5616" s="500"/>
      <c r="AO5616" s="500"/>
      <c r="AP5616" s="500"/>
    </row>
    <row r="5617" spans="1:42" ht="16.5" customHeight="1">
      <c r="A5617" s="439"/>
      <c r="B5617" s="439"/>
      <c r="C5617" s="439"/>
      <c r="D5617" s="439"/>
      <c r="E5617" s="439"/>
      <c r="F5617" s="439"/>
      <c r="G5617" s="451" t="s">
        <v>3406</v>
      </c>
      <c r="Z5617" s="500"/>
      <c r="AA5617" s="500"/>
      <c r="AB5617" s="500"/>
      <c r="AC5617" s="500"/>
      <c r="AD5617" s="500"/>
      <c r="AE5617" s="500"/>
      <c r="AF5617" s="500"/>
      <c r="AG5617" s="500"/>
      <c r="AH5617" s="500"/>
      <c r="AI5617" s="500"/>
      <c r="AJ5617" s="500"/>
      <c r="AK5617" s="500"/>
      <c r="AL5617" s="500"/>
      <c r="AM5617" s="500"/>
      <c r="AN5617" s="500"/>
      <c r="AO5617" s="500"/>
      <c r="AP5617" s="500"/>
    </row>
    <row r="5618" spans="1:42" ht="16.5" customHeight="1">
      <c r="A5618" s="434"/>
      <c r="B5618" s="437" t="str">
        <f>" L = "&amp;Z5618&amp;" , V = "&amp;AD5618&amp;" , t = "&amp;AH5618&amp;"  , T = "&amp;AL5618&amp;"-"&amp;AN5618&amp;""</f>
        <v xml:space="preserve"> L = 1000 , V = 2500 , t = 2  , T = 480-30</v>
      </c>
      <c r="C5618" s="439"/>
      <c r="D5618" s="439"/>
      <c r="E5618" s="439"/>
      <c r="F5618" s="439"/>
      <c r="G5618" s="451" t="s">
        <v>3988</v>
      </c>
      <c r="Z5618" s="515">
        <v>1000</v>
      </c>
      <c r="AA5618" s="501" t="s">
        <v>3418</v>
      </c>
      <c r="AB5618" s="512">
        <f>Z5618</f>
        <v>1000</v>
      </c>
      <c r="AC5618" s="514" t="s">
        <v>3427</v>
      </c>
      <c r="AD5618" s="515">
        <v>2500</v>
      </c>
      <c r="AE5618" s="501" t="s">
        <v>3418</v>
      </c>
      <c r="AF5618" s="512">
        <f>AD5618</f>
        <v>2500</v>
      </c>
      <c r="AG5618" s="514" t="s">
        <v>3427</v>
      </c>
      <c r="AH5618" s="515">
        <v>2</v>
      </c>
      <c r="AI5618" s="501" t="s">
        <v>3418</v>
      </c>
      <c r="AJ5618" s="512">
        <f>AH5618</f>
        <v>2</v>
      </c>
      <c r="AK5618" s="514" t="s">
        <v>3427</v>
      </c>
      <c r="AL5618" s="515">
        <v>480</v>
      </c>
      <c r="AM5618" s="501" t="s">
        <v>3474</v>
      </c>
      <c r="AN5618" s="515">
        <v>30</v>
      </c>
      <c r="AO5618" s="501" t="s">
        <v>3418</v>
      </c>
      <c r="AP5618" s="512">
        <f>AL5618-AN5618</f>
        <v>450</v>
      </c>
    </row>
    <row r="5619" spans="1:42" ht="16.5" customHeight="1">
      <c r="A5619" s="439"/>
      <c r="B5619" s="439"/>
      <c r="C5619" s="439"/>
      <c r="D5619" s="439"/>
      <c r="E5619" s="439"/>
      <c r="F5619" s="439"/>
      <c r="G5619" s="451" t="s">
        <v>3406</v>
      </c>
      <c r="Z5619" s="500"/>
      <c r="AA5619" s="500"/>
      <c r="AB5619" s="500"/>
      <c r="AC5619" s="500"/>
      <c r="AD5619" s="500"/>
      <c r="AE5619" s="500"/>
      <c r="AF5619" s="500"/>
      <c r="AG5619" s="500"/>
      <c r="AH5619" s="500"/>
      <c r="AI5619" s="500"/>
      <c r="AJ5619" s="500"/>
      <c r="AK5619" s="500"/>
      <c r="AL5619" s="500"/>
      <c r="AM5619" s="500"/>
      <c r="AN5619" s="500"/>
      <c r="AO5619" s="500"/>
      <c r="AP5619" s="500"/>
    </row>
    <row r="5620" spans="1:42" ht="16.5" customHeight="1">
      <c r="A5620" s="439"/>
      <c r="B5620" s="439"/>
      <c r="C5620" s="439"/>
      <c r="D5620" s="439"/>
      <c r="E5620" s="439"/>
      <c r="F5620" s="439"/>
      <c r="G5620" s="451" t="s">
        <v>3406</v>
      </c>
      <c r="Z5620" s="500"/>
      <c r="AA5620" s="500"/>
      <c r="AB5620" s="500"/>
      <c r="AC5620" s="500"/>
      <c r="AD5620" s="500"/>
      <c r="AE5620" s="500"/>
      <c r="AF5620" s="500"/>
      <c r="AG5620" s="500"/>
      <c r="AH5620" s="500"/>
      <c r="AI5620" s="500"/>
      <c r="AJ5620" s="500"/>
      <c r="AK5620" s="500"/>
      <c r="AL5620" s="500"/>
      <c r="AM5620" s="500"/>
      <c r="AN5620" s="500"/>
      <c r="AO5620" s="500"/>
      <c r="AP5620" s="500"/>
    </row>
    <row r="5621" spans="1:42" ht="16.5" customHeight="1">
      <c r="A5621" s="439"/>
      <c r="B5621" s="439"/>
      <c r="C5621" s="439"/>
      <c r="D5621" s="439"/>
      <c r="E5621" s="439"/>
      <c r="F5621" s="439"/>
      <c r="G5621" s="451" t="s">
        <v>3406</v>
      </c>
      <c r="Z5621" s="500"/>
      <c r="AA5621" s="500"/>
      <c r="AB5621" s="500"/>
      <c r="AC5621" s="500"/>
      <c r="AD5621" s="500"/>
      <c r="AE5621" s="500"/>
      <c r="AF5621" s="500"/>
      <c r="AG5621" s="500"/>
      <c r="AH5621" s="500"/>
      <c r="AI5621" s="500"/>
      <c r="AJ5621" s="500"/>
      <c r="AK5621" s="500"/>
      <c r="AL5621" s="500"/>
      <c r="AM5621" s="500"/>
      <c r="AN5621" s="500"/>
      <c r="AO5621" s="500"/>
      <c r="AP5621" s="500"/>
    </row>
    <row r="5622" spans="1:42" ht="16.5" customHeight="1">
      <c r="A5622" s="434"/>
      <c r="B5622" s="437" t="str">
        <f>" N = V*T /( "&amp;AD5622&amp;"*L+V*"&amp;AJ5622&amp;" ) = "&amp;AM5622&amp;" 회/일 "</f>
        <v xml:space="preserve"> N = V*T /( 120*L+V*2 ) = 9.00 회/일 </v>
      </c>
      <c r="C5622" s="439"/>
      <c r="D5622" s="439"/>
      <c r="E5622" s="439"/>
      <c r="F5622" s="439"/>
      <c r="G5622" s="451" t="s">
        <v>3989</v>
      </c>
      <c r="Z5622" s="512">
        <f>AF5618</f>
        <v>2500</v>
      </c>
      <c r="AA5622" s="501" t="s">
        <v>3368</v>
      </c>
      <c r="AB5622" s="512">
        <f>AP5618</f>
        <v>450</v>
      </c>
      <c r="AC5622" s="501" t="s">
        <v>3463</v>
      </c>
      <c r="AD5622" s="515">
        <v>120</v>
      </c>
      <c r="AE5622" s="501" t="s">
        <v>3368</v>
      </c>
      <c r="AF5622" s="512">
        <f>AB5618</f>
        <v>1000</v>
      </c>
      <c r="AG5622" s="501" t="s">
        <v>3468</v>
      </c>
      <c r="AH5622" s="512">
        <f>AF5618</f>
        <v>2500</v>
      </c>
      <c r="AI5622" s="501" t="s">
        <v>3368</v>
      </c>
      <c r="AJ5622" s="515">
        <v>2</v>
      </c>
      <c r="AK5622" s="501" t="s">
        <v>3464</v>
      </c>
      <c r="AL5622" s="501" t="s">
        <v>3418</v>
      </c>
      <c r="AM5622" s="512" t="str">
        <f>TEXT(ROUND(AF5618*AP5618/(AD5622*AB5618+AF5618*AJ5622),2),"#,0.00")</f>
        <v>9.00</v>
      </c>
      <c r="AN5622" s="500"/>
      <c r="AO5622" s="500"/>
      <c r="AP5622" s="500"/>
    </row>
    <row r="5623" spans="1:42" ht="16.5" customHeight="1">
      <c r="A5623" s="439"/>
      <c r="B5623" s="439"/>
      <c r="C5623" s="439"/>
      <c r="D5623" s="439"/>
      <c r="E5623" s="439"/>
      <c r="F5623" s="439"/>
      <c r="G5623" s="451" t="s">
        <v>3406</v>
      </c>
      <c r="Z5623" s="500"/>
      <c r="AA5623" s="500"/>
      <c r="AB5623" s="500"/>
      <c r="AC5623" s="500"/>
      <c r="AD5623" s="500"/>
      <c r="AE5623" s="500"/>
      <c r="AF5623" s="500"/>
      <c r="AG5623" s="500"/>
      <c r="AH5623" s="500"/>
      <c r="AI5623" s="500"/>
      <c r="AJ5623" s="500"/>
      <c r="AK5623" s="500"/>
      <c r="AL5623" s="500"/>
      <c r="AM5623" s="500"/>
      <c r="AN5623" s="500"/>
      <c r="AO5623" s="500"/>
      <c r="AP5623" s="500"/>
    </row>
    <row r="5624" spans="1:42" ht="16.5" customHeight="1">
      <c r="A5624" s="439"/>
      <c r="B5624" s="439"/>
      <c r="C5624" s="439"/>
      <c r="D5624" s="439"/>
      <c r="E5624" s="439"/>
      <c r="F5624" s="439"/>
      <c r="G5624" s="451" t="s">
        <v>3406</v>
      </c>
      <c r="Z5624" s="500"/>
      <c r="AA5624" s="500"/>
      <c r="AB5624" s="500"/>
      <c r="AC5624" s="500"/>
      <c r="AD5624" s="500"/>
      <c r="AE5624" s="500"/>
      <c r="AF5624" s="500"/>
      <c r="AG5624" s="500"/>
      <c r="AH5624" s="500"/>
      <c r="AI5624" s="500"/>
      <c r="AJ5624" s="500"/>
      <c r="AK5624" s="500"/>
      <c r="AL5624" s="500"/>
      <c r="AM5624" s="500"/>
      <c r="AN5624" s="500"/>
      <c r="AO5624" s="500"/>
      <c r="AP5624" s="500"/>
    </row>
    <row r="5625" spans="1:42" ht="16.5" customHeight="1">
      <c r="A5625" s="439"/>
      <c r="B5625" s="439"/>
      <c r="C5625" s="439"/>
      <c r="D5625" s="439"/>
      <c r="E5625" s="439"/>
      <c r="F5625" s="439"/>
      <c r="G5625" s="451" t="s">
        <v>3406</v>
      </c>
      <c r="Z5625" s="500"/>
      <c r="AA5625" s="500"/>
      <c r="AB5625" s="500"/>
      <c r="AC5625" s="500"/>
      <c r="AD5625" s="500"/>
      <c r="AE5625" s="500"/>
      <c r="AF5625" s="500"/>
      <c r="AG5625" s="500"/>
      <c r="AH5625" s="500"/>
      <c r="AI5625" s="500"/>
      <c r="AJ5625" s="500"/>
      <c r="AK5625" s="500"/>
      <c r="AL5625" s="500"/>
      <c r="AM5625" s="500"/>
      <c r="AN5625" s="500"/>
      <c r="AO5625" s="500"/>
      <c r="AP5625" s="500"/>
    </row>
    <row r="5626" spans="1:42" ht="16.5" customHeight="1">
      <c r="A5626" s="434"/>
      <c r="B5626" s="437" t="str">
        <f>" Q = N*"&amp;AB5626&amp;" ㎏ = "&amp;AD5626&amp;"  kg/일 "</f>
        <v xml:space="preserve"> Q = N*25 ㎏ = 225.00  kg/일 </v>
      </c>
      <c r="C5626" s="439"/>
      <c r="D5626" s="439"/>
      <c r="E5626" s="439"/>
      <c r="F5626" s="439"/>
      <c r="G5626" s="451" t="s">
        <v>3990</v>
      </c>
      <c r="Z5626" s="512" t="str">
        <f>AM5622</f>
        <v>9.00</v>
      </c>
      <c r="AA5626" s="501" t="s">
        <v>3368</v>
      </c>
      <c r="AB5626" s="515">
        <v>25</v>
      </c>
      <c r="AC5626" s="501" t="s">
        <v>3418</v>
      </c>
      <c r="AD5626" s="512" t="str">
        <f>TEXT(ROUND(AM5622*AB5626,2),"#,0.00")</f>
        <v>225.00</v>
      </c>
      <c r="AE5626" s="500"/>
      <c r="AF5626" s="500"/>
      <c r="AG5626" s="500"/>
      <c r="AH5626" s="500"/>
      <c r="AI5626" s="500"/>
      <c r="AJ5626" s="500"/>
      <c r="AK5626" s="500"/>
      <c r="AL5626" s="500"/>
      <c r="AM5626" s="500"/>
      <c r="AN5626" s="500"/>
      <c r="AO5626" s="500"/>
      <c r="AP5626" s="500"/>
    </row>
    <row r="5627" spans="1:42" ht="16.5" customHeight="1">
      <c r="A5627" s="439"/>
      <c r="B5627" s="439"/>
      <c r="C5627" s="439"/>
      <c r="D5627" s="439"/>
      <c r="E5627" s="439"/>
      <c r="F5627" s="439"/>
      <c r="G5627" s="451" t="s">
        <v>3406</v>
      </c>
      <c r="Z5627" s="500"/>
      <c r="AA5627" s="500"/>
      <c r="AB5627" s="500"/>
      <c r="AC5627" s="500"/>
      <c r="AD5627" s="500"/>
      <c r="AE5627" s="500"/>
      <c r="AF5627" s="500"/>
      <c r="AG5627" s="500"/>
      <c r="AH5627" s="500"/>
      <c r="AI5627" s="500"/>
      <c r="AJ5627" s="500"/>
      <c r="AK5627" s="500"/>
      <c r="AL5627" s="500"/>
      <c r="AM5627" s="500"/>
      <c r="AN5627" s="500"/>
      <c r="AO5627" s="500"/>
      <c r="AP5627" s="500"/>
    </row>
    <row r="5628" spans="1:42" ht="16.5" customHeight="1">
      <c r="A5628" s="439"/>
      <c r="B5628" s="439"/>
      <c r="C5628" s="439"/>
      <c r="D5628" s="439"/>
      <c r="E5628" s="439"/>
      <c r="F5628" s="439"/>
      <c r="G5628" s="451" t="s">
        <v>3406</v>
      </c>
      <c r="Z5628" s="500"/>
      <c r="AA5628" s="500"/>
      <c r="AB5628" s="500"/>
      <c r="AC5628" s="500"/>
      <c r="AD5628" s="500"/>
      <c r="AE5628" s="500"/>
      <c r="AF5628" s="500"/>
      <c r="AG5628" s="500"/>
      <c r="AH5628" s="500"/>
      <c r="AI5628" s="500"/>
      <c r="AJ5628" s="500"/>
      <c r="AK5628" s="500"/>
      <c r="AL5628" s="500"/>
      <c r="AM5628" s="500"/>
      <c r="AN5628" s="500"/>
      <c r="AO5628" s="500"/>
      <c r="AP5628" s="500"/>
    </row>
    <row r="5629" spans="1:42" ht="16.5" customHeight="1">
      <c r="A5629" s="439"/>
      <c r="B5629" s="439"/>
      <c r="C5629" s="439"/>
      <c r="D5629" s="439"/>
      <c r="E5629" s="439"/>
      <c r="F5629" s="439"/>
      <c r="G5629" s="451" t="s">
        <v>3406</v>
      </c>
      <c r="Z5629" s="500"/>
      <c r="AA5629" s="500"/>
      <c r="AB5629" s="500"/>
      <c r="AC5629" s="500"/>
      <c r="AD5629" s="500"/>
      <c r="AE5629" s="500"/>
      <c r="AF5629" s="500"/>
      <c r="AG5629" s="500"/>
      <c r="AH5629" s="500"/>
      <c r="AI5629" s="500"/>
      <c r="AJ5629" s="500"/>
      <c r="AK5629" s="500"/>
      <c r="AL5629" s="500"/>
      <c r="AM5629" s="500"/>
      <c r="AN5629" s="500"/>
      <c r="AO5629" s="500"/>
      <c r="AP5629" s="500"/>
    </row>
    <row r="5630" spans="1:42" ht="16.5" customHeight="1">
      <c r="A5630" s="434"/>
      <c r="B5630" s="437" t="str">
        <f>" k = "&amp;Z5630&amp;" kg /Q"</f>
        <v xml:space="preserve"> k = 1000 kg /Q</v>
      </c>
      <c r="C5630" s="439"/>
      <c r="D5630" s="439"/>
      <c r="E5630" s="439"/>
      <c r="F5630" s="439"/>
      <c r="G5630" s="451" t="s">
        <v>3991</v>
      </c>
      <c r="Z5630" s="515">
        <v>1000</v>
      </c>
      <c r="AA5630" s="501" t="s">
        <v>3428</v>
      </c>
      <c r="AB5630" s="512" t="str">
        <f>AD5626</f>
        <v>225.00</v>
      </c>
      <c r="AC5630" s="501" t="s">
        <v>3418</v>
      </c>
      <c r="AD5630" s="512">
        <f>ROUND(Z5630/AD5626,13)</f>
        <v>4.4444444444444002</v>
      </c>
      <c r="AE5630" s="500"/>
      <c r="AF5630" s="500"/>
      <c r="AG5630" s="500"/>
      <c r="AH5630" s="500"/>
      <c r="AI5630" s="500"/>
      <c r="AJ5630" s="500"/>
      <c r="AK5630" s="500"/>
      <c r="AL5630" s="500"/>
      <c r="AM5630" s="500"/>
      <c r="AN5630" s="500"/>
      <c r="AO5630" s="500"/>
      <c r="AP5630" s="500"/>
    </row>
    <row r="5631" spans="1:42" ht="16.5" customHeight="1">
      <c r="A5631" s="439"/>
      <c r="B5631" s="439"/>
      <c r="C5631" s="439"/>
      <c r="D5631" s="439"/>
      <c r="E5631" s="439"/>
      <c r="F5631" s="439"/>
      <c r="G5631" s="451" t="s">
        <v>3406</v>
      </c>
      <c r="Z5631" s="500"/>
      <c r="AA5631" s="500"/>
      <c r="AB5631" s="500"/>
      <c r="AC5631" s="500"/>
      <c r="AD5631" s="500"/>
      <c r="AE5631" s="500"/>
      <c r="AF5631" s="500"/>
      <c r="AG5631" s="500"/>
      <c r="AH5631" s="500"/>
      <c r="AI5631" s="500"/>
      <c r="AJ5631" s="500"/>
      <c r="AK5631" s="500"/>
      <c r="AL5631" s="500"/>
      <c r="AM5631" s="500"/>
      <c r="AN5631" s="500"/>
      <c r="AO5631" s="500"/>
      <c r="AP5631" s="500"/>
    </row>
    <row r="5632" spans="1:42" ht="16.5" customHeight="1">
      <c r="A5632" s="439"/>
      <c r="B5632" s="439"/>
      <c r="C5632" s="439"/>
      <c r="D5632" s="439"/>
      <c r="E5632" s="439"/>
      <c r="F5632" s="439"/>
      <c r="G5632" s="451" t="s">
        <v>3406</v>
      </c>
      <c r="Z5632" s="500"/>
      <c r="AA5632" s="500"/>
      <c r="AB5632" s="500"/>
      <c r="AC5632" s="500"/>
      <c r="AD5632" s="500"/>
      <c r="AE5632" s="500"/>
      <c r="AF5632" s="500"/>
      <c r="AG5632" s="500"/>
      <c r="AH5632" s="500"/>
      <c r="AI5632" s="500"/>
      <c r="AJ5632" s="500"/>
      <c r="AK5632" s="500"/>
      <c r="AL5632" s="500"/>
      <c r="AM5632" s="500"/>
      <c r="AN5632" s="500"/>
      <c r="AO5632" s="500"/>
      <c r="AP5632" s="500"/>
    </row>
    <row r="5633" spans="1:42" ht="16.5" customHeight="1">
      <c r="A5633" s="439"/>
      <c r="B5633" s="439"/>
      <c r="C5633" s="439"/>
      <c r="D5633" s="439"/>
      <c r="E5633" s="439"/>
      <c r="F5633" s="439"/>
      <c r="G5633" s="451" t="s">
        <v>3406</v>
      </c>
      <c r="Z5633" s="500"/>
      <c r="AA5633" s="500"/>
      <c r="AB5633" s="500"/>
      <c r="AC5633" s="500"/>
      <c r="AD5633" s="500"/>
      <c r="AE5633" s="500"/>
      <c r="AF5633" s="500"/>
      <c r="AG5633" s="500"/>
      <c r="AH5633" s="500"/>
      <c r="AI5633" s="500"/>
      <c r="AJ5633" s="500"/>
      <c r="AK5633" s="500"/>
      <c r="AL5633" s="500"/>
      <c r="AM5633" s="500"/>
      <c r="AN5633" s="500"/>
      <c r="AO5633" s="500"/>
      <c r="AP5633" s="500"/>
    </row>
    <row r="5634" spans="1:42" ht="16.5" customHeight="1">
      <c r="A5634" s="434" t="s">
        <v>3992</v>
      </c>
      <c r="B5634" s="505" t="str">
        <f>" 인    부: "&amp;TEXT(I5634,"#,##0"&amp;IF(I5634&lt;&gt;INT(I5634),".###",""))&amp;"*k = "&amp;TEXT(C5634,"#,##0.0")&amp;" 원 "</f>
        <v xml:space="preserve"> 인    부: 172,068*k = 764,746.6 원 </v>
      </c>
      <c r="C5634" s="506">
        <f>E5634+D5634+F5634</f>
        <v>764746.6</v>
      </c>
      <c r="D5634" s="506">
        <f>IF(H5634=0,0,ROUNDDOWN(J5634*H5634,1))</f>
        <v>764746.6</v>
      </c>
      <c r="E5634" s="506">
        <f>IF(H5634=0,0,ROUNDDOWN(K5634*H5634,1))</f>
        <v>0</v>
      </c>
      <c r="F5634" s="506">
        <f>IF(H5634=0,0,ROUNDDOWN(L5634*H5634,1))</f>
        <v>0</v>
      </c>
      <c r="G5634" s="451" t="s">
        <v>3993</v>
      </c>
      <c r="H5634" s="507">
        <f>ROUNDUP(AC5634,14-LEN(ABS(INT(AC5634))))</f>
        <v>4.4444444444444002</v>
      </c>
      <c r="I5634" s="508">
        <f>K5634+J5634+L5634</f>
        <v>172068</v>
      </c>
      <c r="J5634" s="509">
        <f>노무비목록표!E10</f>
        <v>172068</v>
      </c>
      <c r="M5634" s="501" t="s">
        <v>2363</v>
      </c>
      <c r="N5634" s="501" t="s">
        <v>3994</v>
      </c>
      <c r="X5634" s="510" t="str">
        <f>노무비목록표!B10&amp;" / "&amp;노무비목록표!C10</f>
        <v xml:space="preserve">보통인부 / </v>
      </c>
      <c r="Y5634" s="433" t="str">
        <f ca="1">HYPERLINK("#"&amp;노무비목록표!G2&amp;"!A"&amp;ROW(노무비목록표!A10),"L00017 →")</f>
        <v>L00017 →</v>
      </c>
      <c r="Z5634" s="501" t="s">
        <v>3500</v>
      </c>
      <c r="AA5634" s="512">
        <f>AD5630</f>
        <v>4.4444444444444002</v>
      </c>
      <c r="AB5634" s="501" t="s">
        <v>3418</v>
      </c>
      <c r="AC5634" s="512">
        <f>1*AD5630</f>
        <v>4.4444444444444002</v>
      </c>
      <c r="AD5634" s="500"/>
      <c r="AE5634" s="500"/>
      <c r="AF5634" s="500"/>
      <c r="AG5634" s="500"/>
      <c r="AH5634" s="500"/>
      <c r="AI5634" s="500"/>
      <c r="AJ5634" s="500"/>
      <c r="AK5634" s="500"/>
      <c r="AL5634" s="500"/>
      <c r="AM5634" s="500"/>
      <c r="AN5634" s="500"/>
      <c r="AO5634" s="500"/>
      <c r="AP5634" s="500"/>
    </row>
    <row r="5635" spans="1:42" ht="16.5" customHeight="1">
      <c r="A5635" s="439"/>
      <c r="B5635" s="439"/>
      <c r="C5635" s="439"/>
      <c r="D5635" s="439"/>
      <c r="E5635" s="439"/>
      <c r="F5635" s="439"/>
      <c r="G5635" s="451" t="s">
        <v>3406</v>
      </c>
      <c r="Z5635" s="500"/>
      <c r="AA5635" s="500"/>
      <c r="AB5635" s="500"/>
      <c r="AC5635" s="500"/>
      <c r="AD5635" s="500"/>
      <c r="AE5635" s="500"/>
      <c r="AF5635" s="500"/>
      <c r="AG5635" s="500"/>
      <c r="AH5635" s="500"/>
      <c r="AI5635" s="500"/>
      <c r="AJ5635" s="500"/>
      <c r="AK5635" s="500"/>
      <c r="AL5635" s="500"/>
      <c r="AM5635" s="500"/>
      <c r="AN5635" s="500"/>
      <c r="AO5635" s="500"/>
      <c r="AP5635" s="500"/>
    </row>
    <row r="5636" spans="1:42" ht="16.5" customHeight="1">
      <c r="A5636" s="439"/>
      <c r="B5636" s="439"/>
      <c r="C5636" s="439"/>
      <c r="D5636" s="439"/>
      <c r="E5636" s="439"/>
      <c r="F5636" s="439"/>
      <c r="G5636" s="451" t="s">
        <v>3406</v>
      </c>
      <c r="Z5636" s="500"/>
      <c r="AA5636" s="500"/>
      <c r="AB5636" s="500"/>
      <c r="AC5636" s="500"/>
      <c r="AD5636" s="500"/>
      <c r="AE5636" s="500"/>
      <c r="AF5636" s="500"/>
      <c r="AG5636" s="500"/>
      <c r="AH5636" s="500"/>
      <c r="AI5636" s="500"/>
      <c r="AJ5636" s="500"/>
      <c r="AK5636" s="500"/>
      <c r="AL5636" s="500"/>
      <c r="AM5636" s="500"/>
      <c r="AN5636" s="500"/>
      <c r="AO5636" s="500"/>
      <c r="AP5636" s="500"/>
    </row>
    <row r="5637" spans="1:42" ht="16.5" customHeight="1">
      <c r="A5637" s="439"/>
      <c r="B5637" s="439"/>
      <c r="C5637" s="439"/>
      <c r="D5637" s="439"/>
      <c r="E5637" s="439"/>
      <c r="F5637" s="439"/>
      <c r="G5637" s="451" t="s">
        <v>3406</v>
      </c>
      <c r="Z5637" s="500"/>
      <c r="AA5637" s="500"/>
      <c r="AB5637" s="500"/>
      <c r="AC5637" s="500"/>
      <c r="AD5637" s="500"/>
      <c r="AE5637" s="500"/>
      <c r="AF5637" s="500"/>
      <c r="AG5637" s="500"/>
      <c r="AH5637" s="500"/>
      <c r="AI5637" s="500"/>
      <c r="AJ5637" s="500"/>
      <c r="AK5637" s="500"/>
      <c r="AL5637" s="500"/>
      <c r="AM5637" s="500"/>
      <c r="AN5637" s="500"/>
      <c r="AO5637" s="500"/>
      <c r="AP5637" s="500"/>
    </row>
    <row r="5638" spans="1:42" ht="16.5" customHeight="1">
      <c r="A5638" s="439"/>
      <c r="B5638" s="439"/>
      <c r="C5638" s="439"/>
      <c r="D5638" s="439"/>
      <c r="E5638" s="439"/>
      <c r="F5638" s="439"/>
      <c r="G5638" s="451" t="s">
        <v>3406</v>
      </c>
      <c r="Z5638" s="500"/>
      <c r="AA5638" s="500"/>
      <c r="AB5638" s="500"/>
      <c r="AC5638" s="500"/>
      <c r="AD5638" s="500"/>
      <c r="AE5638" s="500"/>
      <c r="AF5638" s="500"/>
      <c r="AG5638" s="500"/>
      <c r="AH5638" s="500"/>
      <c r="AI5638" s="500"/>
      <c r="AJ5638" s="500"/>
      <c r="AK5638" s="500"/>
      <c r="AL5638" s="500"/>
      <c r="AM5638" s="500"/>
      <c r="AN5638" s="500"/>
      <c r="AO5638" s="500"/>
      <c r="AP5638" s="500"/>
    </row>
    <row r="5639" spans="1:42" ht="16.5" customHeight="1">
      <c r="A5639" s="434"/>
      <c r="B5639" s="437" t="s">
        <v>3995</v>
      </c>
      <c r="C5639" s="516">
        <f>E5639+D5639+F5639</f>
        <v>764746.6</v>
      </c>
      <c r="D5639" s="516">
        <f>SUMIF(N5607:N5638,M5639,D5607:D5638)</f>
        <v>764746.6</v>
      </c>
      <c r="E5639" s="516">
        <f>SUMIF(N5607:N5638,M5639,E5607:E5638)</f>
        <v>0</v>
      </c>
      <c r="F5639" s="516">
        <f>SUMIF(N5607:N5638,M5639,F5607:F5638)</f>
        <v>0</v>
      </c>
      <c r="G5639" s="451" t="s">
        <v>3996</v>
      </c>
      <c r="M5639" s="501" t="s">
        <v>3994</v>
      </c>
      <c r="Z5639" s="500"/>
      <c r="AA5639" s="500"/>
      <c r="AB5639" s="500"/>
      <c r="AC5639" s="500"/>
      <c r="AD5639" s="500"/>
      <c r="AE5639" s="500"/>
      <c r="AF5639" s="500"/>
      <c r="AG5639" s="500"/>
      <c r="AH5639" s="500"/>
      <c r="AI5639" s="500"/>
      <c r="AJ5639" s="500"/>
      <c r="AK5639" s="500"/>
      <c r="AL5639" s="500"/>
      <c r="AM5639" s="500"/>
      <c r="AN5639" s="500"/>
      <c r="AO5639" s="500"/>
      <c r="AP5639" s="500"/>
    </row>
    <row r="5640" spans="1:42" ht="16.5" customHeight="1">
      <c r="A5640" s="439"/>
      <c r="B5640" s="439"/>
      <c r="C5640" s="517"/>
      <c r="D5640" s="517"/>
      <c r="E5640" s="517"/>
      <c r="F5640" s="517"/>
      <c r="G5640" s="451" t="s">
        <v>3406</v>
      </c>
      <c r="Z5640" s="500"/>
      <c r="AA5640" s="500"/>
      <c r="AB5640" s="500"/>
      <c r="AC5640" s="500"/>
      <c r="AD5640" s="500"/>
      <c r="AE5640" s="500"/>
      <c r="AF5640" s="500"/>
      <c r="AG5640" s="500"/>
      <c r="AH5640" s="500"/>
      <c r="AI5640" s="500"/>
      <c r="AJ5640" s="500"/>
      <c r="AK5640" s="500"/>
      <c r="AL5640" s="500"/>
      <c r="AM5640" s="500"/>
      <c r="AN5640" s="500"/>
      <c r="AO5640" s="500"/>
      <c r="AP5640" s="500"/>
    </row>
    <row r="5641" spans="1:42" ht="16.5" customHeight="1">
      <c r="A5641" s="439"/>
      <c r="B5641" s="439"/>
      <c r="C5641" s="439"/>
      <c r="D5641" s="439"/>
      <c r="E5641" s="439"/>
      <c r="F5641" s="439"/>
      <c r="G5641" s="451" t="s">
        <v>3406</v>
      </c>
      <c r="Z5641" s="500"/>
      <c r="AA5641" s="500"/>
      <c r="AB5641" s="500"/>
      <c r="AC5641" s="500"/>
      <c r="AD5641" s="500"/>
      <c r="AE5641" s="500"/>
      <c r="AF5641" s="500"/>
      <c r="AG5641" s="500"/>
      <c r="AH5641" s="500"/>
      <c r="AI5641" s="500"/>
      <c r="AJ5641" s="500"/>
      <c r="AK5641" s="500"/>
      <c r="AL5641" s="500"/>
      <c r="AM5641" s="500"/>
      <c r="AN5641" s="500"/>
      <c r="AO5641" s="500"/>
      <c r="AP5641" s="500"/>
    </row>
    <row r="5642" spans="1:42" ht="16.5" customHeight="1">
      <c r="A5642" s="434" t="s">
        <v>3997</v>
      </c>
      <c r="B5642" s="505" t="str">
        <f>" 경비로 적용 : "&amp;TEXT(I5642,"#,##0"&amp;IF(I5642&lt;&gt;INT(I5642),".###",""))&amp;"  = "&amp;TEXT(C5642,"#,##0.0")&amp;""</f>
        <v xml:space="preserve"> 경비로 적용 : 764,746.6  = 764,746.6</v>
      </c>
      <c r="C5642" s="506">
        <f>E5642+D5642+F5642</f>
        <v>764746.6</v>
      </c>
      <c r="D5642" s="506">
        <f>IF(H5642=0,0,ROUNDDOWN(J5642*H5642,1))</f>
        <v>0</v>
      </c>
      <c r="E5642" s="506">
        <f>IF(H5642=0,0,ROUNDDOWN(K5642*H5642,1))</f>
        <v>0</v>
      </c>
      <c r="F5642" s="506">
        <f>IF(H5642=0,0,ROUNDDOWN(L5642*H5642,1))</f>
        <v>764746.6</v>
      </c>
      <c r="G5642" s="451" t="s">
        <v>3998</v>
      </c>
      <c r="H5642" s="507">
        <f>ROUNDUP(AB5642,14-LEN(ABS(INT(AB5642))))</f>
        <v>1</v>
      </c>
      <c r="I5642" s="508">
        <f>K5642+J5642+L5642</f>
        <v>764746.6</v>
      </c>
      <c r="J5642" s="456">
        <v>0</v>
      </c>
      <c r="K5642" s="456">
        <v>0</v>
      </c>
      <c r="L5642" s="518">
        <v>764746.6</v>
      </c>
      <c r="M5642" s="501" t="s">
        <v>3999</v>
      </c>
      <c r="N5642" s="501" t="s">
        <v>2354</v>
      </c>
      <c r="Z5642" s="501" t="s">
        <v>4000</v>
      </c>
      <c r="AA5642" s="501" t="s">
        <v>3418</v>
      </c>
      <c r="AB5642" s="512">
        <f>1</f>
        <v>1</v>
      </c>
      <c r="AC5642" s="500"/>
      <c r="AD5642" s="500"/>
      <c r="AE5642" s="500"/>
      <c r="AF5642" s="500"/>
      <c r="AG5642" s="500"/>
      <c r="AH5642" s="500"/>
      <c r="AI5642" s="500"/>
      <c r="AJ5642" s="500"/>
      <c r="AK5642" s="500"/>
      <c r="AL5642" s="500"/>
      <c r="AM5642" s="500"/>
      <c r="AN5642" s="500"/>
      <c r="AO5642" s="500"/>
      <c r="AP5642" s="500"/>
    </row>
    <row r="5643" spans="1:42" ht="16.5" customHeight="1">
      <c r="A5643" s="439"/>
      <c r="B5643" s="439"/>
      <c r="C5643" s="439"/>
      <c r="D5643" s="439"/>
      <c r="E5643" s="439"/>
      <c r="F5643" s="439"/>
      <c r="Z5643" s="500"/>
      <c r="AA5643" s="500"/>
      <c r="AB5643" s="500"/>
      <c r="AC5643" s="500"/>
      <c r="AD5643" s="500"/>
      <c r="AE5643" s="500"/>
      <c r="AF5643" s="500"/>
      <c r="AG5643" s="500"/>
      <c r="AH5643" s="500"/>
      <c r="AI5643" s="500"/>
      <c r="AJ5643" s="500"/>
      <c r="AK5643" s="500"/>
      <c r="AL5643" s="500"/>
      <c r="AM5643" s="500"/>
      <c r="AN5643" s="500"/>
      <c r="AO5643" s="500"/>
      <c r="AP5643" s="500"/>
    </row>
    <row r="5644" spans="1:42" ht="16.5" customHeight="1">
      <c r="A5644" s="439"/>
      <c r="B5644" s="439"/>
      <c r="C5644" s="439"/>
      <c r="D5644" s="439"/>
      <c r="E5644" s="439"/>
      <c r="F5644" s="439"/>
      <c r="Z5644" s="500"/>
      <c r="AA5644" s="500"/>
      <c r="AB5644" s="500"/>
      <c r="AC5644" s="500"/>
      <c r="AD5644" s="500"/>
      <c r="AE5644" s="500"/>
      <c r="AF5644" s="500"/>
      <c r="AG5644" s="500"/>
      <c r="AH5644" s="500"/>
      <c r="AI5644" s="500"/>
      <c r="AJ5644" s="500"/>
      <c r="AK5644" s="500"/>
      <c r="AL5644" s="500"/>
      <c r="AM5644" s="500"/>
      <c r="AN5644" s="500"/>
      <c r="AO5644" s="500"/>
      <c r="AP5644" s="500"/>
    </row>
    <row r="5645" spans="1:42" ht="16.5" customHeight="1">
      <c r="A5645" s="439"/>
      <c r="B5645" s="439"/>
      <c r="C5645" s="439"/>
      <c r="D5645" s="439"/>
      <c r="E5645" s="439"/>
      <c r="F5645" s="439"/>
      <c r="Z5645" s="500"/>
      <c r="AA5645" s="500"/>
      <c r="AB5645" s="500"/>
      <c r="AC5645" s="500"/>
      <c r="AD5645" s="500"/>
      <c r="AE5645" s="500"/>
      <c r="AF5645" s="500"/>
      <c r="AG5645" s="500"/>
      <c r="AH5645" s="500"/>
      <c r="AI5645" s="500"/>
      <c r="AJ5645" s="500"/>
      <c r="AK5645" s="500"/>
      <c r="AL5645" s="500"/>
      <c r="AM5645" s="500"/>
      <c r="AN5645" s="500"/>
      <c r="AO5645" s="500"/>
      <c r="AP5645" s="500"/>
    </row>
    <row r="5646" spans="1:42" ht="16.5" customHeight="1">
      <c r="A5646" s="439"/>
      <c r="B5646" s="439"/>
      <c r="C5646" s="439"/>
      <c r="D5646" s="439"/>
      <c r="E5646" s="439"/>
      <c r="F5646" s="439"/>
      <c r="Z5646" s="500"/>
      <c r="AA5646" s="500"/>
      <c r="AB5646" s="500"/>
      <c r="AC5646" s="500"/>
      <c r="AD5646" s="500"/>
      <c r="AE5646" s="500"/>
      <c r="AF5646" s="500"/>
      <c r="AG5646" s="500"/>
      <c r="AH5646" s="500"/>
      <c r="AI5646" s="500"/>
      <c r="AJ5646" s="500"/>
      <c r="AK5646" s="500"/>
      <c r="AL5646" s="500"/>
      <c r="AM5646" s="500"/>
      <c r="AN5646" s="500"/>
      <c r="AO5646" s="500"/>
      <c r="AP5646" s="500"/>
    </row>
    <row r="5647" spans="1:42" ht="16.5" customHeight="1">
      <c r="A5647" s="439"/>
      <c r="B5647" s="439"/>
      <c r="C5647" s="439"/>
      <c r="D5647" s="439"/>
      <c r="E5647" s="439"/>
      <c r="F5647" s="439"/>
      <c r="Z5647" s="500"/>
      <c r="AA5647" s="500"/>
      <c r="AB5647" s="500"/>
      <c r="AC5647" s="500"/>
      <c r="AD5647" s="500"/>
      <c r="AE5647" s="500"/>
      <c r="AF5647" s="500"/>
      <c r="AG5647" s="500"/>
      <c r="AH5647" s="500"/>
      <c r="AI5647" s="500"/>
      <c r="AJ5647" s="500"/>
      <c r="AK5647" s="500"/>
      <c r="AL5647" s="500"/>
      <c r="AM5647" s="500"/>
      <c r="AN5647" s="500"/>
      <c r="AO5647" s="500"/>
      <c r="AP5647" s="500"/>
    </row>
    <row r="5648" spans="1:42" ht="16.5" customHeight="1">
      <c r="A5648" s="439"/>
      <c r="B5648" s="439"/>
      <c r="C5648" s="439"/>
      <c r="D5648" s="439"/>
      <c r="E5648" s="439"/>
      <c r="F5648" s="439"/>
      <c r="Z5648" s="500"/>
      <c r="AA5648" s="500"/>
      <c r="AB5648" s="500"/>
      <c r="AC5648" s="500"/>
      <c r="AD5648" s="500"/>
      <c r="AE5648" s="500"/>
      <c r="AF5648" s="500"/>
      <c r="AG5648" s="500"/>
      <c r="AH5648" s="500"/>
      <c r="AI5648" s="500"/>
      <c r="AJ5648" s="500"/>
      <c r="AK5648" s="500"/>
      <c r="AL5648" s="500"/>
      <c r="AM5648" s="500"/>
      <c r="AN5648" s="500"/>
      <c r="AO5648" s="500"/>
      <c r="AP5648" s="500"/>
    </row>
    <row r="5649" spans="1:42" ht="16.5" customHeight="1">
      <c r="A5649" s="439"/>
      <c r="B5649" s="439"/>
      <c r="C5649" s="439"/>
      <c r="D5649" s="439"/>
      <c r="E5649" s="439"/>
      <c r="F5649" s="439"/>
      <c r="Z5649" s="500"/>
      <c r="AA5649" s="500"/>
      <c r="AB5649" s="500"/>
      <c r="AC5649" s="500"/>
      <c r="AD5649" s="500"/>
      <c r="AE5649" s="500"/>
      <c r="AF5649" s="500"/>
      <c r="AG5649" s="500"/>
      <c r="AH5649" s="500"/>
      <c r="AI5649" s="500"/>
      <c r="AJ5649" s="500"/>
      <c r="AK5649" s="500"/>
      <c r="AL5649" s="500"/>
      <c r="AM5649" s="500"/>
      <c r="AN5649" s="500"/>
      <c r="AO5649" s="500"/>
      <c r="AP5649" s="500"/>
    </row>
    <row r="5650" spans="1:42" ht="16.5" customHeight="1">
      <c r="A5650" s="439"/>
      <c r="B5650" s="439"/>
      <c r="C5650" s="439"/>
      <c r="D5650" s="439"/>
      <c r="E5650" s="439"/>
      <c r="F5650" s="439"/>
      <c r="Z5650" s="500"/>
      <c r="AA5650" s="500"/>
      <c r="AB5650" s="500"/>
      <c r="AC5650" s="500"/>
      <c r="AD5650" s="500"/>
      <c r="AE5650" s="500"/>
      <c r="AF5650" s="500"/>
      <c r="AG5650" s="500"/>
      <c r="AH5650" s="500"/>
      <c r="AI5650" s="500"/>
      <c r="AJ5650" s="500"/>
      <c r="AK5650" s="500"/>
      <c r="AL5650" s="500"/>
      <c r="AM5650" s="500"/>
      <c r="AN5650" s="500"/>
      <c r="AO5650" s="500"/>
      <c r="AP5650" s="500"/>
    </row>
    <row r="5651" spans="1:42" ht="16.5" customHeight="1">
      <c r="A5651" s="439"/>
      <c r="B5651" s="439"/>
      <c r="C5651" s="439"/>
      <c r="D5651" s="439"/>
      <c r="E5651" s="439"/>
      <c r="F5651" s="439"/>
      <c r="Z5651" s="500"/>
      <c r="AA5651" s="500"/>
      <c r="AB5651" s="500"/>
      <c r="AC5651" s="500"/>
      <c r="AD5651" s="500"/>
      <c r="AE5651" s="500"/>
      <c r="AF5651" s="500"/>
      <c r="AG5651" s="500"/>
      <c r="AH5651" s="500"/>
      <c r="AI5651" s="500"/>
      <c r="AJ5651" s="500"/>
      <c r="AK5651" s="500"/>
      <c r="AL5651" s="500"/>
      <c r="AM5651" s="500"/>
      <c r="AN5651" s="500"/>
      <c r="AO5651" s="500"/>
      <c r="AP5651" s="500"/>
    </row>
    <row r="5652" spans="1:42" ht="16.5" customHeight="1">
      <c r="A5652" s="439"/>
      <c r="B5652" s="439"/>
      <c r="C5652" s="439"/>
      <c r="D5652" s="439"/>
      <c r="E5652" s="439"/>
      <c r="F5652" s="439"/>
      <c r="Z5652" s="500"/>
      <c r="AA5652" s="500"/>
      <c r="AB5652" s="500"/>
      <c r="AC5652" s="500"/>
      <c r="AD5652" s="500"/>
      <c r="AE5652" s="500"/>
      <c r="AF5652" s="500"/>
      <c r="AG5652" s="500"/>
      <c r="AH5652" s="500"/>
      <c r="AI5652" s="500"/>
      <c r="AJ5652" s="500"/>
      <c r="AK5652" s="500"/>
      <c r="AL5652" s="500"/>
      <c r="AM5652" s="500"/>
      <c r="AN5652" s="500"/>
      <c r="AO5652" s="500"/>
      <c r="AP5652" s="500"/>
    </row>
    <row r="5653" spans="1:42" ht="16.5" customHeight="1">
      <c r="A5653" s="497"/>
      <c r="B5653" s="497"/>
      <c r="C5653" s="497"/>
      <c r="D5653" s="497"/>
      <c r="E5653" s="497"/>
      <c r="F5653" s="497"/>
      <c r="Z5653" s="500"/>
      <c r="AA5653" s="500"/>
      <c r="AB5653" s="500"/>
      <c r="AC5653" s="500"/>
      <c r="AD5653" s="500"/>
      <c r="AE5653" s="500"/>
      <c r="AF5653" s="500"/>
      <c r="AG5653" s="500"/>
      <c r="AH5653" s="500"/>
      <c r="AI5653" s="500"/>
      <c r="AJ5653" s="500"/>
      <c r="AK5653" s="500"/>
      <c r="AL5653" s="500"/>
      <c r="AM5653" s="500"/>
      <c r="AN5653" s="500"/>
      <c r="AO5653" s="500"/>
      <c r="AP5653" s="500"/>
    </row>
    <row r="5654" spans="1:42" ht="16.5" customHeight="1">
      <c r="A5654" s="616" t="s">
        <v>3487</v>
      </c>
      <c r="B5654" s="605"/>
      <c r="C5654" s="446">
        <f>E5654+D5654+F5654</f>
        <v>764746</v>
      </c>
      <c r="D5654" s="453">
        <f>ROUNDDOWN(SUMIF(N5607:N5642,M5654,D5607:D5642),0)</f>
        <v>0</v>
      </c>
      <c r="E5654" s="454">
        <f>ROUNDDOWN(SUMIF(N5607:N5642,M5654,E5607:E5642),0)</f>
        <v>0</v>
      </c>
      <c r="F5654" s="446">
        <f>ROUNDDOWN(SUMIF(N5607:N5642,M5654,F5607:F5642),0)</f>
        <v>764746</v>
      </c>
      <c r="M5654" s="501" t="s">
        <v>2354</v>
      </c>
      <c r="Z5654" s="500"/>
      <c r="AA5654" s="500"/>
      <c r="AB5654" s="500"/>
      <c r="AC5654" s="500"/>
      <c r="AD5654" s="500"/>
      <c r="AE5654" s="500"/>
      <c r="AF5654" s="500"/>
      <c r="AG5654" s="500"/>
      <c r="AH5654" s="500"/>
      <c r="AI5654" s="500"/>
      <c r="AJ5654" s="500"/>
      <c r="AK5654" s="500"/>
      <c r="AL5654" s="500"/>
      <c r="AM5654" s="500"/>
      <c r="AN5654" s="500"/>
      <c r="AO5654" s="500"/>
      <c r="AP5654" s="500"/>
    </row>
    <row r="5655" spans="1:42" ht="16.5" customHeight="1">
      <c r="A5655" s="502"/>
      <c r="B5655" s="503" t="s">
        <v>2209</v>
      </c>
      <c r="C5655" s="615">
        <f>C5704</f>
        <v>801247</v>
      </c>
      <c r="D5655" s="615">
        <f>D5704</f>
        <v>0</v>
      </c>
      <c r="E5655" s="615">
        <f>E5704</f>
        <v>0</v>
      </c>
      <c r="F5655" s="615">
        <f>F5704</f>
        <v>801247</v>
      </c>
      <c r="G5655" s="486" t="str">
        <f>HYPERLINK("#G"&amp;ROW(G5692),"_x0005_`BDCOD|D01198_x0007_`POSS|"&amp;ROW(G5657)&amp;"_x0007_`POSE|"&amp;ROW(G5692)&amp;"_x0007_`")</f>
        <v>_x0005_`BDCOD|D01198_x0007_`POSS|5657_x0007_`POSE|5692_x0007_`</v>
      </c>
      <c r="Z5655" s="500"/>
      <c r="AA5655" s="500"/>
      <c r="AB5655" s="500"/>
      <c r="AC5655" s="500"/>
      <c r="AD5655" s="500"/>
      <c r="AE5655" s="500"/>
      <c r="AF5655" s="500"/>
      <c r="AG5655" s="500"/>
      <c r="AH5655" s="500"/>
      <c r="AI5655" s="500"/>
      <c r="AJ5655" s="500"/>
      <c r="AK5655" s="500"/>
      <c r="AL5655" s="500"/>
      <c r="AM5655" s="500"/>
      <c r="AN5655" s="500"/>
      <c r="AO5655" s="500"/>
      <c r="AP5655" s="500"/>
    </row>
    <row r="5656" spans="1:42" ht="16.5" customHeight="1">
      <c r="A5656" s="485"/>
      <c r="B5656" s="503" t="s">
        <v>4001</v>
      </c>
      <c r="C5656" s="593"/>
      <c r="D5656" s="593"/>
      <c r="E5656" s="593"/>
      <c r="F5656" s="593"/>
      <c r="M5656" s="501" t="s">
        <v>2209</v>
      </c>
      <c r="Z5656" s="500"/>
      <c r="AA5656" s="500"/>
      <c r="AB5656" s="500"/>
      <c r="AC5656" s="500"/>
      <c r="AD5656" s="500"/>
      <c r="AE5656" s="500"/>
      <c r="AF5656" s="500"/>
      <c r="AG5656" s="500"/>
      <c r="AH5656" s="500"/>
      <c r="AI5656" s="500"/>
      <c r="AJ5656" s="500"/>
      <c r="AK5656" s="500"/>
      <c r="AL5656" s="500"/>
      <c r="AM5656" s="500"/>
      <c r="AN5656" s="500"/>
      <c r="AO5656" s="500"/>
      <c r="AP5656" s="500"/>
    </row>
    <row r="5657" spans="1:42" ht="16.5" customHeight="1">
      <c r="A5657" s="434"/>
      <c r="B5657" s="437" t="s">
        <v>3980</v>
      </c>
      <c r="C5657" s="504"/>
      <c r="D5657" s="504"/>
      <c r="E5657" s="504"/>
      <c r="F5657" s="504"/>
      <c r="G5657" s="451" t="s">
        <v>3981</v>
      </c>
      <c r="Z5657" s="500"/>
      <c r="AA5657" s="500"/>
      <c r="AB5657" s="500"/>
      <c r="AC5657" s="500"/>
      <c r="AD5657" s="500"/>
      <c r="AE5657" s="500"/>
      <c r="AF5657" s="500"/>
      <c r="AG5657" s="500"/>
      <c r="AH5657" s="500"/>
      <c r="AI5657" s="500"/>
      <c r="AJ5657" s="500"/>
      <c r="AK5657" s="500"/>
      <c r="AL5657" s="500"/>
      <c r="AM5657" s="500"/>
      <c r="AN5657" s="500"/>
      <c r="AO5657" s="500"/>
      <c r="AP5657" s="500"/>
    </row>
    <row r="5658" spans="1:42" ht="16.5" customHeight="1">
      <c r="A5658" s="439"/>
      <c r="B5658" s="439"/>
      <c r="C5658" s="439"/>
      <c r="D5658" s="439"/>
      <c r="E5658" s="439"/>
      <c r="F5658" s="439"/>
      <c r="G5658" s="451" t="s">
        <v>3406</v>
      </c>
      <c r="Z5658" s="500"/>
      <c r="AA5658" s="500"/>
      <c r="AB5658" s="500"/>
      <c r="AC5658" s="500"/>
      <c r="AD5658" s="500"/>
      <c r="AE5658" s="500"/>
      <c r="AF5658" s="500"/>
      <c r="AG5658" s="500"/>
      <c r="AH5658" s="500"/>
      <c r="AI5658" s="500"/>
      <c r="AJ5658" s="500"/>
      <c r="AK5658" s="500"/>
      <c r="AL5658" s="500"/>
      <c r="AM5658" s="500"/>
      <c r="AN5658" s="500"/>
      <c r="AO5658" s="500"/>
      <c r="AP5658" s="500"/>
    </row>
    <row r="5659" spans="1:42" ht="16.5" customHeight="1">
      <c r="A5659" s="434"/>
      <c r="B5659" s="437" t="s">
        <v>4002</v>
      </c>
      <c r="C5659" s="439"/>
      <c r="D5659" s="439"/>
      <c r="E5659" s="439"/>
      <c r="F5659" s="439"/>
      <c r="G5659" s="451" t="s">
        <v>4003</v>
      </c>
      <c r="Z5659" s="500"/>
      <c r="AA5659" s="500"/>
      <c r="AB5659" s="500"/>
      <c r="AC5659" s="500"/>
      <c r="AD5659" s="500"/>
      <c r="AE5659" s="500"/>
      <c r="AF5659" s="500"/>
      <c r="AG5659" s="500"/>
      <c r="AH5659" s="500"/>
      <c r="AI5659" s="500"/>
      <c r="AJ5659" s="500"/>
      <c r="AK5659" s="500"/>
      <c r="AL5659" s="500"/>
      <c r="AM5659" s="500"/>
      <c r="AN5659" s="500"/>
      <c r="AO5659" s="500"/>
      <c r="AP5659" s="500"/>
    </row>
    <row r="5660" spans="1:42" ht="16.5" customHeight="1">
      <c r="A5660" s="439"/>
      <c r="B5660" s="439"/>
      <c r="C5660" s="439"/>
      <c r="D5660" s="439"/>
      <c r="E5660" s="439"/>
      <c r="F5660" s="439"/>
      <c r="G5660" s="451" t="s">
        <v>3406</v>
      </c>
      <c r="Z5660" s="500"/>
      <c r="AA5660" s="500"/>
      <c r="AB5660" s="500"/>
      <c r="AC5660" s="500"/>
      <c r="AD5660" s="500"/>
      <c r="AE5660" s="500"/>
      <c r="AF5660" s="500"/>
      <c r="AG5660" s="500"/>
      <c r="AH5660" s="500"/>
      <c r="AI5660" s="500"/>
      <c r="AJ5660" s="500"/>
      <c r="AK5660" s="500"/>
      <c r="AL5660" s="500"/>
      <c r="AM5660" s="500"/>
      <c r="AN5660" s="500"/>
      <c r="AO5660" s="500"/>
      <c r="AP5660" s="500"/>
    </row>
    <row r="5661" spans="1:42" ht="16.5" customHeight="1">
      <c r="A5661" s="439"/>
      <c r="B5661" s="439"/>
      <c r="C5661" s="439"/>
      <c r="D5661" s="439"/>
      <c r="E5661" s="439"/>
      <c r="F5661" s="439"/>
      <c r="G5661" s="451" t="s">
        <v>3406</v>
      </c>
      <c r="Z5661" s="500"/>
      <c r="AA5661" s="500"/>
      <c r="AB5661" s="500"/>
      <c r="AC5661" s="500"/>
      <c r="AD5661" s="500"/>
      <c r="AE5661" s="500"/>
      <c r="AF5661" s="500"/>
      <c r="AG5661" s="500"/>
      <c r="AH5661" s="500"/>
      <c r="AI5661" s="500"/>
      <c r="AJ5661" s="500"/>
      <c r="AK5661" s="500"/>
      <c r="AL5661" s="500"/>
      <c r="AM5661" s="500"/>
      <c r="AN5661" s="500"/>
      <c r="AO5661" s="500"/>
      <c r="AP5661" s="500"/>
    </row>
    <row r="5662" spans="1:42" ht="16.5" customHeight="1">
      <c r="A5662" s="434"/>
      <c r="B5662" s="437" t="s">
        <v>3984</v>
      </c>
      <c r="C5662" s="439"/>
      <c r="D5662" s="439"/>
      <c r="E5662" s="439"/>
      <c r="F5662" s="439"/>
      <c r="G5662" s="451" t="s">
        <v>3985</v>
      </c>
      <c r="Z5662" s="500"/>
      <c r="AA5662" s="500"/>
      <c r="AB5662" s="500"/>
      <c r="AC5662" s="500"/>
      <c r="AD5662" s="500"/>
      <c r="AE5662" s="500"/>
      <c r="AF5662" s="500"/>
      <c r="AG5662" s="500"/>
      <c r="AH5662" s="500"/>
      <c r="AI5662" s="500"/>
      <c r="AJ5662" s="500"/>
      <c r="AK5662" s="500"/>
      <c r="AL5662" s="500"/>
      <c r="AM5662" s="500"/>
      <c r="AN5662" s="500"/>
      <c r="AO5662" s="500"/>
      <c r="AP5662" s="500"/>
    </row>
    <row r="5663" spans="1:42" ht="16.5" customHeight="1">
      <c r="A5663" s="439"/>
      <c r="B5663" s="439"/>
      <c r="C5663" s="439"/>
      <c r="D5663" s="439"/>
      <c r="E5663" s="439"/>
      <c r="F5663" s="439"/>
      <c r="G5663" s="451" t="s">
        <v>3406</v>
      </c>
      <c r="Z5663" s="500"/>
      <c r="AA5663" s="500"/>
      <c r="AB5663" s="500"/>
      <c r="AC5663" s="500"/>
      <c r="AD5663" s="500"/>
      <c r="AE5663" s="500"/>
      <c r="AF5663" s="500"/>
      <c r="AG5663" s="500"/>
      <c r="AH5663" s="500"/>
      <c r="AI5663" s="500"/>
      <c r="AJ5663" s="500"/>
      <c r="AK5663" s="500"/>
      <c r="AL5663" s="500"/>
      <c r="AM5663" s="500"/>
      <c r="AN5663" s="500"/>
      <c r="AO5663" s="500"/>
      <c r="AP5663" s="500"/>
    </row>
    <row r="5664" spans="1:42" ht="16.5" customHeight="1">
      <c r="A5664" s="439"/>
      <c r="B5664" s="439"/>
      <c r="C5664" s="439"/>
      <c r="D5664" s="439"/>
      <c r="E5664" s="439"/>
      <c r="F5664" s="439"/>
      <c r="G5664" s="451" t="s">
        <v>3406</v>
      </c>
      <c r="Z5664" s="500"/>
      <c r="AA5664" s="500"/>
      <c r="AB5664" s="500"/>
      <c r="AC5664" s="500"/>
      <c r="AD5664" s="500"/>
      <c r="AE5664" s="500"/>
      <c r="AF5664" s="500"/>
      <c r="AG5664" s="500"/>
      <c r="AH5664" s="500"/>
      <c r="AI5664" s="500"/>
      <c r="AJ5664" s="500"/>
      <c r="AK5664" s="500"/>
      <c r="AL5664" s="500"/>
      <c r="AM5664" s="500"/>
      <c r="AN5664" s="500"/>
      <c r="AO5664" s="500"/>
      <c r="AP5664" s="500"/>
    </row>
    <row r="5665" spans="1:42" ht="16.5" customHeight="1">
      <c r="A5665" s="434"/>
      <c r="B5665" s="437" t="s">
        <v>3986</v>
      </c>
      <c r="C5665" s="439"/>
      <c r="D5665" s="439"/>
      <c r="E5665" s="439"/>
      <c r="F5665" s="439"/>
      <c r="G5665" s="451" t="s">
        <v>3987</v>
      </c>
      <c r="Z5665" s="500"/>
      <c r="AA5665" s="500"/>
      <c r="AB5665" s="500"/>
      <c r="AC5665" s="500"/>
      <c r="AD5665" s="500"/>
      <c r="AE5665" s="500"/>
      <c r="AF5665" s="500"/>
      <c r="AG5665" s="500"/>
      <c r="AH5665" s="500"/>
      <c r="AI5665" s="500"/>
      <c r="AJ5665" s="500"/>
      <c r="AK5665" s="500"/>
      <c r="AL5665" s="500"/>
      <c r="AM5665" s="500"/>
      <c r="AN5665" s="500"/>
      <c r="AO5665" s="500"/>
      <c r="AP5665" s="500"/>
    </row>
    <row r="5666" spans="1:42" ht="16.5" customHeight="1">
      <c r="A5666" s="439"/>
      <c r="B5666" s="439"/>
      <c r="C5666" s="439"/>
      <c r="D5666" s="439"/>
      <c r="E5666" s="439"/>
      <c r="F5666" s="439"/>
      <c r="G5666" s="451" t="s">
        <v>3406</v>
      </c>
      <c r="Z5666" s="500"/>
      <c r="AA5666" s="500"/>
      <c r="AB5666" s="500"/>
      <c r="AC5666" s="500"/>
      <c r="AD5666" s="500"/>
      <c r="AE5666" s="500"/>
      <c r="AF5666" s="500"/>
      <c r="AG5666" s="500"/>
      <c r="AH5666" s="500"/>
      <c r="AI5666" s="500"/>
      <c r="AJ5666" s="500"/>
      <c r="AK5666" s="500"/>
      <c r="AL5666" s="500"/>
      <c r="AM5666" s="500"/>
      <c r="AN5666" s="500"/>
      <c r="AO5666" s="500"/>
      <c r="AP5666" s="500"/>
    </row>
    <row r="5667" spans="1:42" ht="16.5" customHeight="1">
      <c r="A5667" s="439"/>
      <c r="B5667" s="439"/>
      <c r="C5667" s="439"/>
      <c r="D5667" s="439"/>
      <c r="E5667" s="439"/>
      <c r="F5667" s="439"/>
      <c r="G5667" s="451" t="s">
        <v>3406</v>
      </c>
      <c r="Z5667" s="500"/>
      <c r="AA5667" s="500"/>
      <c r="AB5667" s="500"/>
      <c r="AC5667" s="500"/>
      <c r="AD5667" s="500"/>
      <c r="AE5667" s="500"/>
      <c r="AF5667" s="500"/>
      <c r="AG5667" s="500"/>
      <c r="AH5667" s="500"/>
      <c r="AI5667" s="500"/>
      <c r="AJ5667" s="500"/>
      <c r="AK5667" s="500"/>
      <c r="AL5667" s="500"/>
      <c r="AM5667" s="500"/>
      <c r="AN5667" s="500"/>
      <c r="AO5667" s="500"/>
      <c r="AP5667" s="500"/>
    </row>
    <row r="5668" spans="1:42" ht="16.5" customHeight="1">
      <c r="A5668" s="434"/>
      <c r="B5668" s="437" t="str">
        <f>" L = "&amp;Z5668&amp;" , V = "&amp;AD5668&amp;" , t = "&amp;AH5668&amp;"  , T = "&amp;AL5668&amp;"-"&amp;AN5668&amp;""</f>
        <v xml:space="preserve"> L = 1050 , V = 2500 , t = 2  , T = 480-30</v>
      </c>
      <c r="C5668" s="439"/>
      <c r="D5668" s="439"/>
      <c r="E5668" s="439"/>
      <c r="F5668" s="439"/>
      <c r="G5668" s="451" t="s">
        <v>4004</v>
      </c>
      <c r="Z5668" s="515">
        <v>1050</v>
      </c>
      <c r="AA5668" s="501" t="s">
        <v>3418</v>
      </c>
      <c r="AB5668" s="512">
        <f>Z5668</f>
        <v>1050</v>
      </c>
      <c r="AC5668" s="514" t="s">
        <v>3427</v>
      </c>
      <c r="AD5668" s="515">
        <v>2500</v>
      </c>
      <c r="AE5668" s="501" t="s">
        <v>3418</v>
      </c>
      <c r="AF5668" s="512">
        <f>AD5668</f>
        <v>2500</v>
      </c>
      <c r="AG5668" s="514" t="s">
        <v>3427</v>
      </c>
      <c r="AH5668" s="515">
        <v>2</v>
      </c>
      <c r="AI5668" s="501" t="s">
        <v>3418</v>
      </c>
      <c r="AJ5668" s="512">
        <f>AH5668</f>
        <v>2</v>
      </c>
      <c r="AK5668" s="514" t="s">
        <v>3427</v>
      </c>
      <c r="AL5668" s="515">
        <v>480</v>
      </c>
      <c r="AM5668" s="501" t="s">
        <v>3474</v>
      </c>
      <c r="AN5668" s="515">
        <v>30</v>
      </c>
      <c r="AO5668" s="501" t="s">
        <v>3418</v>
      </c>
      <c r="AP5668" s="512">
        <f>AL5668-AN5668</f>
        <v>450</v>
      </c>
    </row>
    <row r="5669" spans="1:42" ht="16.5" customHeight="1">
      <c r="A5669" s="439"/>
      <c r="B5669" s="439"/>
      <c r="C5669" s="439"/>
      <c r="D5669" s="439"/>
      <c r="E5669" s="439"/>
      <c r="F5669" s="439"/>
      <c r="G5669" s="451" t="s">
        <v>3406</v>
      </c>
      <c r="Z5669" s="500"/>
      <c r="AA5669" s="500"/>
      <c r="AB5669" s="500"/>
      <c r="AC5669" s="500"/>
      <c r="AD5669" s="500"/>
      <c r="AE5669" s="500"/>
      <c r="AF5669" s="500"/>
      <c r="AG5669" s="500"/>
      <c r="AH5669" s="500"/>
      <c r="AI5669" s="500"/>
      <c r="AJ5669" s="500"/>
      <c r="AK5669" s="500"/>
      <c r="AL5669" s="500"/>
      <c r="AM5669" s="500"/>
      <c r="AN5669" s="500"/>
      <c r="AO5669" s="500"/>
      <c r="AP5669" s="500"/>
    </row>
    <row r="5670" spans="1:42" ht="16.5" customHeight="1">
      <c r="A5670" s="439"/>
      <c r="B5670" s="439"/>
      <c r="C5670" s="439"/>
      <c r="D5670" s="439"/>
      <c r="E5670" s="439"/>
      <c r="F5670" s="439"/>
      <c r="G5670" s="451" t="s">
        <v>3406</v>
      </c>
      <c r="Z5670" s="500"/>
      <c r="AA5670" s="500"/>
      <c r="AB5670" s="500"/>
      <c r="AC5670" s="500"/>
      <c r="AD5670" s="500"/>
      <c r="AE5670" s="500"/>
      <c r="AF5670" s="500"/>
      <c r="AG5670" s="500"/>
      <c r="AH5670" s="500"/>
      <c r="AI5670" s="500"/>
      <c r="AJ5670" s="500"/>
      <c r="AK5670" s="500"/>
      <c r="AL5670" s="500"/>
      <c r="AM5670" s="500"/>
      <c r="AN5670" s="500"/>
      <c r="AO5670" s="500"/>
      <c r="AP5670" s="500"/>
    </row>
    <row r="5671" spans="1:42" ht="16.5" customHeight="1">
      <c r="A5671" s="439"/>
      <c r="B5671" s="439"/>
      <c r="C5671" s="439"/>
      <c r="D5671" s="439"/>
      <c r="E5671" s="439"/>
      <c r="F5671" s="439"/>
      <c r="G5671" s="451" t="s">
        <v>3406</v>
      </c>
      <c r="Z5671" s="500"/>
      <c r="AA5671" s="500"/>
      <c r="AB5671" s="500"/>
      <c r="AC5671" s="500"/>
      <c r="AD5671" s="500"/>
      <c r="AE5671" s="500"/>
      <c r="AF5671" s="500"/>
      <c r="AG5671" s="500"/>
      <c r="AH5671" s="500"/>
      <c r="AI5671" s="500"/>
      <c r="AJ5671" s="500"/>
      <c r="AK5671" s="500"/>
      <c r="AL5671" s="500"/>
      <c r="AM5671" s="500"/>
      <c r="AN5671" s="500"/>
      <c r="AO5671" s="500"/>
      <c r="AP5671" s="500"/>
    </row>
    <row r="5672" spans="1:42" ht="16.5" customHeight="1">
      <c r="A5672" s="434"/>
      <c r="B5672" s="437" t="str">
        <f>" N = V*T /( "&amp;AD5672&amp;"*L+V*"&amp;AJ5672&amp;" ) = "&amp;AM5672&amp;" 회/일 "</f>
        <v xml:space="preserve"> N = V*T /( 120*L+V*2 ) = 8.59 회/일 </v>
      </c>
      <c r="C5672" s="439"/>
      <c r="D5672" s="439"/>
      <c r="E5672" s="439"/>
      <c r="F5672" s="439"/>
      <c r="G5672" s="451" t="s">
        <v>3989</v>
      </c>
      <c r="Z5672" s="512">
        <f>AF5668</f>
        <v>2500</v>
      </c>
      <c r="AA5672" s="501" t="s">
        <v>3368</v>
      </c>
      <c r="AB5672" s="512">
        <f>AP5668</f>
        <v>450</v>
      </c>
      <c r="AC5672" s="501" t="s">
        <v>3463</v>
      </c>
      <c r="AD5672" s="515">
        <v>120</v>
      </c>
      <c r="AE5672" s="501" t="s">
        <v>3368</v>
      </c>
      <c r="AF5672" s="512">
        <f>AB5668</f>
        <v>1050</v>
      </c>
      <c r="AG5672" s="501" t="s">
        <v>3468</v>
      </c>
      <c r="AH5672" s="512">
        <f>AF5668</f>
        <v>2500</v>
      </c>
      <c r="AI5672" s="501" t="s">
        <v>3368</v>
      </c>
      <c r="AJ5672" s="515">
        <v>2</v>
      </c>
      <c r="AK5672" s="501" t="s">
        <v>3464</v>
      </c>
      <c r="AL5672" s="501" t="s">
        <v>3418</v>
      </c>
      <c r="AM5672" s="512" t="str">
        <f>TEXT(ROUND(AF5668*AP5668/(AD5672*AB5668+AF5668*AJ5672),2),"#,0.00")</f>
        <v>8.59</v>
      </c>
      <c r="AN5672" s="500"/>
      <c r="AO5672" s="500"/>
      <c r="AP5672" s="500"/>
    </row>
    <row r="5673" spans="1:42" ht="16.5" customHeight="1">
      <c r="A5673" s="439"/>
      <c r="B5673" s="439"/>
      <c r="C5673" s="439"/>
      <c r="D5673" s="439"/>
      <c r="E5673" s="439"/>
      <c r="F5673" s="439"/>
      <c r="G5673" s="451" t="s">
        <v>3406</v>
      </c>
      <c r="Z5673" s="500"/>
      <c r="AA5673" s="500"/>
      <c r="AB5673" s="500"/>
      <c r="AC5673" s="500"/>
      <c r="AD5673" s="500"/>
      <c r="AE5673" s="500"/>
      <c r="AF5673" s="500"/>
      <c r="AG5673" s="500"/>
      <c r="AH5673" s="500"/>
      <c r="AI5673" s="500"/>
      <c r="AJ5673" s="500"/>
      <c r="AK5673" s="500"/>
      <c r="AL5673" s="500"/>
      <c r="AM5673" s="500"/>
      <c r="AN5673" s="500"/>
      <c r="AO5673" s="500"/>
      <c r="AP5673" s="500"/>
    </row>
    <row r="5674" spans="1:42" ht="16.5" customHeight="1">
      <c r="A5674" s="439"/>
      <c r="B5674" s="439"/>
      <c r="C5674" s="439"/>
      <c r="D5674" s="439"/>
      <c r="E5674" s="439"/>
      <c r="F5674" s="439"/>
      <c r="G5674" s="451" t="s">
        <v>3406</v>
      </c>
      <c r="Z5674" s="500"/>
      <c r="AA5674" s="500"/>
      <c r="AB5674" s="500"/>
      <c r="AC5674" s="500"/>
      <c r="AD5674" s="500"/>
      <c r="AE5674" s="500"/>
      <c r="AF5674" s="500"/>
      <c r="AG5674" s="500"/>
      <c r="AH5674" s="500"/>
      <c r="AI5674" s="500"/>
      <c r="AJ5674" s="500"/>
      <c r="AK5674" s="500"/>
      <c r="AL5674" s="500"/>
      <c r="AM5674" s="500"/>
      <c r="AN5674" s="500"/>
      <c r="AO5674" s="500"/>
      <c r="AP5674" s="500"/>
    </row>
    <row r="5675" spans="1:42" ht="16.5" customHeight="1">
      <c r="A5675" s="439"/>
      <c r="B5675" s="439"/>
      <c r="C5675" s="439"/>
      <c r="D5675" s="439"/>
      <c r="E5675" s="439"/>
      <c r="F5675" s="439"/>
      <c r="G5675" s="451" t="s">
        <v>3406</v>
      </c>
      <c r="Z5675" s="500"/>
      <c r="AA5675" s="500"/>
      <c r="AB5675" s="500"/>
      <c r="AC5675" s="500"/>
      <c r="AD5675" s="500"/>
      <c r="AE5675" s="500"/>
      <c r="AF5675" s="500"/>
      <c r="AG5675" s="500"/>
      <c r="AH5675" s="500"/>
      <c r="AI5675" s="500"/>
      <c r="AJ5675" s="500"/>
      <c r="AK5675" s="500"/>
      <c r="AL5675" s="500"/>
      <c r="AM5675" s="500"/>
      <c r="AN5675" s="500"/>
      <c r="AO5675" s="500"/>
      <c r="AP5675" s="500"/>
    </row>
    <row r="5676" spans="1:42" ht="16.5" customHeight="1">
      <c r="A5676" s="434"/>
      <c r="B5676" s="437" t="str">
        <f>" Q = N*"&amp;AB5676&amp;" ㎏ = "&amp;AD5676&amp;"  kg/일 "</f>
        <v xml:space="preserve"> Q = N*25 ㎏ = 214.75  kg/일 </v>
      </c>
      <c r="C5676" s="439"/>
      <c r="D5676" s="439"/>
      <c r="E5676" s="439"/>
      <c r="F5676" s="439"/>
      <c r="G5676" s="451" t="s">
        <v>3990</v>
      </c>
      <c r="Z5676" s="512" t="str">
        <f>AM5672</f>
        <v>8.59</v>
      </c>
      <c r="AA5676" s="501" t="s">
        <v>3368</v>
      </c>
      <c r="AB5676" s="515">
        <v>25</v>
      </c>
      <c r="AC5676" s="501" t="s">
        <v>3418</v>
      </c>
      <c r="AD5676" s="512" t="str">
        <f>TEXT(ROUND(AM5672*AB5676,2),"#,0.00")</f>
        <v>214.75</v>
      </c>
      <c r="AE5676" s="500"/>
      <c r="AF5676" s="500"/>
      <c r="AG5676" s="500"/>
      <c r="AH5676" s="500"/>
      <c r="AI5676" s="500"/>
      <c r="AJ5676" s="500"/>
      <c r="AK5676" s="500"/>
      <c r="AL5676" s="500"/>
      <c r="AM5676" s="500"/>
      <c r="AN5676" s="500"/>
      <c r="AO5676" s="500"/>
      <c r="AP5676" s="500"/>
    </row>
    <row r="5677" spans="1:42" ht="16.5" customHeight="1">
      <c r="A5677" s="439"/>
      <c r="B5677" s="439"/>
      <c r="C5677" s="439"/>
      <c r="D5677" s="439"/>
      <c r="E5677" s="439"/>
      <c r="F5677" s="439"/>
      <c r="G5677" s="451" t="s">
        <v>3406</v>
      </c>
      <c r="Z5677" s="500"/>
      <c r="AA5677" s="500"/>
      <c r="AB5677" s="500"/>
      <c r="AC5677" s="500"/>
      <c r="AD5677" s="500"/>
      <c r="AE5677" s="500"/>
      <c r="AF5677" s="500"/>
      <c r="AG5677" s="500"/>
      <c r="AH5677" s="500"/>
      <c r="AI5677" s="500"/>
      <c r="AJ5677" s="500"/>
      <c r="AK5677" s="500"/>
      <c r="AL5677" s="500"/>
      <c r="AM5677" s="500"/>
      <c r="AN5677" s="500"/>
      <c r="AO5677" s="500"/>
      <c r="AP5677" s="500"/>
    </row>
    <row r="5678" spans="1:42" ht="16.5" customHeight="1">
      <c r="A5678" s="439"/>
      <c r="B5678" s="439"/>
      <c r="C5678" s="439"/>
      <c r="D5678" s="439"/>
      <c r="E5678" s="439"/>
      <c r="F5678" s="439"/>
      <c r="G5678" s="451" t="s">
        <v>3406</v>
      </c>
      <c r="Z5678" s="500"/>
      <c r="AA5678" s="500"/>
      <c r="AB5678" s="500"/>
      <c r="AC5678" s="500"/>
      <c r="AD5678" s="500"/>
      <c r="AE5678" s="500"/>
      <c r="AF5678" s="500"/>
      <c r="AG5678" s="500"/>
      <c r="AH5678" s="500"/>
      <c r="AI5678" s="500"/>
      <c r="AJ5678" s="500"/>
      <c r="AK5678" s="500"/>
      <c r="AL5678" s="500"/>
      <c r="AM5678" s="500"/>
      <c r="AN5678" s="500"/>
      <c r="AO5678" s="500"/>
      <c r="AP5678" s="500"/>
    </row>
    <row r="5679" spans="1:42" ht="16.5" customHeight="1">
      <c r="A5679" s="439"/>
      <c r="B5679" s="439"/>
      <c r="C5679" s="439"/>
      <c r="D5679" s="439"/>
      <c r="E5679" s="439"/>
      <c r="F5679" s="439"/>
      <c r="G5679" s="451" t="s">
        <v>3406</v>
      </c>
      <c r="Z5679" s="500"/>
      <c r="AA5679" s="500"/>
      <c r="AB5679" s="500"/>
      <c r="AC5679" s="500"/>
      <c r="AD5679" s="500"/>
      <c r="AE5679" s="500"/>
      <c r="AF5679" s="500"/>
      <c r="AG5679" s="500"/>
      <c r="AH5679" s="500"/>
      <c r="AI5679" s="500"/>
      <c r="AJ5679" s="500"/>
      <c r="AK5679" s="500"/>
      <c r="AL5679" s="500"/>
      <c r="AM5679" s="500"/>
      <c r="AN5679" s="500"/>
      <c r="AO5679" s="500"/>
      <c r="AP5679" s="500"/>
    </row>
    <row r="5680" spans="1:42" ht="16.5" customHeight="1">
      <c r="A5680" s="434"/>
      <c r="B5680" s="437" t="str">
        <f>" k = "&amp;Z5680&amp;" kg /Q"</f>
        <v xml:space="preserve"> k = 1000 kg /Q</v>
      </c>
      <c r="C5680" s="439"/>
      <c r="D5680" s="439"/>
      <c r="E5680" s="439"/>
      <c r="F5680" s="439"/>
      <c r="G5680" s="451" t="s">
        <v>3991</v>
      </c>
      <c r="Z5680" s="515">
        <v>1000</v>
      </c>
      <c r="AA5680" s="501" t="s">
        <v>3428</v>
      </c>
      <c r="AB5680" s="512" t="str">
        <f>AD5676</f>
        <v>214.75</v>
      </c>
      <c r="AC5680" s="501" t="s">
        <v>3418</v>
      </c>
      <c r="AD5680" s="512">
        <f>ROUND(Z5680/AD5676,13)</f>
        <v>4.6565774155995001</v>
      </c>
      <c r="AE5680" s="500"/>
      <c r="AF5680" s="500"/>
      <c r="AG5680" s="500"/>
      <c r="AH5680" s="500"/>
      <c r="AI5680" s="500"/>
      <c r="AJ5680" s="500"/>
      <c r="AK5680" s="500"/>
      <c r="AL5680" s="500"/>
      <c r="AM5680" s="500"/>
      <c r="AN5680" s="500"/>
      <c r="AO5680" s="500"/>
      <c r="AP5680" s="500"/>
    </row>
    <row r="5681" spans="1:42" ht="16.5" customHeight="1">
      <c r="A5681" s="439"/>
      <c r="B5681" s="439"/>
      <c r="C5681" s="439"/>
      <c r="D5681" s="439"/>
      <c r="E5681" s="439"/>
      <c r="F5681" s="439"/>
      <c r="G5681" s="451" t="s">
        <v>3406</v>
      </c>
      <c r="Z5681" s="500"/>
      <c r="AA5681" s="500"/>
      <c r="AB5681" s="500"/>
      <c r="AC5681" s="500"/>
      <c r="AD5681" s="500"/>
      <c r="AE5681" s="500"/>
      <c r="AF5681" s="500"/>
      <c r="AG5681" s="500"/>
      <c r="AH5681" s="500"/>
      <c r="AI5681" s="500"/>
      <c r="AJ5681" s="500"/>
      <c r="AK5681" s="500"/>
      <c r="AL5681" s="500"/>
      <c r="AM5681" s="500"/>
      <c r="AN5681" s="500"/>
      <c r="AO5681" s="500"/>
      <c r="AP5681" s="500"/>
    </row>
    <row r="5682" spans="1:42" ht="16.5" customHeight="1">
      <c r="A5682" s="439"/>
      <c r="B5682" s="439"/>
      <c r="C5682" s="439"/>
      <c r="D5682" s="439"/>
      <c r="E5682" s="439"/>
      <c r="F5682" s="439"/>
      <c r="G5682" s="451" t="s">
        <v>3406</v>
      </c>
      <c r="Z5682" s="500"/>
      <c r="AA5682" s="500"/>
      <c r="AB5682" s="500"/>
      <c r="AC5682" s="500"/>
      <c r="AD5682" s="500"/>
      <c r="AE5682" s="500"/>
      <c r="AF5682" s="500"/>
      <c r="AG5682" s="500"/>
      <c r="AH5682" s="500"/>
      <c r="AI5682" s="500"/>
      <c r="AJ5682" s="500"/>
      <c r="AK5682" s="500"/>
      <c r="AL5682" s="500"/>
      <c r="AM5682" s="500"/>
      <c r="AN5682" s="500"/>
      <c r="AO5682" s="500"/>
      <c r="AP5682" s="500"/>
    </row>
    <row r="5683" spans="1:42" ht="16.5" customHeight="1">
      <c r="A5683" s="439"/>
      <c r="B5683" s="439"/>
      <c r="C5683" s="439"/>
      <c r="D5683" s="439"/>
      <c r="E5683" s="439"/>
      <c r="F5683" s="439"/>
      <c r="G5683" s="451" t="s">
        <v>3406</v>
      </c>
      <c r="Z5683" s="500"/>
      <c r="AA5683" s="500"/>
      <c r="AB5683" s="500"/>
      <c r="AC5683" s="500"/>
      <c r="AD5683" s="500"/>
      <c r="AE5683" s="500"/>
      <c r="AF5683" s="500"/>
      <c r="AG5683" s="500"/>
      <c r="AH5683" s="500"/>
      <c r="AI5683" s="500"/>
      <c r="AJ5683" s="500"/>
      <c r="AK5683" s="500"/>
      <c r="AL5683" s="500"/>
      <c r="AM5683" s="500"/>
      <c r="AN5683" s="500"/>
      <c r="AO5683" s="500"/>
      <c r="AP5683" s="500"/>
    </row>
    <row r="5684" spans="1:42" ht="16.5" customHeight="1">
      <c r="A5684" s="434" t="s">
        <v>3992</v>
      </c>
      <c r="B5684" s="505" t="str">
        <f>" 인    부: "&amp;TEXT(I5684,"#,##0"&amp;IF(I5684&lt;&gt;INT(I5684),".###",""))&amp;"*k = "&amp;TEXT(C5684,"#,##0.0")&amp;" 원 "</f>
        <v xml:space="preserve"> 인    부: 172,068*k = 801,247.9 원 </v>
      </c>
      <c r="C5684" s="506">
        <f>E5684+D5684+F5684</f>
        <v>801247.9</v>
      </c>
      <c r="D5684" s="506">
        <f>IF(H5684=0,0,ROUNDDOWN(J5684*H5684,1))</f>
        <v>801247.9</v>
      </c>
      <c r="E5684" s="506">
        <f>IF(H5684=0,0,ROUNDDOWN(K5684*H5684,1))</f>
        <v>0</v>
      </c>
      <c r="F5684" s="506">
        <f>IF(H5684=0,0,ROUNDDOWN(L5684*H5684,1))</f>
        <v>0</v>
      </c>
      <c r="G5684" s="451" t="s">
        <v>3993</v>
      </c>
      <c r="H5684" s="507">
        <f>ROUNDUP(AC5684,14-LEN(ABS(INT(AC5684))))</f>
        <v>4.6565774155995001</v>
      </c>
      <c r="I5684" s="508">
        <f>K5684+J5684+L5684</f>
        <v>172068</v>
      </c>
      <c r="J5684" s="509">
        <f>노무비목록표!E10</f>
        <v>172068</v>
      </c>
      <c r="M5684" s="501" t="s">
        <v>2363</v>
      </c>
      <c r="N5684" s="501" t="s">
        <v>3994</v>
      </c>
      <c r="X5684" s="510" t="str">
        <f>노무비목록표!B10&amp;" / "&amp;노무비목록표!C10</f>
        <v xml:space="preserve">보통인부 / </v>
      </c>
      <c r="Y5684" s="433" t="str">
        <f ca="1">HYPERLINK("#"&amp;노무비목록표!G2&amp;"!A"&amp;ROW(노무비목록표!A10),"L00017 →")</f>
        <v>L00017 →</v>
      </c>
      <c r="Z5684" s="501" t="s">
        <v>3500</v>
      </c>
      <c r="AA5684" s="512">
        <f>AD5680</f>
        <v>4.6565774155995001</v>
      </c>
      <c r="AB5684" s="501" t="s">
        <v>3418</v>
      </c>
      <c r="AC5684" s="512">
        <f>1*AD5680</f>
        <v>4.6565774155995001</v>
      </c>
      <c r="AD5684" s="500"/>
      <c r="AE5684" s="500"/>
      <c r="AF5684" s="500"/>
      <c r="AG5684" s="500"/>
      <c r="AH5684" s="500"/>
      <c r="AI5684" s="500"/>
      <c r="AJ5684" s="500"/>
      <c r="AK5684" s="500"/>
      <c r="AL5684" s="500"/>
      <c r="AM5684" s="500"/>
      <c r="AN5684" s="500"/>
      <c r="AO5684" s="500"/>
      <c r="AP5684" s="500"/>
    </row>
    <row r="5685" spans="1:42" ht="16.5" customHeight="1">
      <c r="A5685" s="439"/>
      <c r="B5685" s="439"/>
      <c r="C5685" s="439"/>
      <c r="D5685" s="439"/>
      <c r="E5685" s="439"/>
      <c r="F5685" s="439"/>
      <c r="G5685" s="451" t="s">
        <v>3406</v>
      </c>
      <c r="Z5685" s="500"/>
      <c r="AA5685" s="500"/>
      <c r="AB5685" s="500"/>
      <c r="AC5685" s="500"/>
      <c r="AD5685" s="500"/>
      <c r="AE5685" s="500"/>
      <c r="AF5685" s="500"/>
      <c r="AG5685" s="500"/>
      <c r="AH5685" s="500"/>
      <c r="AI5685" s="500"/>
      <c r="AJ5685" s="500"/>
      <c r="AK5685" s="500"/>
      <c r="AL5685" s="500"/>
      <c r="AM5685" s="500"/>
      <c r="AN5685" s="500"/>
      <c r="AO5685" s="500"/>
      <c r="AP5685" s="500"/>
    </row>
    <row r="5686" spans="1:42" ht="16.5" customHeight="1">
      <c r="A5686" s="439"/>
      <c r="B5686" s="439"/>
      <c r="C5686" s="439"/>
      <c r="D5686" s="439"/>
      <c r="E5686" s="439"/>
      <c r="F5686" s="439"/>
      <c r="G5686" s="451" t="s">
        <v>3406</v>
      </c>
      <c r="Z5686" s="500"/>
      <c r="AA5686" s="500"/>
      <c r="AB5686" s="500"/>
      <c r="AC5686" s="500"/>
      <c r="AD5686" s="500"/>
      <c r="AE5686" s="500"/>
      <c r="AF5686" s="500"/>
      <c r="AG5686" s="500"/>
      <c r="AH5686" s="500"/>
      <c r="AI5686" s="500"/>
      <c r="AJ5686" s="500"/>
      <c r="AK5686" s="500"/>
      <c r="AL5686" s="500"/>
      <c r="AM5686" s="500"/>
      <c r="AN5686" s="500"/>
      <c r="AO5686" s="500"/>
      <c r="AP5686" s="500"/>
    </row>
    <row r="5687" spans="1:42" ht="16.5" customHeight="1">
      <c r="A5687" s="439"/>
      <c r="B5687" s="439"/>
      <c r="C5687" s="439"/>
      <c r="D5687" s="439"/>
      <c r="E5687" s="439"/>
      <c r="F5687" s="439"/>
      <c r="G5687" s="451" t="s">
        <v>3406</v>
      </c>
      <c r="Z5687" s="500"/>
      <c r="AA5687" s="500"/>
      <c r="AB5687" s="500"/>
      <c r="AC5687" s="500"/>
      <c r="AD5687" s="500"/>
      <c r="AE5687" s="500"/>
      <c r="AF5687" s="500"/>
      <c r="AG5687" s="500"/>
      <c r="AH5687" s="500"/>
      <c r="AI5687" s="500"/>
      <c r="AJ5687" s="500"/>
      <c r="AK5687" s="500"/>
      <c r="AL5687" s="500"/>
      <c r="AM5687" s="500"/>
      <c r="AN5687" s="500"/>
      <c r="AO5687" s="500"/>
      <c r="AP5687" s="500"/>
    </row>
    <row r="5688" spans="1:42" ht="16.5" customHeight="1">
      <c r="A5688" s="439"/>
      <c r="B5688" s="439"/>
      <c r="C5688" s="439"/>
      <c r="D5688" s="439"/>
      <c r="E5688" s="439"/>
      <c r="F5688" s="439"/>
      <c r="G5688" s="451" t="s">
        <v>3406</v>
      </c>
      <c r="Z5688" s="500"/>
      <c r="AA5688" s="500"/>
      <c r="AB5688" s="500"/>
      <c r="AC5688" s="500"/>
      <c r="AD5688" s="500"/>
      <c r="AE5688" s="500"/>
      <c r="AF5688" s="500"/>
      <c r="AG5688" s="500"/>
      <c r="AH5688" s="500"/>
      <c r="AI5688" s="500"/>
      <c r="AJ5688" s="500"/>
      <c r="AK5688" s="500"/>
      <c r="AL5688" s="500"/>
      <c r="AM5688" s="500"/>
      <c r="AN5688" s="500"/>
      <c r="AO5688" s="500"/>
      <c r="AP5688" s="500"/>
    </row>
    <row r="5689" spans="1:42" ht="16.5" customHeight="1">
      <c r="A5689" s="434"/>
      <c r="B5689" s="437" t="s">
        <v>3995</v>
      </c>
      <c r="C5689" s="516">
        <f>E5689+D5689+F5689</f>
        <v>801247.9</v>
      </c>
      <c r="D5689" s="516">
        <f>SUMIF(N5657:N5688,M5689,D5657:D5688)</f>
        <v>801247.9</v>
      </c>
      <c r="E5689" s="516">
        <f>SUMIF(N5657:N5688,M5689,E5657:E5688)</f>
        <v>0</v>
      </c>
      <c r="F5689" s="516">
        <f>SUMIF(N5657:N5688,M5689,F5657:F5688)</f>
        <v>0</v>
      </c>
      <c r="G5689" s="451" t="s">
        <v>3996</v>
      </c>
      <c r="M5689" s="501" t="s">
        <v>3994</v>
      </c>
      <c r="Z5689" s="500"/>
      <c r="AA5689" s="500"/>
      <c r="AB5689" s="500"/>
      <c r="AC5689" s="500"/>
      <c r="AD5689" s="500"/>
      <c r="AE5689" s="500"/>
      <c r="AF5689" s="500"/>
      <c r="AG5689" s="500"/>
      <c r="AH5689" s="500"/>
      <c r="AI5689" s="500"/>
      <c r="AJ5689" s="500"/>
      <c r="AK5689" s="500"/>
      <c r="AL5689" s="500"/>
      <c r="AM5689" s="500"/>
      <c r="AN5689" s="500"/>
      <c r="AO5689" s="500"/>
      <c r="AP5689" s="500"/>
    </row>
    <row r="5690" spans="1:42" ht="16.5" customHeight="1">
      <c r="A5690" s="439"/>
      <c r="B5690" s="439"/>
      <c r="C5690" s="517"/>
      <c r="D5690" s="517"/>
      <c r="E5690" s="517"/>
      <c r="F5690" s="517"/>
      <c r="G5690" s="451" t="s">
        <v>3406</v>
      </c>
      <c r="Z5690" s="500"/>
      <c r="AA5690" s="500"/>
      <c r="AB5690" s="500"/>
      <c r="AC5690" s="500"/>
      <c r="AD5690" s="500"/>
      <c r="AE5690" s="500"/>
      <c r="AF5690" s="500"/>
      <c r="AG5690" s="500"/>
      <c r="AH5690" s="500"/>
      <c r="AI5690" s="500"/>
      <c r="AJ5690" s="500"/>
      <c r="AK5690" s="500"/>
      <c r="AL5690" s="500"/>
      <c r="AM5690" s="500"/>
      <c r="AN5690" s="500"/>
      <c r="AO5690" s="500"/>
      <c r="AP5690" s="500"/>
    </row>
    <row r="5691" spans="1:42" ht="16.5" customHeight="1">
      <c r="A5691" s="439"/>
      <c r="B5691" s="439"/>
      <c r="C5691" s="439"/>
      <c r="D5691" s="439"/>
      <c r="E5691" s="439"/>
      <c r="F5691" s="439"/>
      <c r="G5691" s="451" t="s">
        <v>3406</v>
      </c>
      <c r="Z5691" s="500"/>
      <c r="AA5691" s="500"/>
      <c r="AB5691" s="500"/>
      <c r="AC5691" s="500"/>
      <c r="AD5691" s="500"/>
      <c r="AE5691" s="500"/>
      <c r="AF5691" s="500"/>
      <c r="AG5691" s="500"/>
      <c r="AH5691" s="500"/>
      <c r="AI5691" s="500"/>
      <c r="AJ5691" s="500"/>
      <c r="AK5691" s="500"/>
      <c r="AL5691" s="500"/>
      <c r="AM5691" s="500"/>
      <c r="AN5691" s="500"/>
      <c r="AO5691" s="500"/>
      <c r="AP5691" s="500"/>
    </row>
    <row r="5692" spans="1:42" ht="16.5" customHeight="1">
      <c r="A5692" s="434" t="s">
        <v>3997</v>
      </c>
      <c r="B5692" s="505" t="str">
        <f>" 경비로 적용 : "&amp;TEXT(I5692,"#,##0"&amp;IF(I5692&lt;&gt;INT(I5692),".###",""))&amp;"  = "&amp;TEXT(C5692,"#,##0.0")&amp;""</f>
        <v xml:space="preserve"> 경비로 적용 : 801,247.9  = 801,247.9</v>
      </c>
      <c r="C5692" s="506">
        <f>E5692+D5692+F5692</f>
        <v>801247.9</v>
      </c>
      <c r="D5692" s="506">
        <f>IF(H5692=0,0,ROUNDDOWN(J5692*H5692,1))</f>
        <v>0</v>
      </c>
      <c r="E5692" s="506">
        <f>IF(H5692=0,0,ROUNDDOWN(K5692*H5692,1))</f>
        <v>0</v>
      </c>
      <c r="F5692" s="506">
        <f>IF(H5692=0,0,ROUNDDOWN(L5692*H5692,1))</f>
        <v>801247.9</v>
      </c>
      <c r="G5692" s="451" t="s">
        <v>3998</v>
      </c>
      <c r="H5692" s="507">
        <f>ROUNDUP(AB5692,14-LEN(ABS(INT(AB5692))))</f>
        <v>1</v>
      </c>
      <c r="I5692" s="508">
        <f>K5692+J5692+L5692</f>
        <v>801247.9</v>
      </c>
      <c r="J5692" s="456">
        <v>0</v>
      </c>
      <c r="K5692" s="456">
        <v>0</v>
      </c>
      <c r="L5692" s="518">
        <v>801247.9</v>
      </c>
      <c r="M5692" s="501" t="s">
        <v>3999</v>
      </c>
      <c r="N5692" s="501" t="s">
        <v>2354</v>
      </c>
      <c r="Z5692" s="501" t="s">
        <v>4000</v>
      </c>
      <c r="AA5692" s="501" t="s">
        <v>3418</v>
      </c>
      <c r="AB5692" s="512">
        <f>1</f>
        <v>1</v>
      </c>
      <c r="AC5692" s="500"/>
      <c r="AD5692" s="500"/>
      <c r="AE5692" s="500"/>
      <c r="AF5692" s="500"/>
      <c r="AG5692" s="500"/>
      <c r="AH5692" s="500"/>
      <c r="AI5692" s="500"/>
      <c r="AJ5692" s="500"/>
      <c r="AK5692" s="500"/>
      <c r="AL5692" s="500"/>
      <c r="AM5692" s="500"/>
      <c r="AN5692" s="500"/>
      <c r="AO5692" s="500"/>
      <c r="AP5692" s="500"/>
    </row>
    <row r="5693" spans="1:42" ht="16.5" customHeight="1">
      <c r="A5693" s="439"/>
      <c r="B5693" s="439"/>
      <c r="C5693" s="439"/>
      <c r="D5693" s="439"/>
      <c r="E5693" s="439"/>
      <c r="F5693" s="439"/>
      <c r="Z5693" s="500"/>
      <c r="AA5693" s="500"/>
      <c r="AB5693" s="500"/>
      <c r="AC5693" s="500"/>
      <c r="AD5693" s="500"/>
      <c r="AE5693" s="500"/>
      <c r="AF5693" s="500"/>
      <c r="AG5693" s="500"/>
      <c r="AH5693" s="500"/>
      <c r="AI5693" s="500"/>
      <c r="AJ5693" s="500"/>
      <c r="AK5693" s="500"/>
      <c r="AL5693" s="500"/>
      <c r="AM5693" s="500"/>
      <c r="AN5693" s="500"/>
      <c r="AO5693" s="500"/>
      <c r="AP5693" s="500"/>
    </row>
    <row r="5694" spans="1:42" ht="16.5" customHeight="1">
      <c r="A5694" s="439"/>
      <c r="B5694" s="439"/>
      <c r="C5694" s="439"/>
      <c r="D5694" s="439"/>
      <c r="E5694" s="439"/>
      <c r="F5694" s="439"/>
      <c r="Z5694" s="500"/>
      <c r="AA5694" s="500"/>
      <c r="AB5694" s="500"/>
      <c r="AC5694" s="500"/>
      <c r="AD5694" s="500"/>
      <c r="AE5694" s="500"/>
      <c r="AF5694" s="500"/>
      <c r="AG5694" s="500"/>
      <c r="AH5694" s="500"/>
      <c r="AI5694" s="500"/>
      <c r="AJ5694" s="500"/>
      <c r="AK5694" s="500"/>
      <c r="AL5694" s="500"/>
      <c r="AM5694" s="500"/>
      <c r="AN5694" s="500"/>
      <c r="AO5694" s="500"/>
      <c r="AP5694" s="500"/>
    </row>
    <row r="5695" spans="1:42" ht="16.5" customHeight="1">
      <c r="A5695" s="439"/>
      <c r="B5695" s="439"/>
      <c r="C5695" s="439"/>
      <c r="D5695" s="439"/>
      <c r="E5695" s="439"/>
      <c r="F5695" s="439"/>
      <c r="Z5695" s="500"/>
      <c r="AA5695" s="500"/>
      <c r="AB5695" s="500"/>
      <c r="AC5695" s="500"/>
      <c r="AD5695" s="500"/>
      <c r="AE5695" s="500"/>
      <c r="AF5695" s="500"/>
      <c r="AG5695" s="500"/>
      <c r="AH5695" s="500"/>
      <c r="AI5695" s="500"/>
      <c r="AJ5695" s="500"/>
      <c r="AK5695" s="500"/>
      <c r="AL5695" s="500"/>
      <c r="AM5695" s="500"/>
      <c r="AN5695" s="500"/>
      <c r="AO5695" s="500"/>
      <c r="AP5695" s="500"/>
    </row>
    <row r="5696" spans="1:42" ht="16.5" customHeight="1">
      <c r="A5696" s="439"/>
      <c r="B5696" s="439"/>
      <c r="C5696" s="439"/>
      <c r="D5696" s="439"/>
      <c r="E5696" s="439"/>
      <c r="F5696" s="439"/>
      <c r="Z5696" s="500"/>
      <c r="AA5696" s="500"/>
      <c r="AB5696" s="500"/>
      <c r="AC5696" s="500"/>
      <c r="AD5696" s="500"/>
      <c r="AE5696" s="500"/>
      <c r="AF5696" s="500"/>
      <c r="AG5696" s="500"/>
      <c r="AH5696" s="500"/>
      <c r="AI5696" s="500"/>
      <c r="AJ5696" s="500"/>
      <c r="AK5696" s="500"/>
      <c r="AL5696" s="500"/>
      <c r="AM5696" s="500"/>
      <c r="AN5696" s="500"/>
      <c r="AO5696" s="500"/>
      <c r="AP5696" s="500"/>
    </row>
    <row r="5697" spans="1:42" ht="16.5" customHeight="1">
      <c r="A5697" s="439"/>
      <c r="B5697" s="439"/>
      <c r="C5697" s="439"/>
      <c r="D5697" s="439"/>
      <c r="E5697" s="439"/>
      <c r="F5697" s="439"/>
      <c r="Z5697" s="500"/>
      <c r="AA5697" s="500"/>
      <c r="AB5697" s="500"/>
      <c r="AC5697" s="500"/>
      <c r="AD5697" s="500"/>
      <c r="AE5697" s="500"/>
      <c r="AF5697" s="500"/>
      <c r="AG5697" s="500"/>
      <c r="AH5697" s="500"/>
      <c r="AI5697" s="500"/>
      <c r="AJ5697" s="500"/>
      <c r="AK5697" s="500"/>
      <c r="AL5697" s="500"/>
      <c r="AM5697" s="500"/>
      <c r="AN5697" s="500"/>
      <c r="AO5697" s="500"/>
      <c r="AP5697" s="500"/>
    </row>
    <row r="5698" spans="1:42" ht="16.5" customHeight="1">
      <c r="A5698" s="439"/>
      <c r="B5698" s="439"/>
      <c r="C5698" s="439"/>
      <c r="D5698" s="439"/>
      <c r="E5698" s="439"/>
      <c r="F5698" s="439"/>
      <c r="Z5698" s="500"/>
      <c r="AA5698" s="500"/>
      <c r="AB5698" s="500"/>
      <c r="AC5698" s="500"/>
      <c r="AD5698" s="500"/>
      <c r="AE5698" s="500"/>
      <c r="AF5698" s="500"/>
      <c r="AG5698" s="500"/>
      <c r="AH5698" s="500"/>
      <c r="AI5698" s="500"/>
      <c r="AJ5698" s="500"/>
      <c r="AK5698" s="500"/>
      <c r="AL5698" s="500"/>
      <c r="AM5698" s="500"/>
      <c r="AN5698" s="500"/>
      <c r="AO5698" s="500"/>
      <c r="AP5698" s="500"/>
    </row>
    <row r="5699" spans="1:42" ht="16.5" customHeight="1">
      <c r="A5699" s="439"/>
      <c r="B5699" s="439"/>
      <c r="C5699" s="439"/>
      <c r="D5699" s="439"/>
      <c r="E5699" s="439"/>
      <c r="F5699" s="439"/>
      <c r="Z5699" s="500"/>
      <c r="AA5699" s="500"/>
      <c r="AB5699" s="500"/>
      <c r="AC5699" s="500"/>
      <c r="AD5699" s="500"/>
      <c r="AE5699" s="500"/>
      <c r="AF5699" s="500"/>
      <c r="AG5699" s="500"/>
      <c r="AH5699" s="500"/>
      <c r="AI5699" s="500"/>
      <c r="AJ5699" s="500"/>
      <c r="AK5699" s="500"/>
      <c r="AL5699" s="500"/>
      <c r="AM5699" s="500"/>
      <c r="AN5699" s="500"/>
      <c r="AO5699" s="500"/>
      <c r="AP5699" s="500"/>
    </row>
    <row r="5700" spans="1:42" ht="16.5" customHeight="1">
      <c r="A5700" s="439"/>
      <c r="B5700" s="439"/>
      <c r="C5700" s="439"/>
      <c r="D5700" s="439"/>
      <c r="E5700" s="439"/>
      <c r="F5700" s="439"/>
      <c r="Z5700" s="500"/>
      <c r="AA5700" s="500"/>
      <c r="AB5700" s="500"/>
      <c r="AC5700" s="500"/>
      <c r="AD5700" s="500"/>
      <c r="AE5700" s="500"/>
      <c r="AF5700" s="500"/>
      <c r="AG5700" s="500"/>
      <c r="AH5700" s="500"/>
      <c r="AI5700" s="500"/>
      <c r="AJ5700" s="500"/>
      <c r="AK5700" s="500"/>
      <c r="AL5700" s="500"/>
      <c r="AM5700" s="500"/>
      <c r="AN5700" s="500"/>
      <c r="AO5700" s="500"/>
      <c r="AP5700" s="500"/>
    </row>
    <row r="5701" spans="1:42" ht="16.5" customHeight="1">
      <c r="A5701" s="439"/>
      <c r="B5701" s="439"/>
      <c r="C5701" s="439"/>
      <c r="D5701" s="439"/>
      <c r="E5701" s="439"/>
      <c r="F5701" s="439"/>
      <c r="Z5701" s="500"/>
      <c r="AA5701" s="500"/>
      <c r="AB5701" s="500"/>
      <c r="AC5701" s="500"/>
      <c r="AD5701" s="500"/>
      <c r="AE5701" s="500"/>
      <c r="AF5701" s="500"/>
      <c r="AG5701" s="500"/>
      <c r="AH5701" s="500"/>
      <c r="AI5701" s="500"/>
      <c r="AJ5701" s="500"/>
      <c r="AK5701" s="500"/>
      <c r="AL5701" s="500"/>
      <c r="AM5701" s="500"/>
      <c r="AN5701" s="500"/>
      <c r="AO5701" s="500"/>
      <c r="AP5701" s="500"/>
    </row>
    <row r="5702" spans="1:42" ht="16.5" customHeight="1">
      <c r="A5702" s="439"/>
      <c r="B5702" s="439"/>
      <c r="C5702" s="439"/>
      <c r="D5702" s="439"/>
      <c r="E5702" s="439"/>
      <c r="F5702" s="439"/>
      <c r="Z5702" s="500"/>
      <c r="AA5702" s="500"/>
      <c r="AB5702" s="500"/>
      <c r="AC5702" s="500"/>
      <c r="AD5702" s="500"/>
      <c r="AE5702" s="500"/>
      <c r="AF5702" s="500"/>
      <c r="AG5702" s="500"/>
      <c r="AH5702" s="500"/>
      <c r="AI5702" s="500"/>
      <c r="AJ5702" s="500"/>
      <c r="AK5702" s="500"/>
      <c r="AL5702" s="500"/>
      <c r="AM5702" s="500"/>
      <c r="AN5702" s="500"/>
      <c r="AO5702" s="500"/>
      <c r="AP5702" s="500"/>
    </row>
    <row r="5703" spans="1:42" ht="16.5" customHeight="1">
      <c r="A5703" s="497"/>
      <c r="B5703" s="497"/>
      <c r="C5703" s="497"/>
      <c r="D5703" s="497"/>
      <c r="E5703" s="497"/>
      <c r="F5703" s="497"/>
      <c r="Z5703" s="500"/>
      <c r="AA5703" s="500"/>
      <c r="AB5703" s="500"/>
      <c r="AC5703" s="500"/>
      <c r="AD5703" s="500"/>
      <c r="AE5703" s="500"/>
      <c r="AF5703" s="500"/>
      <c r="AG5703" s="500"/>
      <c r="AH5703" s="500"/>
      <c r="AI5703" s="500"/>
      <c r="AJ5703" s="500"/>
      <c r="AK5703" s="500"/>
      <c r="AL5703" s="500"/>
      <c r="AM5703" s="500"/>
      <c r="AN5703" s="500"/>
      <c r="AO5703" s="500"/>
      <c r="AP5703" s="500"/>
    </row>
    <row r="5704" spans="1:42" ht="16.5" customHeight="1">
      <c r="A5704" s="616" t="s">
        <v>3487</v>
      </c>
      <c r="B5704" s="605"/>
      <c r="C5704" s="446">
        <f>E5704+D5704+F5704</f>
        <v>801247</v>
      </c>
      <c r="D5704" s="453">
        <f>ROUNDDOWN(SUMIF(N5657:N5692,M5704,D5657:D5692),0)</f>
        <v>0</v>
      </c>
      <c r="E5704" s="454">
        <f>ROUNDDOWN(SUMIF(N5657:N5692,M5704,E5657:E5692),0)</f>
        <v>0</v>
      </c>
      <c r="F5704" s="446">
        <f>ROUNDDOWN(SUMIF(N5657:N5692,M5704,F5657:F5692),0)</f>
        <v>801247</v>
      </c>
      <c r="M5704" s="501" t="s">
        <v>2354</v>
      </c>
      <c r="Z5704" s="500"/>
      <c r="AA5704" s="500"/>
      <c r="AB5704" s="500"/>
      <c r="AC5704" s="500"/>
      <c r="AD5704" s="500"/>
      <c r="AE5704" s="500"/>
      <c r="AF5704" s="500"/>
      <c r="AG5704" s="500"/>
      <c r="AH5704" s="500"/>
      <c r="AI5704" s="500"/>
      <c r="AJ5704" s="500"/>
      <c r="AK5704" s="500"/>
      <c r="AL5704" s="500"/>
      <c r="AM5704" s="500"/>
      <c r="AN5704" s="500"/>
      <c r="AO5704" s="500"/>
      <c r="AP5704" s="500"/>
    </row>
    <row r="5705" spans="1:42" ht="16.5" customHeight="1">
      <c r="A5705" s="502"/>
      <c r="B5705" s="503" t="s">
        <v>2213</v>
      </c>
      <c r="C5705" s="615">
        <f>C5754</f>
        <v>838333</v>
      </c>
      <c r="D5705" s="615">
        <f>D5754</f>
        <v>0</v>
      </c>
      <c r="E5705" s="615">
        <f>E5754</f>
        <v>0</v>
      </c>
      <c r="F5705" s="615">
        <f>F5754</f>
        <v>838333</v>
      </c>
      <c r="G5705" s="486" t="str">
        <f>HYPERLINK("#G"&amp;ROW(G5742),"_x0005_`BDCOD|D01199_x0007_`POSS|"&amp;ROW(G5707)&amp;"_x0007_`POSE|"&amp;ROW(G5742)&amp;"_x0007_`")</f>
        <v>_x0005_`BDCOD|D01199_x0007_`POSS|5707_x0007_`POSE|5742_x0007_`</v>
      </c>
      <c r="Z5705" s="500"/>
      <c r="AA5705" s="500"/>
      <c r="AB5705" s="500"/>
      <c r="AC5705" s="500"/>
      <c r="AD5705" s="500"/>
      <c r="AE5705" s="500"/>
      <c r="AF5705" s="500"/>
      <c r="AG5705" s="500"/>
      <c r="AH5705" s="500"/>
      <c r="AI5705" s="500"/>
      <c r="AJ5705" s="500"/>
      <c r="AK5705" s="500"/>
      <c r="AL5705" s="500"/>
      <c r="AM5705" s="500"/>
      <c r="AN5705" s="500"/>
      <c r="AO5705" s="500"/>
      <c r="AP5705" s="500"/>
    </row>
    <row r="5706" spans="1:42" ht="16.5" customHeight="1">
      <c r="A5706" s="485"/>
      <c r="B5706" s="503" t="s">
        <v>4005</v>
      </c>
      <c r="C5706" s="593"/>
      <c r="D5706" s="593"/>
      <c r="E5706" s="593"/>
      <c r="F5706" s="593"/>
      <c r="M5706" s="501" t="s">
        <v>2213</v>
      </c>
      <c r="Z5706" s="500"/>
      <c r="AA5706" s="500"/>
      <c r="AB5706" s="500"/>
      <c r="AC5706" s="500"/>
      <c r="AD5706" s="500"/>
      <c r="AE5706" s="500"/>
      <c r="AF5706" s="500"/>
      <c r="AG5706" s="500"/>
      <c r="AH5706" s="500"/>
      <c r="AI5706" s="500"/>
      <c r="AJ5706" s="500"/>
      <c r="AK5706" s="500"/>
      <c r="AL5706" s="500"/>
      <c r="AM5706" s="500"/>
      <c r="AN5706" s="500"/>
      <c r="AO5706" s="500"/>
      <c r="AP5706" s="500"/>
    </row>
    <row r="5707" spans="1:42" ht="16.5" customHeight="1">
      <c r="A5707" s="434"/>
      <c r="B5707" s="437" t="s">
        <v>3980</v>
      </c>
      <c r="C5707" s="504"/>
      <c r="D5707" s="504"/>
      <c r="E5707" s="504"/>
      <c r="F5707" s="504"/>
      <c r="G5707" s="451" t="s">
        <v>3981</v>
      </c>
      <c r="Z5707" s="500"/>
      <c r="AA5707" s="500"/>
      <c r="AB5707" s="500"/>
      <c r="AC5707" s="500"/>
      <c r="AD5707" s="500"/>
      <c r="AE5707" s="500"/>
      <c r="AF5707" s="500"/>
      <c r="AG5707" s="500"/>
      <c r="AH5707" s="500"/>
      <c r="AI5707" s="500"/>
      <c r="AJ5707" s="500"/>
      <c r="AK5707" s="500"/>
      <c r="AL5707" s="500"/>
      <c r="AM5707" s="500"/>
      <c r="AN5707" s="500"/>
      <c r="AO5707" s="500"/>
      <c r="AP5707" s="500"/>
    </row>
    <row r="5708" spans="1:42" ht="16.5" customHeight="1">
      <c r="A5708" s="439"/>
      <c r="B5708" s="439"/>
      <c r="C5708" s="439"/>
      <c r="D5708" s="439"/>
      <c r="E5708" s="439"/>
      <c r="F5708" s="439"/>
      <c r="G5708" s="451" t="s">
        <v>3406</v>
      </c>
      <c r="Z5708" s="500"/>
      <c r="AA5708" s="500"/>
      <c r="AB5708" s="500"/>
      <c r="AC5708" s="500"/>
      <c r="AD5708" s="500"/>
      <c r="AE5708" s="500"/>
      <c r="AF5708" s="500"/>
      <c r="AG5708" s="500"/>
      <c r="AH5708" s="500"/>
      <c r="AI5708" s="500"/>
      <c r="AJ5708" s="500"/>
      <c r="AK5708" s="500"/>
      <c r="AL5708" s="500"/>
      <c r="AM5708" s="500"/>
      <c r="AN5708" s="500"/>
      <c r="AO5708" s="500"/>
      <c r="AP5708" s="500"/>
    </row>
    <row r="5709" spans="1:42" ht="16.5" customHeight="1">
      <c r="A5709" s="434"/>
      <c r="B5709" s="437" t="s">
        <v>4006</v>
      </c>
      <c r="C5709" s="439"/>
      <c r="D5709" s="439"/>
      <c r="E5709" s="439"/>
      <c r="F5709" s="439"/>
      <c r="G5709" s="451" t="s">
        <v>4007</v>
      </c>
      <c r="Z5709" s="500"/>
      <c r="AA5709" s="500"/>
      <c r="AB5709" s="500"/>
      <c r="AC5709" s="500"/>
      <c r="AD5709" s="500"/>
      <c r="AE5709" s="500"/>
      <c r="AF5709" s="500"/>
      <c r="AG5709" s="500"/>
      <c r="AH5709" s="500"/>
      <c r="AI5709" s="500"/>
      <c r="AJ5709" s="500"/>
      <c r="AK5709" s="500"/>
      <c r="AL5709" s="500"/>
      <c r="AM5709" s="500"/>
      <c r="AN5709" s="500"/>
      <c r="AO5709" s="500"/>
      <c r="AP5709" s="500"/>
    </row>
    <row r="5710" spans="1:42" ht="16.5" customHeight="1">
      <c r="A5710" s="439"/>
      <c r="B5710" s="439"/>
      <c r="C5710" s="439"/>
      <c r="D5710" s="439"/>
      <c r="E5710" s="439"/>
      <c r="F5710" s="439"/>
      <c r="G5710" s="451" t="s">
        <v>3406</v>
      </c>
      <c r="Z5710" s="500"/>
      <c r="AA5710" s="500"/>
      <c r="AB5710" s="500"/>
      <c r="AC5710" s="500"/>
      <c r="AD5710" s="500"/>
      <c r="AE5710" s="500"/>
      <c r="AF5710" s="500"/>
      <c r="AG5710" s="500"/>
      <c r="AH5710" s="500"/>
      <c r="AI5710" s="500"/>
      <c r="AJ5710" s="500"/>
      <c r="AK5710" s="500"/>
      <c r="AL5710" s="500"/>
      <c r="AM5710" s="500"/>
      <c r="AN5710" s="500"/>
      <c r="AO5710" s="500"/>
      <c r="AP5710" s="500"/>
    </row>
    <row r="5711" spans="1:42" ht="16.5" customHeight="1">
      <c r="A5711" s="439"/>
      <c r="B5711" s="439"/>
      <c r="C5711" s="439"/>
      <c r="D5711" s="439"/>
      <c r="E5711" s="439"/>
      <c r="F5711" s="439"/>
      <c r="G5711" s="451" t="s">
        <v>3406</v>
      </c>
      <c r="Z5711" s="500"/>
      <c r="AA5711" s="500"/>
      <c r="AB5711" s="500"/>
      <c r="AC5711" s="500"/>
      <c r="AD5711" s="500"/>
      <c r="AE5711" s="500"/>
      <c r="AF5711" s="500"/>
      <c r="AG5711" s="500"/>
      <c r="AH5711" s="500"/>
      <c r="AI5711" s="500"/>
      <c r="AJ5711" s="500"/>
      <c r="AK5711" s="500"/>
      <c r="AL5711" s="500"/>
      <c r="AM5711" s="500"/>
      <c r="AN5711" s="500"/>
      <c r="AO5711" s="500"/>
      <c r="AP5711" s="500"/>
    </row>
    <row r="5712" spans="1:42" ht="16.5" customHeight="1">
      <c r="A5712" s="434"/>
      <c r="B5712" s="437" t="s">
        <v>3984</v>
      </c>
      <c r="C5712" s="439"/>
      <c r="D5712" s="439"/>
      <c r="E5712" s="439"/>
      <c r="F5712" s="439"/>
      <c r="G5712" s="451" t="s">
        <v>3985</v>
      </c>
      <c r="Z5712" s="500"/>
      <c r="AA5712" s="500"/>
      <c r="AB5712" s="500"/>
      <c r="AC5712" s="500"/>
      <c r="AD5712" s="500"/>
      <c r="AE5712" s="500"/>
      <c r="AF5712" s="500"/>
      <c r="AG5712" s="500"/>
      <c r="AH5712" s="500"/>
      <c r="AI5712" s="500"/>
      <c r="AJ5712" s="500"/>
      <c r="AK5712" s="500"/>
      <c r="AL5712" s="500"/>
      <c r="AM5712" s="500"/>
      <c r="AN5712" s="500"/>
      <c r="AO5712" s="500"/>
      <c r="AP5712" s="500"/>
    </row>
    <row r="5713" spans="1:42" ht="16.5" customHeight="1">
      <c r="A5713" s="439"/>
      <c r="B5713" s="439"/>
      <c r="C5713" s="439"/>
      <c r="D5713" s="439"/>
      <c r="E5713" s="439"/>
      <c r="F5713" s="439"/>
      <c r="G5713" s="451" t="s">
        <v>3406</v>
      </c>
      <c r="Z5713" s="500"/>
      <c r="AA5713" s="500"/>
      <c r="AB5713" s="500"/>
      <c r="AC5713" s="500"/>
      <c r="AD5713" s="500"/>
      <c r="AE5713" s="500"/>
      <c r="AF5713" s="500"/>
      <c r="AG5713" s="500"/>
      <c r="AH5713" s="500"/>
      <c r="AI5713" s="500"/>
      <c r="AJ5713" s="500"/>
      <c r="AK5713" s="500"/>
      <c r="AL5713" s="500"/>
      <c r="AM5713" s="500"/>
      <c r="AN5713" s="500"/>
      <c r="AO5713" s="500"/>
      <c r="AP5713" s="500"/>
    </row>
    <row r="5714" spans="1:42" ht="16.5" customHeight="1">
      <c r="A5714" s="439"/>
      <c r="B5714" s="439"/>
      <c r="C5714" s="439"/>
      <c r="D5714" s="439"/>
      <c r="E5714" s="439"/>
      <c r="F5714" s="439"/>
      <c r="G5714" s="451" t="s">
        <v>3406</v>
      </c>
      <c r="Z5714" s="500"/>
      <c r="AA5714" s="500"/>
      <c r="AB5714" s="500"/>
      <c r="AC5714" s="500"/>
      <c r="AD5714" s="500"/>
      <c r="AE5714" s="500"/>
      <c r="AF5714" s="500"/>
      <c r="AG5714" s="500"/>
      <c r="AH5714" s="500"/>
      <c r="AI5714" s="500"/>
      <c r="AJ5714" s="500"/>
      <c r="AK5714" s="500"/>
      <c r="AL5714" s="500"/>
      <c r="AM5714" s="500"/>
      <c r="AN5714" s="500"/>
      <c r="AO5714" s="500"/>
      <c r="AP5714" s="500"/>
    </row>
    <row r="5715" spans="1:42" ht="16.5" customHeight="1">
      <c r="A5715" s="434"/>
      <c r="B5715" s="437" t="s">
        <v>3986</v>
      </c>
      <c r="C5715" s="439"/>
      <c r="D5715" s="439"/>
      <c r="E5715" s="439"/>
      <c r="F5715" s="439"/>
      <c r="G5715" s="451" t="s">
        <v>3987</v>
      </c>
      <c r="Z5715" s="500"/>
      <c r="AA5715" s="500"/>
      <c r="AB5715" s="500"/>
      <c r="AC5715" s="500"/>
      <c r="AD5715" s="500"/>
      <c r="AE5715" s="500"/>
      <c r="AF5715" s="500"/>
      <c r="AG5715" s="500"/>
      <c r="AH5715" s="500"/>
      <c r="AI5715" s="500"/>
      <c r="AJ5715" s="500"/>
      <c r="AK5715" s="500"/>
      <c r="AL5715" s="500"/>
      <c r="AM5715" s="500"/>
      <c r="AN5715" s="500"/>
      <c r="AO5715" s="500"/>
      <c r="AP5715" s="500"/>
    </row>
    <row r="5716" spans="1:42" ht="16.5" customHeight="1">
      <c r="A5716" s="439"/>
      <c r="B5716" s="439"/>
      <c r="C5716" s="439"/>
      <c r="D5716" s="439"/>
      <c r="E5716" s="439"/>
      <c r="F5716" s="439"/>
      <c r="G5716" s="451" t="s">
        <v>3406</v>
      </c>
      <c r="Z5716" s="500"/>
      <c r="AA5716" s="500"/>
      <c r="AB5716" s="500"/>
      <c r="AC5716" s="500"/>
      <c r="AD5716" s="500"/>
      <c r="AE5716" s="500"/>
      <c r="AF5716" s="500"/>
      <c r="AG5716" s="500"/>
      <c r="AH5716" s="500"/>
      <c r="AI5716" s="500"/>
      <c r="AJ5716" s="500"/>
      <c r="AK5716" s="500"/>
      <c r="AL5716" s="500"/>
      <c r="AM5716" s="500"/>
      <c r="AN5716" s="500"/>
      <c r="AO5716" s="500"/>
      <c r="AP5716" s="500"/>
    </row>
    <row r="5717" spans="1:42" ht="16.5" customHeight="1">
      <c r="A5717" s="439"/>
      <c r="B5717" s="439"/>
      <c r="C5717" s="439"/>
      <c r="D5717" s="439"/>
      <c r="E5717" s="439"/>
      <c r="F5717" s="439"/>
      <c r="G5717" s="451" t="s">
        <v>3406</v>
      </c>
      <c r="Z5717" s="500"/>
      <c r="AA5717" s="500"/>
      <c r="AB5717" s="500"/>
      <c r="AC5717" s="500"/>
      <c r="AD5717" s="500"/>
      <c r="AE5717" s="500"/>
      <c r="AF5717" s="500"/>
      <c r="AG5717" s="500"/>
      <c r="AH5717" s="500"/>
      <c r="AI5717" s="500"/>
      <c r="AJ5717" s="500"/>
      <c r="AK5717" s="500"/>
      <c r="AL5717" s="500"/>
      <c r="AM5717" s="500"/>
      <c r="AN5717" s="500"/>
      <c r="AO5717" s="500"/>
      <c r="AP5717" s="500"/>
    </row>
    <row r="5718" spans="1:42" ht="16.5" customHeight="1">
      <c r="A5718" s="434"/>
      <c r="B5718" s="437" t="str">
        <f>" L = "&amp;Z5718&amp;" , V = "&amp;AD5718&amp;" , t = "&amp;AH5718&amp;"  , T = "&amp;AL5718&amp;"-"&amp;AN5718&amp;""</f>
        <v xml:space="preserve"> L = 1100 , V = 2500 , t = 2  , T = 480-30</v>
      </c>
      <c r="C5718" s="439"/>
      <c r="D5718" s="439"/>
      <c r="E5718" s="439"/>
      <c r="F5718" s="439"/>
      <c r="G5718" s="451" t="s">
        <v>4008</v>
      </c>
      <c r="Z5718" s="515">
        <v>1100</v>
      </c>
      <c r="AA5718" s="501" t="s">
        <v>3418</v>
      </c>
      <c r="AB5718" s="512">
        <f>Z5718</f>
        <v>1100</v>
      </c>
      <c r="AC5718" s="514" t="s">
        <v>3427</v>
      </c>
      <c r="AD5718" s="515">
        <v>2500</v>
      </c>
      <c r="AE5718" s="501" t="s">
        <v>3418</v>
      </c>
      <c r="AF5718" s="512">
        <f>AD5718</f>
        <v>2500</v>
      </c>
      <c r="AG5718" s="514" t="s">
        <v>3427</v>
      </c>
      <c r="AH5718" s="515">
        <v>2</v>
      </c>
      <c r="AI5718" s="501" t="s">
        <v>3418</v>
      </c>
      <c r="AJ5718" s="512">
        <f>AH5718</f>
        <v>2</v>
      </c>
      <c r="AK5718" s="514" t="s">
        <v>3427</v>
      </c>
      <c r="AL5718" s="515">
        <v>480</v>
      </c>
      <c r="AM5718" s="501" t="s">
        <v>3474</v>
      </c>
      <c r="AN5718" s="515">
        <v>30</v>
      </c>
      <c r="AO5718" s="501" t="s">
        <v>3418</v>
      </c>
      <c r="AP5718" s="512">
        <f>AL5718-AN5718</f>
        <v>450</v>
      </c>
    </row>
    <row r="5719" spans="1:42" ht="16.5" customHeight="1">
      <c r="A5719" s="439"/>
      <c r="B5719" s="439"/>
      <c r="C5719" s="439"/>
      <c r="D5719" s="439"/>
      <c r="E5719" s="439"/>
      <c r="F5719" s="439"/>
      <c r="G5719" s="451" t="s">
        <v>3406</v>
      </c>
      <c r="Z5719" s="500"/>
      <c r="AA5719" s="500"/>
      <c r="AB5719" s="500"/>
      <c r="AC5719" s="500"/>
      <c r="AD5719" s="500"/>
      <c r="AE5719" s="500"/>
      <c r="AF5719" s="500"/>
      <c r="AG5719" s="500"/>
      <c r="AH5719" s="500"/>
      <c r="AI5719" s="500"/>
      <c r="AJ5719" s="500"/>
      <c r="AK5719" s="500"/>
      <c r="AL5719" s="500"/>
      <c r="AM5719" s="500"/>
      <c r="AN5719" s="500"/>
      <c r="AO5719" s="500"/>
      <c r="AP5719" s="500"/>
    </row>
    <row r="5720" spans="1:42" ht="16.5" customHeight="1">
      <c r="A5720" s="439"/>
      <c r="B5720" s="439"/>
      <c r="C5720" s="439"/>
      <c r="D5720" s="439"/>
      <c r="E5720" s="439"/>
      <c r="F5720" s="439"/>
      <c r="G5720" s="451" t="s">
        <v>3406</v>
      </c>
      <c r="Z5720" s="500"/>
      <c r="AA5720" s="500"/>
      <c r="AB5720" s="500"/>
      <c r="AC5720" s="500"/>
      <c r="AD5720" s="500"/>
      <c r="AE5720" s="500"/>
      <c r="AF5720" s="500"/>
      <c r="AG5720" s="500"/>
      <c r="AH5720" s="500"/>
      <c r="AI5720" s="500"/>
      <c r="AJ5720" s="500"/>
      <c r="AK5720" s="500"/>
      <c r="AL5720" s="500"/>
      <c r="AM5720" s="500"/>
      <c r="AN5720" s="500"/>
      <c r="AO5720" s="500"/>
      <c r="AP5720" s="500"/>
    </row>
    <row r="5721" spans="1:42" ht="16.5" customHeight="1">
      <c r="A5721" s="439"/>
      <c r="B5721" s="439"/>
      <c r="C5721" s="439"/>
      <c r="D5721" s="439"/>
      <c r="E5721" s="439"/>
      <c r="F5721" s="439"/>
      <c r="G5721" s="451" t="s">
        <v>3406</v>
      </c>
      <c r="Z5721" s="500"/>
      <c r="AA5721" s="500"/>
      <c r="AB5721" s="500"/>
      <c r="AC5721" s="500"/>
      <c r="AD5721" s="500"/>
      <c r="AE5721" s="500"/>
      <c r="AF5721" s="500"/>
      <c r="AG5721" s="500"/>
      <c r="AH5721" s="500"/>
      <c r="AI5721" s="500"/>
      <c r="AJ5721" s="500"/>
      <c r="AK5721" s="500"/>
      <c r="AL5721" s="500"/>
      <c r="AM5721" s="500"/>
      <c r="AN5721" s="500"/>
      <c r="AO5721" s="500"/>
      <c r="AP5721" s="500"/>
    </row>
    <row r="5722" spans="1:42" ht="16.5" customHeight="1">
      <c r="A5722" s="434"/>
      <c r="B5722" s="437" t="str">
        <f>" N = V*T /( "&amp;AD5722&amp;"*L+V*"&amp;AJ5722&amp;" ) = "&amp;AM5722&amp;" 회/일 "</f>
        <v xml:space="preserve"> N = V*T /( 120*L+V*2 ) = 8.21 회/일 </v>
      </c>
      <c r="C5722" s="439"/>
      <c r="D5722" s="439"/>
      <c r="E5722" s="439"/>
      <c r="F5722" s="439"/>
      <c r="G5722" s="451" t="s">
        <v>3989</v>
      </c>
      <c r="Z5722" s="512">
        <f>AF5718</f>
        <v>2500</v>
      </c>
      <c r="AA5722" s="501" t="s">
        <v>3368</v>
      </c>
      <c r="AB5722" s="512">
        <f>AP5718</f>
        <v>450</v>
      </c>
      <c r="AC5722" s="501" t="s">
        <v>3463</v>
      </c>
      <c r="AD5722" s="515">
        <v>120</v>
      </c>
      <c r="AE5722" s="501" t="s">
        <v>3368</v>
      </c>
      <c r="AF5722" s="512">
        <f>AB5718</f>
        <v>1100</v>
      </c>
      <c r="AG5722" s="501" t="s">
        <v>3468</v>
      </c>
      <c r="AH5722" s="512">
        <f>AF5718</f>
        <v>2500</v>
      </c>
      <c r="AI5722" s="501" t="s">
        <v>3368</v>
      </c>
      <c r="AJ5722" s="515">
        <v>2</v>
      </c>
      <c r="AK5722" s="501" t="s">
        <v>3464</v>
      </c>
      <c r="AL5722" s="501" t="s">
        <v>3418</v>
      </c>
      <c r="AM5722" s="512" t="str">
        <f>TEXT(ROUND(AF5718*AP5718/(AD5722*AB5718+AF5718*AJ5722),2),"#,0.00")</f>
        <v>8.21</v>
      </c>
      <c r="AN5722" s="500"/>
      <c r="AO5722" s="500"/>
      <c r="AP5722" s="500"/>
    </row>
    <row r="5723" spans="1:42" ht="16.5" customHeight="1">
      <c r="A5723" s="439"/>
      <c r="B5723" s="439"/>
      <c r="C5723" s="439"/>
      <c r="D5723" s="439"/>
      <c r="E5723" s="439"/>
      <c r="F5723" s="439"/>
      <c r="G5723" s="451" t="s">
        <v>3406</v>
      </c>
      <c r="Z5723" s="500"/>
      <c r="AA5723" s="500"/>
      <c r="AB5723" s="500"/>
      <c r="AC5723" s="500"/>
      <c r="AD5723" s="500"/>
      <c r="AE5723" s="500"/>
      <c r="AF5723" s="500"/>
      <c r="AG5723" s="500"/>
      <c r="AH5723" s="500"/>
      <c r="AI5723" s="500"/>
      <c r="AJ5723" s="500"/>
      <c r="AK5723" s="500"/>
      <c r="AL5723" s="500"/>
      <c r="AM5723" s="500"/>
      <c r="AN5723" s="500"/>
      <c r="AO5723" s="500"/>
      <c r="AP5723" s="500"/>
    </row>
    <row r="5724" spans="1:42" ht="16.5" customHeight="1">
      <c r="A5724" s="439"/>
      <c r="B5724" s="439"/>
      <c r="C5724" s="439"/>
      <c r="D5724" s="439"/>
      <c r="E5724" s="439"/>
      <c r="F5724" s="439"/>
      <c r="G5724" s="451" t="s">
        <v>3406</v>
      </c>
      <c r="Z5724" s="500"/>
      <c r="AA5724" s="500"/>
      <c r="AB5724" s="500"/>
      <c r="AC5724" s="500"/>
      <c r="AD5724" s="500"/>
      <c r="AE5724" s="500"/>
      <c r="AF5724" s="500"/>
      <c r="AG5724" s="500"/>
      <c r="AH5724" s="500"/>
      <c r="AI5724" s="500"/>
      <c r="AJ5724" s="500"/>
      <c r="AK5724" s="500"/>
      <c r="AL5724" s="500"/>
      <c r="AM5724" s="500"/>
      <c r="AN5724" s="500"/>
      <c r="AO5724" s="500"/>
      <c r="AP5724" s="500"/>
    </row>
    <row r="5725" spans="1:42" ht="16.5" customHeight="1">
      <c r="A5725" s="439"/>
      <c r="B5725" s="439"/>
      <c r="C5725" s="439"/>
      <c r="D5725" s="439"/>
      <c r="E5725" s="439"/>
      <c r="F5725" s="439"/>
      <c r="G5725" s="451" t="s">
        <v>3406</v>
      </c>
      <c r="Z5725" s="500"/>
      <c r="AA5725" s="500"/>
      <c r="AB5725" s="500"/>
      <c r="AC5725" s="500"/>
      <c r="AD5725" s="500"/>
      <c r="AE5725" s="500"/>
      <c r="AF5725" s="500"/>
      <c r="AG5725" s="500"/>
      <c r="AH5725" s="500"/>
      <c r="AI5725" s="500"/>
      <c r="AJ5725" s="500"/>
      <c r="AK5725" s="500"/>
      <c r="AL5725" s="500"/>
      <c r="AM5725" s="500"/>
      <c r="AN5725" s="500"/>
      <c r="AO5725" s="500"/>
      <c r="AP5725" s="500"/>
    </row>
    <row r="5726" spans="1:42" ht="16.5" customHeight="1">
      <c r="A5726" s="434"/>
      <c r="B5726" s="437" t="str">
        <f>" Q = N*"&amp;AB5726&amp;" ㎏ = "&amp;AD5726&amp;"  kg/일 "</f>
        <v xml:space="preserve"> Q = N*25 ㎏ = 205.25  kg/일 </v>
      </c>
      <c r="C5726" s="439"/>
      <c r="D5726" s="439"/>
      <c r="E5726" s="439"/>
      <c r="F5726" s="439"/>
      <c r="G5726" s="451" t="s">
        <v>3990</v>
      </c>
      <c r="Z5726" s="512" t="str">
        <f>AM5722</f>
        <v>8.21</v>
      </c>
      <c r="AA5726" s="501" t="s">
        <v>3368</v>
      </c>
      <c r="AB5726" s="515">
        <v>25</v>
      </c>
      <c r="AC5726" s="501" t="s">
        <v>3418</v>
      </c>
      <c r="AD5726" s="512" t="str">
        <f>TEXT(ROUND(AM5722*AB5726,2),"#,0.00")</f>
        <v>205.25</v>
      </c>
      <c r="AE5726" s="500"/>
      <c r="AF5726" s="500"/>
      <c r="AG5726" s="500"/>
      <c r="AH5726" s="500"/>
      <c r="AI5726" s="500"/>
      <c r="AJ5726" s="500"/>
      <c r="AK5726" s="500"/>
      <c r="AL5726" s="500"/>
      <c r="AM5726" s="500"/>
      <c r="AN5726" s="500"/>
      <c r="AO5726" s="500"/>
      <c r="AP5726" s="500"/>
    </row>
    <row r="5727" spans="1:42" ht="16.5" customHeight="1">
      <c r="A5727" s="439"/>
      <c r="B5727" s="439"/>
      <c r="C5727" s="439"/>
      <c r="D5727" s="439"/>
      <c r="E5727" s="439"/>
      <c r="F5727" s="439"/>
      <c r="G5727" s="451" t="s">
        <v>3406</v>
      </c>
      <c r="Z5727" s="500"/>
      <c r="AA5727" s="500"/>
      <c r="AB5727" s="500"/>
      <c r="AC5727" s="500"/>
      <c r="AD5727" s="500"/>
      <c r="AE5727" s="500"/>
      <c r="AF5727" s="500"/>
      <c r="AG5727" s="500"/>
      <c r="AH5727" s="500"/>
      <c r="AI5727" s="500"/>
      <c r="AJ5727" s="500"/>
      <c r="AK5727" s="500"/>
      <c r="AL5727" s="500"/>
      <c r="AM5727" s="500"/>
      <c r="AN5727" s="500"/>
      <c r="AO5727" s="500"/>
      <c r="AP5727" s="500"/>
    </row>
    <row r="5728" spans="1:42" ht="16.5" customHeight="1">
      <c r="A5728" s="439"/>
      <c r="B5728" s="439"/>
      <c r="C5728" s="439"/>
      <c r="D5728" s="439"/>
      <c r="E5728" s="439"/>
      <c r="F5728" s="439"/>
      <c r="G5728" s="451" t="s">
        <v>3406</v>
      </c>
      <c r="Z5728" s="500"/>
      <c r="AA5728" s="500"/>
      <c r="AB5728" s="500"/>
      <c r="AC5728" s="500"/>
      <c r="AD5728" s="500"/>
      <c r="AE5728" s="500"/>
      <c r="AF5728" s="500"/>
      <c r="AG5728" s="500"/>
      <c r="AH5728" s="500"/>
      <c r="AI5728" s="500"/>
      <c r="AJ5728" s="500"/>
      <c r="AK5728" s="500"/>
      <c r="AL5728" s="500"/>
      <c r="AM5728" s="500"/>
      <c r="AN5728" s="500"/>
      <c r="AO5728" s="500"/>
      <c r="AP5728" s="500"/>
    </row>
    <row r="5729" spans="1:42" ht="16.5" customHeight="1">
      <c r="A5729" s="439"/>
      <c r="B5729" s="439"/>
      <c r="C5729" s="439"/>
      <c r="D5729" s="439"/>
      <c r="E5729" s="439"/>
      <c r="F5729" s="439"/>
      <c r="G5729" s="451" t="s">
        <v>3406</v>
      </c>
      <c r="Z5729" s="500"/>
      <c r="AA5729" s="500"/>
      <c r="AB5729" s="500"/>
      <c r="AC5729" s="500"/>
      <c r="AD5729" s="500"/>
      <c r="AE5729" s="500"/>
      <c r="AF5729" s="500"/>
      <c r="AG5729" s="500"/>
      <c r="AH5729" s="500"/>
      <c r="AI5729" s="500"/>
      <c r="AJ5729" s="500"/>
      <c r="AK5729" s="500"/>
      <c r="AL5729" s="500"/>
      <c r="AM5729" s="500"/>
      <c r="AN5729" s="500"/>
      <c r="AO5729" s="500"/>
      <c r="AP5729" s="500"/>
    </row>
    <row r="5730" spans="1:42" ht="16.5" customHeight="1">
      <c r="A5730" s="434"/>
      <c r="B5730" s="437" t="str">
        <f>" k = "&amp;Z5730&amp;" kg /Q"</f>
        <v xml:space="preserve"> k = 1000 kg /Q</v>
      </c>
      <c r="C5730" s="439"/>
      <c r="D5730" s="439"/>
      <c r="E5730" s="439"/>
      <c r="F5730" s="439"/>
      <c r="G5730" s="451" t="s">
        <v>3991</v>
      </c>
      <c r="Z5730" s="515">
        <v>1000</v>
      </c>
      <c r="AA5730" s="501" t="s">
        <v>3428</v>
      </c>
      <c r="AB5730" s="512" t="str">
        <f>AD5726</f>
        <v>205.25</v>
      </c>
      <c r="AC5730" s="501" t="s">
        <v>3418</v>
      </c>
      <c r="AD5730" s="512">
        <f>ROUND(Z5730/AD5726,13)</f>
        <v>4.8721071863581003</v>
      </c>
      <c r="AE5730" s="500"/>
      <c r="AF5730" s="500"/>
      <c r="AG5730" s="500"/>
      <c r="AH5730" s="500"/>
      <c r="AI5730" s="500"/>
      <c r="AJ5730" s="500"/>
      <c r="AK5730" s="500"/>
      <c r="AL5730" s="500"/>
      <c r="AM5730" s="500"/>
      <c r="AN5730" s="500"/>
      <c r="AO5730" s="500"/>
      <c r="AP5730" s="500"/>
    </row>
    <row r="5731" spans="1:42" ht="16.5" customHeight="1">
      <c r="A5731" s="439"/>
      <c r="B5731" s="439"/>
      <c r="C5731" s="439"/>
      <c r="D5731" s="439"/>
      <c r="E5731" s="439"/>
      <c r="F5731" s="439"/>
      <c r="G5731" s="451" t="s">
        <v>3406</v>
      </c>
      <c r="Z5731" s="500"/>
      <c r="AA5731" s="500"/>
      <c r="AB5731" s="500"/>
      <c r="AC5731" s="500"/>
      <c r="AD5731" s="500"/>
      <c r="AE5731" s="500"/>
      <c r="AF5731" s="500"/>
      <c r="AG5731" s="500"/>
      <c r="AH5731" s="500"/>
      <c r="AI5731" s="500"/>
      <c r="AJ5731" s="500"/>
      <c r="AK5731" s="500"/>
      <c r="AL5731" s="500"/>
      <c r="AM5731" s="500"/>
      <c r="AN5731" s="500"/>
      <c r="AO5731" s="500"/>
      <c r="AP5731" s="500"/>
    </row>
    <row r="5732" spans="1:42" ht="16.5" customHeight="1">
      <c r="A5732" s="439"/>
      <c r="B5732" s="439"/>
      <c r="C5732" s="439"/>
      <c r="D5732" s="439"/>
      <c r="E5732" s="439"/>
      <c r="F5732" s="439"/>
      <c r="G5732" s="451" t="s">
        <v>3406</v>
      </c>
      <c r="Z5732" s="500"/>
      <c r="AA5732" s="500"/>
      <c r="AB5732" s="500"/>
      <c r="AC5732" s="500"/>
      <c r="AD5732" s="500"/>
      <c r="AE5732" s="500"/>
      <c r="AF5732" s="500"/>
      <c r="AG5732" s="500"/>
      <c r="AH5732" s="500"/>
      <c r="AI5732" s="500"/>
      <c r="AJ5732" s="500"/>
      <c r="AK5732" s="500"/>
      <c r="AL5732" s="500"/>
      <c r="AM5732" s="500"/>
      <c r="AN5732" s="500"/>
      <c r="AO5732" s="500"/>
      <c r="AP5732" s="500"/>
    </row>
    <row r="5733" spans="1:42" ht="16.5" customHeight="1">
      <c r="A5733" s="439"/>
      <c r="B5733" s="439"/>
      <c r="C5733" s="439"/>
      <c r="D5733" s="439"/>
      <c r="E5733" s="439"/>
      <c r="F5733" s="439"/>
      <c r="G5733" s="451" t="s">
        <v>3406</v>
      </c>
      <c r="Z5733" s="500"/>
      <c r="AA5733" s="500"/>
      <c r="AB5733" s="500"/>
      <c r="AC5733" s="500"/>
      <c r="AD5733" s="500"/>
      <c r="AE5733" s="500"/>
      <c r="AF5733" s="500"/>
      <c r="AG5733" s="500"/>
      <c r="AH5733" s="500"/>
      <c r="AI5733" s="500"/>
      <c r="AJ5733" s="500"/>
      <c r="AK5733" s="500"/>
      <c r="AL5733" s="500"/>
      <c r="AM5733" s="500"/>
      <c r="AN5733" s="500"/>
      <c r="AO5733" s="500"/>
      <c r="AP5733" s="500"/>
    </row>
    <row r="5734" spans="1:42" ht="16.5" customHeight="1">
      <c r="A5734" s="434" t="s">
        <v>3992</v>
      </c>
      <c r="B5734" s="505" t="str">
        <f>" 인    부: "&amp;TEXT(I5734,"#,##0"&amp;IF(I5734&lt;&gt;INT(I5734),".###",""))&amp;"*k = "&amp;TEXT(C5734,"#,##0.0")&amp;" 원 "</f>
        <v xml:space="preserve"> 인    부: 172,068*k = 838,333.7 원 </v>
      </c>
      <c r="C5734" s="506">
        <f>E5734+D5734+F5734</f>
        <v>838333.7</v>
      </c>
      <c r="D5734" s="506">
        <f>IF(H5734=0,0,ROUNDDOWN(J5734*H5734,1))</f>
        <v>838333.7</v>
      </c>
      <c r="E5734" s="506">
        <f>IF(H5734=0,0,ROUNDDOWN(K5734*H5734,1))</f>
        <v>0</v>
      </c>
      <c r="F5734" s="506">
        <f>IF(H5734=0,0,ROUNDDOWN(L5734*H5734,1))</f>
        <v>0</v>
      </c>
      <c r="G5734" s="451" t="s">
        <v>3993</v>
      </c>
      <c r="H5734" s="507">
        <f>ROUNDUP(AC5734,14-LEN(ABS(INT(AC5734))))</f>
        <v>4.8721071863581003</v>
      </c>
      <c r="I5734" s="508">
        <f>K5734+J5734+L5734</f>
        <v>172068</v>
      </c>
      <c r="J5734" s="509">
        <f>노무비목록표!E10</f>
        <v>172068</v>
      </c>
      <c r="M5734" s="501" t="s">
        <v>2363</v>
      </c>
      <c r="N5734" s="501" t="s">
        <v>3994</v>
      </c>
      <c r="X5734" s="510" t="str">
        <f>노무비목록표!B10&amp;" / "&amp;노무비목록표!C10</f>
        <v xml:space="preserve">보통인부 / </v>
      </c>
      <c r="Y5734" s="433" t="str">
        <f ca="1">HYPERLINK("#"&amp;노무비목록표!G2&amp;"!A"&amp;ROW(노무비목록표!A10),"L00017 →")</f>
        <v>L00017 →</v>
      </c>
      <c r="Z5734" s="501" t="s">
        <v>3500</v>
      </c>
      <c r="AA5734" s="512">
        <f>AD5730</f>
        <v>4.8721071863581003</v>
      </c>
      <c r="AB5734" s="501" t="s">
        <v>3418</v>
      </c>
      <c r="AC5734" s="512">
        <f>1*AD5730</f>
        <v>4.8721071863581003</v>
      </c>
      <c r="AD5734" s="500"/>
      <c r="AE5734" s="500"/>
      <c r="AF5734" s="500"/>
      <c r="AG5734" s="500"/>
      <c r="AH5734" s="500"/>
      <c r="AI5734" s="500"/>
      <c r="AJ5734" s="500"/>
      <c r="AK5734" s="500"/>
      <c r="AL5734" s="500"/>
      <c r="AM5734" s="500"/>
      <c r="AN5734" s="500"/>
      <c r="AO5734" s="500"/>
      <c r="AP5734" s="500"/>
    </row>
    <row r="5735" spans="1:42" ht="16.5" customHeight="1">
      <c r="A5735" s="439"/>
      <c r="B5735" s="439"/>
      <c r="C5735" s="439"/>
      <c r="D5735" s="439"/>
      <c r="E5735" s="439"/>
      <c r="F5735" s="439"/>
      <c r="G5735" s="451" t="s">
        <v>3406</v>
      </c>
      <c r="Z5735" s="500"/>
      <c r="AA5735" s="500"/>
      <c r="AB5735" s="500"/>
      <c r="AC5735" s="500"/>
      <c r="AD5735" s="500"/>
      <c r="AE5735" s="500"/>
      <c r="AF5735" s="500"/>
      <c r="AG5735" s="500"/>
      <c r="AH5735" s="500"/>
      <c r="AI5735" s="500"/>
      <c r="AJ5735" s="500"/>
      <c r="AK5735" s="500"/>
      <c r="AL5735" s="500"/>
      <c r="AM5735" s="500"/>
      <c r="AN5735" s="500"/>
      <c r="AO5735" s="500"/>
      <c r="AP5735" s="500"/>
    </row>
    <row r="5736" spans="1:42" ht="16.5" customHeight="1">
      <c r="A5736" s="439"/>
      <c r="B5736" s="439"/>
      <c r="C5736" s="439"/>
      <c r="D5736" s="439"/>
      <c r="E5736" s="439"/>
      <c r="F5736" s="439"/>
      <c r="G5736" s="451" t="s">
        <v>3406</v>
      </c>
      <c r="Z5736" s="500"/>
      <c r="AA5736" s="500"/>
      <c r="AB5736" s="500"/>
      <c r="AC5736" s="500"/>
      <c r="AD5736" s="500"/>
      <c r="AE5736" s="500"/>
      <c r="AF5736" s="500"/>
      <c r="AG5736" s="500"/>
      <c r="AH5736" s="500"/>
      <c r="AI5736" s="500"/>
      <c r="AJ5736" s="500"/>
      <c r="AK5736" s="500"/>
      <c r="AL5736" s="500"/>
      <c r="AM5736" s="500"/>
      <c r="AN5736" s="500"/>
      <c r="AO5736" s="500"/>
      <c r="AP5736" s="500"/>
    </row>
    <row r="5737" spans="1:42" ht="16.5" customHeight="1">
      <c r="A5737" s="439"/>
      <c r="B5737" s="439"/>
      <c r="C5737" s="439"/>
      <c r="D5737" s="439"/>
      <c r="E5737" s="439"/>
      <c r="F5737" s="439"/>
      <c r="G5737" s="451" t="s">
        <v>3406</v>
      </c>
      <c r="Z5737" s="500"/>
      <c r="AA5737" s="500"/>
      <c r="AB5737" s="500"/>
      <c r="AC5737" s="500"/>
      <c r="AD5737" s="500"/>
      <c r="AE5737" s="500"/>
      <c r="AF5737" s="500"/>
      <c r="AG5737" s="500"/>
      <c r="AH5737" s="500"/>
      <c r="AI5737" s="500"/>
      <c r="AJ5737" s="500"/>
      <c r="AK5737" s="500"/>
      <c r="AL5737" s="500"/>
      <c r="AM5737" s="500"/>
      <c r="AN5737" s="500"/>
      <c r="AO5737" s="500"/>
      <c r="AP5737" s="500"/>
    </row>
    <row r="5738" spans="1:42" ht="16.5" customHeight="1">
      <c r="A5738" s="439"/>
      <c r="B5738" s="439"/>
      <c r="C5738" s="439"/>
      <c r="D5738" s="439"/>
      <c r="E5738" s="439"/>
      <c r="F5738" s="439"/>
      <c r="G5738" s="451" t="s">
        <v>3406</v>
      </c>
      <c r="Z5738" s="500"/>
      <c r="AA5738" s="500"/>
      <c r="AB5738" s="500"/>
      <c r="AC5738" s="500"/>
      <c r="AD5738" s="500"/>
      <c r="AE5738" s="500"/>
      <c r="AF5738" s="500"/>
      <c r="AG5738" s="500"/>
      <c r="AH5738" s="500"/>
      <c r="AI5738" s="500"/>
      <c r="AJ5738" s="500"/>
      <c r="AK5738" s="500"/>
      <c r="AL5738" s="500"/>
      <c r="AM5738" s="500"/>
      <c r="AN5738" s="500"/>
      <c r="AO5738" s="500"/>
      <c r="AP5738" s="500"/>
    </row>
    <row r="5739" spans="1:42" ht="16.5" customHeight="1">
      <c r="A5739" s="434"/>
      <c r="B5739" s="437" t="s">
        <v>3995</v>
      </c>
      <c r="C5739" s="516">
        <f>E5739+D5739+F5739</f>
        <v>838333.7</v>
      </c>
      <c r="D5739" s="516">
        <f>SUMIF(N5707:N5738,M5739,D5707:D5738)</f>
        <v>838333.7</v>
      </c>
      <c r="E5739" s="516">
        <f>SUMIF(N5707:N5738,M5739,E5707:E5738)</f>
        <v>0</v>
      </c>
      <c r="F5739" s="516">
        <f>SUMIF(N5707:N5738,M5739,F5707:F5738)</f>
        <v>0</v>
      </c>
      <c r="G5739" s="451" t="s">
        <v>3996</v>
      </c>
      <c r="M5739" s="501" t="s">
        <v>3994</v>
      </c>
      <c r="Z5739" s="500"/>
      <c r="AA5739" s="500"/>
      <c r="AB5739" s="500"/>
      <c r="AC5739" s="500"/>
      <c r="AD5739" s="500"/>
      <c r="AE5739" s="500"/>
      <c r="AF5739" s="500"/>
      <c r="AG5739" s="500"/>
      <c r="AH5739" s="500"/>
      <c r="AI5739" s="500"/>
      <c r="AJ5739" s="500"/>
      <c r="AK5739" s="500"/>
      <c r="AL5739" s="500"/>
      <c r="AM5739" s="500"/>
      <c r="AN5739" s="500"/>
      <c r="AO5739" s="500"/>
      <c r="AP5739" s="500"/>
    </row>
    <row r="5740" spans="1:42" ht="16.5" customHeight="1">
      <c r="A5740" s="439"/>
      <c r="B5740" s="439"/>
      <c r="C5740" s="517"/>
      <c r="D5740" s="517"/>
      <c r="E5740" s="517"/>
      <c r="F5740" s="517"/>
      <c r="G5740" s="451" t="s">
        <v>3406</v>
      </c>
      <c r="Z5740" s="500"/>
      <c r="AA5740" s="500"/>
      <c r="AB5740" s="500"/>
      <c r="AC5740" s="500"/>
      <c r="AD5740" s="500"/>
      <c r="AE5740" s="500"/>
      <c r="AF5740" s="500"/>
      <c r="AG5740" s="500"/>
      <c r="AH5740" s="500"/>
      <c r="AI5740" s="500"/>
      <c r="AJ5740" s="500"/>
      <c r="AK5740" s="500"/>
      <c r="AL5740" s="500"/>
      <c r="AM5740" s="500"/>
      <c r="AN5740" s="500"/>
      <c r="AO5740" s="500"/>
      <c r="AP5740" s="500"/>
    </row>
    <row r="5741" spans="1:42" ht="16.5" customHeight="1">
      <c r="A5741" s="439"/>
      <c r="B5741" s="439"/>
      <c r="C5741" s="439"/>
      <c r="D5741" s="439"/>
      <c r="E5741" s="439"/>
      <c r="F5741" s="439"/>
      <c r="G5741" s="451" t="s">
        <v>3406</v>
      </c>
      <c r="Z5741" s="500"/>
      <c r="AA5741" s="500"/>
      <c r="AB5741" s="500"/>
      <c r="AC5741" s="500"/>
      <c r="AD5741" s="500"/>
      <c r="AE5741" s="500"/>
      <c r="AF5741" s="500"/>
      <c r="AG5741" s="500"/>
      <c r="AH5741" s="500"/>
      <c r="AI5741" s="500"/>
      <c r="AJ5741" s="500"/>
      <c r="AK5741" s="500"/>
      <c r="AL5741" s="500"/>
      <c r="AM5741" s="500"/>
      <c r="AN5741" s="500"/>
      <c r="AO5741" s="500"/>
      <c r="AP5741" s="500"/>
    </row>
    <row r="5742" spans="1:42" ht="16.5" customHeight="1">
      <c r="A5742" s="434" t="s">
        <v>3997</v>
      </c>
      <c r="B5742" s="505" t="str">
        <f>" 경비로 적용 : "&amp;TEXT(I5742,"#,##0"&amp;IF(I5742&lt;&gt;INT(I5742),".###",""))&amp;"  = "&amp;TEXT(C5742,"#,##0.0")&amp;""</f>
        <v xml:space="preserve"> 경비로 적용 : 838,333.7  = 838,333.7</v>
      </c>
      <c r="C5742" s="506">
        <f>E5742+D5742+F5742</f>
        <v>838333.7</v>
      </c>
      <c r="D5742" s="506">
        <f>IF(H5742=0,0,ROUNDDOWN(J5742*H5742,1))</f>
        <v>0</v>
      </c>
      <c r="E5742" s="506">
        <f>IF(H5742=0,0,ROUNDDOWN(K5742*H5742,1))</f>
        <v>0</v>
      </c>
      <c r="F5742" s="506">
        <f>IF(H5742=0,0,ROUNDDOWN(L5742*H5742,1))</f>
        <v>838333.7</v>
      </c>
      <c r="G5742" s="451" t="s">
        <v>3998</v>
      </c>
      <c r="H5742" s="507">
        <f>ROUNDUP(AB5742,14-LEN(ABS(INT(AB5742))))</f>
        <v>1</v>
      </c>
      <c r="I5742" s="508">
        <f>K5742+J5742+L5742</f>
        <v>838333.7</v>
      </c>
      <c r="J5742" s="456">
        <v>0</v>
      </c>
      <c r="K5742" s="456">
        <v>0</v>
      </c>
      <c r="L5742" s="518">
        <v>838333.7</v>
      </c>
      <c r="M5742" s="501" t="s">
        <v>3999</v>
      </c>
      <c r="N5742" s="501" t="s">
        <v>2354</v>
      </c>
      <c r="Z5742" s="501" t="s">
        <v>4000</v>
      </c>
      <c r="AA5742" s="501" t="s">
        <v>3418</v>
      </c>
      <c r="AB5742" s="512">
        <f>1</f>
        <v>1</v>
      </c>
      <c r="AC5742" s="500"/>
      <c r="AD5742" s="500"/>
      <c r="AE5742" s="500"/>
      <c r="AF5742" s="500"/>
      <c r="AG5742" s="500"/>
      <c r="AH5742" s="500"/>
      <c r="AI5742" s="500"/>
      <c r="AJ5742" s="500"/>
      <c r="AK5742" s="500"/>
      <c r="AL5742" s="500"/>
      <c r="AM5742" s="500"/>
      <c r="AN5742" s="500"/>
      <c r="AO5742" s="500"/>
      <c r="AP5742" s="500"/>
    </row>
    <row r="5743" spans="1:42" ht="16.5" customHeight="1">
      <c r="A5743" s="439"/>
      <c r="B5743" s="439"/>
      <c r="C5743" s="439"/>
      <c r="D5743" s="439"/>
      <c r="E5743" s="439"/>
      <c r="F5743" s="439"/>
      <c r="Z5743" s="500"/>
      <c r="AA5743" s="500"/>
      <c r="AB5743" s="500"/>
      <c r="AC5743" s="500"/>
      <c r="AD5743" s="500"/>
      <c r="AE5743" s="500"/>
      <c r="AF5743" s="500"/>
      <c r="AG5743" s="500"/>
      <c r="AH5743" s="500"/>
      <c r="AI5743" s="500"/>
      <c r="AJ5743" s="500"/>
      <c r="AK5743" s="500"/>
      <c r="AL5743" s="500"/>
      <c r="AM5743" s="500"/>
      <c r="AN5743" s="500"/>
      <c r="AO5743" s="500"/>
      <c r="AP5743" s="500"/>
    </row>
    <row r="5744" spans="1:42" ht="16.5" customHeight="1">
      <c r="A5744" s="439"/>
      <c r="B5744" s="439"/>
      <c r="C5744" s="439"/>
      <c r="D5744" s="439"/>
      <c r="E5744" s="439"/>
      <c r="F5744" s="439"/>
      <c r="Z5744" s="500"/>
      <c r="AA5744" s="500"/>
      <c r="AB5744" s="500"/>
      <c r="AC5744" s="500"/>
      <c r="AD5744" s="500"/>
      <c r="AE5744" s="500"/>
      <c r="AF5744" s="500"/>
      <c r="AG5744" s="500"/>
      <c r="AH5744" s="500"/>
      <c r="AI5744" s="500"/>
      <c r="AJ5744" s="500"/>
      <c r="AK5744" s="500"/>
      <c r="AL5744" s="500"/>
      <c r="AM5744" s="500"/>
      <c r="AN5744" s="500"/>
      <c r="AO5744" s="500"/>
      <c r="AP5744" s="500"/>
    </row>
    <row r="5745" spans="1:42" ht="16.5" customHeight="1">
      <c r="A5745" s="439"/>
      <c r="B5745" s="439"/>
      <c r="C5745" s="439"/>
      <c r="D5745" s="439"/>
      <c r="E5745" s="439"/>
      <c r="F5745" s="439"/>
      <c r="Z5745" s="500"/>
      <c r="AA5745" s="500"/>
      <c r="AB5745" s="500"/>
      <c r="AC5745" s="500"/>
      <c r="AD5745" s="500"/>
      <c r="AE5745" s="500"/>
      <c r="AF5745" s="500"/>
      <c r="AG5745" s="500"/>
      <c r="AH5745" s="500"/>
      <c r="AI5745" s="500"/>
      <c r="AJ5745" s="500"/>
      <c r="AK5745" s="500"/>
      <c r="AL5745" s="500"/>
      <c r="AM5745" s="500"/>
      <c r="AN5745" s="500"/>
      <c r="AO5745" s="500"/>
      <c r="AP5745" s="500"/>
    </row>
    <row r="5746" spans="1:42" ht="16.5" customHeight="1">
      <c r="A5746" s="439"/>
      <c r="B5746" s="439"/>
      <c r="C5746" s="439"/>
      <c r="D5746" s="439"/>
      <c r="E5746" s="439"/>
      <c r="F5746" s="439"/>
      <c r="Z5746" s="500"/>
      <c r="AA5746" s="500"/>
      <c r="AB5746" s="500"/>
      <c r="AC5746" s="500"/>
      <c r="AD5746" s="500"/>
      <c r="AE5746" s="500"/>
      <c r="AF5746" s="500"/>
      <c r="AG5746" s="500"/>
      <c r="AH5746" s="500"/>
      <c r="AI5746" s="500"/>
      <c r="AJ5746" s="500"/>
      <c r="AK5746" s="500"/>
      <c r="AL5746" s="500"/>
      <c r="AM5746" s="500"/>
      <c r="AN5746" s="500"/>
      <c r="AO5746" s="500"/>
      <c r="AP5746" s="500"/>
    </row>
    <row r="5747" spans="1:42" ht="16.5" customHeight="1">
      <c r="A5747" s="439"/>
      <c r="B5747" s="439"/>
      <c r="C5747" s="439"/>
      <c r="D5747" s="439"/>
      <c r="E5747" s="439"/>
      <c r="F5747" s="439"/>
      <c r="Z5747" s="500"/>
      <c r="AA5747" s="500"/>
      <c r="AB5747" s="500"/>
      <c r="AC5747" s="500"/>
      <c r="AD5747" s="500"/>
      <c r="AE5747" s="500"/>
      <c r="AF5747" s="500"/>
      <c r="AG5747" s="500"/>
      <c r="AH5747" s="500"/>
      <c r="AI5747" s="500"/>
      <c r="AJ5747" s="500"/>
      <c r="AK5747" s="500"/>
      <c r="AL5747" s="500"/>
      <c r="AM5747" s="500"/>
      <c r="AN5747" s="500"/>
      <c r="AO5747" s="500"/>
      <c r="AP5747" s="500"/>
    </row>
    <row r="5748" spans="1:42" ht="16.5" customHeight="1">
      <c r="A5748" s="439"/>
      <c r="B5748" s="439"/>
      <c r="C5748" s="439"/>
      <c r="D5748" s="439"/>
      <c r="E5748" s="439"/>
      <c r="F5748" s="439"/>
      <c r="Z5748" s="500"/>
      <c r="AA5748" s="500"/>
      <c r="AB5748" s="500"/>
      <c r="AC5748" s="500"/>
      <c r="AD5748" s="500"/>
      <c r="AE5748" s="500"/>
      <c r="AF5748" s="500"/>
      <c r="AG5748" s="500"/>
      <c r="AH5748" s="500"/>
      <c r="AI5748" s="500"/>
      <c r="AJ5748" s="500"/>
      <c r="AK5748" s="500"/>
      <c r="AL5748" s="500"/>
      <c r="AM5748" s="500"/>
      <c r="AN5748" s="500"/>
      <c r="AO5748" s="500"/>
      <c r="AP5748" s="500"/>
    </row>
    <row r="5749" spans="1:42" ht="16.5" customHeight="1">
      <c r="A5749" s="439"/>
      <c r="B5749" s="439"/>
      <c r="C5749" s="439"/>
      <c r="D5749" s="439"/>
      <c r="E5749" s="439"/>
      <c r="F5749" s="439"/>
      <c r="Z5749" s="500"/>
      <c r="AA5749" s="500"/>
      <c r="AB5749" s="500"/>
      <c r="AC5749" s="500"/>
      <c r="AD5749" s="500"/>
      <c r="AE5749" s="500"/>
      <c r="AF5749" s="500"/>
      <c r="AG5749" s="500"/>
      <c r="AH5749" s="500"/>
      <c r="AI5749" s="500"/>
      <c r="AJ5749" s="500"/>
      <c r="AK5749" s="500"/>
      <c r="AL5749" s="500"/>
      <c r="AM5749" s="500"/>
      <c r="AN5749" s="500"/>
      <c r="AO5749" s="500"/>
      <c r="AP5749" s="500"/>
    </row>
    <row r="5750" spans="1:42" ht="16.5" customHeight="1">
      <c r="A5750" s="439"/>
      <c r="B5750" s="439"/>
      <c r="C5750" s="439"/>
      <c r="D5750" s="439"/>
      <c r="E5750" s="439"/>
      <c r="F5750" s="439"/>
      <c r="Z5750" s="500"/>
      <c r="AA5750" s="500"/>
      <c r="AB5750" s="500"/>
      <c r="AC5750" s="500"/>
      <c r="AD5750" s="500"/>
      <c r="AE5750" s="500"/>
      <c r="AF5750" s="500"/>
      <c r="AG5750" s="500"/>
      <c r="AH5750" s="500"/>
      <c r="AI5750" s="500"/>
      <c r="AJ5750" s="500"/>
      <c r="AK5750" s="500"/>
      <c r="AL5750" s="500"/>
      <c r="AM5750" s="500"/>
      <c r="AN5750" s="500"/>
      <c r="AO5750" s="500"/>
      <c r="AP5750" s="500"/>
    </row>
    <row r="5751" spans="1:42" ht="16.5" customHeight="1">
      <c r="A5751" s="439"/>
      <c r="B5751" s="439"/>
      <c r="C5751" s="439"/>
      <c r="D5751" s="439"/>
      <c r="E5751" s="439"/>
      <c r="F5751" s="439"/>
      <c r="Z5751" s="500"/>
      <c r="AA5751" s="500"/>
      <c r="AB5751" s="500"/>
      <c r="AC5751" s="500"/>
      <c r="AD5751" s="500"/>
      <c r="AE5751" s="500"/>
      <c r="AF5751" s="500"/>
      <c r="AG5751" s="500"/>
      <c r="AH5751" s="500"/>
      <c r="AI5751" s="500"/>
      <c r="AJ5751" s="500"/>
      <c r="AK5751" s="500"/>
      <c r="AL5751" s="500"/>
      <c r="AM5751" s="500"/>
      <c r="AN5751" s="500"/>
      <c r="AO5751" s="500"/>
      <c r="AP5751" s="500"/>
    </row>
    <row r="5752" spans="1:42" ht="16.5" customHeight="1">
      <c r="A5752" s="439"/>
      <c r="B5752" s="439"/>
      <c r="C5752" s="439"/>
      <c r="D5752" s="439"/>
      <c r="E5752" s="439"/>
      <c r="F5752" s="439"/>
      <c r="Z5752" s="500"/>
      <c r="AA5752" s="500"/>
      <c r="AB5752" s="500"/>
      <c r="AC5752" s="500"/>
      <c r="AD5752" s="500"/>
      <c r="AE5752" s="500"/>
      <c r="AF5752" s="500"/>
      <c r="AG5752" s="500"/>
      <c r="AH5752" s="500"/>
      <c r="AI5752" s="500"/>
      <c r="AJ5752" s="500"/>
      <c r="AK5752" s="500"/>
      <c r="AL5752" s="500"/>
      <c r="AM5752" s="500"/>
      <c r="AN5752" s="500"/>
      <c r="AO5752" s="500"/>
      <c r="AP5752" s="500"/>
    </row>
    <row r="5753" spans="1:42" ht="16.5" customHeight="1">
      <c r="A5753" s="497"/>
      <c r="B5753" s="497"/>
      <c r="C5753" s="497"/>
      <c r="D5753" s="497"/>
      <c r="E5753" s="497"/>
      <c r="F5753" s="497"/>
      <c r="Z5753" s="500"/>
      <c r="AA5753" s="500"/>
      <c r="AB5753" s="500"/>
      <c r="AC5753" s="500"/>
      <c r="AD5753" s="500"/>
      <c r="AE5753" s="500"/>
      <c r="AF5753" s="500"/>
      <c r="AG5753" s="500"/>
      <c r="AH5753" s="500"/>
      <c r="AI5753" s="500"/>
      <c r="AJ5753" s="500"/>
      <c r="AK5753" s="500"/>
      <c r="AL5753" s="500"/>
      <c r="AM5753" s="500"/>
      <c r="AN5753" s="500"/>
      <c r="AO5753" s="500"/>
      <c r="AP5753" s="500"/>
    </row>
    <row r="5754" spans="1:42" ht="16.5" customHeight="1">
      <c r="A5754" s="616" t="s">
        <v>3487</v>
      </c>
      <c r="B5754" s="605"/>
      <c r="C5754" s="446">
        <f>E5754+D5754+F5754</f>
        <v>838333</v>
      </c>
      <c r="D5754" s="453">
        <f>ROUNDDOWN(SUMIF(N5707:N5742,M5754,D5707:D5742),0)</f>
        <v>0</v>
      </c>
      <c r="E5754" s="454">
        <f>ROUNDDOWN(SUMIF(N5707:N5742,M5754,E5707:E5742),0)</f>
        <v>0</v>
      </c>
      <c r="F5754" s="446">
        <f>ROUNDDOWN(SUMIF(N5707:N5742,M5754,F5707:F5742),0)</f>
        <v>838333</v>
      </c>
      <c r="M5754" s="501" t="s">
        <v>2354</v>
      </c>
      <c r="Z5754" s="500"/>
      <c r="AA5754" s="500"/>
      <c r="AB5754" s="500"/>
      <c r="AC5754" s="500"/>
      <c r="AD5754" s="500"/>
      <c r="AE5754" s="500"/>
      <c r="AF5754" s="500"/>
      <c r="AG5754" s="500"/>
      <c r="AH5754" s="500"/>
      <c r="AI5754" s="500"/>
      <c r="AJ5754" s="500"/>
      <c r="AK5754" s="500"/>
      <c r="AL5754" s="500"/>
      <c r="AM5754" s="500"/>
      <c r="AN5754" s="500"/>
      <c r="AO5754" s="500"/>
      <c r="AP5754" s="500"/>
    </row>
    <row r="5755" spans="1:42" ht="16.5" customHeight="1">
      <c r="A5755" s="502"/>
      <c r="B5755" s="503" t="s">
        <v>2217</v>
      </c>
      <c r="C5755" s="615">
        <f>C5804</f>
        <v>874551</v>
      </c>
      <c r="D5755" s="615">
        <f>D5804</f>
        <v>0</v>
      </c>
      <c r="E5755" s="615">
        <f>E5804</f>
        <v>0</v>
      </c>
      <c r="F5755" s="615">
        <f>F5804</f>
        <v>874551</v>
      </c>
      <c r="G5755" s="486" t="str">
        <f>HYPERLINK("#G"&amp;ROW(G5792),"_x0005_`BDCOD|D01200_x0007_`POSS|"&amp;ROW(G5757)&amp;"_x0007_`POSE|"&amp;ROW(G5792)&amp;"_x0007_`")</f>
        <v>_x0005_`BDCOD|D01200_x0007_`POSS|5757_x0007_`POSE|5792_x0007_`</v>
      </c>
      <c r="Z5755" s="500"/>
      <c r="AA5755" s="500"/>
      <c r="AB5755" s="500"/>
      <c r="AC5755" s="500"/>
      <c r="AD5755" s="500"/>
      <c r="AE5755" s="500"/>
      <c r="AF5755" s="500"/>
      <c r="AG5755" s="500"/>
      <c r="AH5755" s="500"/>
      <c r="AI5755" s="500"/>
      <c r="AJ5755" s="500"/>
      <c r="AK5755" s="500"/>
      <c r="AL5755" s="500"/>
      <c r="AM5755" s="500"/>
      <c r="AN5755" s="500"/>
      <c r="AO5755" s="500"/>
      <c r="AP5755" s="500"/>
    </row>
    <row r="5756" spans="1:42" ht="16.5" customHeight="1">
      <c r="A5756" s="485"/>
      <c r="B5756" s="503" t="s">
        <v>4009</v>
      </c>
      <c r="C5756" s="593"/>
      <c r="D5756" s="593"/>
      <c r="E5756" s="593"/>
      <c r="F5756" s="593"/>
      <c r="M5756" s="501" t="s">
        <v>2217</v>
      </c>
      <c r="Z5756" s="500"/>
      <c r="AA5756" s="500"/>
      <c r="AB5756" s="500"/>
      <c r="AC5756" s="500"/>
      <c r="AD5756" s="500"/>
      <c r="AE5756" s="500"/>
      <c r="AF5756" s="500"/>
      <c r="AG5756" s="500"/>
      <c r="AH5756" s="500"/>
      <c r="AI5756" s="500"/>
      <c r="AJ5756" s="500"/>
      <c r="AK5756" s="500"/>
      <c r="AL5756" s="500"/>
      <c r="AM5756" s="500"/>
      <c r="AN5756" s="500"/>
      <c r="AO5756" s="500"/>
      <c r="AP5756" s="500"/>
    </row>
    <row r="5757" spans="1:42" ht="16.5" customHeight="1">
      <c r="A5757" s="434"/>
      <c r="B5757" s="437" t="s">
        <v>3980</v>
      </c>
      <c r="C5757" s="504"/>
      <c r="D5757" s="504"/>
      <c r="E5757" s="504"/>
      <c r="F5757" s="504"/>
      <c r="G5757" s="451" t="s">
        <v>3981</v>
      </c>
      <c r="Z5757" s="500"/>
      <c r="AA5757" s="500"/>
      <c r="AB5757" s="500"/>
      <c r="AC5757" s="500"/>
      <c r="AD5757" s="500"/>
      <c r="AE5757" s="500"/>
      <c r="AF5757" s="500"/>
      <c r="AG5757" s="500"/>
      <c r="AH5757" s="500"/>
      <c r="AI5757" s="500"/>
      <c r="AJ5757" s="500"/>
      <c r="AK5757" s="500"/>
      <c r="AL5757" s="500"/>
      <c r="AM5757" s="500"/>
      <c r="AN5757" s="500"/>
      <c r="AO5757" s="500"/>
      <c r="AP5757" s="500"/>
    </row>
    <row r="5758" spans="1:42" ht="16.5" customHeight="1">
      <c r="A5758" s="439"/>
      <c r="B5758" s="439"/>
      <c r="C5758" s="439"/>
      <c r="D5758" s="439"/>
      <c r="E5758" s="439"/>
      <c r="F5758" s="439"/>
      <c r="G5758" s="451" t="s">
        <v>3406</v>
      </c>
      <c r="Z5758" s="500"/>
      <c r="AA5758" s="500"/>
      <c r="AB5758" s="500"/>
      <c r="AC5758" s="500"/>
      <c r="AD5758" s="500"/>
      <c r="AE5758" s="500"/>
      <c r="AF5758" s="500"/>
      <c r="AG5758" s="500"/>
      <c r="AH5758" s="500"/>
      <c r="AI5758" s="500"/>
      <c r="AJ5758" s="500"/>
      <c r="AK5758" s="500"/>
      <c r="AL5758" s="500"/>
      <c r="AM5758" s="500"/>
      <c r="AN5758" s="500"/>
      <c r="AO5758" s="500"/>
      <c r="AP5758" s="500"/>
    </row>
    <row r="5759" spans="1:42" ht="16.5" customHeight="1">
      <c r="A5759" s="434"/>
      <c r="B5759" s="437" t="s">
        <v>4010</v>
      </c>
      <c r="C5759" s="439"/>
      <c r="D5759" s="439"/>
      <c r="E5759" s="439"/>
      <c r="F5759" s="439"/>
      <c r="G5759" s="451" t="s">
        <v>4011</v>
      </c>
      <c r="Z5759" s="500"/>
      <c r="AA5759" s="500"/>
      <c r="AB5759" s="500"/>
      <c r="AC5759" s="500"/>
      <c r="AD5759" s="500"/>
      <c r="AE5759" s="500"/>
      <c r="AF5759" s="500"/>
      <c r="AG5759" s="500"/>
      <c r="AH5759" s="500"/>
      <c r="AI5759" s="500"/>
      <c r="AJ5759" s="500"/>
      <c r="AK5759" s="500"/>
      <c r="AL5759" s="500"/>
      <c r="AM5759" s="500"/>
      <c r="AN5759" s="500"/>
      <c r="AO5759" s="500"/>
      <c r="AP5759" s="500"/>
    </row>
    <row r="5760" spans="1:42" ht="16.5" customHeight="1">
      <c r="A5760" s="439"/>
      <c r="B5760" s="439"/>
      <c r="C5760" s="439"/>
      <c r="D5760" s="439"/>
      <c r="E5760" s="439"/>
      <c r="F5760" s="439"/>
      <c r="G5760" s="451" t="s">
        <v>3406</v>
      </c>
      <c r="Z5760" s="500"/>
      <c r="AA5760" s="500"/>
      <c r="AB5760" s="500"/>
      <c r="AC5760" s="500"/>
      <c r="AD5760" s="500"/>
      <c r="AE5760" s="500"/>
      <c r="AF5760" s="500"/>
      <c r="AG5760" s="500"/>
      <c r="AH5760" s="500"/>
      <c r="AI5760" s="500"/>
      <c r="AJ5760" s="500"/>
      <c r="AK5760" s="500"/>
      <c r="AL5760" s="500"/>
      <c r="AM5760" s="500"/>
      <c r="AN5760" s="500"/>
      <c r="AO5760" s="500"/>
      <c r="AP5760" s="500"/>
    </row>
    <row r="5761" spans="1:42" ht="16.5" customHeight="1">
      <c r="A5761" s="439"/>
      <c r="B5761" s="439"/>
      <c r="C5761" s="439"/>
      <c r="D5761" s="439"/>
      <c r="E5761" s="439"/>
      <c r="F5761" s="439"/>
      <c r="G5761" s="451" t="s">
        <v>3406</v>
      </c>
      <c r="Z5761" s="500"/>
      <c r="AA5761" s="500"/>
      <c r="AB5761" s="500"/>
      <c r="AC5761" s="500"/>
      <c r="AD5761" s="500"/>
      <c r="AE5761" s="500"/>
      <c r="AF5761" s="500"/>
      <c r="AG5761" s="500"/>
      <c r="AH5761" s="500"/>
      <c r="AI5761" s="500"/>
      <c r="AJ5761" s="500"/>
      <c r="AK5761" s="500"/>
      <c r="AL5761" s="500"/>
      <c r="AM5761" s="500"/>
      <c r="AN5761" s="500"/>
      <c r="AO5761" s="500"/>
      <c r="AP5761" s="500"/>
    </row>
    <row r="5762" spans="1:42" ht="16.5" customHeight="1">
      <c r="A5762" s="434"/>
      <c r="B5762" s="437" t="s">
        <v>3984</v>
      </c>
      <c r="C5762" s="439"/>
      <c r="D5762" s="439"/>
      <c r="E5762" s="439"/>
      <c r="F5762" s="439"/>
      <c r="G5762" s="451" t="s">
        <v>3985</v>
      </c>
      <c r="Z5762" s="500"/>
      <c r="AA5762" s="500"/>
      <c r="AB5762" s="500"/>
      <c r="AC5762" s="500"/>
      <c r="AD5762" s="500"/>
      <c r="AE5762" s="500"/>
      <c r="AF5762" s="500"/>
      <c r="AG5762" s="500"/>
      <c r="AH5762" s="500"/>
      <c r="AI5762" s="500"/>
      <c r="AJ5762" s="500"/>
      <c r="AK5762" s="500"/>
      <c r="AL5762" s="500"/>
      <c r="AM5762" s="500"/>
      <c r="AN5762" s="500"/>
      <c r="AO5762" s="500"/>
      <c r="AP5762" s="500"/>
    </row>
    <row r="5763" spans="1:42" ht="16.5" customHeight="1">
      <c r="A5763" s="439"/>
      <c r="B5763" s="439"/>
      <c r="C5763" s="439"/>
      <c r="D5763" s="439"/>
      <c r="E5763" s="439"/>
      <c r="F5763" s="439"/>
      <c r="G5763" s="451" t="s">
        <v>3406</v>
      </c>
      <c r="Z5763" s="500"/>
      <c r="AA5763" s="500"/>
      <c r="AB5763" s="500"/>
      <c r="AC5763" s="500"/>
      <c r="AD5763" s="500"/>
      <c r="AE5763" s="500"/>
      <c r="AF5763" s="500"/>
      <c r="AG5763" s="500"/>
      <c r="AH5763" s="500"/>
      <c r="AI5763" s="500"/>
      <c r="AJ5763" s="500"/>
      <c r="AK5763" s="500"/>
      <c r="AL5763" s="500"/>
      <c r="AM5763" s="500"/>
      <c r="AN5763" s="500"/>
      <c r="AO5763" s="500"/>
      <c r="AP5763" s="500"/>
    </row>
    <row r="5764" spans="1:42" ht="16.5" customHeight="1">
      <c r="A5764" s="439"/>
      <c r="B5764" s="439"/>
      <c r="C5764" s="439"/>
      <c r="D5764" s="439"/>
      <c r="E5764" s="439"/>
      <c r="F5764" s="439"/>
      <c r="G5764" s="451" t="s">
        <v>3406</v>
      </c>
      <c r="Z5764" s="500"/>
      <c r="AA5764" s="500"/>
      <c r="AB5764" s="500"/>
      <c r="AC5764" s="500"/>
      <c r="AD5764" s="500"/>
      <c r="AE5764" s="500"/>
      <c r="AF5764" s="500"/>
      <c r="AG5764" s="500"/>
      <c r="AH5764" s="500"/>
      <c r="AI5764" s="500"/>
      <c r="AJ5764" s="500"/>
      <c r="AK5764" s="500"/>
      <c r="AL5764" s="500"/>
      <c r="AM5764" s="500"/>
      <c r="AN5764" s="500"/>
      <c r="AO5764" s="500"/>
      <c r="AP5764" s="500"/>
    </row>
    <row r="5765" spans="1:42" ht="16.5" customHeight="1">
      <c r="A5765" s="434"/>
      <c r="B5765" s="437" t="s">
        <v>3986</v>
      </c>
      <c r="C5765" s="439"/>
      <c r="D5765" s="439"/>
      <c r="E5765" s="439"/>
      <c r="F5765" s="439"/>
      <c r="G5765" s="451" t="s">
        <v>3987</v>
      </c>
      <c r="Z5765" s="500"/>
      <c r="AA5765" s="500"/>
      <c r="AB5765" s="500"/>
      <c r="AC5765" s="500"/>
      <c r="AD5765" s="500"/>
      <c r="AE5765" s="500"/>
      <c r="AF5765" s="500"/>
      <c r="AG5765" s="500"/>
      <c r="AH5765" s="500"/>
      <c r="AI5765" s="500"/>
      <c r="AJ5765" s="500"/>
      <c r="AK5765" s="500"/>
      <c r="AL5765" s="500"/>
      <c r="AM5765" s="500"/>
      <c r="AN5765" s="500"/>
      <c r="AO5765" s="500"/>
      <c r="AP5765" s="500"/>
    </row>
    <row r="5766" spans="1:42" ht="16.5" customHeight="1">
      <c r="A5766" s="439"/>
      <c r="B5766" s="439"/>
      <c r="C5766" s="439"/>
      <c r="D5766" s="439"/>
      <c r="E5766" s="439"/>
      <c r="F5766" s="439"/>
      <c r="G5766" s="451" t="s">
        <v>3406</v>
      </c>
      <c r="Z5766" s="500"/>
      <c r="AA5766" s="500"/>
      <c r="AB5766" s="500"/>
      <c r="AC5766" s="500"/>
      <c r="AD5766" s="500"/>
      <c r="AE5766" s="500"/>
      <c r="AF5766" s="500"/>
      <c r="AG5766" s="500"/>
      <c r="AH5766" s="500"/>
      <c r="AI5766" s="500"/>
      <c r="AJ5766" s="500"/>
      <c r="AK5766" s="500"/>
      <c r="AL5766" s="500"/>
      <c r="AM5766" s="500"/>
      <c r="AN5766" s="500"/>
      <c r="AO5766" s="500"/>
      <c r="AP5766" s="500"/>
    </row>
    <row r="5767" spans="1:42" ht="16.5" customHeight="1">
      <c r="A5767" s="439"/>
      <c r="B5767" s="439"/>
      <c r="C5767" s="439"/>
      <c r="D5767" s="439"/>
      <c r="E5767" s="439"/>
      <c r="F5767" s="439"/>
      <c r="G5767" s="451" t="s">
        <v>3406</v>
      </c>
      <c r="Z5767" s="500"/>
      <c r="AA5767" s="500"/>
      <c r="AB5767" s="500"/>
      <c r="AC5767" s="500"/>
      <c r="AD5767" s="500"/>
      <c r="AE5767" s="500"/>
      <c r="AF5767" s="500"/>
      <c r="AG5767" s="500"/>
      <c r="AH5767" s="500"/>
      <c r="AI5767" s="500"/>
      <c r="AJ5767" s="500"/>
      <c r="AK5767" s="500"/>
      <c r="AL5767" s="500"/>
      <c r="AM5767" s="500"/>
      <c r="AN5767" s="500"/>
      <c r="AO5767" s="500"/>
      <c r="AP5767" s="500"/>
    </row>
    <row r="5768" spans="1:42" ht="16.5" customHeight="1">
      <c r="A5768" s="434"/>
      <c r="B5768" s="437" t="str">
        <f>" L = "&amp;Z5768&amp;" , V = "&amp;AD5768&amp;" , t = "&amp;AH5768&amp;"  , T = "&amp;AL5768&amp;"-"&amp;AN5768&amp;""</f>
        <v xml:space="preserve"> L = 1150 , V = 2500 , t = 2  , T = 480-30</v>
      </c>
      <c r="C5768" s="439"/>
      <c r="D5768" s="439"/>
      <c r="E5768" s="439"/>
      <c r="F5768" s="439"/>
      <c r="G5768" s="451" t="s">
        <v>4012</v>
      </c>
      <c r="Z5768" s="515">
        <v>1150</v>
      </c>
      <c r="AA5768" s="501" t="s">
        <v>3418</v>
      </c>
      <c r="AB5768" s="512">
        <f>Z5768</f>
        <v>1150</v>
      </c>
      <c r="AC5768" s="514" t="s">
        <v>3427</v>
      </c>
      <c r="AD5768" s="515">
        <v>2500</v>
      </c>
      <c r="AE5768" s="501" t="s">
        <v>3418</v>
      </c>
      <c r="AF5768" s="512">
        <f>AD5768</f>
        <v>2500</v>
      </c>
      <c r="AG5768" s="514" t="s">
        <v>3427</v>
      </c>
      <c r="AH5768" s="515">
        <v>2</v>
      </c>
      <c r="AI5768" s="501" t="s">
        <v>3418</v>
      </c>
      <c r="AJ5768" s="512">
        <f>AH5768</f>
        <v>2</v>
      </c>
      <c r="AK5768" s="514" t="s">
        <v>3427</v>
      </c>
      <c r="AL5768" s="515">
        <v>480</v>
      </c>
      <c r="AM5768" s="501" t="s">
        <v>3474</v>
      </c>
      <c r="AN5768" s="515">
        <v>30</v>
      </c>
      <c r="AO5768" s="501" t="s">
        <v>3418</v>
      </c>
      <c r="AP5768" s="512">
        <f>AL5768-AN5768</f>
        <v>450</v>
      </c>
    </row>
    <row r="5769" spans="1:42" ht="16.5" customHeight="1">
      <c r="A5769" s="439"/>
      <c r="B5769" s="439"/>
      <c r="C5769" s="439"/>
      <c r="D5769" s="439"/>
      <c r="E5769" s="439"/>
      <c r="F5769" s="439"/>
      <c r="G5769" s="451" t="s">
        <v>3406</v>
      </c>
      <c r="Z5769" s="500"/>
      <c r="AA5769" s="500"/>
      <c r="AB5769" s="500"/>
      <c r="AC5769" s="500"/>
      <c r="AD5769" s="500"/>
      <c r="AE5769" s="500"/>
      <c r="AF5769" s="500"/>
      <c r="AG5769" s="500"/>
      <c r="AH5769" s="500"/>
      <c r="AI5769" s="500"/>
      <c r="AJ5769" s="500"/>
      <c r="AK5769" s="500"/>
      <c r="AL5769" s="500"/>
      <c r="AM5769" s="500"/>
      <c r="AN5769" s="500"/>
      <c r="AO5769" s="500"/>
      <c r="AP5769" s="500"/>
    </row>
    <row r="5770" spans="1:42" ht="16.5" customHeight="1">
      <c r="A5770" s="439"/>
      <c r="B5770" s="439"/>
      <c r="C5770" s="439"/>
      <c r="D5770" s="439"/>
      <c r="E5770" s="439"/>
      <c r="F5770" s="439"/>
      <c r="G5770" s="451" t="s">
        <v>3406</v>
      </c>
      <c r="Z5770" s="500"/>
      <c r="AA5770" s="500"/>
      <c r="AB5770" s="500"/>
      <c r="AC5770" s="500"/>
      <c r="AD5770" s="500"/>
      <c r="AE5770" s="500"/>
      <c r="AF5770" s="500"/>
      <c r="AG5770" s="500"/>
      <c r="AH5770" s="500"/>
      <c r="AI5770" s="500"/>
      <c r="AJ5770" s="500"/>
      <c r="AK5770" s="500"/>
      <c r="AL5770" s="500"/>
      <c r="AM5770" s="500"/>
      <c r="AN5770" s="500"/>
      <c r="AO5770" s="500"/>
      <c r="AP5770" s="500"/>
    </row>
    <row r="5771" spans="1:42" ht="16.5" customHeight="1">
      <c r="A5771" s="439"/>
      <c r="B5771" s="439"/>
      <c r="C5771" s="439"/>
      <c r="D5771" s="439"/>
      <c r="E5771" s="439"/>
      <c r="F5771" s="439"/>
      <c r="G5771" s="451" t="s">
        <v>3406</v>
      </c>
      <c r="Z5771" s="500"/>
      <c r="AA5771" s="500"/>
      <c r="AB5771" s="500"/>
      <c r="AC5771" s="500"/>
      <c r="AD5771" s="500"/>
      <c r="AE5771" s="500"/>
      <c r="AF5771" s="500"/>
      <c r="AG5771" s="500"/>
      <c r="AH5771" s="500"/>
      <c r="AI5771" s="500"/>
      <c r="AJ5771" s="500"/>
      <c r="AK5771" s="500"/>
      <c r="AL5771" s="500"/>
      <c r="AM5771" s="500"/>
      <c r="AN5771" s="500"/>
      <c r="AO5771" s="500"/>
      <c r="AP5771" s="500"/>
    </row>
    <row r="5772" spans="1:42" ht="16.5" customHeight="1">
      <c r="A5772" s="434"/>
      <c r="B5772" s="437" t="str">
        <f>" N = V*T /( "&amp;AD5772&amp;"*L+V*"&amp;AJ5772&amp;" ) = "&amp;AM5772&amp;" 회/일 "</f>
        <v xml:space="preserve"> N = V*T /( 120*L+V*2 ) = 7.87 회/일 </v>
      </c>
      <c r="C5772" s="439"/>
      <c r="D5772" s="439"/>
      <c r="E5772" s="439"/>
      <c r="F5772" s="439"/>
      <c r="G5772" s="451" t="s">
        <v>3989</v>
      </c>
      <c r="Z5772" s="512">
        <f>AF5768</f>
        <v>2500</v>
      </c>
      <c r="AA5772" s="501" t="s">
        <v>3368</v>
      </c>
      <c r="AB5772" s="512">
        <f>AP5768</f>
        <v>450</v>
      </c>
      <c r="AC5772" s="501" t="s">
        <v>3463</v>
      </c>
      <c r="AD5772" s="515">
        <v>120</v>
      </c>
      <c r="AE5772" s="501" t="s">
        <v>3368</v>
      </c>
      <c r="AF5772" s="512">
        <f>AB5768</f>
        <v>1150</v>
      </c>
      <c r="AG5772" s="501" t="s">
        <v>3468</v>
      </c>
      <c r="AH5772" s="512">
        <f>AF5768</f>
        <v>2500</v>
      </c>
      <c r="AI5772" s="501" t="s">
        <v>3368</v>
      </c>
      <c r="AJ5772" s="515">
        <v>2</v>
      </c>
      <c r="AK5772" s="501" t="s">
        <v>3464</v>
      </c>
      <c r="AL5772" s="501" t="s">
        <v>3418</v>
      </c>
      <c r="AM5772" s="512" t="str">
        <f>TEXT(ROUND(AF5768*AP5768/(AD5772*AB5768+AF5768*AJ5772),2),"#,0.00")</f>
        <v>7.87</v>
      </c>
      <c r="AN5772" s="500"/>
      <c r="AO5772" s="500"/>
      <c r="AP5772" s="500"/>
    </row>
    <row r="5773" spans="1:42" ht="16.5" customHeight="1">
      <c r="A5773" s="439"/>
      <c r="B5773" s="439"/>
      <c r="C5773" s="439"/>
      <c r="D5773" s="439"/>
      <c r="E5773" s="439"/>
      <c r="F5773" s="439"/>
      <c r="G5773" s="451" t="s">
        <v>3406</v>
      </c>
      <c r="Z5773" s="500"/>
      <c r="AA5773" s="500"/>
      <c r="AB5773" s="500"/>
      <c r="AC5773" s="500"/>
      <c r="AD5773" s="500"/>
      <c r="AE5773" s="500"/>
      <c r="AF5773" s="500"/>
      <c r="AG5773" s="500"/>
      <c r="AH5773" s="500"/>
      <c r="AI5773" s="500"/>
      <c r="AJ5773" s="500"/>
      <c r="AK5773" s="500"/>
      <c r="AL5773" s="500"/>
      <c r="AM5773" s="500"/>
      <c r="AN5773" s="500"/>
      <c r="AO5773" s="500"/>
      <c r="AP5773" s="500"/>
    </row>
    <row r="5774" spans="1:42" ht="16.5" customHeight="1">
      <c r="A5774" s="439"/>
      <c r="B5774" s="439"/>
      <c r="C5774" s="439"/>
      <c r="D5774" s="439"/>
      <c r="E5774" s="439"/>
      <c r="F5774" s="439"/>
      <c r="G5774" s="451" t="s">
        <v>3406</v>
      </c>
      <c r="Z5774" s="500"/>
      <c r="AA5774" s="500"/>
      <c r="AB5774" s="500"/>
      <c r="AC5774" s="500"/>
      <c r="AD5774" s="500"/>
      <c r="AE5774" s="500"/>
      <c r="AF5774" s="500"/>
      <c r="AG5774" s="500"/>
      <c r="AH5774" s="500"/>
      <c r="AI5774" s="500"/>
      <c r="AJ5774" s="500"/>
      <c r="AK5774" s="500"/>
      <c r="AL5774" s="500"/>
      <c r="AM5774" s="500"/>
      <c r="AN5774" s="500"/>
      <c r="AO5774" s="500"/>
      <c r="AP5774" s="500"/>
    </row>
    <row r="5775" spans="1:42" ht="16.5" customHeight="1">
      <c r="A5775" s="439"/>
      <c r="B5775" s="439"/>
      <c r="C5775" s="439"/>
      <c r="D5775" s="439"/>
      <c r="E5775" s="439"/>
      <c r="F5775" s="439"/>
      <c r="G5775" s="451" t="s">
        <v>3406</v>
      </c>
      <c r="Z5775" s="500"/>
      <c r="AA5775" s="500"/>
      <c r="AB5775" s="500"/>
      <c r="AC5775" s="500"/>
      <c r="AD5775" s="500"/>
      <c r="AE5775" s="500"/>
      <c r="AF5775" s="500"/>
      <c r="AG5775" s="500"/>
      <c r="AH5775" s="500"/>
      <c r="AI5775" s="500"/>
      <c r="AJ5775" s="500"/>
      <c r="AK5775" s="500"/>
      <c r="AL5775" s="500"/>
      <c r="AM5775" s="500"/>
      <c r="AN5775" s="500"/>
      <c r="AO5775" s="500"/>
      <c r="AP5775" s="500"/>
    </row>
    <row r="5776" spans="1:42" ht="16.5" customHeight="1">
      <c r="A5776" s="434"/>
      <c r="B5776" s="437" t="str">
        <f>" Q = N*"&amp;AB5776&amp;" ㎏ = "&amp;AD5776&amp;"  kg/일 "</f>
        <v xml:space="preserve"> Q = N*25 ㎏ = 196.75  kg/일 </v>
      </c>
      <c r="C5776" s="439"/>
      <c r="D5776" s="439"/>
      <c r="E5776" s="439"/>
      <c r="F5776" s="439"/>
      <c r="G5776" s="451" t="s">
        <v>3990</v>
      </c>
      <c r="Z5776" s="512" t="str">
        <f>AM5772</f>
        <v>7.87</v>
      </c>
      <c r="AA5776" s="501" t="s">
        <v>3368</v>
      </c>
      <c r="AB5776" s="515">
        <v>25</v>
      </c>
      <c r="AC5776" s="501" t="s">
        <v>3418</v>
      </c>
      <c r="AD5776" s="512" t="str">
        <f>TEXT(ROUND(AM5772*AB5776,2),"#,0.00")</f>
        <v>196.75</v>
      </c>
      <c r="AE5776" s="500"/>
      <c r="AF5776" s="500"/>
      <c r="AG5776" s="500"/>
      <c r="AH5776" s="500"/>
      <c r="AI5776" s="500"/>
      <c r="AJ5776" s="500"/>
      <c r="AK5776" s="500"/>
      <c r="AL5776" s="500"/>
      <c r="AM5776" s="500"/>
      <c r="AN5776" s="500"/>
      <c r="AO5776" s="500"/>
      <c r="AP5776" s="500"/>
    </row>
    <row r="5777" spans="1:42" ht="16.5" customHeight="1">
      <c r="A5777" s="439"/>
      <c r="B5777" s="439"/>
      <c r="C5777" s="439"/>
      <c r="D5777" s="439"/>
      <c r="E5777" s="439"/>
      <c r="F5777" s="439"/>
      <c r="G5777" s="451" t="s">
        <v>3406</v>
      </c>
      <c r="Z5777" s="500"/>
      <c r="AA5777" s="500"/>
      <c r="AB5777" s="500"/>
      <c r="AC5777" s="500"/>
      <c r="AD5777" s="500"/>
      <c r="AE5777" s="500"/>
      <c r="AF5777" s="500"/>
      <c r="AG5777" s="500"/>
      <c r="AH5777" s="500"/>
      <c r="AI5777" s="500"/>
      <c r="AJ5777" s="500"/>
      <c r="AK5777" s="500"/>
      <c r="AL5777" s="500"/>
      <c r="AM5777" s="500"/>
      <c r="AN5777" s="500"/>
      <c r="AO5777" s="500"/>
      <c r="AP5777" s="500"/>
    </row>
    <row r="5778" spans="1:42" ht="16.5" customHeight="1">
      <c r="A5778" s="439"/>
      <c r="B5778" s="439"/>
      <c r="C5778" s="439"/>
      <c r="D5778" s="439"/>
      <c r="E5778" s="439"/>
      <c r="F5778" s="439"/>
      <c r="G5778" s="451" t="s">
        <v>3406</v>
      </c>
      <c r="Z5778" s="500"/>
      <c r="AA5778" s="500"/>
      <c r="AB5778" s="500"/>
      <c r="AC5778" s="500"/>
      <c r="AD5778" s="500"/>
      <c r="AE5778" s="500"/>
      <c r="AF5778" s="500"/>
      <c r="AG5778" s="500"/>
      <c r="AH5778" s="500"/>
      <c r="AI5778" s="500"/>
      <c r="AJ5778" s="500"/>
      <c r="AK5778" s="500"/>
      <c r="AL5778" s="500"/>
      <c r="AM5778" s="500"/>
      <c r="AN5778" s="500"/>
      <c r="AO5778" s="500"/>
      <c r="AP5778" s="500"/>
    </row>
    <row r="5779" spans="1:42" ht="16.5" customHeight="1">
      <c r="A5779" s="439"/>
      <c r="B5779" s="439"/>
      <c r="C5779" s="439"/>
      <c r="D5779" s="439"/>
      <c r="E5779" s="439"/>
      <c r="F5779" s="439"/>
      <c r="G5779" s="451" t="s">
        <v>3406</v>
      </c>
      <c r="Z5779" s="500"/>
      <c r="AA5779" s="500"/>
      <c r="AB5779" s="500"/>
      <c r="AC5779" s="500"/>
      <c r="AD5779" s="500"/>
      <c r="AE5779" s="500"/>
      <c r="AF5779" s="500"/>
      <c r="AG5779" s="500"/>
      <c r="AH5779" s="500"/>
      <c r="AI5779" s="500"/>
      <c r="AJ5779" s="500"/>
      <c r="AK5779" s="500"/>
      <c r="AL5779" s="500"/>
      <c r="AM5779" s="500"/>
      <c r="AN5779" s="500"/>
      <c r="AO5779" s="500"/>
      <c r="AP5779" s="500"/>
    </row>
    <row r="5780" spans="1:42" ht="16.5" customHeight="1">
      <c r="A5780" s="434"/>
      <c r="B5780" s="437" t="str">
        <f>" k = "&amp;Z5780&amp;" kg /Q"</f>
        <v xml:space="preserve"> k = 1000 kg /Q</v>
      </c>
      <c r="C5780" s="439"/>
      <c r="D5780" s="439"/>
      <c r="E5780" s="439"/>
      <c r="F5780" s="439"/>
      <c r="G5780" s="451" t="s">
        <v>3991</v>
      </c>
      <c r="Z5780" s="515">
        <v>1000</v>
      </c>
      <c r="AA5780" s="501" t="s">
        <v>3428</v>
      </c>
      <c r="AB5780" s="512" t="str">
        <f>AD5776</f>
        <v>196.75</v>
      </c>
      <c r="AC5780" s="501" t="s">
        <v>3418</v>
      </c>
      <c r="AD5780" s="512">
        <f>ROUND(Z5780/AD5776,13)</f>
        <v>5.0825921219822003</v>
      </c>
      <c r="AE5780" s="500"/>
      <c r="AF5780" s="500"/>
      <c r="AG5780" s="500"/>
      <c r="AH5780" s="500"/>
      <c r="AI5780" s="500"/>
      <c r="AJ5780" s="500"/>
      <c r="AK5780" s="500"/>
      <c r="AL5780" s="500"/>
      <c r="AM5780" s="500"/>
      <c r="AN5780" s="500"/>
      <c r="AO5780" s="500"/>
      <c r="AP5780" s="500"/>
    </row>
    <row r="5781" spans="1:42" ht="16.5" customHeight="1">
      <c r="A5781" s="439"/>
      <c r="B5781" s="439"/>
      <c r="C5781" s="439"/>
      <c r="D5781" s="439"/>
      <c r="E5781" s="439"/>
      <c r="F5781" s="439"/>
      <c r="G5781" s="451" t="s">
        <v>3406</v>
      </c>
      <c r="Z5781" s="500"/>
      <c r="AA5781" s="500"/>
      <c r="AB5781" s="500"/>
      <c r="AC5781" s="500"/>
      <c r="AD5781" s="500"/>
      <c r="AE5781" s="500"/>
      <c r="AF5781" s="500"/>
      <c r="AG5781" s="500"/>
      <c r="AH5781" s="500"/>
      <c r="AI5781" s="500"/>
      <c r="AJ5781" s="500"/>
      <c r="AK5781" s="500"/>
      <c r="AL5781" s="500"/>
      <c r="AM5781" s="500"/>
      <c r="AN5781" s="500"/>
      <c r="AO5781" s="500"/>
      <c r="AP5781" s="500"/>
    </row>
    <row r="5782" spans="1:42" ht="16.5" customHeight="1">
      <c r="A5782" s="439"/>
      <c r="B5782" s="439"/>
      <c r="C5782" s="439"/>
      <c r="D5782" s="439"/>
      <c r="E5782" s="439"/>
      <c r="F5782" s="439"/>
      <c r="G5782" s="451" t="s">
        <v>3406</v>
      </c>
      <c r="Z5782" s="500"/>
      <c r="AA5782" s="500"/>
      <c r="AB5782" s="500"/>
      <c r="AC5782" s="500"/>
      <c r="AD5782" s="500"/>
      <c r="AE5782" s="500"/>
      <c r="AF5782" s="500"/>
      <c r="AG5782" s="500"/>
      <c r="AH5782" s="500"/>
      <c r="AI5782" s="500"/>
      <c r="AJ5782" s="500"/>
      <c r="AK5782" s="500"/>
      <c r="AL5782" s="500"/>
      <c r="AM5782" s="500"/>
      <c r="AN5782" s="500"/>
      <c r="AO5782" s="500"/>
      <c r="AP5782" s="500"/>
    </row>
    <row r="5783" spans="1:42" ht="16.5" customHeight="1">
      <c r="A5783" s="439"/>
      <c r="B5783" s="439"/>
      <c r="C5783" s="439"/>
      <c r="D5783" s="439"/>
      <c r="E5783" s="439"/>
      <c r="F5783" s="439"/>
      <c r="G5783" s="451" t="s">
        <v>3406</v>
      </c>
      <c r="Z5783" s="500"/>
      <c r="AA5783" s="500"/>
      <c r="AB5783" s="500"/>
      <c r="AC5783" s="500"/>
      <c r="AD5783" s="500"/>
      <c r="AE5783" s="500"/>
      <c r="AF5783" s="500"/>
      <c r="AG5783" s="500"/>
      <c r="AH5783" s="500"/>
      <c r="AI5783" s="500"/>
      <c r="AJ5783" s="500"/>
      <c r="AK5783" s="500"/>
      <c r="AL5783" s="500"/>
      <c r="AM5783" s="500"/>
      <c r="AN5783" s="500"/>
      <c r="AO5783" s="500"/>
      <c r="AP5783" s="500"/>
    </row>
    <row r="5784" spans="1:42" ht="16.5" customHeight="1">
      <c r="A5784" s="434" t="s">
        <v>3992</v>
      </c>
      <c r="B5784" s="505" t="str">
        <f>" 인    부: "&amp;TEXT(I5784,"#,##0"&amp;IF(I5784&lt;&gt;INT(I5784),".###",""))&amp;"*k = "&amp;TEXT(C5784,"#,##0.0")&amp;" 원 "</f>
        <v xml:space="preserve"> 인    부: 172,068*k = 874,551.4 원 </v>
      </c>
      <c r="C5784" s="506">
        <f>E5784+D5784+F5784</f>
        <v>874551.4</v>
      </c>
      <c r="D5784" s="506">
        <f>IF(H5784=0,0,ROUNDDOWN(J5784*H5784,1))</f>
        <v>874551.4</v>
      </c>
      <c r="E5784" s="506">
        <f>IF(H5784=0,0,ROUNDDOWN(K5784*H5784,1))</f>
        <v>0</v>
      </c>
      <c r="F5784" s="506">
        <f>IF(H5784=0,0,ROUNDDOWN(L5784*H5784,1))</f>
        <v>0</v>
      </c>
      <c r="G5784" s="451" t="s">
        <v>3993</v>
      </c>
      <c r="H5784" s="507">
        <f>ROUNDUP(AC5784,14-LEN(ABS(INT(AC5784))))</f>
        <v>5.0825921219822003</v>
      </c>
      <c r="I5784" s="508">
        <f>K5784+J5784+L5784</f>
        <v>172068</v>
      </c>
      <c r="J5784" s="509">
        <f>노무비목록표!E10</f>
        <v>172068</v>
      </c>
      <c r="M5784" s="501" t="s">
        <v>2363</v>
      </c>
      <c r="N5784" s="501" t="s">
        <v>3994</v>
      </c>
      <c r="X5784" s="510" t="str">
        <f>노무비목록표!B10&amp;" / "&amp;노무비목록표!C10</f>
        <v xml:space="preserve">보통인부 / </v>
      </c>
      <c r="Y5784" s="433" t="str">
        <f ca="1">HYPERLINK("#"&amp;노무비목록표!G2&amp;"!A"&amp;ROW(노무비목록표!A10),"L00017 →")</f>
        <v>L00017 →</v>
      </c>
      <c r="Z5784" s="501" t="s">
        <v>3500</v>
      </c>
      <c r="AA5784" s="512">
        <f>AD5780</f>
        <v>5.0825921219822003</v>
      </c>
      <c r="AB5784" s="501" t="s">
        <v>3418</v>
      </c>
      <c r="AC5784" s="512">
        <f>1*AD5780</f>
        <v>5.0825921219822003</v>
      </c>
      <c r="AD5784" s="500"/>
      <c r="AE5784" s="500"/>
      <c r="AF5784" s="500"/>
      <c r="AG5784" s="500"/>
      <c r="AH5784" s="500"/>
      <c r="AI5784" s="500"/>
      <c r="AJ5784" s="500"/>
      <c r="AK5784" s="500"/>
      <c r="AL5784" s="500"/>
      <c r="AM5784" s="500"/>
      <c r="AN5784" s="500"/>
      <c r="AO5784" s="500"/>
      <c r="AP5784" s="500"/>
    </row>
    <row r="5785" spans="1:42" ht="16.5" customHeight="1">
      <c r="A5785" s="439"/>
      <c r="B5785" s="439"/>
      <c r="C5785" s="439"/>
      <c r="D5785" s="439"/>
      <c r="E5785" s="439"/>
      <c r="F5785" s="439"/>
      <c r="G5785" s="451" t="s">
        <v>3406</v>
      </c>
      <c r="Z5785" s="500"/>
      <c r="AA5785" s="500"/>
      <c r="AB5785" s="500"/>
      <c r="AC5785" s="500"/>
      <c r="AD5785" s="500"/>
      <c r="AE5785" s="500"/>
      <c r="AF5785" s="500"/>
      <c r="AG5785" s="500"/>
      <c r="AH5785" s="500"/>
      <c r="AI5785" s="500"/>
      <c r="AJ5785" s="500"/>
      <c r="AK5785" s="500"/>
      <c r="AL5785" s="500"/>
      <c r="AM5785" s="500"/>
      <c r="AN5785" s="500"/>
      <c r="AO5785" s="500"/>
      <c r="AP5785" s="500"/>
    </row>
    <row r="5786" spans="1:42" ht="16.5" customHeight="1">
      <c r="A5786" s="439"/>
      <c r="B5786" s="439"/>
      <c r="C5786" s="439"/>
      <c r="D5786" s="439"/>
      <c r="E5786" s="439"/>
      <c r="F5786" s="439"/>
      <c r="G5786" s="451" t="s">
        <v>3406</v>
      </c>
      <c r="Z5786" s="500"/>
      <c r="AA5786" s="500"/>
      <c r="AB5786" s="500"/>
      <c r="AC5786" s="500"/>
      <c r="AD5786" s="500"/>
      <c r="AE5786" s="500"/>
      <c r="AF5786" s="500"/>
      <c r="AG5786" s="500"/>
      <c r="AH5786" s="500"/>
      <c r="AI5786" s="500"/>
      <c r="AJ5786" s="500"/>
      <c r="AK5786" s="500"/>
      <c r="AL5786" s="500"/>
      <c r="AM5786" s="500"/>
      <c r="AN5786" s="500"/>
      <c r="AO5786" s="500"/>
      <c r="AP5786" s="500"/>
    </row>
    <row r="5787" spans="1:42" ht="16.5" customHeight="1">
      <c r="A5787" s="439"/>
      <c r="B5787" s="439"/>
      <c r="C5787" s="439"/>
      <c r="D5787" s="439"/>
      <c r="E5787" s="439"/>
      <c r="F5787" s="439"/>
      <c r="G5787" s="451" t="s">
        <v>3406</v>
      </c>
      <c r="Z5787" s="500"/>
      <c r="AA5787" s="500"/>
      <c r="AB5787" s="500"/>
      <c r="AC5787" s="500"/>
      <c r="AD5787" s="500"/>
      <c r="AE5787" s="500"/>
      <c r="AF5787" s="500"/>
      <c r="AG5787" s="500"/>
      <c r="AH5787" s="500"/>
      <c r="AI5787" s="500"/>
      <c r="AJ5787" s="500"/>
      <c r="AK5787" s="500"/>
      <c r="AL5787" s="500"/>
      <c r="AM5787" s="500"/>
      <c r="AN5787" s="500"/>
      <c r="AO5787" s="500"/>
      <c r="AP5787" s="500"/>
    </row>
    <row r="5788" spans="1:42" ht="16.5" customHeight="1">
      <c r="A5788" s="439"/>
      <c r="B5788" s="439"/>
      <c r="C5788" s="439"/>
      <c r="D5788" s="439"/>
      <c r="E5788" s="439"/>
      <c r="F5788" s="439"/>
      <c r="G5788" s="451" t="s">
        <v>3406</v>
      </c>
      <c r="Z5788" s="500"/>
      <c r="AA5788" s="500"/>
      <c r="AB5788" s="500"/>
      <c r="AC5788" s="500"/>
      <c r="AD5788" s="500"/>
      <c r="AE5788" s="500"/>
      <c r="AF5788" s="500"/>
      <c r="AG5788" s="500"/>
      <c r="AH5788" s="500"/>
      <c r="AI5788" s="500"/>
      <c r="AJ5788" s="500"/>
      <c r="AK5788" s="500"/>
      <c r="AL5788" s="500"/>
      <c r="AM5788" s="500"/>
      <c r="AN5788" s="500"/>
      <c r="AO5788" s="500"/>
      <c r="AP5788" s="500"/>
    </row>
    <row r="5789" spans="1:42" ht="16.5" customHeight="1">
      <c r="A5789" s="434"/>
      <c r="B5789" s="437" t="s">
        <v>3995</v>
      </c>
      <c r="C5789" s="516">
        <f>E5789+D5789+F5789</f>
        <v>874551.4</v>
      </c>
      <c r="D5789" s="516">
        <f>SUMIF(N5757:N5788,M5789,D5757:D5788)</f>
        <v>874551.4</v>
      </c>
      <c r="E5789" s="516">
        <f>SUMIF(N5757:N5788,M5789,E5757:E5788)</f>
        <v>0</v>
      </c>
      <c r="F5789" s="516">
        <f>SUMIF(N5757:N5788,M5789,F5757:F5788)</f>
        <v>0</v>
      </c>
      <c r="G5789" s="451" t="s">
        <v>3996</v>
      </c>
      <c r="M5789" s="501" t="s">
        <v>3994</v>
      </c>
      <c r="Z5789" s="500"/>
      <c r="AA5789" s="500"/>
      <c r="AB5789" s="500"/>
      <c r="AC5789" s="500"/>
      <c r="AD5789" s="500"/>
      <c r="AE5789" s="500"/>
      <c r="AF5789" s="500"/>
      <c r="AG5789" s="500"/>
      <c r="AH5789" s="500"/>
      <c r="AI5789" s="500"/>
      <c r="AJ5789" s="500"/>
      <c r="AK5789" s="500"/>
      <c r="AL5789" s="500"/>
      <c r="AM5789" s="500"/>
      <c r="AN5789" s="500"/>
      <c r="AO5789" s="500"/>
      <c r="AP5789" s="500"/>
    </row>
    <row r="5790" spans="1:42" ht="16.5" customHeight="1">
      <c r="A5790" s="439"/>
      <c r="B5790" s="439"/>
      <c r="C5790" s="517"/>
      <c r="D5790" s="517"/>
      <c r="E5790" s="517"/>
      <c r="F5790" s="517"/>
      <c r="G5790" s="451" t="s">
        <v>3406</v>
      </c>
      <c r="Z5790" s="500"/>
      <c r="AA5790" s="500"/>
      <c r="AB5790" s="500"/>
      <c r="AC5790" s="500"/>
      <c r="AD5790" s="500"/>
      <c r="AE5790" s="500"/>
      <c r="AF5790" s="500"/>
      <c r="AG5790" s="500"/>
      <c r="AH5790" s="500"/>
      <c r="AI5790" s="500"/>
      <c r="AJ5790" s="500"/>
      <c r="AK5790" s="500"/>
      <c r="AL5790" s="500"/>
      <c r="AM5790" s="500"/>
      <c r="AN5790" s="500"/>
      <c r="AO5790" s="500"/>
      <c r="AP5790" s="500"/>
    </row>
    <row r="5791" spans="1:42" ht="16.5" customHeight="1">
      <c r="A5791" s="439"/>
      <c r="B5791" s="439"/>
      <c r="C5791" s="439"/>
      <c r="D5791" s="439"/>
      <c r="E5791" s="439"/>
      <c r="F5791" s="439"/>
      <c r="G5791" s="451" t="s">
        <v>3406</v>
      </c>
      <c r="Z5791" s="500"/>
      <c r="AA5791" s="500"/>
      <c r="AB5791" s="500"/>
      <c r="AC5791" s="500"/>
      <c r="AD5791" s="500"/>
      <c r="AE5791" s="500"/>
      <c r="AF5791" s="500"/>
      <c r="AG5791" s="500"/>
      <c r="AH5791" s="500"/>
      <c r="AI5791" s="500"/>
      <c r="AJ5791" s="500"/>
      <c r="AK5791" s="500"/>
      <c r="AL5791" s="500"/>
      <c r="AM5791" s="500"/>
      <c r="AN5791" s="500"/>
      <c r="AO5791" s="500"/>
      <c r="AP5791" s="500"/>
    </row>
    <row r="5792" spans="1:42" ht="16.5" customHeight="1">
      <c r="A5792" s="434" t="s">
        <v>3997</v>
      </c>
      <c r="B5792" s="505" t="str">
        <f>" 경비로 적용 : "&amp;TEXT(I5792,"#,##0"&amp;IF(I5792&lt;&gt;INT(I5792),".###",""))&amp;"  = "&amp;TEXT(C5792,"#,##0.0")&amp;""</f>
        <v xml:space="preserve"> 경비로 적용 : 874,551.4  = 874,551.4</v>
      </c>
      <c r="C5792" s="506">
        <f>E5792+D5792+F5792</f>
        <v>874551.4</v>
      </c>
      <c r="D5792" s="506">
        <f>IF(H5792=0,0,ROUNDDOWN(J5792*H5792,1))</f>
        <v>0</v>
      </c>
      <c r="E5792" s="506">
        <f>IF(H5792=0,0,ROUNDDOWN(K5792*H5792,1))</f>
        <v>0</v>
      </c>
      <c r="F5792" s="506">
        <f>IF(H5792=0,0,ROUNDDOWN(L5792*H5792,1))</f>
        <v>874551.4</v>
      </c>
      <c r="G5792" s="451" t="s">
        <v>3998</v>
      </c>
      <c r="H5792" s="507">
        <f>ROUNDUP(AB5792,14-LEN(ABS(INT(AB5792))))</f>
        <v>1</v>
      </c>
      <c r="I5792" s="508">
        <f>K5792+J5792+L5792</f>
        <v>874551.4</v>
      </c>
      <c r="J5792" s="456">
        <v>0</v>
      </c>
      <c r="K5792" s="456">
        <v>0</v>
      </c>
      <c r="L5792" s="518">
        <v>874551.4</v>
      </c>
      <c r="M5792" s="501" t="s">
        <v>3999</v>
      </c>
      <c r="N5792" s="501" t="s">
        <v>2354</v>
      </c>
      <c r="Z5792" s="501" t="s">
        <v>4000</v>
      </c>
      <c r="AA5792" s="501" t="s">
        <v>3418</v>
      </c>
      <c r="AB5792" s="512">
        <f>1</f>
        <v>1</v>
      </c>
      <c r="AC5792" s="500"/>
      <c r="AD5792" s="500"/>
      <c r="AE5792" s="500"/>
      <c r="AF5792" s="500"/>
      <c r="AG5792" s="500"/>
      <c r="AH5792" s="500"/>
      <c r="AI5792" s="500"/>
      <c r="AJ5792" s="500"/>
      <c r="AK5792" s="500"/>
      <c r="AL5792" s="500"/>
      <c r="AM5792" s="500"/>
      <c r="AN5792" s="500"/>
      <c r="AO5792" s="500"/>
      <c r="AP5792" s="500"/>
    </row>
    <row r="5793" spans="1:42" ht="16.5" customHeight="1">
      <c r="A5793" s="439"/>
      <c r="B5793" s="439"/>
      <c r="C5793" s="439"/>
      <c r="D5793" s="439"/>
      <c r="E5793" s="439"/>
      <c r="F5793" s="439"/>
      <c r="Z5793" s="500"/>
      <c r="AA5793" s="500"/>
      <c r="AB5793" s="500"/>
      <c r="AC5793" s="500"/>
      <c r="AD5793" s="500"/>
      <c r="AE5793" s="500"/>
      <c r="AF5793" s="500"/>
      <c r="AG5793" s="500"/>
      <c r="AH5793" s="500"/>
      <c r="AI5793" s="500"/>
      <c r="AJ5793" s="500"/>
      <c r="AK5793" s="500"/>
      <c r="AL5793" s="500"/>
      <c r="AM5793" s="500"/>
      <c r="AN5793" s="500"/>
      <c r="AO5793" s="500"/>
      <c r="AP5793" s="500"/>
    </row>
    <row r="5794" spans="1:42" ht="16.5" customHeight="1">
      <c r="A5794" s="439"/>
      <c r="B5794" s="439"/>
      <c r="C5794" s="439"/>
      <c r="D5794" s="439"/>
      <c r="E5794" s="439"/>
      <c r="F5794" s="439"/>
      <c r="Z5794" s="500"/>
      <c r="AA5794" s="500"/>
      <c r="AB5794" s="500"/>
      <c r="AC5794" s="500"/>
      <c r="AD5794" s="500"/>
      <c r="AE5794" s="500"/>
      <c r="AF5794" s="500"/>
      <c r="AG5794" s="500"/>
      <c r="AH5794" s="500"/>
      <c r="AI5794" s="500"/>
      <c r="AJ5794" s="500"/>
      <c r="AK5794" s="500"/>
      <c r="AL5794" s="500"/>
      <c r="AM5794" s="500"/>
      <c r="AN5794" s="500"/>
      <c r="AO5794" s="500"/>
      <c r="AP5794" s="500"/>
    </row>
    <row r="5795" spans="1:42" ht="16.5" customHeight="1">
      <c r="A5795" s="439"/>
      <c r="B5795" s="439"/>
      <c r="C5795" s="439"/>
      <c r="D5795" s="439"/>
      <c r="E5795" s="439"/>
      <c r="F5795" s="439"/>
      <c r="Z5795" s="500"/>
      <c r="AA5795" s="500"/>
      <c r="AB5795" s="500"/>
      <c r="AC5795" s="500"/>
      <c r="AD5795" s="500"/>
      <c r="AE5795" s="500"/>
      <c r="AF5795" s="500"/>
      <c r="AG5795" s="500"/>
      <c r="AH5795" s="500"/>
      <c r="AI5795" s="500"/>
      <c r="AJ5795" s="500"/>
      <c r="AK5795" s="500"/>
      <c r="AL5795" s="500"/>
      <c r="AM5795" s="500"/>
      <c r="AN5795" s="500"/>
      <c r="AO5795" s="500"/>
      <c r="AP5795" s="500"/>
    </row>
    <row r="5796" spans="1:42" ht="16.5" customHeight="1">
      <c r="A5796" s="439"/>
      <c r="B5796" s="439"/>
      <c r="C5796" s="439"/>
      <c r="D5796" s="439"/>
      <c r="E5796" s="439"/>
      <c r="F5796" s="439"/>
      <c r="Z5796" s="500"/>
      <c r="AA5796" s="500"/>
      <c r="AB5796" s="500"/>
      <c r="AC5796" s="500"/>
      <c r="AD5796" s="500"/>
      <c r="AE5796" s="500"/>
      <c r="AF5796" s="500"/>
      <c r="AG5796" s="500"/>
      <c r="AH5796" s="500"/>
      <c r="AI5796" s="500"/>
      <c r="AJ5796" s="500"/>
      <c r="AK5796" s="500"/>
      <c r="AL5796" s="500"/>
      <c r="AM5796" s="500"/>
      <c r="AN5796" s="500"/>
      <c r="AO5796" s="500"/>
      <c r="AP5796" s="500"/>
    </row>
    <row r="5797" spans="1:42" ht="16.5" customHeight="1">
      <c r="A5797" s="439"/>
      <c r="B5797" s="439"/>
      <c r="C5797" s="439"/>
      <c r="D5797" s="439"/>
      <c r="E5797" s="439"/>
      <c r="F5797" s="439"/>
      <c r="Z5797" s="500"/>
      <c r="AA5797" s="500"/>
      <c r="AB5797" s="500"/>
      <c r="AC5797" s="500"/>
      <c r="AD5797" s="500"/>
      <c r="AE5797" s="500"/>
      <c r="AF5797" s="500"/>
      <c r="AG5797" s="500"/>
      <c r="AH5797" s="500"/>
      <c r="AI5797" s="500"/>
      <c r="AJ5797" s="500"/>
      <c r="AK5797" s="500"/>
      <c r="AL5797" s="500"/>
      <c r="AM5797" s="500"/>
      <c r="AN5797" s="500"/>
      <c r="AO5797" s="500"/>
      <c r="AP5797" s="500"/>
    </row>
    <row r="5798" spans="1:42" ht="16.5" customHeight="1">
      <c r="A5798" s="439"/>
      <c r="B5798" s="439"/>
      <c r="C5798" s="439"/>
      <c r="D5798" s="439"/>
      <c r="E5798" s="439"/>
      <c r="F5798" s="439"/>
      <c r="Z5798" s="500"/>
      <c r="AA5798" s="500"/>
      <c r="AB5798" s="500"/>
      <c r="AC5798" s="500"/>
      <c r="AD5798" s="500"/>
      <c r="AE5798" s="500"/>
      <c r="AF5798" s="500"/>
      <c r="AG5798" s="500"/>
      <c r="AH5798" s="500"/>
      <c r="AI5798" s="500"/>
      <c r="AJ5798" s="500"/>
      <c r="AK5798" s="500"/>
      <c r="AL5798" s="500"/>
      <c r="AM5798" s="500"/>
      <c r="AN5798" s="500"/>
      <c r="AO5798" s="500"/>
      <c r="AP5798" s="500"/>
    </row>
    <row r="5799" spans="1:42" ht="16.5" customHeight="1">
      <c r="A5799" s="439"/>
      <c r="B5799" s="439"/>
      <c r="C5799" s="439"/>
      <c r="D5799" s="439"/>
      <c r="E5799" s="439"/>
      <c r="F5799" s="439"/>
      <c r="Z5799" s="500"/>
      <c r="AA5799" s="500"/>
      <c r="AB5799" s="500"/>
      <c r="AC5799" s="500"/>
      <c r="AD5799" s="500"/>
      <c r="AE5799" s="500"/>
      <c r="AF5799" s="500"/>
      <c r="AG5799" s="500"/>
      <c r="AH5799" s="500"/>
      <c r="AI5799" s="500"/>
      <c r="AJ5799" s="500"/>
      <c r="AK5799" s="500"/>
      <c r="AL5799" s="500"/>
      <c r="AM5799" s="500"/>
      <c r="AN5799" s="500"/>
      <c r="AO5799" s="500"/>
      <c r="AP5799" s="500"/>
    </row>
    <row r="5800" spans="1:42" ht="16.5" customHeight="1">
      <c r="A5800" s="439"/>
      <c r="B5800" s="439"/>
      <c r="C5800" s="439"/>
      <c r="D5800" s="439"/>
      <c r="E5800" s="439"/>
      <c r="F5800" s="439"/>
      <c r="Z5800" s="500"/>
      <c r="AA5800" s="500"/>
      <c r="AB5800" s="500"/>
      <c r="AC5800" s="500"/>
      <c r="AD5800" s="500"/>
      <c r="AE5800" s="500"/>
      <c r="AF5800" s="500"/>
      <c r="AG5800" s="500"/>
      <c r="AH5800" s="500"/>
      <c r="AI5800" s="500"/>
      <c r="AJ5800" s="500"/>
      <c r="AK5800" s="500"/>
      <c r="AL5800" s="500"/>
      <c r="AM5800" s="500"/>
      <c r="AN5800" s="500"/>
      <c r="AO5800" s="500"/>
      <c r="AP5800" s="500"/>
    </row>
    <row r="5801" spans="1:42" ht="16.5" customHeight="1">
      <c r="A5801" s="439"/>
      <c r="B5801" s="439"/>
      <c r="C5801" s="439"/>
      <c r="D5801" s="439"/>
      <c r="E5801" s="439"/>
      <c r="F5801" s="439"/>
      <c r="Z5801" s="500"/>
      <c r="AA5801" s="500"/>
      <c r="AB5801" s="500"/>
      <c r="AC5801" s="500"/>
      <c r="AD5801" s="500"/>
      <c r="AE5801" s="500"/>
      <c r="AF5801" s="500"/>
      <c r="AG5801" s="500"/>
      <c r="AH5801" s="500"/>
      <c r="AI5801" s="500"/>
      <c r="AJ5801" s="500"/>
      <c r="AK5801" s="500"/>
      <c r="AL5801" s="500"/>
      <c r="AM5801" s="500"/>
      <c r="AN5801" s="500"/>
      <c r="AO5801" s="500"/>
      <c r="AP5801" s="500"/>
    </row>
    <row r="5802" spans="1:42" ht="16.5" customHeight="1">
      <c r="A5802" s="439"/>
      <c r="B5802" s="439"/>
      <c r="C5802" s="439"/>
      <c r="D5802" s="439"/>
      <c r="E5802" s="439"/>
      <c r="F5802" s="439"/>
      <c r="Z5802" s="500"/>
      <c r="AA5802" s="500"/>
      <c r="AB5802" s="500"/>
      <c r="AC5802" s="500"/>
      <c r="AD5802" s="500"/>
      <c r="AE5802" s="500"/>
      <c r="AF5802" s="500"/>
      <c r="AG5802" s="500"/>
      <c r="AH5802" s="500"/>
      <c r="AI5802" s="500"/>
      <c r="AJ5802" s="500"/>
      <c r="AK5802" s="500"/>
      <c r="AL5802" s="500"/>
      <c r="AM5802" s="500"/>
      <c r="AN5802" s="500"/>
      <c r="AO5802" s="500"/>
      <c r="AP5802" s="500"/>
    </row>
    <row r="5803" spans="1:42" ht="16.5" customHeight="1">
      <c r="A5803" s="497"/>
      <c r="B5803" s="497"/>
      <c r="C5803" s="497"/>
      <c r="D5803" s="497"/>
      <c r="E5803" s="497"/>
      <c r="F5803" s="497"/>
      <c r="Z5803" s="500"/>
      <c r="AA5803" s="500"/>
      <c r="AB5803" s="500"/>
      <c r="AC5803" s="500"/>
      <c r="AD5803" s="500"/>
      <c r="AE5803" s="500"/>
      <c r="AF5803" s="500"/>
      <c r="AG5803" s="500"/>
      <c r="AH5803" s="500"/>
      <c r="AI5803" s="500"/>
      <c r="AJ5803" s="500"/>
      <c r="AK5803" s="500"/>
      <c r="AL5803" s="500"/>
      <c r="AM5803" s="500"/>
      <c r="AN5803" s="500"/>
      <c r="AO5803" s="500"/>
      <c r="AP5803" s="500"/>
    </row>
    <row r="5804" spans="1:42" ht="16.5" customHeight="1">
      <c r="A5804" s="616" t="s">
        <v>3487</v>
      </c>
      <c r="B5804" s="605"/>
      <c r="C5804" s="446">
        <f>E5804+D5804+F5804</f>
        <v>874551</v>
      </c>
      <c r="D5804" s="453">
        <f>ROUNDDOWN(SUMIF(N5757:N5792,M5804,D5757:D5792),0)</f>
        <v>0</v>
      </c>
      <c r="E5804" s="454">
        <f>ROUNDDOWN(SUMIF(N5757:N5792,M5804,E5757:E5792),0)</f>
        <v>0</v>
      </c>
      <c r="F5804" s="446">
        <f>ROUNDDOWN(SUMIF(N5757:N5792,M5804,F5757:F5792),0)</f>
        <v>874551</v>
      </c>
      <c r="M5804" s="501" t="s">
        <v>2354</v>
      </c>
      <c r="Z5804" s="500"/>
      <c r="AA5804" s="500"/>
      <c r="AB5804" s="500"/>
      <c r="AC5804" s="500"/>
      <c r="AD5804" s="500"/>
      <c r="AE5804" s="500"/>
      <c r="AF5804" s="500"/>
      <c r="AG5804" s="500"/>
      <c r="AH5804" s="500"/>
      <c r="AI5804" s="500"/>
      <c r="AJ5804" s="500"/>
      <c r="AK5804" s="500"/>
      <c r="AL5804" s="500"/>
      <c r="AM5804" s="500"/>
      <c r="AN5804" s="500"/>
      <c r="AO5804" s="500"/>
      <c r="AP5804" s="500"/>
    </row>
    <row r="5805" spans="1:42" ht="16.5" customHeight="1">
      <c r="A5805" s="502"/>
      <c r="B5805" s="503" t="s">
        <v>2221</v>
      </c>
      <c r="C5805" s="615">
        <f>C5854</f>
        <v>911618</v>
      </c>
      <c r="D5805" s="615">
        <f>D5854</f>
        <v>0</v>
      </c>
      <c r="E5805" s="615">
        <f>E5854</f>
        <v>0</v>
      </c>
      <c r="F5805" s="615">
        <f>F5854</f>
        <v>911618</v>
      </c>
      <c r="G5805" s="486" t="str">
        <f>HYPERLINK("#G"&amp;ROW(G5842),"_x0005_`BDCOD|D01201_x0007_`POSS|"&amp;ROW(G5807)&amp;"_x0007_`POSE|"&amp;ROW(G5842)&amp;"_x0007_`")</f>
        <v>_x0005_`BDCOD|D01201_x0007_`POSS|5807_x0007_`POSE|5842_x0007_`</v>
      </c>
      <c r="Z5805" s="500"/>
      <c r="AA5805" s="500"/>
      <c r="AB5805" s="500"/>
      <c r="AC5805" s="500"/>
      <c r="AD5805" s="500"/>
      <c r="AE5805" s="500"/>
      <c r="AF5805" s="500"/>
      <c r="AG5805" s="500"/>
      <c r="AH5805" s="500"/>
      <c r="AI5805" s="500"/>
      <c r="AJ5805" s="500"/>
      <c r="AK5805" s="500"/>
      <c r="AL5805" s="500"/>
      <c r="AM5805" s="500"/>
      <c r="AN5805" s="500"/>
      <c r="AO5805" s="500"/>
      <c r="AP5805" s="500"/>
    </row>
    <row r="5806" spans="1:42" ht="16.5" customHeight="1">
      <c r="A5806" s="485"/>
      <c r="B5806" s="503" t="s">
        <v>4013</v>
      </c>
      <c r="C5806" s="593"/>
      <c r="D5806" s="593"/>
      <c r="E5806" s="593"/>
      <c r="F5806" s="593"/>
      <c r="M5806" s="501" t="s">
        <v>2221</v>
      </c>
      <c r="Z5806" s="500"/>
      <c r="AA5806" s="500"/>
      <c r="AB5806" s="500"/>
      <c r="AC5806" s="500"/>
      <c r="AD5806" s="500"/>
      <c r="AE5806" s="500"/>
      <c r="AF5806" s="500"/>
      <c r="AG5806" s="500"/>
      <c r="AH5806" s="500"/>
      <c r="AI5806" s="500"/>
      <c r="AJ5806" s="500"/>
      <c r="AK5806" s="500"/>
      <c r="AL5806" s="500"/>
      <c r="AM5806" s="500"/>
      <c r="AN5806" s="500"/>
      <c r="AO5806" s="500"/>
      <c r="AP5806" s="500"/>
    </row>
    <row r="5807" spans="1:42" ht="16.5" customHeight="1">
      <c r="A5807" s="434"/>
      <c r="B5807" s="437" t="s">
        <v>3980</v>
      </c>
      <c r="C5807" s="504"/>
      <c r="D5807" s="504"/>
      <c r="E5807" s="504"/>
      <c r="F5807" s="504"/>
      <c r="G5807" s="451" t="s">
        <v>3981</v>
      </c>
      <c r="Z5807" s="500"/>
      <c r="AA5807" s="500"/>
      <c r="AB5807" s="500"/>
      <c r="AC5807" s="500"/>
      <c r="AD5807" s="500"/>
      <c r="AE5807" s="500"/>
      <c r="AF5807" s="500"/>
      <c r="AG5807" s="500"/>
      <c r="AH5807" s="500"/>
      <c r="AI5807" s="500"/>
      <c r="AJ5807" s="500"/>
      <c r="AK5807" s="500"/>
      <c r="AL5807" s="500"/>
      <c r="AM5807" s="500"/>
      <c r="AN5807" s="500"/>
      <c r="AO5807" s="500"/>
      <c r="AP5807" s="500"/>
    </row>
    <row r="5808" spans="1:42" ht="16.5" customHeight="1">
      <c r="A5808" s="439"/>
      <c r="B5808" s="439"/>
      <c r="C5808" s="439"/>
      <c r="D5808" s="439"/>
      <c r="E5808" s="439"/>
      <c r="F5808" s="439"/>
      <c r="G5808" s="451" t="s">
        <v>3406</v>
      </c>
      <c r="Z5808" s="500"/>
      <c r="AA5808" s="500"/>
      <c r="AB5808" s="500"/>
      <c r="AC5808" s="500"/>
      <c r="AD5808" s="500"/>
      <c r="AE5808" s="500"/>
      <c r="AF5808" s="500"/>
      <c r="AG5808" s="500"/>
      <c r="AH5808" s="500"/>
      <c r="AI5808" s="500"/>
      <c r="AJ5808" s="500"/>
      <c r="AK5808" s="500"/>
      <c r="AL5808" s="500"/>
      <c r="AM5808" s="500"/>
      <c r="AN5808" s="500"/>
      <c r="AO5808" s="500"/>
      <c r="AP5808" s="500"/>
    </row>
    <row r="5809" spans="1:42" ht="16.5" customHeight="1">
      <c r="A5809" s="434"/>
      <c r="B5809" s="437" t="s">
        <v>4014</v>
      </c>
      <c r="C5809" s="439"/>
      <c r="D5809" s="439"/>
      <c r="E5809" s="439"/>
      <c r="F5809" s="439"/>
      <c r="G5809" s="451" t="s">
        <v>4015</v>
      </c>
      <c r="Z5809" s="500"/>
      <c r="AA5809" s="500"/>
      <c r="AB5809" s="500"/>
      <c r="AC5809" s="500"/>
      <c r="AD5809" s="500"/>
      <c r="AE5809" s="500"/>
      <c r="AF5809" s="500"/>
      <c r="AG5809" s="500"/>
      <c r="AH5809" s="500"/>
      <c r="AI5809" s="500"/>
      <c r="AJ5809" s="500"/>
      <c r="AK5809" s="500"/>
      <c r="AL5809" s="500"/>
      <c r="AM5809" s="500"/>
      <c r="AN5809" s="500"/>
      <c r="AO5809" s="500"/>
      <c r="AP5809" s="500"/>
    </row>
    <row r="5810" spans="1:42" ht="16.5" customHeight="1">
      <c r="A5810" s="439"/>
      <c r="B5810" s="439"/>
      <c r="C5810" s="439"/>
      <c r="D5810" s="439"/>
      <c r="E5810" s="439"/>
      <c r="F5810" s="439"/>
      <c r="G5810" s="451" t="s">
        <v>3406</v>
      </c>
      <c r="Z5810" s="500"/>
      <c r="AA5810" s="500"/>
      <c r="AB5810" s="500"/>
      <c r="AC5810" s="500"/>
      <c r="AD5810" s="500"/>
      <c r="AE5810" s="500"/>
      <c r="AF5810" s="500"/>
      <c r="AG5810" s="500"/>
      <c r="AH5810" s="500"/>
      <c r="AI5810" s="500"/>
      <c r="AJ5810" s="500"/>
      <c r="AK5810" s="500"/>
      <c r="AL5810" s="500"/>
      <c r="AM5810" s="500"/>
      <c r="AN5810" s="500"/>
      <c r="AO5810" s="500"/>
      <c r="AP5810" s="500"/>
    </row>
    <row r="5811" spans="1:42" ht="16.5" customHeight="1">
      <c r="A5811" s="439"/>
      <c r="B5811" s="439"/>
      <c r="C5811" s="439"/>
      <c r="D5811" s="439"/>
      <c r="E5811" s="439"/>
      <c r="F5811" s="439"/>
      <c r="G5811" s="451" t="s">
        <v>3406</v>
      </c>
      <c r="Z5811" s="500"/>
      <c r="AA5811" s="500"/>
      <c r="AB5811" s="500"/>
      <c r="AC5811" s="500"/>
      <c r="AD5811" s="500"/>
      <c r="AE5811" s="500"/>
      <c r="AF5811" s="500"/>
      <c r="AG5811" s="500"/>
      <c r="AH5811" s="500"/>
      <c r="AI5811" s="500"/>
      <c r="AJ5811" s="500"/>
      <c r="AK5811" s="500"/>
      <c r="AL5811" s="500"/>
      <c r="AM5811" s="500"/>
      <c r="AN5811" s="500"/>
      <c r="AO5811" s="500"/>
      <c r="AP5811" s="500"/>
    </row>
    <row r="5812" spans="1:42" ht="16.5" customHeight="1">
      <c r="A5812" s="434"/>
      <c r="B5812" s="437" t="s">
        <v>3984</v>
      </c>
      <c r="C5812" s="439"/>
      <c r="D5812" s="439"/>
      <c r="E5812" s="439"/>
      <c r="F5812" s="439"/>
      <c r="G5812" s="451" t="s">
        <v>3985</v>
      </c>
      <c r="Z5812" s="500"/>
      <c r="AA5812" s="500"/>
      <c r="AB5812" s="500"/>
      <c r="AC5812" s="500"/>
      <c r="AD5812" s="500"/>
      <c r="AE5812" s="500"/>
      <c r="AF5812" s="500"/>
      <c r="AG5812" s="500"/>
      <c r="AH5812" s="500"/>
      <c r="AI5812" s="500"/>
      <c r="AJ5812" s="500"/>
      <c r="AK5812" s="500"/>
      <c r="AL5812" s="500"/>
      <c r="AM5812" s="500"/>
      <c r="AN5812" s="500"/>
      <c r="AO5812" s="500"/>
      <c r="AP5812" s="500"/>
    </row>
    <row r="5813" spans="1:42" ht="16.5" customHeight="1">
      <c r="A5813" s="439"/>
      <c r="B5813" s="439"/>
      <c r="C5813" s="439"/>
      <c r="D5813" s="439"/>
      <c r="E5813" s="439"/>
      <c r="F5813" s="439"/>
      <c r="G5813" s="451" t="s">
        <v>3406</v>
      </c>
      <c r="Z5813" s="500"/>
      <c r="AA5813" s="500"/>
      <c r="AB5813" s="500"/>
      <c r="AC5813" s="500"/>
      <c r="AD5813" s="500"/>
      <c r="AE5813" s="500"/>
      <c r="AF5813" s="500"/>
      <c r="AG5813" s="500"/>
      <c r="AH5813" s="500"/>
      <c r="AI5813" s="500"/>
      <c r="AJ5813" s="500"/>
      <c r="AK5813" s="500"/>
      <c r="AL5813" s="500"/>
      <c r="AM5813" s="500"/>
      <c r="AN5813" s="500"/>
      <c r="AO5813" s="500"/>
      <c r="AP5813" s="500"/>
    </row>
    <row r="5814" spans="1:42" ht="16.5" customHeight="1">
      <c r="A5814" s="439"/>
      <c r="B5814" s="439"/>
      <c r="C5814" s="439"/>
      <c r="D5814" s="439"/>
      <c r="E5814" s="439"/>
      <c r="F5814" s="439"/>
      <c r="G5814" s="451" t="s">
        <v>3406</v>
      </c>
      <c r="Z5814" s="500"/>
      <c r="AA5814" s="500"/>
      <c r="AB5814" s="500"/>
      <c r="AC5814" s="500"/>
      <c r="AD5814" s="500"/>
      <c r="AE5814" s="500"/>
      <c r="AF5814" s="500"/>
      <c r="AG5814" s="500"/>
      <c r="AH5814" s="500"/>
      <c r="AI5814" s="500"/>
      <c r="AJ5814" s="500"/>
      <c r="AK5814" s="500"/>
      <c r="AL5814" s="500"/>
      <c r="AM5814" s="500"/>
      <c r="AN5814" s="500"/>
      <c r="AO5814" s="500"/>
      <c r="AP5814" s="500"/>
    </row>
    <row r="5815" spans="1:42" ht="16.5" customHeight="1">
      <c r="A5815" s="434"/>
      <c r="B5815" s="437" t="s">
        <v>3986</v>
      </c>
      <c r="C5815" s="439"/>
      <c r="D5815" s="439"/>
      <c r="E5815" s="439"/>
      <c r="F5815" s="439"/>
      <c r="G5815" s="451" t="s">
        <v>3987</v>
      </c>
      <c r="Z5815" s="500"/>
      <c r="AA5815" s="500"/>
      <c r="AB5815" s="500"/>
      <c r="AC5815" s="500"/>
      <c r="AD5815" s="500"/>
      <c r="AE5815" s="500"/>
      <c r="AF5815" s="500"/>
      <c r="AG5815" s="500"/>
      <c r="AH5815" s="500"/>
      <c r="AI5815" s="500"/>
      <c r="AJ5815" s="500"/>
      <c r="AK5815" s="500"/>
      <c r="AL5815" s="500"/>
      <c r="AM5815" s="500"/>
      <c r="AN5815" s="500"/>
      <c r="AO5815" s="500"/>
      <c r="AP5815" s="500"/>
    </row>
    <row r="5816" spans="1:42" ht="16.5" customHeight="1">
      <c r="A5816" s="439"/>
      <c r="B5816" s="439"/>
      <c r="C5816" s="439"/>
      <c r="D5816" s="439"/>
      <c r="E5816" s="439"/>
      <c r="F5816" s="439"/>
      <c r="G5816" s="451" t="s">
        <v>3406</v>
      </c>
      <c r="Z5816" s="500"/>
      <c r="AA5816" s="500"/>
      <c r="AB5816" s="500"/>
      <c r="AC5816" s="500"/>
      <c r="AD5816" s="500"/>
      <c r="AE5816" s="500"/>
      <c r="AF5816" s="500"/>
      <c r="AG5816" s="500"/>
      <c r="AH5816" s="500"/>
      <c r="AI5816" s="500"/>
      <c r="AJ5816" s="500"/>
      <c r="AK5816" s="500"/>
      <c r="AL5816" s="500"/>
      <c r="AM5816" s="500"/>
      <c r="AN5816" s="500"/>
      <c r="AO5816" s="500"/>
      <c r="AP5816" s="500"/>
    </row>
    <row r="5817" spans="1:42" ht="16.5" customHeight="1">
      <c r="A5817" s="439"/>
      <c r="B5817" s="439"/>
      <c r="C5817" s="439"/>
      <c r="D5817" s="439"/>
      <c r="E5817" s="439"/>
      <c r="F5817" s="439"/>
      <c r="G5817" s="451" t="s">
        <v>3406</v>
      </c>
      <c r="Z5817" s="500"/>
      <c r="AA5817" s="500"/>
      <c r="AB5817" s="500"/>
      <c r="AC5817" s="500"/>
      <c r="AD5817" s="500"/>
      <c r="AE5817" s="500"/>
      <c r="AF5817" s="500"/>
      <c r="AG5817" s="500"/>
      <c r="AH5817" s="500"/>
      <c r="AI5817" s="500"/>
      <c r="AJ5817" s="500"/>
      <c r="AK5817" s="500"/>
      <c r="AL5817" s="500"/>
      <c r="AM5817" s="500"/>
      <c r="AN5817" s="500"/>
      <c r="AO5817" s="500"/>
      <c r="AP5817" s="500"/>
    </row>
    <row r="5818" spans="1:42" ht="16.5" customHeight="1">
      <c r="A5818" s="434"/>
      <c r="B5818" s="437" t="str">
        <f>" L = "&amp;Z5818&amp;" , V = "&amp;AD5818&amp;" , t = "&amp;AH5818&amp;"  , T = "&amp;AL5818&amp;"-"&amp;AN5818&amp;""</f>
        <v xml:space="preserve"> L = 1200 , V = 2500 , t = 2  , T = 480-30</v>
      </c>
      <c r="C5818" s="439"/>
      <c r="D5818" s="439"/>
      <c r="E5818" s="439"/>
      <c r="F5818" s="439"/>
      <c r="G5818" s="451" t="s">
        <v>4016</v>
      </c>
      <c r="Z5818" s="515">
        <v>1200</v>
      </c>
      <c r="AA5818" s="501" t="s">
        <v>3418</v>
      </c>
      <c r="AB5818" s="512">
        <f>Z5818</f>
        <v>1200</v>
      </c>
      <c r="AC5818" s="514" t="s">
        <v>3427</v>
      </c>
      <c r="AD5818" s="515">
        <v>2500</v>
      </c>
      <c r="AE5818" s="501" t="s">
        <v>3418</v>
      </c>
      <c r="AF5818" s="512">
        <f>AD5818</f>
        <v>2500</v>
      </c>
      <c r="AG5818" s="514" t="s">
        <v>3427</v>
      </c>
      <c r="AH5818" s="515">
        <v>2</v>
      </c>
      <c r="AI5818" s="501" t="s">
        <v>3418</v>
      </c>
      <c r="AJ5818" s="512">
        <f>AH5818</f>
        <v>2</v>
      </c>
      <c r="AK5818" s="514" t="s">
        <v>3427</v>
      </c>
      <c r="AL5818" s="515">
        <v>480</v>
      </c>
      <c r="AM5818" s="501" t="s">
        <v>3474</v>
      </c>
      <c r="AN5818" s="515">
        <v>30</v>
      </c>
      <c r="AO5818" s="501" t="s">
        <v>3418</v>
      </c>
      <c r="AP5818" s="512">
        <f>AL5818-AN5818</f>
        <v>450</v>
      </c>
    </row>
    <row r="5819" spans="1:42" ht="16.5" customHeight="1">
      <c r="A5819" s="439"/>
      <c r="B5819" s="439"/>
      <c r="C5819" s="439"/>
      <c r="D5819" s="439"/>
      <c r="E5819" s="439"/>
      <c r="F5819" s="439"/>
      <c r="G5819" s="451" t="s">
        <v>3406</v>
      </c>
      <c r="Z5819" s="500"/>
      <c r="AA5819" s="500"/>
      <c r="AB5819" s="500"/>
      <c r="AC5819" s="500"/>
      <c r="AD5819" s="500"/>
      <c r="AE5819" s="500"/>
      <c r="AF5819" s="500"/>
      <c r="AG5819" s="500"/>
      <c r="AH5819" s="500"/>
      <c r="AI5819" s="500"/>
      <c r="AJ5819" s="500"/>
      <c r="AK5819" s="500"/>
      <c r="AL5819" s="500"/>
      <c r="AM5819" s="500"/>
      <c r="AN5819" s="500"/>
      <c r="AO5819" s="500"/>
      <c r="AP5819" s="500"/>
    </row>
    <row r="5820" spans="1:42" ht="16.5" customHeight="1">
      <c r="A5820" s="439"/>
      <c r="B5820" s="439"/>
      <c r="C5820" s="439"/>
      <c r="D5820" s="439"/>
      <c r="E5820" s="439"/>
      <c r="F5820" s="439"/>
      <c r="G5820" s="451" t="s">
        <v>3406</v>
      </c>
      <c r="Z5820" s="500"/>
      <c r="AA5820" s="500"/>
      <c r="AB5820" s="500"/>
      <c r="AC5820" s="500"/>
      <c r="AD5820" s="500"/>
      <c r="AE5820" s="500"/>
      <c r="AF5820" s="500"/>
      <c r="AG5820" s="500"/>
      <c r="AH5820" s="500"/>
      <c r="AI5820" s="500"/>
      <c r="AJ5820" s="500"/>
      <c r="AK5820" s="500"/>
      <c r="AL5820" s="500"/>
      <c r="AM5820" s="500"/>
      <c r="AN5820" s="500"/>
      <c r="AO5820" s="500"/>
      <c r="AP5820" s="500"/>
    </row>
    <row r="5821" spans="1:42" ht="16.5" customHeight="1">
      <c r="A5821" s="439"/>
      <c r="B5821" s="439"/>
      <c r="C5821" s="439"/>
      <c r="D5821" s="439"/>
      <c r="E5821" s="439"/>
      <c r="F5821" s="439"/>
      <c r="G5821" s="451" t="s">
        <v>3406</v>
      </c>
      <c r="Z5821" s="500"/>
      <c r="AA5821" s="500"/>
      <c r="AB5821" s="500"/>
      <c r="AC5821" s="500"/>
      <c r="AD5821" s="500"/>
      <c r="AE5821" s="500"/>
      <c r="AF5821" s="500"/>
      <c r="AG5821" s="500"/>
      <c r="AH5821" s="500"/>
      <c r="AI5821" s="500"/>
      <c r="AJ5821" s="500"/>
      <c r="AK5821" s="500"/>
      <c r="AL5821" s="500"/>
      <c r="AM5821" s="500"/>
      <c r="AN5821" s="500"/>
      <c r="AO5821" s="500"/>
      <c r="AP5821" s="500"/>
    </row>
    <row r="5822" spans="1:42" ht="16.5" customHeight="1">
      <c r="A5822" s="434"/>
      <c r="B5822" s="437" t="str">
        <f>" N = V*T /( "&amp;AD5822&amp;"*L+V*"&amp;AJ5822&amp;" ) = "&amp;AM5822&amp;" 회/일 "</f>
        <v xml:space="preserve"> N = V*T /( 120*L+V*2 ) = 7.55 회/일 </v>
      </c>
      <c r="C5822" s="439"/>
      <c r="D5822" s="439"/>
      <c r="E5822" s="439"/>
      <c r="F5822" s="439"/>
      <c r="G5822" s="451" t="s">
        <v>3989</v>
      </c>
      <c r="Z5822" s="512">
        <f>AF5818</f>
        <v>2500</v>
      </c>
      <c r="AA5822" s="501" t="s">
        <v>3368</v>
      </c>
      <c r="AB5822" s="512">
        <f>AP5818</f>
        <v>450</v>
      </c>
      <c r="AC5822" s="501" t="s">
        <v>3463</v>
      </c>
      <c r="AD5822" s="515">
        <v>120</v>
      </c>
      <c r="AE5822" s="501" t="s">
        <v>3368</v>
      </c>
      <c r="AF5822" s="512">
        <f>AB5818</f>
        <v>1200</v>
      </c>
      <c r="AG5822" s="501" t="s">
        <v>3468</v>
      </c>
      <c r="AH5822" s="512">
        <f>AF5818</f>
        <v>2500</v>
      </c>
      <c r="AI5822" s="501" t="s">
        <v>3368</v>
      </c>
      <c r="AJ5822" s="515">
        <v>2</v>
      </c>
      <c r="AK5822" s="501" t="s">
        <v>3464</v>
      </c>
      <c r="AL5822" s="501" t="s">
        <v>3418</v>
      </c>
      <c r="AM5822" s="512" t="str">
        <f>TEXT(ROUND(AF5818*AP5818/(AD5822*AB5818+AF5818*AJ5822),2),"#,0.00")</f>
        <v>7.55</v>
      </c>
      <c r="AN5822" s="500"/>
      <c r="AO5822" s="500"/>
      <c r="AP5822" s="500"/>
    </row>
    <row r="5823" spans="1:42" ht="16.5" customHeight="1">
      <c r="A5823" s="439"/>
      <c r="B5823" s="439"/>
      <c r="C5823" s="439"/>
      <c r="D5823" s="439"/>
      <c r="E5823" s="439"/>
      <c r="F5823" s="439"/>
      <c r="G5823" s="451" t="s">
        <v>3406</v>
      </c>
      <c r="Z5823" s="500"/>
      <c r="AA5823" s="500"/>
      <c r="AB5823" s="500"/>
      <c r="AC5823" s="500"/>
      <c r="AD5823" s="500"/>
      <c r="AE5823" s="500"/>
      <c r="AF5823" s="500"/>
      <c r="AG5823" s="500"/>
      <c r="AH5823" s="500"/>
      <c r="AI5823" s="500"/>
      <c r="AJ5823" s="500"/>
      <c r="AK5823" s="500"/>
      <c r="AL5823" s="500"/>
      <c r="AM5823" s="500"/>
      <c r="AN5823" s="500"/>
      <c r="AO5823" s="500"/>
      <c r="AP5823" s="500"/>
    </row>
    <row r="5824" spans="1:42" ht="16.5" customHeight="1">
      <c r="A5824" s="439"/>
      <c r="B5824" s="439"/>
      <c r="C5824" s="439"/>
      <c r="D5824" s="439"/>
      <c r="E5824" s="439"/>
      <c r="F5824" s="439"/>
      <c r="G5824" s="451" t="s">
        <v>3406</v>
      </c>
      <c r="Z5824" s="500"/>
      <c r="AA5824" s="500"/>
      <c r="AB5824" s="500"/>
      <c r="AC5824" s="500"/>
      <c r="AD5824" s="500"/>
      <c r="AE5824" s="500"/>
      <c r="AF5824" s="500"/>
      <c r="AG5824" s="500"/>
      <c r="AH5824" s="500"/>
      <c r="AI5824" s="500"/>
      <c r="AJ5824" s="500"/>
      <c r="AK5824" s="500"/>
      <c r="AL5824" s="500"/>
      <c r="AM5824" s="500"/>
      <c r="AN5824" s="500"/>
      <c r="AO5824" s="500"/>
      <c r="AP5824" s="500"/>
    </row>
    <row r="5825" spans="1:42" ht="16.5" customHeight="1">
      <c r="A5825" s="439"/>
      <c r="B5825" s="439"/>
      <c r="C5825" s="439"/>
      <c r="D5825" s="439"/>
      <c r="E5825" s="439"/>
      <c r="F5825" s="439"/>
      <c r="G5825" s="451" t="s">
        <v>3406</v>
      </c>
      <c r="Z5825" s="500"/>
      <c r="AA5825" s="500"/>
      <c r="AB5825" s="500"/>
      <c r="AC5825" s="500"/>
      <c r="AD5825" s="500"/>
      <c r="AE5825" s="500"/>
      <c r="AF5825" s="500"/>
      <c r="AG5825" s="500"/>
      <c r="AH5825" s="500"/>
      <c r="AI5825" s="500"/>
      <c r="AJ5825" s="500"/>
      <c r="AK5825" s="500"/>
      <c r="AL5825" s="500"/>
      <c r="AM5825" s="500"/>
      <c r="AN5825" s="500"/>
      <c r="AO5825" s="500"/>
      <c r="AP5825" s="500"/>
    </row>
    <row r="5826" spans="1:42" ht="16.5" customHeight="1">
      <c r="A5826" s="434"/>
      <c r="B5826" s="437" t="str">
        <f>" Q = N*"&amp;AB5826&amp;" ㎏ = "&amp;AD5826&amp;"  kg/일 "</f>
        <v xml:space="preserve"> Q = N*25 ㎏ = 188.75  kg/일 </v>
      </c>
      <c r="C5826" s="439"/>
      <c r="D5826" s="439"/>
      <c r="E5826" s="439"/>
      <c r="F5826" s="439"/>
      <c r="G5826" s="451" t="s">
        <v>3990</v>
      </c>
      <c r="Z5826" s="512" t="str">
        <f>AM5822</f>
        <v>7.55</v>
      </c>
      <c r="AA5826" s="501" t="s">
        <v>3368</v>
      </c>
      <c r="AB5826" s="515">
        <v>25</v>
      </c>
      <c r="AC5826" s="501" t="s">
        <v>3418</v>
      </c>
      <c r="AD5826" s="512" t="str">
        <f>TEXT(ROUND(AM5822*AB5826,2),"#,0.00")</f>
        <v>188.75</v>
      </c>
      <c r="AE5826" s="500"/>
      <c r="AF5826" s="500"/>
      <c r="AG5826" s="500"/>
      <c r="AH5826" s="500"/>
      <c r="AI5826" s="500"/>
      <c r="AJ5826" s="500"/>
      <c r="AK5826" s="500"/>
      <c r="AL5826" s="500"/>
      <c r="AM5826" s="500"/>
      <c r="AN5826" s="500"/>
      <c r="AO5826" s="500"/>
      <c r="AP5826" s="500"/>
    </row>
    <row r="5827" spans="1:42" ht="16.5" customHeight="1">
      <c r="A5827" s="439"/>
      <c r="B5827" s="439"/>
      <c r="C5827" s="439"/>
      <c r="D5827" s="439"/>
      <c r="E5827" s="439"/>
      <c r="F5827" s="439"/>
      <c r="G5827" s="451" t="s">
        <v>3406</v>
      </c>
      <c r="Z5827" s="500"/>
      <c r="AA5827" s="500"/>
      <c r="AB5827" s="500"/>
      <c r="AC5827" s="500"/>
      <c r="AD5827" s="500"/>
      <c r="AE5827" s="500"/>
      <c r="AF5827" s="500"/>
      <c r="AG5827" s="500"/>
      <c r="AH5827" s="500"/>
      <c r="AI5827" s="500"/>
      <c r="AJ5827" s="500"/>
      <c r="AK5827" s="500"/>
      <c r="AL5827" s="500"/>
      <c r="AM5827" s="500"/>
      <c r="AN5827" s="500"/>
      <c r="AO5827" s="500"/>
      <c r="AP5827" s="500"/>
    </row>
    <row r="5828" spans="1:42" ht="16.5" customHeight="1">
      <c r="A5828" s="439"/>
      <c r="B5828" s="439"/>
      <c r="C5828" s="439"/>
      <c r="D5828" s="439"/>
      <c r="E5828" s="439"/>
      <c r="F5828" s="439"/>
      <c r="G5828" s="451" t="s">
        <v>3406</v>
      </c>
      <c r="Z5828" s="500"/>
      <c r="AA5828" s="500"/>
      <c r="AB5828" s="500"/>
      <c r="AC5828" s="500"/>
      <c r="AD5828" s="500"/>
      <c r="AE5828" s="500"/>
      <c r="AF5828" s="500"/>
      <c r="AG5828" s="500"/>
      <c r="AH5828" s="500"/>
      <c r="AI5828" s="500"/>
      <c r="AJ5828" s="500"/>
      <c r="AK5828" s="500"/>
      <c r="AL5828" s="500"/>
      <c r="AM5828" s="500"/>
      <c r="AN5828" s="500"/>
      <c r="AO5828" s="500"/>
      <c r="AP5828" s="500"/>
    </row>
    <row r="5829" spans="1:42" ht="16.5" customHeight="1">
      <c r="A5829" s="439"/>
      <c r="B5829" s="439"/>
      <c r="C5829" s="439"/>
      <c r="D5829" s="439"/>
      <c r="E5829" s="439"/>
      <c r="F5829" s="439"/>
      <c r="G5829" s="451" t="s">
        <v>3406</v>
      </c>
      <c r="Z5829" s="500"/>
      <c r="AA5829" s="500"/>
      <c r="AB5829" s="500"/>
      <c r="AC5829" s="500"/>
      <c r="AD5829" s="500"/>
      <c r="AE5829" s="500"/>
      <c r="AF5829" s="500"/>
      <c r="AG5829" s="500"/>
      <c r="AH5829" s="500"/>
      <c r="AI5829" s="500"/>
      <c r="AJ5829" s="500"/>
      <c r="AK5829" s="500"/>
      <c r="AL5829" s="500"/>
      <c r="AM5829" s="500"/>
      <c r="AN5829" s="500"/>
      <c r="AO5829" s="500"/>
      <c r="AP5829" s="500"/>
    </row>
    <row r="5830" spans="1:42" ht="16.5" customHeight="1">
      <c r="A5830" s="434"/>
      <c r="B5830" s="437" t="str">
        <f>" k = "&amp;Z5830&amp;" kg /Q"</f>
        <v xml:space="preserve"> k = 1000 kg /Q</v>
      </c>
      <c r="C5830" s="439"/>
      <c r="D5830" s="439"/>
      <c r="E5830" s="439"/>
      <c r="F5830" s="439"/>
      <c r="G5830" s="451" t="s">
        <v>3991</v>
      </c>
      <c r="Z5830" s="515">
        <v>1000</v>
      </c>
      <c r="AA5830" s="501" t="s">
        <v>3428</v>
      </c>
      <c r="AB5830" s="512" t="str">
        <f>AD5826</f>
        <v>188.75</v>
      </c>
      <c r="AC5830" s="501" t="s">
        <v>3418</v>
      </c>
      <c r="AD5830" s="512">
        <f>ROUND(Z5830/AD5826,13)</f>
        <v>5.2980132450330997</v>
      </c>
      <c r="AE5830" s="500"/>
      <c r="AF5830" s="500"/>
      <c r="AG5830" s="500"/>
      <c r="AH5830" s="500"/>
      <c r="AI5830" s="500"/>
      <c r="AJ5830" s="500"/>
      <c r="AK5830" s="500"/>
      <c r="AL5830" s="500"/>
      <c r="AM5830" s="500"/>
      <c r="AN5830" s="500"/>
      <c r="AO5830" s="500"/>
      <c r="AP5830" s="500"/>
    </row>
    <row r="5831" spans="1:42" ht="16.5" customHeight="1">
      <c r="A5831" s="439"/>
      <c r="B5831" s="439"/>
      <c r="C5831" s="439"/>
      <c r="D5831" s="439"/>
      <c r="E5831" s="439"/>
      <c r="F5831" s="439"/>
      <c r="G5831" s="451" t="s">
        <v>3406</v>
      </c>
      <c r="Z5831" s="500"/>
      <c r="AA5831" s="500"/>
      <c r="AB5831" s="500"/>
      <c r="AC5831" s="500"/>
      <c r="AD5831" s="500"/>
      <c r="AE5831" s="500"/>
      <c r="AF5831" s="500"/>
      <c r="AG5831" s="500"/>
      <c r="AH5831" s="500"/>
      <c r="AI5831" s="500"/>
      <c r="AJ5831" s="500"/>
      <c r="AK5831" s="500"/>
      <c r="AL5831" s="500"/>
      <c r="AM5831" s="500"/>
      <c r="AN5831" s="500"/>
      <c r="AO5831" s="500"/>
      <c r="AP5831" s="500"/>
    </row>
    <row r="5832" spans="1:42" ht="16.5" customHeight="1">
      <c r="A5832" s="439"/>
      <c r="B5832" s="439"/>
      <c r="C5832" s="439"/>
      <c r="D5832" s="439"/>
      <c r="E5832" s="439"/>
      <c r="F5832" s="439"/>
      <c r="G5832" s="451" t="s">
        <v>3406</v>
      </c>
      <c r="Z5832" s="500"/>
      <c r="AA5832" s="500"/>
      <c r="AB5832" s="500"/>
      <c r="AC5832" s="500"/>
      <c r="AD5832" s="500"/>
      <c r="AE5832" s="500"/>
      <c r="AF5832" s="500"/>
      <c r="AG5832" s="500"/>
      <c r="AH5832" s="500"/>
      <c r="AI5832" s="500"/>
      <c r="AJ5832" s="500"/>
      <c r="AK5832" s="500"/>
      <c r="AL5832" s="500"/>
      <c r="AM5832" s="500"/>
      <c r="AN5832" s="500"/>
      <c r="AO5832" s="500"/>
      <c r="AP5832" s="500"/>
    </row>
    <row r="5833" spans="1:42" ht="16.5" customHeight="1">
      <c r="A5833" s="439"/>
      <c r="B5833" s="439"/>
      <c r="C5833" s="439"/>
      <c r="D5833" s="439"/>
      <c r="E5833" s="439"/>
      <c r="F5833" s="439"/>
      <c r="G5833" s="451" t="s">
        <v>3406</v>
      </c>
      <c r="Z5833" s="500"/>
      <c r="AA5833" s="500"/>
      <c r="AB5833" s="500"/>
      <c r="AC5833" s="500"/>
      <c r="AD5833" s="500"/>
      <c r="AE5833" s="500"/>
      <c r="AF5833" s="500"/>
      <c r="AG5833" s="500"/>
      <c r="AH5833" s="500"/>
      <c r="AI5833" s="500"/>
      <c r="AJ5833" s="500"/>
      <c r="AK5833" s="500"/>
      <c r="AL5833" s="500"/>
      <c r="AM5833" s="500"/>
      <c r="AN5833" s="500"/>
      <c r="AO5833" s="500"/>
      <c r="AP5833" s="500"/>
    </row>
    <row r="5834" spans="1:42" ht="16.5" customHeight="1">
      <c r="A5834" s="434" t="s">
        <v>3992</v>
      </c>
      <c r="B5834" s="505" t="str">
        <f>" 인    부: "&amp;TEXT(I5834,"#,##0"&amp;IF(I5834&lt;&gt;INT(I5834),".###",""))&amp;"*k = "&amp;TEXT(C5834,"#,##0.0")&amp;" 원 "</f>
        <v xml:space="preserve"> 인    부: 172,068*k = 911,618.5 원 </v>
      </c>
      <c r="C5834" s="506">
        <f>E5834+D5834+F5834</f>
        <v>911618.5</v>
      </c>
      <c r="D5834" s="506">
        <f>IF(H5834=0,0,ROUNDDOWN(J5834*H5834,1))</f>
        <v>911618.5</v>
      </c>
      <c r="E5834" s="506">
        <f>IF(H5834=0,0,ROUNDDOWN(K5834*H5834,1))</f>
        <v>0</v>
      </c>
      <c r="F5834" s="506">
        <f>IF(H5834=0,0,ROUNDDOWN(L5834*H5834,1))</f>
        <v>0</v>
      </c>
      <c r="G5834" s="451" t="s">
        <v>3993</v>
      </c>
      <c r="H5834" s="507">
        <f>ROUNDUP(AC5834,14-LEN(ABS(INT(AC5834))))</f>
        <v>5.2980132450330997</v>
      </c>
      <c r="I5834" s="508">
        <f>K5834+J5834+L5834</f>
        <v>172068</v>
      </c>
      <c r="J5834" s="509">
        <f>노무비목록표!E10</f>
        <v>172068</v>
      </c>
      <c r="M5834" s="501" t="s">
        <v>2363</v>
      </c>
      <c r="N5834" s="501" t="s">
        <v>3994</v>
      </c>
      <c r="X5834" s="510" t="str">
        <f>노무비목록표!B10&amp;" / "&amp;노무비목록표!C10</f>
        <v xml:space="preserve">보통인부 / </v>
      </c>
      <c r="Y5834" s="433" t="str">
        <f ca="1">HYPERLINK("#"&amp;노무비목록표!G2&amp;"!A"&amp;ROW(노무비목록표!A10),"L00017 →")</f>
        <v>L00017 →</v>
      </c>
      <c r="Z5834" s="501" t="s">
        <v>3500</v>
      </c>
      <c r="AA5834" s="512">
        <f>AD5830</f>
        <v>5.2980132450330997</v>
      </c>
      <c r="AB5834" s="501" t="s">
        <v>3418</v>
      </c>
      <c r="AC5834" s="512">
        <f>1*AD5830</f>
        <v>5.2980132450330997</v>
      </c>
      <c r="AD5834" s="500"/>
      <c r="AE5834" s="500"/>
      <c r="AF5834" s="500"/>
      <c r="AG5834" s="500"/>
      <c r="AH5834" s="500"/>
      <c r="AI5834" s="500"/>
      <c r="AJ5834" s="500"/>
      <c r="AK5834" s="500"/>
      <c r="AL5834" s="500"/>
      <c r="AM5834" s="500"/>
      <c r="AN5834" s="500"/>
      <c r="AO5834" s="500"/>
      <c r="AP5834" s="500"/>
    </row>
    <row r="5835" spans="1:42" ht="16.5" customHeight="1">
      <c r="A5835" s="439"/>
      <c r="B5835" s="439"/>
      <c r="C5835" s="439"/>
      <c r="D5835" s="439"/>
      <c r="E5835" s="439"/>
      <c r="F5835" s="439"/>
      <c r="G5835" s="451" t="s">
        <v>3406</v>
      </c>
      <c r="Z5835" s="500"/>
      <c r="AA5835" s="500"/>
      <c r="AB5835" s="500"/>
      <c r="AC5835" s="500"/>
      <c r="AD5835" s="500"/>
      <c r="AE5835" s="500"/>
      <c r="AF5835" s="500"/>
      <c r="AG5835" s="500"/>
      <c r="AH5835" s="500"/>
      <c r="AI5835" s="500"/>
      <c r="AJ5835" s="500"/>
      <c r="AK5835" s="500"/>
      <c r="AL5835" s="500"/>
      <c r="AM5835" s="500"/>
      <c r="AN5835" s="500"/>
      <c r="AO5835" s="500"/>
      <c r="AP5835" s="500"/>
    </row>
    <row r="5836" spans="1:42" ht="16.5" customHeight="1">
      <c r="A5836" s="439"/>
      <c r="B5836" s="439"/>
      <c r="C5836" s="439"/>
      <c r="D5836" s="439"/>
      <c r="E5836" s="439"/>
      <c r="F5836" s="439"/>
      <c r="G5836" s="451" t="s">
        <v>3406</v>
      </c>
      <c r="Z5836" s="500"/>
      <c r="AA5836" s="500"/>
      <c r="AB5836" s="500"/>
      <c r="AC5836" s="500"/>
      <c r="AD5836" s="500"/>
      <c r="AE5836" s="500"/>
      <c r="AF5836" s="500"/>
      <c r="AG5836" s="500"/>
      <c r="AH5836" s="500"/>
      <c r="AI5836" s="500"/>
      <c r="AJ5836" s="500"/>
      <c r="AK5836" s="500"/>
      <c r="AL5836" s="500"/>
      <c r="AM5836" s="500"/>
      <c r="AN5836" s="500"/>
      <c r="AO5836" s="500"/>
      <c r="AP5836" s="500"/>
    </row>
    <row r="5837" spans="1:42" ht="16.5" customHeight="1">
      <c r="A5837" s="439"/>
      <c r="B5837" s="439"/>
      <c r="C5837" s="439"/>
      <c r="D5837" s="439"/>
      <c r="E5837" s="439"/>
      <c r="F5837" s="439"/>
      <c r="G5837" s="451" t="s">
        <v>3406</v>
      </c>
      <c r="Z5837" s="500"/>
      <c r="AA5837" s="500"/>
      <c r="AB5837" s="500"/>
      <c r="AC5837" s="500"/>
      <c r="AD5837" s="500"/>
      <c r="AE5837" s="500"/>
      <c r="AF5837" s="500"/>
      <c r="AG5837" s="500"/>
      <c r="AH5837" s="500"/>
      <c r="AI5837" s="500"/>
      <c r="AJ5837" s="500"/>
      <c r="AK5837" s="500"/>
      <c r="AL5837" s="500"/>
      <c r="AM5837" s="500"/>
      <c r="AN5837" s="500"/>
      <c r="AO5837" s="500"/>
      <c r="AP5837" s="500"/>
    </row>
    <row r="5838" spans="1:42" ht="16.5" customHeight="1">
      <c r="A5838" s="439"/>
      <c r="B5838" s="439"/>
      <c r="C5838" s="439"/>
      <c r="D5838" s="439"/>
      <c r="E5838" s="439"/>
      <c r="F5838" s="439"/>
      <c r="G5838" s="451" t="s">
        <v>3406</v>
      </c>
      <c r="Z5838" s="500"/>
      <c r="AA5838" s="500"/>
      <c r="AB5838" s="500"/>
      <c r="AC5838" s="500"/>
      <c r="AD5838" s="500"/>
      <c r="AE5838" s="500"/>
      <c r="AF5838" s="500"/>
      <c r="AG5838" s="500"/>
      <c r="AH5838" s="500"/>
      <c r="AI5838" s="500"/>
      <c r="AJ5838" s="500"/>
      <c r="AK5838" s="500"/>
      <c r="AL5838" s="500"/>
      <c r="AM5838" s="500"/>
      <c r="AN5838" s="500"/>
      <c r="AO5838" s="500"/>
      <c r="AP5838" s="500"/>
    </row>
    <row r="5839" spans="1:42" ht="16.5" customHeight="1">
      <c r="A5839" s="434"/>
      <c r="B5839" s="437" t="s">
        <v>3995</v>
      </c>
      <c r="C5839" s="516">
        <f>E5839+D5839+F5839</f>
        <v>911618.5</v>
      </c>
      <c r="D5839" s="516">
        <f>SUMIF(N5807:N5838,M5839,D5807:D5838)</f>
        <v>911618.5</v>
      </c>
      <c r="E5839" s="516">
        <f>SUMIF(N5807:N5838,M5839,E5807:E5838)</f>
        <v>0</v>
      </c>
      <c r="F5839" s="516">
        <f>SUMIF(N5807:N5838,M5839,F5807:F5838)</f>
        <v>0</v>
      </c>
      <c r="G5839" s="451" t="s">
        <v>3996</v>
      </c>
      <c r="M5839" s="501" t="s">
        <v>3994</v>
      </c>
      <c r="Z5839" s="500"/>
      <c r="AA5839" s="500"/>
      <c r="AB5839" s="500"/>
      <c r="AC5839" s="500"/>
      <c r="AD5839" s="500"/>
      <c r="AE5839" s="500"/>
      <c r="AF5839" s="500"/>
      <c r="AG5839" s="500"/>
      <c r="AH5839" s="500"/>
      <c r="AI5839" s="500"/>
      <c r="AJ5839" s="500"/>
      <c r="AK5839" s="500"/>
      <c r="AL5839" s="500"/>
      <c r="AM5839" s="500"/>
      <c r="AN5839" s="500"/>
      <c r="AO5839" s="500"/>
      <c r="AP5839" s="500"/>
    </row>
    <row r="5840" spans="1:42" ht="16.5" customHeight="1">
      <c r="A5840" s="439"/>
      <c r="B5840" s="439"/>
      <c r="C5840" s="517"/>
      <c r="D5840" s="517"/>
      <c r="E5840" s="517"/>
      <c r="F5840" s="517"/>
      <c r="G5840" s="451" t="s">
        <v>3406</v>
      </c>
      <c r="Z5840" s="500"/>
      <c r="AA5840" s="500"/>
      <c r="AB5840" s="500"/>
      <c r="AC5840" s="500"/>
      <c r="AD5840" s="500"/>
      <c r="AE5840" s="500"/>
      <c r="AF5840" s="500"/>
      <c r="AG5840" s="500"/>
      <c r="AH5840" s="500"/>
      <c r="AI5840" s="500"/>
      <c r="AJ5840" s="500"/>
      <c r="AK5840" s="500"/>
      <c r="AL5840" s="500"/>
      <c r="AM5840" s="500"/>
      <c r="AN5840" s="500"/>
      <c r="AO5840" s="500"/>
      <c r="AP5840" s="500"/>
    </row>
    <row r="5841" spans="1:42" ht="16.5" customHeight="1">
      <c r="A5841" s="439"/>
      <c r="B5841" s="439"/>
      <c r="C5841" s="439"/>
      <c r="D5841" s="439"/>
      <c r="E5841" s="439"/>
      <c r="F5841" s="439"/>
      <c r="G5841" s="451" t="s">
        <v>3406</v>
      </c>
      <c r="Z5841" s="500"/>
      <c r="AA5841" s="500"/>
      <c r="AB5841" s="500"/>
      <c r="AC5841" s="500"/>
      <c r="AD5841" s="500"/>
      <c r="AE5841" s="500"/>
      <c r="AF5841" s="500"/>
      <c r="AG5841" s="500"/>
      <c r="AH5841" s="500"/>
      <c r="AI5841" s="500"/>
      <c r="AJ5841" s="500"/>
      <c r="AK5841" s="500"/>
      <c r="AL5841" s="500"/>
      <c r="AM5841" s="500"/>
      <c r="AN5841" s="500"/>
      <c r="AO5841" s="500"/>
      <c r="AP5841" s="500"/>
    </row>
    <row r="5842" spans="1:42" ht="16.5" customHeight="1">
      <c r="A5842" s="434" t="s">
        <v>3997</v>
      </c>
      <c r="B5842" s="505" t="str">
        <f>" 경비로 적용 : "&amp;TEXT(I5842,"#,##0"&amp;IF(I5842&lt;&gt;INT(I5842),".###",""))&amp;"  = "&amp;TEXT(C5842,"#,##0.0")&amp;""</f>
        <v xml:space="preserve"> 경비로 적용 : 911,618.5  = 911,618.5</v>
      </c>
      <c r="C5842" s="506">
        <f>E5842+D5842+F5842</f>
        <v>911618.5</v>
      </c>
      <c r="D5842" s="506">
        <f>IF(H5842=0,0,ROUNDDOWN(J5842*H5842,1))</f>
        <v>0</v>
      </c>
      <c r="E5842" s="506">
        <f>IF(H5842=0,0,ROUNDDOWN(K5842*H5842,1))</f>
        <v>0</v>
      </c>
      <c r="F5842" s="506">
        <f>IF(H5842=0,0,ROUNDDOWN(L5842*H5842,1))</f>
        <v>911618.5</v>
      </c>
      <c r="G5842" s="451" t="s">
        <v>3998</v>
      </c>
      <c r="H5842" s="507">
        <f>ROUNDUP(AB5842,14-LEN(ABS(INT(AB5842))))</f>
        <v>1</v>
      </c>
      <c r="I5842" s="508">
        <f>K5842+J5842+L5842</f>
        <v>911618.5</v>
      </c>
      <c r="J5842" s="456">
        <v>0</v>
      </c>
      <c r="K5842" s="456">
        <v>0</v>
      </c>
      <c r="L5842" s="518">
        <v>911618.5</v>
      </c>
      <c r="M5842" s="501" t="s">
        <v>3999</v>
      </c>
      <c r="N5842" s="501" t="s">
        <v>2354</v>
      </c>
      <c r="Z5842" s="501" t="s">
        <v>4000</v>
      </c>
      <c r="AA5842" s="501" t="s">
        <v>3418</v>
      </c>
      <c r="AB5842" s="512">
        <f>1</f>
        <v>1</v>
      </c>
      <c r="AC5842" s="500"/>
      <c r="AD5842" s="500"/>
      <c r="AE5842" s="500"/>
      <c r="AF5842" s="500"/>
      <c r="AG5842" s="500"/>
      <c r="AH5842" s="500"/>
      <c r="AI5842" s="500"/>
      <c r="AJ5842" s="500"/>
      <c r="AK5842" s="500"/>
      <c r="AL5842" s="500"/>
      <c r="AM5842" s="500"/>
      <c r="AN5842" s="500"/>
      <c r="AO5842" s="500"/>
      <c r="AP5842" s="500"/>
    </row>
    <row r="5843" spans="1:42" ht="16.5" customHeight="1">
      <c r="A5843" s="439"/>
      <c r="B5843" s="439"/>
      <c r="C5843" s="439"/>
      <c r="D5843" s="439"/>
      <c r="E5843" s="439"/>
      <c r="F5843" s="439"/>
      <c r="Z5843" s="500"/>
      <c r="AA5843" s="500"/>
      <c r="AB5843" s="500"/>
      <c r="AC5843" s="500"/>
      <c r="AD5843" s="500"/>
      <c r="AE5843" s="500"/>
      <c r="AF5843" s="500"/>
      <c r="AG5843" s="500"/>
      <c r="AH5843" s="500"/>
      <c r="AI5843" s="500"/>
      <c r="AJ5843" s="500"/>
      <c r="AK5843" s="500"/>
      <c r="AL5843" s="500"/>
      <c r="AM5843" s="500"/>
      <c r="AN5843" s="500"/>
      <c r="AO5843" s="500"/>
      <c r="AP5843" s="500"/>
    </row>
    <row r="5844" spans="1:42" ht="16.5" customHeight="1">
      <c r="A5844" s="439"/>
      <c r="B5844" s="439"/>
      <c r="C5844" s="439"/>
      <c r="D5844" s="439"/>
      <c r="E5844" s="439"/>
      <c r="F5844" s="439"/>
      <c r="Z5844" s="500"/>
      <c r="AA5844" s="500"/>
      <c r="AB5844" s="500"/>
      <c r="AC5844" s="500"/>
      <c r="AD5844" s="500"/>
      <c r="AE5844" s="500"/>
      <c r="AF5844" s="500"/>
      <c r="AG5844" s="500"/>
      <c r="AH5844" s="500"/>
      <c r="AI5844" s="500"/>
      <c r="AJ5844" s="500"/>
      <c r="AK5844" s="500"/>
      <c r="AL5844" s="500"/>
      <c r="AM5844" s="500"/>
      <c r="AN5844" s="500"/>
      <c r="AO5844" s="500"/>
      <c r="AP5844" s="500"/>
    </row>
    <row r="5845" spans="1:42" ht="16.5" customHeight="1">
      <c r="A5845" s="439"/>
      <c r="B5845" s="439"/>
      <c r="C5845" s="439"/>
      <c r="D5845" s="439"/>
      <c r="E5845" s="439"/>
      <c r="F5845" s="439"/>
      <c r="Z5845" s="500"/>
      <c r="AA5845" s="500"/>
      <c r="AB5845" s="500"/>
      <c r="AC5845" s="500"/>
      <c r="AD5845" s="500"/>
      <c r="AE5845" s="500"/>
      <c r="AF5845" s="500"/>
      <c r="AG5845" s="500"/>
      <c r="AH5845" s="500"/>
      <c r="AI5845" s="500"/>
      <c r="AJ5845" s="500"/>
      <c r="AK5845" s="500"/>
      <c r="AL5845" s="500"/>
      <c r="AM5845" s="500"/>
      <c r="AN5845" s="500"/>
      <c r="AO5845" s="500"/>
      <c r="AP5845" s="500"/>
    </row>
    <row r="5846" spans="1:42" ht="16.5" customHeight="1">
      <c r="A5846" s="439"/>
      <c r="B5846" s="439"/>
      <c r="C5846" s="439"/>
      <c r="D5846" s="439"/>
      <c r="E5846" s="439"/>
      <c r="F5846" s="439"/>
      <c r="Z5846" s="500"/>
      <c r="AA5846" s="500"/>
      <c r="AB5846" s="500"/>
      <c r="AC5846" s="500"/>
      <c r="AD5846" s="500"/>
      <c r="AE5846" s="500"/>
      <c r="AF5846" s="500"/>
      <c r="AG5846" s="500"/>
      <c r="AH5846" s="500"/>
      <c r="AI5846" s="500"/>
      <c r="AJ5846" s="500"/>
      <c r="AK5846" s="500"/>
      <c r="AL5846" s="500"/>
      <c r="AM5846" s="500"/>
      <c r="AN5846" s="500"/>
      <c r="AO5846" s="500"/>
      <c r="AP5846" s="500"/>
    </row>
    <row r="5847" spans="1:42" ht="16.5" customHeight="1">
      <c r="A5847" s="439"/>
      <c r="B5847" s="439"/>
      <c r="C5847" s="439"/>
      <c r="D5847" s="439"/>
      <c r="E5847" s="439"/>
      <c r="F5847" s="439"/>
      <c r="Z5847" s="500"/>
      <c r="AA5847" s="500"/>
      <c r="AB5847" s="500"/>
      <c r="AC5847" s="500"/>
      <c r="AD5847" s="500"/>
      <c r="AE5847" s="500"/>
      <c r="AF5847" s="500"/>
      <c r="AG5847" s="500"/>
      <c r="AH5847" s="500"/>
      <c r="AI5847" s="500"/>
      <c r="AJ5847" s="500"/>
      <c r="AK5847" s="500"/>
      <c r="AL5847" s="500"/>
      <c r="AM5847" s="500"/>
      <c r="AN5847" s="500"/>
      <c r="AO5847" s="500"/>
      <c r="AP5847" s="500"/>
    </row>
    <row r="5848" spans="1:42" ht="16.5" customHeight="1">
      <c r="A5848" s="439"/>
      <c r="B5848" s="439"/>
      <c r="C5848" s="439"/>
      <c r="D5848" s="439"/>
      <c r="E5848" s="439"/>
      <c r="F5848" s="439"/>
      <c r="Z5848" s="500"/>
      <c r="AA5848" s="500"/>
      <c r="AB5848" s="500"/>
      <c r="AC5848" s="500"/>
      <c r="AD5848" s="500"/>
      <c r="AE5848" s="500"/>
      <c r="AF5848" s="500"/>
      <c r="AG5848" s="500"/>
      <c r="AH5848" s="500"/>
      <c r="AI5848" s="500"/>
      <c r="AJ5848" s="500"/>
      <c r="AK5848" s="500"/>
      <c r="AL5848" s="500"/>
      <c r="AM5848" s="500"/>
      <c r="AN5848" s="500"/>
      <c r="AO5848" s="500"/>
      <c r="AP5848" s="500"/>
    </row>
    <row r="5849" spans="1:42" ht="16.5" customHeight="1">
      <c r="A5849" s="439"/>
      <c r="B5849" s="439"/>
      <c r="C5849" s="439"/>
      <c r="D5849" s="439"/>
      <c r="E5849" s="439"/>
      <c r="F5849" s="439"/>
      <c r="Z5849" s="500"/>
      <c r="AA5849" s="500"/>
      <c r="AB5849" s="500"/>
      <c r="AC5849" s="500"/>
      <c r="AD5849" s="500"/>
      <c r="AE5849" s="500"/>
      <c r="AF5849" s="500"/>
      <c r="AG5849" s="500"/>
      <c r="AH5849" s="500"/>
      <c r="AI5849" s="500"/>
      <c r="AJ5849" s="500"/>
      <c r="AK5849" s="500"/>
      <c r="AL5849" s="500"/>
      <c r="AM5849" s="500"/>
      <c r="AN5849" s="500"/>
      <c r="AO5849" s="500"/>
      <c r="AP5849" s="500"/>
    </row>
    <row r="5850" spans="1:42" ht="16.5" customHeight="1">
      <c r="A5850" s="439"/>
      <c r="B5850" s="439"/>
      <c r="C5850" s="439"/>
      <c r="D5850" s="439"/>
      <c r="E5850" s="439"/>
      <c r="F5850" s="439"/>
      <c r="Z5850" s="500"/>
      <c r="AA5850" s="500"/>
      <c r="AB5850" s="500"/>
      <c r="AC5850" s="500"/>
      <c r="AD5850" s="500"/>
      <c r="AE5850" s="500"/>
      <c r="AF5850" s="500"/>
      <c r="AG5850" s="500"/>
      <c r="AH5850" s="500"/>
      <c r="AI5850" s="500"/>
      <c r="AJ5850" s="500"/>
      <c r="AK5850" s="500"/>
      <c r="AL5850" s="500"/>
      <c r="AM5850" s="500"/>
      <c r="AN5850" s="500"/>
      <c r="AO5850" s="500"/>
      <c r="AP5850" s="500"/>
    </row>
    <row r="5851" spans="1:42" ht="16.5" customHeight="1">
      <c r="A5851" s="439"/>
      <c r="B5851" s="439"/>
      <c r="C5851" s="439"/>
      <c r="D5851" s="439"/>
      <c r="E5851" s="439"/>
      <c r="F5851" s="439"/>
      <c r="Z5851" s="500"/>
      <c r="AA5851" s="500"/>
      <c r="AB5851" s="500"/>
      <c r="AC5851" s="500"/>
      <c r="AD5851" s="500"/>
      <c r="AE5851" s="500"/>
      <c r="AF5851" s="500"/>
      <c r="AG5851" s="500"/>
      <c r="AH5851" s="500"/>
      <c r="AI5851" s="500"/>
      <c r="AJ5851" s="500"/>
      <c r="AK5851" s="500"/>
      <c r="AL5851" s="500"/>
      <c r="AM5851" s="500"/>
      <c r="AN5851" s="500"/>
      <c r="AO5851" s="500"/>
      <c r="AP5851" s="500"/>
    </row>
    <row r="5852" spans="1:42" ht="16.5" customHeight="1">
      <c r="A5852" s="439"/>
      <c r="B5852" s="439"/>
      <c r="C5852" s="439"/>
      <c r="D5852" s="439"/>
      <c r="E5852" s="439"/>
      <c r="F5852" s="439"/>
      <c r="Z5852" s="500"/>
      <c r="AA5852" s="500"/>
      <c r="AB5852" s="500"/>
      <c r="AC5852" s="500"/>
      <c r="AD5852" s="500"/>
      <c r="AE5852" s="500"/>
      <c r="AF5852" s="500"/>
      <c r="AG5852" s="500"/>
      <c r="AH5852" s="500"/>
      <c r="AI5852" s="500"/>
      <c r="AJ5852" s="500"/>
      <c r="AK5852" s="500"/>
      <c r="AL5852" s="500"/>
      <c r="AM5852" s="500"/>
      <c r="AN5852" s="500"/>
      <c r="AO5852" s="500"/>
      <c r="AP5852" s="500"/>
    </row>
    <row r="5853" spans="1:42" ht="16.5" customHeight="1">
      <c r="A5853" s="497"/>
      <c r="B5853" s="497"/>
      <c r="C5853" s="497"/>
      <c r="D5853" s="497"/>
      <c r="E5853" s="497"/>
      <c r="F5853" s="497"/>
      <c r="Z5853" s="500"/>
      <c r="AA5853" s="500"/>
      <c r="AB5853" s="500"/>
      <c r="AC5853" s="500"/>
      <c r="AD5853" s="500"/>
      <c r="AE5853" s="500"/>
      <c r="AF5853" s="500"/>
      <c r="AG5853" s="500"/>
      <c r="AH5853" s="500"/>
      <c r="AI5853" s="500"/>
      <c r="AJ5853" s="500"/>
      <c r="AK5853" s="500"/>
      <c r="AL5853" s="500"/>
      <c r="AM5853" s="500"/>
      <c r="AN5853" s="500"/>
      <c r="AO5853" s="500"/>
      <c r="AP5853" s="500"/>
    </row>
    <row r="5854" spans="1:42" ht="16.5" customHeight="1">
      <c r="A5854" s="616" t="s">
        <v>3487</v>
      </c>
      <c r="B5854" s="605"/>
      <c r="C5854" s="446">
        <f>E5854+D5854+F5854</f>
        <v>911618</v>
      </c>
      <c r="D5854" s="453">
        <f>ROUNDDOWN(SUMIF(N5807:N5842,M5854,D5807:D5842),0)</f>
        <v>0</v>
      </c>
      <c r="E5854" s="454">
        <f>ROUNDDOWN(SUMIF(N5807:N5842,M5854,E5807:E5842),0)</f>
        <v>0</v>
      </c>
      <c r="F5854" s="446">
        <f>ROUNDDOWN(SUMIF(N5807:N5842,M5854,F5807:F5842),0)</f>
        <v>911618</v>
      </c>
      <c r="M5854" s="501" t="s">
        <v>2354</v>
      </c>
      <c r="Z5854" s="500"/>
      <c r="AA5854" s="500"/>
      <c r="AB5854" s="500"/>
      <c r="AC5854" s="500"/>
      <c r="AD5854" s="500"/>
      <c r="AE5854" s="500"/>
      <c r="AF5854" s="500"/>
      <c r="AG5854" s="500"/>
      <c r="AH5854" s="500"/>
      <c r="AI5854" s="500"/>
      <c r="AJ5854" s="500"/>
      <c r="AK5854" s="500"/>
      <c r="AL5854" s="500"/>
      <c r="AM5854" s="500"/>
      <c r="AN5854" s="500"/>
      <c r="AO5854" s="500"/>
      <c r="AP5854" s="500"/>
    </row>
    <row r="5855" spans="1:42" ht="16.5" customHeight="1">
      <c r="A5855" s="502"/>
      <c r="B5855" s="503" t="s">
        <v>2225</v>
      </c>
      <c r="C5855" s="615">
        <f>C5904</f>
        <v>948033</v>
      </c>
      <c r="D5855" s="615">
        <f>D5904</f>
        <v>0</v>
      </c>
      <c r="E5855" s="615">
        <f>E5904</f>
        <v>0</v>
      </c>
      <c r="F5855" s="615">
        <f>F5904</f>
        <v>948033</v>
      </c>
      <c r="G5855" s="486" t="str">
        <f>HYPERLINK("#G"&amp;ROW(G5892),"_x0005_`BDCOD|D01202_x0007_`POSS|"&amp;ROW(G5857)&amp;"_x0007_`POSE|"&amp;ROW(G5892)&amp;"_x0007_`")</f>
        <v>_x0005_`BDCOD|D01202_x0007_`POSS|5857_x0007_`POSE|5892_x0007_`</v>
      </c>
      <c r="Z5855" s="500"/>
      <c r="AA5855" s="500"/>
      <c r="AB5855" s="500"/>
      <c r="AC5855" s="500"/>
      <c r="AD5855" s="500"/>
      <c r="AE5855" s="500"/>
      <c r="AF5855" s="500"/>
      <c r="AG5855" s="500"/>
      <c r="AH5855" s="500"/>
      <c r="AI5855" s="500"/>
      <c r="AJ5855" s="500"/>
      <c r="AK5855" s="500"/>
      <c r="AL5855" s="500"/>
      <c r="AM5855" s="500"/>
      <c r="AN5855" s="500"/>
      <c r="AO5855" s="500"/>
      <c r="AP5855" s="500"/>
    </row>
    <row r="5856" spans="1:42" ht="16.5" customHeight="1">
      <c r="A5856" s="485"/>
      <c r="B5856" s="503" t="s">
        <v>4017</v>
      </c>
      <c r="C5856" s="593"/>
      <c r="D5856" s="593"/>
      <c r="E5856" s="593"/>
      <c r="F5856" s="593"/>
      <c r="M5856" s="501" t="s">
        <v>2225</v>
      </c>
      <c r="Z5856" s="500"/>
      <c r="AA5856" s="500"/>
      <c r="AB5856" s="500"/>
      <c r="AC5856" s="500"/>
      <c r="AD5856" s="500"/>
      <c r="AE5856" s="500"/>
      <c r="AF5856" s="500"/>
      <c r="AG5856" s="500"/>
      <c r="AH5856" s="500"/>
      <c r="AI5856" s="500"/>
      <c r="AJ5856" s="500"/>
      <c r="AK5856" s="500"/>
      <c r="AL5856" s="500"/>
      <c r="AM5856" s="500"/>
      <c r="AN5856" s="500"/>
      <c r="AO5856" s="500"/>
      <c r="AP5856" s="500"/>
    </row>
    <row r="5857" spans="1:42" ht="16.5" customHeight="1">
      <c r="A5857" s="434"/>
      <c r="B5857" s="437" t="s">
        <v>3980</v>
      </c>
      <c r="C5857" s="504"/>
      <c r="D5857" s="504"/>
      <c r="E5857" s="504"/>
      <c r="F5857" s="504"/>
      <c r="G5857" s="451" t="s">
        <v>3981</v>
      </c>
      <c r="Z5857" s="500"/>
      <c r="AA5857" s="500"/>
      <c r="AB5857" s="500"/>
      <c r="AC5857" s="500"/>
      <c r="AD5857" s="500"/>
      <c r="AE5857" s="500"/>
      <c r="AF5857" s="500"/>
      <c r="AG5857" s="500"/>
      <c r="AH5857" s="500"/>
      <c r="AI5857" s="500"/>
      <c r="AJ5857" s="500"/>
      <c r="AK5857" s="500"/>
      <c r="AL5857" s="500"/>
      <c r="AM5857" s="500"/>
      <c r="AN5857" s="500"/>
      <c r="AO5857" s="500"/>
      <c r="AP5857" s="500"/>
    </row>
    <row r="5858" spans="1:42" ht="16.5" customHeight="1">
      <c r="A5858" s="439"/>
      <c r="B5858" s="439"/>
      <c r="C5858" s="439"/>
      <c r="D5858" s="439"/>
      <c r="E5858" s="439"/>
      <c r="F5858" s="439"/>
      <c r="G5858" s="451" t="s">
        <v>3406</v>
      </c>
      <c r="Z5858" s="500"/>
      <c r="AA5858" s="500"/>
      <c r="AB5858" s="500"/>
      <c r="AC5858" s="500"/>
      <c r="AD5858" s="500"/>
      <c r="AE5858" s="500"/>
      <c r="AF5858" s="500"/>
      <c r="AG5858" s="500"/>
      <c r="AH5858" s="500"/>
      <c r="AI5858" s="500"/>
      <c r="AJ5858" s="500"/>
      <c r="AK5858" s="500"/>
      <c r="AL5858" s="500"/>
      <c r="AM5858" s="500"/>
      <c r="AN5858" s="500"/>
      <c r="AO5858" s="500"/>
      <c r="AP5858" s="500"/>
    </row>
    <row r="5859" spans="1:42" ht="16.5" customHeight="1">
      <c r="A5859" s="434"/>
      <c r="B5859" s="437" t="s">
        <v>4018</v>
      </c>
      <c r="C5859" s="439"/>
      <c r="D5859" s="439"/>
      <c r="E5859" s="439"/>
      <c r="F5859" s="439"/>
      <c r="G5859" s="451" t="s">
        <v>4019</v>
      </c>
      <c r="Z5859" s="500"/>
      <c r="AA5859" s="500"/>
      <c r="AB5859" s="500"/>
      <c r="AC5859" s="500"/>
      <c r="AD5859" s="500"/>
      <c r="AE5859" s="500"/>
      <c r="AF5859" s="500"/>
      <c r="AG5859" s="500"/>
      <c r="AH5859" s="500"/>
      <c r="AI5859" s="500"/>
      <c r="AJ5859" s="500"/>
      <c r="AK5859" s="500"/>
      <c r="AL5859" s="500"/>
      <c r="AM5859" s="500"/>
      <c r="AN5859" s="500"/>
      <c r="AO5859" s="500"/>
      <c r="AP5859" s="500"/>
    </row>
    <row r="5860" spans="1:42" ht="16.5" customHeight="1">
      <c r="A5860" s="439"/>
      <c r="B5860" s="439"/>
      <c r="C5860" s="439"/>
      <c r="D5860" s="439"/>
      <c r="E5860" s="439"/>
      <c r="F5860" s="439"/>
      <c r="G5860" s="451" t="s">
        <v>3406</v>
      </c>
      <c r="Z5860" s="500"/>
      <c r="AA5860" s="500"/>
      <c r="AB5860" s="500"/>
      <c r="AC5860" s="500"/>
      <c r="AD5860" s="500"/>
      <c r="AE5860" s="500"/>
      <c r="AF5860" s="500"/>
      <c r="AG5860" s="500"/>
      <c r="AH5860" s="500"/>
      <c r="AI5860" s="500"/>
      <c r="AJ5860" s="500"/>
      <c r="AK5860" s="500"/>
      <c r="AL5860" s="500"/>
      <c r="AM5860" s="500"/>
      <c r="AN5860" s="500"/>
      <c r="AO5860" s="500"/>
      <c r="AP5860" s="500"/>
    </row>
    <row r="5861" spans="1:42" ht="16.5" customHeight="1">
      <c r="A5861" s="439"/>
      <c r="B5861" s="439"/>
      <c r="C5861" s="439"/>
      <c r="D5861" s="439"/>
      <c r="E5861" s="439"/>
      <c r="F5861" s="439"/>
      <c r="G5861" s="451" t="s">
        <v>3406</v>
      </c>
      <c r="Z5861" s="500"/>
      <c r="AA5861" s="500"/>
      <c r="AB5861" s="500"/>
      <c r="AC5861" s="500"/>
      <c r="AD5861" s="500"/>
      <c r="AE5861" s="500"/>
      <c r="AF5861" s="500"/>
      <c r="AG5861" s="500"/>
      <c r="AH5861" s="500"/>
      <c r="AI5861" s="500"/>
      <c r="AJ5861" s="500"/>
      <c r="AK5861" s="500"/>
      <c r="AL5861" s="500"/>
      <c r="AM5861" s="500"/>
      <c r="AN5861" s="500"/>
      <c r="AO5861" s="500"/>
      <c r="AP5861" s="500"/>
    </row>
    <row r="5862" spans="1:42" ht="16.5" customHeight="1">
      <c r="A5862" s="434"/>
      <c r="B5862" s="437" t="s">
        <v>3984</v>
      </c>
      <c r="C5862" s="439"/>
      <c r="D5862" s="439"/>
      <c r="E5862" s="439"/>
      <c r="F5862" s="439"/>
      <c r="G5862" s="451" t="s">
        <v>3985</v>
      </c>
      <c r="Z5862" s="500"/>
      <c r="AA5862" s="500"/>
      <c r="AB5862" s="500"/>
      <c r="AC5862" s="500"/>
      <c r="AD5862" s="500"/>
      <c r="AE5862" s="500"/>
      <c r="AF5862" s="500"/>
      <c r="AG5862" s="500"/>
      <c r="AH5862" s="500"/>
      <c r="AI5862" s="500"/>
      <c r="AJ5862" s="500"/>
      <c r="AK5862" s="500"/>
      <c r="AL5862" s="500"/>
      <c r="AM5862" s="500"/>
      <c r="AN5862" s="500"/>
      <c r="AO5862" s="500"/>
      <c r="AP5862" s="500"/>
    </row>
    <row r="5863" spans="1:42" ht="16.5" customHeight="1">
      <c r="A5863" s="439"/>
      <c r="B5863" s="439"/>
      <c r="C5863" s="439"/>
      <c r="D5863" s="439"/>
      <c r="E5863" s="439"/>
      <c r="F5863" s="439"/>
      <c r="G5863" s="451" t="s">
        <v>3406</v>
      </c>
      <c r="Z5863" s="500"/>
      <c r="AA5863" s="500"/>
      <c r="AB5863" s="500"/>
      <c r="AC5863" s="500"/>
      <c r="AD5863" s="500"/>
      <c r="AE5863" s="500"/>
      <c r="AF5863" s="500"/>
      <c r="AG5863" s="500"/>
      <c r="AH5863" s="500"/>
      <c r="AI5863" s="500"/>
      <c r="AJ5863" s="500"/>
      <c r="AK5863" s="500"/>
      <c r="AL5863" s="500"/>
      <c r="AM5863" s="500"/>
      <c r="AN5863" s="500"/>
      <c r="AO5863" s="500"/>
      <c r="AP5863" s="500"/>
    </row>
    <row r="5864" spans="1:42" ht="16.5" customHeight="1">
      <c r="A5864" s="439"/>
      <c r="B5864" s="439"/>
      <c r="C5864" s="439"/>
      <c r="D5864" s="439"/>
      <c r="E5864" s="439"/>
      <c r="F5864" s="439"/>
      <c r="G5864" s="451" t="s">
        <v>3406</v>
      </c>
      <c r="Z5864" s="500"/>
      <c r="AA5864" s="500"/>
      <c r="AB5864" s="500"/>
      <c r="AC5864" s="500"/>
      <c r="AD5864" s="500"/>
      <c r="AE5864" s="500"/>
      <c r="AF5864" s="500"/>
      <c r="AG5864" s="500"/>
      <c r="AH5864" s="500"/>
      <c r="AI5864" s="500"/>
      <c r="AJ5864" s="500"/>
      <c r="AK5864" s="500"/>
      <c r="AL5864" s="500"/>
      <c r="AM5864" s="500"/>
      <c r="AN5864" s="500"/>
      <c r="AO5864" s="500"/>
      <c r="AP5864" s="500"/>
    </row>
    <row r="5865" spans="1:42" ht="16.5" customHeight="1">
      <c r="A5865" s="434"/>
      <c r="B5865" s="437" t="s">
        <v>3986</v>
      </c>
      <c r="C5865" s="439"/>
      <c r="D5865" s="439"/>
      <c r="E5865" s="439"/>
      <c r="F5865" s="439"/>
      <c r="G5865" s="451" t="s">
        <v>3987</v>
      </c>
      <c r="Z5865" s="500"/>
      <c r="AA5865" s="500"/>
      <c r="AB5865" s="500"/>
      <c r="AC5865" s="500"/>
      <c r="AD5865" s="500"/>
      <c r="AE5865" s="500"/>
      <c r="AF5865" s="500"/>
      <c r="AG5865" s="500"/>
      <c r="AH5865" s="500"/>
      <c r="AI5865" s="500"/>
      <c r="AJ5865" s="500"/>
      <c r="AK5865" s="500"/>
      <c r="AL5865" s="500"/>
      <c r="AM5865" s="500"/>
      <c r="AN5865" s="500"/>
      <c r="AO5865" s="500"/>
      <c r="AP5865" s="500"/>
    </row>
    <row r="5866" spans="1:42" ht="16.5" customHeight="1">
      <c r="A5866" s="439"/>
      <c r="B5866" s="439"/>
      <c r="C5866" s="439"/>
      <c r="D5866" s="439"/>
      <c r="E5866" s="439"/>
      <c r="F5866" s="439"/>
      <c r="G5866" s="451" t="s">
        <v>3406</v>
      </c>
      <c r="Z5866" s="500"/>
      <c r="AA5866" s="500"/>
      <c r="AB5866" s="500"/>
      <c r="AC5866" s="500"/>
      <c r="AD5866" s="500"/>
      <c r="AE5866" s="500"/>
      <c r="AF5866" s="500"/>
      <c r="AG5866" s="500"/>
      <c r="AH5866" s="500"/>
      <c r="AI5866" s="500"/>
      <c r="AJ5866" s="500"/>
      <c r="AK5866" s="500"/>
      <c r="AL5866" s="500"/>
      <c r="AM5866" s="500"/>
      <c r="AN5866" s="500"/>
      <c r="AO5866" s="500"/>
      <c r="AP5866" s="500"/>
    </row>
    <row r="5867" spans="1:42" ht="16.5" customHeight="1">
      <c r="A5867" s="439"/>
      <c r="B5867" s="439"/>
      <c r="C5867" s="439"/>
      <c r="D5867" s="439"/>
      <c r="E5867" s="439"/>
      <c r="F5867" s="439"/>
      <c r="G5867" s="451" t="s">
        <v>3406</v>
      </c>
      <c r="Z5867" s="500"/>
      <c r="AA5867" s="500"/>
      <c r="AB5867" s="500"/>
      <c r="AC5867" s="500"/>
      <c r="AD5867" s="500"/>
      <c r="AE5867" s="500"/>
      <c r="AF5867" s="500"/>
      <c r="AG5867" s="500"/>
      <c r="AH5867" s="500"/>
      <c r="AI5867" s="500"/>
      <c r="AJ5867" s="500"/>
      <c r="AK5867" s="500"/>
      <c r="AL5867" s="500"/>
      <c r="AM5867" s="500"/>
      <c r="AN5867" s="500"/>
      <c r="AO5867" s="500"/>
      <c r="AP5867" s="500"/>
    </row>
    <row r="5868" spans="1:42" ht="16.5" customHeight="1">
      <c r="A5868" s="434"/>
      <c r="B5868" s="437" t="str">
        <f>" L = "&amp;Z5868&amp;" , V = "&amp;AD5868&amp;" , t = "&amp;AH5868&amp;"  , T = "&amp;AL5868&amp;"-"&amp;AN5868&amp;""</f>
        <v xml:space="preserve"> L = 1250 , V = 2500 , t = 2  , T = 480-30</v>
      </c>
      <c r="C5868" s="439"/>
      <c r="D5868" s="439"/>
      <c r="E5868" s="439"/>
      <c r="F5868" s="439"/>
      <c r="G5868" s="451" t="s">
        <v>4020</v>
      </c>
      <c r="Z5868" s="515">
        <v>1250</v>
      </c>
      <c r="AA5868" s="501" t="s">
        <v>3418</v>
      </c>
      <c r="AB5868" s="512">
        <f>Z5868</f>
        <v>1250</v>
      </c>
      <c r="AC5868" s="514" t="s">
        <v>3427</v>
      </c>
      <c r="AD5868" s="515">
        <v>2500</v>
      </c>
      <c r="AE5868" s="501" t="s">
        <v>3418</v>
      </c>
      <c r="AF5868" s="512">
        <f>AD5868</f>
        <v>2500</v>
      </c>
      <c r="AG5868" s="514" t="s">
        <v>3427</v>
      </c>
      <c r="AH5868" s="515">
        <v>2</v>
      </c>
      <c r="AI5868" s="501" t="s">
        <v>3418</v>
      </c>
      <c r="AJ5868" s="512">
        <f>AH5868</f>
        <v>2</v>
      </c>
      <c r="AK5868" s="514" t="s">
        <v>3427</v>
      </c>
      <c r="AL5868" s="515">
        <v>480</v>
      </c>
      <c r="AM5868" s="501" t="s">
        <v>3474</v>
      </c>
      <c r="AN5868" s="515">
        <v>30</v>
      </c>
      <c r="AO5868" s="501" t="s">
        <v>3418</v>
      </c>
      <c r="AP5868" s="512">
        <f>AL5868-AN5868</f>
        <v>450</v>
      </c>
    </row>
    <row r="5869" spans="1:42" ht="16.5" customHeight="1">
      <c r="A5869" s="439"/>
      <c r="B5869" s="439"/>
      <c r="C5869" s="439"/>
      <c r="D5869" s="439"/>
      <c r="E5869" s="439"/>
      <c r="F5869" s="439"/>
      <c r="G5869" s="451" t="s">
        <v>3406</v>
      </c>
      <c r="Z5869" s="500"/>
      <c r="AA5869" s="500"/>
      <c r="AB5869" s="500"/>
      <c r="AC5869" s="500"/>
      <c r="AD5869" s="500"/>
      <c r="AE5869" s="500"/>
      <c r="AF5869" s="500"/>
      <c r="AG5869" s="500"/>
      <c r="AH5869" s="500"/>
      <c r="AI5869" s="500"/>
      <c r="AJ5869" s="500"/>
      <c r="AK5869" s="500"/>
      <c r="AL5869" s="500"/>
      <c r="AM5869" s="500"/>
      <c r="AN5869" s="500"/>
      <c r="AO5869" s="500"/>
      <c r="AP5869" s="500"/>
    </row>
    <row r="5870" spans="1:42" ht="16.5" customHeight="1">
      <c r="A5870" s="439"/>
      <c r="B5870" s="439"/>
      <c r="C5870" s="439"/>
      <c r="D5870" s="439"/>
      <c r="E5870" s="439"/>
      <c r="F5870" s="439"/>
      <c r="G5870" s="451" t="s">
        <v>3406</v>
      </c>
      <c r="Z5870" s="500"/>
      <c r="AA5870" s="500"/>
      <c r="AB5870" s="500"/>
      <c r="AC5870" s="500"/>
      <c r="AD5870" s="500"/>
      <c r="AE5870" s="500"/>
      <c r="AF5870" s="500"/>
      <c r="AG5870" s="500"/>
      <c r="AH5870" s="500"/>
      <c r="AI5870" s="500"/>
      <c r="AJ5870" s="500"/>
      <c r="AK5870" s="500"/>
      <c r="AL5870" s="500"/>
      <c r="AM5870" s="500"/>
      <c r="AN5870" s="500"/>
      <c r="AO5870" s="500"/>
      <c r="AP5870" s="500"/>
    </row>
    <row r="5871" spans="1:42" ht="16.5" customHeight="1">
      <c r="A5871" s="439"/>
      <c r="B5871" s="439"/>
      <c r="C5871" s="439"/>
      <c r="D5871" s="439"/>
      <c r="E5871" s="439"/>
      <c r="F5871" s="439"/>
      <c r="G5871" s="451" t="s">
        <v>3406</v>
      </c>
      <c r="Z5871" s="500"/>
      <c r="AA5871" s="500"/>
      <c r="AB5871" s="500"/>
      <c r="AC5871" s="500"/>
      <c r="AD5871" s="500"/>
      <c r="AE5871" s="500"/>
      <c r="AF5871" s="500"/>
      <c r="AG5871" s="500"/>
      <c r="AH5871" s="500"/>
      <c r="AI5871" s="500"/>
      <c r="AJ5871" s="500"/>
      <c r="AK5871" s="500"/>
      <c r="AL5871" s="500"/>
      <c r="AM5871" s="500"/>
      <c r="AN5871" s="500"/>
      <c r="AO5871" s="500"/>
      <c r="AP5871" s="500"/>
    </row>
    <row r="5872" spans="1:42" ht="16.5" customHeight="1">
      <c r="A5872" s="434"/>
      <c r="B5872" s="437" t="str">
        <f>" N = V*T /( "&amp;AD5872&amp;"*L+V*"&amp;AJ5872&amp;" ) = "&amp;AM5872&amp;" 회/일 "</f>
        <v xml:space="preserve"> N = V*T /( 120*L+V*2 ) = 7.26 회/일 </v>
      </c>
      <c r="C5872" s="439"/>
      <c r="D5872" s="439"/>
      <c r="E5872" s="439"/>
      <c r="F5872" s="439"/>
      <c r="G5872" s="451" t="s">
        <v>3989</v>
      </c>
      <c r="Z5872" s="512">
        <f>AF5868</f>
        <v>2500</v>
      </c>
      <c r="AA5872" s="501" t="s">
        <v>3368</v>
      </c>
      <c r="AB5872" s="512">
        <f>AP5868</f>
        <v>450</v>
      </c>
      <c r="AC5872" s="501" t="s">
        <v>3463</v>
      </c>
      <c r="AD5872" s="515">
        <v>120</v>
      </c>
      <c r="AE5872" s="501" t="s">
        <v>3368</v>
      </c>
      <c r="AF5872" s="512">
        <f>AB5868</f>
        <v>1250</v>
      </c>
      <c r="AG5872" s="501" t="s">
        <v>3468</v>
      </c>
      <c r="AH5872" s="512">
        <f>AF5868</f>
        <v>2500</v>
      </c>
      <c r="AI5872" s="501" t="s">
        <v>3368</v>
      </c>
      <c r="AJ5872" s="515">
        <v>2</v>
      </c>
      <c r="AK5872" s="501" t="s">
        <v>3464</v>
      </c>
      <c r="AL5872" s="501" t="s">
        <v>3418</v>
      </c>
      <c r="AM5872" s="512" t="str">
        <f>TEXT(ROUND(AF5868*AP5868/(AD5872*AB5868+AF5868*AJ5872),2),"#,0.00")</f>
        <v>7.26</v>
      </c>
      <c r="AN5872" s="500"/>
      <c r="AO5872" s="500"/>
      <c r="AP5872" s="500"/>
    </row>
    <row r="5873" spans="1:42" ht="16.5" customHeight="1">
      <c r="A5873" s="439"/>
      <c r="B5873" s="439"/>
      <c r="C5873" s="439"/>
      <c r="D5873" s="439"/>
      <c r="E5873" s="439"/>
      <c r="F5873" s="439"/>
      <c r="G5873" s="451" t="s">
        <v>3406</v>
      </c>
      <c r="Z5873" s="500"/>
      <c r="AA5873" s="500"/>
      <c r="AB5873" s="500"/>
      <c r="AC5873" s="500"/>
      <c r="AD5873" s="500"/>
      <c r="AE5873" s="500"/>
      <c r="AF5873" s="500"/>
      <c r="AG5873" s="500"/>
      <c r="AH5873" s="500"/>
      <c r="AI5873" s="500"/>
      <c r="AJ5873" s="500"/>
      <c r="AK5873" s="500"/>
      <c r="AL5873" s="500"/>
      <c r="AM5873" s="500"/>
      <c r="AN5873" s="500"/>
      <c r="AO5873" s="500"/>
      <c r="AP5873" s="500"/>
    </row>
    <row r="5874" spans="1:42" ht="16.5" customHeight="1">
      <c r="A5874" s="439"/>
      <c r="B5874" s="439"/>
      <c r="C5874" s="439"/>
      <c r="D5874" s="439"/>
      <c r="E5874" s="439"/>
      <c r="F5874" s="439"/>
      <c r="G5874" s="451" t="s">
        <v>3406</v>
      </c>
      <c r="Z5874" s="500"/>
      <c r="AA5874" s="500"/>
      <c r="AB5874" s="500"/>
      <c r="AC5874" s="500"/>
      <c r="AD5874" s="500"/>
      <c r="AE5874" s="500"/>
      <c r="AF5874" s="500"/>
      <c r="AG5874" s="500"/>
      <c r="AH5874" s="500"/>
      <c r="AI5874" s="500"/>
      <c r="AJ5874" s="500"/>
      <c r="AK5874" s="500"/>
      <c r="AL5874" s="500"/>
      <c r="AM5874" s="500"/>
      <c r="AN5874" s="500"/>
      <c r="AO5874" s="500"/>
      <c r="AP5874" s="500"/>
    </row>
    <row r="5875" spans="1:42" ht="16.5" customHeight="1">
      <c r="A5875" s="439"/>
      <c r="B5875" s="439"/>
      <c r="C5875" s="439"/>
      <c r="D5875" s="439"/>
      <c r="E5875" s="439"/>
      <c r="F5875" s="439"/>
      <c r="G5875" s="451" t="s">
        <v>3406</v>
      </c>
      <c r="Z5875" s="500"/>
      <c r="AA5875" s="500"/>
      <c r="AB5875" s="500"/>
      <c r="AC5875" s="500"/>
      <c r="AD5875" s="500"/>
      <c r="AE5875" s="500"/>
      <c r="AF5875" s="500"/>
      <c r="AG5875" s="500"/>
      <c r="AH5875" s="500"/>
      <c r="AI5875" s="500"/>
      <c r="AJ5875" s="500"/>
      <c r="AK5875" s="500"/>
      <c r="AL5875" s="500"/>
      <c r="AM5875" s="500"/>
      <c r="AN5875" s="500"/>
      <c r="AO5875" s="500"/>
      <c r="AP5875" s="500"/>
    </row>
    <row r="5876" spans="1:42" ht="16.5" customHeight="1">
      <c r="A5876" s="434"/>
      <c r="B5876" s="437" t="str">
        <f>" Q = N*"&amp;AB5876&amp;" ㎏ = "&amp;AD5876&amp;"  kg/일 "</f>
        <v xml:space="preserve"> Q = N*25 ㎏ = 181.50  kg/일 </v>
      </c>
      <c r="C5876" s="439"/>
      <c r="D5876" s="439"/>
      <c r="E5876" s="439"/>
      <c r="F5876" s="439"/>
      <c r="G5876" s="451" t="s">
        <v>3990</v>
      </c>
      <c r="Z5876" s="512" t="str">
        <f>AM5872</f>
        <v>7.26</v>
      </c>
      <c r="AA5876" s="501" t="s">
        <v>3368</v>
      </c>
      <c r="AB5876" s="515">
        <v>25</v>
      </c>
      <c r="AC5876" s="501" t="s">
        <v>3418</v>
      </c>
      <c r="AD5876" s="512" t="str">
        <f>TEXT(ROUND(AM5872*AB5876,2),"#,0.00")</f>
        <v>181.50</v>
      </c>
      <c r="AE5876" s="500"/>
      <c r="AF5876" s="500"/>
      <c r="AG5876" s="500"/>
      <c r="AH5876" s="500"/>
      <c r="AI5876" s="500"/>
      <c r="AJ5876" s="500"/>
      <c r="AK5876" s="500"/>
      <c r="AL5876" s="500"/>
      <c r="AM5876" s="500"/>
      <c r="AN5876" s="500"/>
      <c r="AO5876" s="500"/>
      <c r="AP5876" s="500"/>
    </row>
    <row r="5877" spans="1:42" ht="16.5" customHeight="1">
      <c r="A5877" s="439"/>
      <c r="B5877" s="439"/>
      <c r="C5877" s="439"/>
      <c r="D5877" s="439"/>
      <c r="E5877" s="439"/>
      <c r="F5877" s="439"/>
      <c r="G5877" s="451" t="s">
        <v>3406</v>
      </c>
      <c r="Z5877" s="500"/>
      <c r="AA5877" s="500"/>
      <c r="AB5877" s="500"/>
      <c r="AC5877" s="500"/>
      <c r="AD5877" s="500"/>
      <c r="AE5877" s="500"/>
      <c r="AF5877" s="500"/>
      <c r="AG5877" s="500"/>
      <c r="AH5877" s="500"/>
      <c r="AI5877" s="500"/>
      <c r="AJ5877" s="500"/>
      <c r="AK5877" s="500"/>
      <c r="AL5877" s="500"/>
      <c r="AM5877" s="500"/>
      <c r="AN5877" s="500"/>
      <c r="AO5877" s="500"/>
      <c r="AP5877" s="500"/>
    </row>
    <row r="5878" spans="1:42" ht="16.5" customHeight="1">
      <c r="A5878" s="439"/>
      <c r="B5878" s="439"/>
      <c r="C5878" s="439"/>
      <c r="D5878" s="439"/>
      <c r="E5878" s="439"/>
      <c r="F5878" s="439"/>
      <c r="G5878" s="451" t="s">
        <v>3406</v>
      </c>
      <c r="Z5878" s="500"/>
      <c r="AA5878" s="500"/>
      <c r="AB5878" s="500"/>
      <c r="AC5878" s="500"/>
      <c r="AD5878" s="500"/>
      <c r="AE5878" s="500"/>
      <c r="AF5878" s="500"/>
      <c r="AG5878" s="500"/>
      <c r="AH5878" s="500"/>
      <c r="AI5878" s="500"/>
      <c r="AJ5878" s="500"/>
      <c r="AK5878" s="500"/>
      <c r="AL5878" s="500"/>
      <c r="AM5878" s="500"/>
      <c r="AN5878" s="500"/>
      <c r="AO5878" s="500"/>
      <c r="AP5878" s="500"/>
    </row>
    <row r="5879" spans="1:42" ht="16.5" customHeight="1">
      <c r="A5879" s="439"/>
      <c r="B5879" s="439"/>
      <c r="C5879" s="439"/>
      <c r="D5879" s="439"/>
      <c r="E5879" s="439"/>
      <c r="F5879" s="439"/>
      <c r="G5879" s="451" t="s">
        <v>3406</v>
      </c>
      <c r="Z5879" s="500"/>
      <c r="AA5879" s="500"/>
      <c r="AB5879" s="500"/>
      <c r="AC5879" s="500"/>
      <c r="AD5879" s="500"/>
      <c r="AE5879" s="500"/>
      <c r="AF5879" s="500"/>
      <c r="AG5879" s="500"/>
      <c r="AH5879" s="500"/>
      <c r="AI5879" s="500"/>
      <c r="AJ5879" s="500"/>
      <c r="AK5879" s="500"/>
      <c r="AL5879" s="500"/>
      <c r="AM5879" s="500"/>
      <c r="AN5879" s="500"/>
      <c r="AO5879" s="500"/>
      <c r="AP5879" s="500"/>
    </row>
    <row r="5880" spans="1:42" ht="16.5" customHeight="1">
      <c r="A5880" s="434"/>
      <c r="B5880" s="437" t="str">
        <f>" k = "&amp;Z5880&amp;" kg /Q"</f>
        <v xml:space="preserve"> k = 1000 kg /Q</v>
      </c>
      <c r="C5880" s="439"/>
      <c r="D5880" s="439"/>
      <c r="E5880" s="439"/>
      <c r="F5880" s="439"/>
      <c r="G5880" s="451" t="s">
        <v>3991</v>
      </c>
      <c r="Z5880" s="515">
        <v>1000</v>
      </c>
      <c r="AA5880" s="501" t="s">
        <v>3428</v>
      </c>
      <c r="AB5880" s="512" t="str">
        <f>AD5876</f>
        <v>181.50</v>
      </c>
      <c r="AC5880" s="501" t="s">
        <v>3418</v>
      </c>
      <c r="AD5880" s="512">
        <f>ROUND(Z5880/AD5876,13)</f>
        <v>5.5096418732782002</v>
      </c>
      <c r="AE5880" s="500"/>
      <c r="AF5880" s="500"/>
      <c r="AG5880" s="500"/>
      <c r="AH5880" s="500"/>
      <c r="AI5880" s="500"/>
      <c r="AJ5880" s="500"/>
      <c r="AK5880" s="500"/>
      <c r="AL5880" s="500"/>
      <c r="AM5880" s="500"/>
      <c r="AN5880" s="500"/>
      <c r="AO5880" s="500"/>
      <c r="AP5880" s="500"/>
    </row>
    <row r="5881" spans="1:42" ht="16.5" customHeight="1">
      <c r="A5881" s="439"/>
      <c r="B5881" s="439"/>
      <c r="C5881" s="439"/>
      <c r="D5881" s="439"/>
      <c r="E5881" s="439"/>
      <c r="F5881" s="439"/>
      <c r="G5881" s="451" t="s">
        <v>3406</v>
      </c>
      <c r="Z5881" s="500"/>
      <c r="AA5881" s="500"/>
      <c r="AB5881" s="500"/>
      <c r="AC5881" s="500"/>
      <c r="AD5881" s="500"/>
      <c r="AE5881" s="500"/>
      <c r="AF5881" s="500"/>
      <c r="AG5881" s="500"/>
      <c r="AH5881" s="500"/>
      <c r="AI5881" s="500"/>
      <c r="AJ5881" s="500"/>
      <c r="AK5881" s="500"/>
      <c r="AL5881" s="500"/>
      <c r="AM5881" s="500"/>
      <c r="AN5881" s="500"/>
      <c r="AO5881" s="500"/>
      <c r="AP5881" s="500"/>
    </row>
    <row r="5882" spans="1:42" ht="16.5" customHeight="1">
      <c r="A5882" s="439"/>
      <c r="B5882" s="439"/>
      <c r="C5882" s="439"/>
      <c r="D5882" s="439"/>
      <c r="E5882" s="439"/>
      <c r="F5882" s="439"/>
      <c r="G5882" s="451" t="s">
        <v>3406</v>
      </c>
      <c r="Z5882" s="500"/>
      <c r="AA5882" s="500"/>
      <c r="AB5882" s="500"/>
      <c r="AC5882" s="500"/>
      <c r="AD5882" s="500"/>
      <c r="AE5882" s="500"/>
      <c r="AF5882" s="500"/>
      <c r="AG5882" s="500"/>
      <c r="AH5882" s="500"/>
      <c r="AI5882" s="500"/>
      <c r="AJ5882" s="500"/>
      <c r="AK5882" s="500"/>
      <c r="AL5882" s="500"/>
      <c r="AM5882" s="500"/>
      <c r="AN5882" s="500"/>
      <c r="AO5882" s="500"/>
      <c r="AP5882" s="500"/>
    </row>
    <row r="5883" spans="1:42" ht="16.5" customHeight="1">
      <c r="A5883" s="439"/>
      <c r="B5883" s="439"/>
      <c r="C5883" s="439"/>
      <c r="D5883" s="439"/>
      <c r="E5883" s="439"/>
      <c r="F5883" s="439"/>
      <c r="G5883" s="451" t="s">
        <v>3406</v>
      </c>
      <c r="Z5883" s="500"/>
      <c r="AA5883" s="500"/>
      <c r="AB5883" s="500"/>
      <c r="AC5883" s="500"/>
      <c r="AD5883" s="500"/>
      <c r="AE5883" s="500"/>
      <c r="AF5883" s="500"/>
      <c r="AG5883" s="500"/>
      <c r="AH5883" s="500"/>
      <c r="AI5883" s="500"/>
      <c r="AJ5883" s="500"/>
      <c r="AK5883" s="500"/>
      <c r="AL5883" s="500"/>
      <c r="AM5883" s="500"/>
      <c r="AN5883" s="500"/>
      <c r="AO5883" s="500"/>
      <c r="AP5883" s="500"/>
    </row>
    <row r="5884" spans="1:42" ht="16.5" customHeight="1">
      <c r="A5884" s="434" t="s">
        <v>3992</v>
      </c>
      <c r="B5884" s="505" t="str">
        <f>" 인    부: "&amp;TEXT(I5884,"#,##0"&amp;IF(I5884&lt;&gt;INT(I5884),".###",""))&amp;"*k = "&amp;TEXT(C5884,"#,##0.0")&amp;" 원 "</f>
        <v xml:space="preserve"> 인    부: 172,068*k = 948,033.0 원 </v>
      </c>
      <c r="C5884" s="506">
        <f>E5884+D5884+F5884</f>
        <v>948033</v>
      </c>
      <c r="D5884" s="506">
        <f>IF(H5884=0,0,ROUNDDOWN(J5884*H5884,1))</f>
        <v>948033</v>
      </c>
      <c r="E5884" s="506">
        <f>IF(H5884=0,0,ROUNDDOWN(K5884*H5884,1))</f>
        <v>0</v>
      </c>
      <c r="F5884" s="506">
        <f>IF(H5884=0,0,ROUNDDOWN(L5884*H5884,1))</f>
        <v>0</v>
      </c>
      <c r="G5884" s="451" t="s">
        <v>3993</v>
      </c>
      <c r="H5884" s="507">
        <f>ROUNDUP(AC5884,14-LEN(ABS(INT(AC5884))))</f>
        <v>5.5096418732782002</v>
      </c>
      <c r="I5884" s="508">
        <f>K5884+J5884+L5884</f>
        <v>172068</v>
      </c>
      <c r="J5884" s="509">
        <f>노무비목록표!E10</f>
        <v>172068</v>
      </c>
      <c r="M5884" s="501" t="s">
        <v>2363</v>
      </c>
      <c r="N5884" s="501" t="s">
        <v>3994</v>
      </c>
      <c r="X5884" s="510" t="str">
        <f>노무비목록표!B10&amp;" / "&amp;노무비목록표!C10</f>
        <v xml:space="preserve">보통인부 / </v>
      </c>
      <c r="Y5884" s="433" t="str">
        <f ca="1">HYPERLINK("#"&amp;노무비목록표!G2&amp;"!A"&amp;ROW(노무비목록표!A10),"L00017 →")</f>
        <v>L00017 →</v>
      </c>
      <c r="Z5884" s="501" t="s">
        <v>3500</v>
      </c>
      <c r="AA5884" s="512">
        <f>AD5880</f>
        <v>5.5096418732782002</v>
      </c>
      <c r="AB5884" s="501" t="s">
        <v>3418</v>
      </c>
      <c r="AC5884" s="512">
        <f>1*AD5880</f>
        <v>5.5096418732782002</v>
      </c>
      <c r="AD5884" s="500"/>
      <c r="AE5884" s="500"/>
      <c r="AF5884" s="500"/>
      <c r="AG5884" s="500"/>
      <c r="AH5884" s="500"/>
      <c r="AI5884" s="500"/>
      <c r="AJ5884" s="500"/>
      <c r="AK5884" s="500"/>
      <c r="AL5884" s="500"/>
      <c r="AM5884" s="500"/>
      <c r="AN5884" s="500"/>
      <c r="AO5884" s="500"/>
      <c r="AP5884" s="500"/>
    </row>
    <row r="5885" spans="1:42" ht="16.5" customHeight="1">
      <c r="A5885" s="439"/>
      <c r="B5885" s="439"/>
      <c r="C5885" s="439"/>
      <c r="D5885" s="439"/>
      <c r="E5885" s="439"/>
      <c r="F5885" s="439"/>
      <c r="G5885" s="451" t="s">
        <v>3406</v>
      </c>
      <c r="Z5885" s="500"/>
      <c r="AA5885" s="500"/>
      <c r="AB5885" s="500"/>
      <c r="AC5885" s="500"/>
      <c r="AD5885" s="500"/>
      <c r="AE5885" s="500"/>
      <c r="AF5885" s="500"/>
      <c r="AG5885" s="500"/>
      <c r="AH5885" s="500"/>
      <c r="AI5885" s="500"/>
      <c r="AJ5885" s="500"/>
      <c r="AK5885" s="500"/>
      <c r="AL5885" s="500"/>
      <c r="AM5885" s="500"/>
      <c r="AN5885" s="500"/>
      <c r="AO5885" s="500"/>
      <c r="AP5885" s="500"/>
    </row>
    <row r="5886" spans="1:42" ht="16.5" customHeight="1">
      <c r="A5886" s="439"/>
      <c r="B5886" s="439"/>
      <c r="C5886" s="439"/>
      <c r="D5886" s="439"/>
      <c r="E5886" s="439"/>
      <c r="F5886" s="439"/>
      <c r="G5886" s="451" t="s">
        <v>3406</v>
      </c>
      <c r="Z5886" s="500"/>
      <c r="AA5886" s="500"/>
      <c r="AB5886" s="500"/>
      <c r="AC5886" s="500"/>
      <c r="AD5886" s="500"/>
      <c r="AE5886" s="500"/>
      <c r="AF5886" s="500"/>
      <c r="AG5886" s="500"/>
      <c r="AH5886" s="500"/>
      <c r="AI5886" s="500"/>
      <c r="AJ5886" s="500"/>
      <c r="AK5886" s="500"/>
      <c r="AL5886" s="500"/>
      <c r="AM5886" s="500"/>
      <c r="AN5886" s="500"/>
      <c r="AO5886" s="500"/>
      <c r="AP5886" s="500"/>
    </row>
    <row r="5887" spans="1:42" ht="16.5" customHeight="1">
      <c r="A5887" s="439"/>
      <c r="B5887" s="439"/>
      <c r="C5887" s="439"/>
      <c r="D5887" s="439"/>
      <c r="E5887" s="439"/>
      <c r="F5887" s="439"/>
      <c r="G5887" s="451" t="s">
        <v>3406</v>
      </c>
      <c r="Z5887" s="500"/>
      <c r="AA5887" s="500"/>
      <c r="AB5887" s="500"/>
      <c r="AC5887" s="500"/>
      <c r="AD5887" s="500"/>
      <c r="AE5887" s="500"/>
      <c r="AF5887" s="500"/>
      <c r="AG5887" s="500"/>
      <c r="AH5887" s="500"/>
      <c r="AI5887" s="500"/>
      <c r="AJ5887" s="500"/>
      <c r="AK5887" s="500"/>
      <c r="AL5887" s="500"/>
      <c r="AM5887" s="500"/>
      <c r="AN5887" s="500"/>
      <c r="AO5887" s="500"/>
      <c r="AP5887" s="500"/>
    </row>
    <row r="5888" spans="1:42" ht="16.5" customHeight="1">
      <c r="A5888" s="439"/>
      <c r="B5888" s="439"/>
      <c r="C5888" s="439"/>
      <c r="D5888" s="439"/>
      <c r="E5888" s="439"/>
      <c r="F5888" s="439"/>
      <c r="G5888" s="451" t="s">
        <v>3406</v>
      </c>
      <c r="Z5888" s="500"/>
      <c r="AA5888" s="500"/>
      <c r="AB5888" s="500"/>
      <c r="AC5888" s="500"/>
      <c r="AD5888" s="500"/>
      <c r="AE5888" s="500"/>
      <c r="AF5888" s="500"/>
      <c r="AG5888" s="500"/>
      <c r="AH5888" s="500"/>
      <c r="AI5888" s="500"/>
      <c r="AJ5888" s="500"/>
      <c r="AK5888" s="500"/>
      <c r="AL5888" s="500"/>
      <c r="AM5888" s="500"/>
      <c r="AN5888" s="500"/>
      <c r="AO5888" s="500"/>
      <c r="AP5888" s="500"/>
    </row>
    <row r="5889" spans="1:42" ht="16.5" customHeight="1">
      <c r="A5889" s="434"/>
      <c r="B5889" s="437" t="s">
        <v>3995</v>
      </c>
      <c r="C5889" s="516">
        <f>E5889+D5889+F5889</f>
        <v>948033</v>
      </c>
      <c r="D5889" s="516">
        <f>SUMIF(N5857:N5888,M5889,D5857:D5888)</f>
        <v>948033</v>
      </c>
      <c r="E5889" s="516">
        <f>SUMIF(N5857:N5888,M5889,E5857:E5888)</f>
        <v>0</v>
      </c>
      <c r="F5889" s="516">
        <f>SUMIF(N5857:N5888,M5889,F5857:F5888)</f>
        <v>0</v>
      </c>
      <c r="G5889" s="451" t="s">
        <v>3996</v>
      </c>
      <c r="M5889" s="501" t="s">
        <v>3994</v>
      </c>
      <c r="Z5889" s="500"/>
      <c r="AA5889" s="500"/>
      <c r="AB5889" s="500"/>
      <c r="AC5889" s="500"/>
      <c r="AD5889" s="500"/>
      <c r="AE5889" s="500"/>
      <c r="AF5889" s="500"/>
      <c r="AG5889" s="500"/>
      <c r="AH5889" s="500"/>
      <c r="AI5889" s="500"/>
      <c r="AJ5889" s="500"/>
      <c r="AK5889" s="500"/>
      <c r="AL5889" s="500"/>
      <c r="AM5889" s="500"/>
      <c r="AN5889" s="500"/>
      <c r="AO5889" s="500"/>
      <c r="AP5889" s="500"/>
    </row>
    <row r="5890" spans="1:42" ht="16.5" customHeight="1">
      <c r="A5890" s="439"/>
      <c r="B5890" s="439"/>
      <c r="C5890" s="517"/>
      <c r="D5890" s="517"/>
      <c r="E5890" s="517"/>
      <c r="F5890" s="517"/>
      <c r="G5890" s="451" t="s">
        <v>3406</v>
      </c>
      <c r="Z5890" s="500"/>
      <c r="AA5890" s="500"/>
      <c r="AB5890" s="500"/>
      <c r="AC5890" s="500"/>
      <c r="AD5890" s="500"/>
      <c r="AE5890" s="500"/>
      <c r="AF5890" s="500"/>
      <c r="AG5890" s="500"/>
      <c r="AH5890" s="500"/>
      <c r="AI5890" s="500"/>
      <c r="AJ5890" s="500"/>
      <c r="AK5890" s="500"/>
      <c r="AL5890" s="500"/>
      <c r="AM5890" s="500"/>
      <c r="AN5890" s="500"/>
      <c r="AO5890" s="500"/>
      <c r="AP5890" s="500"/>
    </row>
    <row r="5891" spans="1:42" ht="16.5" customHeight="1">
      <c r="A5891" s="439"/>
      <c r="B5891" s="439"/>
      <c r="C5891" s="439"/>
      <c r="D5891" s="439"/>
      <c r="E5891" s="439"/>
      <c r="F5891" s="439"/>
      <c r="G5891" s="451" t="s">
        <v>3406</v>
      </c>
      <c r="Z5891" s="500"/>
      <c r="AA5891" s="500"/>
      <c r="AB5891" s="500"/>
      <c r="AC5891" s="500"/>
      <c r="AD5891" s="500"/>
      <c r="AE5891" s="500"/>
      <c r="AF5891" s="500"/>
      <c r="AG5891" s="500"/>
      <c r="AH5891" s="500"/>
      <c r="AI5891" s="500"/>
      <c r="AJ5891" s="500"/>
      <c r="AK5891" s="500"/>
      <c r="AL5891" s="500"/>
      <c r="AM5891" s="500"/>
      <c r="AN5891" s="500"/>
      <c r="AO5891" s="500"/>
      <c r="AP5891" s="500"/>
    </row>
    <row r="5892" spans="1:42" ht="16.5" customHeight="1">
      <c r="A5892" s="434" t="s">
        <v>3997</v>
      </c>
      <c r="B5892" s="505" t="str">
        <f>" 경비로 적용 : "&amp;TEXT(I5892,"#,##0"&amp;IF(I5892&lt;&gt;INT(I5892),".###",""))&amp;"  = "&amp;TEXT(C5892,"#,##0.0")&amp;""</f>
        <v xml:space="preserve"> 경비로 적용 : 948,033  = 948,033.0</v>
      </c>
      <c r="C5892" s="506">
        <f>E5892+D5892+F5892</f>
        <v>948033</v>
      </c>
      <c r="D5892" s="506">
        <f>IF(H5892=0,0,ROUNDDOWN(J5892*H5892,1))</f>
        <v>0</v>
      </c>
      <c r="E5892" s="506">
        <f>IF(H5892=0,0,ROUNDDOWN(K5892*H5892,1))</f>
        <v>0</v>
      </c>
      <c r="F5892" s="506">
        <f>IF(H5892=0,0,ROUNDDOWN(L5892*H5892,1))</f>
        <v>948033</v>
      </c>
      <c r="G5892" s="451" t="s">
        <v>3998</v>
      </c>
      <c r="H5892" s="507">
        <f>ROUNDUP(AB5892,14-LEN(ABS(INT(AB5892))))</f>
        <v>1</v>
      </c>
      <c r="I5892" s="508">
        <f>K5892+J5892+L5892</f>
        <v>948033</v>
      </c>
      <c r="J5892" s="456">
        <v>0</v>
      </c>
      <c r="K5892" s="456">
        <v>0</v>
      </c>
      <c r="L5892" s="456">
        <v>948033</v>
      </c>
      <c r="M5892" s="501" t="s">
        <v>3999</v>
      </c>
      <c r="N5892" s="501" t="s">
        <v>2354</v>
      </c>
      <c r="Z5892" s="501" t="s">
        <v>4000</v>
      </c>
      <c r="AA5892" s="501" t="s">
        <v>3418</v>
      </c>
      <c r="AB5892" s="512">
        <f>1</f>
        <v>1</v>
      </c>
      <c r="AC5892" s="500"/>
      <c r="AD5892" s="500"/>
      <c r="AE5892" s="500"/>
      <c r="AF5892" s="500"/>
      <c r="AG5892" s="500"/>
      <c r="AH5892" s="500"/>
      <c r="AI5892" s="500"/>
      <c r="AJ5892" s="500"/>
      <c r="AK5892" s="500"/>
      <c r="AL5892" s="500"/>
      <c r="AM5892" s="500"/>
      <c r="AN5892" s="500"/>
      <c r="AO5892" s="500"/>
      <c r="AP5892" s="500"/>
    </row>
    <row r="5893" spans="1:42" ht="16.5" customHeight="1">
      <c r="A5893" s="439"/>
      <c r="B5893" s="439"/>
      <c r="C5893" s="439"/>
      <c r="D5893" s="439"/>
      <c r="E5893" s="439"/>
      <c r="F5893" s="439"/>
      <c r="Z5893" s="500"/>
      <c r="AA5893" s="500"/>
      <c r="AB5893" s="500"/>
      <c r="AC5893" s="500"/>
      <c r="AD5893" s="500"/>
      <c r="AE5893" s="500"/>
      <c r="AF5893" s="500"/>
      <c r="AG5893" s="500"/>
      <c r="AH5893" s="500"/>
      <c r="AI5893" s="500"/>
      <c r="AJ5893" s="500"/>
      <c r="AK5893" s="500"/>
      <c r="AL5893" s="500"/>
      <c r="AM5893" s="500"/>
      <c r="AN5893" s="500"/>
      <c r="AO5893" s="500"/>
      <c r="AP5893" s="500"/>
    </row>
    <row r="5894" spans="1:42" ht="16.5" customHeight="1">
      <c r="A5894" s="439"/>
      <c r="B5894" s="439"/>
      <c r="C5894" s="439"/>
      <c r="D5894" s="439"/>
      <c r="E5894" s="439"/>
      <c r="F5894" s="439"/>
      <c r="Z5894" s="500"/>
      <c r="AA5894" s="500"/>
      <c r="AB5894" s="500"/>
      <c r="AC5894" s="500"/>
      <c r="AD5894" s="500"/>
      <c r="AE5894" s="500"/>
      <c r="AF5894" s="500"/>
      <c r="AG5894" s="500"/>
      <c r="AH5894" s="500"/>
      <c r="AI5894" s="500"/>
      <c r="AJ5894" s="500"/>
      <c r="AK5894" s="500"/>
      <c r="AL5894" s="500"/>
      <c r="AM5894" s="500"/>
      <c r="AN5894" s="500"/>
      <c r="AO5894" s="500"/>
      <c r="AP5894" s="500"/>
    </row>
    <row r="5895" spans="1:42" ht="16.5" customHeight="1">
      <c r="A5895" s="439"/>
      <c r="B5895" s="439"/>
      <c r="C5895" s="439"/>
      <c r="D5895" s="439"/>
      <c r="E5895" s="439"/>
      <c r="F5895" s="439"/>
      <c r="Z5895" s="500"/>
      <c r="AA5895" s="500"/>
      <c r="AB5895" s="500"/>
      <c r="AC5895" s="500"/>
      <c r="AD5895" s="500"/>
      <c r="AE5895" s="500"/>
      <c r="AF5895" s="500"/>
      <c r="AG5895" s="500"/>
      <c r="AH5895" s="500"/>
      <c r="AI5895" s="500"/>
      <c r="AJ5895" s="500"/>
      <c r="AK5895" s="500"/>
      <c r="AL5895" s="500"/>
      <c r="AM5895" s="500"/>
      <c r="AN5895" s="500"/>
      <c r="AO5895" s="500"/>
      <c r="AP5895" s="500"/>
    </row>
    <row r="5896" spans="1:42" ht="16.5" customHeight="1">
      <c r="A5896" s="439"/>
      <c r="B5896" s="439"/>
      <c r="C5896" s="439"/>
      <c r="D5896" s="439"/>
      <c r="E5896" s="439"/>
      <c r="F5896" s="439"/>
      <c r="Z5896" s="500"/>
      <c r="AA5896" s="500"/>
      <c r="AB5896" s="500"/>
      <c r="AC5896" s="500"/>
      <c r="AD5896" s="500"/>
      <c r="AE5896" s="500"/>
      <c r="AF5896" s="500"/>
      <c r="AG5896" s="500"/>
      <c r="AH5896" s="500"/>
      <c r="AI5896" s="500"/>
      <c r="AJ5896" s="500"/>
      <c r="AK5896" s="500"/>
      <c r="AL5896" s="500"/>
      <c r="AM5896" s="500"/>
      <c r="AN5896" s="500"/>
      <c r="AO5896" s="500"/>
      <c r="AP5896" s="500"/>
    </row>
    <row r="5897" spans="1:42" ht="16.5" customHeight="1">
      <c r="A5897" s="439"/>
      <c r="B5897" s="439"/>
      <c r="C5897" s="439"/>
      <c r="D5897" s="439"/>
      <c r="E5897" s="439"/>
      <c r="F5897" s="439"/>
      <c r="Z5897" s="500"/>
      <c r="AA5897" s="500"/>
      <c r="AB5897" s="500"/>
      <c r="AC5897" s="500"/>
      <c r="AD5897" s="500"/>
      <c r="AE5897" s="500"/>
      <c r="AF5897" s="500"/>
      <c r="AG5897" s="500"/>
      <c r="AH5897" s="500"/>
      <c r="AI5897" s="500"/>
      <c r="AJ5897" s="500"/>
      <c r="AK5897" s="500"/>
      <c r="AL5897" s="500"/>
      <c r="AM5897" s="500"/>
      <c r="AN5897" s="500"/>
      <c r="AO5897" s="500"/>
      <c r="AP5897" s="500"/>
    </row>
    <row r="5898" spans="1:42" ht="16.5" customHeight="1">
      <c r="A5898" s="439"/>
      <c r="B5898" s="439"/>
      <c r="C5898" s="439"/>
      <c r="D5898" s="439"/>
      <c r="E5898" s="439"/>
      <c r="F5898" s="439"/>
      <c r="Z5898" s="500"/>
      <c r="AA5898" s="500"/>
      <c r="AB5898" s="500"/>
      <c r="AC5898" s="500"/>
      <c r="AD5898" s="500"/>
      <c r="AE5898" s="500"/>
      <c r="AF5898" s="500"/>
      <c r="AG5898" s="500"/>
      <c r="AH5898" s="500"/>
      <c r="AI5898" s="500"/>
      <c r="AJ5898" s="500"/>
      <c r="AK5898" s="500"/>
      <c r="AL5898" s="500"/>
      <c r="AM5898" s="500"/>
      <c r="AN5898" s="500"/>
      <c r="AO5898" s="500"/>
      <c r="AP5898" s="500"/>
    </row>
    <row r="5899" spans="1:42" ht="16.5" customHeight="1">
      <c r="A5899" s="439"/>
      <c r="B5899" s="439"/>
      <c r="C5899" s="439"/>
      <c r="D5899" s="439"/>
      <c r="E5899" s="439"/>
      <c r="F5899" s="439"/>
      <c r="Z5899" s="500"/>
      <c r="AA5899" s="500"/>
      <c r="AB5899" s="500"/>
      <c r="AC5899" s="500"/>
      <c r="AD5899" s="500"/>
      <c r="AE5899" s="500"/>
      <c r="AF5899" s="500"/>
      <c r="AG5899" s="500"/>
      <c r="AH5899" s="500"/>
      <c r="AI5899" s="500"/>
      <c r="AJ5899" s="500"/>
      <c r="AK5899" s="500"/>
      <c r="AL5899" s="500"/>
      <c r="AM5899" s="500"/>
      <c r="AN5899" s="500"/>
      <c r="AO5899" s="500"/>
      <c r="AP5899" s="500"/>
    </row>
    <row r="5900" spans="1:42" ht="16.5" customHeight="1">
      <c r="A5900" s="439"/>
      <c r="B5900" s="439"/>
      <c r="C5900" s="439"/>
      <c r="D5900" s="439"/>
      <c r="E5900" s="439"/>
      <c r="F5900" s="439"/>
      <c r="Z5900" s="500"/>
      <c r="AA5900" s="500"/>
      <c r="AB5900" s="500"/>
      <c r="AC5900" s="500"/>
      <c r="AD5900" s="500"/>
      <c r="AE5900" s="500"/>
      <c r="AF5900" s="500"/>
      <c r="AG5900" s="500"/>
      <c r="AH5900" s="500"/>
      <c r="AI5900" s="500"/>
      <c r="AJ5900" s="500"/>
      <c r="AK5900" s="500"/>
      <c r="AL5900" s="500"/>
      <c r="AM5900" s="500"/>
      <c r="AN5900" s="500"/>
      <c r="AO5900" s="500"/>
      <c r="AP5900" s="500"/>
    </row>
    <row r="5901" spans="1:42" ht="16.5" customHeight="1">
      <c r="A5901" s="439"/>
      <c r="B5901" s="439"/>
      <c r="C5901" s="439"/>
      <c r="D5901" s="439"/>
      <c r="E5901" s="439"/>
      <c r="F5901" s="439"/>
      <c r="Z5901" s="500"/>
      <c r="AA5901" s="500"/>
      <c r="AB5901" s="500"/>
      <c r="AC5901" s="500"/>
      <c r="AD5901" s="500"/>
      <c r="AE5901" s="500"/>
      <c r="AF5901" s="500"/>
      <c r="AG5901" s="500"/>
      <c r="AH5901" s="500"/>
      <c r="AI5901" s="500"/>
      <c r="AJ5901" s="500"/>
      <c r="AK5901" s="500"/>
      <c r="AL5901" s="500"/>
      <c r="AM5901" s="500"/>
      <c r="AN5901" s="500"/>
      <c r="AO5901" s="500"/>
      <c r="AP5901" s="500"/>
    </row>
    <row r="5902" spans="1:42" ht="16.5" customHeight="1">
      <c r="A5902" s="439"/>
      <c r="B5902" s="439"/>
      <c r="C5902" s="439"/>
      <c r="D5902" s="439"/>
      <c r="E5902" s="439"/>
      <c r="F5902" s="439"/>
      <c r="Z5902" s="500"/>
      <c r="AA5902" s="500"/>
      <c r="AB5902" s="500"/>
      <c r="AC5902" s="500"/>
      <c r="AD5902" s="500"/>
      <c r="AE5902" s="500"/>
      <c r="AF5902" s="500"/>
      <c r="AG5902" s="500"/>
      <c r="AH5902" s="500"/>
      <c r="AI5902" s="500"/>
      <c r="AJ5902" s="500"/>
      <c r="AK5902" s="500"/>
      <c r="AL5902" s="500"/>
      <c r="AM5902" s="500"/>
      <c r="AN5902" s="500"/>
      <c r="AO5902" s="500"/>
      <c r="AP5902" s="500"/>
    </row>
    <row r="5903" spans="1:42" ht="16.5" customHeight="1">
      <c r="A5903" s="497"/>
      <c r="B5903" s="497"/>
      <c r="C5903" s="497"/>
      <c r="D5903" s="497"/>
      <c r="E5903" s="497"/>
      <c r="F5903" s="497"/>
      <c r="Z5903" s="500"/>
      <c r="AA5903" s="500"/>
      <c r="AB5903" s="500"/>
      <c r="AC5903" s="500"/>
      <c r="AD5903" s="500"/>
      <c r="AE5903" s="500"/>
      <c r="AF5903" s="500"/>
      <c r="AG5903" s="500"/>
      <c r="AH5903" s="500"/>
      <c r="AI5903" s="500"/>
      <c r="AJ5903" s="500"/>
      <c r="AK5903" s="500"/>
      <c r="AL5903" s="500"/>
      <c r="AM5903" s="500"/>
      <c r="AN5903" s="500"/>
      <c r="AO5903" s="500"/>
      <c r="AP5903" s="500"/>
    </row>
    <row r="5904" spans="1:42" ht="16.5" customHeight="1">
      <c r="A5904" s="616" t="s">
        <v>3487</v>
      </c>
      <c r="B5904" s="605"/>
      <c r="C5904" s="446">
        <f>E5904+D5904+F5904</f>
        <v>948033</v>
      </c>
      <c r="D5904" s="453">
        <f>ROUNDDOWN(SUMIF(N5857:N5892,M5904,D5857:D5892),0)</f>
        <v>0</v>
      </c>
      <c r="E5904" s="454">
        <f>ROUNDDOWN(SUMIF(N5857:N5892,M5904,E5857:E5892),0)</f>
        <v>0</v>
      </c>
      <c r="F5904" s="446">
        <f>ROUNDDOWN(SUMIF(N5857:N5892,M5904,F5857:F5892),0)</f>
        <v>948033</v>
      </c>
      <c r="M5904" s="501" t="s">
        <v>2354</v>
      </c>
      <c r="Z5904" s="500"/>
      <c r="AA5904" s="500"/>
      <c r="AB5904" s="500"/>
      <c r="AC5904" s="500"/>
      <c r="AD5904" s="500"/>
      <c r="AE5904" s="500"/>
      <c r="AF5904" s="500"/>
      <c r="AG5904" s="500"/>
      <c r="AH5904" s="500"/>
      <c r="AI5904" s="500"/>
      <c r="AJ5904" s="500"/>
      <c r="AK5904" s="500"/>
      <c r="AL5904" s="500"/>
      <c r="AM5904" s="500"/>
      <c r="AN5904" s="500"/>
      <c r="AO5904" s="500"/>
      <c r="AP5904" s="500"/>
    </row>
    <row r="5905" spans="1:42" ht="16.5" customHeight="1">
      <c r="A5905" s="502"/>
      <c r="B5905" s="503" t="s">
        <v>2229</v>
      </c>
      <c r="C5905" s="615">
        <f>C5954</f>
        <v>984652</v>
      </c>
      <c r="D5905" s="615">
        <f>D5954</f>
        <v>0</v>
      </c>
      <c r="E5905" s="615">
        <f>E5954</f>
        <v>0</v>
      </c>
      <c r="F5905" s="615">
        <f>F5954</f>
        <v>984652</v>
      </c>
      <c r="G5905" s="486" t="str">
        <f>HYPERLINK("#G"&amp;ROW(G5942),"_x0005_`BDCOD|D01203_x0007_`POSS|"&amp;ROW(G5907)&amp;"_x0007_`POSE|"&amp;ROW(G5942)&amp;"_x0007_`")</f>
        <v>_x0005_`BDCOD|D01203_x0007_`POSS|5907_x0007_`POSE|5942_x0007_`</v>
      </c>
      <c r="Z5905" s="500"/>
      <c r="AA5905" s="500"/>
      <c r="AB5905" s="500"/>
      <c r="AC5905" s="500"/>
      <c r="AD5905" s="500"/>
      <c r="AE5905" s="500"/>
      <c r="AF5905" s="500"/>
      <c r="AG5905" s="500"/>
      <c r="AH5905" s="500"/>
      <c r="AI5905" s="500"/>
      <c r="AJ5905" s="500"/>
      <c r="AK5905" s="500"/>
      <c r="AL5905" s="500"/>
      <c r="AM5905" s="500"/>
      <c r="AN5905" s="500"/>
      <c r="AO5905" s="500"/>
      <c r="AP5905" s="500"/>
    </row>
    <row r="5906" spans="1:42" ht="16.5" customHeight="1">
      <c r="A5906" s="485"/>
      <c r="B5906" s="503" t="s">
        <v>4021</v>
      </c>
      <c r="C5906" s="593"/>
      <c r="D5906" s="593"/>
      <c r="E5906" s="593"/>
      <c r="F5906" s="593"/>
      <c r="M5906" s="501" t="s">
        <v>2229</v>
      </c>
      <c r="Z5906" s="500"/>
      <c r="AA5906" s="500"/>
      <c r="AB5906" s="500"/>
      <c r="AC5906" s="500"/>
      <c r="AD5906" s="500"/>
      <c r="AE5906" s="500"/>
      <c r="AF5906" s="500"/>
      <c r="AG5906" s="500"/>
      <c r="AH5906" s="500"/>
      <c r="AI5906" s="500"/>
      <c r="AJ5906" s="500"/>
      <c r="AK5906" s="500"/>
      <c r="AL5906" s="500"/>
      <c r="AM5906" s="500"/>
      <c r="AN5906" s="500"/>
      <c r="AO5906" s="500"/>
      <c r="AP5906" s="500"/>
    </row>
    <row r="5907" spans="1:42" ht="16.5" customHeight="1">
      <c r="A5907" s="434"/>
      <c r="B5907" s="437" t="s">
        <v>3980</v>
      </c>
      <c r="C5907" s="504"/>
      <c r="D5907" s="504"/>
      <c r="E5907" s="504"/>
      <c r="F5907" s="504"/>
      <c r="G5907" s="451" t="s">
        <v>3981</v>
      </c>
      <c r="Z5907" s="500"/>
      <c r="AA5907" s="500"/>
      <c r="AB5907" s="500"/>
      <c r="AC5907" s="500"/>
      <c r="AD5907" s="500"/>
      <c r="AE5907" s="500"/>
      <c r="AF5907" s="500"/>
      <c r="AG5907" s="500"/>
      <c r="AH5907" s="500"/>
      <c r="AI5907" s="500"/>
      <c r="AJ5907" s="500"/>
      <c r="AK5907" s="500"/>
      <c r="AL5907" s="500"/>
      <c r="AM5907" s="500"/>
      <c r="AN5907" s="500"/>
      <c r="AO5907" s="500"/>
      <c r="AP5907" s="500"/>
    </row>
    <row r="5908" spans="1:42" ht="16.5" customHeight="1">
      <c r="A5908" s="439"/>
      <c r="B5908" s="439"/>
      <c r="C5908" s="439"/>
      <c r="D5908" s="439"/>
      <c r="E5908" s="439"/>
      <c r="F5908" s="439"/>
      <c r="G5908" s="451" t="s">
        <v>3406</v>
      </c>
      <c r="Z5908" s="500"/>
      <c r="AA5908" s="500"/>
      <c r="AB5908" s="500"/>
      <c r="AC5908" s="500"/>
      <c r="AD5908" s="500"/>
      <c r="AE5908" s="500"/>
      <c r="AF5908" s="500"/>
      <c r="AG5908" s="500"/>
      <c r="AH5908" s="500"/>
      <c r="AI5908" s="500"/>
      <c r="AJ5908" s="500"/>
      <c r="AK5908" s="500"/>
      <c r="AL5908" s="500"/>
      <c r="AM5908" s="500"/>
      <c r="AN5908" s="500"/>
      <c r="AO5908" s="500"/>
      <c r="AP5908" s="500"/>
    </row>
    <row r="5909" spans="1:42" ht="16.5" customHeight="1">
      <c r="A5909" s="434"/>
      <c r="B5909" s="437" t="s">
        <v>4022</v>
      </c>
      <c r="C5909" s="439"/>
      <c r="D5909" s="439"/>
      <c r="E5909" s="439"/>
      <c r="F5909" s="439"/>
      <c r="G5909" s="451" t="s">
        <v>4023</v>
      </c>
      <c r="Z5909" s="500"/>
      <c r="AA5909" s="500"/>
      <c r="AB5909" s="500"/>
      <c r="AC5909" s="500"/>
      <c r="AD5909" s="500"/>
      <c r="AE5909" s="500"/>
      <c r="AF5909" s="500"/>
      <c r="AG5909" s="500"/>
      <c r="AH5909" s="500"/>
      <c r="AI5909" s="500"/>
      <c r="AJ5909" s="500"/>
      <c r="AK5909" s="500"/>
      <c r="AL5909" s="500"/>
      <c r="AM5909" s="500"/>
      <c r="AN5909" s="500"/>
      <c r="AO5909" s="500"/>
      <c r="AP5909" s="500"/>
    </row>
    <row r="5910" spans="1:42" ht="16.5" customHeight="1">
      <c r="A5910" s="439"/>
      <c r="B5910" s="439"/>
      <c r="C5910" s="439"/>
      <c r="D5910" s="439"/>
      <c r="E5910" s="439"/>
      <c r="F5910" s="439"/>
      <c r="G5910" s="451" t="s">
        <v>3406</v>
      </c>
      <c r="Z5910" s="500"/>
      <c r="AA5910" s="500"/>
      <c r="AB5910" s="500"/>
      <c r="AC5910" s="500"/>
      <c r="AD5910" s="500"/>
      <c r="AE5910" s="500"/>
      <c r="AF5910" s="500"/>
      <c r="AG5910" s="500"/>
      <c r="AH5910" s="500"/>
      <c r="AI5910" s="500"/>
      <c r="AJ5910" s="500"/>
      <c r="AK5910" s="500"/>
      <c r="AL5910" s="500"/>
      <c r="AM5910" s="500"/>
      <c r="AN5910" s="500"/>
      <c r="AO5910" s="500"/>
      <c r="AP5910" s="500"/>
    </row>
    <row r="5911" spans="1:42" ht="16.5" customHeight="1">
      <c r="A5911" s="439"/>
      <c r="B5911" s="439"/>
      <c r="C5911" s="439"/>
      <c r="D5911" s="439"/>
      <c r="E5911" s="439"/>
      <c r="F5911" s="439"/>
      <c r="G5911" s="451" t="s">
        <v>3406</v>
      </c>
      <c r="Z5911" s="500"/>
      <c r="AA5911" s="500"/>
      <c r="AB5911" s="500"/>
      <c r="AC5911" s="500"/>
      <c r="AD5911" s="500"/>
      <c r="AE5911" s="500"/>
      <c r="AF5911" s="500"/>
      <c r="AG5911" s="500"/>
      <c r="AH5911" s="500"/>
      <c r="AI5911" s="500"/>
      <c r="AJ5911" s="500"/>
      <c r="AK5911" s="500"/>
      <c r="AL5911" s="500"/>
      <c r="AM5911" s="500"/>
      <c r="AN5911" s="500"/>
      <c r="AO5911" s="500"/>
      <c r="AP5911" s="500"/>
    </row>
    <row r="5912" spans="1:42" ht="16.5" customHeight="1">
      <c r="A5912" s="434"/>
      <c r="B5912" s="437" t="s">
        <v>3984</v>
      </c>
      <c r="C5912" s="439"/>
      <c r="D5912" s="439"/>
      <c r="E5912" s="439"/>
      <c r="F5912" s="439"/>
      <c r="G5912" s="451" t="s">
        <v>3985</v>
      </c>
      <c r="Z5912" s="500"/>
      <c r="AA5912" s="500"/>
      <c r="AB5912" s="500"/>
      <c r="AC5912" s="500"/>
      <c r="AD5912" s="500"/>
      <c r="AE5912" s="500"/>
      <c r="AF5912" s="500"/>
      <c r="AG5912" s="500"/>
      <c r="AH5912" s="500"/>
      <c r="AI5912" s="500"/>
      <c r="AJ5912" s="500"/>
      <c r="AK5912" s="500"/>
      <c r="AL5912" s="500"/>
      <c r="AM5912" s="500"/>
      <c r="AN5912" s="500"/>
      <c r="AO5912" s="500"/>
      <c r="AP5912" s="500"/>
    </row>
    <row r="5913" spans="1:42" ht="16.5" customHeight="1">
      <c r="A5913" s="439"/>
      <c r="B5913" s="439"/>
      <c r="C5913" s="439"/>
      <c r="D5913" s="439"/>
      <c r="E5913" s="439"/>
      <c r="F5913" s="439"/>
      <c r="G5913" s="451" t="s">
        <v>3406</v>
      </c>
      <c r="Z5913" s="500"/>
      <c r="AA5913" s="500"/>
      <c r="AB5913" s="500"/>
      <c r="AC5913" s="500"/>
      <c r="AD5913" s="500"/>
      <c r="AE5913" s="500"/>
      <c r="AF5913" s="500"/>
      <c r="AG5913" s="500"/>
      <c r="AH5913" s="500"/>
      <c r="AI5913" s="500"/>
      <c r="AJ5913" s="500"/>
      <c r="AK5913" s="500"/>
      <c r="AL5913" s="500"/>
      <c r="AM5913" s="500"/>
      <c r="AN5913" s="500"/>
      <c r="AO5913" s="500"/>
      <c r="AP5913" s="500"/>
    </row>
    <row r="5914" spans="1:42" ht="16.5" customHeight="1">
      <c r="A5914" s="439"/>
      <c r="B5914" s="439"/>
      <c r="C5914" s="439"/>
      <c r="D5914" s="439"/>
      <c r="E5914" s="439"/>
      <c r="F5914" s="439"/>
      <c r="G5914" s="451" t="s">
        <v>3406</v>
      </c>
      <c r="Z5914" s="500"/>
      <c r="AA5914" s="500"/>
      <c r="AB5914" s="500"/>
      <c r="AC5914" s="500"/>
      <c r="AD5914" s="500"/>
      <c r="AE5914" s="500"/>
      <c r="AF5914" s="500"/>
      <c r="AG5914" s="500"/>
      <c r="AH5914" s="500"/>
      <c r="AI5914" s="500"/>
      <c r="AJ5914" s="500"/>
      <c r="AK5914" s="500"/>
      <c r="AL5914" s="500"/>
      <c r="AM5914" s="500"/>
      <c r="AN5914" s="500"/>
      <c r="AO5914" s="500"/>
      <c r="AP5914" s="500"/>
    </row>
    <row r="5915" spans="1:42" ht="16.5" customHeight="1">
      <c r="A5915" s="434"/>
      <c r="B5915" s="437" t="s">
        <v>3986</v>
      </c>
      <c r="C5915" s="439"/>
      <c r="D5915" s="439"/>
      <c r="E5915" s="439"/>
      <c r="F5915" s="439"/>
      <c r="G5915" s="451" t="s">
        <v>3987</v>
      </c>
      <c r="Z5915" s="500"/>
      <c r="AA5915" s="500"/>
      <c r="AB5915" s="500"/>
      <c r="AC5915" s="500"/>
      <c r="AD5915" s="500"/>
      <c r="AE5915" s="500"/>
      <c r="AF5915" s="500"/>
      <c r="AG5915" s="500"/>
      <c r="AH5915" s="500"/>
      <c r="AI5915" s="500"/>
      <c r="AJ5915" s="500"/>
      <c r="AK5915" s="500"/>
      <c r="AL5915" s="500"/>
      <c r="AM5915" s="500"/>
      <c r="AN5915" s="500"/>
      <c r="AO5915" s="500"/>
      <c r="AP5915" s="500"/>
    </row>
    <row r="5916" spans="1:42" ht="16.5" customHeight="1">
      <c r="A5916" s="439"/>
      <c r="B5916" s="439"/>
      <c r="C5916" s="439"/>
      <c r="D5916" s="439"/>
      <c r="E5916" s="439"/>
      <c r="F5916" s="439"/>
      <c r="G5916" s="451" t="s">
        <v>3406</v>
      </c>
      <c r="Z5916" s="500"/>
      <c r="AA5916" s="500"/>
      <c r="AB5916" s="500"/>
      <c r="AC5916" s="500"/>
      <c r="AD5916" s="500"/>
      <c r="AE5916" s="500"/>
      <c r="AF5916" s="500"/>
      <c r="AG5916" s="500"/>
      <c r="AH5916" s="500"/>
      <c r="AI5916" s="500"/>
      <c r="AJ5916" s="500"/>
      <c r="AK5916" s="500"/>
      <c r="AL5916" s="500"/>
      <c r="AM5916" s="500"/>
      <c r="AN5916" s="500"/>
      <c r="AO5916" s="500"/>
      <c r="AP5916" s="500"/>
    </row>
    <row r="5917" spans="1:42" ht="16.5" customHeight="1">
      <c r="A5917" s="439"/>
      <c r="B5917" s="439"/>
      <c r="C5917" s="439"/>
      <c r="D5917" s="439"/>
      <c r="E5917" s="439"/>
      <c r="F5917" s="439"/>
      <c r="G5917" s="451" t="s">
        <v>3406</v>
      </c>
      <c r="Z5917" s="500"/>
      <c r="AA5917" s="500"/>
      <c r="AB5917" s="500"/>
      <c r="AC5917" s="500"/>
      <c r="AD5917" s="500"/>
      <c r="AE5917" s="500"/>
      <c r="AF5917" s="500"/>
      <c r="AG5917" s="500"/>
      <c r="AH5917" s="500"/>
      <c r="AI5917" s="500"/>
      <c r="AJ5917" s="500"/>
      <c r="AK5917" s="500"/>
      <c r="AL5917" s="500"/>
      <c r="AM5917" s="500"/>
      <c r="AN5917" s="500"/>
      <c r="AO5917" s="500"/>
      <c r="AP5917" s="500"/>
    </row>
    <row r="5918" spans="1:42" ht="16.5" customHeight="1">
      <c r="A5918" s="434"/>
      <c r="B5918" s="437" t="str">
        <f>" L = "&amp;Z5918&amp;" , V = "&amp;AD5918&amp;" , t = "&amp;AH5918&amp;"  , T = "&amp;AL5918&amp;"-"&amp;AN5918&amp;""</f>
        <v xml:space="preserve"> L = 1300 , V = 2500 , t = 2  , T = 480-30</v>
      </c>
      <c r="C5918" s="439"/>
      <c r="D5918" s="439"/>
      <c r="E5918" s="439"/>
      <c r="F5918" s="439"/>
      <c r="G5918" s="451" t="s">
        <v>4024</v>
      </c>
      <c r="Z5918" s="515">
        <v>1300</v>
      </c>
      <c r="AA5918" s="501" t="s">
        <v>3418</v>
      </c>
      <c r="AB5918" s="512">
        <f>Z5918</f>
        <v>1300</v>
      </c>
      <c r="AC5918" s="514" t="s">
        <v>3427</v>
      </c>
      <c r="AD5918" s="515">
        <v>2500</v>
      </c>
      <c r="AE5918" s="501" t="s">
        <v>3418</v>
      </c>
      <c r="AF5918" s="512">
        <f>AD5918</f>
        <v>2500</v>
      </c>
      <c r="AG5918" s="514" t="s">
        <v>3427</v>
      </c>
      <c r="AH5918" s="515">
        <v>2</v>
      </c>
      <c r="AI5918" s="501" t="s">
        <v>3418</v>
      </c>
      <c r="AJ5918" s="512">
        <f>AH5918</f>
        <v>2</v>
      </c>
      <c r="AK5918" s="514" t="s">
        <v>3427</v>
      </c>
      <c r="AL5918" s="515">
        <v>480</v>
      </c>
      <c r="AM5918" s="501" t="s">
        <v>3474</v>
      </c>
      <c r="AN5918" s="515">
        <v>30</v>
      </c>
      <c r="AO5918" s="501" t="s">
        <v>3418</v>
      </c>
      <c r="AP5918" s="512">
        <f>AL5918-AN5918</f>
        <v>450</v>
      </c>
    </row>
    <row r="5919" spans="1:42" ht="16.5" customHeight="1">
      <c r="A5919" s="439"/>
      <c r="B5919" s="439"/>
      <c r="C5919" s="439"/>
      <c r="D5919" s="439"/>
      <c r="E5919" s="439"/>
      <c r="F5919" s="439"/>
      <c r="G5919" s="451" t="s">
        <v>3406</v>
      </c>
      <c r="Z5919" s="500"/>
      <c r="AA5919" s="500"/>
      <c r="AB5919" s="500"/>
      <c r="AC5919" s="500"/>
      <c r="AD5919" s="500"/>
      <c r="AE5919" s="500"/>
      <c r="AF5919" s="500"/>
      <c r="AG5919" s="500"/>
      <c r="AH5919" s="500"/>
      <c r="AI5919" s="500"/>
      <c r="AJ5919" s="500"/>
      <c r="AK5919" s="500"/>
      <c r="AL5919" s="500"/>
      <c r="AM5919" s="500"/>
      <c r="AN5919" s="500"/>
      <c r="AO5919" s="500"/>
      <c r="AP5919" s="500"/>
    </row>
    <row r="5920" spans="1:42" ht="16.5" customHeight="1">
      <c r="A5920" s="439"/>
      <c r="B5920" s="439"/>
      <c r="C5920" s="439"/>
      <c r="D5920" s="439"/>
      <c r="E5920" s="439"/>
      <c r="F5920" s="439"/>
      <c r="G5920" s="451" t="s">
        <v>3406</v>
      </c>
      <c r="Z5920" s="500"/>
      <c r="AA5920" s="500"/>
      <c r="AB5920" s="500"/>
      <c r="AC5920" s="500"/>
      <c r="AD5920" s="500"/>
      <c r="AE5920" s="500"/>
      <c r="AF5920" s="500"/>
      <c r="AG5920" s="500"/>
      <c r="AH5920" s="500"/>
      <c r="AI5920" s="500"/>
      <c r="AJ5920" s="500"/>
      <c r="AK5920" s="500"/>
      <c r="AL5920" s="500"/>
      <c r="AM5920" s="500"/>
      <c r="AN5920" s="500"/>
      <c r="AO5920" s="500"/>
      <c r="AP5920" s="500"/>
    </row>
    <row r="5921" spans="1:42" ht="16.5" customHeight="1">
      <c r="A5921" s="439"/>
      <c r="B5921" s="439"/>
      <c r="C5921" s="439"/>
      <c r="D5921" s="439"/>
      <c r="E5921" s="439"/>
      <c r="F5921" s="439"/>
      <c r="G5921" s="451" t="s">
        <v>3406</v>
      </c>
      <c r="Z5921" s="500"/>
      <c r="AA5921" s="500"/>
      <c r="AB5921" s="500"/>
      <c r="AC5921" s="500"/>
      <c r="AD5921" s="500"/>
      <c r="AE5921" s="500"/>
      <c r="AF5921" s="500"/>
      <c r="AG5921" s="500"/>
      <c r="AH5921" s="500"/>
      <c r="AI5921" s="500"/>
      <c r="AJ5921" s="500"/>
      <c r="AK5921" s="500"/>
      <c r="AL5921" s="500"/>
      <c r="AM5921" s="500"/>
      <c r="AN5921" s="500"/>
      <c r="AO5921" s="500"/>
      <c r="AP5921" s="500"/>
    </row>
    <row r="5922" spans="1:42" ht="16.5" customHeight="1">
      <c r="A5922" s="434"/>
      <c r="B5922" s="437" t="str">
        <f>" N = V*T /( "&amp;AD5922&amp;"*L+V*"&amp;AJ5922&amp;" ) = "&amp;AM5922&amp;" 회/일 "</f>
        <v xml:space="preserve"> N = V*T /( 120*L+V*2 ) = 6.99 회/일 </v>
      </c>
      <c r="C5922" s="439"/>
      <c r="D5922" s="439"/>
      <c r="E5922" s="439"/>
      <c r="F5922" s="439"/>
      <c r="G5922" s="451" t="s">
        <v>3989</v>
      </c>
      <c r="Z5922" s="512">
        <f>AF5918</f>
        <v>2500</v>
      </c>
      <c r="AA5922" s="501" t="s">
        <v>3368</v>
      </c>
      <c r="AB5922" s="512">
        <f>AP5918</f>
        <v>450</v>
      </c>
      <c r="AC5922" s="501" t="s">
        <v>3463</v>
      </c>
      <c r="AD5922" s="515">
        <v>120</v>
      </c>
      <c r="AE5922" s="501" t="s">
        <v>3368</v>
      </c>
      <c r="AF5922" s="512">
        <f>AB5918</f>
        <v>1300</v>
      </c>
      <c r="AG5922" s="501" t="s">
        <v>3468</v>
      </c>
      <c r="AH5922" s="512">
        <f>AF5918</f>
        <v>2500</v>
      </c>
      <c r="AI5922" s="501" t="s">
        <v>3368</v>
      </c>
      <c r="AJ5922" s="515">
        <v>2</v>
      </c>
      <c r="AK5922" s="501" t="s">
        <v>3464</v>
      </c>
      <c r="AL5922" s="501" t="s">
        <v>3418</v>
      </c>
      <c r="AM5922" s="512" t="str">
        <f>TEXT(ROUND(AF5918*AP5918/(AD5922*AB5918+AF5918*AJ5922),2),"#,0.00")</f>
        <v>6.99</v>
      </c>
      <c r="AN5922" s="500"/>
      <c r="AO5922" s="500"/>
      <c r="AP5922" s="500"/>
    </row>
    <row r="5923" spans="1:42" ht="16.5" customHeight="1">
      <c r="A5923" s="439"/>
      <c r="B5923" s="439"/>
      <c r="C5923" s="439"/>
      <c r="D5923" s="439"/>
      <c r="E5923" s="439"/>
      <c r="F5923" s="439"/>
      <c r="G5923" s="451" t="s">
        <v>3406</v>
      </c>
      <c r="Z5923" s="500"/>
      <c r="AA5923" s="500"/>
      <c r="AB5923" s="500"/>
      <c r="AC5923" s="500"/>
      <c r="AD5923" s="500"/>
      <c r="AE5923" s="500"/>
      <c r="AF5923" s="500"/>
      <c r="AG5923" s="500"/>
      <c r="AH5923" s="500"/>
      <c r="AI5923" s="500"/>
      <c r="AJ5923" s="500"/>
      <c r="AK5923" s="500"/>
      <c r="AL5923" s="500"/>
      <c r="AM5923" s="500"/>
      <c r="AN5923" s="500"/>
      <c r="AO5923" s="500"/>
      <c r="AP5923" s="500"/>
    </row>
    <row r="5924" spans="1:42" ht="16.5" customHeight="1">
      <c r="A5924" s="439"/>
      <c r="B5924" s="439"/>
      <c r="C5924" s="439"/>
      <c r="D5924" s="439"/>
      <c r="E5924" s="439"/>
      <c r="F5924" s="439"/>
      <c r="G5924" s="451" t="s">
        <v>3406</v>
      </c>
      <c r="Z5924" s="500"/>
      <c r="AA5924" s="500"/>
      <c r="AB5924" s="500"/>
      <c r="AC5924" s="500"/>
      <c r="AD5924" s="500"/>
      <c r="AE5924" s="500"/>
      <c r="AF5924" s="500"/>
      <c r="AG5924" s="500"/>
      <c r="AH5924" s="500"/>
      <c r="AI5924" s="500"/>
      <c r="AJ5924" s="500"/>
      <c r="AK5924" s="500"/>
      <c r="AL5924" s="500"/>
      <c r="AM5924" s="500"/>
      <c r="AN5924" s="500"/>
      <c r="AO5924" s="500"/>
      <c r="AP5924" s="500"/>
    </row>
    <row r="5925" spans="1:42" ht="16.5" customHeight="1">
      <c r="A5925" s="439"/>
      <c r="B5925" s="439"/>
      <c r="C5925" s="439"/>
      <c r="D5925" s="439"/>
      <c r="E5925" s="439"/>
      <c r="F5925" s="439"/>
      <c r="G5925" s="451" t="s">
        <v>3406</v>
      </c>
      <c r="Z5925" s="500"/>
      <c r="AA5925" s="500"/>
      <c r="AB5925" s="500"/>
      <c r="AC5925" s="500"/>
      <c r="AD5925" s="500"/>
      <c r="AE5925" s="500"/>
      <c r="AF5925" s="500"/>
      <c r="AG5925" s="500"/>
      <c r="AH5925" s="500"/>
      <c r="AI5925" s="500"/>
      <c r="AJ5925" s="500"/>
      <c r="AK5925" s="500"/>
      <c r="AL5925" s="500"/>
      <c r="AM5925" s="500"/>
      <c r="AN5925" s="500"/>
      <c r="AO5925" s="500"/>
      <c r="AP5925" s="500"/>
    </row>
    <row r="5926" spans="1:42" ht="16.5" customHeight="1">
      <c r="A5926" s="434"/>
      <c r="B5926" s="437" t="str">
        <f>" Q = N*"&amp;AB5926&amp;" ㎏ = "&amp;AD5926&amp;"  kg/일 "</f>
        <v xml:space="preserve"> Q = N*25 ㎏ = 174.75  kg/일 </v>
      </c>
      <c r="C5926" s="439"/>
      <c r="D5926" s="439"/>
      <c r="E5926" s="439"/>
      <c r="F5926" s="439"/>
      <c r="G5926" s="451" t="s">
        <v>3990</v>
      </c>
      <c r="Z5926" s="512" t="str">
        <f>AM5922</f>
        <v>6.99</v>
      </c>
      <c r="AA5926" s="501" t="s">
        <v>3368</v>
      </c>
      <c r="AB5926" s="515">
        <v>25</v>
      </c>
      <c r="AC5926" s="501" t="s">
        <v>3418</v>
      </c>
      <c r="AD5926" s="512" t="str">
        <f>TEXT(ROUND(AM5922*AB5926,2),"#,0.00")</f>
        <v>174.75</v>
      </c>
      <c r="AE5926" s="500"/>
      <c r="AF5926" s="500"/>
      <c r="AG5926" s="500"/>
      <c r="AH5926" s="500"/>
      <c r="AI5926" s="500"/>
      <c r="AJ5926" s="500"/>
      <c r="AK5926" s="500"/>
      <c r="AL5926" s="500"/>
      <c r="AM5926" s="500"/>
      <c r="AN5926" s="500"/>
      <c r="AO5926" s="500"/>
      <c r="AP5926" s="500"/>
    </row>
    <row r="5927" spans="1:42" ht="16.5" customHeight="1">
      <c r="A5927" s="439"/>
      <c r="B5927" s="439"/>
      <c r="C5927" s="439"/>
      <c r="D5927" s="439"/>
      <c r="E5927" s="439"/>
      <c r="F5927" s="439"/>
      <c r="G5927" s="451" t="s">
        <v>3406</v>
      </c>
      <c r="Z5927" s="500"/>
      <c r="AA5927" s="500"/>
      <c r="AB5927" s="500"/>
      <c r="AC5927" s="500"/>
      <c r="AD5927" s="500"/>
      <c r="AE5927" s="500"/>
      <c r="AF5927" s="500"/>
      <c r="AG5927" s="500"/>
      <c r="AH5927" s="500"/>
      <c r="AI5927" s="500"/>
      <c r="AJ5927" s="500"/>
      <c r="AK5927" s="500"/>
      <c r="AL5927" s="500"/>
      <c r="AM5927" s="500"/>
      <c r="AN5927" s="500"/>
      <c r="AO5927" s="500"/>
      <c r="AP5927" s="500"/>
    </row>
    <row r="5928" spans="1:42" ht="16.5" customHeight="1">
      <c r="A5928" s="439"/>
      <c r="B5928" s="439"/>
      <c r="C5928" s="439"/>
      <c r="D5928" s="439"/>
      <c r="E5928" s="439"/>
      <c r="F5928" s="439"/>
      <c r="G5928" s="451" t="s">
        <v>3406</v>
      </c>
      <c r="Z5928" s="500"/>
      <c r="AA5928" s="500"/>
      <c r="AB5928" s="500"/>
      <c r="AC5928" s="500"/>
      <c r="AD5928" s="500"/>
      <c r="AE5928" s="500"/>
      <c r="AF5928" s="500"/>
      <c r="AG5928" s="500"/>
      <c r="AH5928" s="500"/>
      <c r="AI5928" s="500"/>
      <c r="AJ5928" s="500"/>
      <c r="AK5928" s="500"/>
      <c r="AL5928" s="500"/>
      <c r="AM5928" s="500"/>
      <c r="AN5928" s="500"/>
      <c r="AO5928" s="500"/>
      <c r="AP5928" s="500"/>
    </row>
    <row r="5929" spans="1:42" ht="16.5" customHeight="1">
      <c r="A5929" s="439"/>
      <c r="B5929" s="439"/>
      <c r="C5929" s="439"/>
      <c r="D5929" s="439"/>
      <c r="E5929" s="439"/>
      <c r="F5929" s="439"/>
      <c r="G5929" s="451" t="s">
        <v>3406</v>
      </c>
      <c r="Z5929" s="500"/>
      <c r="AA5929" s="500"/>
      <c r="AB5929" s="500"/>
      <c r="AC5929" s="500"/>
      <c r="AD5929" s="500"/>
      <c r="AE5929" s="500"/>
      <c r="AF5929" s="500"/>
      <c r="AG5929" s="500"/>
      <c r="AH5929" s="500"/>
      <c r="AI5929" s="500"/>
      <c r="AJ5929" s="500"/>
      <c r="AK5929" s="500"/>
      <c r="AL5929" s="500"/>
      <c r="AM5929" s="500"/>
      <c r="AN5929" s="500"/>
      <c r="AO5929" s="500"/>
      <c r="AP5929" s="500"/>
    </row>
    <row r="5930" spans="1:42" ht="16.5" customHeight="1">
      <c r="A5930" s="434"/>
      <c r="B5930" s="437" t="str">
        <f>" k = "&amp;Z5930&amp;" kg /Q"</f>
        <v xml:space="preserve"> k = 1000 kg /Q</v>
      </c>
      <c r="C5930" s="439"/>
      <c r="D5930" s="439"/>
      <c r="E5930" s="439"/>
      <c r="F5930" s="439"/>
      <c r="G5930" s="451" t="s">
        <v>3991</v>
      </c>
      <c r="Z5930" s="515">
        <v>1000</v>
      </c>
      <c r="AA5930" s="501" t="s">
        <v>3428</v>
      </c>
      <c r="AB5930" s="512" t="str">
        <f>AD5926</f>
        <v>174.75</v>
      </c>
      <c r="AC5930" s="501" t="s">
        <v>3418</v>
      </c>
      <c r="AD5930" s="512">
        <f>ROUND(Z5930/AD5926,13)</f>
        <v>5.7224606580830004</v>
      </c>
      <c r="AE5930" s="500"/>
      <c r="AF5930" s="500"/>
      <c r="AG5930" s="500"/>
      <c r="AH5930" s="500"/>
      <c r="AI5930" s="500"/>
      <c r="AJ5930" s="500"/>
      <c r="AK5930" s="500"/>
      <c r="AL5930" s="500"/>
      <c r="AM5930" s="500"/>
      <c r="AN5930" s="500"/>
      <c r="AO5930" s="500"/>
      <c r="AP5930" s="500"/>
    </row>
    <row r="5931" spans="1:42" ht="16.5" customHeight="1">
      <c r="A5931" s="439"/>
      <c r="B5931" s="439"/>
      <c r="C5931" s="439"/>
      <c r="D5931" s="439"/>
      <c r="E5931" s="439"/>
      <c r="F5931" s="439"/>
      <c r="G5931" s="451" t="s">
        <v>3406</v>
      </c>
      <c r="Z5931" s="500"/>
      <c r="AA5931" s="500"/>
      <c r="AB5931" s="500"/>
      <c r="AC5931" s="500"/>
      <c r="AD5931" s="500"/>
      <c r="AE5931" s="500"/>
      <c r="AF5931" s="500"/>
      <c r="AG5931" s="500"/>
      <c r="AH5931" s="500"/>
      <c r="AI5931" s="500"/>
      <c r="AJ5931" s="500"/>
      <c r="AK5931" s="500"/>
      <c r="AL5931" s="500"/>
      <c r="AM5931" s="500"/>
      <c r="AN5931" s="500"/>
      <c r="AO5931" s="500"/>
      <c r="AP5931" s="500"/>
    </row>
    <row r="5932" spans="1:42" ht="16.5" customHeight="1">
      <c r="A5932" s="439"/>
      <c r="B5932" s="439"/>
      <c r="C5932" s="439"/>
      <c r="D5932" s="439"/>
      <c r="E5932" s="439"/>
      <c r="F5932" s="439"/>
      <c r="G5932" s="451" t="s">
        <v>3406</v>
      </c>
      <c r="Z5932" s="500"/>
      <c r="AA5932" s="500"/>
      <c r="AB5932" s="500"/>
      <c r="AC5932" s="500"/>
      <c r="AD5932" s="500"/>
      <c r="AE5932" s="500"/>
      <c r="AF5932" s="500"/>
      <c r="AG5932" s="500"/>
      <c r="AH5932" s="500"/>
      <c r="AI5932" s="500"/>
      <c r="AJ5932" s="500"/>
      <c r="AK5932" s="500"/>
      <c r="AL5932" s="500"/>
      <c r="AM5932" s="500"/>
      <c r="AN5932" s="500"/>
      <c r="AO5932" s="500"/>
      <c r="AP5932" s="500"/>
    </row>
    <row r="5933" spans="1:42" ht="16.5" customHeight="1">
      <c r="A5933" s="439"/>
      <c r="B5933" s="439"/>
      <c r="C5933" s="439"/>
      <c r="D5933" s="439"/>
      <c r="E5933" s="439"/>
      <c r="F5933" s="439"/>
      <c r="G5933" s="451" t="s">
        <v>3406</v>
      </c>
      <c r="Z5933" s="500"/>
      <c r="AA5933" s="500"/>
      <c r="AB5933" s="500"/>
      <c r="AC5933" s="500"/>
      <c r="AD5933" s="500"/>
      <c r="AE5933" s="500"/>
      <c r="AF5933" s="500"/>
      <c r="AG5933" s="500"/>
      <c r="AH5933" s="500"/>
      <c r="AI5933" s="500"/>
      <c r="AJ5933" s="500"/>
      <c r="AK5933" s="500"/>
      <c r="AL5933" s="500"/>
      <c r="AM5933" s="500"/>
      <c r="AN5933" s="500"/>
      <c r="AO5933" s="500"/>
      <c r="AP5933" s="500"/>
    </row>
    <row r="5934" spans="1:42" ht="16.5" customHeight="1">
      <c r="A5934" s="434" t="s">
        <v>3992</v>
      </c>
      <c r="B5934" s="505" t="str">
        <f>" 인    부: "&amp;TEXT(I5934,"#,##0"&amp;IF(I5934&lt;&gt;INT(I5934),".###",""))&amp;"*k = "&amp;TEXT(C5934,"#,##0.0")&amp;" 원 "</f>
        <v xml:space="preserve"> 인    부: 172,068*k = 984,652.3 원 </v>
      </c>
      <c r="C5934" s="506">
        <f>E5934+D5934+F5934</f>
        <v>984652.3</v>
      </c>
      <c r="D5934" s="506">
        <f>IF(H5934=0,0,ROUNDDOWN(J5934*H5934,1))</f>
        <v>984652.3</v>
      </c>
      <c r="E5934" s="506">
        <f>IF(H5934=0,0,ROUNDDOWN(K5934*H5934,1))</f>
        <v>0</v>
      </c>
      <c r="F5934" s="506">
        <f>IF(H5934=0,0,ROUNDDOWN(L5934*H5934,1))</f>
        <v>0</v>
      </c>
      <c r="G5934" s="451" t="s">
        <v>3993</v>
      </c>
      <c r="H5934" s="507">
        <f>ROUNDUP(AC5934,14-LEN(ABS(INT(AC5934))))</f>
        <v>5.7224606580830004</v>
      </c>
      <c r="I5934" s="508">
        <f>K5934+J5934+L5934</f>
        <v>172068</v>
      </c>
      <c r="J5934" s="509">
        <f>노무비목록표!E10</f>
        <v>172068</v>
      </c>
      <c r="M5934" s="501" t="s">
        <v>2363</v>
      </c>
      <c r="N5934" s="501" t="s">
        <v>3994</v>
      </c>
      <c r="X5934" s="510" t="str">
        <f>노무비목록표!B10&amp;" / "&amp;노무비목록표!C10</f>
        <v xml:space="preserve">보통인부 / </v>
      </c>
      <c r="Y5934" s="433" t="str">
        <f ca="1">HYPERLINK("#"&amp;노무비목록표!G2&amp;"!A"&amp;ROW(노무비목록표!A10),"L00017 →")</f>
        <v>L00017 →</v>
      </c>
      <c r="Z5934" s="501" t="s">
        <v>3500</v>
      </c>
      <c r="AA5934" s="512">
        <f>AD5930</f>
        <v>5.7224606580830004</v>
      </c>
      <c r="AB5934" s="501" t="s">
        <v>3418</v>
      </c>
      <c r="AC5934" s="512">
        <f>1*AD5930</f>
        <v>5.7224606580830004</v>
      </c>
      <c r="AD5934" s="500"/>
      <c r="AE5934" s="500"/>
      <c r="AF5934" s="500"/>
      <c r="AG5934" s="500"/>
      <c r="AH5934" s="500"/>
      <c r="AI5934" s="500"/>
      <c r="AJ5934" s="500"/>
      <c r="AK5934" s="500"/>
      <c r="AL5934" s="500"/>
      <c r="AM5934" s="500"/>
      <c r="AN5934" s="500"/>
      <c r="AO5934" s="500"/>
      <c r="AP5934" s="500"/>
    </row>
    <row r="5935" spans="1:42" ht="16.5" customHeight="1">
      <c r="A5935" s="439"/>
      <c r="B5935" s="439"/>
      <c r="C5935" s="439"/>
      <c r="D5935" s="439"/>
      <c r="E5935" s="439"/>
      <c r="F5935" s="439"/>
      <c r="G5935" s="451" t="s">
        <v>3406</v>
      </c>
      <c r="Z5935" s="500"/>
      <c r="AA5935" s="500"/>
      <c r="AB5935" s="500"/>
      <c r="AC5935" s="500"/>
      <c r="AD5935" s="500"/>
      <c r="AE5935" s="500"/>
      <c r="AF5935" s="500"/>
      <c r="AG5935" s="500"/>
      <c r="AH5935" s="500"/>
      <c r="AI5935" s="500"/>
      <c r="AJ5935" s="500"/>
      <c r="AK5935" s="500"/>
      <c r="AL5935" s="500"/>
      <c r="AM5935" s="500"/>
      <c r="AN5935" s="500"/>
      <c r="AO5935" s="500"/>
      <c r="AP5935" s="500"/>
    </row>
    <row r="5936" spans="1:42" ht="16.5" customHeight="1">
      <c r="A5936" s="439"/>
      <c r="B5936" s="439"/>
      <c r="C5936" s="439"/>
      <c r="D5936" s="439"/>
      <c r="E5936" s="439"/>
      <c r="F5936" s="439"/>
      <c r="G5936" s="451" t="s">
        <v>3406</v>
      </c>
      <c r="Z5936" s="500"/>
      <c r="AA5936" s="500"/>
      <c r="AB5936" s="500"/>
      <c r="AC5936" s="500"/>
      <c r="AD5936" s="500"/>
      <c r="AE5936" s="500"/>
      <c r="AF5936" s="500"/>
      <c r="AG5936" s="500"/>
      <c r="AH5936" s="500"/>
      <c r="AI5936" s="500"/>
      <c r="AJ5936" s="500"/>
      <c r="AK5936" s="500"/>
      <c r="AL5936" s="500"/>
      <c r="AM5936" s="500"/>
      <c r="AN5936" s="500"/>
      <c r="AO5936" s="500"/>
      <c r="AP5936" s="500"/>
    </row>
    <row r="5937" spans="1:42" ht="16.5" customHeight="1">
      <c r="A5937" s="439"/>
      <c r="B5937" s="439"/>
      <c r="C5937" s="439"/>
      <c r="D5937" s="439"/>
      <c r="E5937" s="439"/>
      <c r="F5937" s="439"/>
      <c r="G5937" s="451" t="s">
        <v>3406</v>
      </c>
      <c r="Z5937" s="500"/>
      <c r="AA5937" s="500"/>
      <c r="AB5937" s="500"/>
      <c r="AC5937" s="500"/>
      <c r="AD5937" s="500"/>
      <c r="AE5937" s="500"/>
      <c r="AF5937" s="500"/>
      <c r="AG5937" s="500"/>
      <c r="AH5937" s="500"/>
      <c r="AI5937" s="500"/>
      <c r="AJ5937" s="500"/>
      <c r="AK5937" s="500"/>
      <c r="AL5937" s="500"/>
      <c r="AM5937" s="500"/>
      <c r="AN5937" s="500"/>
      <c r="AO5937" s="500"/>
      <c r="AP5937" s="500"/>
    </row>
    <row r="5938" spans="1:42" ht="16.5" customHeight="1">
      <c r="A5938" s="439"/>
      <c r="B5938" s="439"/>
      <c r="C5938" s="439"/>
      <c r="D5938" s="439"/>
      <c r="E5938" s="439"/>
      <c r="F5938" s="439"/>
      <c r="G5938" s="451" t="s">
        <v>3406</v>
      </c>
      <c r="Z5938" s="500"/>
      <c r="AA5938" s="500"/>
      <c r="AB5938" s="500"/>
      <c r="AC5938" s="500"/>
      <c r="AD5938" s="500"/>
      <c r="AE5938" s="500"/>
      <c r="AF5938" s="500"/>
      <c r="AG5938" s="500"/>
      <c r="AH5938" s="500"/>
      <c r="AI5938" s="500"/>
      <c r="AJ5938" s="500"/>
      <c r="AK5938" s="500"/>
      <c r="AL5938" s="500"/>
      <c r="AM5938" s="500"/>
      <c r="AN5938" s="500"/>
      <c r="AO5938" s="500"/>
      <c r="AP5938" s="500"/>
    </row>
    <row r="5939" spans="1:42" ht="16.5" customHeight="1">
      <c r="A5939" s="434"/>
      <c r="B5939" s="437" t="s">
        <v>3995</v>
      </c>
      <c r="C5939" s="516">
        <f>E5939+D5939+F5939</f>
        <v>984652.3</v>
      </c>
      <c r="D5939" s="516">
        <f>SUMIF(N5907:N5938,M5939,D5907:D5938)</f>
        <v>984652.3</v>
      </c>
      <c r="E5939" s="516">
        <f>SUMIF(N5907:N5938,M5939,E5907:E5938)</f>
        <v>0</v>
      </c>
      <c r="F5939" s="516">
        <f>SUMIF(N5907:N5938,M5939,F5907:F5938)</f>
        <v>0</v>
      </c>
      <c r="G5939" s="451" t="s">
        <v>3996</v>
      </c>
      <c r="M5939" s="501" t="s">
        <v>3994</v>
      </c>
      <c r="Z5939" s="500"/>
      <c r="AA5939" s="500"/>
      <c r="AB5939" s="500"/>
      <c r="AC5939" s="500"/>
      <c r="AD5939" s="500"/>
      <c r="AE5939" s="500"/>
      <c r="AF5939" s="500"/>
      <c r="AG5939" s="500"/>
      <c r="AH5939" s="500"/>
      <c r="AI5939" s="500"/>
      <c r="AJ5939" s="500"/>
      <c r="AK5939" s="500"/>
      <c r="AL5939" s="500"/>
      <c r="AM5939" s="500"/>
      <c r="AN5939" s="500"/>
      <c r="AO5939" s="500"/>
      <c r="AP5939" s="500"/>
    </row>
    <row r="5940" spans="1:42" ht="16.5" customHeight="1">
      <c r="A5940" s="439"/>
      <c r="B5940" s="439"/>
      <c r="C5940" s="517"/>
      <c r="D5940" s="517"/>
      <c r="E5940" s="517"/>
      <c r="F5940" s="517"/>
      <c r="G5940" s="451" t="s">
        <v>3406</v>
      </c>
      <c r="Z5940" s="500"/>
      <c r="AA5940" s="500"/>
      <c r="AB5940" s="500"/>
      <c r="AC5940" s="500"/>
      <c r="AD5940" s="500"/>
      <c r="AE5940" s="500"/>
      <c r="AF5940" s="500"/>
      <c r="AG5940" s="500"/>
      <c r="AH5940" s="500"/>
      <c r="AI5940" s="500"/>
      <c r="AJ5940" s="500"/>
      <c r="AK5940" s="500"/>
      <c r="AL5940" s="500"/>
      <c r="AM5940" s="500"/>
      <c r="AN5940" s="500"/>
      <c r="AO5940" s="500"/>
      <c r="AP5940" s="500"/>
    </row>
    <row r="5941" spans="1:42" ht="16.5" customHeight="1">
      <c r="A5941" s="439"/>
      <c r="B5941" s="439"/>
      <c r="C5941" s="439"/>
      <c r="D5941" s="439"/>
      <c r="E5941" s="439"/>
      <c r="F5941" s="439"/>
      <c r="G5941" s="451" t="s">
        <v>3406</v>
      </c>
      <c r="Z5941" s="500"/>
      <c r="AA5941" s="500"/>
      <c r="AB5941" s="500"/>
      <c r="AC5941" s="500"/>
      <c r="AD5941" s="500"/>
      <c r="AE5941" s="500"/>
      <c r="AF5941" s="500"/>
      <c r="AG5941" s="500"/>
      <c r="AH5941" s="500"/>
      <c r="AI5941" s="500"/>
      <c r="AJ5941" s="500"/>
      <c r="AK5941" s="500"/>
      <c r="AL5941" s="500"/>
      <c r="AM5941" s="500"/>
      <c r="AN5941" s="500"/>
      <c r="AO5941" s="500"/>
      <c r="AP5941" s="500"/>
    </row>
    <row r="5942" spans="1:42" ht="16.5" customHeight="1">
      <c r="A5942" s="434" t="s">
        <v>3997</v>
      </c>
      <c r="B5942" s="505" t="str">
        <f>" 경비로 적용 : "&amp;TEXT(I5942,"#,##0"&amp;IF(I5942&lt;&gt;INT(I5942),".###",""))&amp;"  = "&amp;TEXT(C5942,"#,##0.0")&amp;""</f>
        <v xml:space="preserve"> 경비로 적용 : 984,652.3  = 984,652.3</v>
      </c>
      <c r="C5942" s="506">
        <f>E5942+D5942+F5942</f>
        <v>984652.3</v>
      </c>
      <c r="D5942" s="506">
        <f>IF(H5942=0,0,ROUNDDOWN(J5942*H5942,1))</f>
        <v>0</v>
      </c>
      <c r="E5942" s="506">
        <f>IF(H5942=0,0,ROUNDDOWN(K5942*H5942,1))</f>
        <v>0</v>
      </c>
      <c r="F5942" s="506">
        <f>IF(H5942=0,0,ROUNDDOWN(L5942*H5942,1))</f>
        <v>984652.3</v>
      </c>
      <c r="G5942" s="451" t="s">
        <v>3998</v>
      </c>
      <c r="H5942" s="507">
        <f>ROUNDUP(AB5942,14-LEN(ABS(INT(AB5942))))</f>
        <v>1</v>
      </c>
      <c r="I5942" s="508">
        <f>K5942+J5942+L5942</f>
        <v>984652.3</v>
      </c>
      <c r="J5942" s="456">
        <v>0</v>
      </c>
      <c r="K5942" s="456">
        <v>0</v>
      </c>
      <c r="L5942" s="518">
        <v>984652.3</v>
      </c>
      <c r="M5942" s="501" t="s">
        <v>3999</v>
      </c>
      <c r="N5942" s="501" t="s">
        <v>2354</v>
      </c>
      <c r="Z5942" s="501" t="s">
        <v>4000</v>
      </c>
      <c r="AA5942" s="501" t="s">
        <v>3418</v>
      </c>
      <c r="AB5942" s="512">
        <f>1</f>
        <v>1</v>
      </c>
      <c r="AC5942" s="500"/>
      <c r="AD5942" s="500"/>
      <c r="AE5942" s="500"/>
      <c r="AF5942" s="500"/>
      <c r="AG5942" s="500"/>
      <c r="AH5942" s="500"/>
      <c r="AI5942" s="500"/>
      <c r="AJ5942" s="500"/>
      <c r="AK5942" s="500"/>
      <c r="AL5942" s="500"/>
      <c r="AM5942" s="500"/>
      <c r="AN5942" s="500"/>
      <c r="AO5942" s="500"/>
      <c r="AP5942" s="500"/>
    </row>
    <row r="5943" spans="1:42" ht="16.5" customHeight="1">
      <c r="A5943" s="439"/>
      <c r="B5943" s="439"/>
      <c r="C5943" s="439"/>
      <c r="D5943" s="439"/>
      <c r="E5943" s="439"/>
      <c r="F5943" s="439"/>
      <c r="Z5943" s="500"/>
      <c r="AA5943" s="500"/>
      <c r="AB5943" s="500"/>
      <c r="AC5943" s="500"/>
      <c r="AD5943" s="500"/>
      <c r="AE5943" s="500"/>
      <c r="AF5943" s="500"/>
      <c r="AG5943" s="500"/>
      <c r="AH5943" s="500"/>
      <c r="AI5943" s="500"/>
      <c r="AJ5943" s="500"/>
      <c r="AK5943" s="500"/>
      <c r="AL5943" s="500"/>
      <c r="AM5943" s="500"/>
      <c r="AN5943" s="500"/>
      <c r="AO5943" s="500"/>
      <c r="AP5943" s="500"/>
    </row>
    <row r="5944" spans="1:42" ht="16.5" customHeight="1">
      <c r="A5944" s="439"/>
      <c r="B5944" s="439"/>
      <c r="C5944" s="439"/>
      <c r="D5944" s="439"/>
      <c r="E5944" s="439"/>
      <c r="F5944" s="439"/>
      <c r="Z5944" s="500"/>
      <c r="AA5944" s="500"/>
      <c r="AB5944" s="500"/>
      <c r="AC5944" s="500"/>
      <c r="AD5944" s="500"/>
      <c r="AE5944" s="500"/>
      <c r="AF5944" s="500"/>
      <c r="AG5944" s="500"/>
      <c r="AH5944" s="500"/>
      <c r="AI5944" s="500"/>
      <c r="AJ5944" s="500"/>
      <c r="AK5944" s="500"/>
      <c r="AL5944" s="500"/>
      <c r="AM5944" s="500"/>
      <c r="AN5944" s="500"/>
      <c r="AO5944" s="500"/>
      <c r="AP5944" s="500"/>
    </row>
    <row r="5945" spans="1:42" ht="16.5" customHeight="1">
      <c r="A5945" s="439"/>
      <c r="B5945" s="439"/>
      <c r="C5945" s="439"/>
      <c r="D5945" s="439"/>
      <c r="E5945" s="439"/>
      <c r="F5945" s="439"/>
      <c r="Z5945" s="500"/>
      <c r="AA5945" s="500"/>
      <c r="AB5945" s="500"/>
      <c r="AC5945" s="500"/>
      <c r="AD5945" s="500"/>
      <c r="AE5945" s="500"/>
      <c r="AF5945" s="500"/>
      <c r="AG5945" s="500"/>
      <c r="AH5945" s="500"/>
      <c r="AI5945" s="500"/>
      <c r="AJ5945" s="500"/>
      <c r="AK5945" s="500"/>
      <c r="AL5945" s="500"/>
      <c r="AM5945" s="500"/>
      <c r="AN5945" s="500"/>
      <c r="AO5945" s="500"/>
      <c r="AP5945" s="500"/>
    </row>
    <row r="5946" spans="1:42" ht="16.5" customHeight="1">
      <c r="A5946" s="439"/>
      <c r="B5946" s="439"/>
      <c r="C5946" s="439"/>
      <c r="D5946" s="439"/>
      <c r="E5946" s="439"/>
      <c r="F5946" s="439"/>
      <c r="Z5946" s="500"/>
      <c r="AA5946" s="500"/>
      <c r="AB5946" s="500"/>
      <c r="AC5946" s="500"/>
      <c r="AD5946" s="500"/>
      <c r="AE5946" s="500"/>
      <c r="AF5946" s="500"/>
      <c r="AG5946" s="500"/>
      <c r="AH5946" s="500"/>
      <c r="AI5946" s="500"/>
      <c r="AJ5946" s="500"/>
      <c r="AK5946" s="500"/>
      <c r="AL5946" s="500"/>
      <c r="AM5946" s="500"/>
      <c r="AN5946" s="500"/>
      <c r="AO5946" s="500"/>
      <c r="AP5946" s="500"/>
    </row>
    <row r="5947" spans="1:42" ht="16.5" customHeight="1">
      <c r="A5947" s="439"/>
      <c r="B5947" s="439"/>
      <c r="C5947" s="439"/>
      <c r="D5947" s="439"/>
      <c r="E5947" s="439"/>
      <c r="F5947" s="439"/>
      <c r="Z5947" s="500"/>
      <c r="AA5947" s="500"/>
      <c r="AB5947" s="500"/>
      <c r="AC5947" s="500"/>
      <c r="AD5947" s="500"/>
      <c r="AE5947" s="500"/>
      <c r="AF5947" s="500"/>
      <c r="AG5947" s="500"/>
      <c r="AH5947" s="500"/>
      <c r="AI5947" s="500"/>
      <c r="AJ5947" s="500"/>
      <c r="AK5947" s="500"/>
      <c r="AL5947" s="500"/>
      <c r="AM5947" s="500"/>
      <c r="AN5947" s="500"/>
      <c r="AO5947" s="500"/>
      <c r="AP5947" s="500"/>
    </row>
    <row r="5948" spans="1:42" ht="16.5" customHeight="1">
      <c r="A5948" s="439"/>
      <c r="B5948" s="439"/>
      <c r="C5948" s="439"/>
      <c r="D5948" s="439"/>
      <c r="E5948" s="439"/>
      <c r="F5948" s="439"/>
      <c r="Z5948" s="500"/>
      <c r="AA5948" s="500"/>
      <c r="AB5948" s="500"/>
      <c r="AC5948" s="500"/>
      <c r="AD5948" s="500"/>
      <c r="AE5948" s="500"/>
      <c r="AF5948" s="500"/>
      <c r="AG5948" s="500"/>
      <c r="AH5948" s="500"/>
      <c r="AI5948" s="500"/>
      <c r="AJ5948" s="500"/>
      <c r="AK5948" s="500"/>
      <c r="AL5948" s="500"/>
      <c r="AM5948" s="500"/>
      <c r="AN5948" s="500"/>
      <c r="AO5948" s="500"/>
      <c r="AP5948" s="500"/>
    </row>
    <row r="5949" spans="1:42" ht="16.5" customHeight="1">
      <c r="A5949" s="439"/>
      <c r="B5949" s="439"/>
      <c r="C5949" s="439"/>
      <c r="D5949" s="439"/>
      <c r="E5949" s="439"/>
      <c r="F5949" s="439"/>
      <c r="Z5949" s="500"/>
      <c r="AA5949" s="500"/>
      <c r="AB5949" s="500"/>
      <c r="AC5949" s="500"/>
      <c r="AD5949" s="500"/>
      <c r="AE5949" s="500"/>
      <c r="AF5949" s="500"/>
      <c r="AG5949" s="500"/>
      <c r="AH5949" s="500"/>
      <c r="AI5949" s="500"/>
      <c r="AJ5949" s="500"/>
      <c r="AK5949" s="500"/>
      <c r="AL5949" s="500"/>
      <c r="AM5949" s="500"/>
      <c r="AN5949" s="500"/>
      <c r="AO5949" s="500"/>
      <c r="AP5949" s="500"/>
    </row>
    <row r="5950" spans="1:42" ht="16.5" customHeight="1">
      <c r="A5950" s="439"/>
      <c r="B5950" s="439"/>
      <c r="C5950" s="439"/>
      <c r="D5950" s="439"/>
      <c r="E5950" s="439"/>
      <c r="F5950" s="439"/>
      <c r="Z5950" s="500"/>
      <c r="AA5950" s="500"/>
      <c r="AB5950" s="500"/>
      <c r="AC5950" s="500"/>
      <c r="AD5950" s="500"/>
      <c r="AE5950" s="500"/>
      <c r="AF5950" s="500"/>
      <c r="AG5950" s="500"/>
      <c r="AH5950" s="500"/>
      <c r="AI5950" s="500"/>
      <c r="AJ5950" s="500"/>
      <c r="AK5950" s="500"/>
      <c r="AL5950" s="500"/>
      <c r="AM5950" s="500"/>
      <c r="AN5950" s="500"/>
      <c r="AO5950" s="500"/>
      <c r="AP5950" s="500"/>
    </row>
    <row r="5951" spans="1:42" ht="16.5" customHeight="1">
      <c r="A5951" s="439"/>
      <c r="B5951" s="439"/>
      <c r="C5951" s="439"/>
      <c r="D5951" s="439"/>
      <c r="E5951" s="439"/>
      <c r="F5951" s="439"/>
      <c r="Z5951" s="500"/>
      <c r="AA5951" s="500"/>
      <c r="AB5951" s="500"/>
      <c r="AC5951" s="500"/>
      <c r="AD5951" s="500"/>
      <c r="AE5951" s="500"/>
      <c r="AF5951" s="500"/>
      <c r="AG5951" s="500"/>
      <c r="AH5951" s="500"/>
      <c r="AI5951" s="500"/>
      <c r="AJ5951" s="500"/>
      <c r="AK5951" s="500"/>
      <c r="AL5951" s="500"/>
      <c r="AM5951" s="500"/>
      <c r="AN5951" s="500"/>
      <c r="AO5951" s="500"/>
      <c r="AP5951" s="500"/>
    </row>
    <row r="5952" spans="1:42" ht="16.5" customHeight="1">
      <c r="A5952" s="439"/>
      <c r="B5952" s="439"/>
      <c r="C5952" s="439"/>
      <c r="D5952" s="439"/>
      <c r="E5952" s="439"/>
      <c r="F5952" s="439"/>
      <c r="Z5952" s="500"/>
      <c r="AA5952" s="500"/>
      <c r="AB5952" s="500"/>
      <c r="AC5952" s="500"/>
      <c r="AD5952" s="500"/>
      <c r="AE5952" s="500"/>
      <c r="AF5952" s="500"/>
      <c r="AG5952" s="500"/>
      <c r="AH5952" s="500"/>
      <c r="AI5952" s="500"/>
      <c r="AJ5952" s="500"/>
      <c r="AK5952" s="500"/>
      <c r="AL5952" s="500"/>
      <c r="AM5952" s="500"/>
      <c r="AN5952" s="500"/>
      <c r="AO5952" s="500"/>
      <c r="AP5952" s="500"/>
    </row>
    <row r="5953" spans="1:42" ht="16.5" customHeight="1">
      <c r="A5953" s="497"/>
      <c r="B5953" s="497"/>
      <c r="C5953" s="497"/>
      <c r="D5953" s="497"/>
      <c r="E5953" s="497"/>
      <c r="F5953" s="497"/>
      <c r="Z5953" s="500"/>
      <c r="AA5953" s="500"/>
      <c r="AB5953" s="500"/>
      <c r="AC5953" s="500"/>
      <c r="AD5953" s="500"/>
      <c r="AE5953" s="500"/>
      <c r="AF5953" s="500"/>
      <c r="AG5953" s="500"/>
      <c r="AH5953" s="500"/>
      <c r="AI5953" s="500"/>
      <c r="AJ5953" s="500"/>
      <c r="AK5953" s="500"/>
      <c r="AL5953" s="500"/>
      <c r="AM5953" s="500"/>
      <c r="AN5953" s="500"/>
      <c r="AO5953" s="500"/>
      <c r="AP5953" s="500"/>
    </row>
    <row r="5954" spans="1:42" ht="16.5" customHeight="1">
      <c r="A5954" s="616" t="s">
        <v>3487</v>
      </c>
      <c r="B5954" s="605"/>
      <c r="C5954" s="446">
        <f>E5954+D5954+F5954</f>
        <v>984652</v>
      </c>
      <c r="D5954" s="453">
        <f>ROUNDDOWN(SUMIF(N5907:N5942,M5954,D5907:D5942),0)</f>
        <v>0</v>
      </c>
      <c r="E5954" s="454">
        <f>ROUNDDOWN(SUMIF(N5907:N5942,M5954,E5907:E5942),0)</f>
        <v>0</v>
      </c>
      <c r="F5954" s="446">
        <f>ROUNDDOWN(SUMIF(N5907:N5942,M5954,F5907:F5942),0)</f>
        <v>984652</v>
      </c>
      <c r="M5954" s="501" t="s">
        <v>2354</v>
      </c>
      <c r="Z5954" s="500"/>
      <c r="AA5954" s="500"/>
      <c r="AB5954" s="500"/>
      <c r="AC5954" s="500"/>
      <c r="AD5954" s="500"/>
      <c r="AE5954" s="500"/>
      <c r="AF5954" s="500"/>
      <c r="AG5954" s="500"/>
      <c r="AH5954" s="500"/>
      <c r="AI5954" s="500"/>
      <c r="AJ5954" s="500"/>
      <c r="AK5954" s="500"/>
      <c r="AL5954" s="500"/>
      <c r="AM5954" s="500"/>
      <c r="AN5954" s="500"/>
      <c r="AO5954" s="500"/>
      <c r="AP5954" s="500"/>
    </row>
    <row r="5955" spans="1:42" ht="16.5" customHeight="1">
      <c r="A5955" s="502"/>
      <c r="B5955" s="503" t="s">
        <v>2233</v>
      </c>
      <c r="C5955" s="615">
        <f>C6004</f>
        <v>1021175</v>
      </c>
      <c r="D5955" s="615">
        <f>D6004</f>
        <v>0</v>
      </c>
      <c r="E5955" s="615">
        <f>E6004</f>
        <v>0</v>
      </c>
      <c r="F5955" s="615">
        <f>F6004</f>
        <v>1021175</v>
      </c>
      <c r="G5955" s="486" t="str">
        <f>HYPERLINK("#G"&amp;ROW(G5992),"_x0005_`BDCOD|D01204_x0007_`POSS|"&amp;ROW(G5957)&amp;"_x0007_`POSE|"&amp;ROW(G5992)&amp;"_x0007_`")</f>
        <v>_x0005_`BDCOD|D01204_x0007_`POSS|5957_x0007_`POSE|5992_x0007_`</v>
      </c>
      <c r="Z5955" s="500"/>
      <c r="AA5955" s="500"/>
      <c r="AB5955" s="500"/>
      <c r="AC5955" s="500"/>
      <c r="AD5955" s="500"/>
      <c r="AE5955" s="500"/>
      <c r="AF5955" s="500"/>
      <c r="AG5955" s="500"/>
      <c r="AH5955" s="500"/>
      <c r="AI5955" s="500"/>
      <c r="AJ5955" s="500"/>
      <c r="AK5955" s="500"/>
      <c r="AL5955" s="500"/>
      <c r="AM5955" s="500"/>
      <c r="AN5955" s="500"/>
      <c r="AO5955" s="500"/>
      <c r="AP5955" s="500"/>
    </row>
    <row r="5956" spans="1:42" ht="16.5" customHeight="1">
      <c r="A5956" s="485"/>
      <c r="B5956" s="503" t="s">
        <v>4025</v>
      </c>
      <c r="C5956" s="593"/>
      <c r="D5956" s="593"/>
      <c r="E5956" s="593"/>
      <c r="F5956" s="593"/>
      <c r="M5956" s="501" t="s">
        <v>2233</v>
      </c>
      <c r="Z5956" s="500"/>
      <c r="AA5956" s="500"/>
      <c r="AB5956" s="500"/>
      <c r="AC5956" s="500"/>
      <c r="AD5956" s="500"/>
      <c r="AE5956" s="500"/>
      <c r="AF5956" s="500"/>
      <c r="AG5956" s="500"/>
      <c r="AH5956" s="500"/>
      <c r="AI5956" s="500"/>
      <c r="AJ5956" s="500"/>
      <c r="AK5956" s="500"/>
      <c r="AL5956" s="500"/>
      <c r="AM5956" s="500"/>
      <c r="AN5956" s="500"/>
      <c r="AO5956" s="500"/>
      <c r="AP5956" s="500"/>
    </row>
    <row r="5957" spans="1:42" ht="16.5" customHeight="1">
      <c r="A5957" s="434"/>
      <c r="B5957" s="437" t="s">
        <v>3980</v>
      </c>
      <c r="C5957" s="504"/>
      <c r="D5957" s="504"/>
      <c r="E5957" s="504"/>
      <c r="F5957" s="504"/>
      <c r="G5957" s="451" t="s">
        <v>3981</v>
      </c>
      <c r="Z5957" s="500"/>
      <c r="AA5957" s="500"/>
      <c r="AB5957" s="500"/>
      <c r="AC5957" s="500"/>
      <c r="AD5957" s="500"/>
      <c r="AE5957" s="500"/>
      <c r="AF5957" s="500"/>
      <c r="AG5957" s="500"/>
      <c r="AH5957" s="500"/>
      <c r="AI5957" s="500"/>
      <c r="AJ5957" s="500"/>
      <c r="AK5957" s="500"/>
      <c r="AL5957" s="500"/>
      <c r="AM5957" s="500"/>
      <c r="AN5957" s="500"/>
      <c r="AO5957" s="500"/>
      <c r="AP5957" s="500"/>
    </row>
    <row r="5958" spans="1:42" ht="16.5" customHeight="1">
      <c r="A5958" s="439"/>
      <c r="B5958" s="439"/>
      <c r="C5958" s="439"/>
      <c r="D5958" s="439"/>
      <c r="E5958" s="439"/>
      <c r="F5958" s="439"/>
      <c r="G5958" s="451" t="s">
        <v>3406</v>
      </c>
      <c r="Z5958" s="500"/>
      <c r="AA5958" s="500"/>
      <c r="AB5958" s="500"/>
      <c r="AC5958" s="500"/>
      <c r="AD5958" s="500"/>
      <c r="AE5958" s="500"/>
      <c r="AF5958" s="500"/>
      <c r="AG5958" s="500"/>
      <c r="AH5958" s="500"/>
      <c r="AI5958" s="500"/>
      <c r="AJ5958" s="500"/>
      <c r="AK5958" s="500"/>
      <c r="AL5958" s="500"/>
      <c r="AM5958" s="500"/>
      <c r="AN5958" s="500"/>
      <c r="AO5958" s="500"/>
      <c r="AP5958" s="500"/>
    </row>
    <row r="5959" spans="1:42" ht="16.5" customHeight="1">
      <c r="A5959" s="434"/>
      <c r="B5959" s="437" t="s">
        <v>4026</v>
      </c>
      <c r="C5959" s="439"/>
      <c r="D5959" s="439"/>
      <c r="E5959" s="439"/>
      <c r="F5959" s="439"/>
      <c r="G5959" s="451" t="s">
        <v>4027</v>
      </c>
      <c r="Z5959" s="500"/>
      <c r="AA5959" s="500"/>
      <c r="AB5959" s="500"/>
      <c r="AC5959" s="500"/>
      <c r="AD5959" s="500"/>
      <c r="AE5959" s="500"/>
      <c r="AF5959" s="500"/>
      <c r="AG5959" s="500"/>
      <c r="AH5959" s="500"/>
      <c r="AI5959" s="500"/>
      <c r="AJ5959" s="500"/>
      <c r="AK5959" s="500"/>
      <c r="AL5959" s="500"/>
      <c r="AM5959" s="500"/>
      <c r="AN5959" s="500"/>
      <c r="AO5959" s="500"/>
      <c r="AP5959" s="500"/>
    </row>
    <row r="5960" spans="1:42" ht="16.5" customHeight="1">
      <c r="A5960" s="439"/>
      <c r="B5960" s="439"/>
      <c r="C5960" s="439"/>
      <c r="D5960" s="439"/>
      <c r="E5960" s="439"/>
      <c r="F5960" s="439"/>
      <c r="G5960" s="451" t="s">
        <v>3406</v>
      </c>
      <c r="Z5960" s="500"/>
      <c r="AA5960" s="500"/>
      <c r="AB5960" s="500"/>
      <c r="AC5960" s="500"/>
      <c r="AD5960" s="500"/>
      <c r="AE5960" s="500"/>
      <c r="AF5960" s="500"/>
      <c r="AG5960" s="500"/>
      <c r="AH5960" s="500"/>
      <c r="AI5960" s="500"/>
      <c r="AJ5960" s="500"/>
      <c r="AK5960" s="500"/>
      <c r="AL5960" s="500"/>
      <c r="AM5960" s="500"/>
      <c r="AN5960" s="500"/>
      <c r="AO5960" s="500"/>
      <c r="AP5960" s="500"/>
    </row>
    <row r="5961" spans="1:42" ht="16.5" customHeight="1">
      <c r="A5961" s="439"/>
      <c r="B5961" s="439"/>
      <c r="C5961" s="439"/>
      <c r="D5961" s="439"/>
      <c r="E5961" s="439"/>
      <c r="F5961" s="439"/>
      <c r="G5961" s="451" t="s">
        <v>3406</v>
      </c>
      <c r="Z5961" s="500"/>
      <c r="AA5961" s="500"/>
      <c r="AB5961" s="500"/>
      <c r="AC5961" s="500"/>
      <c r="AD5961" s="500"/>
      <c r="AE5961" s="500"/>
      <c r="AF5961" s="500"/>
      <c r="AG5961" s="500"/>
      <c r="AH5961" s="500"/>
      <c r="AI5961" s="500"/>
      <c r="AJ5961" s="500"/>
      <c r="AK5961" s="500"/>
      <c r="AL5961" s="500"/>
      <c r="AM5961" s="500"/>
      <c r="AN5961" s="500"/>
      <c r="AO5961" s="500"/>
      <c r="AP5961" s="500"/>
    </row>
    <row r="5962" spans="1:42" ht="16.5" customHeight="1">
      <c r="A5962" s="434"/>
      <c r="B5962" s="437" t="s">
        <v>3984</v>
      </c>
      <c r="C5962" s="439"/>
      <c r="D5962" s="439"/>
      <c r="E5962" s="439"/>
      <c r="F5962" s="439"/>
      <c r="G5962" s="451" t="s">
        <v>3985</v>
      </c>
      <c r="Z5962" s="500"/>
      <c r="AA5962" s="500"/>
      <c r="AB5962" s="500"/>
      <c r="AC5962" s="500"/>
      <c r="AD5962" s="500"/>
      <c r="AE5962" s="500"/>
      <c r="AF5962" s="500"/>
      <c r="AG5962" s="500"/>
      <c r="AH5962" s="500"/>
      <c r="AI5962" s="500"/>
      <c r="AJ5962" s="500"/>
      <c r="AK5962" s="500"/>
      <c r="AL5962" s="500"/>
      <c r="AM5962" s="500"/>
      <c r="AN5962" s="500"/>
      <c r="AO5962" s="500"/>
      <c r="AP5962" s="500"/>
    </row>
    <row r="5963" spans="1:42" ht="16.5" customHeight="1">
      <c r="A5963" s="439"/>
      <c r="B5963" s="439"/>
      <c r="C5963" s="439"/>
      <c r="D5963" s="439"/>
      <c r="E5963" s="439"/>
      <c r="F5963" s="439"/>
      <c r="G5963" s="451" t="s">
        <v>3406</v>
      </c>
      <c r="Z5963" s="500"/>
      <c r="AA5963" s="500"/>
      <c r="AB5963" s="500"/>
      <c r="AC5963" s="500"/>
      <c r="AD5963" s="500"/>
      <c r="AE5963" s="500"/>
      <c r="AF5963" s="500"/>
      <c r="AG5963" s="500"/>
      <c r="AH5963" s="500"/>
      <c r="AI5963" s="500"/>
      <c r="AJ5963" s="500"/>
      <c r="AK5963" s="500"/>
      <c r="AL5963" s="500"/>
      <c r="AM5963" s="500"/>
      <c r="AN5963" s="500"/>
      <c r="AO5963" s="500"/>
      <c r="AP5963" s="500"/>
    </row>
    <row r="5964" spans="1:42" ht="16.5" customHeight="1">
      <c r="A5964" s="439"/>
      <c r="B5964" s="439"/>
      <c r="C5964" s="439"/>
      <c r="D5964" s="439"/>
      <c r="E5964" s="439"/>
      <c r="F5964" s="439"/>
      <c r="G5964" s="451" t="s">
        <v>3406</v>
      </c>
      <c r="Z5964" s="500"/>
      <c r="AA5964" s="500"/>
      <c r="AB5964" s="500"/>
      <c r="AC5964" s="500"/>
      <c r="AD5964" s="500"/>
      <c r="AE5964" s="500"/>
      <c r="AF5964" s="500"/>
      <c r="AG5964" s="500"/>
      <c r="AH5964" s="500"/>
      <c r="AI5964" s="500"/>
      <c r="AJ5964" s="500"/>
      <c r="AK5964" s="500"/>
      <c r="AL5964" s="500"/>
      <c r="AM5964" s="500"/>
      <c r="AN5964" s="500"/>
      <c r="AO5964" s="500"/>
      <c r="AP5964" s="500"/>
    </row>
    <row r="5965" spans="1:42" ht="16.5" customHeight="1">
      <c r="A5965" s="434"/>
      <c r="B5965" s="437" t="s">
        <v>3986</v>
      </c>
      <c r="C5965" s="439"/>
      <c r="D5965" s="439"/>
      <c r="E5965" s="439"/>
      <c r="F5965" s="439"/>
      <c r="G5965" s="451" t="s">
        <v>3987</v>
      </c>
      <c r="Z5965" s="500"/>
      <c r="AA5965" s="500"/>
      <c r="AB5965" s="500"/>
      <c r="AC5965" s="500"/>
      <c r="AD5965" s="500"/>
      <c r="AE5965" s="500"/>
      <c r="AF5965" s="500"/>
      <c r="AG5965" s="500"/>
      <c r="AH5965" s="500"/>
      <c r="AI5965" s="500"/>
      <c r="AJ5965" s="500"/>
      <c r="AK5965" s="500"/>
      <c r="AL5965" s="500"/>
      <c r="AM5965" s="500"/>
      <c r="AN5965" s="500"/>
      <c r="AO5965" s="500"/>
      <c r="AP5965" s="500"/>
    </row>
    <row r="5966" spans="1:42" ht="16.5" customHeight="1">
      <c r="A5966" s="439"/>
      <c r="B5966" s="439"/>
      <c r="C5966" s="439"/>
      <c r="D5966" s="439"/>
      <c r="E5966" s="439"/>
      <c r="F5966" s="439"/>
      <c r="G5966" s="451" t="s">
        <v>3406</v>
      </c>
      <c r="Z5966" s="500"/>
      <c r="AA5966" s="500"/>
      <c r="AB5966" s="500"/>
      <c r="AC5966" s="500"/>
      <c r="AD5966" s="500"/>
      <c r="AE5966" s="500"/>
      <c r="AF5966" s="500"/>
      <c r="AG5966" s="500"/>
      <c r="AH5966" s="500"/>
      <c r="AI5966" s="500"/>
      <c r="AJ5966" s="500"/>
      <c r="AK5966" s="500"/>
      <c r="AL5966" s="500"/>
      <c r="AM5966" s="500"/>
      <c r="AN5966" s="500"/>
      <c r="AO5966" s="500"/>
      <c r="AP5966" s="500"/>
    </row>
    <row r="5967" spans="1:42" ht="16.5" customHeight="1">
      <c r="A5967" s="439"/>
      <c r="B5967" s="439"/>
      <c r="C5967" s="439"/>
      <c r="D5967" s="439"/>
      <c r="E5967" s="439"/>
      <c r="F5967" s="439"/>
      <c r="G5967" s="451" t="s">
        <v>3406</v>
      </c>
      <c r="Z5967" s="500"/>
      <c r="AA5967" s="500"/>
      <c r="AB5967" s="500"/>
      <c r="AC5967" s="500"/>
      <c r="AD5967" s="500"/>
      <c r="AE5967" s="500"/>
      <c r="AF5967" s="500"/>
      <c r="AG5967" s="500"/>
      <c r="AH5967" s="500"/>
      <c r="AI5967" s="500"/>
      <c r="AJ5967" s="500"/>
      <c r="AK5967" s="500"/>
      <c r="AL5967" s="500"/>
      <c r="AM5967" s="500"/>
      <c r="AN5967" s="500"/>
      <c r="AO5967" s="500"/>
      <c r="AP5967" s="500"/>
    </row>
    <row r="5968" spans="1:42" ht="16.5" customHeight="1">
      <c r="A5968" s="434"/>
      <c r="B5968" s="437" t="str">
        <f>" L = "&amp;Z5968&amp;" , V = "&amp;AD5968&amp;" , t = "&amp;AH5968&amp;"  , T = "&amp;AL5968&amp;"-"&amp;AN5968&amp;""</f>
        <v xml:space="preserve"> L = 1350 , V = 2500 , t = 2  , T = 480-30</v>
      </c>
      <c r="C5968" s="439"/>
      <c r="D5968" s="439"/>
      <c r="E5968" s="439"/>
      <c r="F5968" s="439"/>
      <c r="G5968" s="451" t="s">
        <v>4028</v>
      </c>
      <c r="Z5968" s="515">
        <v>1350</v>
      </c>
      <c r="AA5968" s="501" t="s">
        <v>3418</v>
      </c>
      <c r="AB5968" s="512">
        <f>Z5968</f>
        <v>1350</v>
      </c>
      <c r="AC5968" s="514" t="s">
        <v>3427</v>
      </c>
      <c r="AD5968" s="515">
        <v>2500</v>
      </c>
      <c r="AE5968" s="501" t="s">
        <v>3418</v>
      </c>
      <c r="AF5968" s="512">
        <f>AD5968</f>
        <v>2500</v>
      </c>
      <c r="AG5968" s="514" t="s">
        <v>3427</v>
      </c>
      <c r="AH5968" s="515">
        <v>2</v>
      </c>
      <c r="AI5968" s="501" t="s">
        <v>3418</v>
      </c>
      <c r="AJ5968" s="512">
        <f>AH5968</f>
        <v>2</v>
      </c>
      <c r="AK5968" s="514" t="s">
        <v>3427</v>
      </c>
      <c r="AL5968" s="515">
        <v>480</v>
      </c>
      <c r="AM5968" s="501" t="s">
        <v>3474</v>
      </c>
      <c r="AN5968" s="515">
        <v>30</v>
      </c>
      <c r="AO5968" s="501" t="s">
        <v>3418</v>
      </c>
      <c r="AP5968" s="512">
        <f>AL5968-AN5968</f>
        <v>450</v>
      </c>
    </row>
    <row r="5969" spans="1:42" ht="16.5" customHeight="1">
      <c r="A5969" s="439"/>
      <c r="B5969" s="439"/>
      <c r="C5969" s="439"/>
      <c r="D5969" s="439"/>
      <c r="E5969" s="439"/>
      <c r="F5969" s="439"/>
      <c r="G5969" s="451" t="s">
        <v>3406</v>
      </c>
      <c r="Z5969" s="500"/>
      <c r="AA5969" s="500"/>
      <c r="AB5969" s="500"/>
      <c r="AC5969" s="500"/>
      <c r="AD5969" s="500"/>
      <c r="AE5969" s="500"/>
      <c r="AF5969" s="500"/>
      <c r="AG5969" s="500"/>
      <c r="AH5969" s="500"/>
      <c r="AI5969" s="500"/>
      <c r="AJ5969" s="500"/>
      <c r="AK5969" s="500"/>
      <c r="AL5969" s="500"/>
      <c r="AM5969" s="500"/>
      <c r="AN5969" s="500"/>
      <c r="AO5969" s="500"/>
      <c r="AP5969" s="500"/>
    </row>
    <row r="5970" spans="1:42" ht="16.5" customHeight="1">
      <c r="A5970" s="439"/>
      <c r="B5970" s="439"/>
      <c r="C5970" s="439"/>
      <c r="D5970" s="439"/>
      <c r="E5970" s="439"/>
      <c r="F5970" s="439"/>
      <c r="G5970" s="451" t="s">
        <v>3406</v>
      </c>
      <c r="Z5970" s="500"/>
      <c r="AA5970" s="500"/>
      <c r="AB5970" s="500"/>
      <c r="AC5970" s="500"/>
      <c r="AD5970" s="500"/>
      <c r="AE5970" s="500"/>
      <c r="AF5970" s="500"/>
      <c r="AG5970" s="500"/>
      <c r="AH5970" s="500"/>
      <c r="AI5970" s="500"/>
      <c r="AJ5970" s="500"/>
      <c r="AK5970" s="500"/>
      <c r="AL5970" s="500"/>
      <c r="AM5970" s="500"/>
      <c r="AN5970" s="500"/>
      <c r="AO5970" s="500"/>
      <c r="AP5970" s="500"/>
    </row>
    <row r="5971" spans="1:42" ht="16.5" customHeight="1">
      <c r="A5971" s="439"/>
      <c r="B5971" s="439"/>
      <c r="C5971" s="439"/>
      <c r="D5971" s="439"/>
      <c r="E5971" s="439"/>
      <c r="F5971" s="439"/>
      <c r="G5971" s="451" t="s">
        <v>3406</v>
      </c>
      <c r="Z5971" s="500"/>
      <c r="AA5971" s="500"/>
      <c r="AB5971" s="500"/>
      <c r="AC5971" s="500"/>
      <c r="AD5971" s="500"/>
      <c r="AE5971" s="500"/>
      <c r="AF5971" s="500"/>
      <c r="AG5971" s="500"/>
      <c r="AH5971" s="500"/>
      <c r="AI5971" s="500"/>
      <c r="AJ5971" s="500"/>
      <c r="AK5971" s="500"/>
      <c r="AL5971" s="500"/>
      <c r="AM5971" s="500"/>
      <c r="AN5971" s="500"/>
      <c r="AO5971" s="500"/>
      <c r="AP5971" s="500"/>
    </row>
    <row r="5972" spans="1:42" ht="16.5" customHeight="1">
      <c r="A5972" s="434"/>
      <c r="B5972" s="437" t="str">
        <f>" N = V*T /( "&amp;AD5972&amp;"*L+V*"&amp;AJ5972&amp;" ) = "&amp;AM5972&amp;" 회/일 "</f>
        <v xml:space="preserve"> N = V*T /( 120*L+V*2 ) = 6.74 회/일 </v>
      </c>
      <c r="C5972" s="439"/>
      <c r="D5972" s="439"/>
      <c r="E5972" s="439"/>
      <c r="F5972" s="439"/>
      <c r="G5972" s="451" t="s">
        <v>3989</v>
      </c>
      <c r="Z5972" s="512">
        <f>AF5968</f>
        <v>2500</v>
      </c>
      <c r="AA5972" s="501" t="s">
        <v>3368</v>
      </c>
      <c r="AB5972" s="512">
        <f>AP5968</f>
        <v>450</v>
      </c>
      <c r="AC5972" s="501" t="s">
        <v>3463</v>
      </c>
      <c r="AD5972" s="515">
        <v>120</v>
      </c>
      <c r="AE5972" s="501" t="s">
        <v>3368</v>
      </c>
      <c r="AF5972" s="512">
        <f>AB5968</f>
        <v>1350</v>
      </c>
      <c r="AG5972" s="501" t="s">
        <v>3468</v>
      </c>
      <c r="AH5972" s="512">
        <f>AF5968</f>
        <v>2500</v>
      </c>
      <c r="AI5972" s="501" t="s">
        <v>3368</v>
      </c>
      <c r="AJ5972" s="515">
        <v>2</v>
      </c>
      <c r="AK5972" s="501" t="s">
        <v>3464</v>
      </c>
      <c r="AL5972" s="501" t="s">
        <v>3418</v>
      </c>
      <c r="AM5972" s="512" t="str">
        <f>TEXT(ROUND(AF5968*AP5968/(AD5972*AB5968+AF5968*AJ5972),2),"#,0.00")</f>
        <v>6.74</v>
      </c>
      <c r="AN5972" s="500"/>
      <c r="AO5972" s="500"/>
      <c r="AP5972" s="500"/>
    </row>
    <row r="5973" spans="1:42" ht="16.5" customHeight="1">
      <c r="A5973" s="439"/>
      <c r="B5973" s="439"/>
      <c r="C5973" s="439"/>
      <c r="D5973" s="439"/>
      <c r="E5973" s="439"/>
      <c r="F5973" s="439"/>
      <c r="G5973" s="451" t="s">
        <v>3406</v>
      </c>
      <c r="Z5973" s="500"/>
      <c r="AA5973" s="500"/>
      <c r="AB5973" s="500"/>
      <c r="AC5973" s="500"/>
      <c r="AD5973" s="500"/>
      <c r="AE5973" s="500"/>
      <c r="AF5973" s="500"/>
      <c r="AG5973" s="500"/>
      <c r="AH5973" s="500"/>
      <c r="AI5973" s="500"/>
      <c r="AJ5973" s="500"/>
      <c r="AK5973" s="500"/>
      <c r="AL5973" s="500"/>
      <c r="AM5973" s="500"/>
      <c r="AN5973" s="500"/>
      <c r="AO5973" s="500"/>
      <c r="AP5973" s="500"/>
    </row>
    <row r="5974" spans="1:42" ht="16.5" customHeight="1">
      <c r="A5974" s="439"/>
      <c r="B5974" s="439"/>
      <c r="C5974" s="439"/>
      <c r="D5974" s="439"/>
      <c r="E5974" s="439"/>
      <c r="F5974" s="439"/>
      <c r="G5974" s="451" t="s">
        <v>3406</v>
      </c>
      <c r="Z5974" s="500"/>
      <c r="AA5974" s="500"/>
      <c r="AB5974" s="500"/>
      <c r="AC5974" s="500"/>
      <c r="AD5974" s="500"/>
      <c r="AE5974" s="500"/>
      <c r="AF5974" s="500"/>
      <c r="AG5974" s="500"/>
      <c r="AH5974" s="500"/>
      <c r="AI5974" s="500"/>
      <c r="AJ5974" s="500"/>
      <c r="AK5974" s="500"/>
      <c r="AL5974" s="500"/>
      <c r="AM5974" s="500"/>
      <c r="AN5974" s="500"/>
      <c r="AO5974" s="500"/>
      <c r="AP5974" s="500"/>
    </row>
    <row r="5975" spans="1:42" ht="16.5" customHeight="1">
      <c r="A5975" s="439"/>
      <c r="B5975" s="439"/>
      <c r="C5975" s="439"/>
      <c r="D5975" s="439"/>
      <c r="E5975" s="439"/>
      <c r="F5975" s="439"/>
      <c r="G5975" s="451" t="s">
        <v>3406</v>
      </c>
      <c r="Z5975" s="500"/>
      <c r="AA5975" s="500"/>
      <c r="AB5975" s="500"/>
      <c r="AC5975" s="500"/>
      <c r="AD5975" s="500"/>
      <c r="AE5975" s="500"/>
      <c r="AF5975" s="500"/>
      <c r="AG5975" s="500"/>
      <c r="AH5975" s="500"/>
      <c r="AI5975" s="500"/>
      <c r="AJ5975" s="500"/>
      <c r="AK5975" s="500"/>
      <c r="AL5975" s="500"/>
      <c r="AM5975" s="500"/>
      <c r="AN5975" s="500"/>
      <c r="AO5975" s="500"/>
      <c r="AP5975" s="500"/>
    </row>
    <row r="5976" spans="1:42" ht="16.5" customHeight="1">
      <c r="A5976" s="434"/>
      <c r="B5976" s="437" t="str">
        <f>" Q = N*"&amp;AB5976&amp;" ㎏ = "&amp;AD5976&amp;"  kg/일 "</f>
        <v xml:space="preserve"> Q = N*25 ㎏ = 168.50  kg/일 </v>
      </c>
      <c r="C5976" s="439"/>
      <c r="D5976" s="439"/>
      <c r="E5976" s="439"/>
      <c r="F5976" s="439"/>
      <c r="G5976" s="451" t="s">
        <v>3990</v>
      </c>
      <c r="Z5976" s="512" t="str">
        <f>AM5972</f>
        <v>6.74</v>
      </c>
      <c r="AA5976" s="501" t="s">
        <v>3368</v>
      </c>
      <c r="AB5976" s="515">
        <v>25</v>
      </c>
      <c r="AC5976" s="501" t="s">
        <v>3418</v>
      </c>
      <c r="AD5976" s="512" t="str">
        <f>TEXT(ROUND(AM5972*AB5976,2),"#,0.00")</f>
        <v>168.50</v>
      </c>
      <c r="AE5976" s="500"/>
      <c r="AF5976" s="500"/>
      <c r="AG5976" s="500"/>
      <c r="AH5976" s="500"/>
      <c r="AI5976" s="500"/>
      <c r="AJ5976" s="500"/>
      <c r="AK5976" s="500"/>
      <c r="AL5976" s="500"/>
      <c r="AM5976" s="500"/>
      <c r="AN5976" s="500"/>
      <c r="AO5976" s="500"/>
      <c r="AP5976" s="500"/>
    </row>
    <row r="5977" spans="1:42" ht="16.5" customHeight="1">
      <c r="A5977" s="439"/>
      <c r="B5977" s="439"/>
      <c r="C5977" s="439"/>
      <c r="D5977" s="439"/>
      <c r="E5977" s="439"/>
      <c r="F5977" s="439"/>
      <c r="G5977" s="451" t="s">
        <v>3406</v>
      </c>
      <c r="Z5977" s="500"/>
      <c r="AA5977" s="500"/>
      <c r="AB5977" s="500"/>
      <c r="AC5977" s="500"/>
      <c r="AD5977" s="500"/>
      <c r="AE5977" s="500"/>
      <c r="AF5977" s="500"/>
      <c r="AG5977" s="500"/>
      <c r="AH5977" s="500"/>
      <c r="AI5977" s="500"/>
      <c r="AJ5977" s="500"/>
      <c r="AK5977" s="500"/>
      <c r="AL5977" s="500"/>
      <c r="AM5977" s="500"/>
      <c r="AN5977" s="500"/>
      <c r="AO5977" s="500"/>
      <c r="AP5977" s="500"/>
    </row>
    <row r="5978" spans="1:42" ht="16.5" customHeight="1">
      <c r="A5978" s="439"/>
      <c r="B5978" s="439"/>
      <c r="C5978" s="439"/>
      <c r="D5978" s="439"/>
      <c r="E5978" s="439"/>
      <c r="F5978" s="439"/>
      <c r="G5978" s="451" t="s">
        <v>3406</v>
      </c>
      <c r="Z5978" s="500"/>
      <c r="AA5978" s="500"/>
      <c r="AB5978" s="500"/>
      <c r="AC5978" s="500"/>
      <c r="AD5978" s="500"/>
      <c r="AE5978" s="500"/>
      <c r="AF5978" s="500"/>
      <c r="AG5978" s="500"/>
      <c r="AH5978" s="500"/>
      <c r="AI5978" s="500"/>
      <c r="AJ5978" s="500"/>
      <c r="AK5978" s="500"/>
      <c r="AL5978" s="500"/>
      <c r="AM5978" s="500"/>
      <c r="AN5978" s="500"/>
      <c r="AO5978" s="500"/>
      <c r="AP5978" s="500"/>
    </row>
    <row r="5979" spans="1:42" ht="16.5" customHeight="1">
      <c r="A5979" s="439"/>
      <c r="B5979" s="439"/>
      <c r="C5979" s="439"/>
      <c r="D5979" s="439"/>
      <c r="E5979" s="439"/>
      <c r="F5979" s="439"/>
      <c r="G5979" s="451" t="s">
        <v>3406</v>
      </c>
      <c r="Z5979" s="500"/>
      <c r="AA5979" s="500"/>
      <c r="AB5979" s="500"/>
      <c r="AC5979" s="500"/>
      <c r="AD5979" s="500"/>
      <c r="AE5979" s="500"/>
      <c r="AF5979" s="500"/>
      <c r="AG5979" s="500"/>
      <c r="AH5979" s="500"/>
      <c r="AI5979" s="500"/>
      <c r="AJ5979" s="500"/>
      <c r="AK5979" s="500"/>
      <c r="AL5979" s="500"/>
      <c r="AM5979" s="500"/>
      <c r="AN5979" s="500"/>
      <c r="AO5979" s="500"/>
      <c r="AP5979" s="500"/>
    </row>
    <row r="5980" spans="1:42" ht="16.5" customHeight="1">
      <c r="A5980" s="434"/>
      <c r="B5980" s="437" t="str">
        <f>" k = "&amp;Z5980&amp;" kg /Q"</f>
        <v xml:space="preserve"> k = 1000 kg /Q</v>
      </c>
      <c r="C5980" s="439"/>
      <c r="D5980" s="439"/>
      <c r="E5980" s="439"/>
      <c r="F5980" s="439"/>
      <c r="G5980" s="451" t="s">
        <v>3991</v>
      </c>
      <c r="Z5980" s="515">
        <v>1000</v>
      </c>
      <c r="AA5980" s="501" t="s">
        <v>3428</v>
      </c>
      <c r="AB5980" s="512" t="str">
        <f>AD5976</f>
        <v>168.50</v>
      </c>
      <c r="AC5980" s="501" t="s">
        <v>3418</v>
      </c>
      <c r="AD5980" s="512">
        <f>ROUND(Z5980/AD5976,13)</f>
        <v>5.9347181008902004</v>
      </c>
      <c r="AE5980" s="500"/>
      <c r="AF5980" s="500"/>
      <c r="AG5980" s="500"/>
      <c r="AH5980" s="500"/>
      <c r="AI5980" s="500"/>
      <c r="AJ5980" s="500"/>
      <c r="AK5980" s="500"/>
      <c r="AL5980" s="500"/>
      <c r="AM5980" s="500"/>
      <c r="AN5980" s="500"/>
      <c r="AO5980" s="500"/>
      <c r="AP5980" s="500"/>
    </row>
    <row r="5981" spans="1:42" ht="16.5" customHeight="1">
      <c r="A5981" s="439"/>
      <c r="B5981" s="439"/>
      <c r="C5981" s="439"/>
      <c r="D5981" s="439"/>
      <c r="E5981" s="439"/>
      <c r="F5981" s="439"/>
      <c r="G5981" s="451" t="s">
        <v>3406</v>
      </c>
      <c r="Z5981" s="500"/>
      <c r="AA5981" s="500"/>
      <c r="AB5981" s="500"/>
      <c r="AC5981" s="500"/>
      <c r="AD5981" s="500"/>
      <c r="AE5981" s="500"/>
      <c r="AF5981" s="500"/>
      <c r="AG5981" s="500"/>
      <c r="AH5981" s="500"/>
      <c r="AI5981" s="500"/>
      <c r="AJ5981" s="500"/>
      <c r="AK5981" s="500"/>
      <c r="AL5981" s="500"/>
      <c r="AM5981" s="500"/>
      <c r="AN5981" s="500"/>
      <c r="AO5981" s="500"/>
      <c r="AP5981" s="500"/>
    </row>
    <row r="5982" spans="1:42" ht="16.5" customHeight="1">
      <c r="A5982" s="439"/>
      <c r="B5982" s="439"/>
      <c r="C5982" s="439"/>
      <c r="D5982" s="439"/>
      <c r="E5982" s="439"/>
      <c r="F5982" s="439"/>
      <c r="G5982" s="451" t="s">
        <v>3406</v>
      </c>
      <c r="Z5982" s="500"/>
      <c r="AA5982" s="500"/>
      <c r="AB5982" s="500"/>
      <c r="AC5982" s="500"/>
      <c r="AD5982" s="500"/>
      <c r="AE5982" s="500"/>
      <c r="AF5982" s="500"/>
      <c r="AG5982" s="500"/>
      <c r="AH5982" s="500"/>
      <c r="AI5982" s="500"/>
      <c r="AJ5982" s="500"/>
      <c r="AK5982" s="500"/>
      <c r="AL5982" s="500"/>
      <c r="AM5982" s="500"/>
      <c r="AN5982" s="500"/>
      <c r="AO5982" s="500"/>
      <c r="AP5982" s="500"/>
    </row>
    <row r="5983" spans="1:42" ht="16.5" customHeight="1">
      <c r="A5983" s="439"/>
      <c r="B5983" s="439"/>
      <c r="C5983" s="439"/>
      <c r="D5983" s="439"/>
      <c r="E5983" s="439"/>
      <c r="F5983" s="439"/>
      <c r="G5983" s="451" t="s">
        <v>3406</v>
      </c>
      <c r="Z5983" s="500"/>
      <c r="AA5983" s="500"/>
      <c r="AB5983" s="500"/>
      <c r="AC5983" s="500"/>
      <c r="AD5983" s="500"/>
      <c r="AE5983" s="500"/>
      <c r="AF5983" s="500"/>
      <c r="AG5983" s="500"/>
      <c r="AH5983" s="500"/>
      <c r="AI5983" s="500"/>
      <c r="AJ5983" s="500"/>
      <c r="AK5983" s="500"/>
      <c r="AL5983" s="500"/>
      <c r="AM5983" s="500"/>
      <c r="AN5983" s="500"/>
      <c r="AO5983" s="500"/>
      <c r="AP5983" s="500"/>
    </row>
    <row r="5984" spans="1:42" ht="16.5" customHeight="1">
      <c r="A5984" s="434" t="s">
        <v>3992</v>
      </c>
      <c r="B5984" s="505" t="str">
        <f>" 인    부: "&amp;TEXT(I5984,"#,##0"&amp;IF(I5984&lt;&gt;INT(I5984),".###",""))&amp;"*k = "&amp;TEXT(C5984,"#,##0.0")&amp;" 원 "</f>
        <v xml:space="preserve"> 인    부: 172,068*k = 1,021,175.0 원 </v>
      </c>
      <c r="C5984" s="506">
        <f>E5984+D5984+F5984</f>
        <v>1021175</v>
      </c>
      <c r="D5984" s="506">
        <f>IF(H5984=0,0,ROUNDDOWN(J5984*H5984,1))</f>
        <v>1021175</v>
      </c>
      <c r="E5984" s="506">
        <f>IF(H5984=0,0,ROUNDDOWN(K5984*H5984,1))</f>
        <v>0</v>
      </c>
      <c r="F5984" s="506">
        <f>IF(H5984=0,0,ROUNDDOWN(L5984*H5984,1))</f>
        <v>0</v>
      </c>
      <c r="G5984" s="451" t="s">
        <v>3993</v>
      </c>
      <c r="H5984" s="507">
        <f>ROUNDUP(AC5984,14-LEN(ABS(INT(AC5984))))</f>
        <v>5.9347181008902004</v>
      </c>
      <c r="I5984" s="508">
        <f>K5984+J5984+L5984</f>
        <v>172068</v>
      </c>
      <c r="J5984" s="509">
        <f>노무비목록표!E10</f>
        <v>172068</v>
      </c>
      <c r="M5984" s="501" t="s">
        <v>2363</v>
      </c>
      <c r="N5984" s="501" t="s">
        <v>3994</v>
      </c>
      <c r="X5984" s="510" t="str">
        <f>노무비목록표!B10&amp;" / "&amp;노무비목록표!C10</f>
        <v xml:space="preserve">보통인부 / </v>
      </c>
      <c r="Y5984" s="433" t="str">
        <f ca="1">HYPERLINK("#"&amp;노무비목록표!G2&amp;"!A"&amp;ROW(노무비목록표!A10),"L00017 →")</f>
        <v>L00017 →</v>
      </c>
      <c r="Z5984" s="501" t="s">
        <v>3500</v>
      </c>
      <c r="AA5984" s="512">
        <f>AD5980</f>
        <v>5.9347181008902004</v>
      </c>
      <c r="AB5984" s="501" t="s">
        <v>3418</v>
      </c>
      <c r="AC5984" s="512">
        <f>1*AD5980</f>
        <v>5.9347181008902004</v>
      </c>
      <c r="AD5984" s="500"/>
      <c r="AE5984" s="500"/>
      <c r="AF5984" s="500"/>
      <c r="AG5984" s="500"/>
      <c r="AH5984" s="500"/>
      <c r="AI5984" s="500"/>
      <c r="AJ5984" s="500"/>
      <c r="AK5984" s="500"/>
      <c r="AL5984" s="500"/>
      <c r="AM5984" s="500"/>
      <c r="AN5984" s="500"/>
      <c r="AO5984" s="500"/>
      <c r="AP5984" s="500"/>
    </row>
    <row r="5985" spans="1:42" ht="16.5" customHeight="1">
      <c r="A5985" s="439"/>
      <c r="B5985" s="439"/>
      <c r="C5985" s="439"/>
      <c r="D5985" s="439"/>
      <c r="E5985" s="439"/>
      <c r="F5985" s="439"/>
      <c r="G5985" s="451" t="s">
        <v>3406</v>
      </c>
      <c r="Z5985" s="500"/>
      <c r="AA5985" s="500"/>
      <c r="AB5985" s="500"/>
      <c r="AC5985" s="500"/>
      <c r="AD5985" s="500"/>
      <c r="AE5985" s="500"/>
      <c r="AF5985" s="500"/>
      <c r="AG5985" s="500"/>
      <c r="AH5985" s="500"/>
      <c r="AI5985" s="500"/>
      <c r="AJ5985" s="500"/>
      <c r="AK5985" s="500"/>
      <c r="AL5985" s="500"/>
      <c r="AM5985" s="500"/>
      <c r="AN5985" s="500"/>
      <c r="AO5985" s="500"/>
      <c r="AP5985" s="500"/>
    </row>
    <row r="5986" spans="1:42" ht="16.5" customHeight="1">
      <c r="A5986" s="439"/>
      <c r="B5986" s="439"/>
      <c r="C5986" s="439"/>
      <c r="D5986" s="439"/>
      <c r="E5986" s="439"/>
      <c r="F5986" s="439"/>
      <c r="G5986" s="451" t="s">
        <v>3406</v>
      </c>
      <c r="Z5986" s="500"/>
      <c r="AA5986" s="500"/>
      <c r="AB5986" s="500"/>
      <c r="AC5986" s="500"/>
      <c r="AD5986" s="500"/>
      <c r="AE5986" s="500"/>
      <c r="AF5986" s="500"/>
      <c r="AG5986" s="500"/>
      <c r="AH5986" s="500"/>
      <c r="AI5986" s="500"/>
      <c r="AJ5986" s="500"/>
      <c r="AK5986" s="500"/>
      <c r="AL5986" s="500"/>
      <c r="AM5986" s="500"/>
      <c r="AN5986" s="500"/>
      <c r="AO5986" s="500"/>
      <c r="AP5986" s="500"/>
    </row>
    <row r="5987" spans="1:42" ht="16.5" customHeight="1">
      <c r="A5987" s="439"/>
      <c r="B5987" s="439"/>
      <c r="C5987" s="439"/>
      <c r="D5987" s="439"/>
      <c r="E5987" s="439"/>
      <c r="F5987" s="439"/>
      <c r="G5987" s="451" t="s">
        <v>3406</v>
      </c>
      <c r="Z5987" s="500"/>
      <c r="AA5987" s="500"/>
      <c r="AB5987" s="500"/>
      <c r="AC5987" s="500"/>
      <c r="AD5987" s="500"/>
      <c r="AE5987" s="500"/>
      <c r="AF5987" s="500"/>
      <c r="AG5987" s="500"/>
      <c r="AH5987" s="500"/>
      <c r="AI5987" s="500"/>
      <c r="AJ5987" s="500"/>
      <c r="AK5987" s="500"/>
      <c r="AL5987" s="500"/>
      <c r="AM5987" s="500"/>
      <c r="AN5987" s="500"/>
      <c r="AO5987" s="500"/>
      <c r="AP5987" s="500"/>
    </row>
    <row r="5988" spans="1:42" ht="16.5" customHeight="1">
      <c r="A5988" s="439"/>
      <c r="B5988" s="439"/>
      <c r="C5988" s="439"/>
      <c r="D5988" s="439"/>
      <c r="E5988" s="439"/>
      <c r="F5988" s="439"/>
      <c r="G5988" s="451" t="s">
        <v>3406</v>
      </c>
      <c r="Z5988" s="500"/>
      <c r="AA5988" s="500"/>
      <c r="AB5988" s="500"/>
      <c r="AC5988" s="500"/>
      <c r="AD5988" s="500"/>
      <c r="AE5988" s="500"/>
      <c r="AF5988" s="500"/>
      <c r="AG5988" s="500"/>
      <c r="AH5988" s="500"/>
      <c r="AI5988" s="500"/>
      <c r="AJ5988" s="500"/>
      <c r="AK5988" s="500"/>
      <c r="AL5988" s="500"/>
      <c r="AM5988" s="500"/>
      <c r="AN5988" s="500"/>
      <c r="AO5988" s="500"/>
      <c r="AP5988" s="500"/>
    </row>
    <row r="5989" spans="1:42" ht="16.5" customHeight="1">
      <c r="A5989" s="434"/>
      <c r="B5989" s="437" t="s">
        <v>3995</v>
      </c>
      <c r="C5989" s="516">
        <f>E5989+D5989+F5989</f>
        <v>1021175</v>
      </c>
      <c r="D5989" s="516">
        <f>SUMIF(N5957:N5988,M5989,D5957:D5988)</f>
        <v>1021175</v>
      </c>
      <c r="E5989" s="516">
        <f>SUMIF(N5957:N5988,M5989,E5957:E5988)</f>
        <v>0</v>
      </c>
      <c r="F5989" s="516">
        <f>SUMIF(N5957:N5988,M5989,F5957:F5988)</f>
        <v>0</v>
      </c>
      <c r="G5989" s="451" t="s">
        <v>3996</v>
      </c>
      <c r="M5989" s="501" t="s">
        <v>3994</v>
      </c>
      <c r="Z5989" s="500"/>
      <c r="AA5989" s="500"/>
      <c r="AB5989" s="500"/>
      <c r="AC5989" s="500"/>
      <c r="AD5989" s="500"/>
      <c r="AE5989" s="500"/>
      <c r="AF5989" s="500"/>
      <c r="AG5989" s="500"/>
      <c r="AH5989" s="500"/>
      <c r="AI5989" s="500"/>
      <c r="AJ5989" s="500"/>
      <c r="AK5989" s="500"/>
      <c r="AL5989" s="500"/>
      <c r="AM5989" s="500"/>
      <c r="AN5989" s="500"/>
      <c r="AO5989" s="500"/>
      <c r="AP5989" s="500"/>
    </row>
    <row r="5990" spans="1:42" ht="16.5" customHeight="1">
      <c r="A5990" s="439"/>
      <c r="B5990" s="439"/>
      <c r="C5990" s="517"/>
      <c r="D5990" s="517"/>
      <c r="E5990" s="517"/>
      <c r="F5990" s="517"/>
      <c r="G5990" s="451" t="s">
        <v>3406</v>
      </c>
      <c r="Z5990" s="500"/>
      <c r="AA5990" s="500"/>
      <c r="AB5990" s="500"/>
      <c r="AC5990" s="500"/>
      <c r="AD5990" s="500"/>
      <c r="AE5990" s="500"/>
      <c r="AF5990" s="500"/>
      <c r="AG5990" s="500"/>
      <c r="AH5990" s="500"/>
      <c r="AI5990" s="500"/>
      <c r="AJ5990" s="500"/>
      <c r="AK5990" s="500"/>
      <c r="AL5990" s="500"/>
      <c r="AM5990" s="500"/>
      <c r="AN5990" s="500"/>
      <c r="AO5990" s="500"/>
      <c r="AP5990" s="500"/>
    </row>
    <row r="5991" spans="1:42" ht="16.5" customHeight="1">
      <c r="A5991" s="439"/>
      <c r="B5991" s="439"/>
      <c r="C5991" s="439"/>
      <c r="D5991" s="439"/>
      <c r="E5991" s="439"/>
      <c r="F5991" s="439"/>
      <c r="G5991" s="451" t="s">
        <v>3406</v>
      </c>
      <c r="Z5991" s="500"/>
      <c r="AA5991" s="500"/>
      <c r="AB5991" s="500"/>
      <c r="AC5991" s="500"/>
      <c r="AD5991" s="500"/>
      <c r="AE5991" s="500"/>
      <c r="AF5991" s="500"/>
      <c r="AG5991" s="500"/>
      <c r="AH5991" s="500"/>
      <c r="AI5991" s="500"/>
      <c r="AJ5991" s="500"/>
      <c r="AK5991" s="500"/>
      <c r="AL5991" s="500"/>
      <c r="AM5991" s="500"/>
      <c r="AN5991" s="500"/>
      <c r="AO5991" s="500"/>
      <c r="AP5991" s="500"/>
    </row>
    <row r="5992" spans="1:42" ht="16.5" customHeight="1">
      <c r="A5992" s="434" t="s">
        <v>3997</v>
      </c>
      <c r="B5992" s="505" t="str">
        <f>" 경비로 적용 : "&amp;TEXT(I5992,"#,##0"&amp;IF(I5992&lt;&gt;INT(I5992),".###",""))&amp;"  = "&amp;TEXT(C5992,"#,##0.0")&amp;""</f>
        <v xml:space="preserve"> 경비로 적용 : 1,021,175  = 1,021,175.0</v>
      </c>
      <c r="C5992" s="506">
        <f>E5992+D5992+F5992</f>
        <v>1021175</v>
      </c>
      <c r="D5992" s="506">
        <f>IF(H5992=0,0,ROUNDDOWN(J5992*H5992,1))</f>
        <v>0</v>
      </c>
      <c r="E5992" s="506">
        <f>IF(H5992=0,0,ROUNDDOWN(K5992*H5992,1))</f>
        <v>0</v>
      </c>
      <c r="F5992" s="506">
        <f>IF(H5992=0,0,ROUNDDOWN(L5992*H5992,1))</f>
        <v>1021175</v>
      </c>
      <c r="G5992" s="451" t="s">
        <v>3998</v>
      </c>
      <c r="H5992" s="507">
        <f>ROUNDUP(AB5992,14-LEN(ABS(INT(AB5992))))</f>
        <v>1</v>
      </c>
      <c r="I5992" s="508">
        <f>K5992+J5992+L5992</f>
        <v>1021175</v>
      </c>
      <c r="J5992" s="456">
        <v>0</v>
      </c>
      <c r="K5992" s="456">
        <v>0</v>
      </c>
      <c r="L5992" s="456">
        <v>1021175</v>
      </c>
      <c r="M5992" s="501" t="s">
        <v>3999</v>
      </c>
      <c r="N5992" s="501" t="s">
        <v>2354</v>
      </c>
      <c r="Z5992" s="501" t="s">
        <v>4000</v>
      </c>
      <c r="AA5992" s="501" t="s">
        <v>3418</v>
      </c>
      <c r="AB5992" s="512">
        <f>1</f>
        <v>1</v>
      </c>
      <c r="AC5992" s="500"/>
      <c r="AD5992" s="500"/>
      <c r="AE5992" s="500"/>
      <c r="AF5992" s="500"/>
      <c r="AG5992" s="500"/>
      <c r="AH5992" s="500"/>
      <c r="AI5992" s="500"/>
      <c r="AJ5992" s="500"/>
      <c r="AK5992" s="500"/>
      <c r="AL5992" s="500"/>
      <c r="AM5992" s="500"/>
      <c r="AN5992" s="500"/>
      <c r="AO5992" s="500"/>
      <c r="AP5992" s="500"/>
    </row>
    <row r="5993" spans="1:42" ht="16.5" customHeight="1">
      <c r="A5993" s="439"/>
      <c r="B5993" s="439"/>
      <c r="C5993" s="439"/>
      <c r="D5993" s="439"/>
      <c r="E5993" s="439"/>
      <c r="F5993" s="439"/>
      <c r="Z5993" s="500"/>
      <c r="AA5993" s="500"/>
      <c r="AB5993" s="500"/>
      <c r="AC5993" s="500"/>
      <c r="AD5993" s="500"/>
      <c r="AE5993" s="500"/>
      <c r="AF5993" s="500"/>
      <c r="AG5993" s="500"/>
      <c r="AH5993" s="500"/>
      <c r="AI5993" s="500"/>
      <c r="AJ5993" s="500"/>
      <c r="AK5993" s="500"/>
      <c r="AL5993" s="500"/>
      <c r="AM5993" s="500"/>
      <c r="AN5993" s="500"/>
      <c r="AO5993" s="500"/>
      <c r="AP5993" s="500"/>
    </row>
    <row r="5994" spans="1:42" ht="16.5" customHeight="1">
      <c r="A5994" s="439"/>
      <c r="B5994" s="439"/>
      <c r="C5994" s="439"/>
      <c r="D5994" s="439"/>
      <c r="E5994" s="439"/>
      <c r="F5994" s="439"/>
      <c r="Z5994" s="500"/>
      <c r="AA5994" s="500"/>
      <c r="AB5994" s="500"/>
      <c r="AC5994" s="500"/>
      <c r="AD5994" s="500"/>
      <c r="AE5994" s="500"/>
      <c r="AF5994" s="500"/>
      <c r="AG5994" s="500"/>
      <c r="AH5994" s="500"/>
      <c r="AI5994" s="500"/>
      <c r="AJ5994" s="500"/>
      <c r="AK5994" s="500"/>
      <c r="AL5994" s="500"/>
      <c r="AM5994" s="500"/>
      <c r="AN5994" s="500"/>
      <c r="AO5994" s="500"/>
      <c r="AP5994" s="500"/>
    </row>
    <row r="5995" spans="1:42" ht="16.5" customHeight="1">
      <c r="A5995" s="439"/>
      <c r="B5995" s="439"/>
      <c r="C5995" s="439"/>
      <c r="D5995" s="439"/>
      <c r="E5995" s="439"/>
      <c r="F5995" s="439"/>
      <c r="Z5995" s="500"/>
      <c r="AA5995" s="500"/>
      <c r="AB5995" s="500"/>
      <c r="AC5995" s="500"/>
      <c r="AD5995" s="500"/>
      <c r="AE5995" s="500"/>
      <c r="AF5995" s="500"/>
      <c r="AG5995" s="500"/>
      <c r="AH5995" s="500"/>
      <c r="AI5995" s="500"/>
      <c r="AJ5995" s="500"/>
      <c r="AK5995" s="500"/>
      <c r="AL5995" s="500"/>
      <c r="AM5995" s="500"/>
      <c r="AN5995" s="500"/>
      <c r="AO5995" s="500"/>
      <c r="AP5995" s="500"/>
    </row>
    <row r="5996" spans="1:42" ht="16.5" customHeight="1">
      <c r="A5996" s="439"/>
      <c r="B5996" s="439"/>
      <c r="C5996" s="439"/>
      <c r="D5996" s="439"/>
      <c r="E5996" s="439"/>
      <c r="F5996" s="439"/>
      <c r="Z5996" s="500"/>
      <c r="AA5996" s="500"/>
      <c r="AB5996" s="500"/>
      <c r="AC5996" s="500"/>
      <c r="AD5996" s="500"/>
      <c r="AE5996" s="500"/>
      <c r="AF5996" s="500"/>
      <c r="AG5996" s="500"/>
      <c r="AH5996" s="500"/>
      <c r="AI5996" s="500"/>
      <c r="AJ5996" s="500"/>
      <c r="AK5996" s="500"/>
      <c r="AL5996" s="500"/>
      <c r="AM5996" s="500"/>
      <c r="AN5996" s="500"/>
      <c r="AO5996" s="500"/>
      <c r="AP5996" s="500"/>
    </row>
    <row r="5997" spans="1:42" ht="16.5" customHeight="1">
      <c r="A5997" s="439"/>
      <c r="B5997" s="439"/>
      <c r="C5997" s="439"/>
      <c r="D5997" s="439"/>
      <c r="E5997" s="439"/>
      <c r="F5997" s="439"/>
      <c r="Z5997" s="500"/>
      <c r="AA5997" s="500"/>
      <c r="AB5997" s="500"/>
      <c r="AC5997" s="500"/>
      <c r="AD5997" s="500"/>
      <c r="AE5997" s="500"/>
      <c r="AF5997" s="500"/>
      <c r="AG5997" s="500"/>
      <c r="AH5997" s="500"/>
      <c r="AI5997" s="500"/>
      <c r="AJ5997" s="500"/>
      <c r="AK5997" s="500"/>
      <c r="AL5997" s="500"/>
      <c r="AM5997" s="500"/>
      <c r="AN5997" s="500"/>
      <c r="AO5997" s="500"/>
      <c r="AP5997" s="500"/>
    </row>
    <row r="5998" spans="1:42" ht="16.5" customHeight="1">
      <c r="A5998" s="439"/>
      <c r="B5998" s="439"/>
      <c r="C5998" s="439"/>
      <c r="D5998" s="439"/>
      <c r="E5998" s="439"/>
      <c r="F5998" s="439"/>
      <c r="Z5998" s="500"/>
      <c r="AA5998" s="500"/>
      <c r="AB5998" s="500"/>
      <c r="AC5998" s="500"/>
      <c r="AD5998" s="500"/>
      <c r="AE5998" s="500"/>
      <c r="AF5998" s="500"/>
      <c r="AG5998" s="500"/>
      <c r="AH5998" s="500"/>
      <c r="AI5998" s="500"/>
      <c r="AJ5998" s="500"/>
      <c r="AK5998" s="500"/>
      <c r="AL5998" s="500"/>
      <c r="AM5998" s="500"/>
      <c r="AN5998" s="500"/>
      <c r="AO5998" s="500"/>
      <c r="AP5998" s="500"/>
    </row>
    <row r="5999" spans="1:42" ht="16.5" customHeight="1">
      <c r="A5999" s="439"/>
      <c r="B5999" s="439"/>
      <c r="C5999" s="439"/>
      <c r="D5999" s="439"/>
      <c r="E5999" s="439"/>
      <c r="F5999" s="439"/>
      <c r="Z5999" s="500"/>
      <c r="AA5999" s="500"/>
      <c r="AB5999" s="500"/>
      <c r="AC5999" s="500"/>
      <c r="AD5999" s="500"/>
      <c r="AE5999" s="500"/>
      <c r="AF5999" s="500"/>
      <c r="AG5999" s="500"/>
      <c r="AH5999" s="500"/>
      <c r="AI5999" s="500"/>
      <c r="AJ5999" s="500"/>
      <c r="AK5999" s="500"/>
      <c r="AL5999" s="500"/>
      <c r="AM5999" s="500"/>
      <c r="AN5999" s="500"/>
      <c r="AO5999" s="500"/>
      <c r="AP5999" s="500"/>
    </row>
    <row r="6000" spans="1:42" ht="16.5" customHeight="1">
      <c r="A6000" s="439"/>
      <c r="B6000" s="439"/>
      <c r="C6000" s="439"/>
      <c r="D6000" s="439"/>
      <c r="E6000" s="439"/>
      <c r="F6000" s="439"/>
      <c r="Z6000" s="500"/>
      <c r="AA6000" s="500"/>
      <c r="AB6000" s="500"/>
      <c r="AC6000" s="500"/>
      <c r="AD6000" s="500"/>
      <c r="AE6000" s="500"/>
      <c r="AF6000" s="500"/>
      <c r="AG6000" s="500"/>
      <c r="AH6000" s="500"/>
      <c r="AI6000" s="500"/>
      <c r="AJ6000" s="500"/>
      <c r="AK6000" s="500"/>
      <c r="AL6000" s="500"/>
      <c r="AM6000" s="500"/>
      <c r="AN6000" s="500"/>
      <c r="AO6000" s="500"/>
      <c r="AP6000" s="500"/>
    </row>
    <row r="6001" spans="1:42" ht="16.5" customHeight="1">
      <c r="A6001" s="439"/>
      <c r="B6001" s="439"/>
      <c r="C6001" s="439"/>
      <c r="D6001" s="439"/>
      <c r="E6001" s="439"/>
      <c r="F6001" s="439"/>
      <c r="Z6001" s="500"/>
      <c r="AA6001" s="500"/>
      <c r="AB6001" s="500"/>
      <c r="AC6001" s="500"/>
      <c r="AD6001" s="500"/>
      <c r="AE6001" s="500"/>
      <c r="AF6001" s="500"/>
      <c r="AG6001" s="500"/>
      <c r="AH6001" s="500"/>
      <c r="AI6001" s="500"/>
      <c r="AJ6001" s="500"/>
      <c r="AK6001" s="500"/>
      <c r="AL6001" s="500"/>
      <c r="AM6001" s="500"/>
      <c r="AN6001" s="500"/>
      <c r="AO6001" s="500"/>
      <c r="AP6001" s="500"/>
    </row>
    <row r="6002" spans="1:42" ht="16.5" customHeight="1">
      <c r="A6002" s="439"/>
      <c r="B6002" s="439"/>
      <c r="C6002" s="439"/>
      <c r="D6002" s="439"/>
      <c r="E6002" s="439"/>
      <c r="F6002" s="439"/>
      <c r="Z6002" s="500"/>
      <c r="AA6002" s="500"/>
      <c r="AB6002" s="500"/>
      <c r="AC6002" s="500"/>
      <c r="AD6002" s="500"/>
      <c r="AE6002" s="500"/>
      <c r="AF6002" s="500"/>
      <c r="AG6002" s="500"/>
      <c r="AH6002" s="500"/>
      <c r="AI6002" s="500"/>
      <c r="AJ6002" s="500"/>
      <c r="AK6002" s="500"/>
      <c r="AL6002" s="500"/>
      <c r="AM6002" s="500"/>
      <c r="AN6002" s="500"/>
      <c r="AO6002" s="500"/>
      <c r="AP6002" s="500"/>
    </row>
    <row r="6003" spans="1:42" ht="16.5" customHeight="1">
      <c r="A6003" s="497"/>
      <c r="B6003" s="497"/>
      <c r="C6003" s="497"/>
      <c r="D6003" s="497"/>
      <c r="E6003" s="497"/>
      <c r="F6003" s="497"/>
      <c r="Z6003" s="500"/>
      <c r="AA6003" s="500"/>
      <c r="AB6003" s="500"/>
      <c r="AC6003" s="500"/>
      <c r="AD6003" s="500"/>
      <c r="AE6003" s="500"/>
      <c r="AF6003" s="500"/>
      <c r="AG6003" s="500"/>
      <c r="AH6003" s="500"/>
      <c r="AI6003" s="500"/>
      <c r="AJ6003" s="500"/>
      <c r="AK6003" s="500"/>
      <c r="AL6003" s="500"/>
      <c r="AM6003" s="500"/>
      <c r="AN6003" s="500"/>
      <c r="AO6003" s="500"/>
      <c r="AP6003" s="500"/>
    </row>
    <row r="6004" spans="1:42" ht="16.5" customHeight="1">
      <c r="A6004" s="616" t="s">
        <v>3487</v>
      </c>
      <c r="B6004" s="605"/>
      <c r="C6004" s="446">
        <f>E6004+D6004+F6004</f>
        <v>1021175</v>
      </c>
      <c r="D6004" s="453">
        <f>ROUNDDOWN(SUMIF(N5957:N5992,M6004,D5957:D5992),0)</f>
        <v>0</v>
      </c>
      <c r="E6004" s="454">
        <f>ROUNDDOWN(SUMIF(N5957:N5992,M6004,E5957:E5992),0)</f>
        <v>0</v>
      </c>
      <c r="F6004" s="446">
        <f>ROUNDDOWN(SUMIF(N5957:N5992,M6004,F5957:F5992),0)</f>
        <v>1021175</v>
      </c>
      <c r="M6004" s="501" t="s">
        <v>2354</v>
      </c>
      <c r="Z6004" s="500"/>
      <c r="AA6004" s="500"/>
      <c r="AB6004" s="500"/>
      <c r="AC6004" s="500"/>
      <c r="AD6004" s="500"/>
      <c r="AE6004" s="500"/>
      <c r="AF6004" s="500"/>
      <c r="AG6004" s="500"/>
      <c r="AH6004" s="500"/>
      <c r="AI6004" s="500"/>
      <c r="AJ6004" s="500"/>
      <c r="AK6004" s="500"/>
      <c r="AL6004" s="500"/>
      <c r="AM6004" s="500"/>
      <c r="AN6004" s="500"/>
      <c r="AO6004" s="500"/>
      <c r="AP6004" s="500"/>
    </row>
    <row r="6005" spans="1:42" ht="16.5" customHeight="1">
      <c r="A6005" s="502"/>
      <c r="B6005" s="503" t="s">
        <v>2237</v>
      </c>
      <c r="C6005" s="615">
        <f>C6054</f>
        <v>1095974</v>
      </c>
      <c r="D6005" s="615">
        <f>D6054</f>
        <v>0</v>
      </c>
      <c r="E6005" s="615">
        <f>E6054</f>
        <v>0</v>
      </c>
      <c r="F6005" s="615">
        <f>F6054</f>
        <v>1095974</v>
      </c>
      <c r="G6005" s="486" t="str">
        <f>HYPERLINK("#G"&amp;ROW(G6042),"_x0005_`BDCOD|D01206_x0007_`POSS|"&amp;ROW(G6007)&amp;"_x0007_`POSE|"&amp;ROW(G6042)&amp;"_x0007_`")</f>
        <v>_x0005_`BDCOD|D01206_x0007_`POSS|6007_x0007_`POSE|6042_x0007_`</v>
      </c>
      <c r="Z6005" s="500"/>
      <c r="AA6005" s="500"/>
      <c r="AB6005" s="500"/>
      <c r="AC6005" s="500"/>
      <c r="AD6005" s="500"/>
      <c r="AE6005" s="500"/>
      <c r="AF6005" s="500"/>
      <c r="AG6005" s="500"/>
      <c r="AH6005" s="500"/>
      <c r="AI6005" s="500"/>
      <c r="AJ6005" s="500"/>
      <c r="AK6005" s="500"/>
      <c r="AL6005" s="500"/>
      <c r="AM6005" s="500"/>
      <c r="AN6005" s="500"/>
      <c r="AO6005" s="500"/>
      <c r="AP6005" s="500"/>
    </row>
    <row r="6006" spans="1:42" ht="16.5" customHeight="1">
      <c r="A6006" s="485"/>
      <c r="B6006" s="503" t="s">
        <v>4029</v>
      </c>
      <c r="C6006" s="593"/>
      <c r="D6006" s="593"/>
      <c r="E6006" s="593"/>
      <c r="F6006" s="593"/>
      <c r="M6006" s="501" t="s">
        <v>2237</v>
      </c>
      <c r="Z6006" s="500"/>
      <c r="AA6006" s="500"/>
      <c r="AB6006" s="500"/>
      <c r="AC6006" s="500"/>
      <c r="AD6006" s="500"/>
      <c r="AE6006" s="500"/>
      <c r="AF6006" s="500"/>
      <c r="AG6006" s="500"/>
      <c r="AH6006" s="500"/>
      <c r="AI6006" s="500"/>
      <c r="AJ6006" s="500"/>
      <c r="AK6006" s="500"/>
      <c r="AL6006" s="500"/>
      <c r="AM6006" s="500"/>
      <c r="AN6006" s="500"/>
      <c r="AO6006" s="500"/>
      <c r="AP6006" s="500"/>
    </row>
    <row r="6007" spans="1:42" ht="16.5" customHeight="1">
      <c r="A6007" s="434"/>
      <c r="B6007" s="437" t="s">
        <v>3980</v>
      </c>
      <c r="C6007" s="504"/>
      <c r="D6007" s="504"/>
      <c r="E6007" s="504"/>
      <c r="F6007" s="504"/>
      <c r="G6007" s="451" t="s">
        <v>3981</v>
      </c>
      <c r="Z6007" s="500"/>
      <c r="AA6007" s="500"/>
      <c r="AB6007" s="500"/>
      <c r="AC6007" s="500"/>
      <c r="AD6007" s="500"/>
      <c r="AE6007" s="500"/>
      <c r="AF6007" s="500"/>
      <c r="AG6007" s="500"/>
      <c r="AH6007" s="500"/>
      <c r="AI6007" s="500"/>
      <c r="AJ6007" s="500"/>
      <c r="AK6007" s="500"/>
      <c r="AL6007" s="500"/>
      <c r="AM6007" s="500"/>
      <c r="AN6007" s="500"/>
      <c r="AO6007" s="500"/>
      <c r="AP6007" s="500"/>
    </row>
    <row r="6008" spans="1:42" ht="16.5" customHeight="1">
      <c r="A6008" s="439"/>
      <c r="B6008" s="439"/>
      <c r="C6008" s="439"/>
      <c r="D6008" s="439"/>
      <c r="E6008" s="439"/>
      <c r="F6008" s="439"/>
      <c r="G6008" s="451" t="s">
        <v>3406</v>
      </c>
      <c r="Z6008" s="500"/>
      <c r="AA6008" s="500"/>
      <c r="AB6008" s="500"/>
      <c r="AC6008" s="500"/>
      <c r="AD6008" s="500"/>
      <c r="AE6008" s="500"/>
      <c r="AF6008" s="500"/>
      <c r="AG6008" s="500"/>
      <c r="AH6008" s="500"/>
      <c r="AI6008" s="500"/>
      <c r="AJ6008" s="500"/>
      <c r="AK6008" s="500"/>
      <c r="AL6008" s="500"/>
      <c r="AM6008" s="500"/>
      <c r="AN6008" s="500"/>
      <c r="AO6008" s="500"/>
      <c r="AP6008" s="500"/>
    </row>
    <row r="6009" spans="1:42" ht="16.5" customHeight="1">
      <c r="A6009" s="434"/>
      <c r="B6009" s="437" t="s">
        <v>4030</v>
      </c>
      <c r="C6009" s="439"/>
      <c r="D6009" s="439"/>
      <c r="E6009" s="439"/>
      <c r="F6009" s="439"/>
      <c r="G6009" s="451" t="s">
        <v>4031</v>
      </c>
      <c r="Z6009" s="500"/>
      <c r="AA6009" s="500"/>
      <c r="AB6009" s="500"/>
      <c r="AC6009" s="500"/>
      <c r="AD6009" s="500"/>
      <c r="AE6009" s="500"/>
      <c r="AF6009" s="500"/>
      <c r="AG6009" s="500"/>
      <c r="AH6009" s="500"/>
      <c r="AI6009" s="500"/>
      <c r="AJ6009" s="500"/>
      <c r="AK6009" s="500"/>
      <c r="AL6009" s="500"/>
      <c r="AM6009" s="500"/>
      <c r="AN6009" s="500"/>
      <c r="AO6009" s="500"/>
      <c r="AP6009" s="500"/>
    </row>
    <row r="6010" spans="1:42" ht="16.5" customHeight="1">
      <c r="A6010" s="439"/>
      <c r="B6010" s="439"/>
      <c r="C6010" s="439"/>
      <c r="D6010" s="439"/>
      <c r="E6010" s="439"/>
      <c r="F6010" s="439"/>
      <c r="G6010" s="451" t="s">
        <v>3406</v>
      </c>
      <c r="Z6010" s="500"/>
      <c r="AA6010" s="500"/>
      <c r="AB6010" s="500"/>
      <c r="AC6010" s="500"/>
      <c r="AD6010" s="500"/>
      <c r="AE6010" s="500"/>
      <c r="AF6010" s="500"/>
      <c r="AG6010" s="500"/>
      <c r="AH6010" s="500"/>
      <c r="AI6010" s="500"/>
      <c r="AJ6010" s="500"/>
      <c r="AK6010" s="500"/>
      <c r="AL6010" s="500"/>
      <c r="AM6010" s="500"/>
      <c r="AN6010" s="500"/>
      <c r="AO6010" s="500"/>
      <c r="AP6010" s="500"/>
    </row>
    <row r="6011" spans="1:42" ht="16.5" customHeight="1">
      <c r="A6011" s="439"/>
      <c r="B6011" s="439"/>
      <c r="C6011" s="439"/>
      <c r="D6011" s="439"/>
      <c r="E6011" s="439"/>
      <c r="F6011" s="439"/>
      <c r="G6011" s="451" t="s">
        <v>3406</v>
      </c>
      <c r="Z6011" s="500"/>
      <c r="AA6011" s="500"/>
      <c r="AB6011" s="500"/>
      <c r="AC6011" s="500"/>
      <c r="AD6011" s="500"/>
      <c r="AE6011" s="500"/>
      <c r="AF6011" s="500"/>
      <c r="AG6011" s="500"/>
      <c r="AH6011" s="500"/>
      <c r="AI6011" s="500"/>
      <c r="AJ6011" s="500"/>
      <c r="AK6011" s="500"/>
      <c r="AL6011" s="500"/>
      <c r="AM6011" s="500"/>
      <c r="AN6011" s="500"/>
      <c r="AO6011" s="500"/>
      <c r="AP6011" s="500"/>
    </row>
    <row r="6012" spans="1:42" ht="16.5" customHeight="1">
      <c r="A6012" s="434"/>
      <c r="B6012" s="437" t="s">
        <v>3984</v>
      </c>
      <c r="C6012" s="439"/>
      <c r="D6012" s="439"/>
      <c r="E6012" s="439"/>
      <c r="F6012" s="439"/>
      <c r="G6012" s="451" t="s">
        <v>3985</v>
      </c>
      <c r="Z6012" s="500"/>
      <c r="AA6012" s="500"/>
      <c r="AB6012" s="500"/>
      <c r="AC6012" s="500"/>
      <c r="AD6012" s="500"/>
      <c r="AE6012" s="500"/>
      <c r="AF6012" s="500"/>
      <c r="AG6012" s="500"/>
      <c r="AH6012" s="500"/>
      <c r="AI6012" s="500"/>
      <c r="AJ6012" s="500"/>
      <c r="AK6012" s="500"/>
      <c r="AL6012" s="500"/>
      <c r="AM6012" s="500"/>
      <c r="AN6012" s="500"/>
      <c r="AO6012" s="500"/>
      <c r="AP6012" s="500"/>
    </row>
    <row r="6013" spans="1:42" ht="16.5" customHeight="1">
      <c r="A6013" s="439"/>
      <c r="B6013" s="439"/>
      <c r="C6013" s="439"/>
      <c r="D6013" s="439"/>
      <c r="E6013" s="439"/>
      <c r="F6013" s="439"/>
      <c r="G6013" s="451" t="s">
        <v>3406</v>
      </c>
      <c r="Z6013" s="500"/>
      <c r="AA6013" s="500"/>
      <c r="AB6013" s="500"/>
      <c r="AC6013" s="500"/>
      <c r="AD6013" s="500"/>
      <c r="AE6013" s="500"/>
      <c r="AF6013" s="500"/>
      <c r="AG6013" s="500"/>
      <c r="AH6013" s="500"/>
      <c r="AI6013" s="500"/>
      <c r="AJ6013" s="500"/>
      <c r="AK6013" s="500"/>
      <c r="AL6013" s="500"/>
      <c r="AM6013" s="500"/>
      <c r="AN6013" s="500"/>
      <c r="AO6013" s="500"/>
      <c r="AP6013" s="500"/>
    </row>
    <row r="6014" spans="1:42" ht="16.5" customHeight="1">
      <c r="A6014" s="439"/>
      <c r="B6014" s="439"/>
      <c r="C6014" s="439"/>
      <c r="D6014" s="439"/>
      <c r="E6014" s="439"/>
      <c r="F6014" s="439"/>
      <c r="G6014" s="451" t="s">
        <v>3406</v>
      </c>
      <c r="Z6014" s="500"/>
      <c r="AA6014" s="500"/>
      <c r="AB6014" s="500"/>
      <c r="AC6014" s="500"/>
      <c r="AD6014" s="500"/>
      <c r="AE6014" s="500"/>
      <c r="AF6014" s="500"/>
      <c r="AG6014" s="500"/>
      <c r="AH6014" s="500"/>
      <c r="AI6014" s="500"/>
      <c r="AJ6014" s="500"/>
      <c r="AK6014" s="500"/>
      <c r="AL6014" s="500"/>
      <c r="AM6014" s="500"/>
      <c r="AN6014" s="500"/>
      <c r="AO6014" s="500"/>
      <c r="AP6014" s="500"/>
    </row>
    <row r="6015" spans="1:42" ht="16.5" customHeight="1">
      <c r="A6015" s="434"/>
      <c r="B6015" s="437" t="s">
        <v>3986</v>
      </c>
      <c r="C6015" s="439"/>
      <c r="D6015" s="439"/>
      <c r="E6015" s="439"/>
      <c r="F6015" s="439"/>
      <c r="G6015" s="451" t="s">
        <v>3987</v>
      </c>
      <c r="Z6015" s="500"/>
      <c r="AA6015" s="500"/>
      <c r="AB6015" s="500"/>
      <c r="AC6015" s="500"/>
      <c r="AD6015" s="500"/>
      <c r="AE6015" s="500"/>
      <c r="AF6015" s="500"/>
      <c r="AG6015" s="500"/>
      <c r="AH6015" s="500"/>
      <c r="AI6015" s="500"/>
      <c r="AJ6015" s="500"/>
      <c r="AK6015" s="500"/>
      <c r="AL6015" s="500"/>
      <c r="AM6015" s="500"/>
      <c r="AN6015" s="500"/>
      <c r="AO6015" s="500"/>
      <c r="AP6015" s="500"/>
    </row>
    <row r="6016" spans="1:42" ht="16.5" customHeight="1">
      <c r="A6016" s="439"/>
      <c r="B6016" s="439"/>
      <c r="C6016" s="439"/>
      <c r="D6016" s="439"/>
      <c r="E6016" s="439"/>
      <c r="F6016" s="439"/>
      <c r="G6016" s="451" t="s">
        <v>3406</v>
      </c>
      <c r="Z6016" s="500"/>
      <c r="AA6016" s="500"/>
      <c r="AB6016" s="500"/>
      <c r="AC6016" s="500"/>
      <c r="AD6016" s="500"/>
      <c r="AE6016" s="500"/>
      <c r="AF6016" s="500"/>
      <c r="AG6016" s="500"/>
      <c r="AH6016" s="500"/>
      <c r="AI6016" s="500"/>
      <c r="AJ6016" s="500"/>
      <c r="AK6016" s="500"/>
      <c r="AL6016" s="500"/>
      <c r="AM6016" s="500"/>
      <c r="AN6016" s="500"/>
      <c r="AO6016" s="500"/>
      <c r="AP6016" s="500"/>
    </row>
    <row r="6017" spans="1:42" ht="16.5" customHeight="1">
      <c r="A6017" s="439"/>
      <c r="B6017" s="439"/>
      <c r="C6017" s="439"/>
      <c r="D6017" s="439"/>
      <c r="E6017" s="439"/>
      <c r="F6017" s="439"/>
      <c r="G6017" s="451" t="s">
        <v>3406</v>
      </c>
      <c r="Z6017" s="500"/>
      <c r="AA6017" s="500"/>
      <c r="AB6017" s="500"/>
      <c r="AC6017" s="500"/>
      <c r="AD6017" s="500"/>
      <c r="AE6017" s="500"/>
      <c r="AF6017" s="500"/>
      <c r="AG6017" s="500"/>
      <c r="AH6017" s="500"/>
      <c r="AI6017" s="500"/>
      <c r="AJ6017" s="500"/>
      <c r="AK6017" s="500"/>
      <c r="AL6017" s="500"/>
      <c r="AM6017" s="500"/>
      <c r="AN6017" s="500"/>
      <c r="AO6017" s="500"/>
      <c r="AP6017" s="500"/>
    </row>
    <row r="6018" spans="1:42" ht="16.5" customHeight="1">
      <c r="A6018" s="434"/>
      <c r="B6018" s="437" t="str">
        <f>" L = "&amp;Z6018&amp;" , V = "&amp;AD6018&amp;" , t = "&amp;AH6018&amp;"  , T = "&amp;AL6018&amp;"-"&amp;AN6018&amp;""</f>
        <v xml:space="preserve"> L = 1450 , V = 2500 , t = 2  , T = 480-30</v>
      </c>
      <c r="C6018" s="439"/>
      <c r="D6018" s="439"/>
      <c r="E6018" s="439"/>
      <c r="F6018" s="439"/>
      <c r="G6018" s="451" t="s">
        <v>4032</v>
      </c>
      <c r="Z6018" s="515">
        <v>1450</v>
      </c>
      <c r="AA6018" s="501" t="s">
        <v>3418</v>
      </c>
      <c r="AB6018" s="512">
        <f>Z6018</f>
        <v>1450</v>
      </c>
      <c r="AC6018" s="514" t="s">
        <v>3427</v>
      </c>
      <c r="AD6018" s="515">
        <v>2500</v>
      </c>
      <c r="AE6018" s="501" t="s">
        <v>3418</v>
      </c>
      <c r="AF6018" s="512">
        <f>AD6018</f>
        <v>2500</v>
      </c>
      <c r="AG6018" s="514" t="s">
        <v>3427</v>
      </c>
      <c r="AH6018" s="515">
        <v>2</v>
      </c>
      <c r="AI6018" s="501" t="s">
        <v>3418</v>
      </c>
      <c r="AJ6018" s="512">
        <f>AH6018</f>
        <v>2</v>
      </c>
      <c r="AK6018" s="514" t="s">
        <v>3427</v>
      </c>
      <c r="AL6018" s="515">
        <v>480</v>
      </c>
      <c r="AM6018" s="501" t="s">
        <v>3474</v>
      </c>
      <c r="AN6018" s="515">
        <v>30</v>
      </c>
      <c r="AO6018" s="501" t="s">
        <v>3418</v>
      </c>
      <c r="AP6018" s="512">
        <f>AL6018-AN6018</f>
        <v>450</v>
      </c>
    </row>
    <row r="6019" spans="1:42" ht="16.5" customHeight="1">
      <c r="A6019" s="439"/>
      <c r="B6019" s="439"/>
      <c r="C6019" s="439"/>
      <c r="D6019" s="439"/>
      <c r="E6019" s="439"/>
      <c r="F6019" s="439"/>
      <c r="G6019" s="451" t="s">
        <v>3406</v>
      </c>
      <c r="Z6019" s="500"/>
      <c r="AA6019" s="500"/>
      <c r="AB6019" s="500"/>
      <c r="AC6019" s="500"/>
      <c r="AD6019" s="500"/>
      <c r="AE6019" s="500"/>
      <c r="AF6019" s="500"/>
      <c r="AG6019" s="500"/>
      <c r="AH6019" s="500"/>
      <c r="AI6019" s="500"/>
      <c r="AJ6019" s="500"/>
      <c r="AK6019" s="500"/>
      <c r="AL6019" s="500"/>
      <c r="AM6019" s="500"/>
      <c r="AN6019" s="500"/>
      <c r="AO6019" s="500"/>
      <c r="AP6019" s="500"/>
    </row>
    <row r="6020" spans="1:42" ht="16.5" customHeight="1">
      <c r="A6020" s="439"/>
      <c r="B6020" s="439"/>
      <c r="C6020" s="439"/>
      <c r="D6020" s="439"/>
      <c r="E6020" s="439"/>
      <c r="F6020" s="439"/>
      <c r="G6020" s="451" t="s">
        <v>3406</v>
      </c>
      <c r="Z6020" s="500"/>
      <c r="AA6020" s="500"/>
      <c r="AB6020" s="500"/>
      <c r="AC6020" s="500"/>
      <c r="AD6020" s="500"/>
      <c r="AE6020" s="500"/>
      <c r="AF6020" s="500"/>
      <c r="AG6020" s="500"/>
      <c r="AH6020" s="500"/>
      <c r="AI6020" s="500"/>
      <c r="AJ6020" s="500"/>
      <c r="AK6020" s="500"/>
      <c r="AL6020" s="500"/>
      <c r="AM6020" s="500"/>
      <c r="AN6020" s="500"/>
      <c r="AO6020" s="500"/>
      <c r="AP6020" s="500"/>
    </row>
    <row r="6021" spans="1:42" ht="16.5" customHeight="1">
      <c r="A6021" s="439"/>
      <c r="B6021" s="439"/>
      <c r="C6021" s="439"/>
      <c r="D6021" s="439"/>
      <c r="E6021" s="439"/>
      <c r="F6021" s="439"/>
      <c r="G6021" s="451" t="s">
        <v>3406</v>
      </c>
      <c r="Z6021" s="500"/>
      <c r="AA6021" s="500"/>
      <c r="AB6021" s="500"/>
      <c r="AC6021" s="500"/>
      <c r="AD6021" s="500"/>
      <c r="AE6021" s="500"/>
      <c r="AF6021" s="500"/>
      <c r="AG6021" s="500"/>
      <c r="AH6021" s="500"/>
      <c r="AI6021" s="500"/>
      <c r="AJ6021" s="500"/>
      <c r="AK6021" s="500"/>
      <c r="AL6021" s="500"/>
      <c r="AM6021" s="500"/>
      <c r="AN6021" s="500"/>
      <c r="AO6021" s="500"/>
      <c r="AP6021" s="500"/>
    </row>
    <row r="6022" spans="1:42" ht="16.5" customHeight="1">
      <c r="A6022" s="434"/>
      <c r="B6022" s="437" t="str">
        <f>" N = V*T /( "&amp;AD6022&amp;"*L+V*"&amp;AJ6022&amp;" ) = "&amp;AM6022&amp;" 회/일 "</f>
        <v xml:space="preserve"> N = V*T /( 120*L+V*2 ) = 6.28 회/일 </v>
      </c>
      <c r="C6022" s="439"/>
      <c r="D6022" s="439"/>
      <c r="E6022" s="439"/>
      <c r="F6022" s="439"/>
      <c r="G6022" s="451" t="s">
        <v>3989</v>
      </c>
      <c r="Z6022" s="512">
        <f>AF6018</f>
        <v>2500</v>
      </c>
      <c r="AA6022" s="501" t="s">
        <v>3368</v>
      </c>
      <c r="AB6022" s="512">
        <f>AP6018</f>
        <v>450</v>
      </c>
      <c r="AC6022" s="501" t="s">
        <v>3463</v>
      </c>
      <c r="AD6022" s="515">
        <v>120</v>
      </c>
      <c r="AE6022" s="501" t="s">
        <v>3368</v>
      </c>
      <c r="AF6022" s="512">
        <f>AB6018</f>
        <v>1450</v>
      </c>
      <c r="AG6022" s="501" t="s">
        <v>3468</v>
      </c>
      <c r="AH6022" s="512">
        <f>AF6018</f>
        <v>2500</v>
      </c>
      <c r="AI6022" s="501" t="s">
        <v>3368</v>
      </c>
      <c r="AJ6022" s="515">
        <v>2</v>
      </c>
      <c r="AK6022" s="501" t="s">
        <v>3464</v>
      </c>
      <c r="AL6022" s="501" t="s">
        <v>3418</v>
      </c>
      <c r="AM6022" s="512" t="str">
        <f>TEXT(ROUND(AF6018*AP6018/(AD6022*AB6018+AF6018*AJ6022),2),"#,0.00")</f>
        <v>6.28</v>
      </c>
      <c r="AN6022" s="500"/>
      <c r="AO6022" s="500"/>
      <c r="AP6022" s="500"/>
    </row>
    <row r="6023" spans="1:42" ht="16.5" customHeight="1">
      <c r="A6023" s="439"/>
      <c r="B6023" s="439"/>
      <c r="C6023" s="439"/>
      <c r="D6023" s="439"/>
      <c r="E6023" s="439"/>
      <c r="F6023" s="439"/>
      <c r="G6023" s="451" t="s">
        <v>3406</v>
      </c>
      <c r="Z6023" s="500"/>
      <c r="AA6023" s="500"/>
      <c r="AB6023" s="500"/>
      <c r="AC6023" s="500"/>
      <c r="AD6023" s="500"/>
      <c r="AE6023" s="500"/>
      <c r="AF6023" s="500"/>
      <c r="AG6023" s="500"/>
      <c r="AH6023" s="500"/>
      <c r="AI6023" s="500"/>
      <c r="AJ6023" s="500"/>
      <c r="AK6023" s="500"/>
      <c r="AL6023" s="500"/>
      <c r="AM6023" s="500"/>
      <c r="AN6023" s="500"/>
      <c r="AO6023" s="500"/>
      <c r="AP6023" s="500"/>
    </row>
    <row r="6024" spans="1:42" ht="16.5" customHeight="1">
      <c r="A6024" s="439"/>
      <c r="B6024" s="439"/>
      <c r="C6024" s="439"/>
      <c r="D6024" s="439"/>
      <c r="E6024" s="439"/>
      <c r="F6024" s="439"/>
      <c r="G6024" s="451" t="s">
        <v>3406</v>
      </c>
      <c r="Z6024" s="500"/>
      <c r="AA6024" s="500"/>
      <c r="AB6024" s="500"/>
      <c r="AC6024" s="500"/>
      <c r="AD6024" s="500"/>
      <c r="AE6024" s="500"/>
      <c r="AF6024" s="500"/>
      <c r="AG6024" s="500"/>
      <c r="AH6024" s="500"/>
      <c r="AI6024" s="500"/>
      <c r="AJ6024" s="500"/>
      <c r="AK6024" s="500"/>
      <c r="AL6024" s="500"/>
      <c r="AM6024" s="500"/>
      <c r="AN6024" s="500"/>
      <c r="AO6024" s="500"/>
      <c r="AP6024" s="500"/>
    </row>
    <row r="6025" spans="1:42" ht="16.5" customHeight="1">
      <c r="A6025" s="439"/>
      <c r="B6025" s="439"/>
      <c r="C6025" s="439"/>
      <c r="D6025" s="439"/>
      <c r="E6025" s="439"/>
      <c r="F6025" s="439"/>
      <c r="G6025" s="451" t="s">
        <v>3406</v>
      </c>
      <c r="Z6025" s="500"/>
      <c r="AA6025" s="500"/>
      <c r="AB6025" s="500"/>
      <c r="AC6025" s="500"/>
      <c r="AD6025" s="500"/>
      <c r="AE6025" s="500"/>
      <c r="AF6025" s="500"/>
      <c r="AG6025" s="500"/>
      <c r="AH6025" s="500"/>
      <c r="AI6025" s="500"/>
      <c r="AJ6025" s="500"/>
      <c r="AK6025" s="500"/>
      <c r="AL6025" s="500"/>
      <c r="AM6025" s="500"/>
      <c r="AN6025" s="500"/>
      <c r="AO6025" s="500"/>
      <c r="AP6025" s="500"/>
    </row>
    <row r="6026" spans="1:42" ht="16.5" customHeight="1">
      <c r="A6026" s="434"/>
      <c r="B6026" s="437" t="str">
        <f>" Q = N*"&amp;AB6026&amp;" ㎏ = "&amp;AD6026&amp;"  kg/일 "</f>
        <v xml:space="preserve"> Q = N*25 ㎏ = 157.00  kg/일 </v>
      </c>
      <c r="C6026" s="439"/>
      <c r="D6026" s="439"/>
      <c r="E6026" s="439"/>
      <c r="F6026" s="439"/>
      <c r="G6026" s="451" t="s">
        <v>3990</v>
      </c>
      <c r="Z6026" s="512" t="str">
        <f>AM6022</f>
        <v>6.28</v>
      </c>
      <c r="AA6026" s="501" t="s">
        <v>3368</v>
      </c>
      <c r="AB6026" s="515">
        <v>25</v>
      </c>
      <c r="AC6026" s="501" t="s">
        <v>3418</v>
      </c>
      <c r="AD6026" s="512" t="str">
        <f>TEXT(ROUND(AM6022*AB6026,2),"#,0.00")</f>
        <v>157.00</v>
      </c>
      <c r="AE6026" s="500"/>
      <c r="AF6026" s="500"/>
      <c r="AG6026" s="500"/>
      <c r="AH6026" s="500"/>
      <c r="AI6026" s="500"/>
      <c r="AJ6026" s="500"/>
      <c r="AK6026" s="500"/>
      <c r="AL6026" s="500"/>
      <c r="AM6026" s="500"/>
      <c r="AN6026" s="500"/>
      <c r="AO6026" s="500"/>
      <c r="AP6026" s="500"/>
    </row>
    <row r="6027" spans="1:42" ht="16.5" customHeight="1">
      <c r="A6027" s="439"/>
      <c r="B6027" s="439"/>
      <c r="C6027" s="439"/>
      <c r="D6027" s="439"/>
      <c r="E6027" s="439"/>
      <c r="F6027" s="439"/>
      <c r="G6027" s="451" t="s">
        <v>3406</v>
      </c>
      <c r="Z6027" s="500"/>
      <c r="AA6027" s="500"/>
      <c r="AB6027" s="500"/>
      <c r="AC6027" s="500"/>
      <c r="AD6027" s="500"/>
      <c r="AE6027" s="500"/>
      <c r="AF6027" s="500"/>
      <c r="AG6027" s="500"/>
      <c r="AH6027" s="500"/>
      <c r="AI6027" s="500"/>
      <c r="AJ6027" s="500"/>
      <c r="AK6027" s="500"/>
      <c r="AL6027" s="500"/>
      <c r="AM6027" s="500"/>
      <c r="AN6027" s="500"/>
      <c r="AO6027" s="500"/>
      <c r="AP6027" s="500"/>
    </row>
    <row r="6028" spans="1:42" ht="16.5" customHeight="1">
      <c r="A6028" s="439"/>
      <c r="B6028" s="439"/>
      <c r="C6028" s="439"/>
      <c r="D6028" s="439"/>
      <c r="E6028" s="439"/>
      <c r="F6028" s="439"/>
      <c r="G6028" s="451" t="s">
        <v>3406</v>
      </c>
      <c r="Z6028" s="500"/>
      <c r="AA6028" s="500"/>
      <c r="AB6028" s="500"/>
      <c r="AC6028" s="500"/>
      <c r="AD6028" s="500"/>
      <c r="AE6028" s="500"/>
      <c r="AF6028" s="500"/>
      <c r="AG6028" s="500"/>
      <c r="AH6028" s="500"/>
      <c r="AI6028" s="500"/>
      <c r="AJ6028" s="500"/>
      <c r="AK6028" s="500"/>
      <c r="AL6028" s="500"/>
      <c r="AM6028" s="500"/>
      <c r="AN6028" s="500"/>
      <c r="AO6028" s="500"/>
      <c r="AP6028" s="500"/>
    </row>
    <row r="6029" spans="1:42" ht="16.5" customHeight="1">
      <c r="A6029" s="439"/>
      <c r="B6029" s="439"/>
      <c r="C6029" s="439"/>
      <c r="D6029" s="439"/>
      <c r="E6029" s="439"/>
      <c r="F6029" s="439"/>
      <c r="G6029" s="451" t="s">
        <v>3406</v>
      </c>
      <c r="Z6029" s="500"/>
      <c r="AA6029" s="500"/>
      <c r="AB6029" s="500"/>
      <c r="AC6029" s="500"/>
      <c r="AD6029" s="500"/>
      <c r="AE6029" s="500"/>
      <c r="AF6029" s="500"/>
      <c r="AG6029" s="500"/>
      <c r="AH6029" s="500"/>
      <c r="AI6029" s="500"/>
      <c r="AJ6029" s="500"/>
      <c r="AK6029" s="500"/>
      <c r="AL6029" s="500"/>
      <c r="AM6029" s="500"/>
      <c r="AN6029" s="500"/>
      <c r="AO6029" s="500"/>
      <c r="AP6029" s="500"/>
    </row>
    <row r="6030" spans="1:42" ht="16.5" customHeight="1">
      <c r="A6030" s="434"/>
      <c r="B6030" s="437" t="str">
        <f>" k = "&amp;Z6030&amp;" kg /Q"</f>
        <v xml:space="preserve"> k = 1000 kg /Q</v>
      </c>
      <c r="C6030" s="439"/>
      <c r="D6030" s="439"/>
      <c r="E6030" s="439"/>
      <c r="F6030" s="439"/>
      <c r="G6030" s="451" t="s">
        <v>3991</v>
      </c>
      <c r="Z6030" s="515">
        <v>1000</v>
      </c>
      <c r="AA6030" s="501" t="s">
        <v>3428</v>
      </c>
      <c r="AB6030" s="512" t="str">
        <f>AD6026</f>
        <v>157.00</v>
      </c>
      <c r="AC6030" s="501" t="s">
        <v>3418</v>
      </c>
      <c r="AD6030" s="512">
        <f>ROUND(Z6030/AD6026,13)</f>
        <v>6.3694267515923997</v>
      </c>
      <c r="AE6030" s="500"/>
      <c r="AF6030" s="500"/>
      <c r="AG6030" s="500"/>
      <c r="AH6030" s="500"/>
      <c r="AI6030" s="500"/>
      <c r="AJ6030" s="500"/>
      <c r="AK6030" s="500"/>
      <c r="AL6030" s="500"/>
      <c r="AM6030" s="500"/>
      <c r="AN6030" s="500"/>
      <c r="AO6030" s="500"/>
      <c r="AP6030" s="500"/>
    </row>
    <row r="6031" spans="1:42" ht="16.5" customHeight="1">
      <c r="A6031" s="439"/>
      <c r="B6031" s="439"/>
      <c r="C6031" s="439"/>
      <c r="D6031" s="439"/>
      <c r="E6031" s="439"/>
      <c r="F6031" s="439"/>
      <c r="G6031" s="451" t="s">
        <v>3406</v>
      </c>
      <c r="Z6031" s="500"/>
      <c r="AA6031" s="500"/>
      <c r="AB6031" s="500"/>
      <c r="AC6031" s="500"/>
      <c r="AD6031" s="500"/>
      <c r="AE6031" s="500"/>
      <c r="AF6031" s="500"/>
      <c r="AG6031" s="500"/>
      <c r="AH6031" s="500"/>
      <c r="AI6031" s="500"/>
      <c r="AJ6031" s="500"/>
      <c r="AK6031" s="500"/>
      <c r="AL6031" s="500"/>
      <c r="AM6031" s="500"/>
      <c r="AN6031" s="500"/>
      <c r="AO6031" s="500"/>
      <c r="AP6031" s="500"/>
    </row>
    <row r="6032" spans="1:42" ht="16.5" customHeight="1">
      <c r="A6032" s="439"/>
      <c r="B6032" s="439"/>
      <c r="C6032" s="439"/>
      <c r="D6032" s="439"/>
      <c r="E6032" s="439"/>
      <c r="F6032" s="439"/>
      <c r="G6032" s="451" t="s">
        <v>3406</v>
      </c>
      <c r="Z6032" s="500"/>
      <c r="AA6032" s="500"/>
      <c r="AB6032" s="500"/>
      <c r="AC6032" s="500"/>
      <c r="AD6032" s="500"/>
      <c r="AE6032" s="500"/>
      <c r="AF6032" s="500"/>
      <c r="AG6032" s="500"/>
      <c r="AH6032" s="500"/>
      <c r="AI6032" s="500"/>
      <c r="AJ6032" s="500"/>
      <c r="AK6032" s="500"/>
      <c r="AL6032" s="500"/>
      <c r="AM6032" s="500"/>
      <c r="AN6032" s="500"/>
      <c r="AO6032" s="500"/>
      <c r="AP6032" s="500"/>
    </row>
    <row r="6033" spans="1:42" ht="16.5" customHeight="1">
      <c r="A6033" s="439"/>
      <c r="B6033" s="439"/>
      <c r="C6033" s="439"/>
      <c r="D6033" s="439"/>
      <c r="E6033" s="439"/>
      <c r="F6033" s="439"/>
      <c r="G6033" s="451" t="s">
        <v>3406</v>
      </c>
      <c r="Z6033" s="500"/>
      <c r="AA6033" s="500"/>
      <c r="AB6033" s="500"/>
      <c r="AC6033" s="500"/>
      <c r="AD6033" s="500"/>
      <c r="AE6033" s="500"/>
      <c r="AF6033" s="500"/>
      <c r="AG6033" s="500"/>
      <c r="AH6033" s="500"/>
      <c r="AI6033" s="500"/>
      <c r="AJ6033" s="500"/>
      <c r="AK6033" s="500"/>
      <c r="AL6033" s="500"/>
      <c r="AM6033" s="500"/>
      <c r="AN6033" s="500"/>
      <c r="AO6033" s="500"/>
      <c r="AP6033" s="500"/>
    </row>
    <row r="6034" spans="1:42" ht="16.5" customHeight="1">
      <c r="A6034" s="434" t="s">
        <v>3992</v>
      </c>
      <c r="B6034" s="505" t="str">
        <f>" 인    부: "&amp;TEXT(I6034,"#,##0"&amp;IF(I6034&lt;&gt;INT(I6034),".###",""))&amp;"*k = "&amp;TEXT(C6034,"#,##0.0")&amp;" 원 "</f>
        <v xml:space="preserve"> 인    부: 172,068*k = 1,095,974.5 원 </v>
      </c>
      <c r="C6034" s="506">
        <f>E6034+D6034+F6034</f>
        <v>1095974.5</v>
      </c>
      <c r="D6034" s="506">
        <f>IF(H6034=0,0,ROUNDDOWN(J6034*H6034,1))</f>
        <v>1095974.5</v>
      </c>
      <c r="E6034" s="506">
        <f>IF(H6034=0,0,ROUNDDOWN(K6034*H6034,1))</f>
        <v>0</v>
      </c>
      <c r="F6034" s="506">
        <f>IF(H6034=0,0,ROUNDDOWN(L6034*H6034,1))</f>
        <v>0</v>
      </c>
      <c r="G6034" s="451" t="s">
        <v>3993</v>
      </c>
      <c r="H6034" s="507">
        <f>ROUNDUP(AC6034,14-LEN(ABS(INT(AC6034))))</f>
        <v>6.3694267515923997</v>
      </c>
      <c r="I6034" s="508">
        <f>K6034+J6034+L6034</f>
        <v>172068</v>
      </c>
      <c r="J6034" s="509">
        <f>노무비목록표!E10</f>
        <v>172068</v>
      </c>
      <c r="M6034" s="501" t="s">
        <v>2363</v>
      </c>
      <c r="N6034" s="501" t="s">
        <v>3994</v>
      </c>
      <c r="X6034" s="510" t="str">
        <f>노무비목록표!B10&amp;" / "&amp;노무비목록표!C10</f>
        <v xml:space="preserve">보통인부 / </v>
      </c>
      <c r="Y6034" s="433" t="str">
        <f ca="1">HYPERLINK("#"&amp;노무비목록표!G2&amp;"!A"&amp;ROW(노무비목록표!A10),"L00017 →")</f>
        <v>L00017 →</v>
      </c>
      <c r="Z6034" s="501" t="s">
        <v>3500</v>
      </c>
      <c r="AA6034" s="512">
        <f>AD6030</f>
        <v>6.3694267515923997</v>
      </c>
      <c r="AB6034" s="501" t="s">
        <v>3418</v>
      </c>
      <c r="AC6034" s="512">
        <f>1*AD6030</f>
        <v>6.3694267515923997</v>
      </c>
      <c r="AD6034" s="500"/>
      <c r="AE6034" s="500"/>
      <c r="AF6034" s="500"/>
      <c r="AG6034" s="500"/>
      <c r="AH6034" s="500"/>
      <c r="AI6034" s="500"/>
      <c r="AJ6034" s="500"/>
      <c r="AK6034" s="500"/>
      <c r="AL6034" s="500"/>
      <c r="AM6034" s="500"/>
      <c r="AN6034" s="500"/>
      <c r="AO6034" s="500"/>
      <c r="AP6034" s="500"/>
    </row>
    <row r="6035" spans="1:42" ht="16.5" customHeight="1">
      <c r="A6035" s="439"/>
      <c r="B6035" s="439"/>
      <c r="C6035" s="439"/>
      <c r="D6035" s="439"/>
      <c r="E6035" s="439"/>
      <c r="F6035" s="439"/>
      <c r="G6035" s="451" t="s">
        <v>3406</v>
      </c>
      <c r="Z6035" s="500"/>
      <c r="AA6035" s="500"/>
      <c r="AB6035" s="500"/>
      <c r="AC6035" s="500"/>
      <c r="AD6035" s="500"/>
      <c r="AE6035" s="500"/>
      <c r="AF6035" s="500"/>
      <c r="AG6035" s="500"/>
      <c r="AH6035" s="500"/>
      <c r="AI6035" s="500"/>
      <c r="AJ6035" s="500"/>
      <c r="AK6035" s="500"/>
      <c r="AL6035" s="500"/>
      <c r="AM6035" s="500"/>
      <c r="AN6035" s="500"/>
      <c r="AO6035" s="500"/>
      <c r="AP6035" s="500"/>
    </row>
    <row r="6036" spans="1:42" ht="16.5" customHeight="1">
      <c r="A6036" s="439"/>
      <c r="B6036" s="439"/>
      <c r="C6036" s="439"/>
      <c r="D6036" s="439"/>
      <c r="E6036" s="439"/>
      <c r="F6036" s="439"/>
      <c r="G6036" s="451" t="s">
        <v>3406</v>
      </c>
      <c r="Z6036" s="500"/>
      <c r="AA6036" s="500"/>
      <c r="AB6036" s="500"/>
      <c r="AC6036" s="500"/>
      <c r="AD6036" s="500"/>
      <c r="AE6036" s="500"/>
      <c r="AF6036" s="500"/>
      <c r="AG6036" s="500"/>
      <c r="AH6036" s="500"/>
      <c r="AI6036" s="500"/>
      <c r="AJ6036" s="500"/>
      <c r="AK6036" s="500"/>
      <c r="AL6036" s="500"/>
      <c r="AM6036" s="500"/>
      <c r="AN6036" s="500"/>
      <c r="AO6036" s="500"/>
      <c r="AP6036" s="500"/>
    </row>
    <row r="6037" spans="1:42" ht="16.5" customHeight="1">
      <c r="A6037" s="439"/>
      <c r="B6037" s="439"/>
      <c r="C6037" s="439"/>
      <c r="D6037" s="439"/>
      <c r="E6037" s="439"/>
      <c r="F6037" s="439"/>
      <c r="G6037" s="451" t="s">
        <v>3406</v>
      </c>
      <c r="Z6037" s="500"/>
      <c r="AA6037" s="500"/>
      <c r="AB6037" s="500"/>
      <c r="AC6037" s="500"/>
      <c r="AD6037" s="500"/>
      <c r="AE6037" s="500"/>
      <c r="AF6037" s="500"/>
      <c r="AG6037" s="500"/>
      <c r="AH6037" s="500"/>
      <c r="AI6037" s="500"/>
      <c r="AJ6037" s="500"/>
      <c r="AK6037" s="500"/>
      <c r="AL6037" s="500"/>
      <c r="AM6037" s="500"/>
      <c r="AN6037" s="500"/>
      <c r="AO6037" s="500"/>
      <c r="AP6037" s="500"/>
    </row>
    <row r="6038" spans="1:42" ht="16.5" customHeight="1">
      <c r="A6038" s="439"/>
      <c r="B6038" s="439"/>
      <c r="C6038" s="439"/>
      <c r="D6038" s="439"/>
      <c r="E6038" s="439"/>
      <c r="F6038" s="439"/>
      <c r="G6038" s="451" t="s">
        <v>3406</v>
      </c>
      <c r="Z6038" s="500"/>
      <c r="AA6038" s="500"/>
      <c r="AB6038" s="500"/>
      <c r="AC6038" s="500"/>
      <c r="AD6038" s="500"/>
      <c r="AE6038" s="500"/>
      <c r="AF6038" s="500"/>
      <c r="AG6038" s="500"/>
      <c r="AH6038" s="500"/>
      <c r="AI6038" s="500"/>
      <c r="AJ6038" s="500"/>
      <c r="AK6038" s="500"/>
      <c r="AL6038" s="500"/>
      <c r="AM6038" s="500"/>
      <c r="AN6038" s="500"/>
      <c r="AO6038" s="500"/>
      <c r="AP6038" s="500"/>
    </row>
    <row r="6039" spans="1:42" ht="16.5" customHeight="1">
      <c r="A6039" s="434"/>
      <c r="B6039" s="437" t="s">
        <v>3995</v>
      </c>
      <c r="C6039" s="516">
        <f>E6039+D6039+F6039</f>
        <v>1095974.5</v>
      </c>
      <c r="D6039" s="516">
        <f>SUMIF(N6007:N6038,M6039,D6007:D6038)</f>
        <v>1095974.5</v>
      </c>
      <c r="E6039" s="516">
        <f>SUMIF(N6007:N6038,M6039,E6007:E6038)</f>
        <v>0</v>
      </c>
      <c r="F6039" s="516">
        <f>SUMIF(N6007:N6038,M6039,F6007:F6038)</f>
        <v>0</v>
      </c>
      <c r="G6039" s="451" t="s">
        <v>3996</v>
      </c>
      <c r="M6039" s="501" t="s">
        <v>3994</v>
      </c>
      <c r="Z6039" s="500"/>
      <c r="AA6039" s="500"/>
      <c r="AB6039" s="500"/>
      <c r="AC6039" s="500"/>
      <c r="AD6039" s="500"/>
      <c r="AE6039" s="500"/>
      <c r="AF6039" s="500"/>
      <c r="AG6039" s="500"/>
      <c r="AH6039" s="500"/>
      <c r="AI6039" s="500"/>
      <c r="AJ6039" s="500"/>
      <c r="AK6039" s="500"/>
      <c r="AL6039" s="500"/>
      <c r="AM6039" s="500"/>
      <c r="AN6039" s="500"/>
      <c r="AO6039" s="500"/>
      <c r="AP6039" s="500"/>
    </row>
    <row r="6040" spans="1:42" ht="16.5" customHeight="1">
      <c r="A6040" s="439"/>
      <c r="B6040" s="439"/>
      <c r="C6040" s="517"/>
      <c r="D6040" s="517"/>
      <c r="E6040" s="517"/>
      <c r="F6040" s="517"/>
      <c r="G6040" s="451" t="s">
        <v>3406</v>
      </c>
      <c r="Z6040" s="500"/>
      <c r="AA6040" s="500"/>
      <c r="AB6040" s="500"/>
      <c r="AC6040" s="500"/>
      <c r="AD6040" s="500"/>
      <c r="AE6040" s="500"/>
      <c r="AF6040" s="500"/>
      <c r="AG6040" s="500"/>
      <c r="AH6040" s="500"/>
      <c r="AI6040" s="500"/>
      <c r="AJ6040" s="500"/>
      <c r="AK6040" s="500"/>
      <c r="AL6040" s="500"/>
      <c r="AM6040" s="500"/>
      <c r="AN6040" s="500"/>
      <c r="AO6040" s="500"/>
      <c r="AP6040" s="500"/>
    </row>
    <row r="6041" spans="1:42" ht="16.5" customHeight="1">
      <c r="A6041" s="439"/>
      <c r="B6041" s="439"/>
      <c r="C6041" s="439"/>
      <c r="D6041" s="439"/>
      <c r="E6041" s="439"/>
      <c r="F6041" s="439"/>
      <c r="G6041" s="451" t="s">
        <v>3406</v>
      </c>
      <c r="Z6041" s="500"/>
      <c r="AA6041" s="500"/>
      <c r="AB6041" s="500"/>
      <c r="AC6041" s="500"/>
      <c r="AD6041" s="500"/>
      <c r="AE6041" s="500"/>
      <c r="AF6041" s="500"/>
      <c r="AG6041" s="500"/>
      <c r="AH6041" s="500"/>
      <c r="AI6041" s="500"/>
      <c r="AJ6041" s="500"/>
      <c r="AK6041" s="500"/>
      <c r="AL6041" s="500"/>
      <c r="AM6041" s="500"/>
      <c r="AN6041" s="500"/>
      <c r="AO6041" s="500"/>
      <c r="AP6041" s="500"/>
    </row>
    <row r="6042" spans="1:42" ht="16.5" customHeight="1">
      <c r="A6042" s="434" t="s">
        <v>3997</v>
      </c>
      <c r="B6042" s="505" t="str">
        <f>" 경비로 적용 : "&amp;TEXT(I6042,"#,##0"&amp;IF(I6042&lt;&gt;INT(I6042),".###",""))&amp;"  = "&amp;TEXT(C6042,"#,##0.0")&amp;""</f>
        <v xml:space="preserve"> 경비로 적용 : 1,095,974.5  = 1,095,974.5</v>
      </c>
      <c r="C6042" s="506">
        <f>E6042+D6042+F6042</f>
        <v>1095974.5</v>
      </c>
      <c r="D6042" s="506">
        <f>IF(H6042=0,0,ROUNDDOWN(J6042*H6042,1))</f>
        <v>0</v>
      </c>
      <c r="E6042" s="506">
        <f>IF(H6042=0,0,ROUNDDOWN(K6042*H6042,1))</f>
        <v>0</v>
      </c>
      <c r="F6042" s="506">
        <f>IF(H6042=0,0,ROUNDDOWN(L6042*H6042,1))</f>
        <v>1095974.5</v>
      </c>
      <c r="G6042" s="451" t="s">
        <v>3998</v>
      </c>
      <c r="H6042" s="507">
        <f>ROUNDUP(AB6042,14-LEN(ABS(INT(AB6042))))</f>
        <v>1</v>
      </c>
      <c r="I6042" s="508">
        <f>K6042+J6042+L6042</f>
        <v>1095974.5</v>
      </c>
      <c r="J6042" s="456">
        <v>0</v>
      </c>
      <c r="K6042" s="456">
        <v>0</v>
      </c>
      <c r="L6042" s="518">
        <v>1095974.5</v>
      </c>
      <c r="M6042" s="501" t="s">
        <v>3999</v>
      </c>
      <c r="N6042" s="501" t="s">
        <v>2354</v>
      </c>
      <c r="Z6042" s="501" t="s">
        <v>4000</v>
      </c>
      <c r="AA6042" s="501" t="s">
        <v>3418</v>
      </c>
      <c r="AB6042" s="512">
        <f>1</f>
        <v>1</v>
      </c>
      <c r="AC6042" s="500"/>
      <c r="AD6042" s="500"/>
      <c r="AE6042" s="500"/>
      <c r="AF6042" s="500"/>
      <c r="AG6042" s="500"/>
      <c r="AH6042" s="500"/>
      <c r="AI6042" s="500"/>
      <c r="AJ6042" s="500"/>
      <c r="AK6042" s="500"/>
      <c r="AL6042" s="500"/>
      <c r="AM6042" s="500"/>
      <c r="AN6042" s="500"/>
      <c r="AO6042" s="500"/>
      <c r="AP6042" s="500"/>
    </row>
    <row r="6043" spans="1:42" ht="16.5" customHeight="1">
      <c r="A6043" s="439"/>
      <c r="B6043" s="439"/>
      <c r="C6043" s="439"/>
      <c r="D6043" s="439"/>
      <c r="E6043" s="439"/>
      <c r="F6043" s="439"/>
      <c r="Z6043" s="500"/>
      <c r="AA6043" s="500"/>
      <c r="AB6043" s="500"/>
      <c r="AC6043" s="500"/>
      <c r="AD6043" s="500"/>
      <c r="AE6043" s="500"/>
      <c r="AF6043" s="500"/>
      <c r="AG6043" s="500"/>
      <c r="AH6043" s="500"/>
      <c r="AI6043" s="500"/>
      <c r="AJ6043" s="500"/>
      <c r="AK6043" s="500"/>
      <c r="AL6043" s="500"/>
      <c r="AM6043" s="500"/>
      <c r="AN6043" s="500"/>
      <c r="AO6043" s="500"/>
      <c r="AP6043" s="500"/>
    </row>
    <row r="6044" spans="1:42" ht="16.5" customHeight="1">
      <c r="A6044" s="439"/>
      <c r="B6044" s="439"/>
      <c r="C6044" s="439"/>
      <c r="D6044" s="439"/>
      <c r="E6044" s="439"/>
      <c r="F6044" s="439"/>
      <c r="Z6044" s="500"/>
      <c r="AA6044" s="500"/>
      <c r="AB6044" s="500"/>
      <c r="AC6044" s="500"/>
      <c r="AD6044" s="500"/>
      <c r="AE6044" s="500"/>
      <c r="AF6044" s="500"/>
      <c r="AG6044" s="500"/>
      <c r="AH6044" s="500"/>
      <c r="AI6044" s="500"/>
      <c r="AJ6044" s="500"/>
      <c r="AK6044" s="500"/>
      <c r="AL6044" s="500"/>
      <c r="AM6044" s="500"/>
      <c r="AN6044" s="500"/>
      <c r="AO6044" s="500"/>
      <c r="AP6044" s="500"/>
    </row>
    <row r="6045" spans="1:42" ht="16.5" customHeight="1">
      <c r="A6045" s="439"/>
      <c r="B6045" s="439"/>
      <c r="C6045" s="439"/>
      <c r="D6045" s="439"/>
      <c r="E6045" s="439"/>
      <c r="F6045" s="439"/>
      <c r="Z6045" s="500"/>
      <c r="AA6045" s="500"/>
      <c r="AB6045" s="500"/>
      <c r="AC6045" s="500"/>
      <c r="AD6045" s="500"/>
      <c r="AE6045" s="500"/>
      <c r="AF6045" s="500"/>
      <c r="AG6045" s="500"/>
      <c r="AH6045" s="500"/>
      <c r="AI6045" s="500"/>
      <c r="AJ6045" s="500"/>
      <c r="AK6045" s="500"/>
      <c r="AL6045" s="500"/>
      <c r="AM6045" s="500"/>
      <c r="AN6045" s="500"/>
      <c r="AO6045" s="500"/>
      <c r="AP6045" s="500"/>
    </row>
    <row r="6046" spans="1:42" ht="16.5" customHeight="1">
      <c r="A6046" s="439"/>
      <c r="B6046" s="439"/>
      <c r="C6046" s="439"/>
      <c r="D6046" s="439"/>
      <c r="E6046" s="439"/>
      <c r="F6046" s="439"/>
      <c r="Z6046" s="500"/>
      <c r="AA6046" s="500"/>
      <c r="AB6046" s="500"/>
      <c r="AC6046" s="500"/>
      <c r="AD6046" s="500"/>
      <c r="AE6046" s="500"/>
      <c r="AF6046" s="500"/>
      <c r="AG6046" s="500"/>
      <c r="AH6046" s="500"/>
      <c r="AI6046" s="500"/>
      <c r="AJ6046" s="500"/>
      <c r="AK6046" s="500"/>
      <c r="AL6046" s="500"/>
      <c r="AM6046" s="500"/>
      <c r="AN6046" s="500"/>
      <c r="AO6046" s="500"/>
      <c r="AP6046" s="500"/>
    </row>
    <row r="6047" spans="1:42" ht="16.5" customHeight="1">
      <c r="A6047" s="439"/>
      <c r="B6047" s="439"/>
      <c r="C6047" s="439"/>
      <c r="D6047" s="439"/>
      <c r="E6047" s="439"/>
      <c r="F6047" s="439"/>
      <c r="Z6047" s="500"/>
      <c r="AA6047" s="500"/>
      <c r="AB6047" s="500"/>
      <c r="AC6047" s="500"/>
      <c r="AD6047" s="500"/>
      <c r="AE6047" s="500"/>
      <c r="AF6047" s="500"/>
      <c r="AG6047" s="500"/>
      <c r="AH6047" s="500"/>
      <c r="AI6047" s="500"/>
      <c r="AJ6047" s="500"/>
      <c r="AK6047" s="500"/>
      <c r="AL6047" s="500"/>
      <c r="AM6047" s="500"/>
      <c r="AN6047" s="500"/>
      <c r="AO6047" s="500"/>
      <c r="AP6047" s="500"/>
    </row>
    <row r="6048" spans="1:42" ht="16.5" customHeight="1">
      <c r="A6048" s="439"/>
      <c r="B6048" s="439"/>
      <c r="C6048" s="439"/>
      <c r="D6048" s="439"/>
      <c r="E6048" s="439"/>
      <c r="F6048" s="439"/>
      <c r="Z6048" s="500"/>
      <c r="AA6048" s="500"/>
      <c r="AB6048" s="500"/>
      <c r="AC6048" s="500"/>
      <c r="AD6048" s="500"/>
      <c r="AE6048" s="500"/>
      <c r="AF6048" s="500"/>
      <c r="AG6048" s="500"/>
      <c r="AH6048" s="500"/>
      <c r="AI6048" s="500"/>
      <c r="AJ6048" s="500"/>
      <c r="AK6048" s="500"/>
      <c r="AL6048" s="500"/>
      <c r="AM6048" s="500"/>
      <c r="AN6048" s="500"/>
      <c r="AO6048" s="500"/>
      <c r="AP6048" s="500"/>
    </row>
    <row r="6049" spans="1:42" ht="16.5" customHeight="1">
      <c r="A6049" s="439"/>
      <c r="B6049" s="439"/>
      <c r="C6049" s="439"/>
      <c r="D6049" s="439"/>
      <c r="E6049" s="439"/>
      <c r="F6049" s="439"/>
      <c r="Z6049" s="500"/>
      <c r="AA6049" s="500"/>
      <c r="AB6049" s="500"/>
      <c r="AC6049" s="500"/>
      <c r="AD6049" s="500"/>
      <c r="AE6049" s="500"/>
      <c r="AF6049" s="500"/>
      <c r="AG6049" s="500"/>
      <c r="AH6049" s="500"/>
      <c r="AI6049" s="500"/>
      <c r="AJ6049" s="500"/>
      <c r="AK6049" s="500"/>
      <c r="AL6049" s="500"/>
      <c r="AM6049" s="500"/>
      <c r="AN6049" s="500"/>
      <c r="AO6049" s="500"/>
      <c r="AP6049" s="500"/>
    </row>
    <row r="6050" spans="1:42" ht="16.5" customHeight="1">
      <c r="A6050" s="439"/>
      <c r="B6050" s="439"/>
      <c r="C6050" s="439"/>
      <c r="D6050" s="439"/>
      <c r="E6050" s="439"/>
      <c r="F6050" s="439"/>
      <c r="Z6050" s="500"/>
      <c r="AA6050" s="500"/>
      <c r="AB6050" s="500"/>
      <c r="AC6050" s="500"/>
      <c r="AD6050" s="500"/>
      <c r="AE6050" s="500"/>
      <c r="AF6050" s="500"/>
      <c r="AG6050" s="500"/>
      <c r="AH6050" s="500"/>
      <c r="AI6050" s="500"/>
      <c r="AJ6050" s="500"/>
      <c r="AK6050" s="500"/>
      <c r="AL6050" s="500"/>
      <c r="AM6050" s="500"/>
      <c r="AN6050" s="500"/>
      <c r="AO6050" s="500"/>
      <c r="AP6050" s="500"/>
    </row>
    <row r="6051" spans="1:42" ht="16.5" customHeight="1">
      <c r="A6051" s="439"/>
      <c r="B6051" s="439"/>
      <c r="C6051" s="439"/>
      <c r="D6051" s="439"/>
      <c r="E6051" s="439"/>
      <c r="F6051" s="439"/>
      <c r="Z6051" s="500"/>
      <c r="AA6051" s="500"/>
      <c r="AB6051" s="500"/>
      <c r="AC6051" s="500"/>
      <c r="AD6051" s="500"/>
      <c r="AE6051" s="500"/>
      <c r="AF6051" s="500"/>
      <c r="AG6051" s="500"/>
      <c r="AH6051" s="500"/>
      <c r="AI6051" s="500"/>
      <c r="AJ6051" s="500"/>
      <c r="AK6051" s="500"/>
      <c r="AL6051" s="500"/>
      <c r="AM6051" s="500"/>
      <c r="AN6051" s="500"/>
      <c r="AO6051" s="500"/>
      <c r="AP6051" s="500"/>
    </row>
    <row r="6052" spans="1:42" ht="16.5" customHeight="1">
      <c r="A6052" s="439"/>
      <c r="B6052" s="439"/>
      <c r="C6052" s="439"/>
      <c r="D6052" s="439"/>
      <c r="E6052" s="439"/>
      <c r="F6052" s="439"/>
      <c r="Z6052" s="500"/>
      <c r="AA6052" s="500"/>
      <c r="AB6052" s="500"/>
      <c r="AC6052" s="500"/>
      <c r="AD6052" s="500"/>
      <c r="AE6052" s="500"/>
      <c r="AF6052" s="500"/>
      <c r="AG6052" s="500"/>
      <c r="AH6052" s="500"/>
      <c r="AI6052" s="500"/>
      <c r="AJ6052" s="500"/>
      <c r="AK6052" s="500"/>
      <c r="AL6052" s="500"/>
      <c r="AM6052" s="500"/>
      <c r="AN6052" s="500"/>
      <c r="AO6052" s="500"/>
      <c r="AP6052" s="500"/>
    </row>
    <row r="6053" spans="1:42" ht="16.5" customHeight="1">
      <c r="A6053" s="497"/>
      <c r="B6053" s="497"/>
      <c r="C6053" s="497"/>
      <c r="D6053" s="497"/>
      <c r="E6053" s="497"/>
      <c r="F6053" s="497"/>
      <c r="Z6053" s="500"/>
      <c r="AA6053" s="500"/>
      <c r="AB6053" s="500"/>
      <c r="AC6053" s="500"/>
      <c r="AD6053" s="500"/>
      <c r="AE6053" s="500"/>
      <c r="AF6053" s="500"/>
      <c r="AG6053" s="500"/>
      <c r="AH6053" s="500"/>
      <c r="AI6053" s="500"/>
      <c r="AJ6053" s="500"/>
      <c r="AK6053" s="500"/>
      <c r="AL6053" s="500"/>
      <c r="AM6053" s="500"/>
      <c r="AN6053" s="500"/>
      <c r="AO6053" s="500"/>
      <c r="AP6053" s="500"/>
    </row>
    <row r="6054" spans="1:42" ht="16.5" customHeight="1">
      <c r="A6054" s="616" t="s">
        <v>3487</v>
      </c>
      <c r="B6054" s="605"/>
      <c r="C6054" s="446">
        <f>E6054+D6054+F6054</f>
        <v>1095974</v>
      </c>
      <c r="D6054" s="453">
        <f>ROUNDDOWN(SUMIF(N6007:N6042,M6054,D6007:D6042),0)</f>
        <v>0</v>
      </c>
      <c r="E6054" s="454">
        <f>ROUNDDOWN(SUMIF(N6007:N6042,M6054,E6007:E6042),0)</f>
        <v>0</v>
      </c>
      <c r="F6054" s="446">
        <f>ROUNDDOWN(SUMIF(N6007:N6042,M6054,F6007:F6042),0)</f>
        <v>1095974</v>
      </c>
      <c r="M6054" s="501" t="s">
        <v>2354</v>
      </c>
      <c r="Z6054" s="500"/>
      <c r="AA6054" s="500"/>
      <c r="AB6054" s="500"/>
      <c r="AC6054" s="500"/>
      <c r="AD6054" s="500"/>
      <c r="AE6054" s="500"/>
      <c r="AF6054" s="500"/>
      <c r="AG6054" s="500"/>
      <c r="AH6054" s="500"/>
      <c r="AI6054" s="500"/>
      <c r="AJ6054" s="500"/>
      <c r="AK6054" s="500"/>
      <c r="AL6054" s="500"/>
      <c r="AM6054" s="500"/>
      <c r="AN6054" s="500"/>
      <c r="AO6054" s="500"/>
      <c r="AP6054" s="500"/>
    </row>
    <row r="6055" spans="1:42" ht="16.5" customHeight="1">
      <c r="A6055" s="502"/>
      <c r="B6055" s="503" t="s">
        <v>2241</v>
      </c>
      <c r="C6055" s="615">
        <f>C6104</f>
        <v>1132026</v>
      </c>
      <c r="D6055" s="615">
        <f>D6104</f>
        <v>0</v>
      </c>
      <c r="E6055" s="615">
        <f>E6104</f>
        <v>0</v>
      </c>
      <c r="F6055" s="615">
        <f>F6104</f>
        <v>1132026</v>
      </c>
      <c r="G6055" s="486" t="str">
        <f>HYPERLINK("#G"&amp;ROW(G6092),"_x0005_`BDCOD|D01207_x0007_`POSS|"&amp;ROW(G6057)&amp;"_x0007_`POSE|"&amp;ROW(G6092)&amp;"_x0007_`")</f>
        <v>_x0005_`BDCOD|D01207_x0007_`POSS|6057_x0007_`POSE|6092_x0007_`</v>
      </c>
      <c r="Z6055" s="500"/>
      <c r="AA6055" s="500"/>
      <c r="AB6055" s="500"/>
      <c r="AC6055" s="500"/>
      <c r="AD6055" s="500"/>
      <c r="AE6055" s="500"/>
      <c r="AF6055" s="500"/>
      <c r="AG6055" s="500"/>
      <c r="AH6055" s="500"/>
      <c r="AI6055" s="500"/>
      <c r="AJ6055" s="500"/>
      <c r="AK6055" s="500"/>
      <c r="AL6055" s="500"/>
      <c r="AM6055" s="500"/>
      <c r="AN6055" s="500"/>
      <c r="AO6055" s="500"/>
      <c r="AP6055" s="500"/>
    </row>
    <row r="6056" spans="1:42" ht="16.5" customHeight="1">
      <c r="A6056" s="485"/>
      <c r="B6056" s="503" t="s">
        <v>4033</v>
      </c>
      <c r="C6056" s="593"/>
      <c r="D6056" s="593"/>
      <c r="E6056" s="593"/>
      <c r="F6056" s="593"/>
      <c r="M6056" s="501" t="s">
        <v>2241</v>
      </c>
      <c r="Z6056" s="500"/>
      <c r="AA6056" s="500"/>
      <c r="AB6056" s="500"/>
      <c r="AC6056" s="500"/>
      <c r="AD6056" s="500"/>
      <c r="AE6056" s="500"/>
      <c r="AF6056" s="500"/>
      <c r="AG6056" s="500"/>
      <c r="AH6056" s="500"/>
      <c r="AI6056" s="500"/>
      <c r="AJ6056" s="500"/>
      <c r="AK6056" s="500"/>
      <c r="AL6056" s="500"/>
      <c r="AM6056" s="500"/>
      <c r="AN6056" s="500"/>
      <c r="AO6056" s="500"/>
      <c r="AP6056" s="500"/>
    </row>
    <row r="6057" spans="1:42" ht="16.5" customHeight="1">
      <c r="A6057" s="434"/>
      <c r="B6057" s="437" t="s">
        <v>3980</v>
      </c>
      <c r="C6057" s="504"/>
      <c r="D6057" s="504"/>
      <c r="E6057" s="504"/>
      <c r="F6057" s="504"/>
      <c r="G6057" s="451" t="s">
        <v>3981</v>
      </c>
      <c r="Z6057" s="500"/>
      <c r="AA6057" s="500"/>
      <c r="AB6057" s="500"/>
      <c r="AC6057" s="500"/>
      <c r="AD6057" s="500"/>
      <c r="AE6057" s="500"/>
      <c r="AF6057" s="500"/>
      <c r="AG6057" s="500"/>
      <c r="AH6057" s="500"/>
      <c r="AI6057" s="500"/>
      <c r="AJ6057" s="500"/>
      <c r="AK6057" s="500"/>
      <c r="AL6057" s="500"/>
      <c r="AM6057" s="500"/>
      <c r="AN6057" s="500"/>
      <c r="AO6057" s="500"/>
      <c r="AP6057" s="500"/>
    </row>
    <row r="6058" spans="1:42" ht="16.5" customHeight="1">
      <c r="A6058" s="439"/>
      <c r="B6058" s="439"/>
      <c r="C6058" s="439"/>
      <c r="D6058" s="439"/>
      <c r="E6058" s="439"/>
      <c r="F6058" s="439"/>
      <c r="G6058" s="451" t="s">
        <v>3406</v>
      </c>
      <c r="Z6058" s="500"/>
      <c r="AA6058" s="500"/>
      <c r="AB6058" s="500"/>
      <c r="AC6058" s="500"/>
      <c r="AD6058" s="500"/>
      <c r="AE6058" s="500"/>
      <c r="AF6058" s="500"/>
      <c r="AG6058" s="500"/>
      <c r="AH6058" s="500"/>
      <c r="AI6058" s="500"/>
      <c r="AJ6058" s="500"/>
      <c r="AK6058" s="500"/>
      <c r="AL6058" s="500"/>
      <c r="AM6058" s="500"/>
      <c r="AN6058" s="500"/>
      <c r="AO6058" s="500"/>
      <c r="AP6058" s="500"/>
    </row>
    <row r="6059" spans="1:42" ht="16.5" customHeight="1">
      <c r="A6059" s="434"/>
      <c r="B6059" s="437" t="s">
        <v>4034</v>
      </c>
      <c r="C6059" s="439"/>
      <c r="D6059" s="439"/>
      <c r="E6059" s="439"/>
      <c r="F6059" s="439"/>
      <c r="G6059" s="451" t="s">
        <v>4035</v>
      </c>
      <c r="Z6059" s="500"/>
      <c r="AA6059" s="500"/>
      <c r="AB6059" s="500"/>
      <c r="AC6059" s="500"/>
      <c r="AD6059" s="500"/>
      <c r="AE6059" s="500"/>
      <c r="AF6059" s="500"/>
      <c r="AG6059" s="500"/>
      <c r="AH6059" s="500"/>
      <c r="AI6059" s="500"/>
      <c r="AJ6059" s="500"/>
      <c r="AK6059" s="500"/>
      <c r="AL6059" s="500"/>
      <c r="AM6059" s="500"/>
      <c r="AN6059" s="500"/>
      <c r="AO6059" s="500"/>
      <c r="AP6059" s="500"/>
    </row>
    <row r="6060" spans="1:42" ht="16.5" customHeight="1">
      <c r="A6060" s="439"/>
      <c r="B6060" s="439"/>
      <c r="C6060" s="439"/>
      <c r="D6060" s="439"/>
      <c r="E6060" s="439"/>
      <c r="F6060" s="439"/>
      <c r="G6060" s="451" t="s">
        <v>3406</v>
      </c>
      <c r="Z6060" s="500"/>
      <c r="AA6060" s="500"/>
      <c r="AB6060" s="500"/>
      <c r="AC6060" s="500"/>
      <c r="AD6060" s="500"/>
      <c r="AE6060" s="500"/>
      <c r="AF6060" s="500"/>
      <c r="AG6060" s="500"/>
      <c r="AH6060" s="500"/>
      <c r="AI6060" s="500"/>
      <c r="AJ6060" s="500"/>
      <c r="AK6060" s="500"/>
      <c r="AL6060" s="500"/>
      <c r="AM6060" s="500"/>
      <c r="AN6060" s="500"/>
      <c r="AO6060" s="500"/>
      <c r="AP6060" s="500"/>
    </row>
    <row r="6061" spans="1:42" ht="16.5" customHeight="1">
      <c r="A6061" s="439"/>
      <c r="B6061" s="439"/>
      <c r="C6061" s="439"/>
      <c r="D6061" s="439"/>
      <c r="E6061" s="439"/>
      <c r="F6061" s="439"/>
      <c r="G6061" s="451" t="s">
        <v>3406</v>
      </c>
      <c r="Z6061" s="500"/>
      <c r="AA6061" s="500"/>
      <c r="AB6061" s="500"/>
      <c r="AC6061" s="500"/>
      <c r="AD6061" s="500"/>
      <c r="AE6061" s="500"/>
      <c r="AF6061" s="500"/>
      <c r="AG6061" s="500"/>
      <c r="AH6061" s="500"/>
      <c r="AI6061" s="500"/>
      <c r="AJ6061" s="500"/>
      <c r="AK6061" s="500"/>
      <c r="AL6061" s="500"/>
      <c r="AM6061" s="500"/>
      <c r="AN6061" s="500"/>
      <c r="AO6061" s="500"/>
      <c r="AP6061" s="500"/>
    </row>
    <row r="6062" spans="1:42" ht="16.5" customHeight="1">
      <c r="A6062" s="434"/>
      <c r="B6062" s="437" t="s">
        <v>3984</v>
      </c>
      <c r="C6062" s="439"/>
      <c r="D6062" s="439"/>
      <c r="E6062" s="439"/>
      <c r="F6062" s="439"/>
      <c r="G6062" s="451" t="s">
        <v>3985</v>
      </c>
      <c r="Z6062" s="500"/>
      <c r="AA6062" s="500"/>
      <c r="AB6062" s="500"/>
      <c r="AC6062" s="500"/>
      <c r="AD6062" s="500"/>
      <c r="AE6062" s="500"/>
      <c r="AF6062" s="500"/>
      <c r="AG6062" s="500"/>
      <c r="AH6062" s="500"/>
      <c r="AI6062" s="500"/>
      <c r="AJ6062" s="500"/>
      <c r="AK6062" s="500"/>
      <c r="AL6062" s="500"/>
      <c r="AM6062" s="500"/>
      <c r="AN6062" s="500"/>
      <c r="AO6062" s="500"/>
      <c r="AP6062" s="500"/>
    </row>
    <row r="6063" spans="1:42" ht="16.5" customHeight="1">
      <c r="A6063" s="439"/>
      <c r="B6063" s="439"/>
      <c r="C6063" s="439"/>
      <c r="D6063" s="439"/>
      <c r="E6063" s="439"/>
      <c r="F6063" s="439"/>
      <c r="G6063" s="451" t="s">
        <v>3406</v>
      </c>
      <c r="Z6063" s="500"/>
      <c r="AA6063" s="500"/>
      <c r="AB6063" s="500"/>
      <c r="AC6063" s="500"/>
      <c r="AD6063" s="500"/>
      <c r="AE6063" s="500"/>
      <c r="AF6063" s="500"/>
      <c r="AG6063" s="500"/>
      <c r="AH6063" s="500"/>
      <c r="AI6063" s="500"/>
      <c r="AJ6063" s="500"/>
      <c r="AK6063" s="500"/>
      <c r="AL6063" s="500"/>
      <c r="AM6063" s="500"/>
      <c r="AN6063" s="500"/>
      <c r="AO6063" s="500"/>
      <c r="AP6063" s="500"/>
    </row>
    <row r="6064" spans="1:42" ht="16.5" customHeight="1">
      <c r="A6064" s="439"/>
      <c r="B6064" s="439"/>
      <c r="C6064" s="439"/>
      <c r="D6064" s="439"/>
      <c r="E6064" s="439"/>
      <c r="F6064" s="439"/>
      <c r="G6064" s="451" t="s">
        <v>3406</v>
      </c>
      <c r="Z6064" s="500"/>
      <c r="AA6064" s="500"/>
      <c r="AB6064" s="500"/>
      <c r="AC6064" s="500"/>
      <c r="AD6064" s="500"/>
      <c r="AE6064" s="500"/>
      <c r="AF6064" s="500"/>
      <c r="AG6064" s="500"/>
      <c r="AH6064" s="500"/>
      <c r="AI6064" s="500"/>
      <c r="AJ6064" s="500"/>
      <c r="AK6064" s="500"/>
      <c r="AL6064" s="500"/>
      <c r="AM6064" s="500"/>
      <c r="AN6064" s="500"/>
      <c r="AO6064" s="500"/>
      <c r="AP6064" s="500"/>
    </row>
    <row r="6065" spans="1:42" ht="16.5" customHeight="1">
      <c r="A6065" s="434"/>
      <c r="B6065" s="437" t="s">
        <v>3986</v>
      </c>
      <c r="C6065" s="439"/>
      <c r="D6065" s="439"/>
      <c r="E6065" s="439"/>
      <c r="F6065" s="439"/>
      <c r="G6065" s="451" t="s">
        <v>3987</v>
      </c>
      <c r="Z6065" s="500"/>
      <c r="AA6065" s="500"/>
      <c r="AB6065" s="500"/>
      <c r="AC6065" s="500"/>
      <c r="AD6065" s="500"/>
      <c r="AE6065" s="500"/>
      <c r="AF6065" s="500"/>
      <c r="AG6065" s="500"/>
      <c r="AH6065" s="500"/>
      <c r="AI6065" s="500"/>
      <c r="AJ6065" s="500"/>
      <c r="AK6065" s="500"/>
      <c r="AL6065" s="500"/>
      <c r="AM6065" s="500"/>
      <c r="AN6065" s="500"/>
      <c r="AO6065" s="500"/>
      <c r="AP6065" s="500"/>
    </row>
    <row r="6066" spans="1:42" ht="16.5" customHeight="1">
      <c r="A6066" s="439"/>
      <c r="B6066" s="439"/>
      <c r="C6066" s="439"/>
      <c r="D6066" s="439"/>
      <c r="E6066" s="439"/>
      <c r="F6066" s="439"/>
      <c r="G6066" s="451" t="s">
        <v>3406</v>
      </c>
      <c r="Z6066" s="500"/>
      <c r="AA6066" s="500"/>
      <c r="AB6066" s="500"/>
      <c r="AC6066" s="500"/>
      <c r="AD6066" s="500"/>
      <c r="AE6066" s="500"/>
      <c r="AF6066" s="500"/>
      <c r="AG6066" s="500"/>
      <c r="AH6066" s="500"/>
      <c r="AI6066" s="500"/>
      <c r="AJ6066" s="500"/>
      <c r="AK6066" s="500"/>
      <c r="AL6066" s="500"/>
      <c r="AM6066" s="500"/>
      <c r="AN6066" s="500"/>
      <c r="AO6066" s="500"/>
      <c r="AP6066" s="500"/>
    </row>
    <row r="6067" spans="1:42" ht="16.5" customHeight="1">
      <c r="A6067" s="439"/>
      <c r="B6067" s="439"/>
      <c r="C6067" s="439"/>
      <c r="D6067" s="439"/>
      <c r="E6067" s="439"/>
      <c r="F6067" s="439"/>
      <c r="G6067" s="451" t="s">
        <v>3406</v>
      </c>
      <c r="Z6067" s="500"/>
      <c r="AA6067" s="500"/>
      <c r="AB6067" s="500"/>
      <c r="AC6067" s="500"/>
      <c r="AD6067" s="500"/>
      <c r="AE6067" s="500"/>
      <c r="AF6067" s="500"/>
      <c r="AG6067" s="500"/>
      <c r="AH6067" s="500"/>
      <c r="AI6067" s="500"/>
      <c r="AJ6067" s="500"/>
      <c r="AK6067" s="500"/>
      <c r="AL6067" s="500"/>
      <c r="AM6067" s="500"/>
      <c r="AN6067" s="500"/>
      <c r="AO6067" s="500"/>
      <c r="AP6067" s="500"/>
    </row>
    <row r="6068" spans="1:42" ht="16.5" customHeight="1">
      <c r="A6068" s="434"/>
      <c r="B6068" s="437" t="str">
        <f>" L = "&amp;Z6068&amp;" , V = "&amp;AD6068&amp;" , t = "&amp;AH6068&amp;"  , T = "&amp;AL6068&amp;"-"&amp;AN6068&amp;""</f>
        <v xml:space="preserve"> L = 1500 , V = 2500 , t = 2  , T = 480-30</v>
      </c>
      <c r="C6068" s="439"/>
      <c r="D6068" s="439"/>
      <c r="E6068" s="439"/>
      <c r="F6068" s="439"/>
      <c r="G6068" s="451" t="s">
        <v>4036</v>
      </c>
      <c r="Z6068" s="515">
        <v>1500</v>
      </c>
      <c r="AA6068" s="501" t="s">
        <v>3418</v>
      </c>
      <c r="AB6068" s="512">
        <f>Z6068</f>
        <v>1500</v>
      </c>
      <c r="AC6068" s="514" t="s">
        <v>3427</v>
      </c>
      <c r="AD6068" s="515">
        <v>2500</v>
      </c>
      <c r="AE6068" s="501" t="s">
        <v>3418</v>
      </c>
      <c r="AF6068" s="512">
        <f>AD6068</f>
        <v>2500</v>
      </c>
      <c r="AG6068" s="514" t="s">
        <v>3427</v>
      </c>
      <c r="AH6068" s="515">
        <v>2</v>
      </c>
      <c r="AI6068" s="501" t="s">
        <v>3418</v>
      </c>
      <c r="AJ6068" s="512">
        <f>AH6068</f>
        <v>2</v>
      </c>
      <c r="AK6068" s="514" t="s">
        <v>3427</v>
      </c>
      <c r="AL6068" s="515">
        <v>480</v>
      </c>
      <c r="AM6068" s="501" t="s">
        <v>3474</v>
      </c>
      <c r="AN6068" s="515">
        <v>30</v>
      </c>
      <c r="AO6068" s="501" t="s">
        <v>3418</v>
      </c>
      <c r="AP6068" s="512">
        <f>AL6068-AN6068</f>
        <v>450</v>
      </c>
    </row>
    <row r="6069" spans="1:42" ht="16.5" customHeight="1">
      <c r="A6069" s="439"/>
      <c r="B6069" s="439"/>
      <c r="C6069" s="439"/>
      <c r="D6069" s="439"/>
      <c r="E6069" s="439"/>
      <c r="F6069" s="439"/>
      <c r="G6069" s="451" t="s">
        <v>3406</v>
      </c>
      <c r="Z6069" s="500"/>
      <c r="AA6069" s="500"/>
      <c r="AB6069" s="500"/>
      <c r="AC6069" s="500"/>
      <c r="AD6069" s="500"/>
      <c r="AE6069" s="500"/>
      <c r="AF6069" s="500"/>
      <c r="AG6069" s="500"/>
      <c r="AH6069" s="500"/>
      <c r="AI6069" s="500"/>
      <c r="AJ6069" s="500"/>
      <c r="AK6069" s="500"/>
      <c r="AL6069" s="500"/>
      <c r="AM6069" s="500"/>
      <c r="AN6069" s="500"/>
      <c r="AO6069" s="500"/>
      <c r="AP6069" s="500"/>
    </row>
    <row r="6070" spans="1:42" ht="16.5" customHeight="1">
      <c r="A6070" s="439"/>
      <c r="B6070" s="439"/>
      <c r="C6070" s="439"/>
      <c r="D6070" s="439"/>
      <c r="E6070" s="439"/>
      <c r="F6070" s="439"/>
      <c r="G6070" s="451" t="s">
        <v>3406</v>
      </c>
      <c r="Z6070" s="500"/>
      <c r="AA6070" s="500"/>
      <c r="AB6070" s="500"/>
      <c r="AC6070" s="500"/>
      <c r="AD6070" s="500"/>
      <c r="AE6070" s="500"/>
      <c r="AF6070" s="500"/>
      <c r="AG6070" s="500"/>
      <c r="AH6070" s="500"/>
      <c r="AI6070" s="500"/>
      <c r="AJ6070" s="500"/>
      <c r="AK6070" s="500"/>
      <c r="AL6070" s="500"/>
      <c r="AM6070" s="500"/>
      <c r="AN6070" s="500"/>
      <c r="AO6070" s="500"/>
      <c r="AP6070" s="500"/>
    </row>
    <row r="6071" spans="1:42" ht="16.5" customHeight="1">
      <c r="A6071" s="439"/>
      <c r="B6071" s="439"/>
      <c r="C6071" s="439"/>
      <c r="D6071" s="439"/>
      <c r="E6071" s="439"/>
      <c r="F6071" s="439"/>
      <c r="G6071" s="451" t="s">
        <v>3406</v>
      </c>
      <c r="Z6071" s="500"/>
      <c r="AA6071" s="500"/>
      <c r="AB6071" s="500"/>
      <c r="AC6071" s="500"/>
      <c r="AD6071" s="500"/>
      <c r="AE6071" s="500"/>
      <c r="AF6071" s="500"/>
      <c r="AG6071" s="500"/>
      <c r="AH6071" s="500"/>
      <c r="AI6071" s="500"/>
      <c r="AJ6071" s="500"/>
      <c r="AK6071" s="500"/>
      <c r="AL6071" s="500"/>
      <c r="AM6071" s="500"/>
      <c r="AN6071" s="500"/>
      <c r="AO6071" s="500"/>
      <c r="AP6071" s="500"/>
    </row>
    <row r="6072" spans="1:42" ht="16.5" customHeight="1">
      <c r="A6072" s="434"/>
      <c r="B6072" s="437" t="str">
        <f>" N = V*T /( "&amp;AD6072&amp;"*L+V*"&amp;AJ6072&amp;" ) = "&amp;AM6072&amp;" 회/일 "</f>
        <v xml:space="preserve"> N = V*T /( 120*L+V*2 ) = 6.08 회/일 </v>
      </c>
      <c r="C6072" s="439"/>
      <c r="D6072" s="439"/>
      <c r="E6072" s="439"/>
      <c r="F6072" s="439"/>
      <c r="G6072" s="451" t="s">
        <v>3989</v>
      </c>
      <c r="Z6072" s="512">
        <f>AF6068</f>
        <v>2500</v>
      </c>
      <c r="AA6072" s="501" t="s">
        <v>3368</v>
      </c>
      <c r="AB6072" s="512">
        <f>AP6068</f>
        <v>450</v>
      </c>
      <c r="AC6072" s="501" t="s">
        <v>3463</v>
      </c>
      <c r="AD6072" s="515">
        <v>120</v>
      </c>
      <c r="AE6072" s="501" t="s">
        <v>3368</v>
      </c>
      <c r="AF6072" s="512">
        <f>AB6068</f>
        <v>1500</v>
      </c>
      <c r="AG6072" s="501" t="s">
        <v>3468</v>
      </c>
      <c r="AH6072" s="512">
        <f>AF6068</f>
        <v>2500</v>
      </c>
      <c r="AI6072" s="501" t="s">
        <v>3368</v>
      </c>
      <c r="AJ6072" s="515">
        <v>2</v>
      </c>
      <c r="AK6072" s="501" t="s">
        <v>3464</v>
      </c>
      <c r="AL6072" s="501" t="s">
        <v>3418</v>
      </c>
      <c r="AM6072" s="512" t="str">
        <f>TEXT(ROUND(AF6068*AP6068/(AD6072*AB6068+AF6068*AJ6072),2),"#,0.00")</f>
        <v>6.08</v>
      </c>
      <c r="AN6072" s="500"/>
      <c r="AO6072" s="500"/>
      <c r="AP6072" s="500"/>
    </row>
    <row r="6073" spans="1:42" ht="16.5" customHeight="1">
      <c r="A6073" s="439"/>
      <c r="B6073" s="439"/>
      <c r="C6073" s="439"/>
      <c r="D6073" s="439"/>
      <c r="E6073" s="439"/>
      <c r="F6073" s="439"/>
      <c r="G6073" s="451" t="s">
        <v>3406</v>
      </c>
      <c r="Z6073" s="500"/>
      <c r="AA6073" s="500"/>
      <c r="AB6073" s="500"/>
      <c r="AC6073" s="500"/>
      <c r="AD6073" s="500"/>
      <c r="AE6073" s="500"/>
      <c r="AF6073" s="500"/>
      <c r="AG6073" s="500"/>
      <c r="AH6073" s="500"/>
      <c r="AI6073" s="500"/>
      <c r="AJ6073" s="500"/>
      <c r="AK6073" s="500"/>
      <c r="AL6073" s="500"/>
      <c r="AM6073" s="500"/>
      <c r="AN6073" s="500"/>
      <c r="AO6073" s="500"/>
      <c r="AP6073" s="500"/>
    </row>
    <row r="6074" spans="1:42" ht="16.5" customHeight="1">
      <c r="A6074" s="439"/>
      <c r="B6074" s="439"/>
      <c r="C6074" s="439"/>
      <c r="D6074" s="439"/>
      <c r="E6074" s="439"/>
      <c r="F6074" s="439"/>
      <c r="G6074" s="451" t="s">
        <v>3406</v>
      </c>
      <c r="Z6074" s="500"/>
      <c r="AA6074" s="500"/>
      <c r="AB6074" s="500"/>
      <c r="AC6074" s="500"/>
      <c r="AD6074" s="500"/>
      <c r="AE6074" s="500"/>
      <c r="AF6074" s="500"/>
      <c r="AG6074" s="500"/>
      <c r="AH6074" s="500"/>
      <c r="AI6074" s="500"/>
      <c r="AJ6074" s="500"/>
      <c r="AK6074" s="500"/>
      <c r="AL6074" s="500"/>
      <c r="AM6074" s="500"/>
      <c r="AN6074" s="500"/>
      <c r="AO6074" s="500"/>
      <c r="AP6074" s="500"/>
    </row>
    <row r="6075" spans="1:42" ht="16.5" customHeight="1">
      <c r="A6075" s="439"/>
      <c r="B6075" s="439"/>
      <c r="C6075" s="439"/>
      <c r="D6075" s="439"/>
      <c r="E6075" s="439"/>
      <c r="F6075" s="439"/>
      <c r="G6075" s="451" t="s">
        <v>3406</v>
      </c>
      <c r="Z6075" s="500"/>
      <c r="AA6075" s="500"/>
      <c r="AB6075" s="500"/>
      <c r="AC6075" s="500"/>
      <c r="AD6075" s="500"/>
      <c r="AE6075" s="500"/>
      <c r="AF6075" s="500"/>
      <c r="AG6075" s="500"/>
      <c r="AH6075" s="500"/>
      <c r="AI6075" s="500"/>
      <c r="AJ6075" s="500"/>
      <c r="AK6075" s="500"/>
      <c r="AL6075" s="500"/>
      <c r="AM6075" s="500"/>
      <c r="AN6075" s="500"/>
      <c r="AO6075" s="500"/>
      <c r="AP6075" s="500"/>
    </row>
    <row r="6076" spans="1:42" ht="16.5" customHeight="1">
      <c r="A6076" s="434"/>
      <c r="B6076" s="437" t="str">
        <f>" Q = N*"&amp;AB6076&amp;" ㎏ = "&amp;AD6076&amp;"  kg/일 "</f>
        <v xml:space="preserve"> Q = N*25 ㎏ = 152.00  kg/일 </v>
      </c>
      <c r="C6076" s="439"/>
      <c r="D6076" s="439"/>
      <c r="E6076" s="439"/>
      <c r="F6076" s="439"/>
      <c r="G6076" s="451" t="s">
        <v>3990</v>
      </c>
      <c r="Z6076" s="512" t="str">
        <f>AM6072</f>
        <v>6.08</v>
      </c>
      <c r="AA6076" s="501" t="s">
        <v>3368</v>
      </c>
      <c r="AB6076" s="515">
        <v>25</v>
      </c>
      <c r="AC6076" s="501" t="s">
        <v>3418</v>
      </c>
      <c r="AD6076" s="512" t="str">
        <f>TEXT(ROUND(AM6072*AB6076,2),"#,0.00")</f>
        <v>152.00</v>
      </c>
      <c r="AE6076" s="500"/>
      <c r="AF6076" s="500"/>
      <c r="AG6076" s="500"/>
      <c r="AH6076" s="500"/>
      <c r="AI6076" s="500"/>
      <c r="AJ6076" s="500"/>
      <c r="AK6076" s="500"/>
      <c r="AL6076" s="500"/>
      <c r="AM6076" s="500"/>
      <c r="AN6076" s="500"/>
      <c r="AO6076" s="500"/>
      <c r="AP6076" s="500"/>
    </row>
    <row r="6077" spans="1:42" ht="16.5" customHeight="1">
      <c r="A6077" s="439"/>
      <c r="B6077" s="439"/>
      <c r="C6077" s="439"/>
      <c r="D6077" s="439"/>
      <c r="E6077" s="439"/>
      <c r="F6077" s="439"/>
      <c r="G6077" s="451" t="s">
        <v>3406</v>
      </c>
      <c r="Z6077" s="500"/>
      <c r="AA6077" s="500"/>
      <c r="AB6077" s="500"/>
      <c r="AC6077" s="500"/>
      <c r="AD6077" s="500"/>
      <c r="AE6077" s="500"/>
      <c r="AF6077" s="500"/>
      <c r="AG6077" s="500"/>
      <c r="AH6077" s="500"/>
      <c r="AI6077" s="500"/>
      <c r="AJ6077" s="500"/>
      <c r="AK6077" s="500"/>
      <c r="AL6077" s="500"/>
      <c r="AM6077" s="500"/>
      <c r="AN6077" s="500"/>
      <c r="AO6077" s="500"/>
      <c r="AP6077" s="500"/>
    </row>
    <row r="6078" spans="1:42" ht="16.5" customHeight="1">
      <c r="A6078" s="439"/>
      <c r="B6078" s="439"/>
      <c r="C6078" s="439"/>
      <c r="D6078" s="439"/>
      <c r="E6078" s="439"/>
      <c r="F6078" s="439"/>
      <c r="G6078" s="451" t="s">
        <v>3406</v>
      </c>
      <c r="Z6078" s="500"/>
      <c r="AA6078" s="500"/>
      <c r="AB6078" s="500"/>
      <c r="AC6078" s="500"/>
      <c r="AD6078" s="500"/>
      <c r="AE6078" s="500"/>
      <c r="AF6078" s="500"/>
      <c r="AG6078" s="500"/>
      <c r="AH6078" s="500"/>
      <c r="AI6078" s="500"/>
      <c r="AJ6078" s="500"/>
      <c r="AK6078" s="500"/>
      <c r="AL6078" s="500"/>
      <c r="AM6078" s="500"/>
      <c r="AN6078" s="500"/>
      <c r="AO6078" s="500"/>
      <c r="AP6078" s="500"/>
    </row>
    <row r="6079" spans="1:42" ht="16.5" customHeight="1">
      <c r="A6079" s="439"/>
      <c r="B6079" s="439"/>
      <c r="C6079" s="439"/>
      <c r="D6079" s="439"/>
      <c r="E6079" s="439"/>
      <c r="F6079" s="439"/>
      <c r="G6079" s="451" t="s">
        <v>3406</v>
      </c>
      <c r="Z6079" s="500"/>
      <c r="AA6079" s="500"/>
      <c r="AB6079" s="500"/>
      <c r="AC6079" s="500"/>
      <c r="AD6079" s="500"/>
      <c r="AE6079" s="500"/>
      <c r="AF6079" s="500"/>
      <c r="AG6079" s="500"/>
      <c r="AH6079" s="500"/>
      <c r="AI6079" s="500"/>
      <c r="AJ6079" s="500"/>
      <c r="AK6079" s="500"/>
      <c r="AL6079" s="500"/>
      <c r="AM6079" s="500"/>
      <c r="AN6079" s="500"/>
      <c r="AO6079" s="500"/>
      <c r="AP6079" s="500"/>
    </row>
    <row r="6080" spans="1:42" ht="16.5" customHeight="1">
      <c r="A6080" s="434"/>
      <c r="B6080" s="437" t="str">
        <f>" k = "&amp;Z6080&amp;" kg /Q"</f>
        <v xml:space="preserve"> k = 1000 kg /Q</v>
      </c>
      <c r="C6080" s="439"/>
      <c r="D6080" s="439"/>
      <c r="E6080" s="439"/>
      <c r="F6080" s="439"/>
      <c r="G6080" s="451" t="s">
        <v>3991</v>
      </c>
      <c r="Z6080" s="515">
        <v>1000</v>
      </c>
      <c r="AA6080" s="501" t="s">
        <v>3428</v>
      </c>
      <c r="AB6080" s="512" t="str">
        <f>AD6076</f>
        <v>152.00</v>
      </c>
      <c r="AC6080" s="501" t="s">
        <v>3418</v>
      </c>
      <c r="AD6080" s="512">
        <f>ROUND(Z6080/AD6076,13)</f>
        <v>6.5789473684211002</v>
      </c>
      <c r="AE6080" s="500"/>
      <c r="AF6080" s="500"/>
      <c r="AG6080" s="500"/>
      <c r="AH6080" s="500"/>
      <c r="AI6080" s="500"/>
      <c r="AJ6080" s="500"/>
      <c r="AK6080" s="500"/>
      <c r="AL6080" s="500"/>
      <c r="AM6080" s="500"/>
      <c r="AN6080" s="500"/>
      <c r="AO6080" s="500"/>
      <c r="AP6080" s="500"/>
    </row>
    <row r="6081" spans="1:42" ht="16.5" customHeight="1">
      <c r="A6081" s="439"/>
      <c r="B6081" s="439"/>
      <c r="C6081" s="439"/>
      <c r="D6081" s="439"/>
      <c r="E6081" s="439"/>
      <c r="F6081" s="439"/>
      <c r="G6081" s="451" t="s">
        <v>3406</v>
      </c>
      <c r="Z6081" s="500"/>
      <c r="AA6081" s="500"/>
      <c r="AB6081" s="500"/>
      <c r="AC6081" s="500"/>
      <c r="AD6081" s="500"/>
      <c r="AE6081" s="500"/>
      <c r="AF6081" s="500"/>
      <c r="AG6081" s="500"/>
      <c r="AH6081" s="500"/>
      <c r="AI6081" s="500"/>
      <c r="AJ6081" s="500"/>
      <c r="AK6081" s="500"/>
      <c r="AL6081" s="500"/>
      <c r="AM6081" s="500"/>
      <c r="AN6081" s="500"/>
      <c r="AO6081" s="500"/>
      <c r="AP6081" s="500"/>
    </row>
    <row r="6082" spans="1:42" ht="16.5" customHeight="1">
      <c r="A6082" s="439"/>
      <c r="B6082" s="439"/>
      <c r="C6082" s="439"/>
      <c r="D6082" s="439"/>
      <c r="E6082" s="439"/>
      <c r="F6082" s="439"/>
      <c r="G6082" s="451" t="s">
        <v>3406</v>
      </c>
      <c r="Z6082" s="500"/>
      <c r="AA6082" s="500"/>
      <c r="AB6082" s="500"/>
      <c r="AC6082" s="500"/>
      <c r="AD6082" s="500"/>
      <c r="AE6082" s="500"/>
      <c r="AF6082" s="500"/>
      <c r="AG6082" s="500"/>
      <c r="AH6082" s="500"/>
      <c r="AI6082" s="500"/>
      <c r="AJ6082" s="500"/>
      <c r="AK6082" s="500"/>
      <c r="AL6082" s="500"/>
      <c r="AM6082" s="500"/>
      <c r="AN6082" s="500"/>
      <c r="AO6082" s="500"/>
      <c r="AP6082" s="500"/>
    </row>
    <row r="6083" spans="1:42" ht="16.5" customHeight="1">
      <c r="A6083" s="439"/>
      <c r="B6083" s="439"/>
      <c r="C6083" s="439"/>
      <c r="D6083" s="439"/>
      <c r="E6083" s="439"/>
      <c r="F6083" s="439"/>
      <c r="G6083" s="451" t="s">
        <v>3406</v>
      </c>
      <c r="Z6083" s="500"/>
      <c r="AA6083" s="500"/>
      <c r="AB6083" s="500"/>
      <c r="AC6083" s="500"/>
      <c r="AD6083" s="500"/>
      <c r="AE6083" s="500"/>
      <c r="AF6083" s="500"/>
      <c r="AG6083" s="500"/>
      <c r="AH6083" s="500"/>
      <c r="AI6083" s="500"/>
      <c r="AJ6083" s="500"/>
      <c r="AK6083" s="500"/>
      <c r="AL6083" s="500"/>
      <c r="AM6083" s="500"/>
      <c r="AN6083" s="500"/>
      <c r="AO6083" s="500"/>
      <c r="AP6083" s="500"/>
    </row>
    <row r="6084" spans="1:42" ht="16.5" customHeight="1">
      <c r="A6084" s="434" t="s">
        <v>3992</v>
      </c>
      <c r="B6084" s="505" t="str">
        <f>" 인    부: "&amp;TEXT(I6084,"#,##0"&amp;IF(I6084&lt;&gt;INT(I6084),".###",""))&amp;"*k = "&amp;TEXT(C6084,"#,##0.0")&amp;" 원 "</f>
        <v xml:space="preserve"> 인    부: 172,068*k = 1,132,026.3 원 </v>
      </c>
      <c r="C6084" s="506">
        <f>E6084+D6084+F6084</f>
        <v>1132026.3</v>
      </c>
      <c r="D6084" s="506">
        <f>IF(H6084=0,0,ROUNDDOWN(J6084*H6084,1))</f>
        <v>1132026.3</v>
      </c>
      <c r="E6084" s="506">
        <f>IF(H6084=0,0,ROUNDDOWN(K6084*H6084,1))</f>
        <v>0</v>
      </c>
      <c r="F6084" s="506">
        <f>IF(H6084=0,0,ROUNDDOWN(L6084*H6084,1))</f>
        <v>0</v>
      </c>
      <c r="G6084" s="451" t="s">
        <v>3993</v>
      </c>
      <c r="H6084" s="507">
        <f>ROUNDUP(AC6084,14-LEN(ABS(INT(AC6084))))</f>
        <v>6.5789473684211002</v>
      </c>
      <c r="I6084" s="508">
        <f>K6084+J6084+L6084</f>
        <v>172068</v>
      </c>
      <c r="J6084" s="509">
        <f>노무비목록표!E10</f>
        <v>172068</v>
      </c>
      <c r="M6084" s="501" t="s">
        <v>2363</v>
      </c>
      <c r="N6084" s="501" t="s">
        <v>3994</v>
      </c>
      <c r="X6084" s="510" t="str">
        <f>노무비목록표!B10&amp;" / "&amp;노무비목록표!C10</f>
        <v xml:space="preserve">보통인부 / </v>
      </c>
      <c r="Y6084" s="433" t="str">
        <f ca="1">HYPERLINK("#"&amp;노무비목록표!G2&amp;"!A"&amp;ROW(노무비목록표!A10),"L00017 →")</f>
        <v>L00017 →</v>
      </c>
      <c r="Z6084" s="501" t="s">
        <v>3500</v>
      </c>
      <c r="AA6084" s="512">
        <f>AD6080</f>
        <v>6.5789473684211002</v>
      </c>
      <c r="AB6084" s="501" t="s">
        <v>3418</v>
      </c>
      <c r="AC6084" s="512">
        <f>1*AD6080</f>
        <v>6.5789473684211002</v>
      </c>
      <c r="AD6084" s="500"/>
      <c r="AE6084" s="500"/>
      <c r="AF6084" s="500"/>
      <c r="AG6084" s="500"/>
      <c r="AH6084" s="500"/>
      <c r="AI6084" s="500"/>
      <c r="AJ6084" s="500"/>
      <c r="AK6084" s="500"/>
      <c r="AL6084" s="500"/>
      <c r="AM6084" s="500"/>
      <c r="AN6084" s="500"/>
      <c r="AO6084" s="500"/>
      <c r="AP6084" s="500"/>
    </row>
    <row r="6085" spans="1:42" ht="16.5" customHeight="1">
      <c r="A6085" s="439"/>
      <c r="B6085" s="439"/>
      <c r="C6085" s="439"/>
      <c r="D6085" s="439"/>
      <c r="E6085" s="439"/>
      <c r="F6085" s="439"/>
      <c r="G6085" s="451" t="s">
        <v>3406</v>
      </c>
      <c r="Z6085" s="500"/>
      <c r="AA6085" s="500"/>
      <c r="AB6085" s="500"/>
      <c r="AC6085" s="500"/>
      <c r="AD6085" s="500"/>
      <c r="AE6085" s="500"/>
      <c r="AF6085" s="500"/>
      <c r="AG6085" s="500"/>
      <c r="AH6085" s="500"/>
      <c r="AI6085" s="500"/>
      <c r="AJ6085" s="500"/>
      <c r="AK6085" s="500"/>
      <c r="AL6085" s="500"/>
      <c r="AM6085" s="500"/>
      <c r="AN6085" s="500"/>
      <c r="AO6085" s="500"/>
      <c r="AP6085" s="500"/>
    </row>
    <row r="6086" spans="1:42" ht="16.5" customHeight="1">
      <c r="A6086" s="439"/>
      <c r="B6086" s="439"/>
      <c r="C6086" s="439"/>
      <c r="D6086" s="439"/>
      <c r="E6086" s="439"/>
      <c r="F6086" s="439"/>
      <c r="G6086" s="451" t="s">
        <v>3406</v>
      </c>
      <c r="Z6086" s="500"/>
      <c r="AA6086" s="500"/>
      <c r="AB6086" s="500"/>
      <c r="AC6086" s="500"/>
      <c r="AD6086" s="500"/>
      <c r="AE6086" s="500"/>
      <c r="AF6086" s="500"/>
      <c r="AG6086" s="500"/>
      <c r="AH6086" s="500"/>
      <c r="AI6086" s="500"/>
      <c r="AJ6086" s="500"/>
      <c r="AK6086" s="500"/>
      <c r="AL6086" s="500"/>
      <c r="AM6086" s="500"/>
      <c r="AN6086" s="500"/>
      <c r="AO6086" s="500"/>
      <c r="AP6086" s="500"/>
    </row>
    <row r="6087" spans="1:42" ht="16.5" customHeight="1">
      <c r="A6087" s="439"/>
      <c r="B6087" s="439"/>
      <c r="C6087" s="439"/>
      <c r="D6087" s="439"/>
      <c r="E6087" s="439"/>
      <c r="F6087" s="439"/>
      <c r="G6087" s="451" t="s">
        <v>3406</v>
      </c>
      <c r="Z6087" s="500"/>
      <c r="AA6087" s="500"/>
      <c r="AB6087" s="500"/>
      <c r="AC6087" s="500"/>
      <c r="AD6087" s="500"/>
      <c r="AE6087" s="500"/>
      <c r="AF6087" s="500"/>
      <c r="AG6087" s="500"/>
      <c r="AH6087" s="500"/>
      <c r="AI6087" s="500"/>
      <c r="AJ6087" s="500"/>
      <c r="AK6087" s="500"/>
      <c r="AL6087" s="500"/>
      <c r="AM6087" s="500"/>
      <c r="AN6087" s="500"/>
      <c r="AO6087" s="500"/>
      <c r="AP6087" s="500"/>
    </row>
    <row r="6088" spans="1:42" ht="16.5" customHeight="1">
      <c r="A6088" s="439"/>
      <c r="B6088" s="439"/>
      <c r="C6088" s="439"/>
      <c r="D6088" s="439"/>
      <c r="E6088" s="439"/>
      <c r="F6088" s="439"/>
      <c r="G6088" s="451" t="s">
        <v>3406</v>
      </c>
      <c r="Z6088" s="500"/>
      <c r="AA6088" s="500"/>
      <c r="AB6088" s="500"/>
      <c r="AC6088" s="500"/>
      <c r="AD6088" s="500"/>
      <c r="AE6088" s="500"/>
      <c r="AF6088" s="500"/>
      <c r="AG6088" s="500"/>
      <c r="AH6088" s="500"/>
      <c r="AI6088" s="500"/>
      <c r="AJ6088" s="500"/>
      <c r="AK6088" s="500"/>
      <c r="AL6088" s="500"/>
      <c r="AM6088" s="500"/>
      <c r="AN6088" s="500"/>
      <c r="AO6088" s="500"/>
      <c r="AP6088" s="500"/>
    </row>
    <row r="6089" spans="1:42" ht="16.5" customHeight="1">
      <c r="A6089" s="434"/>
      <c r="B6089" s="437" t="s">
        <v>3995</v>
      </c>
      <c r="C6089" s="516">
        <f>E6089+D6089+F6089</f>
        <v>1132026.3</v>
      </c>
      <c r="D6089" s="516">
        <f>SUMIF(N6057:N6088,M6089,D6057:D6088)</f>
        <v>1132026.3</v>
      </c>
      <c r="E6089" s="516">
        <f>SUMIF(N6057:N6088,M6089,E6057:E6088)</f>
        <v>0</v>
      </c>
      <c r="F6089" s="516">
        <f>SUMIF(N6057:N6088,M6089,F6057:F6088)</f>
        <v>0</v>
      </c>
      <c r="G6089" s="451" t="s">
        <v>3996</v>
      </c>
      <c r="M6089" s="501" t="s">
        <v>3994</v>
      </c>
      <c r="Z6089" s="500"/>
      <c r="AA6089" s="500"/>
      <c r="AB6089" s="500"/>
      <c r="AC6089" s="500"/>
      <c r="AD6089" s="500"/>
      <c r="AE6089" s="500"/>
      <c r="AF6089" s="500"/>
      <c r="AG6089" s="500"/>
      <c r="AH6089" s="500"/>
      <c r="AI6089" s="500"/>
      <c r="AJ6089" s="500"/>
      <c r="AK6089" s="500"/>
      <c r="AL6089" s="500"/>
      <c r="AM6089" s="500"/>
      <c r="AN6089" s="500"/>
      <c r="AO6089" s="500"/>
      <c r="AP6089" s="500"/>
    </row>
    <row r="6090" spans="1:42" ht="16.5" customHeight="1">
      <c r="A6090" s="439"/>
      <c r="B6090" s="439"/>
      <c r="C6090" s="517"/>
      <c r="D6090" s="517"/>
      <c r="E6090" s="517"/>
      <c r="F6090" s="517"/>
      <c r="G6090" s="451" t="s">
        <v>3406</v>
      </c>
      <c r="Z6090" s="500"/>
      <c r="AA6090" s="500"/>
      <c r="AB6090" s="500"/>
      <c r="AC6090" s="500"/>
      <c r="AD6090" s="500"/>
      <c r="AE6090" s="500"/>
      <c r="AF6090" s="500"/>
      <c r="AG6090" s="500"/>
      <c r="AH6090" s="500"/>
      <c r="AI6090" s="500"/>
      <c r="AJ6090" s="500"/>
      <c r="AK6090" s="500"/>
      <c r="AL6090" s="500"/>
      <c r="AM6090" s="500"/>
      <c r="AN6090" s="500"/>
      <c r="AO6090" s="500"/>
      <c r="AP6090" s="500"/>
    </row>
    <row r="6091" spans="1:42" ht="16.5" customHeight="1">
      <c r="A6091" s="439"/>
      <c r="B6091" s="439"/>
      <c r="C6091" s="439"/>
      <c r="D6091" s="439"/>
      <c r="E6091" s="439"/>
      <c r="F6091" s="439"/>
      <c r="G6091" s="451" t="s">
        <v>3406</v>
      </c>
      <c r="Z6091" s="500"/>
      <c r="AA6091" s="500"/>
      <c r="AB6091" s="500"/>
      <c r="AC6091" s="500"/>
      <c r="AD6091" s="500"/>
      <c r="AE6091" s="500"/>
      <c r="AF6091" s="500"/>
      <c r="AG6091" s="500"/>
      <c r="AH6091" s="500"/>
      <c r="AI6091" s="500"/>
      <c r="AJ6091" s="500"/>
      <c r="AK6091" s="500"/>
      <c r="AL6091" s="500"/>
      <c r="AM6091" s="500"/>
      <c r="AN6091" s="500"/>
      <c r="AO6091" s="500"/>
      <c r="AP6091" s="500"/>
    </row>
    <row r="6092" spans="1:42" ht="16.5" customHeight="1">
      <c r="A6092" s="434" t="s">
        <v>3997</v>
      </c>
      <c r="B6092" s="505" t="str">
        <f>" 경비로 적용 : "&amp;TEXT(I6092,"#,##0"&amp;IF(I6092&lt;&gt;INT(I6092),".###",""))&amp;"  = "&amp;TEXT(C6092,"#,##0.0")&amp;""</f>
        <v xml:space="preserve"> 경비로 적용 : 1,132,026.3  = 1,132,026.3</v>
      </c>
      <c r="C6092" s="506">
        <f>E6092+D6092+F6092</f>
        <v>1132026.3</v>
      </c>
      <c r="D6092" s="506">
        <f>IF(H6092=0,0,ROUNDDOWN(J6092*H6092,1))</f>
        <v>0</v>
      </c>
      <c r="E6092" s="506">
        <f>IF(H6092=0,0,ROUNDDOWN(K6092*H6092,1))</f>
        <v>0</v>
      </c>
      <c r="F6092" s="506">
        <f>IF(H6092=0,0,ROUNDDOWN(L6092*H6092,1))</f>
        <v>1132026.3</v>
      </c>
      <c r="G6092" s="451" t="s">
        <v>3998</v>
      </c>
      <c r="H6092" s="507">
        <f>ROUNDUP(AB6092,14-LEN(ABS(INT(AB6092))))</f>
        <v>1</v>
      </c>
      <c r="I6092" s="508">
        <f>K6092+J6092+L6092</f>
        <v>1132026.3</v>
      </c>
      <c r="J6092" s="456">
        <v>0</v>
      </c>
      <c r="K6092" s="456">
        <v>0</v>
      </c>
      <c r="L6092" s="518">
        <v>1132026.3</v>
      </c>
      <c r="M6092" s="501" t="s">
        <v>3999</v>
      </c>
      <c r="N6092" s="501" t="s">
        <v>2354</v>
      </c>
      <c r="Z6092" s="501" t="s">
        <v>4000</v>
      </c>
      <c r="AA6092" s="501" t="s">
        <v>3418</v>
      </c>
      <c r="AB6092" s="512">
        <f>1</f>
        <v>1</v>
      </c>
      <c r="AC6092" s="500"/>
      <c r="AD6092" s="500"/>
      <c r="AE6092" s="500"/>
      <c r="AF6092" s="500"/>
      <c r="AG6092" s="500"/>
      <c r="AH6092" s="500"/>
      <c r="AI6092" s="500"/>
      <c r="AJ6092" s="500"/>
      <c r="AK6092" s="500"/>
      <c r="AL6092" s="500"/>
      <c r="AM6092" s="500"/>
      <c r="AN6092" s="500"/>
      <c r="AO6092" s="500"/>
      <c r="AP6092" s="500"/>
    </row>
    <row r="6093" spans="1:42" ht="16.5" customHeight="1">
      <c r="A6093" s="439"/>
      <c r="B6093" s="439"/>
      <c r="C6093" s="439"/>
      <c r="D6093" s="439"/>
      <c r="E6093" s="439"/>
      <c r="F6093" s="439"/>
      <c r="Z6093" s="500"/>
      <c r="AA6093" s="500"/>
      <c r="AB6093" s="500"/>
      <c r="AC6093" s="500"/>
      <c r="AD6093" s="500"/>
      <c r="AE6093" s="500"/>
      <c r="AF6093" s="500"/>
      <c r="AG6093" s="500"/>
      <c r="AH6093" s="500"/>
      <c r="AI6093" s="500"/>
      <c r="AJ6093" s="500"/>
      <c r="AK6093" s="500"/>
      <c r="AL6093" s="500"/>
      <c r="AM6093" s="500"/>
      <c r="AN6093" s="500"/>
      <c r="AO6093" s="500"/>
      <c r="AP6093" s="500"/>
    </row>
    <row r="6094" spans="1:42" ht="16.5" customHeight="1">
      <c r="A6094" s="439"/>
      <c r="B6094" s="439"/>
      <c r="C6094" s="439"/>
      <c r="D6094" s="439"/>
      <c r="E6094" s="439"/>
      <c r="F6094" s="439"/>
      <c r="Z6094" s="500"/>
      <c r="AA6094" s="500"/>
      <c r="AB6094" s="500"/>
      <c r="AC6094" s="500"/>
      <c r="AD6094" s="500"/>
      <c r="AE6094" s="500"/>
      <c r="AF6094" s="500"/>
      <c r="AG6094" s="500"/>
      <c r="AH6094" s="500"/>
      <c r="AI6094" s="500"/>
      <c r="AJ6094" s="500"/>
      <c r="AK6094" s="500"/>
      <c r="AL6094" s="500"/>
      <c r="AM6094" s="500"/>
      <c r="AN6094" s="500"/>
      <c r="AO6094" s="500"/>
      <c r="AP6094" s="500"/>
    </row>
    <row r="6095" spans="1:42" ht="16.5" customHeight="1">
      <c r="A6095" s="439"/>
      <c r="B6095" s="439"/>
      <c r="C6095" s="439"/>
      <c r="D6095" s="439"/>
      <c r="E6095" s="439"/>
      <c r="F6095" s="439"/>
      <c r="Z6095" s="500"/>
      <c r="AA6095" s="500"/>
      <c r="AB6095" s="500"/>
      <c r="AC6095" s="500"/>
      <c r="AD6095" s="500"/>
      <c r="AE6095" s="500"/>
      <c r="AF6095" s="500"/>
      <c r="AG6095" s="500"/>
      <c r="AH6095" s="500"/>
      <c r="AI6095" s="500"/>
      <c r="AJ6095" s="500"/>
      <c r="AK6095" s="500"/>
      <c r="AL6095" s="500"/>
      <c r="AM6095" s="500"/>
      <c r="AN6095" s="500"/>
      <c r="AO6095" s="500"/>
      <c r="AP6095" s="500"/>
    </row>
    <row r="6096" spans="1:42" ht="16.5" customHeight="1">
      <c r="A6096" s="439"/>
      <c r="B6096" s="439"/>
      <c r="C6096" s="439"/>
      <c r="D6096" s="439"/>
      <c r="E6096" s="439"/>
      <c r="F6096" s="439"/>
      <c r="Z6096" s="500"/>
      <c r="AA6096" s="500"/>
      <c r="AB6096" s="500"/>
      <c r="AC6096" s="500"/>
      <c r="AD6096" s="500"/>
      <c r="AE6096" s="500"/>
      <c r="AF6096" s="500"/>
      <c r="AG6096" s="500"/>
      <c r="AH6096" s="500"/>
      <c r="AI6096" s="500"/>
      <c r="AJ6096" s="500"/>
      <c r="AK6096" s="500"/>
      <c r="AL6096" s="500"/>
      <c r="AM6096" s="500"/>
      <c r="AN6096" s="500"/>
      <c r="AO6096" s="500"/>
      <c r="AP6096" s="500"/>
    </row>
    <row r="6097" spans="1:42" ht="16.5" customHeight="1">
      <c r="A6097" s="439"/>
      <c r="B6097" s="439"/>
      <c r="C6097" s="439"/>
      <c r="D6097" s="439"/>
      <c r="E6097" s="439"/>
      <c r="F6097" s="439"/>
      <c r="Z6097" s="500"/>
      <c r="AA6097" s="500"/>
      <c r="AB6097" s="500"/>
      <c r="AC6097" s="500"/>
      <c r="AD6097" s="500"/>
      <c r="AE6097" s="500"/>
      <c r="AF6097" s="500"/>
      <c r="AG6097" s="500"/>
      <c r="AH6097" s="500"/>
      <c r="AI6097" s="500"/>
      <c r="AJ6097" s="500"/>
      <c r="AK6097" s="500"/>
      <c r="AL6097" s="500"/>
      <c r="AM6097" s="500"/>
      <c r="AN6097" s="500"/>
      <c r="AO6097" s="500"/>
      <c r="AP6097" s="500"/>
    </row>
    <row r="6098" spans="1:42" ht="16.5" customHeight="1">
      <c r="A6098" s="439"/>
      <c r="B6098" s="439"/>
      <c r="C6098" s="439"/>
      <c r="D6098" s="439"/>
      <c r="E6098" s="439"/>
      <c r="F6098" s="439"/>
      <c r="Z6098" s="500"/>
      <c r="AA6098" s="500"/>
      <c r="AB6098" s="500"/>
      <c r="AC6098" s="500"/>
      <c r="AD6098" s="500"/>
      <c r="AE6098" s="500"/>
      <c r="AF6098" s="500"/>
      <c r="AG6098" s="500"/>
      <c r="AH6098" s="500"/>
      <c r="AI6098" s="500"/>
      <c r="AJ6098" s="500"/>
      <c r="AK6098" s="500"/>
      <c r="AL6098" s="500"/>
      <c r="AM6098" s="500"/>
      <c r="AN6098" s="500"/>
      <c r="AO6098" s="500"/>
      <c r="AP6098" s="500"/>
    </row>
    <row r="6099" spans="1:42" ht="16.5" customHeight="1">
      <c r="A6099" s="439"/>
      <c r="B6099" s="439"/>
      <c r="C6099" s="439"/>
      <c r="D6099" s="439"/>
      <c r="E6099" s="439"/>
      <c r="F6099" s="439"/>
      <c r="Z6099" s="500"/>
      <c r="AA6099" s="500"/>
      <c r="AB6099" s="500"/>
      <c r="AC6099" s="500"/>
      <c r="AD6099" s="500"/>
      <c r="AE6099" s="500"/>
      <c r="AF6099" s="500"/>
      <c r="AG6099" s="500"/>
      <c r="AH6099" s="500"/>
      <c r="AI6099" s="500"/>
      <c r="AJ6099" s="500"/>
      <c r="AK6099" s="500"/>
      <c r="AL6099" s="500"/>
      <c r="AM6099" s="500"/>
      <c r="AN6099" s="500"/>
      <c r="AO6099" s="500"/>
      <c r="AP6099" s="500"/>
    </row>
    <row r="6100" spans="1:42" ht="16.5" customHeight="1">
      <c r="A6100" s="439"/>
      <c r="B6100" s="439"/>
      <c r="C6100" s="439"/>
      <c r="D6100" s="439"/>
      <c r="E6100" s="439"/>
      <c r="F6100" s="439"/>
      <c r="Z6100" s="500"/>
      <c r="AA6100" s="500"/>
      <c r="AB6100" s="500"/>
      <c r="AC6100" s="500"/>
      <c r="AD6100" s="500"/>
      <c r="AE6100" s="500"/>
      <c r="AF6100" s="500"/>
      <c r="AG6100" s="500"/>
      <c r="AH6100" s="500"/>
      <c r="AI6100" s="500"/>
      <c r="AJ6100" s="500"/>
      <c r="AK6100" s="500"/>
      <c r="AL6100" s="500"/>
      <c r="AM6100" s="500"/>
      <c r="AN6100" s="500"/>
      <c r="AO6100" s="500"/>
      <c r="AP6100" s="500"/>
    </row>
    <row r="6101" spans="1:42" ht="16.5" customHeight="1">
      <c r="A6101" s="439"/>
      <c r="B6101" s="439"/>
      <c r="C6101" s="439"/>
      <c r="D6101" s="439"/>
      <c r="E6101" s="439"/>
      <c r="F6101" s="439"/>
      <c r="Z6101" s="500"/>
      <c r="AA6101" s="500"/>
      <c r="AB6101" s="500"/>
      <c r="AC6101" s="500"/>
      <c r="AD6101" s="500"/>
      <c r="AE6101" s="500"/>
      <c r="AF6101" s="500"/>
      <c r="AG6101" s="500"/>
      <c r="AH6101" s="500"/>
      <c r="AI6101" s="500"/>
      <c r="AJ6101" s="500"/>
      <c r="AK6101" s="500"/>
      <c r="AL6101" s="500"/>
      <c r="AM6101" s="500"/>
      <c r="AN6101" s="500"/>
      <c r="AO6101" s="500"/>
      <c r="AP6101" s="500"/>
    </row>
    <row r="6102" spans="1:42" ht="16.5" customHeight="1">
      <c r="A6102" s="439"/>
      <c r="B6102" s="439"/>
      <c r="C6102" s="439"/>
      <c r="D6102" s="439"/>
      <c r="E6102" s="439"/>
      <c r="F6102" s="439"/>
      <c r="Z6102" s="500"/>
      <c r="AA6102" s="500"/>
      <c r="AB6102" s="500"/>
      <c r="AC6102" s="500"/>
      <c r="AD6102" s="500"/>
      <c r="AE6102" s="500"/>
      <c r="AF6102" s="500"/>
      <c r="AG6102" s="500"/>
      <c r="AH6102" s="500"/>
      <c r="AI6102" s="500"/>
      <c r="AJ6102" s="500"/>
      <c r="AK6102" s="500"/>
      <c r="AL6102" s="500"/>
      <c r="AM6102" s="500"/>
      <c r="AN6102" s="500"/>
      <c r="AO6102" s="500"/>
      <c r="AP6102" s="500"/>
    </row>
    <row r="6103" spans="1:42" ht="16.5" customHeight="1">
      <c r="A6103" s="497"/>
      <c r="B6103" s="497"/>
      <c r="C6103" s="497"/>
      <c r="D6103" s="497"/>
      <c r="E6103" s="497"/>
      <c r="F6103" s="497"/>
      <c r="Z6103" s="500"/>
      <c r="AA6103" s="500"/>
      <c r="AB6103" s="500"/>
      <c r="AC6103" s="500"/>
      <c r="AD6103" s="500"/>
      <c r="AE6103" s="500"/>
      <c r="AF6103" s="500"/>
      <c r="AG6103" s="500"/>
      <c r="AH6103" s="500"/>
      <c r="AI6103" s="500"/>
      <c r="AJ6103" s="500"/>
      <c r="AK6103" s="500"/>
      <c r="AL6103" s="500"/>
      <c r="AM6103" s="500"/>
      <c r="AN6103" s="500"/>
      <c r="AO6103" s="500"/>
      <c r="AP6103" s="500"/>
    </row>
    <row r="6104" spans="1:42" ht="16.5" customHeight="1">
      <c r="A6104" s="616" t="s">
        <v>3487</v>
      </c>
      <c r="B6104" s="605"/>
      <c r="C6104" s="446">
        <f>E6104+D6104+F6104</f>
        <v>1132026</v>
      </c>
      <c r="D6104" s="453">
        <f>ROUNDDOWN(SUMIF(N6057:N6092,M6104,D6057:D6092),0)</f>
        <v>0</v>
      </c>
      <c r="E6104" s="454">
        <f>ROUNDDOWN(SUMIF(N6057:N6092,M6104,E6057:E6092),0)</f>
        <v>0</v>
      </c>
      <c r="F6104" s="446">
        <f>ROUNDDOWN(SUMIF(N6057:N6092,M6104,F6057:F6092),0)</f>
        <v>1132026</v>
      </c>
      <c r="M6104" s="501" t="s">
        <v>2354</v>
      </c>
      <c r="Z6104" s="500"/>
      <c r="AA6104" s="500"/>
      <c r="AB6104" s="500"/>
      <c r="AC6104" s="500"/>
      <c r="AD6104" s="500"/>
      <c r="AE6104" s="500"/>
      <c r="AF6104" s="500"/>
      <c r="AG6104" s="500"/>
      <c r="AH6104" s="500"/>
      <c r="AI6104" s="500"/>
      <c r="AJ6104" s="500"/>
      <c r="AK6104" s="500"/>
      <c r="AL6104" s="500"/>
      <c r="AM6104" s="500"/>
      <c r="AN6104" s="500"/>
      <c r="AO6104" s="500"/>
      <c r="AP6104" s="500"/>
    </row>
    <row r="6105" spans="1:42" ht="16.5" customHeight="1">
      <c r="A6105" s="502"/>
      <c r="B6105" s="503" t="s">
        <v>2133</v>
      </c>
      <c r="C6105" s="615">
        <f>C6154</f>
        <v>103999</v>
      </c>
      <c r="D6105" s="615">
        <f>D6154</f>
        <v>0</v>
      </c>
      <c r="E6105" s="615">
        <f>E6154</f>
        <v>0</v>
      </c>
      <c r="F6105" s="615">
        <f>F6154</f>
        <v>103999</v>
      </c>
      <c r="G6105" s="486" t="str">
        <f>HYPERLINK("#G"&amp;ROW(G6142),"_x0005_`BDCOD|D01179_x0007_`POSS|"&amp;ROW(G6107)&amp;"_x0007_`POSE|"&amp;ROW(G6142)&amp;"_x0007_`")</f>
        <v>_x0005_`BDCOD|D01179_x0007_`POSS|6107_x0007_`POSE|6142_x0007_`</v>
      </c>
      <c r="Z6105" s="500"/>
      <c r="AA6105" s="500"/>
      <c r="AB6105" s="500"/>
      <c r="AC6105" s="500"/>
      <c r="AD6105" s="500"/>
      <c r="AE6105" s="500"/>
      <c r="AF6105" s="500"/>
      <c r="AG6105" s="500"/>
      <c r="AH6105" s="500"/>
      <c r="AI6105" s="500"/>
      <c r="AJ6105" s="500"/>
      <c r="AK6105" s="500"/>
      <c r="AL6105" s="500"/>
      <c r="AM6105" s="500"/>
      <c r="AN6105" s="500"/>
      <c r="AO6105" s="500"/>
      <c r="AP6105" s="500"/>
    </row>
    <row r="6106" spans="1:42" ht="16.5" customHeight="1">
      <c r="A6106" s="485"/>
      <c r="B6106" s="503" t="s">
        <v>4037</v>
      </c>
      <c r="C6106" s="593"/>
      <c r="D6106" s="593"/>
      <c r="E6106" s="593"/>
      <c r="F6106" s="593"/>
      <c r="M6106" s="501" t="s">
        <v>2133</v>
      </c>
      <c r="Z6106" s="500"/>
      <c r="AA6106" s="500"/>
      <c r="AB6106" s="500"/>
      <c r="AC6106" s="500"/>
      <c r="AD6106" s="500"/>
      <c r="AE6106" s="500"/>
      <c r="AF6106" s="500"/>
      <c r="AG6106" s="500"/>
      <c r="AH6106" s="500"/>
      <c r="AI6106" s="500"/>
      <c r="AJ6106" s="500"/>
      <c r="AK6106" s="500"/>
      <c r="AL6106" s="500"/>
      <c r="AM6106" s="500"/>
      <c r="AN6106" s="500"/>
      <c r="AO6106" s="500"/>
      <c r="AP6106" s="500"/>
    </row>
    <row r="6107" spans="1:42" ht="16.5" customHeight="1">
      <c r="A6107" s="434"/>
      <c r="B6107" s="437" t="s">
        <v>3980</v>
      </c>
      <c r="C6107" s="504"/>
      <c r="D6107" s="504"/>
      <c r="E6107" s="504"/>
      <c r="F6107" s="504"/>
      <c r="G6107" s="451" t="s">
        <v>3981</v>
      </c>
      <c r="Z6107" s="500"/>
      <c r="AA6107" s="500"/>
      <c r="AB6107" s="500"/>
      <c r="AC6107" s="500"/>
      <c r="AD6107" s="500"/>
      <c r="AE6107" s="500"/>
      <c r="AF6107" s="500"/>
      <c r="AG6107" s="500"/>
      <c r="AH6107" s="500"/>
      <c r="AI6107" s="500"/>
      <c r="AJ6107" s="500"/>
      <c r="AK6107" s="500"/>
      <c r="AL6107" s="500"/>
      <c r="AM6107" s="500"/>
      <c r="AN6107" s="500"/>
      <c r="AO6107" s="500"/>
      <c r="AP6107" s="500"/>
    </row>
    <row r="6108" spans="1:42" ht="16.5" customHeight="1">
      <c r="A6108" s="439"/>
      <c r="B6108" s="439"/>
      <c r="C6108" s="439"/>
      <c r="D6108" s="439"/>
      <c r="E6108" s="439"/>
      <c r="F6108" s="439"/>
      <c r="G6108" s="451" t="s">
        <v>3406</v>
      </c>
      <c r="Z6108" s="500"/>
      <c r="AA6108" s="500"/>
      <c r="AB6108" s="500"/>
      <c r="AC6108" s="500"/>
      <c r="AD6108" s="500"/>
      <c r="AE6108" s="500"/>
      <c r="AF6108" s="500"/>
      <c r="AG6108" s="500"/>
      <c r="AH6108" s="500"/>
      <c r="AI6108" s="500"/>
      <c r="AJ6108" s="500"/>
      <c r="AK6108" s="500"/>
      <c r="AL6108" s="500"/>
      <c r="AM6108" s="500"/>
      <c r="AN6108" s="500"/>
      <c r="AO6108" s="500"/>
      <c r="AP6108" s="500"/>
    </row>
    <row r="6109" spans="1:42" ht="16.5" customHeight="1">
      <c r="A6109" s="434"/>
      <c r="B6109" s="437" t="s">
        <v>4038</v>
      </c>
      <c r="C6109" s="439"/>
      <c r="D6109" s="439"/>
      <c r="E6109" s="439"/>
      <c r="F6109" s="439"/>
      <c r="G6109" s="451" t="s">
        <v>4039</v>
      </c>
      <c r="Z6109" s="500"/>
      <c r="AA6109" s="500"/>
      <c r="AB6109" s="500"/>
      <c r="AC6109" s="500"/>
      <c r="AD6109" s="500"/>
      <c r="AE6109" s="500"/>
      <c r="AF6109" s="500"/>
      <c r="AG6109" s="500"/>
      <c r="AH6109" s="500"/>
      <c r="AI6109" s="500"/>
      <c r="AJ6109" s="500"/>
      <c r="AK6109" s="500"/>
      <c r="AL6109" s="500"/>
      <c r="AM6109" s="500"/>
      <c r="AN6109" s="500"/>
      <c r="AO6109" s="500"/>
      <c r="AP6109" s="500"/>
    </row>
    <row r="6110" spans="1:42" ht="16.5" customHeight="1">
      <c r="A6110" s="439"/>
      <c r="B6110" s="439"/>
      <c r="C6110" s="439"/>
      <c r="D6110" s="439"/>
      <c r="E6110" s="439"/>
      <c r="F6110" s="439"/>
      <c r="G6110" s="451" t="s">
        <v>3406</v>
      </c>
      <c r="Z6110" s="500"/>
      <c r="AA6110" s="500"/>
      <c r="AB6110" s="500"/>
      <c r="AC6110" s="500"/>
      <c r="AD6110" s="500"/>
      <c r="AE6110" s="500"/>
      <c r="AF6110" s="500"/>
      <c r="AG6110" s="500"/>
      <c r="AH6110" s="500"/>
      <c r="AI6110" s="500"/>
      <c r="AJ6110" s="500"/>
      <c r="AK6110" s="500"/>
      <c r="AL6110" s="500"/>
      <c r="AM6110" s="500"/>
      <c r="AN6110" s="500"/>
      <c r="AO6110" s="500"/>
      <c r="AP6110" s="500"/>
    </row>
    <row r="6111" spans="1:42" ht="16.5" customHeight="1">
      <c r="A6111" s="439"/>
      <c r="B6111" s="439"/>
      <c r="C6111" s="439"/>
      <c r="D6111" s="439"/>
      <c r="E6111" s="439"/>
      <c r="F6111" s="439"/>
      <c r="G6111" s="451" t="s">
        <v>3406</v>
      </c>
      <c r="Z6111" s="500"/>
      <c r="AA6111" s="500"/>
      <c r="AB6111" s="500"/>
      <c r="AC6111" s="500"/>
      <c r="AD6111" s="500"/>
      <c r="AE6111" s="500"/>
      <c r="AF6111" s="500"/>
      <c r="AG6111" s="500"/>
      <c r="AH6111" s="500"/>
      <c r="AI6111" s="500"/>
      <c r="AJ6111" s="500"/>
      <c r="AK6111" s="500"/>
      <c r="AL6111" s="500"/>
      <c r="AM6111" s="500"/>
      <c r="AN6111" s="500"/>
      <c r="AO6111" s="500"/>
      <c r="AP6111" s="500"/>
    </row>
    <row r="6112" spans="1:42" ht="16.5" customHeight="1">
      <c r="A6112" s="434"/>
      <c r="B6112" s="437" t="s">
        <v>3984</v>
      </c>
      <c r="C6112" s="439"/>
      <c r="D6112" s="439"/>
      <c r="E6112" s="439"/>
      <c r="F6112" s="439"/>
      <c r="G6112" s="451" t="s">
        <v>3985</v>
      </c>
      <c r="Z6112" s="500"/>
      <c r="AA6112" s="500"/>
      <c r="AB6112" s="500"/>
      <c r="AC6112" s="500"/>
      <c r="AD6112" s="500"/>
      <c r="AE6112" s="500"/>
      <c r="AF6112" s="500"/>
      <c r="AG6112" s="500"/>
      <c r="AH6112" s="500"/>
      <c r="AI6112" s="500"/>
      <c r="AJ6112" s="500"/>
      <c r="AK6112" s="500"/>
      <c r="AL6112" s="500"/>
      <c r="AM6112" s="500"/>
      <c r="AN6112" s="500"/>
      <c r="AO6112" s="500"/>
      <c r="AP6112" s="500"/>
    </row>
    <row r="6113" spans="1:42" ht="16.5" customHeight="1">
      <c r="A6113" s="439"/>
      <c r="B6113" s="439"/>
      <c r="C6113" s="439"/>
      <c r="D6113" s="439"/>
      <c r="E6113" s="439"/>
      <c r="F6113" s="439"/>
      <c r="G6113" s="451" t="s">
        <v>3406</v>
      </c>
      <c r="Z6113" s="500"/>
      <c r="AA6113" s="500"/>
      <c r="AB6113" s="500"/>
      <c r="AC6113" s="500"/>
      <c r="AD6113" s="500"/>
      <c r="AE6113" s="500"/>
      <c r="AF6113" s="500"/>
      <c r="AG6113" s="500"/>
      <c r="AH6113" s="500"/>
      <c r="AI6113" s="500"/>
      <c r="AJ6113" s="500"/>
      <c r="AK6113" s="500"/>
      <c r="AL6113" s="500"/>
      <c r="AM6113" s="500"/>
      <c r="AN6113" s="500"/>
      <c r="AO6113" s="500"/>
      <c r="AP6113" s="500"/>
    </row>
    <row r="6114" spans="1:42" ht="16.5" customHeight="1">
      <c r="A6114" s="439"/>
      <c r="B6114" s="439"/>
      <c r="C6114" s="439"/>
      <c r="D6114" s="439"/>
      <c r="E6114" s="439"/>
      <c r="F6114" s="439"/>
      <c r="G6114" s="451" t="s">
        <v>3406</v>
      </c>
      <c r="Z6114" s="500"/>
      <c r="AA6114" s="500"/>
      <c r="AB6114" s="500"/>
      <c r="AC6114" s="500"/>
      <c r="AD6114" s="500"/>
      <c r="AE6114" s="500"/>
      <c r="AF6114" s="500"/>
      <c r="AG6114" s="500"/>
      <c r="AH6114" s="500"/>
      <c r="AI6114" s="500"/>
      <c r="AJ6114" s="500"/>
      <c r="AK6114" s="500"/>
      <c r="AL6114" s="500"/>
      <c r="AM6114" s="500"/>
      <c r="AN6114" s="500"/>
      <c r="AO6114" s="500"/>
      <c r="AP6114" s="500"/>
    </row>
    <row r="6115" spans="1:42" ht="16.5" customHeight="1">
      <c r="A6115" s="434"/>
      <c r="B6115" s="437" t="s">
        <v>3986</v>
      </c>
      <c r="C6115" s="439"/>
      <c r="D6115" s="439"/>
      <c r="E6115" s="439"/>
      <c r="F6115" s="439"/>
      <c r="G6115" s="451" t="s">
        <v>3987</v>
      </c>
      <c r="Z6115" s="500"/>
      <c r="AA6115" s="500"/>
      <c r="AB6115" s="500"/>
      <c r="AC6115" s="500"/>
      <c r="AD6115" s="500"/>
      <c r="AE6115" s="500"/>
      <c r="AF6115" s="500"/>
      <c r="AG6115" s="500"/>
      <c r="AH6115" s="500"/>
      <c r="AI6115" s="500"/>
      <c r="AJ6115" s="500"/>
      <c r="AK6115" s="500"/>
      <c r="AL6115" s="500"/>
      <c r="AM6115" s="500"/>
      <c r="AN6115" s="500"/>
      <c r="AO6115" s="500"/>
      <c r="AP6115" s="500"/>
    </row>
    <row r="6116" spans="1:42" ht="16.5" customHeight="1">
      <c r="A6116" s="439"/>
      <c r="B6116" s="439"/>
      <c r="C6116" s="439"/>
      <c r="D6116" s="439"/>
      <c r="E6116" s="439"/>
      <c r="F6116" s="439"/>
      <c r="G6116" s="451" t="s">
        <v>3406</v>
      </c>
      <c r="Z6116" s="500"/>
      <c r="AA6116" s="500"/>
      <c r="AB6116" s="500"/>
      <c r="AC6116" s="500"/>
      <c r="AD6116" s="500"/>
      <c r="AE6116" s="500"/>
      <c r="AF6116" s="500"/>
      <c r="AG6116" s="500"/>
      <c r="AH6116" s="500"/>
      <c r="AI6116" s="500"/>
      <c r="AJ6116" s="500"/>
      <c r="AK6116" s="500"/>
      <c r="AL6116" s="500"/>
      <c r="AM6116" s="500"/>
      <c r="AN6116" s="500"/>
      <c r="AO6116" s="500"/>
      <c r="AP6116" s="500"/>
    </row>
    <row r="6117" spans="1:42" ht="16.5" customHeight="1">
      <c r="A6117" s="439"/>
      <c r="B6117" s="439"/>
      <c r="C6117" s="439"/>
      <c r="D6117" s="439"/>
      <c r="E6117" s="439"/>
      <c r="F6117" s="439"/>
      <c r="G6117" s="451" t="s">
        <v>3406</v>
      </c>
      <c r="Z6117" s="500"/>
      <c r="AA6117" s="500"/>
      <c r="AB6117" s="500"/>
      <c r="AC6117" s="500"/>
      <c r="AD6117" s="500"/>
      <c r="AE6117" s="500"/>
      <c r="AF6117" s="500"/>
      <c r="AG6117" s="500"/>
      <c r="AH6117" s="500"/>
      <c r="AI6117" s="500"/>
      <c r="AJ6117" s="500"/>
      <c r="AK6117" s="500"/>
      <c r="AL6117" s="500"/>
      <c r="AM6117" s="500"/>
      <c r="AN6117" s="500"/>
      <c r="AO6117" s="500"/>
      <c r="AP6117" s="500"/>
    </row>
    <row r="6118" spans="1:42" ht="16.5" customHeight="1">
      <c r="A6118" s="434"/>
      <c r="B6118" s="437" t="str">
        <f>" L = "&amp;Z6118&amp;" , V = "&amp;AD6118&amp;" , t = "&amp;AH6118&amp;"  , T = "&amp;AL6118&amp;"-"&amp;AN6118&amp;""</f>
        <v xml:space="preserve"> L = 100 , V = 2500 , t = 2  , T = 480-30</v>
      </c>
      <c r="C6118" s="439"/>
      <c r="D6118" s="439"/>
      <c r="E6118" s="439"/>
      <c r="F6118" s="439"/>
      <c r="G6118" s="451" t="s">
        <v>4040</v>
      </c>
      <c r="Z6118" s="515">
        <v>100</v>
      </c>
      <c r="AA6118" s="501" t="s">
        <v>3418</v>
      </c>
      <c r="AB6118" s="512">
        <f>Z6118</f>
        <v>100</v>
      </c>
      <c r="AC6118" s="514" t="s">
        <v>3427</v>
      </c>
      <c r="AD6118" s="515">
        <v>2500</v>
      </c>
      <c r="AE6118" s="501" t="s">
        <v>3418</v>
      </c>
      <c r="AF6118" s="512">
        <f>AD6118</f>
        <v>2500</v>
      </c>
      <c r="AG6118" s="514" t="s">
        <v>3427</v>
      </c>
      <c r="AH6118" s="515">
        <v>2</v>
      </c>
      <c r="AI6118" s="501" t="s">
        <v>3418</v>
      </c>
      <c r="AJ6118" s="512">
        <f>AH6118</f>
        <v>2</v>
      </c>
      <c r="AK6118" s="514" t="s">
        <v>3427</v>
      </c>
      <c r="AL6118" s="515">
        <v>480</v>
      </c>
      <c r="AM6118" s="501" t="s">
        <v>3474</v>
      </c>
      <c r="AN6118" s="515">
        <v>30</v>
      </c>
      <c r="AO6118" s="501" t="s">
        <v>3418</v>
      </c>
      <c r="AP6118" s="512">
        <f>AL6118-AN6118</f>
        <v>450</v>
      </c>
    </row>
    <row r="6119" spans="1:42" ht="16.5" customHeight="1">
      <c r="A6119" s="439"/>
      <c r="B6119" s="439"/>
      <c r="C6119" s="439"/>
      <c r="D6119" s="439"/>
      <c r="E6119" s="439"/>
      <c r="F6119" s="439"/>
      <c r="G6119" s="451" t="s">
        <v>3406</v>
      </c>
      <c r="Z6119" s="500"/>
      <c r="AA6119" s="500"/>
      <c r="AB6119" s="500"/>
      <c r="AC6119" s="500"/>
      <c r="AD6119" s="500"/>
      <c r="AE6119" s="500"/>
      <c r="AF6119" s="500"/>
      <c r="AG6119" s="500"/>
      <c r="AH6119" s="500"/>
      <c r="AI6119" s="500"/>
      <c r="AJ6119" s="500"/>
      <c r="AK6119" s="500"/>
      <c r="AL6119" s="500"/>
      <c r="AM6119" s="500"/>
      <c r="AN6119" s="500"/>
      <c r="AO6119" s="500"/>
      <c r="AP6119" s="500"/>
    </row>
    <row r="6120" spans="1:42" ht="16.5" customHeight="1">
      <c r="A6120" s="439"/>
      <c r="B6120" s="439"/>
      <c r="C6120" s="439"/>
      <c r="D6120" s="439"/>
      <c r="E6120" s="439"/>
      <c r="F6120" s="439"/>
      <c r="G6120" s="451" t="s">
        <v>3406</v>
      </c>
      <c r="Z6120" s="500"/>
      <c r="AA6120" s="500"/>
      <c r="AB6120" s="500"/>
      <c r="AC6120" s="500"/>
      <c r="AD6120" s="500"/>
      <c r="AE6120" s="500"/>
      <c r="AF6120" s="500"/>
      <c r="AG6120" s="500"/>
      <c r="AH6120" s="500"/>
      <c r="AI6120" s="500"/>
      <c r="AJ6120" s="500"/>
      <c r="AK6120" s="500"/>
      <c r="AL6120" s="500"/>
      <c r="AM6120" s="500"/>
      <c r="AN6120" s="500"/>
      <c r="AO6120" s="500"/>
      <c r="AP6120" s="500"/>
    </row>
    <row r="6121" spans="1:42" ht="16.5" customHeight="1">
      <c r="A6121" s="439"/>
      <c r="B6121" s="439"/>
      <c r="C6121" s="439"/>
      <c r="D6121" s="439"/>
      <c r="E6121" s="439"/>
      <c r="F6121" s="439"/>
      <c r="G6121" s="451" t="s">
        <v>3406</v>
      </c>
      <c r="Z6121" s="500"/>
      <c r="AA6121" s="500"/>
      <c r="AB6121" s="500"/>
      <c r="AC6121" s="500"/>
      <c r="AD6121" s="500"/>
      <c r="AE6121" s="500"/>
      <c r="AF6121" s="500"/>
      <c r="AG6121" s="500"/>
      <c r="AH6121" s="500"/>
      <c r="AI6121" s="500"/>
      <c r="AJ6121" s="500"/>
      <c r="AK6121" s="500"/>
      <c r="AL6121" s="500"/>
      <c r="AM6121" s="500"/>
      <c r="AN6121" s="500"/>
      <c r="AO6121" s="500"/>
      <c r="AP6121" s="500"/>
    </row>
    <row r="6122" spans="1:42" ht="16.5" customHeight="1">
      <c r="A6122" s="434"/>
      <c r="B6122" s="437" t="str">
        <f>" N = V*T /( "&amp;AD6122&amp;"*L+V*"&amp;AJ6122&amp;" ) = "&amp;AM6122&amp;" 회/일 "</f>
        <v xml:space="preserve"> N = V*T /( 120*L+V*2 ) = 66.18 회/일 </v>
      </c>
      <c r="C6122" s="439"/>
      <c r="D6122" s="439"/>
      <c r="E6122" s="439"/>
      <c r="F6122" s="439"/>
      <c r="G6122" s="451" t="s">
        <v>3989</v>
      </c>
      <c r="Z6122" s="512">
        <f>AF6118</f>
        <v>2500</v>
      </c>
      <c r="AA6122" s="501" t="s">
        <v>3368</v>
      </c>
      <c r="AB6122" s="512">
        <f>AP6118</f>
        <v>450</v>
      </c>
      <c r="AC6122" s="501" t="s">
        <v>3463</v>
      </c>
      <c r="AD6122" s="515">
        <v>120</v>
      </c>
      <c r="AE6122" s="501" t="s">
        <v>3368</v>
      </c>
      <c r="AF6122" s="512">
        <f>AB6118</f>
        <v>100</v>
      </c>
      <c r="AG6122" s="501" t="s">
        <v>3468</v>
      </c>
      <c r="AH6122" s="512">
        <f>AF6118</f>
        <v>2500</v>
      </c>
      <c r="AI6122" s="501" t="s">
        <v>3368</v>
      </c>
      <c r="AJ6122" s="515">
        <v>2</v>
      </c>
      <c r="AK6122" s="501" t="s">
        <v>3464</v>
      </c>
      <c r="AL6122" s="501" t="s">
        <v>3418</v>
      </c>
      <c r="AM6122" s="512" t="str">
        <f>TEXT(ROUND(AF6118*AP6118/(AD6122*AB6118+AF6118*AJ6122),2),"#,0.00")</f>
        <v>66.18</v>
      </c>
      <c r="AN6122" s="500"/>
      <c r="AO6122" s="500"/>
      <c r="AP6122" s="500"/>
    </row>
    <row r="6123" spans="1:42" ht="16.5" customHeight="1">
      <c r="A6123" s="439"/>
      <c r="B6123" s="439"/>
      <c r="C6123" s="439"/>
      <c r="D6123" s="439"/>
      <c r="E6123" s="439"/>
      <c r="F6123" s="439"/>
      <c r="G6123" s="451" t="s">
        <v>3406</v>
      </c>
      <c r="Z6123" s="500"/>
      <c r="AA6123" s="500"/>
      <c r="AB6123" s="500"/>
      <c r="AC6123" s="500"/>
      <c r="AD6123" s="500"/>
      <c r="AE6123" s="500"/>
      <c r="AF6123" s="500"/>
      <c r="AG6123" s="500"/>
      <c r="AH6123" s="500"/>
      <c r="AI6123" s="500"/>
      <c r="AJ6123" s="500"/>
      <c r="AK6123" s="500"/>
      <c r="AL6123" s="500"/>
      <c r="AM6123" s="500"/>
      <c r="AN6123" s="500"/>
      <c r="AO6123" s="500"/>
      <c r="AP6123" s="500"/>
    </row>
    <row r="6124" spans="1:42" ht="16.5" customHeight="1">
      <c r="A6124" s="439"/>
      <c r="B6124" s="439"/>
      <c r="C6124" s="439"/>
      <c r="D6124" s="439"/>
      <c r="E6124" s="439"/>
      <c r="F6124" s="439"/>
      <c r="G6124" s="451" t="s">
        <v>3406</v>
      </c>
      <c r="Z6124" s="500"/>
      <c r="AA6124" s="500"/>
      <c r="AB6124" s="500"/>
      <c r="AC6124" s="500"/>
      <c r="AD6124" s="500"/>
      <c r="AE6124" s="500"/>
      <c r="AF6124" s="500"/>
      <c r="AG6124" s="500"/>
      <c r="AH6124" s="500"/>
      <c r="AI6124" s="500"/>
      <c r="AJ6124" s="500"/>
      <c r="AK6124" s="500"/>
      <c r="AL6124" s="500"/>
      <c r="AM6124" s="500"/>
      <c r="AN6124" s="500"/>
      <c r="AO6124" s="500"/>
      <c r="AP6124" s="500"/>
    </row>
    <row r="6125" spans="1:42" ht="16.5" customHeight="1">
      <c r="A6125" s="439"/>
      <c r="B6125" s="439"/>
      <c r="C6125" s="439"/>
      <c r="D6125" s="439"/>
      <c r="E6125" s="439"/>
      <c r="F6125" s="439"/>
      <c r="G6125" s="451" t="s">
        <v>3406</v>
      </c>
      <c r="Z6125" s="500"/>
      <c r="AA6125" s="500"/>
      <c r="AB6125" s="500"/>
      <c r="AC6125" s="500"/>
      <c r="AD6125" s="500"/>
      <c r="AE6125" s="500"/>
      <c r="AF6125" s="500"/>
      <c r="AG6125" s="500"/>
      <c r="AH6125" s="500"/>
      <c r="AI6125" s="500"/>
      <c r="AJ6125" s="500"/>
      <c r="AK6125" s="500"/>
      <c r="AL6125" s="500"/>
      <c r="AM6125" s="500"/>
      <c r="AN6125" s="500"/>
      <c r="AO6125" s="500"/>
      <c r="AP6125" s="500"/>
    </row>
    <row r="6126" spans="1:42" ht="16.5" customHeight="1">
      <c r="A6126" s="434"/>
      <c r="B6126" s="437" t="str">
        <f>" Q = N*"&amp;AB6126&amp;" ㎏ = "&amp;AD6126&amp;"  kg/일 "</f>
        <v xml:space="preserve"> Q = N*25 ㎏ = 1,654.50  kg/일 </v>
      </c>
      <c r="C6126" s="439"/>
      <c r="D6126" s="439"/>
      <c r="E6126" s="439"/>
      <c r="F6126" s="439"/>
      <c r="G6126" s="451" t="s">
        <v>3990</v>
      </c>
      <c r="Z6126" s="512" t="str">
        <f>AM6122</f>
        <v>66.18</v>
      </c>
      <c r="AA6126" s="501" t="s">
        <v>3368</v>
      </c>
      <c r="AB6126" s="515">
        <v>25</v>
      </c>
      <c r="AC6126" s="501" t="s">
        <v>3418</v>
      </c>
      <c r="AD6126" s="512" t="str">
        <f>TEXT(ROUND(AM6122*AB6126,2),"#,0.00")</f>
        <v>1,654.50</v>
      </c>
      <c r="AE6126" s="500"/>
      <c r="AF6126" s="500"/>
      <c r="AG6126" s="500"/>
      <c r="AH6126" s="500"/>
      <c r="AI6126" s="500"/>
      <c r="AJ6126" s="500"/>
      <c r="AK6126" s="500"/>
      <c r="AL6126" s="500"/>
      <c r="AM6126" s="500"/>
      <c r="AN6126" s="500"/>
      <c r="AO6126" s="500"/>
      <c r="AP6126" s="500"/>
    </row>
    <row r="6127" spans="1:42" ht="16.5" customHeight="1">
      <c r="A6127" s="439"/>
      <c r="B6127" s="439"/>
      <c r="C6127" s="439"/>
      <c r="D6127" s="439"/>
      <c r="E6127" s="439"/>
      <c r="F6127" s="439"/>
      <c r="G6127" s="451" t="s">
        <v>3406</v>
      </c>
      <c r="Z6127" s="500"/>
      <c r="AA6127" s="500"/>
      <c r="AB6127" s="500"/>
      <c r="AC6127" s="500"/>
      <c r="AD6127" s="500"/>
      <c r="AE6127" s="500"/>
      <c r="AF6127" s="500"/>
      <c r="AG6127" s="500"/>
      <c r="AH6127" s="500"/>
      <c r="AI6127" s="500"/>
      <c r="AJ6127" s="500"/>
      <c r="AK6127" s="500"/>
      <c r="AL6127" s="500"/>
      <c r="AM6127" s="500"/>
      <c r="AN6127" s="500"/>
      <c r="AO6127" s="500"/>
      <c r="AP6127" s="500"/>
    </row>
    <row r="6128" spans="1:42" ht="16.5" customHeight="1">
      <c r="A6128" s="439"/>
      <c r="B6128" s="439"/>
      <c r="C6128" s="439"/>
      <c r="D6128" s="439"/>
      <c r="E6128" s="439"/>
      <c r="F6128" s="439"/>
      <c r="G6128" s="451" t="s">
        <v>3406</v>
      </c>
      <c r="Z6128" s="500"/>
      <c r="AA6128" s="500"/>
      <c r="AB6128" s="500"/>
      <c r="AC6128" s="500"/>
      <c r="AD6128" s="500"/>
      <c r="AE6128" s="500"/>
      <c r="AF6128" s="500"/>
      <c r="AG6128" s="500"/>
      <c r="AH6128" s="500"/>
      <c r="AI6128" s="500"/>
      <c r="AJ6128" s="500"/>
      <c r="AK6128" s="500"/>
      <c r="AL6128" s="500"/>
      <c r="AM6128" s="500"/>
      <c r="AN6128" s="500"/>
      <c r="AO6128" s="500"/>
      <c r="AP6128" s="500"/>
    </row>
    <row r="6129" spans="1:42" ht="16.5" customHeight="1">
      <c r="A6129" s="439"/>
      <c r="B6129" s="439"/>
      <c r="C6129" s="439"/>
      <c r="D6129" s="439"/>
      <c r="E6129" s="439"/>
      <c r="F6129" s="439"/>
      <c r="G6129" s="451" t="s">
        <v>3406</v>
      </c>
      <c r="Z6129" s="500"/>
      <c r="AA6129" s="500"/>
      <c r="AB6129" s="500"/>
      <c r="AC6129" s="500"/>
      <c r="AD6129" s="500"/>
      <c r="AE6129" s="500"/>
      <c r="AF6129" s="500"/>
      <c r="AG6129" s="500"/>
      <c r="AH6129" s="500"/>
      <c r="AI6129" s="500"/>
      <c r="AJ6129" s="500"/>
      <c r="AK6129" s="500"/>
      <c r="AL6129" s="500"/>
      <c r="AM6129" s="500"/>
      <c r="AN6129" s="500"/>
      <c r="AO6129" s="500"/>
      <c r="AP6129" s="500"/>
    </row>
    <row r="6130" spans="1:42" ht="16.5" customHeight="1">
      <c r="A6130" s="434"/>
      <c r="B6130" s="437" t="str">
        <f>" k = "&amp;Z6130&amp;" kg /Q"</f>
        <v xml:space="preserve"> k = 1000 kg /Q</v>
      </c>
      <c r="C6130" s="439"/>
      <c r="D6130" s="439"/>
      <c r="E6130" s="439"/>
      <c r="F6130" s="439"/>
      <c r="G6130" s="451" t="s">
        <v>3991</v>
      </c>
      <c r="Z6130" s="515">
        <v>1000</v>
      </c>
      <c r="AA6130" s="501" t="s">
        <v>3428</v>
      </c>
      <c r="AB6130" s="512" t="str">
        <f>AD6126</f>
        <v>1,654.50</v>
      </c>
      <c r="AC6130" s="501" t="s">
        <v>3418</v>
      </c>
      <c r="AD6130" s="512">
        <f>ROUND(Z6130/AD6126,13)</f>
        <v>0.60441220912659999</v>
      </c>
      <c r="AE6130" s="500"/>
      <c r="AF6130" s="500"/>
      <c r="AG6130" s="500"/>
      <c r="AH6130" s="500"/>
      <c r="AI6130" s="500"/>
      <c r="AJ6130" s="500"/>
      <c r="AK6130" s="500"/>
      <c r="AL6130" s="500"/>
      <c r="AM6130" s="500"/>
      <c r="AN6130" s="500"/>
      <c r="AO6130" s="500"/>
      <c r="AP6130" s="500"/>
    </row>
    <row r="6131" spans="1:42" ht="16.5" customHeight="1">
      <c r="A6131" s="439"/>
      <c r="B6131" s="439"/>
      <c r="C6131" s="439"/>
      <c r="D6131" s="439"/>
      <c r="E6131" s="439"/>
      <c r="F6131" s="439"/>
      <c r="G6131" s="451" t="s">
        <v>3406</v>
      </c>
      <c r="Z6131" s="500"/>
      <c r="AA6131" s="500"/>
      <c r="AB6131" s="500"/>
      <c r="AC6131" s="500"/>
      <c r="AD6131" s="500"/>
      <c r="AE6131" s="500"/>
      <c r="AF6131" s="500"/>
      <c r="AG6131" s="500"/>
      <c r="AH6131" s="500"/>
      <c r="AI6131" s="500"/>
      <c r="AJ6131" s="500"/>
      <c r="AK6131" s="500"/>
      <c r="AL6131" s="500"/>
      <c r="AM6131" s="500"/>
      <c r="AN6131" s="500"/>
      <c r="AO6131" s="500"/>
      <c r="AP6131" s="500"/>
    </row>
    <row r="6132" spans="1:42" ht="16.5" customHeight="1">
      <c r="A6132" s="439"/>
      <c r="B6132" s="439"/>
      <c r="C6132" s="439"/>
      <c r="D6132" s="439"/>
      <c r="E6132" s="439"/>
      <c r="F6132" s="439"/>
      <c r="G6132" s="451" t="s">
        <v>3406</v>
      </c>
      <c r="Z6132" s="500"/>
      <c r="AA6132" s="500"/>
      <c r="AB6132" s="500"/>
      <c r="AC6132" s="500"/>
      <c r="AD6132" s="500"/>
      <c r="AE6132" s="500"/>
      <c r="AF6132" s="500"/>
      <c r="AG6132" s="500"/>
      <c r="AH6132" s="500"/>
      <c r="AI6132" s="500"/>
      <c r="AJ6132" s="500"/>
      <c r="AK6132" s="500"/>
      <c r="AL6132" s="500"/>
      <c r="AM6132" s="500"/>
      <c r="AN6132" s="500"/>
      <c r="AO6132" s="500"/>
      <c r="AP6132" s="500"/>
    </row>
    <row r="6133" spans="1:42" ht="16.5" customHeight="1">
      <c r="A6133" s="439"/>
      <c r="B6133" s="439"/>
      <c r="C6133" s="439"/>
      <c r="D6133" s="439"/>
      <c r="E6133" s="439"/>
      <c r="F6133" s="439"/>
      <c r="G6133" s="451" t="s">
        <v>3406</v>
      </c>
      <c r="Z6133" s="500"/>
      <c r="AA6133" s="500"/>
      <c r="AB6133" s="500"/>
      <c r="AC6133" s="500"/>
      <c r="AD6133" s="500"/>
      <c r="AE6133" s="500"/>
      <c r="AF6133" s="500"/>
      <c r="AG6133" s="500"/>
      <c r="AH6133" s="500"/>
      <c r="AI6133" s="500"/>
      <c r="AJ6133" s="500"/>
      <c r="AK6133" s="500"/>
      <c r="AL6133" s="500"/>
      <c r="AM6133" s="500"/>
      <c r="AN6133" s="500"/>
      <c r="AO6133" s="500"/>
      <c r="AP6133" s="500"/>
    </row>
    <row r="6134" spans="1:42" ht="16.5" customHeight="1">
      <c r="A6134" s="434" t="s">
        <v>3992</v>
      </c>
      <c r="B6134" s="505" t="str">
        <f>" 인    부: "&amp;TEXT(I6134,"#,##0"&amp;IF(I6134&lt;&gt;INT(I6134),".###",""))&amp;"*k = "&amp;TEXT(C6134,"#,##0.0")&amp;" 원 "</f>
        <v xml:space="preserve"> 인    부: 172,068*k = 103,999.9 원 </v>
      </c>
      <c r="C6134" s="506">
        <f>E6134+D6134+F6134</f>
        <v>103999.9</v>
      </c>
      <c r="D6134" s="506">
        <f>IF(H6134=0,0,ROUNDDOWN(J6134*H6134,1))</f>
        <v>103999.9</v>
      </c>
      <c r="E6134" s="506">
        <f>IF(H6134=0,0,ROUNDDOWN(K6134*H6134,1))</f>
        <v>0</v>
      </c>
      <c r="F6134" s="506">
        <f>IF(H6134=0,0,ROUNDDOWN(L6134*H6134,1))</f>
        <v>0</v>
      </c>
      <c r="G6134" s="451" t="s">
        <v>3993</v>
      </c>
      <c r="H6134" s="507">
        <f>ROUNDUP(AC6134,14-LEN(ABS(INT(AC6134))))</f>
        <v>0.60441220912659999</v>
      </c>
      <c r="I6134" s="508">
        <f>K6134+J6134+L6134</f>
        <v>172068</v>
      </c>
      <c r="J6134" s="509">
        <f>노무비목록표!E10</f>
        <v>172068</v>
      </c>
      <c r="M6134" s="501" t="s">
        <v>2363</v>
      </c>
      <c r="N6134" s="501" t="s">
        <v>3994</v>
      </c>
      <c r="X6134" s="510" t="str">
        <f>노무비목록표!B10&amp;" / "&amp;노무비목록표!C10</f>
        <v xml:space="preserve">보통인부 / </v>
      </c>
      <c r="Y6134" s="433" t="str">
        <f ca="1">HYPERLINK("#"&amp;노무비목록표!G2&amp;"!A"&amp;ROW(노무비목록표!A10),"L00017 →")</f>
        <v>L00017 →</v>
      </c>
      <c r="Z6134" s="501" t="s">
        <v>3500</v>
      </c>
      <c r="AA6134" s="512">
        <f>AD6130</f>
        <v>0.60441220912659999</v>
      </c>
      <c r="AB6134" s="501" t="s">
        <v>3418</v>
      </c>
      <c r="AC6134" s="512">
        <f>1*AD6130</f>
        <v>0.60441220912659999</v>
      </c>
      <c r="AD6134" s="500"/>
      <c r="AE6134" s="500"/>
      <c r="AF6134" s="500"/>
      <c r="AG6134" s="500"/>
      <c r="AH6134" s="500"/>
      <c r="AI6134" s="500"/>
      <c r="AJ6134" s="500"/>
      <c r="AK6134" s="500"/>
      <c r="AL6134" s="500"/>
      <c r="AM6134" s="500"/>
      <c r="AN6134" s="500"/>
      <c r="AO6134" s="500"/>
      <c r="AP6134" s="500"/>
    </row>
    <row r="6135" spans="1:42" ht="16.5" customHeight="1">
      <c r="A6135" s="439"/>
      <c r="B6135" s="439"/>
      <c r="C6135" s="439"/>
      <c r="D6135" s="439"/>
      <c r="E6135" s="439"/>
      <c r="F6135" s="439"/>
      <c r="G6135" s="451" t="s">
        <v>3406</v>
      </c>
      <c r="Z6135" s="500"/>
      <c r="AA6135" s="500"/>
      <c r="AB6135" s="500"/>
      <c r="AC6135" s="500"/>
      <c r="AD6135" s="500"/>
      <c r="AE6135" s="500"/>
      <c r="AF6135" s="500"/>
      <c r="AG6135" s="500"/>
      <c r="AH6135" s="500"/>
      <c r="AI6135" s="500"/>
      <c r="AJ6135" s="500"/>
      <c r="AK6135" s="500"/>
      <c r="AL6135" s="500"/>
      <c r="AM6135" s="500"/>
      <c r="AN6135" s="500"/>
      <c r="AO6135" s="500"/>
      <c r="AP6135" s="500"/>
    </row>
    <row r="6136" spans="1:42" ht="16.5" customHeight="1">
      <c r="A6136" s="439"/>
      <c r="B6136" s="439"/>
      <c r="C6136" s="439"/>
      <c r="D6136" s="439"/>
      <c r="E6136" s="439"/>
      <c r="F6136" s="439"/>
      <c r="G6136" s="451" t="s">
        <v>3406</v>
      </c>
      <c r="Z6136" s="500"/>
      <c r="AA6136" s="500"/>
      <c r="AB6136" s="500"/>
      <c r="AC6136" s="500"/>
      <c r="AD6136" s="500"/>
      <c r="AE6136" s="500"/>
      <c r="AF6136" s="500"/>
      <c r="AG6136" s="500"/>
      <c r="AH6136" s="500"/>
      <c r="AI6136" s="500"/>
      <c r="AJ6136" s="500"/>
      <c r="AK6136" s="500"/>
      <c r="AL6136" s="500"/>
      <c r="AM6136" s="500"/>
      <c r="AN6136" s="500"/>
      <c r="AO6136" s="500"/>
      <c r="AP6136" s="500"/>
    </row>
    <row r="6137" spans="1:42" ht="16.5" customHeight="1">
      <c r="A6137" s="439"/>
      <c r="B6137" s="439"/>
      <c r="C6137" s="439"/>
      <c r="D6137" s="439"/>
      <c r="E6137" s="439"/>
      <c r="F6137" s="439"/>
      <c r="G6137" s="451" t="s">
        <v>3406</v>
      </c>
      <c r="Z6137" s="500"/>
      <c r="AA6137" s="500"/>
      <c r="AB6137" s="500"/>
      <c r="AC6137" s="500"/>
      <c r="AD6137" s="500"/>
      <c r="AE6137" s="500"/>
      <c r="AF6137" s="500"/>
      <c r="AG6137" s="500"/>
      <c r="AH6137" s="500"/>
      <c r="AI6137" s="500"/>
      <c r="AJ6137" s="500"/>
      <c r="AK6137" s="500"/>
      <c r="AL6137" s="500"/>
      <c r="AM6137" s="500"/>
      <c r="AN6137" s="500"/>
      <c r="AO6137" s="500"/>
      <c r="AP6137" s="500"/>
    </row>
    <row r="6138" spans="1:42" ht="16.5" customHeight="1">
      <c r="A6138" s="439"/>
      <c r="B6138" s="439"/>
      <c r="C6138" s="439"/>
      <c r="D6138" s="439"/>
      <c r="E6138" s="439"/>
      <c r="F6138" s="439"/>
      <c r="G6138" s="451" t="s">
        <v>3406</v>
      </c>
      <c r="Z6138" s="500"/>
      <c r="AA6138" s="500"/>
      <c r="AB6138" s="500"/>
      <c r="AC6138" s="500"/>
      <c r="AD6138" s="500"/>
      <c r="AE6138" s="500"/>
      <c r="AF6138" s="500"/>
      <c r="AG6138" s="500"/>
      <c r="AH6138" s="500"/>
      <c r="AI6138" s="500"/>
      <c r="AJ6138" s="500"/>
      <c r="AK6138" s="500"/>
      <c r="AL6138" s="500"/>
      <c r="AM6138" s="500"/>
      <c r="AN6138" s="500"/>
      <c r="AO6138" s="500"/>
      <c r="AP6138" s="500"/>
    </row>
    <row r="6139" spans="1:42" ht="16.5" customHeight="1">
      <c r="A6139" s="434"/>
      <c r="B6139" s="437" t="s">
        <v>3995</v>
      </c>
      <c r="C6139" s="516">
        <f>E6139+D6139+F6139</f>
        <v>103999.9</v>
      </c>
      <c r="D6139" s="516">
        <f>SUMIF(N6107:N6138,M6139,D6107:D6138)</f>
        <v>103999.9</v>
      </c>
      <c r="E6139" s="516">
        <f>SUMIF(N6107:N6138,M6139,E6107:E6138)</f>
        <v>0</v>
      </c>
      <c r="F6139" s="516">
        <f>SUMIF(N6107:N6138,M6139,F6107:F6138)</f>
        <v>0</v>
      </c>
      <c r="G6139" s="451" t="s">
        <v>3996</v>
      </c>
      <c r="M6139" s="501" t="s">
        <v>3994</v>
      </c>
      <c r="Z6139" s="500"/>
      <c r="AA6139" s="500"/>
      <c r="AB6139" s="500"/>
      <c r="AC6139" s="500"/>
      <c r="AD6139" s="500"/>
      <c r="AE6139" s="500"/>
      <c r="AF6139" s="500"/>
      <c r="AG6139" s="500"/>
      <c r="AH6139" s="500"/>
      <c r="AI6139" s="500"/>
      <c r="AJ6139" s="500"/>
      <c r="AK6139" s="500"/>
      <c r="AL6139" s="500"/>
      <c r="AM6139" s="500"/>
      <c r="AN6139" s="500"/>
      <c r="AO6139" s="500"/>
      <c r="AP6139" s="500"/>
    </row>
    <row r="6140" spans="1:42" ht="16.5" customHeight="1">
      <c r="A6140" s="439"/>
      <c r="B6140" s="439"/>
      <c r="C6140" s="517"/>
      <c r="D6140" s="517"/>
      <c r="E6140" s="517"/>
      <c r="F6140" s="517"/>
      <c r="G6140" s="451" t="s">
        <v>3406</v>
      </c>
      <c r="Z6140" s="500"/>
      <c r="AA6140" s="500"/>
      <c r="AB6140" s="500"/>
      <c r="AC6140" s="500"/>
      <c r="AD6140" s="500"/>
      <c r="AE6140" s="500"/>
      <c r="AF6140" s="500"/>
      <c r="AG6140" s="500"/>
      <c r="AH6140" s="500"/>
      <c r="AI6140" s="500"/>
      <c r="AJ6140" s="500"/>
      <c r="AK6140" s="500"/>
      <c r="AL6140" s="500"/>
      <c r="AM6140" s="500"/>
      <c r="AN6140" s="500"/>
      <c r="AO6140" s="500"/>
      <c r="AP6140" s="500"/>
    </row>
    <row r="6141" spans="1:42" ht="16.5" customHeight="1">
      <c r="A6141" s="439"/>
      <c r="B6141" s="439"/>
      <c r="C6141" s="439"/>
      <c r="D6141" s="439"/>
      <c r="E6141" s="439"/>
      <c r="F6141" s="439"/>
      <c r="G6141" s="451" t="s">
        <v>3406</v>
      </c>
      <c r="Z6141" s="500"/>
      <c r="AA6141" s="500"/>
      <c r="AB6141" s="500"/>
      <c r="AC6141" s="500"/>
      <c r="AD6141" s="500"/>
      <c r="AE6141" s="500"/>
      <c r="AF6141" s="500"/>
      <c r="AG6141" s="500"/>
      <c r="AH6141" s="500"/>
      <c r="AI6141" s="500"/>
      <c r="AJ6141" s="500"/>
      <c r="AK6141" s="500"/>
      <c r="AL6141" s="500"/>
      <c r="AM6141" s="500"/>
      <c r="AN6141" s="500"/>
      <c r="AO6141" s="500"/>
      <c r="AP6141" s="500"/>
    </row>
    <row r="6142" spans="1:42" ht="16.5" customHeight="1">
      <c r="A6142" s="434" t="s">
        <v>3997</v>
      </c>
      <c r="B6142" s="505" t="str">
        <f>" 경비로 적용 : "&amp;TEXT(I6142,"#,##0"&amp;IF(I6142&lt;&gt;INT(I6142),".###",""))&amp;"  = "&amp;TEXT(C6142,"#,##0.0")&amp;""</f>
        <v xml:space="preserve"> 경비로 적용 : 103,999.9  = 103,999.9</v>
      </c>
      <c r="C6142" s="506">
        <f>E6142+D6142+F6142</f>
        <v>103999.9</v>
      </c>
      <c r="D6142" s="506">
        <f>IF(H6142=0,0,ROUNDDOWN(J6142*H6142,1))</f>
        <v>0</v>
      </c>
      <c r="E6142" s="506">
        <f>IF(H6142=0,0,ROUNDDOWN(K6142*H6142,1))</f>
        <v>0</v>
      </c>
      <c r="F6142" s="506">
        <f>IF(H6142=0,0,ROUNDDOWN(L6142*H6142,1))</f>
        <v>103999.9</v>
      </c>
      <c r="G6142" s="451" t="s">
        <v>3998</v>
      </c>
      <c r="H6142" s="507">
        <f>ROUNDUP(AB6142,14-LEN(ABS(INT(AB6142))))</f>
        <v>1</v>
      </c>
      <c r="I6142" s="508">
        <f>K6142+J6142+L6142</f>
        <v>103999.9</v>
      </c>
      <c r="J6142" s="456">
        <v>0</v>
      </c>
      <c r="K6142" s="456">
        <v>0</v>
      </c>
      <c r="L6142" s="518">
        <v>103999.9</v>
      </c>
      <c r="M6142" s="501" t="s">
        <v>3999</v>
      </c>
      <c r="N6142" s="501" t="s">
        <v>2354</v>
      </c>
      <c r="Z6142" s="501" t="s">
        <v>4000</v>
      </c>
      <c r="AA6142" s="501" t="s">
        <v>3418</v>
      </c>
      <c r="AB6142" s="512">
        <f>1</f>
        <v>1</v>
      </c>
      <c r="AC6142" s="500"/>
      <c r="AD6142" s="500"/>
      <c r="AE6142" s="500"/>
      <c r="AF6142" s="500"/>
      <c r="AG6142" s="500"/>
      <c r="AH6142" s="500"/>
      <c r="AI6142" s="500"/>
      <c r="AJ6142" s="500"/>
      <c r="AK6142" s="500"/>
      <c r="AL6142" s="500"/>
      <c r="AM6142" s="500"/>
      <c r="AN6142" s="500"/>
      <c r="AO6142" s="500"/>
      <c r="AP6142" s="500"/>
    </row>
    <row r="6143" spans="1:42" ht="16.5" customHeight="1">
      <c r="A6143" s="439"/>
      <c r="B6143" s="439"/>
      <c r="C6143" s="439"/>
      <c r="D6143" s="439"/>
      <c r="E6143" s="439"/>
      <c r="F6143" s="439"/>
      <c r="Z6143" s="500"/>
      <c r="AA6143" s="500"/>
      <c r="AB6143" s="500"/>
      <c r="AC6143" s="500"/>
      <c r="AD6143" s="500"/>
      <c r="AE6143" s="500"/>
      <c r="AF6143" s="500"/>
      <c r="AG6143" s="500"/>
      <c r="AH6143" s="500"/>
      <c r="AI6143" s="500"/>
      <c r="AJ6143" s="500"/>
      <c r="AK6143" s="500"/>
      <c r="AL6143" s="500"/>
      <c r="AM6143" s="500"/>
      <c r="AN6143" s="500"/>
      <c r="AO6143" s="500"/>
      <c r="AP6143" s="500"/>
    </row>
    <row r="6144" spans="1:42" ht="16.5" customHeight="1">
      <c r="A6144" s="439"/>
      <c r="B6144" s="439"/>
      <c r="C6144" s="439"/>
      <c r="D6144" s="439"/>
      <c r="E6144" s="439"/>
      <c r="F6144" s="439"/>
      <c r="Z6144" s="500"/>
      <c r="AA6144" s="500"/>
      <c r="AB6144" s="500"/>
      <c r="AC6144" s="500"/>
      <c r="AD6144" s="500"/>
      <c r="AE6144" s="500"/>
      <c r="AF6144" s="500"/>
      <c r="AG6144" s="500"/>
      <c r="AH6144" s="500"/>
      <c r="AI6144" s="500"/>
      <c r="AJ6144" s="500"/>
      <c r="AK6144" s="500"/>
      <c r="AL6144" s="500"/>
      <c r="AM6144" s="500"/>
      <c r="AN6144" s="500"/>
      <c r="AO6144" s="500"/>
      <c r="AP6144" s="500"/>
    </row>
    <row r="6145" spans="1:42" ht="16.5" customHeight="1">
      <c r="A6145" s="439"/>
      <c r="B6145" s="439"/>
      <c r="C6145" s="439"/>
      <c r="D6145" s="439"/>
      <c r="E6145" s="439"/>
      <c r="F6145" s="439"/>
      <c r="Z6145" s="500"/>
      <c r="AA6145" s="500"/>
      <c r="AB6145" s="500"/>
      <c r="AC6145" s="500"/>
      <c r="AD6145" s="500"/>
      <c r="AE6145" s="500"/>
      <c r="AF6145" s="500"/>
      <c r="AG6145" s="500"/>
      <c r="AH6145" s="500"/>
      <c r="AI6145" s="500"/>
      <c r="AJ6145" s="500"/>
      <c r="AK6145" s="500"/>
      <c r="AL6145" s="500"/>
      <c r="AM6145" s="500"/>
      <c r="AN6145" s="500"/>
      <c r="AO6145" s="500"/>
      <c r="AP6145" s="500"/>
    </row>
    <row r="6146" spans="1:42" ht="16.5" customHeight="1">
      <c r="A6146" s="439"/>
      <c r="B6146" s="439"/>
      <c r="C6146" s="439"/>
      <c r="D6146" s="439"/>
      <c r="E6146" s="439"/>
      <c r="F6146" s="439"/>
      <c r="Z6146" s="500"/>
      <c r="AA6146" s="500"/>
      <c r="AB6146" s="500"/>
      <c r="AC6146" s="500"/>
      <c r="AD6146" s="500"/>
      <c r="AE6146" s="500"/>
      <c r="AF6146" s="500"/>
      <c r="AG6146" s="500"/>
      <c r="AH6146" s="500"/>
      <c r="AI6146" s="500"/>
      <c r="AJ6146" s="500"/>
      <c r="AK6146" s="500"/>
      <c r="AL6146" s="500"/>
      <c r="AM6146" s="500"/>
      <c r="AN6146" s="500"/>
      <c r="AO6146" s="500"/>
      <c r="AP6146" s="500"/>
    </row>
    <row r="6147" spans="1:42" ht="16.5" customHeight="1">
      <c r="A6147" s="439"/>
      <c r="B6147" s="439"/>
      <c r="C6147" s="439"/>
      <c r="D6147" s="439"/>
      <c r="E6147" s="439"/>
      <c r="F6147" s="439"/>
      <c r="Z6147" s="500"/>
      <c r="AA6147" s="500"/>
      <c r="AB6147" s="500"/>
      <c r="AC6147" s="500"/>
      <c r="AD6147" s="500"/>
      <c r="AE6147" s="500"/>
      <c r="AF6147" s="500"/>
      <c r="AG6147" s="500"/>
      <c r="AH6147" s="500"/>
      <c r="AI6147" s="500"/>
      <c r="AJ6147" s="500"/>
      <c r="AK6147" s="500"/>
      <c r="AL6147" s="500"/>
      <c r="AM6147" s="500"/>
      <c r="AN6147" s="500"/>
      <c r="AO6147" s="500"/>
      <c r="AP6147" s="500"/>
    </row>
    <row r="6148" spans="1:42" ht="16.5" customHeight="1">
      <c r="A6148" s="439"/>
      <c r="B6148" s="439"/>
      <c r="C6148" s="439"/>
      <c r="D6148" s="439"/>
      <c r="E6148" s="439"/>
      <c r="F6148" s="439"/>
      <c r="Z6148" s="500"/>
      <c r="AA6148" s="500"/>
      <c r="AB6148" s="500"/>
      <c r="AC6148" s="500"/>
      <c r="AD6148" s="500"/>
      <c r="AE6148" s="500"/>
      <c r="AF6148" s="500"/>
      <c r="AG6148" s="500"/>
      <c r="AH6148" s="500"/>
      <c r="AI6148" s="500"/>
      <c r="AJ6148" s="500"/>
      <c r="AK6148" s="500"/>
      <c r="AL6148" s="500"/>
      <c r="AM6148" s="500"/>
      <c r="AN6148" s="500"/>
      <c r="AO6148" s="500"/>
      <c r="AP6148" s="500"/>
    </row>
    <row r="6149" spans="1:42" ht="16.5" customHeight="1">
      <c r="A6149" s="439"/>
      <c r="B6149" s="439"/>
      <c r="C6149" s="439"/>
      <c r="D6149" s="439"/>
      <c r="E6149" s="439"/>
      <c r="F6149" s="439"/>
      <c r="Z6149" s="500"/>
      <c r="AA6149" s="500"/>
      <c r="AB6149" s="500"/>
      <c r="AC6149" s="500"/>
      <c r="AD6149" s="500"/>
      <c r="AE6149" s="500"/>
      <c r="AF6149" s="500"/>
      <c r="AG6149" s="500"/>
      <c r="AH6149" s="500"/>
      <c r="AI6149" s="500"/>
      <c r="AJ6149" s="500"/>
      <c r="AK6149" s="500"/>
      <c r="AL6149" s="500"/>
      <c r="AM6149" s="500"/>
      <c r="AN6149" s="500"/>
      <c r="AO6149" s="500"/>
      <c r="AP6149" s="500"/>
    </row>
    <row r="6150" spans="1:42" ht="16.5" customHeight="1">
      <c r="A6150" s="439"/>
      <c r="B6150" s="439"/>
      <c r="C6150" s="439"/>
      <c r="D6150" s="439"/>
      <c r="E6150" s="439"/>
      <c r="F6150" s="439"/>
      <c r="Z6150" s="500"/>
      <c r="AA6150" s="500"/>
      <c r="AB6150" s="500"/>
      <c r="AC6150" s="500"/>
      <c r="AD6150" s="500"/>
      <c r="AE6150" s="500"/>
      <c r="AF6150" s="500"/>
      <c r="AG6150" s="500"/>
      <c r="AH6150" s="500"/>
      <c r="AI6150" s="500"/>
      <c r="AJ6150" s="500"/>
      <c r="AK6150" s="500"/>
      <c r="AL6150" s="500"/>
      <c r="AM6150" s="500"/>
      <c r="AN6150" s="500"/>
      <c r="AO6150" s="500"/>
      <c r="AP6150" s="500"/>
    </row>
    <row r="6151" spans="1:42" ht="16.5" customHeight="1">
      <c r="A6151" s="439"/>
      <c r="B6151" s="439"/>
      <c r="C6151" s="439"/>
      <c r="D6151" s="439"/>
      <c r="E6151" s="439"/>
      <c r="F6151" s="439"/>
      <c r="Z6151" s="500"/>
      <c r="AA6151" s="500"/>
      <c r="AB6151" s="500"/>
      <c r="AC6151" s="500"/>
      <c r="AD6151" s="500"/>
      <c r="AE6151" s="500"/>
      <c r="AF6151" s="500"/>
      <c r="AG6151" s="500"/>
      <c r="AH6151" s="500"/>
      <c r="AI6151" s="500"/>
      <c r="AJ6151" s="500"/>
      <c r="AK6151" s="500"/>
      <c r="AL6151" s="500"/>
      <c r="AM6151" s="500"/>
      <c r="AN6151" s="500"/>
      <c r="AO6151" s="500"/>
      <c r="AP6151" s="500"/>
    </row>
    <row r="6152" spans="1:42" ht="16.5" customHeight="1">
      <c r="A6152" s="439"/>
      <c r="B6152" s="439"/>
      <c r="C6152" s="439"/>
      <c r="D6152" s="439"/>
      <c r="E6152" s="439"/>
      <c r="F6152" s="439"/>
      <c r="Z6152" s="500"/>
      <c r="AA6152" s="500"/>
      <c r="AB6152" s="500"/>
      <c r="AC6152" s="500"/>
      <c r="AD6152" s="500"/>
      <c r="AE6152" s="500"/>
      <c r="AF6152" s="500"/>
      <c r="AG6152" s="500"/>
      <c r="AH6152" s="500"/>
      <c r="AI6152" s="500"/>
      <c r="AJ6152" s="500"/>
      <c r="AK6152" s="500"/>
      <c r="AL6152" s="500"/>
      <c r="AM6152" s="500"/>
      <c r="AN6152" s="500"/>
      <c r="AO6152" s="500"/>
      <c r="AP6152" s="500"/>
    </row>
    <row r="6153" spans="1:42" ht="16.5" customHeight="1">
      <c r="A6153" s="497"/>
      <c r="B6153" s="497"/>
      <c r="C6153" s="497"/>
      <c r="D6153" s="497"/>
      <c r="E6153" s="497"/>
      <c r="F6153" s="497"/>
      <c r="Z6153" s="500"/>
      <c r="AA6153" s="500"/>
      <c r="AB6153" s="500"/>
      <c r="AC6153" s="500"/>
      <c r="AD6153" s="500"/>
      <c r="AE6153" s="500"/>
      <c r="AF6153" s="500"/>
      <c r="AG6153" s="500"/>
      <c r="AH6153" s="500"/>
      <c r="AI6153" s="500"/>
      <c r="AJ6153" s="500"/>
      <c r="AK6153" s="500"/>
      <c r="AL6153" s="500"/>
      <c r="AM6153" s="500"/>
      <c r="AN6153" s="500"/>
      <c r="AO6153" s="500"/>
      <c r="AP6153" s="500"/>
    </row>
    <row r="6154" spans="1:42" ht="16.5" customHeight="1">
      <c r="A6154" s="616" t="s">
        <v>3487</v>
      </c>
      <c r="B6154" s="605"/>
      <c r="C6154" s="446">
        <f>E6154+D6154+F6154</f>
        <v>103999</v>
      </c>
      <c r="D6154" s="453">
        <f>ROUNDDOWN(SUMIF(N6107:N6142,M6154,D6107:D6142),0)</f>
        <v>0</v>
      </c>
      <c r="E6154" s="454">
        <f>ROUNDDOWN(SUMIF(N6107:N6142,M6154,E6107:E6142),0)</f>
        <v>0</v>
      </c>
      <c r="F6154" s="446">
        <f>ROUNDDOWN(SUMIF(N6107:N6142,M6154,F6107:F6142),0)</f>
        <v>103999</v>
      </c>
      <c r="M6154" s="501" t="s">
        <v>2354</v>
      </c>
      <c r="Z6154" s="500"/>
      <c r="AA6154" s="500"/>
      <c r="AB6154" s="500"/>
      <c r="AC6154" s="500"/>
      <c r="AD6154" s="500"/>
      <c r="AE6154" s="500"/>
      <c r="AF6154" s="500"/>
      <c r="AG6154" s="500"/>
      <c r="AH6154" s="500"/>
      <c r="AI6154" s="500"/>
      <c r="AJ6154" s="500"/>
      <c r="AK6154" s="500"/>
      <c r="AL6154" s="500"/>
      <c r="AM6154" s="500"/>
      <c r="AN6154" s="500"/>
      <c r="AO6154" s="500"/>
      <c r="AP6154" s="500"/>
    </row>
    <row r="6155" spans="1:42" ht="16.5" customHeight="1">
      <c r="A6155" s="502"/>
      <c r="B6155" s="503" t="s">
        <v>2137</v>
      </c>
      <c r="C6155" s="615">
        <f>C6204</f>
        <v>140722</v>
      </c>
      <c r="D6155" s="615">
        <f>D6204</f>
        <v>0</v>
      </c>
      <c r="E6155" s="615">
        <f>E6204</f>
        <v>0</v>
      </c>
      <c r="F6155" s="615">
        <f>F6204</f>
        <v>140722</v>
      </c>
      <c r="G6155" s="486" t="str">
        <f>HYPERLINK("#G"&amp;ROW(G6192),"_x0005_`BDCOD|D01180_x0007_`POSS|"&amp;ROW(G6157)&amp;"_x0007_`POSE|"&amp;ROW(G6192)&amp;"_x0007_`")</f>
        <v>_x0005_`BDCOD|D01180_x0007_`POSS|6157_x0007_`POSE|6192_x0007_`</v>
      </c>
      <c r="Z6155" s="500"/>
      <c r="AA6155" s="500"/>
      <c r="AB6155" s="500"/>
      <c r="AC6155" s="500"/>
      <c r="AD6155" s="500"/>
      <c r="AE6155" s="500"/>
      <c r="AF6155" s="500"/>
      <c r="AG6155" s="500"/>
      <c r="AH6155" s="500"/>
      <c r="AI6155" s="500"/>
      <c r="AJ6155" s="500"/>
      <c r="AK6155" s="500"/>
      <c r="AL6155" s="500"/>
      <c r="AM6155" s="500"/>
      <c r="AN6155" s="500"/>
      <c r="AO6155" s="500"/>
      <c r="AP6155" s="500"/>
    </row>
    <row r="6156" spans="1:42" ht="16.5" customHeight="1">
      <c r="A6156" s="485"/>
      <c r="B6156" s="503" t="s">
        <v>4041</v>
      </c>
      <c r="C6156" s="593"/>
      <c r="D6156" s="593"/>
      <c r="E6156" s="593"/>
      <c r="F6156" s="593"/>
      <c r="M6156" s="501" t="s">
        <v>2137</v>
      </c>
      <c r="Z6156" s="500"/>
      <c r="AA6156" s="500"/>
      <c r="AB6156" s="500"/>
      <c r="AC6156" s="500"/>
      <c r="AD6156" s="500"/>
      <c r="AE6156" s="500"/>
      <c r="AF6156" s="500"/>
      <c r="AG6156" s="500"/>
      <c r="AH6156" s="500"/>
      <c r="AI6156" s="500"/>
      <c r="AJ6156" s="500"/>
      <c r="AK6156" s="500"/>
      <c r="AL6156" s="500"/>
      <c r="AM6156" s="500"/>
      <c r="AN6156" s="500"/>
      <c r="AO6156" s="500"/>
      <c r="AP6156" s="500"/>
    </row>
    <row r="6157" spans="1:42" ht="16.5" customHeight="1">
      <c r="A6157" s="434"/>
      <c r="B6157" s="437" t="s">
        <v>3980</v>
      </c>
      <c r="C6157" s="504"/>
      <c r="D6157" s="504"/>
      <c r="E6157" s="504"/>
      <c r="F6157" s="504"/>
      <c r="G6157" s="451" t="s">
        <v>3981</v>
      </c>
      <c r="Z6157" s="500"/>
      <c r="AA6157" s="500"/>
      <c r="AB6157" s="500"/>
      <c r="AC6157" s="500"/>
      <c r="AD6157" s="500"/>
      <c r="AE6157" s="500"/>
      <c r="AF6157" s="500"/>
      <c r="AG6157" s="500"/>
      <c r="AH6157" s="500"/>
      <c r="AI6157" s="500"/>
      <c r="AJ6157" s="500"/>
      <c r="AK6157" s="500"/>
      <c r="AL6157" s="500"/>
      <c r="AM6157" s="500"/>
      <c r="AN6157" s="500"/>
      <c r="AO6157" s="500"/>
      <c r="AP6157" s="500"/>
    </row>
    <row r="6158" spans="1:42" ht="16.5" customHeight="1">
      <c r="A6158" s="439"/>
      <c r="B6158" s="439"/>
      <c r="C6158" s="439"/>
      <c r="D6158" s="439"/>
      <c r="E6158" s="439"/>
      <c r="F6158" s="439"/>
      <c r="G6158" s="451" t="s">
        <v>3406</v>
      </c>
      <c r="Z6158" s="500"/>
      <c r="AA6158" s="500"/>
      <c r="AB6158" s="500"/>
      <c r="AC6158" s="500"/>
      <c r="AD6158" s="500"/>
      <c r="AE6158" s="500"/>
      <c r="AF6158" s="500"/>
      <c r="AG6158" s="500"/>
      <c r="AH6158" s="500"/>
      <c r="AI6158" s="500"/>
      <c r="AJ6158" s="500"/>
      <c r="AK6158" s="500"/>
      <c r="AL6158" s="500"/>
      <c r="AM6158" s="500"/>
      <c r="AN6158" s="500"/>
      <c r="AO6158" s="500"/>
      <c r="AP6158" s="500"/>
    </row>
    <row r="6159" spans="1:42" ht="16.5" customHeight="1">
      <c r="A6159" s="434"/>
      <c r="B6159" s="437" t="s">
        <v>4042</v>
      </c>
      <c r="C6159" s="439"/>
      <c r="D6159" s="439"/>
      <c r="E6159" s="439"/>
      <c r="F6159" s="439"/>
      <c r="G6159" s="451" t="s">
        <v>4043</v>
      </c>
      <c r="Z6159" s="500"/>
      <c r="AA6159" s="500"/>
      <c r="AB6159" s="500"/>
      <c r="AC6159" s="500"/>
      <c r="AD6159" s="500"/>
      <c r="AE6159" s="500"/>
      <c r="AF6159" s="500"/>
      <c r="AG6159" s="500"/>
      <c r="AH6159" s="500"/>
      <c r="AI6159" s="500"/>
      <c r="AJ6159" s="500"/>
      <c r="AK6159" s="500"/>
      <c r="AL6159" s="500"/>
      <c r="AM6159" s="500"/>
      <c r="AN6159" s="500"/>
      <c r="AO6159" s="500"/>
      <c r="AP6159" s="500"/>
    </row>
    <row r="6160" spans="1:42" ht="16.5" customHeight="1">
      <c r="A6160" s="439"/>
      <c r="B6160" s="439"/>
      <c r="C6160" s="439"/>
      <c r="D6160" s="439"/>
      <c r="E6160" s="439"/>
      <c r="F6160" s="439"/>
      <c r="G6160" s="451" t="s">
        <v>3406</v>
      </c>
      <c r="Z6160" s="500"/>
      <c r="AA6160" s="500"/>
      <c r="AB6160" s="500"/>
      <c r="AC6160" s="500"/>
      <c r="AD6160" s="500"/>
      <c r="AE6160" s="500"/>
      <c r="AF6160" s="500"/>
      <c r="AG6160" s="500"/>
      <c r="AH6160" s="500"/>
      <c r="AI6160" s="500"/>
      <c r="AJ6160" s="500"/>
      <c r="AK6160" s="500"/>
      <c r="AL6160" s="500"/>
      <c r="AM6160" s="500"/>
      <c r="AN6160" s="500"/>
      <c r="AO6160" s="500"/>
      <c r="AP6160" s="500"/>
    </row>
    <row r="6161" spans="1:42" ht="16.5" customHeight="1">
      <c r="A6161" s="439"/>
      <c r="B6161" s="439"/>
      <c r="C6161" s="439"/>
      <c r="D6161" s="439"/>
      <c r="E6161" s="439"/>
      <c r="F6161" s="439"/>
      <c r="G6161" s="451" t="s">
        <v>3406</v>
      </c>
      <c r="Z6161" s="500"/>
      <c r="AA6161" s="500"/>
      <c r="AB6161" s="500"/>
      <c r="AC6161" s="500"/>
      <c r="AD6161" s="500"/>
      <c r="AE6161" s="500"/>
      <c r="AF6161" s="500"/>
      <c r="AG6161" s="500"/>
      <c r="AH6161" s="500"/>
      <c r="AI6161" s="500"/>
      <c r="AJ6161" s="500"/>
      <c r="AK6161" s="500"/>
      <c r="AL6161" s="500"/>
      <c r="AM6161" s="500"/>
      <c r="AN6161" s="500"/>
      <c r="AO6161" s="500"/>
      <c r="AP6161" s="500"/>
    </row>
    <row r="6162" spans="1:42" ht="16.5" customHeight="1">
      <c r="A6162" s="434"/>
      <c r="B6162" s="437" t="s">
        <v>3984</v>
      </c>
      <c r="C6162" s="439"/>
      <c r="D6162" s="439"/>
      <c r="E6162" s="439"/>
      <c r="F6162" s="439"/>
      <c r="G6162" s="451" t="s">
        <v>3985</v>
      </c>
      <c r="Z6162" s="500"/>
      <c r="AA6162" s="500"/>
      <c r="AB6162" s="500"/>
      <c r="AC6162" s="500"/>
      <c r="AD6162" s="500"/>
      <c r="AE6162" s="500"/>
      <c r="AF6162" s="500"/>
      <c r="AG6162" s="500"/>
      <c r="AH6162" s="500"/>
      <c r="AI6162" s="500"/>
      <c r="AJ6162" s="500"/>
      <c r="AK6162" s="500"/>
      <c r="AL6162" s="500"/>
      <c r="AM6162" s="500"/>
      <c r="AN6162" s="500"/>
      <c r="AO6162" s="500"/>
      <c r="AP6162" s="500"/>
    </row>
    <row r="6163" spans="1:42" ht="16.5" customHeight="1">
      <c r="A6163" s="439"/>
      <c r="B6163" s="439"/>
      <c r="C6163" s="439"/>
      <c r="D6163" s="439"/>
      <c r="E6163" s="439"/>
      <c r="F6163" s="439"/>
      <c r="G6163" s="451" t="s">
        <v>3406</v>
      </c>
      <c r="Z6163" s="500"/>
      <c r="AA6163" s="500"/>
      <c r="AB6163" s="500"/>
      <c r="AC6163" s="500"/>
      <c r="AD6163" s="500"/>
      <c r="AE6163" s="500"/>
      <c r="AF6163" s="500"/>
      <c r="AG6163" s="500"/>
      <c r="AH6163" s="500"/>
      <c r="AI6163" s="500"/>
      <c r="AJ6163" s="500"/>
      <c r="AK6163" s="500"/>
      <c r="AL6163" s="500"/>
      <c r="AM6163" s="500"/>
      <c r="AN6163" s="500"/>
      <c r="AO6163" s="500"/>
      <c r="AP6163" s="500"/>
    </row>
    <row r="6164" spans="1:42" ht="16.5" customHeight="1">
      <c r="A6164" s="439"/>
      <c r="B6164" s="439"/>
      <c r="C6164" s="439"/>
      <c r="D6164" s="439"/>
      <c r="E6164" s="439"/>
      <c r="F6164" s="439"/>
      <c r="G6164" s="451" t="s">
        <v>3406</v>
      </c>
      <c r="Z6164" s="500"/>
      <c r="AA6164" s="500"/>
      <c r="AB6164" s="500"/>
      <c r="AC6164" s="500"/>
      <c r="AD6164" s="500"/>
      <c r="AE6164" s="500"/>
      <c r="AF6164" s="500"/>
      <c r="AG6164" s="500"/>
      <c r="AH6164" s="500"/>
      <c r="AI6164" s="500"/>
      <c r="AJ6164" s="500"/>
      <c r="AK6164" s="500"/>
      <c r="AL6164" s="500"/>
      <c r="AM6164" s="500"/>
      <c r="AN6164" s="500"/>
      <c r="AO6164" s="500"/>
      <c r="AP6164" s="500"/>
    </row>
    <row r="6165" spans="1:42" ht="16.5" customHeight="1">
      <c r="A6165" s="434"/>
      <c r="B6165" s="437" t="s">
        <v>3986</v>
      </c>
      <c r="C6165" s="439"/>
      <c r="D6165" s="439"/>
      <c r="E6165" s="439"/>
      <c r="F6165" s="439"/>
      <c r="G6165" s="451" t="s">
        <v>3987</v>
      </c>
      <c r="Z6165" s="500"/>
      <c r="AA6165" s="500"/>
      <c r="AB6165" s="500"/>
      <c r="AC6165" s="500"/>
      <c r="AD6165" s="500"/>
      <c r="AE6165" s="500"/>
      <c r="AF6165" s="500"/>
      <c r="AG6165" s="500"/>
      <c r="AH6165" s="500"/>
      <c r="AI6165" s="500"/>
      <c r="AJ6165" s="500"/>
      <c r="AK6165" s="500"/>
      <c r="AL6165" s="500"/>
      <c r="AM6165" s="500"/>
      <c r="AN6165" s="500"/>
      <c r="AO6165" s="500"/>
      <c r="AP6165" s="500"/>
    </row>
    <row r="6166" spans="1:42" ht="16.5" customHeight="1">
      <c r="A6166" s="439"/>
      <c r="B6166" s="439"/>
      <c r="C6166" s="439"/>
      <c r="D6166" s="439"/>
      <c r="E6166" s="439"/>
      <c r="F6166" s="439"/>
      <c r="G6166" s="451" t="s">
        <v>3406</v>
      </c>
      <c r="Z6166" s="500"/>
      <c r="AA6166" s="500"/>
      <c r="AB6166" s="500"/>
      <c r="AC6166" s="500"/>
      <c r="AD6166" s="500"/>
      <c r="AE6166" s="500"/>
      <c r="AF6166" s="500"/>
      <c r="AG6166" s="500"/>
      <c r="AH6166" s="500"/>
      <c r="AI6166" s="500"/>
      <c r="AJ6166" s="500"/>
      <c r="AK6166" s="500"/>
      <c r="AL6166" s="500"/>
      <c r="AM6166" s="500"/>
      <c r="AN6166" s="500"/>
      <c r="AO6166" s="500"/>
      <c r="AP6166" s="500"/>
    </row>
    <row r="6167" spans="1:42" ht="16.5" customHeight="1">
      <c r="A6167" s="439"/>
      <c r="B6167" s="439"/>
      <c r="C6167" s="439"/>
      <c r="D6167" s="439"/>
      <c r="E6167" s="439"/>
      <c r="F6167" s="439"/>
      <c r="G6167" s="451" t="s">
        <v>3406</v>
      </c>
      <c r="Z6167" s="500"/>
      <c r="AA6167" s="500"/>
      <c r="AB6167" s="500"/>
      <c r="AC6167" s="500"/>
      <c r="AD6167" s="500"/>
      <c r="AE6167" s="500"/>
      <c r="AF6167" s="500"/>
      <c r="AG6167" s="500"/>
      <c r="AH6167" s="500"/>
      <c r="AI6167" s="500"/>
      <c r="AJ6167" s="500"/>
      <c r="AK6167" s="500"/>
      <c r="AL6167" s="500"/>
      <c r="AM6167" s="500"/>
      <c r="AN6167" s="500"/>
      <c r="AO6167" s="500"/>
      <c r="AP6167" s="500"/>
    </row>
    <row r="6168" spans="1:42" ht="16.5" customHeight="1">
      <c r="A6168" s="434"/>
      <c r="B6168" s="437" t="str">
        <f>" L = "&amp;Z6168&amp;" , V = "&amp;AD6168&amp;" , t = "&amp;AH6168&amp;"  , T = "&amp;AL6168&amp;"-"&amp;AN6168&amp;""</f>
        <v xml:space="preserve"> L = 150 , V = 2500 , t = 2  , T = 480-30</v>
      </c>
      <c r="C6168" s="439"/>
      <c r="D6168" s="439"/>
      <c r="E6168" s="439"/>
      <c r="F6168" s="439"/>
      <c r="G6168" s="451" t="s">
        <v>4044</v>
      </c>
      <c r="Z6168" s="515">
        <v>150</v>
      </c>
      <c r="AA6168" s="501" t="s">
        <v>3418</v>
      </c>
      <c r="AB6168" s="512">
        <f>Z6168</f>
        <v>150</v>
      </c>
      <c r="AC6168" s="514" t="s">
        <v>3427</v>
      </c>
      <c r="AD6168" s="515">
        <v>2500</v>
      </c>
      <c r="AE6168" s="501" t="s">
        <v>3418</v>
      </c>
      <c r="AF6168" s="512">
        <f>AD6168</f>
        <v>2500</v>
      </c>
      <c r="AG6168" s="514" t="s">
        <v>3427</v>
      </c>
      <c r="AH6168" s="515">
        <v>2</v>
      </c>
      <c r="AI6168" s="501" t="s">
        <v>3418</v>
      </c>
      <c r="AJ6168" s="512">
        <f>AH6168</f>
        <v>2</v>
      </c>
      <c r="AK6168" s="514" t="s">
        <v>3427</v>
      </c>
      <c r="AL6168" s="515">
        <v>480</v>
      </c>
      <c r="AM6168" s="501" t="s">
        <v>3474</v>
      </c>
      <c r="AN6168" s="515">
        <v>30</v>
      </c>
      <c r="AO6168" s="501" t="s">
        <v>3418</v>
      </c>
      <c r="AP6168" s="512">
        <f>AL6168-AN6168</f>
        <v>450</v>
      </c>
    </row>
    <row r="6169" spans="1:42" ht="16.5" customHeight="1">
      <c r="A6169" s="439"/>
      <c r="B6169" s="439"/>
      <c r="C6169" s="439"/>
      <c r="D6169" s="439"/>
      <c r="E6169" s="439"/>
      <c r="F6169" s="439"/>
      <c r="G6169" s="451" t="s">
        <v>3406</v>
      </c>
      <c r="Z6169" s="500"/>
      <c r="AA6169" s="500"/>
      <c r="AB6169" s="500"/>
      <c r="AC6169" s="500"/>
      <c r="AD6169" s="500"/>
      <c r="AE6169" s="500"/>
      <c r="AF6169" s="500"/>
      <c r="AG6169" s="500"/>
      <c r="AH6169" s="500"/>
      <c r="AI6169" s="500"/>
      <c r="AJ6169" s="500"/>
      <c r="AK6169" s="500"/>
      <c r="AL6169" s="500"/>
      <c r="AM6169" s="500"/>
      <c r="AN6169" s="500"/>
      <c r="AO6169" s="500"/>
      <c r="AP6169" s="500"/>
    </row>
    <row r="6170" spans="1:42" ht="16.5" customHeight="1">
      <c r="A6170" s="439"/>
      <c r="B6170" s="439"/>
      <c r="C6170" s="439"/>
      <c r="D6170" s="439"/>
      <c r="E6170" s="439"/>
      <c r="F6170" s="439"/>
      <c r="G6170" s="451" t="s">
        <v>3406</v>
      </c>
      <c r="Z6170" s="500"/>
      <c r="AA6170" s="500"/>
      <c r="AB6170" s="500"/>
      <c r="AC6170" s="500"/>
      <c r="AD6170" s="500"/>
      <c r="AE6170" s="500"/>
      <c r="AF6170" s="500"/>
      <c r="AG6170" s="500"/>
      <c r="AH6170" s="500"/>
      <c r="AI6170" s="500"/>
      <c r="AJ6170" s="500"/>
      <c r="AK6170" s="500"/>
      <c r="AL6170" s="500"/>
      <c r="AM6170" s="500"/>
      <c r="AN6170" s="500"/>
      <c r="AO6170" s="500"/>
      <c r="AP6170" s="500"/>
    </row>
    <row r="6171" spans="1:42" ht="16.5" customHeight="1">
      <c r="A6171" s="439"/>
      <c r="B6171" s="439"/>
      <c r="C6171" s="439"/>
      <c r="D6171" s="439"/>
      <c r="E6171" s="439"/>
      <c r="F6171" s="439"/>
      <c r="G6171" s="451" t="s">
        <v>3406</v>
      </c>
      <c r="Z6171" s="500"/>
      <c r="AA6171" s="500"/>
      <c r="AB6171" s="500"/>
      <c r="AC6171" s="500"/>
      <c r="AD6171" s="500"/>
      <c r="AE6171" s="500"/>
      <c r="AF6171" s="500"/>
      <c r="AG6171" s="500"/>
      <c r="AH6171" s="500"/>
      <c r="AI6171" s="500"/>
      <c r="AJ6171" s="500"/>
      <c r="AK6171" s="500"/>
      <c r="AL6171" s="500"/>
      <c r="AM6171" s="500"/>
      <c r="AN6171" s="500"/>
      <c r="AO6171" s="500"/>
      <c r="AP6171" s="500"/>
    </row>
    <row r="6172" spans="1:42" ht="16.5" customHeight="1">
      <c r="A6172" s="434"/>
      <c r="B6172" s="437" t="str">
        <f>" N = V*T /( "&amp;AD6172&amp;"*L+V*"&amp;AJ6172&amp;" ) = "&amp;AM6172&amp;" 회/일 "</f>
        <v xml:space="preserve"> N = V*T /( 120*L+V*2 ) = 48.91 회/일 </v>
      </c>
      <c r="C6172" s="439"/>
      <c r="D6172" s="439"/>
      <c r="E6172" s="439"/>
      <c r="F6172" s="439"/>
      <c r="G6172" s="451" t="s">
        <v>3989</v>
      </c>
      <c r="Z6172" s="512">
        <f>AF6168</f>
        <v>2500</v>
      </c>
      <c r="AA6172" s="501" t="s">
        <v>3368</v>
      </c>
      <c r="AB6172" s="512">
        <f>AP6168</f>
        <v>450</v>
      </c>
      <c r="AC6172" s="501" t="s">
        <v>3463</v>
      </c>
      <c r="AD6172" s="515">
        <v>120</v>
      </c>
      <c r="AE6172" s="501" t="s">
        <v>3368</v>
      </c>
      <c r="AF6172" s="512">
        <f>AB6168</f>
        <v>150</v>
      </c>
      <c r="AG6172" s="501" t="s">
        <v>3468</v>
      </c>
      <c r="AH6172" s="512">
        <f>AF6168</f>
        <v>2500</v>
      </c>
      <c r="AI6172" s="501" t="s">
        <v>3368</v>
      </c>
      <c r="AJ6172" s="515">
        <v>2</v>
      </c>
      <c r="AK6172" s="501" t="s">
        <v>3464</v>
      </c>
      <c r="AL6172" s="501" t="s">
        <v>3418</v>
      </c>
      <c r="AM6172" s="512" t="str">
        <f>TEXT(ROUND(AF6168*AP6168/(AD6172*AB6168+AF6168*AJ6172),2),"#,0.00")</f>
        <v>48.91</v>
      </c>
      <c r="AN6172" s="500"/>
      <c r="AO6172" s="500"/>
      <c r="AP6172" s="500"/>
    </row>
    <row r="6173" spans="1:42" ht="16.5" customHeight="1">
      <c r="A6173" s="439"/>
      <c r="B6173" s="439"/>
      <c r="C6173" s="439"/>
      <c r="D6173" s="439"/>
      <c r="E6173" s="439"/>
      <c r="F6173" s="439"/>
      <c r="G6173" s="451" t="s">
        <v>3406</v>
      </c>
      <c r="Z6173" s="500"/>
      <c r="AA6173" s="500"/>
      <c r="AB6173" s="500"/>
      <c r="AC6173" s="500"/>
      <c r="AD6173" s="500"/>
      <c r="AE6173" s="500"/>
      <c r="AF6173" s="500"/>
      <c r="AG6173" s="500"/>
      <c r="AH6173" s="500"/>
      <c r="AI6173" s="500"/>
      <c r="AJ6173" s="500"/>
      <c r="AK6173" s="500"/>
      <c r="AL6173" s="500"/>
      <c r="AM6173" s="500"/>
      <c r="AN6173" s="500"/>
      <c r="AO6173" s="500"/>
      <c r="AP6173" s="500"/>
    </row>
    <row r="6174" spans="1:42" ht="16.5" customHeight="1">
      <c r="A6174" s="439"/>
      <c r="B6174" s="439"/>
      <c r="C6174" s="439"/>
      <c r="D6174" s="439"/>
      <c r="E6174" s="439"/>
      <c r="F6174" s="439"/>
      <c r="G6174" s="451" t="s">
        <v>3406</v>
      </c>
      <c r="Z6174" s="500"/>
      <c r="AA6174" s="500"/>
      <c r="AB6174" s="500"/>
      <c r="AC6174" s="500"/>
      <c r="AD6174" s="500"/>
      <c r="AE6174" s="500"/>
      <c r="AF6174" s="500"/>
      <c r="AG6174" s="500"/>
      <c r="AH6174" s="500"/>
      <c r="AI6174" s="500"/>
      <c r="AJ6174" s="500"/>
      <c r="AK6174" s="500"/>
      <c r="AL6174" s="500"/>
      <c r="AM6174" s="500"/>
      <c r="AN6174" s="500"/>
      <c r="AO6174" s="500"/>
      <c r="AP6174" s="500"/>
    </row>
    <row r="6175" spans="1:42" ht="16.5" customHeight="1">
      <c r="A6175" s="439"/>
      <c r="B6175" s="439"/>
      <c r="C6175" s="439"/>
      <c r="D6175" s="439"/>
      <c r="E6175" s="439"/>
      <c r="F6175" s="439"/>
      <c r="G6175" s="451" t="s">
        <v>3406</v>
      </c>
      <c r="Z6175" s="500"/>
      <c r="AA6175" s="500"/>
      <c r="AB6175" s="500"/>
      <c r="AC6175" s="500"/>
      <c r="AD6175" s="500"/>
      <c r="AE6175" s="500"/>
      <c r="AF6175" s="500"/>
      <c r="AG6175" s="500"/>
      <c r="AH6175" s="500"/>
      <c r="AI6175" s="500"/>
      <c r="AJ6175" s="500"/>
      <c r="AK6175" s="500"/>
      <c r="AL6175" s="500"/>
      <c r="AM6175" s="500"/>
      <c r="AN6175" s="500"/>
      <c r="AO6175" s="500"/>
      <c r="AP6175" s="500"/>
    </row>
    <row r="6176" spans="1:42" ht="16.5" customHeight="1">
      <c r="A6176" s="434"/>
      <c r="B6176" s="437" t="str">
        <f>" Q = N*"&amp;AB6176&amp;" ㎏ = "&amp;AD6176&amp;"  kg/일 "</f>
        <v xml:space="preserve"> Q = N*25 ㎏ = 1,222.75  kg/일 </v>
      </c>
      <c r="C6176" s="439"/>
      <c r="D6176" s="439"/>
      <c r="E6176" s="439"/>
      <c r="F6176" s="439"/>
      <c r="G6176" s="451" t="s">
        <v>3990</v>
      </c>
      <c r="Z6176" s="512" t="str">
        <f>AM6172</f>
        <v>48.91</v>
      </c>
      <c r="AA6176" s="501" t="s">
        <v>3368</v>
      </c>
      <c r="AB6176" s="515">
        <v>25</v>
      </c>
      <c r="AC6176" s="501" t="s">
        <v>3418</v>
      </c>
      <c r="AD6176" s="512" t="str">
        <f>TEXT(ROUND(AM6172*AB6176,2),"#,0.00")</f>
        <v>1,222.75</v>
      </c>
      <c r="AE6176" s="500"/>
      <c r="AF6176" s="500"/>
      <c r="AG6176" s="500"/>
      <c r="AH6176" s="500"/>
      <c r="AI6176" s="500"/>
      <c r="AJ6176" s="500"/>
      <c r="AK6176" s="500"/>
      <c r="AL6176" s="500"/>
      <c r="AM6176" s="500"/>
      <c r="AN6176" s="500"/>
      <c r="AO6176" s="500"/>
      <c r="AP6176" s="500"/>
    </row>
    <row r="6177" spans="1:42" ht="16.5" customHeight="1">
      <c r="A6177" s="439"/>
      <c r="B6177" s="439"/>
      <c r="C6177" s="439"/>
      <c r="D6177" s="439"/>
      <c r="E6177" s="439"/>
      <c r="F6177" s="439"/>
      <c r="G6177" s="451" t="s">
        <v>3406</v>
      </c>
      <c r="Z6177" s="500"/>
      <c r="AA6177" s="500"/>
      <c r="AB6177" s="500"/>
      <c r="AC6177" s="500"/>
      <c r="AD6177" s="500"/>
      <c r="AE6177" s="500"/>
      <c r="AF6177" s="500"/>
      <c r="AG6177" s="500"/>
      <c r="AH6177" s="500"/>
      <c r="AI6177" s="500"/>
      <c r="AJ6177" s="500"/>
      <c r="AK6177" s="500"/>
      <c r="AL6177" s="500"/>
      <c r="AM6177" s="500"/>
      <c r="AN6177" s="500"/>
      <c r="AO6177" s="500"/>
      <c r="AP6177" s="500"/>
    </row>
    <row r="6178" spans="1:42" ht="16.5" customHeight="1">
      <c r="A6178" s="439"/>
      <c r="B6178" s="439"/>
      <c r="C6178" s="439"/>
      <c r="D6178" s="439"/>
      <c r="E6178" s="439"/>
      <c r="F6178" s="439"/>
      <c r="G6178" s="451" t="s">
        <v>3406</v>
      </c>
      <c r="Z6178" s="500"/>
      <c r="AA6178" s="500"/>
      <c r="AB6178" s="500"/>
      <c r="AC6178" s="500"/>
      <c r="AD6178" s="500"/>
      <c r="AE6178" s="500"/>
      <c r="AF6178" s="500"/>
      <c r="AG6178" s="500"/>
      <c r="AH6178" s="500"/>
      <c r="AI6178" s="500"/>
      <c r="AJ6178" s="500"/>
      <c r="AK6178" s="500"/>
      <c r="AL6178" s="500"/>
      <c r="AM6178" s="500"/>
      <c r="AN6178" s="500"/>
      <c r="AO6178" s="500"/>
      <c r="AP6178" s="500"/>
    </row>
    <row r="6179" spans="1:42" ht="16.5" customHeight="1">
      <c r="A6179" s="439"/>
      <c r="B6179" s="439"/>
      <c r="C6179" s="439"/>
      <c r="D6179" s="439"/>
      <c r="E6179" s="439"/>
      <c r="F6179" s="439"/>
      <c r="G6179" s="451" t="s">
        <v>3406</v>
      </c>
      <c r="Z6179" s="500"/>
      <c r="AA6179" s="500"/>
      <c r="AB6179" s="500"/>
      <c r="AC6179" s="500"/>
      <c r="AD6179" s="500"/>
      <c r="AE6179" s="500"/>
      <c r="AF6179" s="500"/>
      <c r="AG6179" s="500"/>
      <c r="AH6179" s="500"/>
      <c r="AI6179" s="500"/>
      <c r="AJ6179" s="500"/>
      <c r="AK6179" s="500"/>
      <c r="AL6179" s="500"/>
      <c r="AM6179" s="500"/>
      <c r="AN6179" s="500"/>
      <c r="AO6179" s="500"/>
      <c r="AP6179" s="500"/>
    </row>
    <row r="6180" spans="1:42" ht="16.5" customHeight="1">
      <c r="A6180" s="434"/>
      <c r="B6180" s="437" t="str">
        <f>" k = "&amp;Z6180&amp;" kg /Q"</f>
        <v xml:space="preserve"> k = 1000 kg /Q</v>
      </c>
      <c r="C6180" s="439"/>
      <c r="D6180" s="439"/>
      <c r="E6180" s="439"/>
      <c r="F6180" s="439"/>
      <c r="G6180" s="451" t="s">
        <v>3991</v>
      </c>
      <c r="Z6180" s="515">
        <v>1000</v>
      </c>
      <c r="AA6180" s="501" t="s">
        <v>3428</v>
      </c>
      <c r="AB6180" s="512" t="str">
        <f>AD6176</f>
        <v>1,222.75</v>
      </c>
      <c r="AC6180" s="501" t="s">
        <v>3418</v>
      </c>
      <c r="AD6180" s="512">
        <f>ROUND(Z6180/AD6176,13)</f>
        <v>0.81782866489469996</v>
      </c>
      <c r="AE6180" s="500"/>
      <c r="AF6180" s="500"/>
      <c r="AG6180" s="500"/>
      <c r="AH6180" s="500"/>
      <c r="AI6180" s="500"/>
      <c r="AJ6180" s="500"/>
      <c r="AK6180" s="500"/>
      <c r="AL6180" s="500"/>
      <c r="AM6180" s="500"/>
      <c r="AN6180" s="500"/>
      <c r="AO6180" s="500"/>
      <c r="AP6180" s="500"/>
    </row>
    <row r="6181" spans="1:42" ht="16.5" customHeight="1">
      <c r="A6181" s="439"/>
      <c r="B6181" s="439"/>
      <c r="C6181" s="439"/>
      <c r="D6181" s="439"/>
      <c r="E6181" s="439"/>
      <c r="F6181" s="439"/>
      <c r="G6181" s="451" t="s">
        <v>3406</v>
      </c>
      <c r="Z6181" s="500"/>
      <c r="AA6181" s="500"/>
      <c r="AB6181" s="500"/>
      <c r="AC6181" s="500"/>
      <c r="AD6181" s="500"/>
      <c r="AE6181" s="500"/>
      <c r="AF6181" s="500"/>
      <c r="AG6181" s="500"/>
      <c r="AH6181" s="500"/>
      <c r="AI6181" s="500"/>
      <c r="AJ6181" s="500"/>
      <c r="AK6181" s="500"/>
      <c r="AL6181" s="500"/>
      <c r="AM6181" s="500"/>
      <c r="AN6181" s="500"/>
      <c r="AO6181" s="500"/>
      <c r="AP6181" s="500"/>
    </row>
    <row r="6182" spans="1:42" ht="16.5" customHeight="1">
      <c r="A6182" s="439"/>
      <c r="B6182" s="439"/>
      <c r="C6182" s="439"/>
      <c r="D6182" s="439"/>
      <c r="E6182" s="439"/>
      <c r="F6182" s="439"/>
      <c r="G6182" s="451" t="s">
        <v>3406</v>
      </c>
      <c r="Z6182" s="500"/>
      <c r="AA6182" s="500"/>
      <c r="AB6182" s="500"/>
      <c r="AC6182" s="500"/>
      <c r="AD6182" s="500"/>
      <c r="AE6182" s="500"/>
      <c r="AF6182" s="500"/>
      <c r="AG6182" s="500"/>
      <c r="AH6182" s="500"/>
      <c r="AI6182" s="500"/>
      <c r="AJ6182" s="500"/>
      <c r="AK6182" s="500"/>
      <c r="AL6182" s="500"/>
      <c r="AM6182" s="500"/>
      <c r="AN6182" s="500"/>
      <c r="AO6182" s="500"/>
      <c r="AP6182" s="500"/>
    </row>
    <row r="6183" spans="1:42" ht="16.5" customHeight="1">
      <c r="A6183" s="439"/>
      <c r="B6183" s="439"/>
      <c r="C6183" s="439"/>
      <c r="D6183" s="439"/>
      <c r="E6183" s="439"/>
      <c r="F6183" s="439"/>
      <c r="G6183" s="451" t="s">
        <v>3406</v>
      </c>
      <c r="Z6183" s="500"/>
      <c r="AA6183" s="500"/>
      <c r="AB6183" s="500"/>
      <c r="AC6183" s="500"/>
      <c r="AD6183" s="500"/>
      <c r="AE6183" s="500"/>
      <c r="AF6183" s="500"/>
      <c r="AG6183" s="500"/>
      <c r="AH6183" s="500"/>
      <c r="AI6183" s="500"/>
      <c r="AJ6183" s="500"/>
      <c r="AK6183" s="500"/>
      <c r="AL6183" s="500"/>
      <c r="AM6183" s="500"/>
      <c r="AN6183" s="500"/>
      <c r="AO6183" s="500"/>
      <c r="AP6183" s="500"/>
    </row>
    <row r="6184" spans="1:42" ht="16.5" customHeight="1">
      <c r="A6184" s="434" t="s">
        <v>3992</v>
      </c>
      <c r="B6184" s="505" t="str">
        <f>" 인    부: "&amp;TEXT(I6184,"#,##0"&amp;IF(I6184&lt;&gt;INT(I6184),".###",""))&amp;"*k = "&amp;TEXT(C6184,"#,##0.0")&amp;" 원 "</f>
        <v xml:space="preserve"> 인    부: 172,068*k = 140,722.1 원 </v>
      </c>
      <c r="C6184" s="506">
        <f>E6184+D6184+F6184</f>
        <v>140722.1</v>
      </c>
      <c r="D6184" s="506">
        <f>IF(H6184=0,0,ROUNDDOWN(J6184*H6184,1))</f>
        <v>140722.1</v>
      </c>
      <c r="E6184" s="506">
        <f>IF(H6184=0,0,ROUNDDOWN(K6184*H6184,1))</f>
        <v>0</v>
      </c>
      <c r="F6184" s="506">
        <f>IF(H6184=0,0,ROUNDDOWN(L6184*H6184,1))</f>
        <v>0</v>
      </c>
      <c r="G6184" s="451" t="s">
        <v>3993</v>
      </c>
      <c r="H6184" s="507">
        <f>ROUNDUP(AC6184,14-LEN(ABS(INT(AC6184))))</f>
        <v>0.81782866489469996</v>
      </c>
      <c r="I6184" s="508">
        <f>K6184+J6184+L6184</f>
        <v>172068</v>
      </c>
      <c r="J6184" s="509">
        <f>노무비목록표!E10</f>
        <v>172068</v>
      </c>
      <c r="M6184" s="501" t="s">
        <v>2363</v>
      </c>
      <c r="N6184" s="501" t="s">
        <v>3994</v>
      </c>
      <c r="X6184" s="510" t="str">
        <f>노무비목록표!B10&amp;" / "&amp;노무비목록표!C10</f>
        <v xml:space="preserve">보통인부 / </v>
      </c>
      <c r="Y6184" s="433" t="str">
        <f ca="1">HYPERLINK("#"&amp;노무비목록표!G2&amp;"!A"&amp;ROW(노무비목록표!A10),"L00017 →")</f>
        <v>L00017 →</v>
      </c>
      <c r="Z6184" s="501" t="s">
        <v>3500</v>
      </c>
      <c r="AA6184" s="512">
        <f>AD6180</f>
        <v>0.81782866489469996</v>
      </c>
      <c r="AB6184" s="501" t="s">
        <v>3418</v>
      </c>
      <c r="AC6184" s="512">
        <f>1*AD6180</f>
        <v>0.81782866489469996</v>
      </c>
      <c r="AD6184" s="500"/>
      <c r="AE6184" s="500"/>
      <c r="AF6184" s="500"/>
      <c r="AG6184" s="500"/>
      <c r="AH6184" s="500"/>
      <c r="AI6184" s="500"/>
      <c r="AJ6184" s="500"/>
      <c r="AK6184" s="500"/>
      <c r="AL6184" s="500"/>
      <c r="AM6184" s="500"/>
      <c r="AN6184" s="500"/>
      <c r="AO6184" s="500"/>
      <c r="AP6184" s="500"/>
    </row>
    <row r="6185" spans="1:42" ht="16.5" customHeight="1">
      <c r="A6185" s="439"/>
      <c r="B6185" s="439"/>
      <c r="C6185" s="439"/>
      <c r="D6185" s="439"/>
      <c r="E6185" s="439"/>
      <c r="F6185" s="439"/>
      <c r="G6185" s="451" t="s">
        <v>3406</v>
      </c>
      <c r="Z6185" s="500"/>
      <c r="AA6185" s="500"/>
      <c r="AB6185" s="500"/>
      <c r="AC6185" s="500"/>
      <c r="AD6185" s="500"/>
      <c r="AE6185" s="500"/>
      <c r="AF6185" s="500"/>
      <c r="AG6185" s="500"/>
      <c r="AH6185" s="500"/>
      <c r="AI6185" s="500"/>
      <c r="AJ6185" s="500"/>
      <c r="AK6185" s="500"/>
      <c r="AL6185" s="500"/>
      <c r="AM6185" s="500"/>
      <c r="AN6185" s="500"/>
      <c r="AO6185" s="500"/>
      <c r="AP6185" s="500"/>
    </row>
    <row r="6186" spans="1:42" ht="16.5" customHeight="1">
      <c r="A6186" s="439"/>
      <c r="B6186" s="439"/>
      <c r="C6186" s="439"/>
      <c r="D6186" s="439"/>
      <c r="E6186" s="439"/>
      <c r="F6186" s="439"/>
      <c r="G6186" s="451" t="s">
        <v>3406</v>
      </c>
      <c r="Z6186" s="500"/>
      <c r="AA6186" s="500"/>
      <c r="AB6186" s="500"/>
      <c r="AC6186" s="500"/>
      <c r="AD6186" s="500"/>
      <c r="AE6186" s="500"/>
      <c r="AF6186" s="500"/>
      <c r="AG6186" s="500"/>
      <c r="AH6186" s="500"/>
      <c r="AI6186" s="500"/>
      <c r="AJ6186" s="500"/>
      <c r="AK6186" s="500"/>
      <c r="AL6186" s="500"/>
      <c r="AM6186" s="500"/>
      <c r="AN6186" s="500"/>
      <c r="AO6186" s="500"/>
      <c r="AP6186" s="500"/>
    </row>
    <row r="6187" spans="1:42" ht="16.5" customHeight="1">
      <c r="A6187" s="439"/>
      <c r="B6187" s="439"/>
      <c r="C6187" s="439"/>
      <c r="D6187" s="439"/>
      <c r="E6187" s="439"/>
      <c r="F6187" s="439"/>
      <c r="G6187" s="451" t="s">
        <v>3406</v>
      </c>
      <c r="Z6187" s="500"/>
      <c r="AA6187" s="500"/>
      <c r="AB6187" s="500"/>
      <c r="AC6187" s="500"/>
      <c r="AD6187" s="500"/>
      <c r="AE6187" s="500"/>
      <c r="AF6187" s="500"/>
      <c r="AG6187" s="500"/>
      <c r="AH6187" s="500"/>
      <c r="AI6187" s="500"/>
      <c r="AJ6187" s="500"/>
      <c r="AK6187" s="500"/>
      <c r="AL6187" s="500"/>
      <c r="AM6187" s="500"/>
      <c r="AN6187" s="500"/>
      <c r="AO6187" s="500"/>
      <c r="AP6187" s="500"/>
    </row>
    <row r="6188" spans="1:42" ht="16.5" customHeight="1">
      <c r="A6188" s="439"/>
      <c r="B6188" s="439"/>
      <c r="C6188" s="439"/>
      <c r="D6188" s="439"/>
      <c r="E6188" s="439"/>
      <c r="F6188" s="439"/>
      <c r="G6188" s="451" t="s">
        <v>3406</v>
      </c>
      <c r="Z6188" s="500"/>
      <c r="AA6188" s="500"/>
      <c r="AB6188" s="500"/>
      <c r="AC6188" s="500"/>
      <c r="AD6188" s="500"/>
      <c r="AE6188" s="500"/>
      <c r="AF6188" s="500"/>
      <c r="AG6188" s="500"/>
      <c r="AH6188" s="500"/>
      <c r="AI6188" s="500"/>
      <c r="AJ6188" s="500"/>
      <c r="AK6188" s="500"/>
      <c r="AL6188" s="500"/>
      <c r="AM6188" s="500"/>
      <c r="AN6188" s="500"/>
      <c r="AO6188" s="500"/>
      <c r="AP6188" s="500"/>
    </row>
    <row r="6189" spans="1:42" ht="16.5" customHeight="1">
      <c r="A6189" s="434"/>
      <c r="B6189" s="437" t="s">
        <v>3995</v>
      </c>
      <c r="C6189" s="516">
        <f>E6189+D6189+F6189</f>
        <v>140722.1</v>
      </c>
      <c r="D6189" s="516">
        <f>SUMIF(N6157:N6188,M6189,D6157:D6188)</f>
        <v>140722.1</v>
      </c>
      <c r="E6189" s="516">
        <f>SUMIF(N6157:N6188,M6189,E6157:E6188)</f>
        <v>0</v>
      </c>
      <c r="F6189" s="516">
        <f>SUMIF(N6157:N6188,M6189,F6157:F6188)</f>
        <v>0</v>
      </c>
      <c r="G6189" s="451" t="s">
        <v>3996</v>
      </c>
      <c r="M6189" s="501" t="s">
        <v>3994</v>
      </c>
      <c r="Z6189" s="500"/>
      <c r="AA6189" s="500"/>
      <c r="AB6189" s="500"/>
      <c r="AC6189" s="500"/>
      <c r="AD6189" s="500"/>
      <c r="AE6189" s="500"/>
      <c r="AF6189" s="500"/>
      <c r="AG6189" s="500"/>
      <c r="AH6189" s="500"/>
      <c r="AI6189" s="500"/>
      <c r="AJ6189" s="500"/>
      <c r="AK6189" s="500"/>
      <c r="AL6189" s="500"/>
      <c r="AM6189" s="500"/>
      <c r="AN6189" s="500"/>
      <c r="AO6189" s="500"/>
      <c r="AP6189" s="500"/>
    </row>
    <row r="6190" spans="1:42" ht="16.5" customHeight="1">
      <c r="A6190" s="439"/>
      <c r="B6190" s="439"/>
      <c r="C6190" s="517"/>
      <c r="D6190" s="517"/>
      <c r="E6190" s="517"/>
      <c r="F6190" s="517"/>
      <c r="G6190" s="451" t="s">
        <v>3406</v>
      </c>
      <c r="Z6190" s="500"/>
      <c r="AA6190" s="500"/>
      <c r="AB6190" s="500"/>
      <c r="AC6190" s="500"/>
      <c r="AD6190" s="500"/>
      <c r="AE6190" s="500"/>
      <c r="AF6190" s="500"/>
      <c r="AG6190" s="500"/>
      <c r="AH6190" s="500"/>
      <c r="AI6190" s="500"/>
      <c r="AJ6190" s="500"/>
      <c r="AK6190" s="500"/>
      <c r="AL6190" s="500"/>
      <c r="AM6190" s="500"/>
      <c r="AN6190" s="500"/>
      <c r="AO6190" s="500"/>
      <c r="AP6190" s="500"/>
    </row>
    <row r="6191" spans="1:42" ht="16.5" customHeight="1">
      <c r="A6191" s="439"/>
      <c r="B6191" s="439"/>
      <c r="C6191" s="439"/>
      <c r="D6191" s="439"/>
      <c r="E6191" s="439"/>
      <c r="F6191" s="439"/>
      <c r="G6191" s="451" t="s">
        <v>3406</v>
      </c>
      <c r="Z6191" s="500"/>
      <c r="AA6191" s="500"/>
      <c r="AB6191" s="500"/>
      <c r="AC6191" s="500"/>
      <c r="AD6191" s="500"/>
      <c r="AE6191" s="500"/>
      <c r="AF6191" s="500"/>
      <c r="AG6191" s="500"/>
      <c r="AH6191" s="500"/>
      <c r="AI6191" s="500"/>
      <c r="AJ6191" s="500"/>
      <c r="AK6191" s="500"/>
      <c r="AL6191" s="500"/>
      <c r="AM6191" s="500"/>
      <c r="AN6191" s="500"/>
      <c r="AO6191" s="500"/>
      <c r="AP6191" s="500"/>
    </row>
    <row r="6192" spans="1:42" ht="16.5" customHeight="1">
      <c r="A6192" s="434" t="s">
        <v>3997</v>
      </c>
      <c r="B6192" s="505" t="str">
        <f>" 경비로 적용 : "&amp;TEXT(I6192,"#,##0"&amp;IF(I6192&lt;&gt;INT(I6192),".###",""))&amp;"  = "&amp;TEXT(C6192,"#,##0.0")&amp;""</f>
        <v xml:space="preserve"> 경비로 적용 : 140,722.1  = 140,722.1</v>
      </c>
      <c r="C6192" s="506">
        <f>E6192+D6192+F6192</f>
        <v>140722.1</v>
      </c>
      <c r="D6192" s="506">
        <f>IF(H6192=0,0,ROUNDDOWN(J6192*H6192,1))</f>
        <v>0</v>
      </c>
      <c r="E6192" s="506">
        <f>IF(H6192=0,0,ROUNDDOWN(K6192*H6192,1))</f>
        <v>0</v>
      </c>
      <c r="F6192" s="506">
        <f>IF(H6192=0,0,ROUNDDOWN(L6192*H6192,1))</f>
        <v>140722.1</v>
      </c>
      <c r="G6192" s="451" t="s">
        <v>3998</v>
      </c>
      <c r="H6192" s="507">
        <f>ROUNDUP(AB6192,14-LEN(ABS(INT(AB6192))))</f>
        <v>1</v>
      </c>
      <c r="I6192" s="508">
        <f>K6192+J6192+L6192</f>
        <v>140722.1</v>
      </c>
      <c r="J6192" s="456">
        <v>0</v>
      </c>
      <c r="K6192" s="456">
        <v>0</v>
      </c>
      <c r="L6192" s="518">
        <v>140722.1</v>
      </c>
      <c r="M6192" s="501" t="s">
        <v>3999</v>
      </c>
      <c r="N6192" s="501" t="s">
        <v>2354</v>
      </c>
      <c r="Z6192" s="501" t="s">
        <v>4000</v>
      </c>
      <c r="AA6192" s="501" t="s">
        <v>3418</v>
      </c>
      <c r="AB6192" s="512">
        <f>1</f>
        <v>1</v>
      </c>
      <c r="AC6192" s="500"/>
      <c r="AD6192" s="500"/>
      <c r="AE6192" s="500"/>
      <c r="AF6192" s="500"/>
      <c r="AG6192" s="500"/>
      <c r="AH6192" s="500"/>
      <c r="AI6192" s="500"/>
      <c r="AJ6192" s="500"/>
      <c r="AK6192" s="500"/>
      <c r="AL6192" s="500"/>
      <c r="AM6192" s="500"/>
      <c r="AN6192" s="500"/>
      <c r="AO6192" s="500"/>
      <c r="AP6192" s="500"/>
    </row>
    <row r="6193" spans="1:42" ht="16.5" customHeight="1">
      <c r="A6193" s="439"/>
      <c r="B6193" s="439"/>
      <c r="C6193" s="439"/>
      <c r="D6193" s="439"/>
      <c r="E6193" s="439"/>
      <c r="F6193" s="439"/>
      <c r="Z6193" s="500"/>
      <c r="AA6193" s="500"/>
      <c r="AB6193" s="500"/>
      <c r="AC6193" s="500"/>
      <c r="AD6193" s="500"/>
      <c r="AE6193" s="500"/>
      <c r="AF6193" s="500"/>
      <c r="AG6193" s="500"/>
      <c r="AH6193" s="500"/>
      <c r="AI6193" s="500"/>
      <c r="AJ6193" s="500"/>
      <c r="AK6193" s="500"/>
      <c r="AL6193" s="500"/>
      <c r="AM6193" s="500"/>
      <c r="AN6193" s="500"/>
      <c r="AO6193" s="500"/>
      <c r="AP6193" s="500"/>
    </row>
    <row r="6194" spans="1:42" ht="16.5" customHeight="1">
      <c r="A6194" s="439"/>
      <c r="B6194" s="439"/>
      <c r="C6194" s="439"/>
      <c r="D6194" s="439"/>
      <c r="E6194" s="439"/>
      <c r="F6194" s="439"/>
      <c r="Z6194" s="500"/>
      <c r="AA6194" s="500"/>
      <c r="AB6194" s="500"/>
      <c r="AC6194" s="500"/>
      <c r="AD6194" s="500"/>
      <c r="AE6194" s="500"/>
      <c r="AF6194" s="500"/>
      <c r="AG6194" s="500"/>
      <c r="AH6194" s="500"/>
      <c r="AI6194" s="500"/>
      <c r="AJ6194" s="500"/>
      <c r="AK6194" s="500"/>
      <c r="AL6194" s="500"/>
      <c r="AM6194" s="500"/>
      <c r="AN6194" s="500"/>
      <c r="AO6194" s="500"/>
      <c r="AP6194" s="500"/>
    </row>
    <row r="6195" spans="1:42" ht="16.5" customHeight="1">
      <c r="A6195" s="439"/>
      <c r="B6195" s="439"/>
      <c r="C6195" s="439"/>
      <c r="D6195" s="439"/>
      <c r="E6195" s="439"/>
      <c r="F6195" s="439"/>
      <c r="Z6195" s="500"/>
      <c r="AA6195" s="500"/>
      <c r="AB6195" s="500"/>
      <c r="AC6195" s="500"/>
      <c r="AD6195" s="500"/>
      <c r="AE6195" s="500"/>
      <c r="AF6195" s="500"/>
      <c r="AG6195" s="500"/>
      <c r="AH6195" s="500"/>
      <c r="AI6195" s="500"/>
      <c r="AJ6195" s="500"/>
      <c r="AK6195" s="500"/>
      <c r="AL6195" s="500"/>
      <c r="AM6195" s="500"/>
      <c r="AN6195" s="500"/>
      <c r="AO6195" s="500"/>
      <c r="AP6195" s="500"/>
    </row>
    <row r="6196" spans="1:42" ht="16.5" customHeight="1">
      <c r="A6196" s="439"/>
      <c r="B6196" s="439"/>
      <c r="C6196" s="439"/>
      <c r="D6196" s="439"/>
      <c r="E6196" s="439"/>
      <c r="F6196" s="439"/>
      <c r="Z6196" s="500"/>
      <c r="AA6196" s="500"/>
      <c r="AB6196" s="500"/>
      <c r="AC6196" s="500"/>
      <c r="AD6196" s="500"/>
      <c r="AE6196" s="500"/>
      <c r="AF6196" s="500"/>
      <c r="AG6196" s="500"/>
      <c r="AH6196" s="500"/>
      <c r="AI6196" s="500"/>
      <c r="AJ6196" s="500"/>
      <c r="AK6196" s="500"/>
      <c r="AL6196" s="500"/>
      <c r="AM6196" s="500"/>
      <c r="AN6196" s="500"/>
      <c r="AO6196" s="500"/>
      <c r="AP6196" s="500"/>
    </row>
    <row r="6197" spans="1:42" ht="16.5" customHeight="1">
      <c r="A6197" s="439"/>
      <c r="B6197" s="439"/>
      <c r="C6197" s="439"/>
      <c r="D6197" s="439"/>
      <c r="E6197" s="439"/>
      <c r="F6197" s="439"/>
      <c r="Z6197" s="500"/>
      <c r="AA6197" s="500"/>
      <c r="AB6197" s="500"/>
      <c r="AC6197" s="500"/>
      <c r="AD6197" s="500"/>
      <c r="AE6197" s="500"/>
      <c r="AF6197" s="500"/>
      <c r="AG6197" s="500"/>
      <c r="AH6197" s="500"/>
      <c r="AI6197" s="500"/>
      <c r="AJ6197" s="500"/>
      <c r="AK6197" s="500"/>
      <c r="AL6197" s="500"/>
      <c r="AM6197" s="500"/>
      <c r="AN6197" s="500"/>
      <c r="AO6197" s="500"/>
      <c r="AP6197" s="500"/>
    </row>
    <row r="6198" spans="1:42" ht="16.5" customHeight="1">
      <c r="A6198" s="439"/>
      <c r="B6198" s="439"/>
      <c r="C6198" s="439"/>
      <c r="D6198" s="439"/>
      <c r="E6198" s="439"/>
      <c r="F6198" s="439"/>
      <c r="Z6198" s="500"/>
      <c r="AA6198" s="500"/>
      <c r="AB6198" s="500"/>
      <c r="AC6198" s="500"/>
      <c r="AD6198" s="500"/>
      <c r="AE6198" s="500"/>
      <c r="AF6198" s="500"/>
      <c r="AG6198" s="500"/>
      <c r="AH6198" s="500"/>
      <c r="AI6198" s="500"/>
      <c r="AJ6198" s="500"/>
      <c r="AK6198" s="500"/>
      <c r="AL6198" s="500"/>
      <c r="AM6198" s="500"/>
      <c r="AN6198" s="500"/>
      <c r="AO6198" s="500"/>
      <c r="AP6198" s="500"/>
    </row>
    <row r="6199" spans="1:42" ht="16.5" customHeight="1">
      <c r="A6199" s="439"/>
      <c r="B6199" s="439"/>
      <c r="C6199" s="439"/>
      <c r="D6199" s="439"/>
      <c r="E6199" s="439"/>
      <c r="F6199" s="439"/>
      <c r="Z6199" s="500"/>
      <c r="AA6199" s="500"/>
      <c r="AB6199" s="500"/>
      <c r="AC6199" s="500"/>
      <c r="AD6199" s="500"/>
      <c r="AE6199" s="500"/>
      <c r="AF6199" s="500"/>
      <c r="AG6199" s="500"/>
      <c r="AH6199" s="500"/>
      <c r="AI6199" s="500"/>
      <c r="AJ6199" s="500"/>
      <c r="AK6199" s="500"/>
      <c r="AL6199" s="500"/>
      <c r="AM6199" s="500"/>
      <c r="AN6199" s="500"/>
      <c r="AO6199" s="500"/>
      <c r="AP6199" s="500"/>
    </row>
    <row r="6200" spans="1:42" ht="16.5" customHeight="1">
      <c r="A6200" s="439"/>
      <c r="B6200" s="439"/>
      <c r="C6200" s="439"/>
      <c r="D6200" s="439"/>
      <c r="E6200" s="439"/>
      <c r="F6200" s="439"/>
      <c r="Z6200" s="500"/>
      <c r="AA6200" s="500"/>
      <c r="AB6200" s="500"/>
      <c r="AC6200" s="500"/>
      <c r="AD6200" s="500"/>
      <c r="AE6200" s="500"/>
      <c r="AF6200" s="500"/>
      <c r="AG6200" s="500"/>
      <c r="AH6200" s="500"/>
      <c r="AI6200" s="500"/>
      <c r="AJ6200" s="500"/>
      <c r="AK6200" s="500"/>
      <c r="AL6200" s="500"/>
      <c r="AM6200" s="500"/>
      <c r="AN6200" s="500"/>
      <c r="AO6200" s="500"/>
      <c r="AP6200" s="500"/>
    </row>
    <row r="6201" spans="1:42" ht="16.5" customHeight="1">
      <c r="A6201" s="439"/>
      <c r="B6201" s="439"/>
      <c r="C6201" s="439"/>
      <c r="D6201" s="439"/>
      <c r="E6201" s="439"/>
      <c r="F6201" s="439"/>
      <c r="Z6201" s="500"/>
      <c r="AA6201" s="500"/>
      <c r="AB6201" s="500"/>
      <c r="AC6201" s="500"/>
      <c r="AD6201" s="500"/>
      <c r="AE6201" s="500"/>
      <c r="AF6201" s="500"/>
      <c r="AG6201" s="500"/>
      <c r="AH6201" s="500"/>
      <c r="AI6201" s="500"/>
      <c r="AJ6201" s="500"/>
      <c r="AK6201" s="500"/>
      <c r="AL6201" s="500"/>
      <c r="AM6201" s="500"/>
      <c r="AN6201" s="500"/>
      <c r="AO6201" s="500"/>
      <c r="AP6201" s="500"/>
    </row>
    <row r="6202" spans="1:42" ht="16.5" customHeight="1">
      <c r="A6202" s="439"/>
      <c r="B6202" s="439"/>
      <c r="C6202" s="439"/>
      <c r="D6202" s="439"/>
      <c r="E6202" s="439"/>
      <c r="F6202" s="439"/>
      <c r="Z6202" s="500"/>
      <c r="AA6202" s="500"/>
      <c r="AB6202" s="500"/>
      <c r="AC6202" s="500"/>
      <c r="AD6202" s="500"/>
      <c r="AE6202" s="500"/>
      <c r="AF6202" s="500"/>
      <c r="AG6202" s="500"/>
      <c r="AH6202" s="500"/>
      <c r="AI6202" s="500"/>
      <c r="AJ6202" s="500"/>
      <c r="AK6202" s="500"/>
      <c r="AL6202" s="500"/>
      <c r="AM6202" s="500"/>
      <c r="AN6202" s="500"/>
      <c r="AO6202" s="500"/>
      <c r="AP6202" s="500"/>
    </row>
    <row r="6203" spans="1:42" ht="16.5" customHeight="1">
      <c r="A6203" s="497"/>
      <c r="B6203" s="497"/>
      <c r="C6203" s="497"/>
      <c r="D6203" s="497"/>
      <c r="E6203" s="497"/>
      <c r="F6203" s="497"/>
      <c r="Z6203" s="500"/>
      <c r="AA6203" s="500"/>
      <c r="AB6203" s="500"/>
      <c r="AC6203" s="500"/>
      <c r="AD6203" s="500"/>
      <c r="AE6203" s="500"/>
      <c r="AF6203" s="500"/>
      <c r="AG6203" s="500"/>
      <c r="AH6203" s="500"/>
      <c r="AI6203" s="500"/>
      <c r="AJ6203" s="500"/>
      <c r="AK6203" s="500"/>
      <c r="AL6203" s="500"/>
      <c r="AM6203" s="500"/>
      <c r="AN6203" s="500"/>
      <c r="AO6203" s="500"/>
      <c r="AP6203" s="500"/>
    </row>
    <row r="6204" spans="1:42" ht="16.5" customHeight="1">
      <c r="A6204" s="616" t="s">
        <v>3487</v>
      </c>
      <c r="B6204" s="605"/>
      <c r="C6204" s="446">
        <f>E6204+D6204+F6204</f>
        <v>140722</v>
      </c>
      <c r="D6204" s="453">
        <f>ROUNDDOWN(SUMIF(N6157:N6192,M6204,D6157:D6192),0)</f>
        <v>0</v>
      </c>
      <c r="E6204" s="454">
        <f>ROUNDDOWN(SUMIF(N6157:N6192,M6204,E6157:E6192),0)</f>
        <v>0</v>
      </c>
      <c r="F6204" s="446">
        <f>ROUNDDOWN(SUMIF(N6157:N6192,M6204,F6157:F6192),0)</f>
        <v>140722</v>
      </c>
      <c r="M6204" s="501" t="s">
        <v>2354</v>
      </c>
      <c r="Z6204" s="500"/>
      <c r="AA6204" s="500"/>
      <c r="AB6204" s="500"/>
      <c r="AC6204" s="500"/>
      <c r="AD6204" s="500"/>
      <c r="AE6204" s="500"/>
      <c r="AF6204" s="500"/>
      <c r="AG6204" s="500"/>
      <c r="AH6204" s="500"/>
      <c r="AI6204" s="500"/>
      <c r="AJ6204" s="500"/>
      <c r="AK6204" s="500"/>
      <c r="AL6204" s="500"/>
      <c r="AM6204" s="500"/>
      <c r="AN6204" s="500"/>
      <c r="AO6204" s="500"/>
      <c r="AP6204" s="500"/>
    </row>
    <row r="6205" spans="1:42" ht="16.5" customHeight="1">
      <c r="A6205" s="502"/>
      <c r="B6205" s="503" t="s">
        <v>2141</v>
      </c>
      <c r="C6205" s="615">
        <f>C6254</f>
        <v>177435</v>
      </c>
      <c r="D6205" s="615">
        <f>D6254</f>
        <v>0</v>
      </c>
      <c r="E6205" s="615">
        <f>E6254</f>
        <v>0</v>
      </c>
      <c r="F6205" s="615">
        <f>F6254</f>
        <v>177435</v>
      </c>
      <c r="G6205" s="486" t="str">
        <f>HYPERLINK("#G"&amp;ROW(G6242),"_x0005_`BDCOD|D01181_x0007_`POSS|"&amp;ROW(G6207)&amp;"_x0007_`POSE|"&amp;ROW(G6242)&amp;"_x0007_`")</f>
        <v>_x0005_`BDCOD|D01181_x0007_`POSS|6207_x0007_`POSE|6242_x0007_`</v>
      </c>
      <c r="Z6205" s="500"/>
      <c r="AA6205" s="500"/>
      <c r="AB6205" s="500"/>
      <c r="AC6205" s="500"/>
      <c r="AD6205" s="500"/>
      <c r="AE6205" s="500"/>
      <c r="AF6205" s="500"/>
      <c r="AG6205" s="500"/>
      <c r="AH6205" s="500"/>
      <c r="AI6205" s="500"/>
      <c r="AJ6205" s="500"/>
      <c r="AK6205" s="500"/>
      <c r="AL6205" s="500"/>
      <c r="AM6205" s="500"/>
      <c r="AN6205" s="500"/>
      <c r="AO6205" s="500"/>
      <c r="AP6205" s="500"/>
    </row>
    <row r="6206" spans="1:42" ht="16.5" customHeight="1">
      <c r="A6206" s="485"/>
      <c r="B6206" s="503" t="s">
        <v>4045</v>
      </c>
      <c r="C6206" s="593"/>
      <c r="D6206" s="593"/>
      <c r="E6206" s="593"/>
      <c r="F6206" s="593"/>
      <c r="M6206" s="501" t="s">
        <v>2141</v>
      </c>
      <c r="Z6206" s="500"/>
      <c r="AA6206" s="500"/>
      <c r="AB6206" s="500"/>
      <c r="AC6206" s="500"/>
      <c r="AD6206" s="500"/>
      <c r="AE6206" s="500"/>
      <c r="AF6206" s="500"/>
      <c r="AG6206" s="500"/>
      <c r="AH6206" s="500"/>
      <c r="AI6206" s="500"/>
      <c r="AJ6206" s="500"/>
      <c r="AK6206" s="500"/>
      <c r="AL6206" s="500"/>
      <c r="AM6206" s="500"/>
      <c r="AN6206" s="500"/>
      <c r="AO6206" s="500"/>
      <c r="AP6206" s="500"/>
    </row>
    <row r="6207" spans="1:42" ht="16.5" customHeight="1">
      <c r="A6207" s="434"/>
      <c r="B6207" s="437" t="s">
        <v>3980</v>
      </c>
      <c r="C6207" s="504"/>
      <c r="D6207" s="504"/>
      <c r="E6207" s="504"/>
      <c r="F6207" s="504"/>
      <c r="G6207" s="451" t="s">
        <v>3981</v>
      </c>
      <c r="Z6207" s="500"/>
      <c r="AA6207" s="500"/>
      <c r="AB6207" s="500"/>
      <c r="AC6207" s="500"/>
      <c r="AD6207" s="500"/>
      <c r="AE6207" s="500"/>
      <c r="AF6207" s="500"/>
      <c r="AG6207" s="500"/>
      <c r="AH6207" s="500"/>
      <c r="AI6207" s="500"/>
      <c r="AJ6207" s="500"/>
      <c r="AK6207" s="500"/>
      <c r="AL6207" s="500"/>
      <c r="AM6207" s="500"/>
      <c r="AN6207" s="500"/>
      <c r="AO6207" s="500"/>
      <c r="AP6207" s="500"/>
    </row>
    <row r="6208" spans="1:42" ht="16.5" customHeight="1">
      <c r="A6208" s="439"/>
      <c r="B6208" s="439"/>
      <c r="C6208" s="439"/>
      <c r="D6208" s="439"/>
      <c r="E6208" s="439"/>
      <c r="F6208" s="439"/>
      <c r="G6208" s="451" t="s">
        <v>3406</v>
      </c>
      <c r="Z6208" s="500"/>
      <c r="AA6208" s="500"/>
      <c r="AB6208" s="500"/>
      <c r="AC6208" s="500"/>
      <c r="AD6208" s="500"/>
      <c r="AE6208" s="500"/>
      <c r="AF6208" s="500"/>
      <c r="AG6208" s="500"/>
      <c r="AH6208" s="500"/>
      <c r="AI6208" s="500"/>
      <c r="AJ6208" s="500"/>
      <c r="AK6208" s="500"/>
      <c r="AL6208" s="500"/>
      <c r="AM6208" s="500"/>
      <c r="AN6208" s="500"/>
      <c r="AO6208" s="500"/>
      <c r="AP6208" s="500"/>
    </row>
    <row r="6209" spans="1:42" ht="16.5" customHeight="1">
      <c r="A6209" s="434"/>
      <c r="B6209" s="437" t="s">
        <v>4046</v>
      </c>
      <c r="C6209" s="439"/>
      <c r="D6209" s="439"/>
      <c r="E6209" s="439"/>
      <c r="F6209" s="439"/>
      <c r="G6209" s="451" t="s">
        <v>4047</v>
      </c>
      <c r="Z6209" s="500"/>
      <c r="AA6209" s="500"/>
      <c r="AB6209" s="500"/>
      <c r="AC6209" s="500"/>
      <c r="AD6209" s="500"/>
      <c r="AE6209" s="500"/>
      <c r="AF6209" s="500"/>
      <c r="AG6209" s="500"/>
      <c r="AH6209" s="500"/>
      <c r="AI6209" s="500"/>
      <c r="AJ6209" s="500"/>
      <c r="AK6209" s="500"/>
      <c r="AL6209" s="500"/>
      <c r="AM6209" s="500"/>
      <c r="AN6209" s="500"/>
      <c r="AO6209" s="500"/>
      <c r="AP6209" s="500"/>
    </row>
    <row r="6210" spans="1:42" ht="16.5" customHeight="1">
      <c r="A6210" s="439"/>
      <c r="B6210" s="439"/>
      <c r="C6210" s="439"/>
      <c r="D6210" s="439"/>
      <c r="E6210" s="439"/>
      <c r="F6210" s="439"/>
      <c r="G6210" s="451" t="s">
        <v>3406</v>
      </c>
      <c r="Z6210" s="500"/>
      <c r="AA6210" s="500"/>
      <c r="AB6210" s="500"/>
      <c r="AC6210" s="500"/>
      <c r="AD6210" s="500"/>
      <c r="AE6210" s="500"/>
      <c r="AF6210" s="500"/>
      <c r="AG6210" s="500"/>
      <c r="AH6210" s="500"/>
      <c r="AI6210" s="500"/>
      <c r="AJ6210" s="500"/>
      <c r="AK6210" s="500"/>
      <c r="AL6210" s="500"/>
      <c r="AM6210" s="500"/>
      <c r="AN6210" s="500"/>
      <c r="AO6210" s="500"/>
      <c r="AP6210" s="500"/>
    </row>
    <row r="6211" spans="1:42" ht="16.5" customHeight="1">
      <c r="A6211" s="439"/>
      <c r="B6211" s="439"/>
      <c r="C6211" s="439"/>
      <c r="D6211" s="439"/>
      <c r="E6211" s="439"/>
      <c r="F6211" s="439"/>
      <c r="G6211" s="451" t="s">
        <v>3406</v>
      </c>
      <c r="Z6211" s="500"/>
      <c r="AA6211" s="500"/>
      <c r="AB6211" s="500"/>
      <c r="AC6211" s="500"/>
      <c r="AD6211" s="500"/>
      <c r="AE6211" s="500"/>
      <c r="AF6211" s="500"/>
      <c r="AG6211" s="500"/>
      <c r="AH6211" s="500"/>
      <c r="AI6211" s="500"/>
      <c r="AJ6211" s="500"/>
      <c r="AK6211" s="500"/>
      <c r="AL6211" s="500"/>
      <c r="AM6211" s="500"/>
      <c r="AN6211" s="500"/>
      <c r="AO6211" s="500"/>
      <c r="AP6211" s="500"/>
    </row>
    <row r="6212" spans="1:42" ht="16.5" customHeight="1">
      <c r="A6212" s="434"/>
      <c r="B6212" s="437" t="s">
        <v>3984</v>
      </c>
      <c r="C6212" s="439"/>
      <c r="D6212" s="439"/>
      <c r="E6212" s="439"/>
      <c r="F6212" s="439"/>
      <c r="G6212" s="451" t="s">
        <v>3985</v>
      </c>
      <c r="Z6212" s="500"/>
      <c r="AA6212" s="500"/>
      <c r="AB6212" s="500"/>
      <c r="AC6212" s="500"/>
      <c r="AD6212" s="500"/>
      <c r="AE6212" s="500"/>
      <c r="AF6212" s="500"/>
      <c r="AG6212" s="500"/>
      <c r="AH6212" s="500"/>
      <c r="AI6212" s="500"/>
      <c r="AJ6212" s="500"/>
      <c r="AK6212" s="500"/>
      <c r="AL6212" s="500"/>
      <c r="AM6212" s="500"/>
      <c r="AN6212" s="500"/>
      <c r="AO6212" s="500"/>
      <c r="AP6212" s="500"/>
    </row>
    <row r="6213" spans="1:42" ht="16.5" customHeight="1">
      <c r="A6213" s="439"/>
      <c r="B6213" s="439"/>
      <c r="C6213" s="439"/>
      <c r="D6213" s="439"/>
      <c r="E6213" s="439"/>
      <c r="F6213" s="439"/>
      <c r="G6213" s="451" t="s">
        <v>3406</v>
      </c>
      <c r="Z6213" s="500"/>
      <c r="AA6213" s="500"/>
      <c r="AB6213" s="500"/>
      <c r="AC6213" s="500"/>
      <c r="AD6213" s="500"/>
      <c r="AE6213" s="500"/>
      <c r="AF6213" s="500"/>
      <c r="AG6213" s="500"/>
      <c r="AH6213" s="500"/>
      <c r="AI6213" s="500"/>
      <c r="AJ6213" s="500"/>
      <c r="AK6213" s="500"/>
      <c r="AL6213" s="500"/>
      <c r="AM6213" s="500"/>
      <c r="AN6213" s="500"/>
      <c r="AO6213" s="500"/>
      <c r="AP6213" s="500"/>
    </row>
    <row r="6214" spans="1:42" ht="16.5" customHeight="1">
      <c r="A6214" s="439"/>
      <c r="B6214" s="439"/>
      <c r="C6214" s="439"/>
      <c r="D6214" s="439"/>
      <c r="E6214" s="439"/>
      <c r="F6214" s="439"/>
      <c r="G6214" s="451" t="s">
        <v>3406</v>
      </c>
      <c r="Z6214" s="500"/>
      <c r="AA6214" s="500"/>
      <c r="AB6214" s="500"/>
      <c r="AC6214" s="500"/>
      <c r="AD6214" s="500"/>
      <c r="AE6214" s="500"/>
      <c r="AF6214" s="500"/>
      <c r="AG6214" s="500"/>
      <c r="AH6214" s="500"/>
      <c r="AI6214" s="500"/>
      <c r="AJ6214" s="500"/>
      <c r="AK6214" s="500"/>
      <c r="AL6214" s="500"/>
      <c r="AM6214" s="500"/>
      <c r="AN6214" s="500"/>
      <c r="AO6214" s="500"/>
      <c r="AP6214" s="500"/>
    </row>
    <row r="6215" spans="1:42" ht="16.5" customHeight="1">
      <c r="A6215" s="434"/>
      <c r="B6215" s="437" t="s">
        <v>3986</v>
      </c>
      <c r="C6215" s="439"/>
      <c r="D6215" s="439"/>
      <c r="E6215" s="439"/>
      <c r="F6215" s="439"/>
      <c r="G6215" s="451" t="s">
        <v>3987</v>
      </c>
      <c r="Z6215" s="500"/>
      <c r="AA6215" s="500"/>
      <c r="AB6215" s="500"/>
      <c r="AC6215" s="500"/>
      <c r="AD6215" s="500"/>
      <c r="AE6215" s="500"/>
      <c r="AF6215" s="500"/>
      <c r="AG6215" s="500"/>
      <c r="AH6215" s="500"/>
      <c r="AI6215" s="500"/>
      <c r="AJ6215" s="500"/>
      <c r="AK6215" s="500"/>
      <c r="AL6215" s="500"/>
      <c r="AM6215" s="500"/>
      <c r="AN6215" s="500"/>
      <c r="AO6215" s="500"/>
      <c r="AP6215" s="500"/>
    </row>
    <row r="6216" spans="1:42" ht="16.5" customHeight="1">
      <c r="A6216" s="439"/>
      <c r="B6216" s="439"/>
      <c r="C6216" s="439"/>
      <c r="D6216" s="439"/>
      <c r="E6216" s="439"/>
      <c r="F6216" s="439"/>
      <c r="G6216" s="451" t="s">
        <v>3406</v>
      </c>
      <c r="Z6216" s="500"/>
      <c r="AA6216" s="500"/>
      <c r="AB6216" s="500"/>
      <c r="AC6216" s="500"/>
      <c r="AD6216" s="500"/>
      <c r="AE6216" s="500"/>
      <c r="AF6216" s="500"/>
      <c r="AG6216" s="500"/>
      <c r="AH6216" s="500"/>
      <c r="AI6216" s="500"/>
      <c r="AJ6216" s="500"/>
      <c r="AK6216" s="500"/>
      <c r="AL6216" s="500"/>
      <c r="AM6216" s="500"/>
      <c r="AN6216" s="500"/>
      <c r="AO6216" s="500"/>
      <c r="AP6216" s="500"/>
    </row>
    <row r="6217" spans="1:42" ht="16.5" customHeight="1">
      <c r="A6217" s="439"/>
      <c r="B6217" s="439"/>
      <c r="C6217" s="439"/>
      <c r="D6217" s="439"/>
      <c r="E6217" s="439"/>
      <c r="F6217" s="439"/>
      <c r="G6217" s="451" t="s">
        <v>3406</v>
      </c>
      <c r="Z6217" s="500"/>
      <c r="AA6217" s="500"/>
      <c r="AB6217" s="500"/>
      <c r="AC6217" s="500"/>
      <c r="AD6217" s="500"/>
      <c r="AE6217" s="500"/>
      <c r="AF6217" s="500"/>
      <c r="AG6217" s="500"/>
      <c r="AH6217" s="500"/>
      <c r="AI6217" s="500"/>
      <c r="AJ6217" s="500"/>
      <c r="AK6217" s="500"/>
      <c r="AL6217" s="500"/>
      <c r="AM6217" s="500"/>
      <c r="AN6217" s="500"/>
      <c r="AO6217" s="500"/>
      <c r="AP6217" s="500"/>
    </row>
    <row r="6218" spans="1:42" ht="16.5" customHeight="1">
      <c r="A6218" s="434"/>
      <c r="B6218" s="437" t="str">
        <f>" L = "&amp;Z6218&amp;" , V = "&amp;AD6218&amp;" , t = "&amp;AH6218&amp;"  , T = "&amp;AL6218&amp;"-"&amp;AN6218&amp;""</f>
        <v xml:space="preserve"> L = 200 , V = 2500 , t = 2  , T = 480-30</v>
      </c>
      <c r="C6218" s="439"/>
      <c r="D6218" s="439"/>
      <c r="E6218" s="439"/>
      <c r="F6218" s="439"/>
      <c r="G6218" s="451" t="s">
        <v>4048</v>
      </c>
      <c r="Z6218" s="515">
        <v>200</v>
      </c>
      <c r="AA6218" s="501" t="s">
        <v>3418</v>
      </c>
      <c r="AB6218" s="512">
        <f>Z6218</f>
        <v>200</v>
      </c>
      <c r="AC6218" s="514" t="s">
        <v>3427</v>
      </c>
      <c r="AD6218" s="515">
        <v>2500</v>
      </c>
      <c r="AE6218" s="501" t="s">
        <v>3418</v>
      </c>
      <c r="AF6218" s="512">
        <f>AD6218</f>
        <v>2500</v>
      </c>
      <c r="AG6218" s="514" t="s">
        <v>3427</v>
      </c>
      <c r="AH6218" s="515">
        <v>2</v>
      </c>
      <c r="AI6218" s="501" t="s">
        <v>3418</v>
      </c>
      <c r="AJ6218" s="512">
        <f>AH6218</f>
        <v>2</v>
      </c>
      <c r="AK6218" s="514" t="s">
        <v>3427</v>
      </c>
      <c r="AL6218" s="515">
        <v>480</v>
      </c>
      <c r="AM6218" s="501" t="s">
        <v>3474</v>
      </c>
      <c r="AN6218" s="515">
        <v>30</v>
      </c>
      <c r="AO6218" s="501" t="s">
        <v>3418</v>
      </c>
      <c r="AP6218" s="512">
        <f>AL6218-AN6218</f>
        <v>450</v>
      </c>
    </row>
    <row r="6219" spans="1:42" ht="16.5" customHeight="1">
      <c r="A6219" s="439"/>
      <c r="B6219" s="439"/>
      <c r="C6219" s="439"/>
      <c r="D6219" s="439"/>
      <c r="E6219" s="439"/>
      <c r="F6219" s="439"/>
      <c r="G6219" s="451" t="s">
        <v>3406</v>
      </c>
      <c r="Z6219" s="500"/>
      <c r="AA6219" s="500"/>
      <c r="AB6219" s="500"/>
      <c r="AC6219" s="500"/>
      <c r="AD6219" s="500"/>
      <c r="AE6219" s="500"/>
      <c r="AF6219" s="500"/>
      <c r="AG6219" s="500"/>
      <c r="AH6219" s="500"/>
      <c r="AI6219" s="500"/>
      <c r="AJ6219" s="500"/>
      <c r="AK6219" s="500"/>
      <c r="AL6219" s="500"/>
      <c r="AM6219" s="500"/>
      <c r="AN6219" s="500"/>
      <c r="AO6219" s="500"/>
      <c r="AP6219" s="500"/>
    </row>
    <row r="6220" spans="1:42" ht="16.5" customHeight="1">
      <c r="A6220" s="439"/>
      <c r="B6220" s="439"/>
      <c r="C6220" s="439"/>
      <c r="D6220" s="439"/>
      <c r="E6220" s="439"/>
      <c r="F6220" s="439"/>
      <c r="G6220" s="451" t="s">
        <v>3406</v>
      </c>
      <c r="Z6220" s="500"/>
      <c r="AA6220" s="500"/>
      <c r="AB6220" s="500"/>
      <c r="AC6220" s="500"/>
      <c r="AD6220" s="500"/>
      <c r="AE6220" s="500"/>
      <c r="AF6220" s="500"/>
      <c r="AG6220" s="500"/>
      <c r="AH6220" s="500"/>
      <c r="AI6220" s="500"/>
      <c r="AJ6220" s="500"/>
      <c r="AK6220" s="500"/>
      <c r="AL6220" s="500"/>
      <c r="AM6220" s="500"/>
      <c r="AN6220" s="500"/>
      <c r="AO6220" s="500"/>
      <c r="AP6220" s="500"/>
    </row>
    <row r="6221" spans="1:42" ht="16.5" customHeight="1">
      <c r="A6221" s="439"/>
      <c r="B6221" s="439"/>
      <c r="C6221" s="439"/>
      <c r="D6221" s="439"/>
      <c r="E6221" s="439"/>
      <c r="F6221" s="439"/>
      <c r="G6221" s="451" t="s">
        <v>3406</v>
      </c>
      <c r="Z6221" s="500"/>
      <c r="AA6221" s="500"/>
      <c r="AB6221" s="500"/>
      <c r="AC6221" s="500"/>
      <c r="AD6221" s="500"/>
      <c r="AE6221" s="500"/>
      <c r="AF6221" s="500"/>
      <c r="AG6221" s="500"/>
      <c r="AH6221" s="500"/>
      <c r="AI6221" s="500"/>
      <c r="AJ6221" s="500"/>
      <c r="AK6221" s="500"/>
      <c r="AL6221" s="500"/>
      <c r="AM6221" s="500"/>
      <c r="AN6221" s="500"/>
      <c r="AO6221" s="500"/>
      <c r="AP6221" s="500"/>
    </row>
    <row r="6222" spans="1:42" ht="16.5" customHeight="1">
      <c r="A6222" s="434"/>
      <c r="B6222" s="437" t="str">
        <f>" N = V*T /( "&amp;AD6222&amp;"*L+V*"&amp;AJ6222&amp;" ) = "&amp;AM6222&amp;" 회/일 "</f>
        <v xml:space="preserve"> N = V*T /( 120*L+V*2 ) = 38.79 회/일 </v>
      </c>
      <c r="C6222" s="439"/>
      <c r="D6222" s="439"/>
      <c r="E6222" s="439"/>
      <c r="F6222" s="439"/>
      <c r="G6222" s="451" t="s">
        <v>3989</v>
      </c>
      <c r="Z6222" s="512">
        <f>AF6218</f>
        <v>2500</v>
      </c>
      <c r="AA6222" s="501" t="s">
        <v>3368</v>
      </c>
      <c r="AB6222" s="512">
        <f>AP6218</f>
        <v>450</v>
      </c>
      <c r="AC6222" s="501" t="s">
        <v>3463</v>
      </c>
      <c r="AD6222" s="515">
        <v>120</v>
      </c>
      <c r="AE6222" s="501" t="s">
        <v>3368</v>
      </c>
      <c r="AF6222" s="512">
        <f>AB6218</f>
        <v>200</v>
      </c>
      <c r="AG6222" s="501" t="s">
        <v>3468</v>
      </c>
      <c r="AH6222" s="512">
        <f>AF6218</f>
        <v>2500</v>
      </c>
      <c r="AI6222" s="501" t="s">
        <v>3368</v>
      </c>
      <c r="AJ6222" s="515">
        <v>2</v>
      </c>
      <c r="AK6222" s="501" t="s">
        <v>3464</v>
      </c>
      <c r="AL6222" s="501" t="s">
        <v>3418</v>
      </c>
      <c r="AM6222" s="512" t="str">
        <f>TEXT(ROUND(AF6218*AP6218/(AD6222*AB6218+AF6218*AJ6222),2),"#,0.00")</f>
        <v>38.79</v>
      </c>
      <c r="AN6222" s="500"/>
      <c r="AO6222" s="500"/>
      <c r="AP6222" s="500"/>
    </row>
    <row r="6223" spans="1:42" ht="16.5" customHeight="1">
      <c r="A6223" s="439"/>
      <c r="B6223" s="439"/>
      <c r="C6223" s="439"/>
      <c r="D6223" s="439"/>
      <c r="E6223" s="439"/>
      <c r="F6223" s="439"/>
      <c r="G6223" s="451" t="s">
        <v>3406</v>
      </c>
      <c r="Z6223" s="500"/>
      <c r="AA6223" s="500"/>
      <c r="AB6223" s="500"/>
      <c r="AC6223" s="500"/>
      <c r="AD6223" s="500"/>
      <c r="AE6223" s="500"/>
      <c r="AF6223" s="500"/>
      <c r="AG6223" s="500"/>
      <c r="AH6223" s="500"/>
      <c r="AI6223" s="500"/>
      <c r="AJ6223" s="500"/>
      <c r="AK6223" s="500"/>
      <c r="AL6223" s="500"/>
      <c r="AM6223" s="500"/>
      <c r="AN6223" s="500"/>
      <c r="AO6223" s="500"/>
      <c r="AP6223" s="500"/>
    </row>
    <row r="6224" spans="1:42" ht="16.5" customHeight="1">
      <c r="A6224" s="439"/>
      <c r="B6224" s="439"/>
      <c r="C6224" s="439"/>
      <c r="D6224" s="439"/>
      <c r="E6224" s="439"/>
      <c r="F6224" s="439"/>
      <c r="G6224" s="451" t="s">
        <v>3406</v>
      </c>
      <c r="Z6224" s="500"/>
      <c r="AA6224" s="500"/>
      <c r="AB6224" s="500"/>
      <c r="AC6224" s="500"/>
      <c r="AD6224" s="500"/>
      <c r="AE6224" s="500"/>
      <c r="AF6224" s="500"/>
      <c r="AG6224" s="500"/>
      <c r="AH6224" s="500"/>
      <c r="AI6224" s="500"/>
      <c r="AJ6224" s="500"/>
      <c r="AK6224" s="500"/>
      <c r="AL6224" s="500"/>
      <c r="AM6224" s="500"/>
      <c r="AN6224" s="500"/>
      <c r="AO6224" s="500"/>
      <c r="AP6224" s="500"/>
    </row>
    <row r="6225" spans="1:42" ht="16.5" customHeight="1">
      <c r="A6225" s="439"/>
      <c r="B6225" s="439"/>
      <c r="C6225" s="439"/>
      <c r="D6225" s="439"/>
      <c r="E6225" s="439"/>
      <c r="F6225" s="439"/>
      <c r="G6225" s="451" t="s">
        <v>3406</v>
      </c>
      <c r="Z6225" s="500"/>
      <c r="AA6225" s="500"/>
      <c r="AB6225" s="500"/>
      <c r="AC6225" s="500"/>
      <c r="AD6225" s="500"/>
      <c r="AE6225" s="500"/>
      <c r="AF6225" s="500"/>
      <c r="AG6225" s="500"/>
      <c r="AH6225" s="500"/>
      <c r="AI6225" s="500"/>
      <c r="AJ6225" s="500"/>
      <c r="AK6225" s="500"/>
      <c r="AL6225" s="500"/>
      <c r="AM6225" s="500"/>
      <c r="AN6225" s="500"/>
      <c r="AO6225" s="500"/>
      <c r="AP6225" s="500"/>
    </row>
    <row r="6226" spans="1:42" ht="16.5" customHeight="1">
      <c r="A6226" s="434"/>
      <c r="B6226" s="437" t="str">
        <f>" Q = N*"&amp;AB6226&amp;" ㎏ = "&amp;AD6226&amp;"  kg/일 "</f>
        <v xml:space="preserve"> Q = N*25 ㎏ = 969.75  kg/일 </v>
      </c>
      <c r="C6226" s="439"/>
      <c r="D6226" s="439"/>
      <c r="E6226" s="439"/>
      <c r="F6226" s="439"/>
      <c r="G6226" s="451" t="s">
        <v>3990</v>
      </c>
      <c r="Z6226" s="512" t="str">
        <f>AM6222</f>
        <v>38.79</v>
      </c>
      <c r="AA6226" s="501" t="s">
        <v>3368</v>
      </c>
      <c r="AB6226" s="515">
        <v>25</v>
      </c>
      <c r="AC6226" s="501" t="s">
        <v>3418</v>
      </c>
      <c r="AD6226" s="512" t="str">
        <f>TEXT(ROUND(AM6222*AB6226,2),"#,0.00")</f>
        <v>969.75</v>
      </c>
      <c r="AE6226" s="500"/>
      <c r="AF6226" s="500"/>
      <c r="AG6226" s="500"/>
      <c r="AH6226" s="500"/>
      <c r="AI6226" s="500"/>
      <c r="AJ6226" s="500"/>
      <c r="AK6226" s="500"/>
      <c r="AL6226" s="500"/>
      <c r="AM6226" s="500"/>
      <c r="AN6226" s="500"/>
      <c r="AO6226" s="500"/>
      <c r="AP6226" s="500"/>
    </row>
    <row r="6227" spans="1:42" ht="16.5" customHeight="1">
      <c r="A6227" s="439"/>
      <c r="B6227" s="439"/>
      <c r="C6227" s="439"/>
      <c r="D6227" s="439"/>
      <c r="E6227" s="439"/>
      <c r="F6227" s="439"/>
      <c r="G6227" s="451" t="s">
        <v>3406</v>
      </c>
      <c r="Z6227" s="500"/>
      <c r="AA6227" s="500"/>
      <c r="AB6227" s="500"/>
      <c r="AC6227" s="500"/>
      <c r="AD6227" s="500"/>
      <c r="AE6227" s="500"/>
      <c r="AF6227" s="500"/>
      <c r="AG6227" s="500"/>
      <c r="AH6227" s="500"/>
      <c r="AI6227" s="500"/>
      <c r="AJ6227" s="500"/>
      <c r="AK6227" s="500"/>
      <c r="AL6227" s="500"/>
      <c r="AM6227" s="500"/>
      <c r="AN6227" s="500"/>
      <c r="AO6227" s="500"/>
      <c r="AP6227" s="500"/>
    </row>
    <row r="6228" spans="1:42" ht="16.5" customHeight="1">
      <c r="A6228" s="439"/>
      <c r="B6228" s="439"/>
      <c r="C6228" s="439"/>
      <c r="D6228" s="439"/>
      <c r="E6228" s="439"/>
      <c r="F6228" s="439"/>
      <c r="G6228" s="451" t="s">
        <v>3406</v>
      </c>
      <c r="Z6228" s="500"/>
      <c r="AA6228" s="500"/>
      <c r="AB6228" s="500"/>
      <c r="AC6228" s="500"/>
      <c r="AD6228" s="500"/>
      <c r="AE6228" s="500"/>
      <c r="AF6228" s="500"/>
      <c r="AG6228" s="500"/>
      <c r="AH6228" s="500"/>
      <c r="AI6228" s="500"/>
      <c r="AJ6228" s="500"/>
      <c r="AK6228" s="500"/>
      <c r="AL6228" s="500"/>
      <c r="AM6228" s="500"/>
      <c r="AN6228" s="500"/>
      <c r="AO6228" s="500"/>
      <c r="AP6228" s="500"/>
    </row>
    <row r="6229" spans="1:42" ht="16.5" customHeight="1">
      <c r="A6229" s="439"/>
      <c r="B6229" s="439"/>
      <c r="C6229" s="439"/>
      <c r="D6229" s="439"/>
      <c r="E6229" s="439"/>
      <c r="F6229" s="439"/>
      <c r="G6229" s="451" t="s">
        <v>3406</v>
      </c>
      <c r="Z6229" s="500"/>
      <c r="AA6229" s="500"/>
      <c r="AB6229" s="500"/>
      <c r="AC6229" s="500"/>
      <c r="AD6229" s="500"/>
      <c r="AE6229" s="500"/>
      <c r="AF6229" s="500"/>
      <c r="AG6229" s="500"/>
      <c r="AH6229" s="500"/>
      <c r="AI6229" s="500"/>
      <c r="AJ6229" s="500"/>
      <c r="AK6229" s="500"/>
      <c r="AL6229" s="500"/>
      <c r="AM6229" s="500"/>
      <c r="AN6229" s="500"/>
      <c r="AO6229" s="500"/>
      <c r="AP6229" s="500"/>
    </row>
    <row r="6230" spans="1:42" ht="16.5" customHeight="1">
      <c r="A6230" s="434"/>
      <c r="B6230" s="437" t="str">
        <f>" k = "&amp;Z6230&amp;" kg /Q"</f>
        <v xml:space="preserve"> k = 1000 kg /Q</v>
      </c>
      <c r="C6230" s="439"/>
      <c r="D6230" s="439"/>
      <c r="E6230" s="439"/>
      <c r="F6230" s="439"/>
      <c r="G6230" s="451" t="s">
        <v>3991</v>
      </c>
      <c r="Z6230" s="515">
        <v>1000</v>
      </c>
      <c r="AA6230" s="501" t="s">
        <v>3428</v>
      </c>
      <c r="AB6230" s="512" t="str">
        <f>AD6226</f>
        <v>969.75</v>
      </c>
      <c r="AC6230" s="501" t="s">
        <v>3418</v>
      </c>
      <c r="AD6230" s="512">
        <f>ROUND(Z6230/AD6226,13)</f>
        <v>1.0311936065995999</v>
      </c>
      <c r="AE6230" s="500"/>
      <c r="AF6230" s="500"/>
      <c r="AG6230" s="500"/>
      <c r="AH6230" s="500"/>
      <c r="AI6230" s="500"/>
      <c r="AJ6230" s="500"/>
      <c r="AK6230" s="500"/>
      <c r="AL6230" s="500"/>
      <c r="AM6230" s="500"/>
      <c r="AN6230" s="500"/>
      <c r="AO6230" s="500"/>
      <c r="AP6230" s="500"/>
    </row>
    <row r="6231" spans="1:42" ht="16.5" customHeight="1">
      <c r="A6231" s="439"/>
      <c r="B6231" s="439"/>
      <c r="C6231" s="439"/>
      <c r="D6231" s="439"/>
      <c r="E6231" s="439"/>
      <c r="F6231" s="439"/>
      <c r="G6231" s="451" t="s">
        <v>3406</v>
      </c>
      <c r="Z6231" s="500"/>
      <c r="AA6231" s="500"/>
      <c r="AB6231" s="500"/>
      <c r="AC6231" s="500"/>
      <c r="AD6231" s="500"/>
      <c r="AE6231" s="500"/>
      <c r="AF6231" s="500"/>
      <c r="AG6231" s="500"/>
      <c r="AH6231" s="500"/>
      <c r="AI6231" s="500"/>
      <c r="AJ6231" s="500"/>
      <c r="AK6231" s="500"/>
      <c r="AL6231" s="500"/>
      <c r="AM6231" s="500"/>
      <c r="AN6231" s="500"/>
      <c r="AO6231" s="500"/>
      <c r="AP6231" s="500"/>
    </row>
    <row r="6232" spans="1:42" ht="16.5" customHeight="1">
      <c r="A6232" s="439"/>
      <c r="B6232" s="439"/>
      <c r="C6232" s="439"/>
      <c r="D6232" s="439"/>
      <c r="E6232" s="439"/>
      <c r="F6232" s="439"/>
      <c r="G6232" s="451" t="s">
        <v>3406</v>
      </c>
      <c r="Z6232" s="500"/>
      <c r="AA6232" s="500"/>
      <c r="AB6232" s="500"/>
      <c r="AC6232" s="500"/>
      <c r="AD6232" s="500"/>
      <c r="AE6232" s="500"/>
      <c r="AF6232" s="500"/>
      <c r="AG6232" s="500"/>
      <c r="AH6232" s="500"/>
      <c r="AI6232" s="500"/>
      <c r="AJ6232" s="500"/>
      <c r="AK6232" s="500"/>
      <c r="AL6232" s="500"/>
      <c r="AM6232" s="500"/>
      <c r="AN6232" s="500"/>
      <c r="AO6232" s="500"/>
      <c r="AP6232" s="500"/>
    </row>
    <row r="6233" spans="1:42" ht="16.5" customHeight="1">
      <c r="A6233" s="439"/>
      <c r="B6233" s="439"/>
      <c r="C6233" s="439"/>
      <c r="D6233" s="439"/>
      <c r="E6233" s="439"/>
      <c r="F6233" s="439"/>
      <c r="G6233" s="451" t="s">
        <v>3406</v>
      </c>
      <c r="Z6233" s="500"/>
      <c r="AA6233" s="500"/>
      <c r="AB6233" s="500"/>
      <c r="AC6233" s="500"/>
      <c r="AD6233" s="500"/>
      <c r="AE6233" s="500"/>
      <c r="AF6233" s="500"/>
      <c r="AG6233" s="500"/>
      <c r="AH6233" s="500"/>
      <c r="AI6233" s="500"/>
      <c r="AJ6233" s="500"/>
      <c r="AK6233" s="500"/>
      <c r="AL6233" s="500"/>
      <c r="AM6233" s="500"/>
      <c r="AN6233" s="500"/>
      <c r="AO6233" s="500"/>
      <c r="AP6233" s="500"/>
    </row>
    <row r="6234" spans="1:42" ht="16.5" customHeight="1">
      <c r="A6234" s="434" t="s">
        <v>3992</v>
      </c>
      <c r="B6234" s="505" t="str">
        <f>" 인    부: "&amp;TEXT(I6234,"#,##0"&amp;IF(I6234&lt;&gt;INT(I6234),".###",""))&amp;"*k = "&amp;TEXT(C6234,"#,##0.0")&amp;" 원 "</f>
        <v xml:space="preserve"> 인    부: 172,068*k = 177,435.4 원 </v>
      </c>
      <c r="C6234" s="506">
        <f>E6234+D6234+F6234</f>
        <v>177435.4</v>
      </c>
      <c r="D6234" s="506">
        <f>IF(H6234=0,0,ROUNDDOWN(J6234*H6234,1))</f>
        <v>177435.4</v>
      </c>
      <c r="E6234" s="506">
        <f>IF(H6234=0,0,ROUNDDOWN(K6234*H6234,1))</f>
        <v>0</v>
      </c>
      <c r="F6234" s="506">
        <f>IF(H6234=0,0,ROUNDDOWN(L6234*H6234,1))</f>
        <v>0</v>
      </c>
      <c r="G6234" s="451" t="s">
        <v>3993</v>
      </c>
      <c r="H6234" s="507">
        <f>ROUNDUP(AC6234,14-LEN(ABS(INT(AC6234))))</f>
        <v>1.0311936065995999</v>
      </c>
      <c r="I6234" s="508">
        <f>K6234+J6234+L6234</f>
        <v>172068</v>
      </c>
      <c r="J6234" s="509">
        <f>노무비목록표!E10</f>
        <v>172068</v>
      </c>
      <c r="M6234" s="501" t="s">
        <v>2363</v>
      </c>
      <c r="N6234" s="501" t="s">
        <v>3994</v>
      </c>
      <c r="X6234" s="510" t="str">
        <f>노무비목록표!B10&amp;" / "&amp;노무비목록표!C10</f>
        <v xml:space="preserve">보통인부 / </v>
      </c>
      <c r="Y6234" s="433" t="str">
        <f ca="1">HYPERLINK("#"&amp;노무비목록표!G2&amp;"!A"&amp;ROW(노무비목록표!A10),"L00017 →")</f>
        <v>L00017 →</v>
      </c>
      <c r="Z6234" s="501" t="s">
        <v>3500</v>
      </c>
      <c r="AA6234" s="512">
        <f>AD6230</f>
        <v>1.0311936065995999</v>
      </c>
      <c r="AB6234" s="501" t="s">
        <v>3418</v>
      </c>
      <c r="AC6234" s="512">
        <f>1*AD6230</f>
        <v>1.0311936065995999</v>
      </c>
      <c r="AD6234" s="500"/>
      <c r="AE6234" s="500"/>
      <c r="AF6234" s="500"/>
      <c r="AG6234" s="500"/>
      <c r="AH6234" s="500"/>
      <c r="AI6234" s="500"/>
      <c r="AJ6234" s="500"/>
      <c r="AK6234" s="500"/>
      <c r="AL6234" s="500"/>
      <c r="AM6234" s="500"/>
      <c r="AN6234" s="500"/>
      <c r="AO6234" s="500"/>
      <c r="AP6234" s="500"/>
    </row>
    <row r="6235" spans="1:42" ht="16.5" customHeight="1">
      <c r="A6235" s="439"/>
      <c r="B6235" s="439"/>
      <c r="C6235" s="439"/>
      <c r="D6235" s="439"/>
      <c r="E6235" s="439"/>
      <c r="F6235" s="439"/>
      <c r="G6235" s="451" t="s">
        <v>3406</v>
      </c>
      <c r="Z6235" s="500"/>
      <c r="AA6235" s="500"/>
      <c r="AB6235" s="500"/>
      <c r="AC6235" s="500"/>
      <c r="AD6235" s="500"/>
      <c r="AE6235" s="500"/>
      <c r="AF6235" s="500"/>
      <c r="AG6235" s="500"/>
      <c r="AH6235" s="500"/>
      <c r="AI6235" s="500"/>
      <c r="AJ6235" s="500"/>
      <c r="AK6235" s="500"/>
      <c r="AL6235" s="500"/>
      <c r="AM6235" s="500"/>
      <c r="AN6235" s="500"/>
      <c r="AO6235" s="500"/>
      <c r="AP6235" s="500"/>
    </row>
    <row r="6236" spans="1:42" ht="16.5" customHeight="1">
      <c r="A6236" s="439"/>
      <c r="B6236" s="439"/>
      <c r="C6236" s="439"/>
      <c r="D6236" s="439"/>
      <c r="E6236" s="439"/>
      <c r="F6236" s="439"/>
      <c r="G6236" s="451" t="s">
        <v>3406</v>
      </c>
      <c r="Z6236" s="500"/>
      <c r="AA6236" s="500"/>
      <c r="AB6236" s="500"/>
      <c r="AC6236" s="500"/>
      <c r="AD6236" s="500"/>
      <c r="AE6236" s="500"/>
      <c r="AF6236" s="500"/>
      <c r="AG6236" s="500"/>
      <c r="AH6236" s="500"/>
      <c r="AI6236" s="500"/>
      <c r="AJ6236" s="500"/>
      <c r="AK6236" s="500"/>
      <c r="AL6236" s="500"/>
      <c r="AM6236" s="500"/>
      <c r="AN6236" s="500"/>
      <c r="AO6236" s="500"/>
      <c r="AP6236" s="500"/>
    </row>
    <row r="6237" spans="1:42" ht="16.5" customHeight="1">
      <c r="A6237" s="439"/>
      <c r="B6237" s="439"/>
      <c r="C6237" s="439"/>
      <c r="D6237" s="439"/>
      <c r="E6237" s="439"/>
      <c r="F6237" s="439"/>
      <c r="G6237" s="451" t="s">
        <v>3406</v>
      </c>
      <c r="Z6237" s="500"/>
      <c r="AA6237" s="500"/>
      <c r="AB6237" s="500"/>
      <c r="AC6237" s="500"/>
      <c r="AD6237" s="500"/>
      <c r="AE6237" s="500"/>
      <c r="AF6237" s="500"/>
      <c r="AG6237" s="500"/>
      <c r="AH6237" s="500"/>
      <c r="AI6237" s="500"/>
      <c r="AJ6237" s="500"/>
      <c r="AK6237" s="500"/>
      <c r="AL6237" s="500"/>
      <c r="AM6237" s="500"/>
      <c r="AN6237" s="500"/>
      <c r="AO6237" s="500"/>
      <c r="AP6237" s="500"/>
    </row>
    <row r="6238" spans="1:42" ht="16.5" customHeight="1">
      <c r="A6238" s="439"/>
      <c r="B6238" s="439"/>
      <c r="C6238" s="439"/>
      <c r="D6238" s="439"/>
      <c r="E6238" s="439"/>
      <c r="F6238" s="439"/>
      <c r="G6238" s="451" t="s">
        <v>3406</v>
      </c>
      <c r="Z6238" s="500"/>
      <c r="AA6238" s="500"/>
      <c r="AB6238" s="500"/>
      <c r="AC6238" s="500"/>
      <c r="AD6238" s="500"/>
      <c r="AE6238" s="500"/>
      <c r="AF6238" s="500"/>
      <c r="AG6238" s="500"/>
      <c r="AH6238" s="500"/>
      <c r="AI6238" s="500"/>
      <c r="AJ6238" s="500"/>
      <c r="AK6238" s="500"/>
      <c r="AL6238" s="500"/>
      <c r="AM6238" s="500"/>
      <c r="AN6238" s="500"/>
      <c r="AO6238" s="500"/>
      <c r="AP6238" s="500"/>
    </row>
    <row r="6239" spans="1:42" ht="16.5" customHeight="1">
      <c r="A6239" s="434"/>
      <c r="B6239" s="437" t="s">
        <v>3995</v>
      </c>
      <c r="C6239" s="516">
        <f>E6239+D6239+F6239</f>
        <v>177435.4</v>
      </c>
      <c r="D6239" s="516">
        <f>SUMIF(N6207:N6238,M6239,D6207:D6238)</f>
        <v>177435.4</v>
      </c>
      <c r="E6239" s="516">
        <f>SUMIF(N6207:N6238,M6239,E6207:E6238)</f>
        <v>0</v>
      </c>
      <c r="F6239" s="516">
        <f>SUMIF(N6207:N6238,M6239,F6207:F6238)</f>
        <v>0</v>
      </c>
      <c r="G6239" s="451" t="s">
        <v>3996</v>
      </c>
      <c r="M6239" s="501" t="s">
        <v>3994</v>
      </c>
      <c r="Z6239" s="500"/>
      <c r="AA6239" s="500"/>
      <c r="AB6239" s="500"/>
      <c r="AC6239" s="500"/>
      <c r="AD6239" s="500"/>
      <c r="AE6239" s="500"/>
      <c r="AF6239" s="500"/>
      <c r="AG6239" s="500"/>
      <c r="AH6239" s="500"/>
      <c r="AI6239" s="500"/>
      <c r="AJ6239" s="500"/>
      <c r="AK6239" s="500"/>
      <c r="AL6239" s="500"/>
      <c r="AM6239" s="500"/>
      <c r="AN6239" s="500"/>
      <c r="AO6239" s="500"/>
      <c r="AP6239" s="500"/>
    </row>
    <row r="6240" spans="1:42" ht="16.5" customHeight="1">
      <c r="A6240" s="439"/>
      <c r="B6240" s="439"/>
      <c r="C6240" s="517"/>
      <c r="D6240" s="517"/>
      <c r="E6240" s="517"/>
      <c r="F6240" s="517"/>
      <c r="G6240" s="451" t="s">
        <v>3406</v>
      </c>
      <c r="Z6240" s="500"/>
      <c r="AA6240" s="500"/>
      <c r="AB6240" s="500"/>
      <c r="AC6240" s="500"/>
      <c r="AD6240" s="500"/>
      <c r="AE6240" s="500"/>
      <c r="AF6240" s="500"/>
      <c r="AG6240" s="500"/>
      <c r="AH6240" s="500"/>
      <c r="AI6240" s="500"/>
      <c r="AJ6240" s="500"/>
      <c r="AK6240" s="500"/>
      <c r="AL6240" s="500"/>
      <c r="AM6240" s="500"/>
      <c r="AN6240" s="500"/>
      <c r="AO6240" s="500"/>
      <c r="AP6240" s="500"/>
    </row>
    <row r="6241" spans="1:42" ht="16.5" customHeight="1">
      <c r="A6241" s="439"/>
      <c r="B6241" s="439"/>
      <c r="C6241" s="439"/>
      <c r="D6241" s="439"/>
      <c r="E6241" s="439"/>
      <c r="F6241" s="439"/>
      <c r="G6241" s="451" t="s">
        <v>3406</v>
      </c>
      <c r="Z6241" s="500"/>
      <c r="AA6241" s="500"/>
      <c r="AB6241" s="500"/>
      <c r="AC6241" s="500"/>
      <c r="AD6241" s="500"/>
      <c r="AE6241" s="500"/>
      <c r="AF6241" s="500"/>
      <c r="AG6241" s="500"/>
      <c r="AH6241" s="500"/>
      <c r="AI6241" s="500"/>
      <c r="AJ6241" s="500"/>
      <c r="AK6241" s="500"/>
      <c r="AL6241" s="500"/>
      <c r="AM6241" s="500"/>
      <c r="AN6241" s="500"/>
      <c r="AO6241" s="500"/>
      <c r="AP6241" s="500"/>
    </row>
    <row r="6242" spans="1:42" ht="16.5" customHeight="1">
      <c r="A6242" s="434" t="s">
        <v>3997</v>
      </c>
      <c r="B6242" s="505" t="str">
        <f>" 경비로 적용 : "&amp;TEXT(I6242,"#,##0"&amp;IF(I6242&lt;&gt;INT(I6242),".###",""))&amp;"  = "&amp;TEXT(C6242,"#,##0.0")&amp;""</f>
        <v xml:space="preserve"> 경비로 적용 : 177,435.4  = 177,435.4</v>
      </c>
      <c r="C6242" s="506">
        <f>E6242+D6242+F6242</f>
        <v>177435.4</v>
      </c>
      <c r="D6242" s="506">
        <f>IF(H6242=0,0,ROUNDDOWN(J6242*H6242,1))</f>
        <v>0</v>
      </c>
      <c r="E6242" s="506">
        <f>IF(H6242=0,0,ROUNDDOWN(K6242*H6242,1))</f>
        <v>0</v>
      </c>
      <c r="F6242" s="506">
        <f>IF(H6242=0,0,ROUNDDOWN(L6242*H6242,1))</f>
        <v>177435.4</v>
      </c>
      <c r="G6242" s="451" t="s">
        <v>3998</v>
      </c>
      <c r="H6242" s="507">
        <f>ROUNDUP(AB6242,14-LEN(ABS(INT(AB6242))))</f>
        <v>1</v>
      </c>
      <c r="I6242" s="508">
        <f>K6242+J6242+L6242</f>
        <v>177435.4</v>
      </c>
      <c r="J6242" s="456">
        <v>0</v>
      </c>
      <c r="K6242" s="456">
        <v>0</v>
      </c>
      <c r="L6242" s="518">
        <v>177435.4</v>
      </c>
      <c r="M6242" s="501" t="s">
        <v>3999</v>
      </c>
      <c r="N6242" s="501" t="s">
        <v>2354</v>
      </c>
      <c r="Z6242" s="501" t="s">
        <v>4000</v>
      </c>
      <c r="AA6242" s="501" t="s">
        <v>3418</v>
      </c>
      <c r="AB6242" s="512">
        <f>1</f>
        <v>1</v>
      </c>
      <c r="AC6242" s="500"/>
      <c r="AD6242" s="500"/>
      <c r="AE6242" s="500"/>
      <c r="AF6242" s="500"/>
      <c r="AG6242" s="500"/>
      <c r="AH6242" s="500"/>
      <c r="AI6242" s="500"/>
      <c r="AJ6242" s="500"/>
      <c r="AK6242" s="500"/>
      <c r="AL6242" s="500"/>
      <c r="AM6242" s="500"/>
      <c r="AN6242" s="500"/>
      <c r="AO6242" s="500"/>
      <c r="AP6242" s="500"/>
    </row>
    <row r="6243" spans="1:42" ht="16.5" customHeight="1">
      <c r="A6243" s="439"/>
      <c r="B6243" s="439"/>
      <c r="C6243" s="439"/>
      <c r="D6243" s="439"/>
      <c r="E6243" s="439"/>
      <c r="F6243" s="439"/>
      <c r="Z6243" s="500"/>
      <c r="AA6243" s="500"/>
      <c r="AB6243" s="500"/>
      <c r="AC6243" s="500"/>
      <c r="AD6243" s="500"/>
      <c r="AE6243" s="500"/>
      <c r="AF6243" s="500"/>
      <c r="AG6243" s="500"/>
      <c r="AH6243" s="500"/>
      <c r="AI6243" s="500"/>
      <c r="AJ6243" s="500"/>
      <c r="AK6243" s="500"/>
      <c r="AL6243" s="500"/>
      <c r="AM6243" s="500"/>
      <c r="AN6243" s="500"/>
      <c r="AO6243" s="500"/>
      <c r="AP6243" s="500"/>
    </row>
    <row r="6244" spans="1:42" ht="16.5" customHeight="1">
      <c r="A6244" s="439"/>
      <c r="B6244" s="439"/>
      <c r="C6244" s="439"/>
      <c r="D6244" s="439"/>
      <c r="E6244" s="439"/>
      <c r="F6244" s="439"/>
      <c r="Z6244" s="500"/>
      <c r="AA6244" s="500"/>
      <c r="AB6244" s="500"/>
      <c r="AC6244" s="500"/>
      <c r="AD6244" s="500"/>
      <c r="AE6244" s="500"/>
      <c r="AF6244" s="500"/>
      <c r="AG6244" s="500"/>
      <c r="AH6244" s="500"/>
      <c r="AI6244" s="500"/>
      <c r="AJ6244" s="500"/>
      <c r="AK6244" s="500"/>
      <c r="AL6244" s="500"/>
      <c r="AM6244" s="500"/>
      <c r="AN6244" s="500"/>
      <c r="AO6244" s="500"/>
      <c r="AP6244" s="500"/>
    </row>
    <row r="6245" spans="1:42" ht="16.5" customHeight="1">
      <c r="A6245" s="439"/>
      <c r="B6245" s="439"/>
      <c r="C6245" s="439"/>
      <c r="D6245" s="439"/>
      <c r="E6245" s="439"/>
      <c r="F6245" s="439"/>
      <c r="Z6245" s="500"/>
      <c r="AA6245" s="500"/>
      <c r="AB6245" s="500"/>
      <c r="AC6245" s="500"/>
      <c r="AD6245" s="500"/>
      <c r="AE6245" s="500"/>
      <c r="AF6245" s="500"/>
      <c r="AG6245" s="500"/>
      <c r="AH6245" s="500"/>
      <c r="AI6245" s="500"/>
      <c r="AJ6245" s="500"/>
      <c r="AK6245" s="500"/>
      <c r="AL6245" s="500"/>
      <c r="AM6245" s="500"/>
      <c r="AN6245" s="500"/>
      <c r="AO6245" s="500"/>
      <c r="AP6245" s="500"/>
    </row>
    <row r="6246" spans="1:42" ht="16.5" customHeight="1">
      <c r="A6246" s="439"/>
      <c r="B6246" s="439"/>
      <c r="C6246" s="439"/>
      <c r="D6246" s="439"/>
      <c r="E6246" s="439"/>
      <c r="F6246" s="439"/>
      <c r="Z6246" s="500"/>
      <c r="AA6246" s="500"/>
      <c r="AB6246" s="500"/>
      <c r="AC6246" s="500"/>
      <c r="AD6246" s="500"/>
      <c r="AE6246" s="500"/>
      <c r="AF6246" s="500"/>
      <c r="AG6246" s="500"/>
      <c r="AH6246" s="500"/>
      <c r="AI6246" s="500"/>
      <c r="AJ6246" s="500"/>
      <c r="AK6246" s="500"/>
      <c r="AL6246" s="500"/>
      <c r="AM6246" s="500"/>
      <c r="AN6246" s="500"/>
      <c r="AO6246" s="500"/>
      <c r="AP6246" s="500"/>
    </row>
    <row r="6247" spans="1:42" ht="16.5" customHeight="1">
      <c r="A6247" s="439"/>
      <c r="B6247" s="439"/>
      <c r="C6247" s="439"/>
      <c r="D6247" s="439"/>
      <c r="E6247" s="439"/>
      <c r="F6247" s="439"/>
      <c r="Z6247" s="500"/>
      <c r="AA6247" s="500"/>
      <c r="AB6247" s="500"/>
      <c r="AC6247" s="500"/>
      <c r="AD6247" s="500"/>
      <c r="AE6247" s="500"/>
      <c r="AF6247" s="500"/>
      <c r="AG6247" s="500"/>
      <c r="AH6247" s="500"/>
      <c r="AI6247" s="500"/>
      <c r="AJ6247" s="500"/>
      <c r="AK6247" s="500"/>
      <c r="AL6247" s="500"/>
      <c r="AM6247" s="500"/>
      <c r="AN6247" s="500"/>
      <c r="AO6247" s="500"/>
      <c r="AP6247" s="500"/>
    </row>
    <row r="6248" spans="1:42" ht="16.5" customHeight="1">
      <c r="A6248" s="439"/>
      <c r="B6248" s="439"/>
      <c r="C6248" s="439"/>
      <c r="D6248" s="439"/>
      <c r="E6248" s="439"/>
      <c r="F6248" s="439"/>
      <c r="Z6248" s="500"/>
      <c r="AA6248" s="500"/>
      <c r="AB6248" s="500"/>
      <c r="AC6248" s="500"/>
      <c r="AD6248" s="500"/>
      <c r="AE6248" s="500"/>
      <c r="AF6248" s="500"/>
      <c r="AG6248" s="500"/>
      <c r="AH6248" s="500"/>
      <c r="AI6248" s="500"/>
      <c r="AJ6248" s="500"/>
      <c r="AK6248" s="500"/>
      <c r="AL6248" s="500"/>
      <c r="AM6248" s="500"/>
      <c r="AN6248" s="500"/>
      <c r="AO6248" s="500"/>
      <c r="AP6248" s="500"/>
    </row>
    <row r="6249" spans="1:42" ht="16.5" customHeight="1">
      <c r="A6249" s="439"/>
      <c r="B6249" s="439"/>
      <c r="C6249" s="439"/>
      <c r="D6249" s="439"/>
      <c r="E6249" s="439"/>
      <c r="F6249" s="439"/>
      <c r="Z6249" s="500"/>
      <c r="AA6249" s="500"/>
      <c r="AB6249" s="500"/>
      <c r="AC6249" s="500"/>
      <c r="AD6249" s="500"/>
      <c r="AE6249" s="500"/>
      <c r="AF6249" s="500"/>
      <c r="AG6249" s="500"/>
      <c r="AH6249" s="500"/>
      <c r="AI6249" s="500"/>
      <c r="AJ6249" s="500"/>
      <c r="AK6249" s="500"/>
      <c r="AL6249" s="500"/>
      <c r="AM6249" s="500"/>
      <c r="AN6249" s="500"/>
      <c r="AO6249" s="500"/>
      <c r="AP6249" s="500"/>
    </row>
    <row r="6250" spans="1:42" ht="16.5" customHeight="1">
      <c r="A6250" s="439"/>
      <c r="B6250" s="439"/>
      <c r="C6250" s="439"/>
      <c r="D6250" s="439"/>
      <c r="E6250" s="439"/>
      <c r="F6250" s="439"/>
      <c r="Z6250" s="500"/>
      <c r="AA6250" s="500"/>
      <c r="AB6250" s="500"/>
      <c r="AC6250" s="500"/>
      <c r="AD6250" s="500"/>
      <c r="AE6250" s="500"/>
      <c r="AF6250" s="500"/>
      <c r="AG6250" s="500"/>
      <c r="AH6250" s="500"/>
      <c r="AI6250" s="500"/>
      <c r="AJ6250" s="500"/>
      <c r="AK6250" s="500"/>
      <c r="AL6250" s="500"/>
      <c r="AM6250" s="500"/>
      <c r="AN6250" s="500"/>
      <c r="AO6250" s="500"/>
      <c r="AP6250" s="500"/>
    </row>
    <row r="6251" spans="1:42" ht="16.5" customHeight="1">
      <c r="A6251" s="439"/>
      <c r="B6251" s="439"/>
      <c r="C6251" s="439"/>
      <c r="D6251" s="439"/>
      <c r="E6251" s="439"/>
      <c r="F6251" s="439"/>
      <c r="Z6251" s="500"/>
      <c r="AA6251" s="500"/>
      <c r="AB6251" s="500"/>
      <c r="AC6251" s="500"/>
      <c r="AD6251" s="500"/>
      <c r="AE6251" s="500"/>
      <c r="AF6251" s="500"/>
      <c r="AG6251" s="500"/>
      <c r="AH6251" s="500"/>
      <c r="AI6251" s="500"/>
      <c r="AJ6251" s="500"/>
      <c r="AK6251" s="500"/>
      <c r="AL6251" s="500"/>
      <c r="AM6251" s="500"/>
      <c r="AN6251" s="500"/>
      <c r="AO6251" s="500"/>
      <c r="AP6251" s="500"/>
    </row>
    <row r="6252" spans="1:42" ht="16.5" customHeight="1">
      <c r="A6252" s="439"/>
      <c r="B6252" s="439"/>
      <c r="C6252" s="439"/>
      <c r="D6252" s="439"/>
      <c r="E6252" s="439"/>
      <c r="F6252" s="439"/>
      <c r="Z6252" s="500"/>
      <c r="AA6252" s="500"/>
      <c r="AB6252" s="500"/>
      <c r="AC6252" s="500"/>
      <c r="AD6252" s="500"/>
      <c r="AE6252" s="500"/>
      <c r="AF6252" s="500"/>
      <c r="AG6252" s="500"/>
      <c r="AH6252" s="500"/>
      <c r="AI6252" s="500"/>
      <c r="AJ6252" s="500"/>
      <c r="AK6252" s="500"/>
      <c r="AL6252" s="500"/>
      <c r="AM6252" s="500"/>
      <c r="AN6252" s="500"/>
      <c r="AO6252" s="500"/>
      <c r="AP6252" s="500"/>
    </row>
    <row r="6253" spans="1:42" ht="16.5" customHeight="1">
      <c r="A6253" s="497"/>
      <c r="B6253" s="497"/>
      <c r="C6253" s="497"/>
      <c r="D6253" s="497"/>
      <c r="E6253" s="497"/>
      <c r="F6253" s="497"/>
      <c r="Z6253" s="500"/>
      <c r="AA6253" s="500"/>
      <c r="AB6253" s="500"/>
      <c r="AC6253" s="500"/>
      <c r="AD6253" s="500"/>
      <c r="AE6253" s="500"/>
      <c r="AF6253" s="500"/>
      <c r="AG6253" s="500"/>
      <c r="AH6253" s="500"/>
      <c r="AI6253" s="500"/>
      <c r="AJ6253" s="500"/>
      <c r="AK6253" s="500"/>
      <c r="AL6253" s="500"/>
      <c r="AM6253" s="500"/>
      <c r="AN6253" s="500"/>
      <c r="AO6253" s="500"/>
      <c r="AP6253" s="500"/>
    </row>
    <row r="6254" spans="1:42" ht="16.5" customHeight="1">
      <c r="A6254" s="616" t="s">
        <v>3487</v>
      </c>
      <c r="B6254" s="605"/>
      <c r="C6254" s="446">
        <f>E6254+D6254+F6254</f>
        <v>177435</v>
      </c>
      <c r="D6254" s="453">
        <f>ROUNDDOWN(SUMIF(N6207:N6242,M6254,D6207:D6242),0)</f>
        <v>0</v>
      </c>
      <c r="E6254" s="454">
        <f>ROUNDDOWN(SUMIF(N6207:N6242,M6254,E6207:E6242),0)</f>
        <v>0</v>
      </c>
      <c r="F6254" s="446">
        <f>ROUNDDOWN(SUMIF(N6207:N6242,M6254,F6207:F6242),0)</f>
        <v>177435</v>
      </c>
      <c r="M6254" s="501" t="s">
        <v>2354</v>
      </c>
      <c r="Z6254" s="500"/>
      <c r="AA6254" s="500"/>
      <c r="AB6254" s="500"/>
      <c r="AC6254" s="500"/>
      <c r="AD6254" s="500"/>
      <c r="AE6254" s="500"/>
      <c r="AF6254" s="500"/>
      <c r="AG6254" s="500"/>
      <c r="AH6254" s="500"/>
      <c r="AI6254" s="500"/>
      <c r="AJ6254" s="500"/>
      <c r="AK6254" s="500"/>
      <c r="AL6254" s="500"/>
      <c r="AM6254" s="500"/>
      <c r="AN6254" s="500"/>
      <c r="AO6254" s="500"/>
      <c r="AP6254" s="500"/>
    </row>
    <row r="6255" spans="1:42" ht="16.5" customHeight="1">
      <c r="A6255" s="502"/>
      <c r="B6255" s="503" t="s">
        <v>2145</v>
      </c>
      <c r="C6255" s="615">
        <f>C6304</f>
        <v>214148</v>
      </c>
      <c r="D6255" s="615">
        <f>D6304</f>
        <v>0</v>
      </c>
      <c r="E6255" s="615">
        <f>E6304</f>
        <v>0</v>
      </c>
      <c r="F6255" s="615">
        <f>F6304</f>
        <v>214148</v>
      </c>
      <c r="G6255" s="486" t="str">
        <f>HYPERLINK("#G"&amp;ROW(G6292),"_x0005_`BDCOD|D01182_x0007_`POSS|"&amp;ROW(G6257)&amp;"_x0007_`POSE|"&amp;ROW(G6292)&amp;"_x0007_`")</f>
        <v>_x0005_`BDCOD|D01182_x0007_`POSS|6257_x0007_`POSE|6292_x0007_`</v>
      </c>
      <c r="Z6255" s="500"/>
      <c r="AA6255" s="500"/>
      <c r="AB6255" s="500"/>
      <c r="AC6255" s="500"/>
      <c r="AD6255" s="500"/>
      <c r="AE6255" s="500"/>
      <c r="AF6255" s="500"/>
      <c r="AG6255" s="500"/>
      <c r="AH6255" s="500"/>
      <c r="AI6255" s="500"/>
      <c r="AJ6255" s="500"/>
      <c r="AK6255" s="500"/>
      <c r="AL6255" s="500"/>
      <c r="AM6255" s="500"/>
      <c r="AN6255" s="500"/>
      <c r="AO6255" s="500"/>
      <c r="AP6255" s="500"/>
    </row>
    <row r="6256" spans="1:42" ht="16.5" customHeight="1">
      <c r="A6256" s="485"/>
      <c r="B6256" s="503" t="s">
        <v>4049</v>
      </c>
      <c r="C6256" s="593"/>
      <c r="D6256" s="593"/>
      <c r="E6256" s="593"/>
      <c r="F6256" s="593"/>
      <c r="M6256" s="501" t="s">
        <v>2145</v>
      </c>
      <c r="Z6256" s="500"/>
      <c r="AA6256" s="500"/>
      <c r="AB6256" s="500"/>
      <c r="AC6256" s="500"/>
      <c r="AD6256" s="500"/>
      <c r="AE6256" s="500"/>
      <c r="AF6256" s="500"/>
      <c r="AG6256" s="500"/>
      <c r="AH6256" s="500"/>
      <c r="AI6256" s="500"/>
      <c r="AJ6256" s="500"/>
      <c r="AK6256" s="500"/>
      <c r="AL6256" s="500"/>
      <c r="AM6256" s="500"/>
      <c r="AN6256" s="500"/>
      <c r="AO6256" s="500"/>
      <c r="AP6256" s="500"/>
    </row>
    <row r="6257" spans="1:42" ht="16.5" customHeight="1">
      <c r="A6257" s="434"/>
      <c r="B6257" s="437" t="s">
        <v>3980</v>
      </c>
      <c r="C6257" s="504"/>
      <c r="D6257" s="504"/>
      <c r="E6257" s="504"/>
      <c r="F6257" s="504"/>
      <c r="G6257" s="451" t="s">
        <v>3981</v>
      </c>
      <c r="Z6257" s="500"/>
      <c r="AA6257" s="500"/>
      <c r="AB6257" s="500"/>
      <c r="AC6257" s="500"/>
      <c r="AD6257" s="500"/>
      <c r="AE6257" s="500"/>
      <c r="AF6257" s="500"/>
      <c r="AG6257" s="500"/>
      <c r="AH6257" s="500"/>
      <c r="AI6257" s="500"/>
      <c r="AJ6257" s="500"/>
      <c r="AK6257" s="500"/>
      <c r="AL6257" s="500"/>
      <c r="AM6257" s="500"/>
      <c r="AN6257" s="500"/>
      <c r="AO6257" s="500"/>
      <c r="AP6257" s="500"/>
    </row>
    <row r="6258" spans="1:42" ht="16.5" customHeight="1">
      <c r="A6258" s="439"/>
      <c r="B6258" s="439"/>
      <c r="C6258" s="439"/>
      <c r="D6258" s="439"/>
      <c r="E6258" s="439"/>
      <c r="F6258" s="439"/>
      <c r="G6258" s="451" t="s">
        <v>3406</v>
      </c>
      <c r="Z6258" s="500"/>
      <c r="AA6258" s="500"/>
      <c r="AB6258" s="500"/>
      <c r="AC6258" s="500"/>
      <c r="AD6258" s="500"/>
      <c r="AE6258" s="500"/>
      <c r="AF6258" s="500"/>
      <c r="AG6258" s="500"/>
      <c r="AH6258" s="500"/>
      <c r="AI6258" s="500"/>
      <c r="AJ6258" s="500"/>
      <c r="AK6258" s="500"/>
      <c r="AL6258" s="500"/>
      <c r="AM6258" s="500"/>
      <c r="AN6258" s="500"/>
      <c r="AO6258" s="500"/>
      <c r="AP6258" s="500"/>
    </row>
    <row r="6259" spans="1:42" ht="16.5" customHeight="1">
      <c r="A6259" s="434"/>
      <c r="B6259" s="437" t="s">
        <v>4050</v>
      </c>
      <c r="C6259" s="439"/>
      <c r="D6259" s="439"/>
      <c r="E6259" s="439"/>
      <c r="F6259" s="439"/>
      <c r="G6259" s="451" t="s">
        <v>4051</v>
      </c>
      <c r="Z6259" s="500"/>
      <c r="AA6259" s="500"/>
      <c r="AB6259" s="500"/>
      <c r="AC6259" s="500"/>
      <c r="AD6259" s="500"/>
      <c r="AE6259" s="500"/>
      <c r="AF6259" s="500"/>
      <c r="AG6259" s="500"/>
      <c r="AH6259" s="500"/>
      <c r="AI6259" s="500"/>
      <c r="AJ6259" s="500"/>
      <c r="AK6259" s="500"/>
      <c r="AL6259" s="500"/>
      <c r="AM6259" s="500"/>
      <c r="AN6259" s="500"/>
      <c r="AO6259" s="500"/>
      <c r="AP6259" s="500"/>
    </row>
    <row r="6260" spans="1:42" ht="16.5" customHeight="1">
      <c r="A6260" s="439"/>
      <c r="B6260" s="439"/>
      <c r="C6260" s="439"/>
      <c r="D6260" s="439"/>
      <c r="E6260" s="439"/>
      <c r="F6260" s="439"/>
      <c r="G6260" s="451" t="s">
        <v>3406</v>
      </c>
      <c r="Z6260" s="500"/>
      <c r="AA6260" s="500"/>
      <c r="AB6260" s="500"/>
      <c r="AC6260" s="500"/>
      <c r="AD6260" s="500"/>
      <c r="AE6260" s="500"/>
      <c r="AF6260" s="500"/>
      <c r="AG6260" s="500"/>
      <c r="AH6260" s="500"/>
      <c r="AI6260" s="500"/>
      <c r="AJ6260" s="500"/>
      <c r="AK6260" s="500"/>
      <c r="AL6260" s="500"/>
      <c r="AM6260" s="500"/>
      <c r="AN6260" s="500"/>
      <c r="AO6260" s="500"/>
      <c r="AP6260" s="500"/>
    </row>
    <row r="6261" spans="1:42" ht="16.5" customHeight="1">
      <c r="A6261" s="439"/>
      <c r="B6261" s="439"/>
      <c r="C6261" s="439"/>
      <c r="D6261" s="439"/>
      <c r="E6261" s="439"/>
      <c r="F6261" s="439"/>
      <c r="G6261" s="451" t="s">
        <v>3406</v>
      </c>
      <c r="Z6261" s="500"/>
      <c r="AA6261" s="500"/>
      <c r="AB6261" s="500"/>
      <c r="AC6261" s="500"/>
      <c r="AD6261" s="500"/>
      <c r="AE6261" s="500"/>
      <c r="AF6261" s="500"/>
      <c r="AG6261" s="500"/>
      <c r="AH6261" s="500"/>
      <c r="AI6261" s="500"/>
      <c r="AJ6261" s="500"/>
      <c r="AK6261" s="500"/>
      <c r="AL6261" s="500"/>
      <c r="AM6261" s="500"/>
      <c r="AN6261" s="500"/>
      <c r="AO6261" s="500"/>
      <c r="AP6261" s="500"/>
    </row>
    <row r="6262" spans="1:42" ht="16.5" customHeight="1">
      <c r="A6262" s="434"/>
      <c r="B6262" s="437" t="s">
        <v>3984</v>
      </c>
      <c r="C6262" s="439"/>
      <c r="D6262" s="439"/>
      <c r="E6262" s="439"/>
      <c r="F6262" s="439"/>
      <c r="G6262" s="451" t="s">
        <v>3985</v>
      </c>
      <c r="Z6262" s="500"/>
      <c r="AA6262" s="500"/>
      <c r="AB6262" s="500"/>
      <c r="AC6262" s="500"/>
      <c r="AD6262" s="500"/>
      <c r="AE6262" s="500"/>
      <c r="AF6262" s="500"/>
      <c r="AG6262" s="500"/>
      <c r="AH6262" s="500"/>
      <c r="AI6262" s="500"/>
      <c r="AJ6262" s="500"/>
      <c r="AK6262" s="500"/>
      <c r="AL6262" s="500"/>
      <c r="AM6262" s="500"/>
      <c r="AN6262" s="500"/>
      <c r="AO6262" s="500"/>
      <c r="AP6262" s="500"/>
    </row>
    <row r="6263" spans="1:42" ht="16.5" customHeight="1">
      <c r="A6263" s="439"/>
      <c r="B6263" s="439"/>
      <c r="C6263" s="439"/>
      <c r="D6263" s="439"/>
      <c r="E6263" s="439"/>
      <c r="F6263" s="439"/>
      <c r="G6263" s="451" t="s">
        <v>3406</v>
      </c>
      <c r="Z6263" s="500"/>
      <c r="AA6263" s="500"/>
      <c r="AB6263" s="500"/>
      <c r="AC6263" s="500"/>
      <c r="AD6263" s="500"/>
      <c r="AE6263" s="500"/>
      <c r="AF6263" s="500"/>
      <c r="AG6263" s="500"/>
      <c r="AH6263" s="500"/>
      <c r="AI6263" s="500"/>
      <c r="AJ6263" s="500"/>
      <c r="AK6263" s="500"/>
      <c r="AL6263" s="500"/>
      <c r="AM6263" s="500"/>
      <c r="AN6263" s="500"/>
      <c r="AO6263" s="500"/>
      <c r="AP6263" s="500"/>
    </row>
    <row r="6264" spans="1:42" ht="16.5" customHeight="1">
      <c r="A6264" s="439"/>
      <c r="B6264" s="439"/>
      <c r="C6264" s="439"/>
      <c r="D6264" s="439"/>
      <c r="E6264" s="439"/>
      <c r="F6264" s="439"/>
      <c r="G6264" s="451" t="s">
        <v>3406</v>
      </c>
      <c r="Z6264" s="500"/>
      <c r="AA6264" s="500"/>
      <c r="AB6264" s="500"/>
      <c r="AC6264" s="500"/>
      <c r="AD6264" s="500"/>
      <c r="AE6264" s="500"/>
      <c r="AF6264" s="500"/>
      <c r="AG6264" s="500"/>
      <c r="AH6264" s="500"/>
      <c r="AI6264" s="500"/>
      <c r="AJ6264" s="500"/>
      <c r="AK6264" s="500"/>
      <c r="AL6264" s="500"/>
      <c r="AM6264" s="500"/>
      <c r="AN6264" s="500"/>
      <c r="AO6264" s="500"/>
      <c r="AP6264" s="500"/>
    </row>
    <row r="6265" spans="1:42" ht="16.5" customHeight="1">
      <c r="A6265" s="434"/>
      <c r="B6265" s="437" t="s">
        <v>3986</v>
      </c>
      <c r="C6265" s="439"/>
      <c r="D6265" s="439"/>
      <c r="E6265" s="439"/>
      <c r="F6265" s="439"/>
      <c r="G6265" s="451" t="s">
        <v>3987</v>
      </c>
      <c r="Z6265" s="500"/>
      <c r="AA6265" s="500"/>
      <c r="AB6265" s="500"/>
      <c r="AC6265" s="500"/>
      <c r="AD6265" s="500"/>
      <c r="AE6265" s="500"/>
      <c r="AF6265" s="500"/>
      <c r="AG6265" s="500"/>
      <c r="AH6265" s="500"/>
      <c r="AI6265" s="500"/>
      <c r="AJ6265" s="500"/>
      <c r="AK6265" s="500"/>
      <c r="AL6265" s="500"/>
      <c r="AM6265" s="500"/>
      <c r="AN6265" s="500"/>
      <c r="AO6265" s="500"/>
      <c r="AP6265" s="500"/>
    </row>
    <row r="6266" spans="1:42" ht="16.5" customHeight="1">
      <c r="A6266" s="439"/>
      <c r="B6266" s="439"/>
      <c r="C6266" s="439"/>
      <c r="D6266" s="439"/>
      <c r="E6266" s="439"/>
      <c r="F6266" s="439"/>
      <c r="G6266" s="451" t="s">
        <v>3406</v>
      </c>
      <c r="Z6266" s="500"/>
      <c r="AA6266" s="500"/>
      <c r="AB6266" s="500"/>
      <c r="AC6266" s="500"/>
      <c r="AD6266" s="500"/>
      <c r="AE6266" s="500"/>
      <c r="AF6266" s="500"/>
      <c r="AG6266" s="500"/>
      <c r="AH6266" s="500"/>
      <c r="AI6266" s="500"/>
      <c r="AJ6266" s="500"/>
      <c r="AK6266" s="500"/>
      <c r="AL6266" s="500"/>
      <c r="AM6266" s="500"/>
      <c r="AN6266" s="500"/>
      <c r="AO6266" s="500"/>
      <c r="AP6266" s="500"/>
    </row>
    <row r="6267" spans="1:42" ht="16.5" customHeight="1">
      <c r="A6267" s="439"/>
      <c r="B6267" s="439"/>
      <c r="C6267" s="439"/>
      <c r="D6267" s="439"/>
      <c r="E6267" s="439"/>
      <c r="F6267" s="439"/>
      <c r="G6267" s="451" t="s">
        <v>3406</v>
      </c>
      <c r="Z6267" s="500"/>
      <c r="AA6267" s="500"/>
      <c r="AB6267" s="500"/>
      <c r="AC6267" s="500"/>
      <c r="AD6267" s="500"/>
      <c r="AE6267" s="500"/>
      <c r="AF6267" s="500"/>
      <c r="AG6267" s="500"/>
      <c r="AH6267" s="500"/>
      <c r="AI6267" s="500"/>
      <c r="AJ6267" s="500"/>
      <c r="AK6267" s="500"/>
      <c r="AL6267" s="500"/>
      <c r="AM6267" s="500"/>
      <c r="AN6267" s="500"/>
      <c r="AO6267" s="500"/>
      <c r="AP6267" s="500"/>
    </row>
    <row r="6268" spans="1:42" ht="16.5" customHeight="1">
      <c r="A6268" s="434"/>
      <c r="B6268" s="437" t="str">
        <f>" L = "&amp;Z6268&amp;" , V = "&amp;AD6268&amp;" , t = "&amp;AH6268&amp;"  , T = "&amp;AL6268&amp;"-"&amp;AN6268&amp;""</f>
        <v xml:space="preserve"> L = 250 , V = 2500 , t = 2  , T = 480-30</v>
      </c>
      <c r="C6268" s="439"/>
      <c r="D6268" s="439"/>
      <c r="E6268" s="439"/>
      <c r="F6268" s="439"/>
      <c r="G6268" s="451" t="s">
        <v>4052</v>
      </c>
      <c r="Z6268" s="515">
        <v>250</v>
      </c>
      <c r="AA6268" s="501" t="s">
        <v>3418</v>
      </c>
      <c r="AB6268" s="512">
        <f>Z6268</f>
        <v>250</v>
      </c>
      <c r="AC6268" s="514" t="s">
        <v>3427</v>
      </c>
      <c r="AD6268" s="515">
        <v>2500</v>
      </c>
      <c r="AE6268" s="501" t="s">
        <v>3418</v>
      </c>
      <c r="AF6268" s="512">
        <f>AD6268</f>
        <v>2500</v>
      </c>
      <c r="AG6268" s="514" t="s">
        <v>3427</v>
      </c>
      <c r="AH6268" s="515">
        <v>2</v>
      </c>
      <c r="AI6268" s="501" t="s">
        <v>3418</v>
      </c>
      <c r="AJ6268" s="512">
        <f>AH6268</f>
        <v>2</v>
      </c>
      <c r="AK6268" s="514" t="s">
        <v>3427</v>
      </c>
      <c r="AL6268" s="515">
        <v>480</v>
      </c>
      <c r="AM6268" s="501" t="s">
        <v>3474</v>
      </c>
      <c r="AN6268" s="515">
        <v>30</v>
      </c>
      <c r="AO6268" s="501" t="s">
        <v>3418</v>
      </c>
      <c r="AP6268" s="512">
        <f>AL6268-AN6268</f>
        <v>450</v>
      </c>
    </row>
    <row r="6269" spans="1:42" ht="16.5" customHeight="1">
      <c r="A6269" s="439"/>
      <c r="B6269" s="439"/>
      <c r="C6269" s="439"/>
      <c r="D6269" s="439"/>
      <c r="E6269" s="439"/>
      <c r="F6269" s="439"/>
      <c r="G6269" s="451" t="s">
        <v>3406</v>
      </c>
      <c r="Z6269" s="500"/>
      <c r="AA6269" s="500"/>
      <c r="AB6269" s="500"/>
      <c r="AC6269" s="500"/>
      <c r="AD6269" s="500"/>
      <c r="AE6269" s="500"/>
      <c r="AF6269" s="500"/>
      <c r="AG6269" s="500"/>
      <c r="AH6269" s="500"/>
      <c r="AI6269" s="500"/>
      <c r="AJ6269" s="500"/>
      <c r="AK6269" s="500"/>
      <c r="AL6269" s="500"/>
      <c r="AM6269" s="500"/>
      <c r="AN6269" s="500"/>
      <c r="AO6269" s="500"/>
      <c r="AP6269" s="500"/>
    </row>
    <row r="6270" spans="1:42" ht="16.5" customHeight="1">
      <c r="A6270" s="439"/>
      <c r="B6270" s="439"/>
      <c r="C6270" s="439"/>
      <c r="D6270" s="439"/>
      <c r="E6270" s="439"/>
      <c r="F6270" s="439"/>
      <c r="G6270" s="451" t="s">
        <v>3406</v>
      </c>
      <c r="Z6270" s="500"/>
      <c r="AA6270" s="500"/>
      <c r="AB6270" s="500"/>
      <c r="AC6270" s="500"/>
      <c r="AD6270" s="500"/>
      <c r="AE6270" s="500"/>
      <c r="AF6270" s="500"/>
      <c r="AG6270" s="500"/>
      <c r="AH6270" s="500"/>
      <c r="AI6270" s="500"/>
      <c r="AJ6270" s="500"/>
      <c r="AK6270" s="500"/>
      <c r="AL6270" s="500"/>
      <c r="AM6270" s="500"/>
      <c r="AN6270" s="500"/>
      <c r="AO6270" s="500"/>
      <c r="AP6270" s="500"/>
    </row>
    <row r="6271" spans="1:42" ht="16.5" customHeight="1">
      <c r="A6271" s="439"/>
      <c r="B6271" s="439"/>
      <c r="C6271" s="439"/>
      <c r="D6271" s="439"/>
      <c r="E6271" s="439"/>
      <c r="F6271" s="439"/>
      <c r="G6271" s="451" t="s">
        <v>3406</v>
      </c>
      <c r="Z6271" s="500"/>
      <c r="AA6271" s="500"/>
      <c r="AB6271" s="500"/>
      <c r="AC6271" s="500"/>
      <c r="AD6271" s="500"/>
      <c r="AE6271" s="500"/>
      <c r="AF6271" s="500"/>
      <c r="AG6271" s="500"/>
      <c r="AH6271" s="500"/>
      <c r="AI6271" s="500"/>
      <c r="AJ6271" s="500"/>
      <c r="AK6271" s="500"/>
      <c r="AL6271" s="500"/>
      <c r="AM6271" s="500"/>
      <c r="AN6271" s="500"/>
      <c r="AO6271" s="500"/>
      <c r="AP6271" s="500"/>
    </row>
    <row r="6272" spans="1:42" ht="16.5" customHeight="1">
      <c r="A6272" s="434"/>
      <c r="B6272" s="437" t="str">
        <f>" N = V*T /( "&amp;AD6272&amp;"*L+V*"&amp;AJ6272&amp;" ) = "&amp;AM6272&amp;" 회/일 "</f>
        <v xml:space="preserve"> N = V*T /( 120*L+V*2 ) = 32.14 회/일 </v>
      </c>
      <c r="C6272" s="439"/>
      <c r="D6272" s="439"/>
      <c r="E6272" s="439"/>
      <c r="F6272" s="439"/>
      <c r="G6272" s="451" t="s">
        <v>3989</v>
      </c>
      <c r="Z6272" s="512">
        <f>AF6268</f>
        <v>2500</v>
      </c>
      <c r="AA6272" s="501" t="s">
        <v>3368</v>
      </c>
      <c r="AB6272" s="512">
        <f>AP6268</f>
        <v>450</v>
      </c>
      <c r="AC6272" s="501" t="s">
        <v>3463</v>
      </c>
      <c r="AD6272" s="515">
        <v>120</v>
      </c>
      <c r="AE6272" s="501" t="s">
        <v>3368</v>
      </c>
      <c r="AF6272" s="512">
        <f>AB6268</f>
        <v>250</v>
      </c>
      <c r="AG6272" s="501" t="s">
        <v>3468</v>
      </c>
      <c r="AH6272" s="512">
        <f>AF6268</f>
        <v>2500</v>
      </c>
      <c r="AI6272" s="501" t="s">
        <v>3368</v>
      </c>
      <c r="AJ6272" s="515">
        <v>2</v>
      </c>
      <c r="AK6272" s="501" t="s">
        <v>3464</v>
      </c>
      <c r="AL6272" s="501" t="s">
        <v>3418</v>
      </c>
      <c r="AM6272" s="512" t="str">
        <f>TEXT(ROUND(AF6268*AP6268/(AD6272*AB6268+AF6268*AJ6272),2),"#,0.00")</f>
        <v>32.14</v>
      </c>
      <c r="AN6272" s="500"/>
      <c r="AO6272" s="500"/>
      <c r="AP6272" s="500"/>
    </row>
    <row r="6273" spans="1:42" ht="16.5" customHeight="1">
      <c r="A6273" s="439"/>
      <c r="B6273" s="439"/>
      <c r="C6273" s="439"/>
      <c r="D6273" s="439"/>
      <c r="E6273" s="439"/>
      <c r="F6273" s="439"/>
      <c r="G6273" s="451" t="s">
        <v>3406</v>
      </c>
      <c r="Z6273" s="500"/>
      <c r="AA6273" s="500"/>
      <c r="AB6273" s="500"/>
      <c r="AC6273" s="500"/>
      <c r="AD6273" s="500"/>
      <c r="AE6273" s="500"/>
      <c r="AF6273" s="500"/>
      <c r="AG6273" s="500"/>
      <c r="AH6273" s="500"/>
      <c r="AI6273" s="500"/>
      <c r="AJ6273" s="500"/>
      <c r="AK6273" s="500"/>
      <c r="AL6273" s="500"/>
      <c r="AM6273" s="500"/>
      <c r="AN6273" s="500"/>
      <c r="AO6273" s="500"/>
      <c r="AP6273" s="500"/>
    </row>
    <row r="6274" spans="1:42" ht="16.5" customHeight="1">
      <c r="A6274" s="439"/>
      <c r="B6274" s="439"/>
      <c r="C6274" s="439"/>
      <c r="D6274" s="439"/>
      <c r="E6274" s="439"/>
      <c r="F6274" s="439"/>
      <c r="G6274" s="451" t="s">
        <v>3406</v>
      </c>
      <c r="Z6274" s="500"/>
      <c r="AA6274" s="500"/>
      <c r="AB6274" s="500"/>
      <c r="AC6274" s="500"/>
      <c r="AD6274" s="500"/>
      <c r="AE6274" s="500"/>
      <c r="AF6274" s="500"/>
      <c r="AG6274" s="500"/>
      <c r="AH6274" s="500"/>
      <c r="AI6274" s="500"/>
      <c r="AJ6274" s="500"/>
      <c r="AK6274" s="500"/>
      <c r="AL6274" s="500"/>
      <c r="AM6274" s="500"/>
      <c r="AN6274" s="500"/>
      <c r="AO6274" s="500"/>
      <c r="AP6274" s="500"/>
    </row>
    <row r="6275" spans="1:42" ht="16.5" customHeight="1">
      <c r="A6275" s="439"/>
      <c r="B6275" s="439"/>
      <c r="C6275" s="439"/>
      <c r="D6275" s="439"/>
      <c r="E6275" s="439"/>
      <c r="F6275" s="439"/>
      <c r="G6275" s="451" t="s">
        <v>3406</v>
      </c>
      <c r="Z6275" s="500"/>
      <c r="AA6275" s="500"/>
      <c r="AB6275" s="500"/>
      <c r="AC6275" s="500"/>
      <c r="AD6275" s="500"/>
      <c r="AE6275" s="500"/>
      <c r="AF6275" s="500"/>
      <c r="AG6275" s="500"/>
      <c r="AH6275" s="500"/>
      <c r="AI6275" s="500"/>
      <c r="AJ6275" s="500"/>
      <c r="AK6275" s="500"/>
      <c r="AL6275" s="500"/>
      <c r="AM6275" s="500"/>
      <c r="AN6275" s="500"/>
      <c r="AO6275" s="500"/>
      <c r="AP6275" s="500"/>
    </row>
    <row r="6276" spans="1:42" ht="16.5" customHeight="1">
      <c r="A6276" s="434"/>
      <c r="B6276" s="437" t="str">
        <f>" Q = N*"&amp;AB6276&amp;" ㎏ = "&amp;AD6276&amp;"  kg/일 "</f>
        <v xml:space="preserve"> Q = N*25 ㎏ = 803.50  kg/일 </v>
      </c>
      <c r="C6276" s="439"/>
      <c r="D6276" s="439"/>
      <c r="E6276" s="439"/>
      <c r="F6276" s="439"/>
      <c r="G6276" s="451" t="s">
        <v>3990</v>
      </c>
      <c r="Z6276" s="512" t="str">
        <f>AM6272</f>
        <v>32.14</v>
      </c>
      <c r="AA6276" s="501" t="s">
        <v>3368</v>
      </c>
      <c r="AB6276" s="515">
        <v>25</v>
      </c>
      <c r="AC6276" s="501" t="s">
        <v>3418</v>
      </c>
      <c r="AD6276" s="512" t="str">
        <f>TEXT(ROUND(AM6272*AB6276,2),"#,0.00")</f>
        <v>803.50</v>
      </c>
      <c r="AE6276" s="500"/>
      <c r="AF6276" s="500"/>
      <c r="AG6276" s="500"/>
      <c r="AH6276" s="500"/>
      <c r="AI6276" s="500"/>
      <c r="AJ6276" s="500"/>
      <c r="AK6276" s="500"/>
      <c r="AL6276" s="500"/>
      <c r="AM6276" s="500"/>
      <c r="AN6276" s="500"/>
      <c r="AO6276" s="500"/>
      <c r="AP6276" s="500"/>
    </row>
    <row r="6277" spans="1:42" ht="16.5" customHeight="1">
      <c r="A6277" s="439"/>
      <c r="B6277" s="439"/>
      <c r="C6277" s="439"/>
      <c r="D6277" s="439"/>
      <c r="E6277" s="439"/>
      <c r="F6277" s="439"/>
      <c r="G6277" s="451" t="s">
        <v>3406</v>
      </c>
      <c r="Z6277" s="500"/>
      <c r="AA6277" s="500"/>
      <c r="AB6277" s="500"/>
      <c r="AC6277" s="500"/>
      <c r="AD6277" s="500"/>
      <c r="AE6277" s="500"/>
      <c r="AF6277" s="500"/>
      <c r="AG6277" s="500"/>
      <c r="AH6277" s="500"/>
      <c r="AI6277" s="500"/>
      <c r="AJ6277" s="500"/>
      <c r="AK6277" s="500"/>
      <c r="AL6277" s="500"/>
      <c r="AM6277" s="500"/>
      <c r="AN6277" s="500"/>
      <c r="AO6277" s="500"/>
      <c r="AP6277" s="500"/>
    </row>
    <row r="6278" spans="1:42" ht="16.5" customHeight="1">
      <c r="A6278" s="439"/>
      <c r="B6278" s="439"/>
      <c r="C6278" s="439"/>
      <c r="D6278" s="439"/>
      <c r="E6278" s="439"/>
      <c r="F6278" s="439"/>
      <c r="G6278" s="451" t="s">
        <v>3406</v>
      </c>
      <c r="Z6278" s="500"/>
      <c r="AA6278" s="500"/>
      <c r="AB6278" s="500"/>
      <c r="AC6278" s="500"/>
      <c r="AD6278" s="500"/>
      <c r="AE6278" s="500"/>
      <c r="AF6278" s="500"/>
      <c r="AG6278" s="500"/>
      <c r="AH6278" s="500"/>
      <c r="AI6278" s="500"/>
      <c r="AJ6278" s="500"/>
      <c r="AK6278" s="500"/>
      <c r="AL6278" s="500"/>
      <c r="AM6278" s="500"/>
      <c r="AN6278" s="500"/>
      <c r="AO6278" s="500"/>
      <c r="AP6278" s="500"/>
    </row>
    <row r="6279" spans="1:42" ht="16.5" customHeight="1">
      <c r="A6279" s="439"/>
      <c r="B6279" s="439"/>
      <c r="C6279" s="439"/>
      <c r="D6279" s="439"/>
      <c r="E6279" s="439"/>
      <c r="F6279" s="439"/>
      <c r="G6279" s="451" t="s">
        <v>3406</v>
      </c>
      <c r="Z6279" s="500"/>
      <c r="AA6279" s="500"/>
      <c r="AB6279" s="500"/>
      <c r="AC6279" s="500"/>
      <c r="AD6279" s="500"/>
      <c r="AE6279" s="500"/>
      <c r="AF6279" s="500"/>
      <c r="AG6279" s="500"/>
      <c r="AH6279" s="500"/>
      <c r="AI6279" s="500"/>
      <c r="AJ6279" s="500"/>
      <c r="AK6279" s="500"/>
      <c r="AL6279" s="500"/>
      <c r="AM6279" s="500"/>
      <c r="AN6279" s="500"/>
      <c r="AO6279" s="500"/>
      <c r="AP6279" s="500"/>
    </row>
    <row r="6280" spans="1:42" ht="16.5" customHeight="1">
      <c r="A6280" s="434"/>
      <c r="B6280" s="437" t="str">
        <f>" k = "&amp;Z6280&amp;" kg /Q"</f>
        <v xml:space="preserve"> k = 1000 kg /Q</v>
      </c>
      <c r="C6280" s="439"/>
      <c r="D6280" s="439"/>
      <c r="E6280" s="439"/>
      <c r="F6280" s="439"/>
      <c r="G6280" s="451" t="s">
        <v>3991</v>
      </c>
      <c r="Z6280" s="515">
        <v>1000</v>
      </c>
      <c r="AA6280" s="501" t="s">
        <v>3428</v>
      </c>
      <c r="AB6280" s="512" t="str">
        <f>AD6276</f>
        <v>803.50</v>
      </c>
      <c r="AC6280" s="501" t="s">
        <v>3418</v>
      </c>
      <c r="AD6280" s="512">
        <f>ROUND(Z6280/AD6276,13)</f>
        <v>1.2445550715619</v>
      </c>
      <c r="AE6280" s="500"/>
      <c r="AF6280" s="500"/>
      <c r="AG6280" s="500"/>
      <c r="AH6280" s="500"/>
      <c r="AI6280" s="500"/>
      <c r="AJ6280" s="500"/>
      <c r="AK6280" s="500"/>
      <c r="AL6280" s="500"/>
      <c r="AM6280" s="500"/>
      <c r="AN6280" s="500"/>
      <c r="AO6280" s="500"/>
      <c r="AP6280" s="500"/>
    </row>
    <row r="6281" spans="1:42" ht="16.5" customHeight="1">
      <c r="A6281" s="439"/>
      <c r="B6281" s="439"/>
      <c r="C6281" s="439"/>
      <c r="D6281" s="439"/>
      <c r="E6281" s="439"/>
      <c r="F6281" s="439"/>
      <c r="G6281" s="451" t="s">
        <v>3406</v>
      </c>
      <c r="Z6281" s="500"/>
      <c r="AA6281" s="500"/>
      <c r="AB6281" s="500"/>
      <c r="AC6281" s="500"/>
      <c r="AD6281" s="500"/>
      <c r="AE6281" s="500"/>
      <c r="AF6281" s="500"/>
      <c r="AG6281" s="500"/>
      <c r="AH6281" s="500"/>
      <c r="AI6281" s="500"/>
      <c r="AJ6281" s="500"/>
      <c r="AK6281" s="500"/>
      <c r="AL6281" s="500"/>
      <c r="AM6281" s="500"/>
      <c r="AN6281" s="500"/>
      <c r="AO6281" s="500"/>
      <c r="AP6281" s="500"/>
    </row>
    <row r="6282" spans="1:42" ht="16.5" customHeight="1">
      <c r="A6282" s="439"/>
      <c r="B6282" s="439"/>
      <c r="C6282" s="439"/>
      <c r="D6282" s="439"/>
      <c r="E6282" s="439"/>
      <c r="F6282" s="439"/>
      <c r="G6282" s="451" t="s">
        <v>3406</v>
      </c>
      <c r="Z6282" s="500"/>
      <c r="AA6282" s="500"/>
      <c r="AB6282" s="500"/>
      <c r="AC6282" s="500"/>
      <c r="AD6282" s="500"/>
      <c r="AE6282" s="500"/>
      <c r="AF6282" s="500"/>
      <c r="AG6282" s="500"/>
      <c r="AH6282" s="500"/>
      <c r="AI6282" s="500"/>
      <c r="AJ6282" s="500"/>
      <c r="AK6282" s="500"/>
      <c r="AL6282" s="500"/>
      <c r="AM6282" s="500"/>
      <c r="AN6282" s="500"/>
      <c r="AO6282" s="500"/>
      <c r="AP6282" s="500"/>
    </row>
    <row r="6283" spans="1:42" ht="16.5" customHeight="1">
      <c r="A6283" s="439"/>
      <c r="B6283" s="439"/>
      <c r="C6283" s="439"/>
      <c r="D6283" s="439"/>
      <c r="E6283" s="439"/>
      <c r="F6283" s="439"/>
      <c r="G6283" s="451" t="s">
        <v>3406</v>
      </c>
      <c r="Z6283" s="500"/>
      <c r="AA6283" s="500"/>
      <c r="AB6283" s="500"/>
      <c r="AC6283" s="500"/>
      <c r="AD6283" s="500"/>
      <c r="AE6283" s="500"/>
      <c r="AF6283" s="500"/>
      <c r="AG6283" s="500"/>
      <c r="AH6283" s="500"/>
      <c r="AI6283" s="500"/>
      <c r="AJ6283" s="500"/>
      <c r="AK6283" s="500"/>
      <c r="AL6283" s="500"/>
      <c r="AM6283" s="500"/>
      <c r="AN6283" s="500"/>
      <c r="AO6283" s="500"/>
      <c r="AP6283" s="500"/>
    </row>
    <row r="6284" spans="1:42" ht="16.5" customHeight="1">
      <c r="A6284" s="434" t="s">
        <v>3992</v>
      </c>
      <c r="B6284" s="505" t="str">
        <f>" 인    부: "&amp;TEXT(I6284,"#,##0"&amp;IF(I6284&lt;&gt;INT(I6284),".###",""))&amp;"*k = "&amp;TEXT(C6284,"#,##0.0")&amp;" 원 "</f>
        <v xml:space="preserve"> 인    부: 172,068*k = 214,148.1 원 </v>
      </c>
      <c r="C6284" s="506">
        <f>E6284+D6284+F6284</f>
        <v>214148.1</v>
      </c>
      <c r="D6284" s="506">
        <f>IF(H6284=0,0,ROUNDDOWN(J6284*H6284,1))</f>
        <v>214148.1</v>
      </c>
      <c r="E6284" s="506">
        <f>IF(H6284=0,0,ROUNDDOWN(K6284*H6284,1))</f>
        <v>0</v>
      </c>
      <c r="F6284" s="506">
        <f>IF(H6284=0,0,ROUNDDOWN(L6284*H6284,1))</f>
        <v>0</v>
      </c>
      <c r="G6284" s="451" t="s">
        <v>3993</v>
      </c>
      <c r="H6284" s="507">
        <f>ROUNDUP(AC6284,14-LEN(ABS(INT(AC6284))))</f>
        <v>1.2445550715619</v>
      </c>
      <c r="I6284" s="508">
        <f>K6284+J6284+L6284</f>
        <v>172068</v>
      </c>
      <c r="J6284" s="509">
        <f>노무비목록표!E10</f>
        <v>172068</v>
      </c>
      <c r="M6284" s="501" t="s">
        <v>2363</v>
      </c>
      <c r="N6284" s="501" t="s">
        <v>3994</v>
      </c>
      <c r="X6284" s="510" t="str">
        <f>노무비목록표!B10&amp;" / "&amp;노무비목록표!C10</f>
        <v xml:space="preserve">보통인부 / </v>
      </c>
      <c r="Y6284" s="433" t="str">
        <f ca="1">HYPERLINK("#"&amp;노무비목록표!G2&amp;"!A"&amp;ROW(노무비목록표!A10),"L00017 →")</f>
        <v>L00017 →</v>
      </c>
      <c r="Z6284" s="501" t="s">
        <v>3500</v>
      </c>
      <c r="AA6284" s="512">
        <f>AD6280</f>
        <v>1.2445550715619</v>
      </c>
      <c r="AB6284" s="501" t="s">
        <v>3418</v>
      </c>
      <c r="AC6284" s="512">
        <f>1*AD6280</f>
        <v>1.2445550715619</v>
      </c>
      <c r="AD6284" s="500"/>
      <c r="AE6284" s="500"/>
      <c r="AF6284" s="500"/>
      <c r="AG6284" s="500"/>
      <c r="AH6284" s="500"/>
      <c r="AI6284" s="500"/>
      <c r="AJ6284" s="500"/>
      <c r="AK6284" s="500"/>
      <c r="AL6284" s="500"/>
      <c r="AM6284" s="500"/>
      <c r="AN6284" s="500"/>
      <c r="AO6284" s="500"/>
      <c r="AP6284" s="500"/>
    </row>
    <row r="6285" spans="1:42" ht="16.5" customHeight="1">
      <c r="A6285" s="439"/>
      <c r="B6285" s="439"/>
      <c r="C6285" s="439"/>
      <c r="D6285" s="439"/>
      <c r="E6285" s="439"/>
      <c r="F6285" s="439"/>
      <c r="G6285" s="451" t="s">
        <v>3406</v>
      </c>
      <c r="Z6285" s="500"/>
      <c r="AA6285" s="500"/>
      <c r="AB6285" s="500"/>
      <c r="AC6285" s="500"/>
      <c r="AD6285" s="500"/>
      <c r="AE6285" s="500"/>
      <c r="AF6285" s="500"/>
      <c r="AG6285" s="500"/>
      <c r="AH6285" s="500"/>
      <c r="AI6285" s="500"/>
      <c r="AJ6285" s="500"/>
      <c r="AK6285" s="500"/>
      <c r="AL6285" s="500"/>
      <c r="AM6285" s="500"/>
      <c r="AN6285" s="500"/>
      <c r="AO6285" s="500"/>
      <c r="AP6285" s="500"/>
    </row>
    <row r="6286" spans="1:42" ht="16.5" customHeight="1">
      <c r="A6286" s="439"/>
      <c r="B6286" s="439"/>
      <c r="C6286" s="439"/>
      <c r="D6286" s="439"/>
      <c r="E6286" s="439"/>
      <c r="F6286" s="439"/>
      <c r="G6286" s="451" t="s">
        <v>3406</v>
      </c>
      <c r="Z6286" s="500"/>
      <c r="AA6286" s="500"/>
      <c r="AB6286" s="500"/>
      <c r="AC6286" s="500"/>
      <c r="AD6286" s="500"/>
      <c r="AE6286" s="500"/>
      <c r="AF6286" s="500"/>
      <c r="AG6286" s="500"/>
      <c r="AH6286" s="500"/>
      <c r="AI6286" s="500"/>
      <c r="AJ6286" s="500"/>
      <c r="AK6286" s="500"/>
      <c r="AL6286" s="500"/>
      <c r="AM6286" s="500"/>
      <c r="AN6286" s="500"/>
      <c r="AO6286" s="500"/>
      <c r="AP6286" s="500"/>
    </row>
    <row r="6287" spans="1:42" ht="16.5" customHeight="1">
      <c r="A6287" s="439"/>
      <c r="B6287" s="439"/>
      <c r="C6287" s="439"/>
      <c r="D6287" s="439"/>
      <c r="E6287" s="439"/>
      <c r="F6287" s="439"/>
      <c r="G6287" s="451" t="s">
        <v>3406</v>
      </c>
      <c r="Z6287" s="500"/>
      <c r="AA6287" s="500"/>
      <c r="AB6287" s="500"/>
      <c r="AC6287" s="500"/>
      <c r="AD6287" s="500"/>
      <c r="AE6287" s="500"/>
      <c r="AF6287" s="500"/>
      <c r="AG6287" s="500"/>
      <c r="AH6287" s="500"/>
      <c r="AI6287" s="500"/>
      <c r="AJ6287" s="500"/>
      <c r="AK6287" s="500"/>
      <c r="AL6287" s="500"/>
      <c r="AM6287" s="500"/>
      <c r="AN6287" s="500"/>
      <c r="AO6287" s="500"/>
      <c r="AP6287" s="500"/>
    </row>
    <row r="6288" spans="1:42" ht="16.5" customHeight="1">
      <c r="A6288" s="439"/>
      <c r="B6288" s="439"/>
      <c r="C6288" s="439"/>
      <c r="D6288" s="439"/>
      <c r="E6288" s="439"/>
      <c r="F6288" s="439"/>
      <c r="G6288" s="451" t="s">
        <v>3406</v>
      </c>
      <c r="Z6288" s="500"/>
      <c r="AA6288" s="500"/>
      <c r="AB6288" s="500"/>
      <c r="AC6288" s="500"/>
      <c r="AD6288" s="500"/>
      <c r="AE6288" s="500"/>
      <c r="AF6288" s="500"/>
      <c r="AG6288" s="500"/>
      <c r="AH6288" s="500"/>
      <c r="AI6288" s="500"/>
      <c r="AJ6288" s="500"/>
      <c r="AK6288" s="500"/>
      <c r="AL6288" s="500"/>
      <c r="AM6288" s="500"/>
      <c r="AN6288" s="500"/>
      <c r="AO6288" s="500"/>
      <c r="AP6288" s="500"/>
    </row>
    <row r="6289" spans="1:42" ht="16.5" customHeight="1">
      <c r="A6289" s="434"/>
      <c r="B6289" s="437" t="s">
        <v>3995</v>
      </c>
      <c r="C6289" s="516">
        <f>E6289+D6289+F6289</f>
        <v>214148.1</v>
      </c>
      <c r="D6289" s="516">
        <f>SUMIF(N6257:N6288,M6289,D6257:D6288)</f>
        <v>214148.1</v>
      </c>
      <c r="E6289" s="516">
        <f>SUMIF(N6257:N6288,M6289,E6257:E6288)</f>
        <v>0</v>
      </c>
      <c r="F6289" s="516">
        <f>SUMIF(N6257:N6288,M6289,F6257:F6288)</f>
        <v>0</v>
      </c>
      <c r="G6289" s="451" t="s">
        <v>3996</v>
      </c>
      <c r="M6289" s="501" t="s">
        <v>3994</v>
      </c>
      <c r="Z6289" s="500"/>
      <c r="AA6289" s="500"/>
      <c r="AB6289" s="500"/>
      <c r="AC6289" s="500"/>
      <c r="AD6289" s="500"/>
      <c r="AE6289" s="500"/>
      <c r="AF6289" s="500"/>
      <c r="AG6289" s="500"/>
      <c r="AH6289" s="500"/>
      <c r="AI6289" s="500"/>
      <c r="AJ6289" s="500"/>
      <c r="AK6289" s="500"/>
      <c r="AL6289" s="500"/>
      <c r="AM6289" s="500"/>
      <c r="AN6289" s="500"/>
      <c r="AO6289" s="500"/>
      <c r="AP6289" s="500"/>
    </row>
    <row r="6290" spans="1:42" ht="16.5" customHeight="1">
      <c r="A6290" s="439"/>
      <c r="B6290" s="439"/>
      <c r="C6290" s="517"/>
      <c r="D6290" s="517"/>
      <c r="E6290" s="517"/>
      <c r="F6290" s="517"/>
      <c r="G6290" s="451" t="s">
        <v>3406</v>
      </c>
      <c r="Z6290" s="500"/>
      <c r="AA6290" s="500"/>
      <c r="AB6290" s="500"/>
      <c r="AC6290" s="500"/>
      <c r="AD6290" s="500"/>
      <c r="AE6290" s="500"/>
      <c r="AF6290" s="500"/>
      <c r="AG6290" s="500"/>
      <c r="AH6290" s="500"/>
      <c r="AI6290" s="500"/>
      <c r="AJ6290" s="500"/>
      <c r="AK6290" s="500"/>
      <c r="AL6290" s="500"/>
      <c r="AM6290" s="500"/>
      <c r="AN6290" s="500"/>
      <c r="AO6290" s="500"/>
      <c r="AP6290" s="500"/>
    </row>
    <row r="6291" spans="1:42" ht="16.5" customHeight="1">
      <c r="A6291" s="439"/>
      <c r="B6291" s="439"/>
      <c r="C6291" s="439"/>
      <c r="D6291" s="439"/>
      <c r="E6291" s="439"/>
      <c r="F6291" s="439"/>
      <c r="G6291" s="451" t="s">
        <v>3406</v>
      </c>
      <c r="Z6291" s="500"/>
      <c r="AA6291" s="500"/>
      <c r="AB6291" s="500"/>
      <c r="AC6291" s="500"/>
      <c r="AD6291" s="500"/>
      <c r="AE6291" s="500"/>
      <c r="AF6291" s="500"/>
      <c r="AG6291" s="500"/>
      <c r="AH6291" s="500"/>
      <c r="AI6291" s="500"/>
      <c r="AJ6291" s="500"/>
      <c r="AK6291" s="500"/>
      <c r="AL6291" s="500"/>
      <c r="AM6291" s="500"/>
      <c r="AN6291" s="500"/>
      <c r="AO6291" s="500"/>
      <c r="AP6291" s="500"/>
    </row>
    <row r="6292" spans="1:42" ht="16.5" customHeight="1">
      <c r="A6292" s="434" t="s">
        <v>3997</v>
      </c>
      <c r="B6292" s="505" t="str">
        <f>" 경비로 적용 : "&amp;TEXT(I6292,"#,##0"&amp;IF(I6292&lt;&gt;INT(I6292),".###",""))&amp;"  = "&amp;TEXT(C6292,"#,##0.0")&amp;""</f>
        <v xml:space="preserve"> 경비로 적용 : 214,148.1  = 214,148.1</v>
      </c>
      <c r="C6292" s="506">
        <f>E6292+D6292+F6292</f>
        <v>214148.1</v>
      </c>
      <c r="D6292" s="506">
        <f>IF(H6292=0,0,ROUNDDOWN(J6292*H6292,1))</f>
        <v>0</v>
      </c>
      <c r="E6292" s="506">
        <f>IF(H6292=0,0,ROUNDDOWN(K6292*H6292,1))</f>
        <v>0</v>
      </c>
      <c r="F6292" s="506">
        <f>IF(H6292=0,0,ROUNDDOWN(L6292*H6292,1))</f>
        <v>214148.1</v>
      </c>
      <c r="G6292" s="451" t="s">
        <v>3998</v>
      </c>
      <c r="H6292" s="507">
        <f>ROUNDUP(AB6292,14-LEN(ABS(INT(AB6292))))</f>
        <v>1</v>
      </c>
      <c r="I6292" s="508">
        <f>K6292+J6292+L6292</f>
        <v>214148.1</v>
      </c>
      <c r="J6292" s="456">
        <v>0</v>
      </c>
      <c r="K6292" s="456">
        <v>0</v>
      </c>
      <c r="L6292" s="518">
        <v>214148.1</v>
      </c>
      <c r="M6292" s="501" t="s">
        <v>3999</v>
      </c>
      <c r="N6292" s="501" t="s">
        <v>2354</v>
      </c>
      <c r="Z6292" s="501" t="s">
        <v>4000</v>
      </c>
      <c r="AA6292" s="501" t="s">
        <v>3418</v>
      </c>
      <c r="AB6292" s="512">
        <f>1</f>
        <v>1</v>
      </c>
      <c r="AC6292" s="500"/>
      <c r="AD6292" s="500"/>
      <c r="AE6292" s="500"/>
      <c r="AF6292" s="500"/>
      <c r="AG6292" s="500"/>
      <c r="AH6292" s="500"/>
      <c r="AI6292" s="500"/>
      <c r="AJ6292" s="500"/>
      <c r="AK6292" s="500"/>
      <c r="AL6292" s="500"/>
      <c r="AM6292" s="500"/>
      <c r="AN6292" s="500"/>
      <c r="AO6292" s="500"/>
      <c r="AP6292" s="500"/>
    </row>
    <row r="6293" spans="1:42" ht="16.5" customHeight="1">
      <c r="A6293" s="439"/>
      <c r="B6293" s="439"/>
      <c r="C6293" s="439"/>
      <c r="D6293" s="439"/>
      <c r="E6293" s="439"/>
      <c r="F6293" s="439"/>
      <c r="Z6293" s="500"/>
      <c r="AA6293" s="500"/>
      <c r="AB6293" s="500"/>
      <c r="AC6293" s="500"/>
      <c r="AD6293" s="500"/>
      <c r="AE6293" s="500"/>
      <c r="AF6293" s="500"/>
      <c r="AG6293" s="500"/>
      <c r="AH6293" s="500"/>
      <c r="AI6293" s="500"/>
      <c r="AJ6293" s="500"/>
      <c r="AK6293" s="500"/>
      <c r="AL6293" s="500"/>
      <c r="AM6293" s="500"/>
      <c r="AN6293" s="500"/>
      <c r="AO6293" s="500"/>
      <c r="AP6293" s="500"/>
    </row>
    <row r="6294" spans="1:42" ht="16.5" customHeight="1">
      <c r="A6294" s="439"/>
      <c r="B6294" s="439"/>
      <c r="C6294" s="439"/>
      <c r="D6294" s="439"/>
      <c r="E6294" s="439"/>
      <c r="F6294" s="439"/>
      <c r="Z6294" s="500"/>
      <c r="AA6294" s="500"/>
      <c r="AB6294" s="500"/>
      <c r="AC6294" s="500"/>
      <c r="AD6294" s="500"/>
      <c r="AE6294" s="500"/>
      <c r="AF6294" s="500"/>
      <c r="AG6294" s="500"/>
      <c r="AH6294" s="500"/>
      <c r="AI6294" s="500"/>
      <c r="AJ6294" s="500"/>
      <c r="AK6294" s="500"/>
      <c r="AL6294" s="500"/>
      <c r="AM6294" s="500"/>
      <c r="AN6294" s="500"/>
      <c r="AO6294" s="500"/>
      <c r="AP6294" s="500"/>
    </row>
    <row r="6295" spans="1:42" ht="16.5" customHeight="1">
      <c r="A6295" s="439"/>
      <c r="B6295" s="439"/>
      <c r="C6295" s="439"/>
      <c r="D6295" s="439"/>
      <c r="E6295" s="439"/>
      <c r="F6295" s="439"/>
      <c r="Z6295" s="500"/>
      <c r="AA6295" s="500"/>
      <c r="AB6295" s="500"/>
      <c r="AC6295" s="500"/>
      <c r="AD6295" s="500"/>
      <c r="AE6295" s="500"/>
      <c r="AF6295" s="500"/>
      <c r="AG6295" s="500"/>
      <c r="AH6295" s="500"/>
      <c r="AI6295" s="500"/>
      <c r="AJ6295" s="500"/>
      <c r="AK6295" s="500"/>
      <c r="AL6295" s="500"/>
      <c r="AM6295" s="500"/>
      <c r="AN6295" s="500"/>
      <c r="AO6295" s="500"/>
      <c r="AP6295" s="500"/>
    </row>
    <row r="6296" spans="1:42" ht="16.5" customHeight="1">
      <c r="A6296" s="439"/>
      <c r="B6296" s="439"/>
      <c r="C6296" s="439"/>
      <c r="D6296" s="439"/>
      <c r="E6296" s="439"/>
      <c r="F6296" s="439"/>
      <c r="Z6296" s="500"/>
      <c r="AA6296" s="500"/>
      <c r="AB6296" s="500"/>
      <c r="AC6296" s="500"/>
      <c r="AD6296" s="500"/>
      <c r="AE6296" s="500"/>
      <c r="AF6296" s="500"/>
      <c r="AG6296" s="500"/>
      <c r="AH6296" s="500"/>
      <c r="AI6296" s="500"/>
      <c r="AJ6296" s="500"/>
      <c r="AK6296" s="500"/>
      <c r="AL6296" s="500"/>
      <c r="AM6296" s="500"/>
      <c r="AN6296" s="500"/>
      <c r="AO6296" s="500"/>
      <c r="AP6296" s="500"/>
    </row>
    <row r="6297" spans="1:42" ht="16.5" customHeight="1">
      <c r="A6297" s="439"/>
      <c r="B6297" s="439"/>
      <c r="C6297" s="439"/>
      <c r="D6297" s="439"/>
      <c r="E6297" s="439"/>
      <c r="F6297" s="439"/>
      <c r="Z6297" s="500"/>
      <c r="AA6297" s="500"/>
      <c r="AB6297" s="500"/>
      <c r="AC6297" s="500"/>
      <c r="AD6297" s="500"/>
      <c r="AE6297" s="500"/>
      <c r="AF6297" s="500"/>
      <c r="AG6297" s="500"/>
      <c r="AH6297" s="500"/>
      <c r="AI6297" s="500"/>
      <c r="AJ6297" s="500"/>
      <c r="AK6297" s="500"/>
      <c r="AL6297" s="500"/>
      <c r="AM6297" s="500"/>
      <c r="AN6297" s="500"/>
      <c r="AO6297" s="500"/>
      <c r="AP6297" s="500"/>
    </row>
    <row r="6298" spans="1:42" ht="16.5" customHeight="1">
      <c r="A6298" s="439"/>
      <c r="B6298" s="439"/>
      <c r="C6298" s="439"/>
      <c r="D6298" s="439"/>
      <c r="E6298" s="439"/>
      <c r="F6298" s="439"/>
      <c r="Z6298" s="500"/>
      <c r="AA6298" s="500"/>
      <c r="AB6298" s="500"/>
      <c r="AC6298" s="500"/>
      <c r="AD6298" s="500"/>
      <c r="AE6298" s="500"/>
      <c r="AF6298" s="500"/>
      <c r="AG6298" s="500"/>
      <c r="AH6298" s="500"/>
      <c r="AI6298" s="500"/>
      <c r="AJ6298" s="500"/>
      <c r="AK6298" s="500"/>
      <c r="AL6298" s="500"/>
      <c r="AM6298" s="500"/>
      <c r="AN6298" s="500"/>
      <c r="AO6298" s="500"/>
      <c r="AP6298" s="500"/>
    </row>
    <row r="6299" spans="1:42" ht="16.5" customHeight="1">
      <c r="A6299" s="439"/>
      <c r="B6299" s="439"/>
      <c r="C6299" s="439"/>
      <c r="D6299" s="439"/>
      <c r="E6299" s="439"/>
      <c r="F6299" s="439"/>
      <c r="Z6299" s="500"/>
      <c r="AA6299" s="500"/>
      <c r="AB6299" s="500"/>
      <c r="AC6299" s="500"/>
      <c r="AD6299" s="500"/>
      <c r="AE6299" s="500"/>
      <c r="AF6299" s="500"/>
      <c r="AG6299" s="500"/>
      <c r="AH6299" s="500"/>
      <c r="AI6299" s="500"/>
      <c r="AJ6299" s="500"/>
      <c r="AK6299" s="500"/>
      <c r="AL6299" s="500"/>
      <c r="AM6299" s="500"/>
      <c r="AN6299" s="500"/>
      <c r="AO6299" s="500"/>
      <c r="AP6299" s="500"/>
    </row>
    <row r="6300" spans="1:42" ht="16.5" customHeight="1">
      <c r="A6300" s="439"/>
      <c r="B6300" s="439"/>
      <c r="C6300" s="439"/>
      <c r="D6300" s="439"/>
      <c r="E6300" s="439"/>
      <c r="F6300" s="439"/>
      <c r="Z6300" s="500"/>
      <c r="AA6300" s="500"/>
      <c r="AB6300" s="500"/>
      <c r="AC6300" s="500"/>
      <c r="AD6300" s="500"/>
      <c r="AE6300" s="500"/>
      <c r="AF6300" s="500"/>
      <c r="AG6300" s="500"/>
      <c r="AH6300" s="500"/>
      <c r="AI6300" s="500"/>
      <c r="AJ6300" s="500"/>
      <c r="AK6300" s="500"/>
      <c r="AL6300" s="500"/>
      <c r="AM6300" s="500"/>
      <c r="AN6300" s="500"/>
      <c r="AO6300" s="500"/>
      <c r="AP6300" s="500"/>
    </row>
    <row r="6301" spans="1:42" ht="16.5" customHeight="1">
      <c r="A6301" s="439"/>
      <c r="B6301" s="439"/>
      <c r="C6301" s="439"/>
      <c r="D6301" s="439"/>
      <c r="E6301" s="439"/>
      <c r="F6301" s="439"/>
      <c r="Z6301" s="500"/>
      <c r="AA6301" s="500"/>
      <c r="AB6301" s="500"/>
      <c r="AC6301" s="500"/>
      <c r="AD6301" s="500"/>
      <c r="AE6301" s="500"/>
      <c r="AF6301" s="500"/>
      <c r="AG6301" s="500"/>
      <c r="AH6301" s="500"/>
      <c r="AI6301" s="500"/>
      <c r="AJ6301" s="500"/>
      <c r="AK6301" s="500"/>
      <c r="AL6301" s="500"/>
      <c r="AM6301" s="500"/>
      <c r="AN6301" s="500"/>
      <c r="AO6301" s="500"/>
      <c r="AP6301" s="500"/>
    </row>
    <row r="6302" spans="1:42" ht="16.5" customHeight="1">
      <c r="A6302" s="439"/>
      <c r="B6302" s="439"/>
      <c r="C6302" s="439"/>
      <c r="D6302" s="439"/>
      <c r="E6302" s="439"/>
      <c r="F6302" s="439"/>
      <c r="Z6302" s="500"/>
      <c r="AA6302" s="500"/>
      <c r="AB6302" s="500"/>
      <c r="AC6302" s="500"/>
      <c r="AD6302" s="500"/>
      <c r="AE6302" s="500"/>
      <c r="AF6302" s="500"/>
      <c r="AG6302" s="500"/>
      <c r="AH6302" s="500"/>
      <c r="AI6302" s="500"/>
      <c r="AJ6302" s="500"/>
      <c r="AK6302" s="500"/>
      <c r="AL6302" s="500"/>
      <c r="AM6302" s="500"/>
      <c r="AN6302" s="500"/>
      <c r="AO6302" s="500"/>
      <c r="AP6302" s="500"/>
    </row>
    <row r="6303" spans="1:42" ht="16.5" customHeight="1">
      <c r="A6303" s="497"/>
      <c r="B6303" s="497"/>
      <c r="C6303" s="497"/>
      <c r="D6303" s="497"/>
      <c r="E6303" s="497"/>
      <c r="F6303" s="497"/>
      <c r="Z6303" s="500"/>
      <c r="AA6303" s="500"/>
      <c r="AB6303" s="500"/>
      <c r="AC6303" s="500"/>
      <c r="AD6303" s="500"/>
      <c r="AE6303" s="500"/>
      <c r="AF6303" s="500"/>
      <c r="AG6303" s="500"/>
      <c r="AH6303" s="500"/>
      <c r="AI6303" s="500"/>
      <c r="AJ6303" s="500"/>
      <c r="AK6303" s="500"/>
      <c r="AL6303" s="500"/>
      <c r="AM6303" s="500"/>
      <c r="AN6303" s="500"/>
      <c r="AO6303" s="500"/>
      <c r="AP6303" s="500"/>
    </row>
    <row r="6304" spans="1:42" ht="16.5" customHeight="1">
      <c r="A6304" s="616" t="s">
        <v>3487</v>
      </c>
      <c r="B6304" s="605"/>
      <c r="C6304" s="446">
        <f>E6304+D6304+F6304</f>
        <v>214148</v>
      </c>
      <c r="D6304" s="453">
        <f>ROUNDDOWN(SUMIF(N6257:N6292,M6304,D6257:D6292),0)</f>
        <v>0</v>
      </c>
      <c r="E6304" s="454">
        <f>ROUNDDOWN(SUMIF(N6257:N6292,M6304,E6257:E6292),0)</f>
        <v>0</v>
      </c>
      <c r="F6304" s="446">
        <f>ROUNDDOWN(SUMIF(N6257:N6292,M6304,F6257:F6292),0)</f>
        <v>214148</v>
      </c>
      <c r="M6304" s="501" t="s">
        <v>2354</v>
      </c>
      <c r="Z6304" s="500"/>
      <c r="AA6304" s="500"/>
      <c r="AB6304" s="500"/>
      <c r="AC6304" s="500"/>
      <c r="AD6304" s="500"/>
      <c r="AE6304" s="500"/>
      <c r="AF6304" s="500"/>
      <c r="AG6304" s="500"/>
      <c r="AH6304" s="500"/>
      <c r="AI6304" s="500"/>
      <c r="AJ6304" s="500"/>
      <c r="AK6304" s="500"/>
      <c r="AL6304" s="500"/>
      <c r="AM6304" s="500"/>
      <c r="AN6304" s="500"/>
      <c r="AO6304" s="500"/>
      <c r="AP6304" s="500"/>
    </row>
    <row r="6305" spans="1:42" ht="16.5" customHeight="1">
      <c r="A6305" s="502"/>
      <c r="B6305" s="503" t="s">
        <v>2149</v>
      </c>
      <c r="C6305" s="615">
        <f>C6354</f>
        <v>250827</v>
      </c>
      <c r="D6305" s="615">
        <f>D6354</f>
        <v>0</v>
      </c>
      <c r="E6305" s="615">
        <f>E6354</f>
        <v>0</v>
      </c>
      <c r="F6305" s="615">
        <f>F6354</f>
        <v>250827</v>
      </c>
      <c r="G6305" s="486" t="str">
        <f>HYPERLINK("#G"&amp;ROW(G6342),"_x0005_`BDCOD|D01183_x0007_`POSS|"&amp;ROW(G6307)&amp;"_x0007_`POSE|"&amp;ROW(G6342)&amp;"_x0007_`")</f>
        <v>_x0005_`BDCOD|D01183_x0007_`POSS|6307_x0007_`POSE|6342_x0007_`</v>
      </c>
      <c r="Z6305" s="500"/>
      <c r="AA6305" s="500"/>
      <c r="AB6305" s="500"/>
      <c r="AC6305" s="500"/>
      <c r="AD6305" s="500"/>
      <c r="AE6305" s="500"/>
      <c r="AF6305" s="500"/>
      <c r="AG6305" s="500"/>
      <c r="AH6305" s="500"/>
      <c r="AI6305" s="500"/>
      <c r="AJ6305" s="500"/>
      <c r="AK6305" s="500"/>
      <c r="AL6305" s="500"/>
      <c r="AM6305" s="500"/>
      <c r="AN6305" s="500"/>
      <c r="AO6305" s="500"/>
      <c r="AP6305" s="500"/>
    </row>
    <row r="6306" spans="1:42" ht="16.5" customHeight="1">
      <c r="A6306" s="485"/>
      <c r="B6306" s="503" t="s">
        <v>4053</v>
      </c>
      <c r="C6306" s="593"/>
      <c r="D6306" s="593"/>
      <c r="E6306" s="593"/>
      <c r="F6306" s="593"/>
      <c r="M6306" s="501" t="s">
        <v>2149</v>
      </c>
      <c r="Z6306" s="500"/>
      <c r="AA6306" s="500"/>
      <c r="AB6306" s="500"/>
      <c r="AC6306" s="500"/>
      <c r="AD6306" s="500"/>
      <c r="AE6306" s="500"/>
      <c r="AF6306" s="500"/>
      <c r="AG6306" s="500"/>
      <c r="AH6306" s="500"/>
      <c r="AI6306" s="500"/>
      <c r="AJ6306" s="500"/>
      <c r="AK6306" s="500"/>
      <c r="AL6306" s="500"/>
      <c r="AM6306" s="500"/>
      <c r="AN6306" s="500"/>
      <c r="AO6306" s="500"/>
      <c r="AP6306" s="500"/>
    </row>
    <row r="6307" spans="1:42" ht="16.5" customHeight="1">
      <c r="A6307" s="434"/>
      <c r="B6307" s="437" t="s">
        <v>3980</v>
      </c>
      <c r="C6307" s="504"/>
      <c r="D6307" s="504"/>
      <c r="E6307" s="504"/>
      <c r="F6307" s="504"/>
      <c r="G6307" s="451" t="s">
        <v>3981</v>
      </c>
      <c r="Z6307" s="500"/>
      <c r="AA6307" s="500"/>
      <c r="AB6307" s="500"/>
      <c r="AC6307" s="500"/>
      <c r="AD6307" s="500"/>
      <c r="AE6307" s="500"/>
      <c r="AF6307" s="500"/>
      <c r="AG6307" s="500"/>
      <c r="AH6307" s="500"/>
      <c r="AI6307" s="500"/>
      <c r="AJ6307" s="500"/>
      <c r="AK6307" s="500"/>
      <c r="AL6307" s="500"/>
      <c r="AM6307" s="500"/>
      <c r="AN6307" s="500"/>
      <c r="AO6307" s="500"/>
      <c r="AP6307" s="500"/>
    </row>
    <row r="6308" spans="1:42" ht="16.5" customHeight="1">
      <c r="A6308" s="439"/>
      <c r="B6308" s="439"/>
      <c r="C6308" s="439"/>
      <c r="D6308" s="439"/>
      <c r="E6308" s="439"/>
      <c r="F6308" s="439"/>
      <c r="G6308" s="451" t="s">
        <v>3406</v>
      </c>
      <c r="Z6308" s="500"/>
      <c r="AA6308" s="500"/>
      <c r="AB6308" s="500"/>
      <c r="AC6308" s="500"/>
      <c r="AD6308" s="500"/>
      <c r="AE6308" s="500"/>
      <c r="AF6308" s="500"/>
      <c r="AG6308" s="500"/>
      <c r="AH6308" s="500"/>
      <c r="AI6308" s="500"/>
      <c r="AJ6308" s="500"/>
      <c r="AK6308" s="500"/>
      <c r="AL6308" s="500"/>
      <c r="AM6308" s="500"/>
      <c r="AN6308" s="500"/>
      <c r="AO6308" s="500"/>
      <c r="AP6308" s="500"/>
    </row>
    <row r="6309" spans="1:42" ht="16.5" customHeight="1">
      <c r="A6309" s="434"/>
      <c r="B6309" s="437" t="s">
        <v>4054</v>
      </c>
      <c r="C6309" s="439"/>
      <c r="D6309" s="439"/>
      <c r="E6309" s="439"/>
      <c r="F6309" s="439"/>
      <c r="G6309" s="451" t="s">
        <v>4055</v>
      </c>
      <c r="Z6309" s="500"/>
      <c r="AA6309" s="500"/>
      <c r="AB6309" s="500"/>
      <c r="AC6309" s="500"/>
      <c r="AD6309" s="500"/>
      <c r="AE6309" s="500"/>
      <c r="AF6309" s="500"/>
      <c r="AG6309" s="500"/>
      <c r="AH6309" s="500"/>
      <c r="AI6309" s="500"/>
      <c r="AJ6309" s="500"/>
      <c r="AK6309" s="500"/>
      <c r="AL6309" s="500"/>
      <c r="AM6309" s="500"/>
      <c r="AN6309" s="500"/>
      <c r="AO6309" s="500"/>
      <c r="AP6309" s="500"/>
    </row>
    <row r="6310" spans="1:42" ht="16.5" customHeight="1">
      <c r="A6310" s="439"/>
      <c r="B6310" s="439"/>
      <c r="C6310" s="439"/>
      <c r="D6310" s="439"/>
      <c r="E6310" s="439"/>
      <c r="F6310" s="439"/>
      <c r="G6310" s="451" t="s">
        <v>3406</v>
      </c>
      <c r="Z6310" s="500"/>
      <c r="AA6310" s="500"/>
      <c r="AB6310" s="500"/>
      <c r="AC6310" s="500"/>
      <c r="AD6310" s="500"/>
      <c r="AE6310" s="500"/>
      <c r="AF6310" s="500"/>
      <c r="AG6310" s="500"/>
      <c r="AH6310" s="500"/>
      <c r="AI6310" s="500"/>
      <c r="AJ6310" s="500"/>
      <c r="AK6310" s="500"/>
      <c r="AL6310" s="500"/>
      <c r="AM6310" s="500"/>
      <c r="AN6310" s="500"/>
      <c r="AO6310" s="500"/>
      <c r="AP6310" s="500"/>
    </row>
    <row r="6311" spans="1:42" ht="16.5" customHeight="1">
      <c r="A6311" s="439"/>
      <c r="B6311" s="439"/>
      <c r="C6311" s="439"/>
      <c r="D6311" s="439"/>
      <c r="E6311" s="439"/>
      <c r="F6311" s="439"/>
      <c r="G6311" s="451" t="s">
        <v>3406</v>
      </c>
      <c r="Z6311" s="500"/>
      <c r="AA6311" s="500"/>
      <c r="AB6311" s="500"/>
      <c r="AC6311" s="500"/>
      <c r="AD6311" s="500"/>
      <c r="AE6311" s="500"/>
      <c r="AF6311" s="500"/>
      <c r="AG6311" s="500"/>
      <c r="AH6311" s="500"/>
      <c r="AI6311" s="500"/>
      <c r="AJ6311" s="500"/>
      <c r="AK6311" s="500"/>
      <c r="AL6311" s="500"/>
      <c r="AM6311" s="500"/>
      <c r="AN6311" s="500"/>
      <c r="AO6311" s="500"/>
      <c r="AP6311" s="500"/>
    </row>
    <row r="6312" spans="1:42" ht="16.5" customHeight="1">
      <c r="A6312" s="434"/>
      <c r="B6312" s="437" t="s">
        <v>3984</v>
      </c>
      <c r="C6312" s="439"/>
      <c r="D6312" s="439"/>
      <c r="E6312" s="439"/>
      <c r="F6312" s="439"/>
      <c r="G6312" s="451" t="s">
        <v>3985</v>
      </c>
      <c r="Z6312" s="500"/>
      <c r="AA6312" s="500"/>
      <c r="AB6312" s="500"/>
      <c r="AC6312" s="500"/>
      <c r="AD6312" s="500"/>
      <c r="AE6312" s="500"/>
      <c r="AF6312" s="500"/>
      <c r="AG6312" s="500"/>
      <c r="AH6312" s="500"/>
      <c r="AI6312" s="500"/>
      <c r="AJ6312" s="500"/>
      <c r="AK6312" s="500"/>
      <c r="AL6312" s="500"/>
      <c r="AM6312" s="500"/>
      <c r="AN6312" s="500"/>
      <c r="AO6312" s="500"/>
      <c r="AP6312" s="500"/>
    </row>
    <row r="6313" spans="1:42" ht="16.5" customHeight="1">
      <c r="A6313" s="439"/>
      <c r="B6313" s="439"/>
      <c r="C6313" s="439"/>
      <c r="D6313" s="439"/>
      <c r="E6313" s="439"/>
      <c r="F6313" s="439"/>
      <c r="G6313" s="451" t="s">
        <v>3406</v>
      </c>
      <c r="Z6313" s="500"/>
      <c r="AA6313" s="500"/>
      <c r="AB6313" s="500"/>
      <c r="AC6313" s="500"/>
      <c r="AD6313" s="500"/>
      <c r="AE6313" s="500"/>
      <c r="AF6313" s="500"/>
      <c r="AG6313" s="500"/>
      <c r="AH6313" s="500"/>
      <c r="AI6313" s="500"/>
      <c r="AJ6313" s="500"/>
      <c r="AK6313" s="500"/>
      <c r="AL6313" s="500"/>
      <c r="AM6313" s="500"/>
      <c r="AN6313" s="500"/>
      <c r="AO6313" s="500"/>
      <c r="AP6313" s="500"/>
    </row>
    <row r="6314" spans="1:42" ht="16.5" customHeight="1">
      <c r="A6314" s="439"/>
      <c r="B6314" s="439"/>
      <c r="C6314" s="439"/>
      <c r="D6314" s="439"/>
      <c r="E6314" s="439"/>
      <c r="F6314" s="439"/>
      <c r="G6314" s="451" t="s">
        <v>3406</v>
      </c>
      <c r="Z6314" s="500"/>
      <c r="AA6314" s="500"/>
      <c r="AB6314" s="500"/>
      <c r="AC6314" s="500"/>
      <c r="AD6314" s="500"/>
      <c r="AE6314" s="500"/>
      <c r="AF6314" s="500"/>
      <c r="AG6314" s="500"/>
      <c r="AH6314" s="500"/>
      <c r="AI6314" s="500"/>
      <c r="AJ6314" s="500"/>
      <c r="AK6314" s="500"/>
      <c r="AL6314" s="500"/>
      <c r="AM6314" s="500"/>
      <c r="AN6314" s="500"/>
      <c r="AO6314" s="500"/>
      <c r="AP6314" s="500"/>
    </row>
    <row r="6315" spans="1:42" ht="16.5" customHeight="1">
      <c r="A6315" s="434"/>
      <c r="B6315" s="437" t="s">
        <v>3986</v>
      </c>
      <c r="C6315" s="439"/>
      <c r="D6315" s="439"/>
      <c r="E6315" s="439"/>
      <c r="F6315" s="439"/>
      <c r="G6315" s="451" t="s">
        <v>3987</v>
      </c>
      <c r="Z6315" s="500"/>
      <c r="AA6315" s="500"/>
      <c r="AB6315" s="500"/>
      <c r="AC6315" s="500"/>
      <c r="AD6315" s="500"/>
      <c r="AE6315" s="500"/>
      <c r="AF6315" s="500"/>
      <c r="AG6315" s="500"/>
      <c r="AH6315" s="500"/>
      <c r="AI6315" s="500"/>
      <c r="AJ6315" s="500"/>
      <c r="AK6315" s="500"/>
      <c r="AL6315" s="500"/>
      <c r="AM6315" s="500"/>
      <c r="AN6315" s="500"/>
      <c r="AO6315" s="500"/>
      <c r="AP6315" s="500"/>
    </row>
    <row r="6316" spans="1:42" ht="16.5" customHeight="1">
      <c r="A6316" s="439"/>
      <c r="B6316" s="439"/>
      <c r="C6316" s="439"/>
      <c r="D6316" s="439"/>
      <c r="E6316" s="439"/>
      <c r="F6316" s="439"/>
      <c r="G6316" s="451" t="s">
        <v>3406</v>
      </c>
      <c r="Z6316" s="500"/>
      <c r="AA6316" s="500"/>
      <c r="AB6316" s="500"/>
      <c r="AC6316" s="500"/>
      <c r="AD6316" s="500"/>
      <c r="AE6316" s="500"/>
      <c r="AF6316" s="500"/>
      <c r="AG6316" s="500"/>
      <c r="AH6316" s="500"/>
      <c r="AI6316" s="500"/>
      <c r="AJ6316" s="500"/>
      <c r="AK6316" s="500"/>
      <c r="AL6316" s="500"/>
      <c r="AM6316" s="500"/>
      <c r="AN6316" s="500"/>
      <c r="AO6316" s="500"/>
      <c r="AP6316" s="500"/>
    </row>
    <row r="6317" spans="1:42" ht="16.5" customHeight="1">
      <c r="A6317" s="439"/>
      <c r="B6317" s="439"/>
      <c r="C6317" s="439"/>
      <c r="D6317" s="439"/>
      <c r="E6317" s="439"/>
      <c r="F6317" s="439"/>
      <c r="G6317" s="451" t="s">
        <v>3406</v>
      </c>
      <c r="Z6317" s="500"/>
      <c r="AA6317" s="500"/>
      <c r="AB6317" s="500"/>
      <c r="AC6317" s="500"/>
      <c r="AD6317" s="500"/>
      <c r="AE6317" s="500"/>
      <c r="AF6317" s="500"/>
      <c r="AG6317" s="500"/>
      <c r="AH6317" s="500"/>
      <c r="AI6317" s="500"/>
      <c r="AJ6317" s="500"/>
      <c r="AK6317" s="500"/>
      <c r="AL6317" s="500"/>
      <c r="AM6317" s="500"/>
      <c r="AN6317" s="500"/>
      <c r="AO6317" s="500"/>
      <c r="AP6317" s="500"/>
    </row>
    <row r="6318" spans="1:42" ht="16.5" customHeight="1">
      <c r="A6318" s="434"/>
      <c r="B6318" s="437" t="str">
        <f>" L = "&amp;Z6318&amp;" , V = "&amp;AD6318&amp;" , t = "&amp;AH6318&amp;"  , T = "&amp;AL6318&amp;"-"&amp;AN6318&amp;""</f>
        <v xml:space="preserve"> L = 300 , V = 2500 , t = 2  , T = 480-30</v>
      </c>
      <c r="C6318" s="439"/>
      <c r="D6318" s="439"/>
      <c r="E6318" s="439"/>
      <c r="F6318" s="439"/>
      <c r="G6318" s="451" t="s">
        <v>4056</v>
      </c>
      <c r="Z6318" s="515">
        <v>300</v>
      </c>
      <c r="AA6318" s="501" t="s">
        <v>3418</v>
      </c>
      <c r="AB6318" s="512">
        <f>Z6318</f>
        <v>300</v>
      </c>
      <c r="AC6318" s="514" t="s">
        <v>3427</v>
      </c>
      <c r="AD6318" s="515">
        <v>2500</v>
      </c>
      <c r="AE6318" s="501" t="s">
        <v>3418</v>
      </c>
      <c r="AF6318" s="512">
        <f>AD6318</f>
        <v>2500</v>
      </c>
      <c r="AG6318" s="514" t="s">
        <v>3427</v>
      </c>
      <c r="AH6318" s="515">
        <v>2</v>
      </c>
      <c r="AI6318" s="501" t="s">
        <v>3418</v>
      </c>
      <c r="AJ6318" s="512">
        <f>AH6318</f>
        <v>2</v>
      </c>
      <c r="AK6318" s="514" t="s">
        <v>3427</v>
      </c>
      <c r="AL6318" s="515">
        <v>480</v>
      </c>
      <c r="AM6318" s="501" t="s">
        <v>3474</v>
      </c>
      <c r="AN6318" s="515">
        <v>30</v>
      </c>
      <c r="AO6318" s="501" t="s">
        <v>3418</v>
      </c>
      <c r="AP6318" s="512">
        <f>AL6318-AN6318</f>
        <v>450</v>
      </c>
    </row>
    <row r="6319" spans="1:42" ht="16.5" customHeight="1">
      <c r="A6319" s="439"/>
      <c r="B6319" s="439"/>
      <c r="C6319" s="439"/>
      <c r="D6319" s="439"/>
      <c r="E6319" s="439"/>
      <c r="F6319" s="439"/>
      <c r="G6319" s="451" t="s">
        <v>3406</v>
      </c>
      <c r="Z6319" s="500"/>
      <c r="AA6319" s="500"/>
      <c r="AB6319" s="500"/>
      <c r="AC6319" s="500"/>
      <c r="AD6319" s="500"/>
      <c r="AE6319" s="500"/>
      <c r="AF6319" s="500"/>
      <c r="AG6319" s="500"/>
      <c r="AH6319" s="500"/>
      <c r="AI6319" s="500"/>
      <c r="AJ6319" s="500"/>
      <c r="AK6319" s="500"/>
      <c r="AL6319" s="500"/>
      <c r="AM6319" s="500"/>
      <c r="AN6319" s="500"/>
      <c r="AO6319" s="500"/>
      <c r="AP6319" s="500"/>
    </row>
    <row r="6320" spans="1:42" ht="16.5" customHeight="1">
      <c r="A6320" s="439"/>
      <c r="B6320" s="439"/>
      <c r="C6320" s="439"/>
      <c r="D6320" s="439"/>
      <c r="E6320" s="439"/>
      <c r="F6320" s="439"/>
      <c r="G6320" s="451" t="s">
        <v>3406</v>
      </c>
      <c r="Z6320" s="500"/>
      <c r="AA6320" s="500"/>
      <c r="AB6320" s="500"/>
      <c r="AC6320" s="500"/>
      <c r="AD6320" s="500"/>
      <c r="AE6320" s="500"/>
      <c r="AF6320" s="500"/>
      <c r="AG6320" s="500"/>
      <c r="AH6320" s="500"/>
      <c r="AI6320" s="500"/>
      <c r="AJ6320" s="500"/>
      <c r="AK6320" s="500"/>
      <c r="AL6320" s="500"/>
      <c r="AM6320" s="500"/>
      <c r="AN6320" s="500"/>
      <c r="AO6320" s="500"/>
      <c r="AP6320" s="500"/>
    </row>
    <row r="6321" spans="1:42" ht="16.5" customHeight="1">
      <c r="A6321" s="439"/>
      <c r="B6321" s="439"/>
      <c r="C6321" s="439"/>
      <c r="D6321" s="439"/>
      <c r="E6321" s="439"/>
      <c r="F6321" s="439"/>
      <c r="G6321" s="451" t="s">
        <v>3406</v>
      </c>
      <c r="Z6321" s="500"/>
      <c r="AA6321" s="500"/>
      <c r="AB6321" s="500"/>
      <c r="AC6321" s="500"/>
      <c r="AD6321" s="500"/>
      <c r="AE6321" s="500"/>
      <c r="AF6321" s="500"/>
      <c r="AG6321" s="500"/>
      <c r="AH6321" s="500"/>
      <c r="AI6321" s="500"/>
      <c r="AJ6321" s="500"/>
      <c r="AK6321" s="500"/>
      <c r="AL6321" s="500"/>
      <c r="AM6321" s="500"/>
      <c r="AN6321" s="500"/>
      <c r="AO6321" s="500"/>
      <c r="AP6321" s="500"/>
    </row>
    <row r="6322" spans="1:42" ht="16.5" customHeight="1">
      <c r="A6322" s="434"/>
      <c r="B6322" s="437" t="str">
        <f>" N = V*T /( "&amp;AD6322&amp;"*L+V*"&amp;AJ6322&amp;" ) = "&amp;AM6322&amp;" 회/일 "</f>
        <v xml:space="preserve"> N = V*T /( 120*L+V*2 ) = 27.44 회/일 </v>
      </c>
      <c r="C6322" s="439"/>
      <c r="D6322" s="439"/>
      <c r="E6322" s="439"/>
      <c r="F6322" s="439"/>
      <c r="G6322" s="451" t="s">
        <v>3989</v>
      </c>
      <c r="Z6322" s="512">
        <f>AF6318</f>
        <v>2500</v>
      </c>
      <c r="AA6322" s="501" t="s">
        <v>3368</v>
      </c>
      <c r="AB6322" s="512">
        <f>AP6318</f>
        <v>450</v>
      </c>
      <c r="AC6322" s="501" t="s">
        <v>3463</v>
      </c>
      <c r="AD6322" s="515">
        <v>120</v>
      </c>
      <c r="AE6322" s="501" t="s">
        <v>3368</v>
      </c>
      <c r="AF6322" s="512">
        <f>AB6318</f>
        <v>300</v>
      </c>
      <c r="AG6322" s="501" t="s">
        <v>3468</v>
      </c>
      <c r="AH6322" s="512">
        <f>AF6318</f>
        <v>2500</v>
      </c>
      <c r="AI6322" s="501" t="s">
        <v>3368</v>
      </c>
      <c r="AJ6322" s="515">
        <v>2</v>
      </c>
      <c r="AK6322" s="501" t="s">
        <v>3464</v>
      </c>
      <c r="AL6322" s="501" t="s">
        <v>3418</v>
      </c>
      <c r="AM6322" s="512" t="str">
        <f>TEXT(ROUND(AF6318*AP6318/(AD6322*AB6318+AF6318*AJ6322),2),"#,0.00")</f>
        <v>27.44</v>
      </c>
      <c r="AN6322" s="500"/>
      <c r="AO6322" s="500"/>
      <c r="AP6322" s="500"/>
    </row>
    <row r="6323" spans="1:42" ht="16.5" customHeight="1">
      <c r="A6323" s="439"/>
      <c r="B6323" s="439"/>
      <c r="C6323" s="439"/>
      <c r="D6323" s="439"/>
      <c r="E6323" s="439"/>
      <c r="F6323" s="439"/>
      <c r="G6323" s="451" t="s">
        <v>3406</v>
      </c>
      <c r="Z6323" s="500"/>
      <c r="AA6323" s="500"/>
      <c r="AB6323" s="500"/>
      <c r="AC6323" s="500"/>
      <c r="AD6323" s="500"/>
      <c r="AE6323" s="500"/>
      <c r="AF6323" s="500"/>
      <c r="AG6323" s="500"/>
      <c r="AH6323" s="500"/>
      <c r="AI6323" s="500"/>
      <c r="AJ6323" s="500"/>
      <c r="AK6323" s="500"/>
      <c r="AL6323" s="500"/>
      <c r="AM6323" s="500"/>
      <c r="AN6323" s="500"/>
      <c r="AO6323" s="500"/>
      <c r="AP6323" s="500"/>
    </row>
    <row r="6324" spans="1:42" ht="16.5" customHeight="1">
      <c r="A6324" s="439"/>
      <c r="B6324" s="439"/>
      <c r="C6324" s="439"/>
      <c r="D6324" s="439"/>
      <c r="E6324" s="439"/>
      <c r="F6324" s="439"/>
      <c r="G6324" s="451" t="s">
        <v>3406</v>
      </c>
      <c r="Z6324" s="500"/>
      <c r="AA6324" s="500"/>
      <c r="AB6324" s="500"/>
      <c r="AC6324" s="500"/>
      <c r="AD6324" s="500"/>
      <c r="AE6324" s="500"/>
      <c r="AF6324" s="500"/>
      <c r="AG6324" s="500"/>
      <c r="AH6324" s="500"/>
      <c r="AI6324" s="500"/>
      <c r="AJ6324" s="500"/>
      <c r="AK6324" s="500"/>
      <c r="AL6324" s="500"/>
      <c r="AM6324" s="500"/>
      <c r="AN6324" s="500"/>
      <c r="AO6324" s="500"/>
      <c r="AP6324" s="500"/>
    </row>
    <row r="6325" spans="1:42" ht="16.5" customHeight="1">
      <c r="A6325" s="439"/>
      <c r="B6325" s="439"/>
      <c r="C6325" s="439"/>
      <c r="D6325" s="439"/>
      <c r="E6325" s="439"/>
      <c r="F6325" s="439"/>
      <c r="G6325" s="451" t="s">
        <v>3406</v>
      </c>
      <c r="Z6325" s="500"/>
      <c r="AA6325" s="500"/>
      <c r="AB6325" s="500"/>
      <c r="AC6325" s="500"/>
      <c r="AD6325" s="500"/>
      <c r="AE6325" s="500"/>
      <c r="AF6325" s="500"/>
      <c r="AG6325" s="500"/>
      <c r="AH6325" s="500"/>
      <c r="AI6325" s="500"/>
      <c r="AJ6325" s="500"/>
      <c r="AK6325" s="500"/>
      <c r="AL6325" s="500"/>
      <c r="AM6325" s="500"/>
      <c r="AN6325" s="500"/>
      <c r="AO6325" s="500"/>
      <c r="AP6325" s="500"/>
    </row>
    <row r="6326" spans="1:42" ht="16.5" customHeight="1">
      <c r="A6326" s="434"/>
      <c r="B6326" s="437" t="str">
        <f>" Q = N*"&amp;AB6326&amp;" ㎏ = "&amp;AD6326&amp;"  kg/일 "</f>
        <v xml:space="preserve"> Q = N*25 ㎏ = 686.00  kg/일 </v>
      </c>
      <c r="C6326" s="439"/>
      <c r="D6326" s="439"/>
      <c r="E6326" s="439"/>
      <c r="F6326" s="439"/>
      <c r="G6326" s="451" t="s">
        <v>3990</v>
      </c>
      <c r="Z6326" s="512" t="str">
        <f>AM6322</f>
        <v>27.44</v>
      </c>
      <c r="AA6326" s="501" t="s">
        <v>3368</v>
      </c>
      <c r="AB6326" s="515">
        <v>25</v>
      </c>
      <c r="AC6326" s="501" t="s">
        <v>3418</v>
      </c>
      <c r="AD6326" s="512" t="str">
        <f>TEXT(ROUND(AM6322*AB6326,2),"#,0.00")</f>
        <v>686.00</v>
      </c>
      <c r="AE6326" s="500"/>
      <c r="AF6326" s="500"/>
      <c r="AG6326" s="500"/>
      <c r="AH6326" s="500"/>
      <c r="AI6326" s="500"/>
      <c r="AJ6326" s="500"/>
      <c r="AK6326" s="500"/>
      <c r="AL6326" s="500"/>
      <c r="AM6326" s="500"/>
      <c r="AN6326" s="500"/>
      <c r="AO6326" s="500"/>
      <c r="AP6326" s="500"/>
    </row>
    <row r="6327" spans="1:42" ht="16.5" customHeight="1">
      <c r="A6327" s="439"/>
      <c r="B6327" s="439"/>
      <c r="C6327" s="439"/>
      <c r="D6327" s="439"/>
      <c r="E6327" s="439"/>
      <c r="F6327" s="439"/>
      <c r="G6327" s="451" t="s">
        <v>3406</v>
      </c>
      <c r="Z6327" s="500"/>
      <c r="AA6327" s="500"/>
      <c r="AB6327" s="500"/>
      <c r="AC6327" s="500"/>
      <c r="AD6327" s="500"/>
      <c r="AE6327" s="500"/>
      <c r="AF6327" s="500"/>
      <c r="AG6327" s="500"/>
      <c r="AH6327" s="500"/>
      <c r="AI6327" s="500"/>
      <c r="AJ6327" s="500"/>
      <c r="AK6327" s="500"/>
      <c r="AL6327" s="500"/>
      <c r="AM6327" s="500"/>
      <c r="AN6327" s="500"/>
      <c r="AO6327" s="500"/>
      <c r="AP6327" s="500"/>
    </row>
    <row r="6328" spans="1:42" ht="16.5" customHeight="1">
      <c r="A6328" s="439"/>
      <c r="B6328" s="439"/>
      <c r="C6328" s="439"/>
      <c r="D6328" s="439"/>
      <c r="E6328" s="439"/>
      <c r="F6328" s="439"/>
      <c r="G6328" s="451" t="s">
        <v>3406</v>
      </c>
      <c r="Z6328" s="500"/>
      <c r="AA6328" s="500"/>
      <c r="AB6328" s="500"/>
      <c r="AC6328" s="500"/>
      <c r="AD6328" s="500"/>
      <c r="AE6328" s="500"/>
      <c r="AF6328" s="500"/>
      <c r="AG6328" s="500"/>
      <c r="AH6328" s="500"/>
      <c r="AI6328" s="500"/>
      <c r="AJ6328" s="500"/>
      <c r="AK6328" s="500"/>
      <c r="AL6328" s="500"/>
      <c r="AM6328" s="500"/>
      <c r="AN6328" s="500"/>
      <c r="AO6328" s="500"/>
      <c r="AP6328" s="500"/>
    </row>
    <row r="6329" spans="1:42" ht="16.5" customHeight="1">
      <c r="A6329" s="439"/>
      <c r="B6329" s="439"/>
      <c r="C6329" s="439"/>
      <c r="D6329" s="439"/>
      <c r="E6329" s="439"/>
      <c r="F6329" s="439"/>
      <c r="G6329" s="451" t="s">
        <v>3406</v>
      </c>
      <c r="Z6329" s="500"/>
      <c r="AA6329" s="500"/>
      <c r="AB6329" s="500"/>
      <c r="AC6329" s="500"/>
      <c r="AD6329" s="500"/>
      <c r="AE6329" s="500"/>
      <c r="AF6329" s="500"/>
      <c r="AG6329" s="500"/>
      <c r="AH6329" s="500"/>
      <c r="AI6329" s="500"/>
      <c r="AJ6329" s="500"/>
      <c r="AK6329" s="500"/>
      <c r="AL6329" s="500"/>
      <c r="AM6329" s="500"/>
      <c r="AN6329" s="500"/>
      <c r="AO6329" s="500"/>
      <c r="AP6329" s="500"/>
    </row>
    <row r="6330" spans="1:42" ht="16.5" customHeight="1">
      <c r="A6330" s="434"/>
      <c r="B6330" s="437" t="str">
        <f>" k = "&amp;Z6330&amp;" kg /Q"</f>
        <v xml:space="preserve"> k = 1000 kg /Q</v>
      </c>
      <c r="C6330" s="439"/>
      <c r="D6330" s="439"/>
      <c r="E6330" s="439"/>
      <c r="F6330" s="439"/>
      <c r="G6330" s="451" t="s">
        <v>3991</v>
      </c>
      <c r="Z6330" s="515">
        <v>1000</v>
      </c>
      <c r="AA6330" s="501" t="s">
        <v>3428</v>
      </c>
      <c r="AB6330" s="512" t="str">
        <f>AD6326</f>
        <v>686.00</v>
      </c>
      <c r="AC6330" s="501" t="s">
        <v>3418</v>
      </c>
      <c r="AD6330" s="512">
        <f>ROUND(Z6330/AD6326,13)</f>
        <v>1.4577259475219</v>
      </c>
      <c r="AE6330" s="500"/>
      <c r="AF6330" s="500"/>
      <c r="AG6330" s="500"/>
      <c r="AH6330" s="500"/>
      <c r="AI6330" s="500"/>
      <c r="AJ6330" s="500"/>
      <c r="AK6330" s="500"/>
      <c r="AL6330" s="500"/>
      <c r="AM6330" s="500"/>
      <c r="AN6330" s="500"/>
      <c r="AO6330" s="500"/>
      <c r="AP6330" s="500"/>
    </row>
    <row r="6331" spans="1:42" ht="16.5" customHeight="1">
      <c r="A6331" s="439"/>
      <c r="B6331" s="439"/>
      <c r="C6331" s="439"/>
      <c r="D6331" s="439"/>
      <c r="E6331" s="439"/>
      <c r="F6331" s="439"/>
      <c r="G6331" s="451" t="s">
        <v>3406</v>
      </c>
      <c r="Z6331" s="500"/>
      <c r="AA6331" s="500"/>
      <c r="AB6331" s="500"/>
      <c r="AC6331" s="500"/>
      <c r="AD6331" s="500"/>
      <c r="AE6331" s="500"/>
      <c r="AF6331" s="500"/>
      <c r="AG6331" s="500"/>
      <c r="AH6331" s="500"/>
      <c r="AI6331" s="500"/>
      <c r="AJ6331" s="500"/>
      <c r="AK6331" s="500"/>
      <c r="AL6331" s="500"/>
      <c r="AM6331" s="500"/>
      <c r="AN6331" s="500"/>
      <c r="AO6331" s="500"/>
      <c r="AP6331" s="500"/>
    </row>
    <row r="6332" spans="1:42" ht="16.5" customHeight="1">
      <c r="A6332" s="439"/>
      <c r="B6332" s="439"/>
      <c r="C6332" s="439"/>
      <c r="D6332" s="439"/>
      <c r="E6332" s="439"/>
      <c r="F6332" s="439"/>
      <c r="G6332" s="451" t="s">
        <v>3406</v>
      </c>
      <c r="Z6332" s="500"/>
      <c r="AA6332" s="500"/>
      <c r="AB6332" s="500"/>
      <c r="AC6332" s="500"/>
      <c r="AD6332" s="500"/>
      <c r="AE6332" s="500"/>
      <c r="AF6332" s="500"/>
      <c r="AG6332" s="500"/>
      <c r="AH6332" s="500"/>
      <c r="AI6332" s="500"/>
      <c r="AJ6332" s="500"/>
      <c r="AK6332" s="500"/>
      <c r="AL6332" s="500"/>
      <c r="AM6332" s="500"/>
      <c r="AN6332" s="500"/>
      <c r="AO6332" s="500"/>
      <c r="AP6332" s="500"/>
    </row>
    <row r="6333" spans="1:42" ht="16.5" customHeight="1">
      <c r="A6333" s="439"/>
      <c r="B6333" s="439"/>
      <c r="C6333" s="439"/>
      <c r="D6333" s="439"/>
      <c r="E6333" s="439"/>
      <c r="F6333" s="439"/>
      <c r="G6333" s="451" t="s">
        <v>3406</v>
      </c>
      <c r="Z6333" s="500"/>
      <c r="AA6333" s="500"/>
      <c r="AB6333" s="500"/>
      <c r="AC6333" s="500"/>
      <c r="AD6333" s="500"/>
      <c r="AE6333" s="500"/>
      <c r="AF6333" s="500"/>
      <c r="AG6333" s="500"/>
      <c r="AH6333" s="500"/>
      <c r="AI6333" s="500"/>
      <c r="AJ6333" s="500"/>
      <c r="AK6333" s="500"/>
      <c r="AL6333" s="500"/>
      <c r="AM6333" s="500"/>
      <c r="AN6333" s="500"/>
      <c r="AO6333" s="500"/>
      <c r="AP6333" s="500"/>
    </row>
    <row r="6334" spans="1:42" ht="16.5" customHeight="1">
      <c r="A6334" s="434" t="s">
        <v>3992</v>
      </c>
      <c r="B6334" s="505" t="str">
        <f>" 인    부: "&amp;TEXT(I6334,"#,##0"&amp;IF(I6334&lt;&gt;INT(I6334),".###",""))&amp;"*k = "&amp;TEXT(C6334,"#,##0.0")&amp;" 원 "</f>
        <v xml:space="preserve"> 인    부: 172,068*k = 250,827.9 원 </v>
      </c>
      <c r="C6334" s="506">
        <f>E6334+D6334+F6334</f>
        <v>250827.9</v>
      </c>
      <c r="D6334" s="506">
        <f>IF(H6334=0,0,ROUNDDOWN(J6334*H6334,1))</f>
        <v>250827.9</v>
      </c>
      <c r="E6334" s="506">
        <f>IF(H6334=0,0,ROUNDDOWN(K6334*H6334,1))</f>
        <v>0</v>
      </c>
      <c r="F6334" s="506">
        <f>IF(H6334=0,0,ROUNDDOWN(L6334*H6334,1))</f>
        <v>0</v>
      </c>
      <c r="G6334" s="451" t="s">
        <v>3993</v>
      </c>
      <c r="H6334" s="507">
        <f>ROUNDUP(AC6334,14-LEN(ABS(INT(AC6334))))</f>
        <v>1.4577259475219</v>
      </c>
      <c r="I6334" s="508">
        <f>K6334+J6334+L6334</f>
        <v>172068</v>
      </c>
      <c r="J6334" s="509">
        <f>노무비목록표!E10</f>
        <v>172068</v>
      </c>
      <c r="M6334" s="501" t="s">
        <v>2363</v>
      </c>
      <c r="N6334" s="501" t="s">
        <v>3994</v>
      </c>
      <c r="X6334" s="510" t="str">
        <f>노무비목록표!B10&amp;" / "&amp;노무비목록표!C10</f>
        <v xml:space="preserve">보통인부 / </v>
      </c>
      <c r="Y6334" s="433" t="str">
        <f ca="1">HYPERLINK("#"&amp;노무비목록표!G2&amp;"!A"&amp;ROW(노무비목록표!A10),"L00017 →")</f>
        <v>L00017 →</v>
      </c>
      <c r="Z6334" s="501" t="s">
        <v>3500</v>
      </c>
      <c r="AA6334" s="512">
        <f>AD6330</f>
        <v>1.4577259475219</v>
      </c>
      <c r="AB6334" s="501" t="s">
        <v>3418</v>
      </c>
      <c r="AC6334" s="512">
        <f>1*AD6330</f>
        <v>1.4577259475219</v>
      </c>
      <c r="AD6334" s="500"/>
      <c r="AE6334" s="500"/>
      <c r="AF6334" s="500"/>
      <c r="AG6334" s="500"/>
      <c r="AH6334" s="500"/>
      <c r="AI6334" s="500"/>
      <c r="AJ6334" s="500"/>
      <c r="AK6334" s="500"/>
      <c r="AL6334" s="500"/>
      <c r="AM6334" s="500"/>
      <c r="AN6334" s="500"/>
      <c r="AO6334" s="500"/>
      <c r="AP6334" s="500"/>
    </row>
    <row r="6335" spans="1:42" ht="16.5" customHeight="1">
      <c r="A6335" s="439"/>
      <c r="B6335" s="439"/>
      <c r="C6335" s="439"/>
      <c r="D6335" s="439"/>
      <c r="E6335" s="439"/>
      <c r="F6335" s="439"/>
      <c r="G6335" s="451" t="s">
        <v>3406</v>
      </c>
      <c r="Z6335" s="500"/>
      <c r="AA6335" s="500"/>
      <c r="AB6335" s="500"/>
      <c r="AC6335" s="500"/>
      <c r="AD6335" s="500"/>
      <c r="AE6335" s="500"/>
      <c r="AF6335" s="500"/>
      <c r="AG6335" s="500"/>
      <c r="AH6335" s="500"/>
      <c r="AI6335" s="500"/>
      <c r="AJ6335" s="500"/>
      <c r="AK6335" s="500"/>
      <c r="AL6335" s="500"/>
      <c r="AM6335" s="500"/>
      <c r="AN6335" s="500"/>
      <c r="AO6335" s="500"/>
      <c r="AP6335" s="500"/>
    </row>
    <row r="6336" spans="1:42" ht="16.5" customHeight="1">
      <c r="A6336" s="439"/>
      <c r="B6336" s="439"/>
      <c r="C6336" s="439"/>
      <c r="D6336" s="439"/>
      <c r="E6336" s="439"/>
      <c r="F6336" s="439"/>
      <c r="G6336" s="451" t="s">
        <v>3406</v>
      </c>
      <c r="Z6336" s="500"/>
      <c r="AA6336" s="500"/>
      <c r="AB6336" s="500"/>
      <c r="AC6336" s="500"/>
      <c r="AD6336" s="500"/>
      <c r="AE6336" s="500"/>
      <c r="AF6336" s="500"/>
      <c r="AG6336" s="500"/>
      <c r="AH6336" s="500"/>
      <c r="AI6336" s="500"/>
      <c r="AJ6336" s="500"/>
      <c r="AK6336" s="500"/>
      <c r="AL6336" s="500"/>
      <c r="AM6336" s="500"/>
      <c r="AN6336" s="500"/>
      <c r="AO6336" s="500"/>
      <c r="AP6336" s="500"/>
    </row>
    <row r="6337" spans="1:42" ht="16.5" customHeight="1">
      <c r="A6337" s="439"/>
      <c r="B6337" s="439"/>
      <c r="C6337" s="439"/>
      <c r="D6337" s="439"/>
      <c r="E6337" s="439"/>
      <c r="F6337" s="439"/>
      <c r="G6337" s="451" t="s">
        <v>3406</v>
      </c>
      <c r="Z6337" s="500"/>
      <c r="AA6337" s="500"/>
      <c r="AB6337" s="500"/>
      <c r="AC6337" s="500"/>
      <c r="AD6337" s="500"/>
      <c r="AE6337" s="500"/>
      <c r="AF6337" s="500"/>
      <c r="AG6337" s="500"/>
      <c r="AH6337" s="500"/>
      <c r="AI6337" s="500"/>
      <c r="AJ6337" s="500"/>
      <c r="AK6337" s="500"/>
      <c r="AL6337" s="500"/>
      <c r="AM6337" s="500"/>
      <c r="AN6337" s="500"/>
      <c r="AO6337" s="500"/>
      <c r="AP6337" s="500"/>
    </row>
    <row r="6338" spans="1:42" ht="16.5" customHeight="1">
      <c r="A6338" s="439"/>
      <c r="B6338" s="439"/>
      <c r="C6338" s="439"/>
      <c r="D6338" s="439"/>
      <c r="E6338" s="439"/>
      <c r="F6338" s="439"/>
      <c r="G6338" s="451" t="s">
        <v>3406</v>
      </c>
      <c r="Z6338" s="500"/>
      <c r="AA6338" s="500"/>
      <c r="AB6338" s="500"/>
      <c r="AC6338" s="500"/>
      <c r="AD6338" s="500"/>
      <c r="AE6338" s="500"/>
      <c r="AF6338" s="500"/>
      <c r="AG6338" s="500"/>
      <c r="AH6338" s="500"/>
      <c r="AI6338" s="500"/>
      <c r="AJ6338" s="500"/>
      <c r="AK6338" s="500"/>
      <c r="AL6338" s="500"/>
      <c r="AM6338" s="500"/>
      <c r="AN6338" s="500"/>
      <c r="AO6338" s="500"/>
      <c r="AP6338" s="500"/>
    </row>
    <row r="6339" spans="1:42" ht="16.5" customHeight="1">
      <c r="A6339" s="434"/>
      <c r="B6339" s="437" t="s">
        <v>3995</v>
      </c>
      <c r="C6339" s="516">
        <f>E6339+D6339+F6339</f>
        <v>250827.9</v>
      </c>
      <c r="D6339" s="516">
        <f>SUMIF(N6307:N6338,M6339,D6307:D6338)</f>
        <v>250827.9</v>
      </c>
      <c r="E6339" s="516">
        <f>SUMIF(N6307:N6338,M6339,E6307:E6338)</f>
        <v>0</v>
      </c>
      <c r="F6339" s="516">
        <f>SUMIF(N6307:N6338,M6339,F6307:F6338)</f>
        <v>0</v>
      </c>
      <c r="G6339" s="451" t="s">
        <v>3996</v>
      </c>
      <c r="M6339" s="501" t="s">
        <v>3994</v>
      </c>
      <c r="Z6339" s="500"/>
      <c r="AA6339" s="500"/>
      <c r="AB6339" s="500"/>
      <c r="AC6339" s="500"/>
      <c r="AD6339" s="500"/>
      <c r="AE6339" s="500"/>
      <c r="AF6339" s="500"/>
      <c r="AG6339" s="500"/>
      <c r="AH6339" s="500"/>
      <c r="AI6339" s="500"/>
      <c r="AJ6339" s="500"/>
      <c r="AK6339" s="500"/>
      <c r="AL6339" s="500"/>
      <c r="AM6339" s="500"/>
      <c r="AN6339" s="500"/>
      <c r="AO6339" s="500"/>
      <c r="AP6339" s="500"/>
    </row>
    <row r="6340" spans="1:42" ht="16.5" customHeight="1">
      <c r="A6340" s="439"/>
      <c r="B6340" s="439"/>
      <c r="C6340" s="517"/>
      <c r="D6340" s="517"/>
      <c r="E6340" s="517"/>
      <c r="F6340" s="517"/>
      <c r="G6340" s="451" t="s">
        <v>3406</v>
      </c>
      <c r="Z6340" s="500"/>
      <c r="AA6340" s="500"/>
      <c r="AB6340" s="500"/>
      <c r="AC6340" s="500"/>
      <c r="AD6340" s="500"/>
      <c r="AE6340" s="500"/>
      <c r="AF6340" s="500"/>
      <c r="AG6340" s="500"/>
      <c r="AH6340" s="500"/>
      <c r="AI6340" s="500"/>
      <c r="AJ6340" s="500"/>
      <c r="AK6340" s="500"/>
      <c r="AL6340" s="500"/>
      <c r="AM6340" s="500"/>
      <c r="AN6340" s="500"/>
      <c r="AO6340" s="500"/>
      <c r="AP6340" s="500"/>
    </row>
    <row r="6341" spans="1:42" ht="16.5" customHeight="1">
      <c r="A6341" s="439"/>
      <c r="B6341" s="439"/>
      <c r="C6341" s="439"/>
      <c r="D6341" s="439"/>
      <c r="E6341" s="439"/>
      <c r="F6341" s="439"/>
      <c r="G6341" s="451" t="s">
        <v>3406</v>
      </c>
      <c r="Z6341" s="500"/>
      <c r="AA6341" s="500"/>
      <c r="AB6341" s="500"/>
      <c r="AC6341" s="500"/>
      <c r="AD6341" s="500"/>
      <c r="AE6341" s="500"/>
      <c r="AF6341" s="500"/>
      <c r="AG6341" s="500"/>
      <c r="AH6341" s="500"/>
      <c r="AI6341" s="500"/>
      <c r="AJ6341" s="500"/>
      <c r="AK6341" s="500"/>
      <c r="AL6341" s="500"/>
      <c r="AM6341" s="500"/>
      <c r="AN6341" s="500"/>
      <c r="AO6341" s="500"/>
      <c r="AP6341" s="500"/>
    </row>
    <row r="6342" spans="1:42" ht="16.5" customHeight="1">
      <c r="A6342" s="434" t="s">
        <v>3997</v>
      </c>
      <c r="B6342" s="505" t="str">
        <f>" 경비로 적용 : "&amp;TEXT(I6342,"#,##0"&amp;IF(I6342&lt;&gt;INT(I6342),".###",""))&amp;"  = "&amp;TEXT(C6342,"#,##0.0")&amp;""</f>
        <v xml:space="preserve"> 경비로 적용 : 250,827.9  = 250,827.9</v>
      </c>
      <c r="C6342" s="506">
        <f>E6342+D6342+F6342</f>
        <v>250827.9</v>
      </c>
      <c r="D6342" s="506">
        <f>IF(H6342=0,0,ROUNDDOWN(J6342*H6342,1))</f>
        <v>0</v>
      </c>
      <c r="E6342" s="506">
        <f>IF(H6342=0,0,ROUNDDOWN(K6342*H6342,1))</f>
        <v>0</v>
      </c>
      <c r="F6342" s="506">
        <f>IF(H6342=0,0,ROUNDDOWN(L6342*H6342,1))</f>
        <v>250827.9</v>
      </c>
      <c r="G6342" s="451" t="s">
        <v>3998</v>
      </c>
      <c r="H6342" s="507">
        <f>ROUNDUP(AB6342,14-LEN(ABS(INT(AB6342))))</f>
        <v>1</v>
      </c>
      <c r="I6342" s="508">
        <f>K6342+J6342+L6342</f>
        <v>250827.9</v>
      </c>
      <c r="J6342" s="456">
        <v>0</v>
      </c>
      <c r="K6342" s="456">
        <v>0</v>
      </c>
      <c r="L6342" s="518">
        <v>250827.9</v>
      </c>
      <c r="M6342" s="501" t="s">
        <v>3999</v>
      </c>
      <c r="N6342" s="501" t="s">
        <v>2354</v>
      </c>
      <c r="Z6342" s="501" t="s">
        <v>4000</v>
      </c>
      <c r="AA6342" s="501" t="s">
        <v>3418</v>
      </c>
      <c r="AB6342" s="512">
        <f>1</f>
        <v>1</v>
      </c>
      <c r="AC6342" s="500"/>
      <c r="AD6342" s="500"/>
      <c r="AE6342" s="500"/>
      <c r="AF6342" s="500"/>
      <c r="AG6342" s="500"/>
      <c r="AH6342" s="500"/>
      <c r="AI6342" s="500"/>
      <c r="AJ6342" s="500"/>
      <c r="AK6342" s="500"/>
      <c r="AL6342" s="500"/>
      <c r="AM6342" s="500"/>
      <c r="AN6342" s="500"/>
      <c r="AO6342" s="500"/>
      <c r="AP6342" s="500"/>
    </row>
    <row r="6343" spans="1:42" ht="16.5" customHeight="1">
      <c r="A6343" s="439"/>
      <c r="B6343" s="439"/>
      <c r="C6343" s="439"/>
      <c r="D6343" s="439"/>
      <c r="E6343" s="439"/>
      <c r="F6343" s="439"/>
      <c r="Z6343" s="500"/>
      <c r="AA6343" s="500"/>
      <c r="AB6343" s="500"/>
      <c r="AC6343" s="500"/>
      <c r="AD6343" s="500"/>
      <c r="AE6343" s="500"/>
      <c r="AF6343" s="500"/>
      <c r="AG6343" s="500"/>
      <c r="AH6343" s="500"/>
      <c r="AI6343" s="500"/>
      <c r="AJ6343" s="500"/>
      <c r="AK6343" s="500"/>
      <c r="AL6343" s="500"/>
      <c r="AM6343" s="500"/>
      <c r="AN6343" s="500"/>
      <c r="AO6343" s="500"/>
      <c r="AP6343" s="500"/>
    </row>
    <row r="6344" spans="1:42" ht="16.5" customHeight="1">
      <c r="A6344" s="439"/>
      <c r="B6344" s="439"/>
      <c r="C6344" s="439"/>
      <c r="D6344" s="439"/>
      <c r="E6344" s="439"/>
      <c r="F6344" s="439"/>
      <c r="Z6344" s="500"/>
      <c r="AA6344" s="500"/>
      <c r="AB6344" s="500"/>
      <c r="AC6344" s="500"/>
      <c r="AD6344" s="500"/>
      <c r="AE6344" s="500"/>
      <c r="AF6344" s="500"/>
      <c r="AG6344" s="500"/>
      <c r="AH6344" s="500"/>
      <c r="AI6344" s="500"/>
      <c r="AJ6344" s="500"/>
      <c r="AK6344" s="500"/>
      <c r="AL6344" s="500"/>
      <c r="AM6344" s="500"/>
      <c r="AN6344" s="500"/>
      <c r="AO6344" s="500"/>
      <c r="AP6344" s="500"/>
    </row>
    <row r="6345" spans="1:42" ht="16.5" customHeight="1">
      <c r="A6345" s="439"/>
      <c r="B6345" s="439"/>
      <c r="C6345" s="439"/>
      <c r="D6345" s="439"/>
      <c r="E6345" s="439"/>
      <c r="F6345" s="439"/>
      <c r="Z6345" s="500"/>
      <c r="AA6345" s="500"/>
      <c r="AB6345" s="500"/>
      <c r="AC6345" s="500"/>
      <c r="AD6345" s="500"/>
      <c r="AE6345" s="500"/>
      <c r="AF6345" s="500"/>
      <c r="AG6345" s="500"/>
      <c r="AH6345" s="500"/>
      <c r="AI6345" s="500"/>
      <c r="AJ6345" s="500"/>
      <c r="AK6345" s="500"/>
      <c r="AL6345" s="500"/>
      <c r="AM6345" s="500"/>
      <c r="AN6345" s="500"/>
      <c r="AO6345" s="500"/>
      <c r="AP6345" s="500"/>
    </row>
    <row r="6346" spans="1:42" ht="16.5" customHeight="1">
      <c r="A6346" s="439"/>
      <c r="B6346" s="439"/>
      <c r="C6346" s="439"/>
      <c r="D6346" s="439"/>
      <c r="E6346" s="439"/>
      <c r="F6346" s="439"/>
      <c r="Z6346" s="500"/>
      <c r="AA6346" s="500"/>
      <c r="AB6346" s="500"/>
      <c r="AC6346" s="500"/>
      <c r="AD6346" s="500"/>
      <c r="AE6346" s="500"/>
      <c r="AF6346" s="500"/>
      <c r="AG6346" s="500"/>
      <c r="AH6346" s="500"/>
      <c r="AI6346" s="500"/>
      <c r="AJ6346" s="500"/>
      <c r="AK6346" s="500"/>
      <c r="AL6346" s="500"/>
      <c r="AM6346" s="500"/>
      <c r="AN6346" s="500"/>
      <c r="AO6346" s="500"/>
      <c r="AP6346" s="500"/>
    </row>
    <row r="6347" spans="1:42" ht="16.5" customHeight="1">
      <c r="A6347" s="439"/>
      <c r="B6347" s="439"/>
      <c r="C6347" s="439"/>
      <c r="D6347" s="439"/>
      <c r="E6347" s="439"/>
      <c r="F6347" s="439"/>
      <c r="Z6347" s="500"/>
      <c r="AA6347" s="500"/>
      <c r="AB6347" s="500"/>
      <c r="AC6347" s="500"/>
      <c r="AD6347" s="500"/>
      <c r="AE6347" s="500"/>
      <c r="AF6347" s="500"/>
      <c r="AG6347" s="500"/>
      <c r="AH6347" s="500"/>
      <c r="AI6347" s="500"/>
      <c r="AJ6347" s="500"/>
      <c r="AK6347" s="500"/>
      <c r="AL6347" s="500"/>
      <c r="AM6347" s="500"/>
      <c r="AN6347" s="500"/>
      <c r="AO6347" s="500"/>
      <c r="AP6347" s="500"/>
    </row>
    <row r="6348" spans="1:42" ht="16.5" customHeight="1">
      <c r="A6348" s="439"/>
      <c r="B6348" s="439"/>
      <c r="C6348" s="439"/>
      <c r="D6348" s="439"/>
      <c r="E6348" s="439"/>
      <c r="F6348" s="439"/>
      <c r="Z6348" s="500"/>
      <c r="AA6348" s="500"/>
      <c r="AB6348" s="500"/>
      <c r="AC6348" s="500"/>
      <c r="AD6348" s="500"/>
      <c r="AE6348" s="500"/>
      <c r="AF6348" s="500"/>
      <c r="AG6348" s="500"/>
      <c r="AH6348" s="500"/>
      <c r="AI6348" s="500"/>
      <c r="AJ6348" s="500"/>
      <c r="AK6348" s="500"/>
      <c r="AL6348" s="500"/>
      <c r="AM6348" s="500"/>
      <c r="AN6348" s="500"/>
      <c r="AO6348" s="500"/>
      <c r="AP6348" s="500"/>
    </row>
    <row r="6349" spans="1:42" ht="16.5" customHeight="1">
      <c r="A6349" s="439"/>
      <c r="B6349" s="439"/>
      <c r="C6349" s="439"/>
      <c r="D6349" s="439"/>
      <c r="E6349" s="439"/>
      <c r="F6349" s="439"/>
      <c r="Z6349" s="500"/>
      <c r="AA6349" s="500"/>
      <c r="AB6349" s="500"/>
      <c r="AC6349" s="500"/>
      <c r="AD6349" s="500"/>
      <c r="AE6349" s="500"/>
      <c r="AF6349" s="500"/>
      <c r="AG6349" s="500"/>
      <c r="AH6349" s="500"/>
      <c r="AI6349" s="500"/>
      <c r="AJ6349" s="500"/>
      <c r="AK6349" s="500"/>
      <c r="AL6349" s="500"/>
      <c r="AM6349" s="500"/>
      <c r="AN6349" s="500"/>
      <c r="AO6349" s="500"/>
      <c r="AP6349" s="500"/>
    </row>
    <row r="6350" spans="1:42" ht="16.5" customHeight="1">
      <c r="A6350" s="439"/>
      <c r="B6350" s="439"/>
      <c r="C6350" s="439"/>
      <c r="D6350" s="439"/>
      <c r="E6350" s="439"/>
      <c r="F6350" s="439"/>
      <c r="Z6350" s="500"/>
      <c r="AA6350" s="500"/>
      <c r="AB6350" s="500"/>
      <c r="AC6350" s="500"/>
      <c r="AD6350" s="500"/>
      <c r="AE6350" s="500"/>
      <c r="AF6350" s="500"/>
      <c r="AG6350" s="500"/>
      <c r="AH6350" s="500"/>
      <c r="AI6350" s="500"/>
      <c r="AJ6350" s="500"/>
      <c r="AK6350" s="500"/>
      <c r="AL6350" s="500"/>
      <c r="AM6350" s="500"/>
      <c r="AN6350" s="500"/>
      <c r="AO6350" s="500"/>
      <c r="AP6350" s="500"/>
    </row>
    <row r="6351" spans="1:42" ht="16.5" customHeight="1">
      <c r="A6351" s="439"/>
      <c r="B6351" s="439"/>
      <c r="C6351" s="439"/>
      <c r="D6351" s="439"/>
      <c r="E6351" s="439"/>
      <c r="F6351" s="439"/>
      <c r="Z6351" s="500"/>
      <c r="AA6351" s="500"/>
      <c r="AB6351" s="500"/>
      <c r="AC6351" s="500"/>
      <c r="AD6351" s="500"/>
      <c r="AE6351" s="500"/>
      <c r="AF6351" s="500"/>
      <c r="AG6351" s="500"/>
      <c r="AH6351" s="500"/>
      <c r="AI6351" s="500"/>
      <c r="AJ6351" s="500"/>
      <c r="AK6351" s="500"/>
      <c r="AL6351" s="500"/>
      <c r="AM6351" s="500"/>
      <c r="AN6351" s="500"/>
      <c r="AO6351" s="500"/>
      <c r="AP6351" s="500"/>
    </row>
    <row r="6352" spans="1:42" ht="16.5" customHeight="1">
      <c r="A6352" s="439"/>
      <c r="B6352" s="439"/>
      <c r="C6352" s="439"/>
      <c r="D6352" s="439"/>
      <c r="E6352" s="439"/>
      <c r="F6352" s="439"/>
      <c r="Z6352" s="500"/>
      <c r="AA6352" s="500"/>
      <c r="AB6352" s="500"/>
      <c r="AC6352" s="500"/>
      <c r="AD6352" s="500"/>
      <c r="AE6352" s="500"/>
      <c r="AF6352" s="500"/>
      <c r="AG6352" s="500"/>
      <c r="AH6352" s="500"/>
      <c r="AI6352" s="500"/>
      <c r="AJ6352" s="500"/>
      <c r="AK6352" s="500"/>
      <c r="AL6352" s="500"/>
      <c r="AM6352" s="500"/>
      <c r="AN6352" s="500"/>
      <c r="AO6352" s="500"/>
      <c r="AP6352" s="500"/>
    </row>
    <row r="6353" spans="1:42" ht="16.5" customHeight="1">
      <c r="A6353" s="497"/>
      <c r="B6353" s="497"/>
      <c r="C6353" s="497"/>
      <c r="D6353" s="497"/>
      <c r="E6353" s="497"/>
      <c r="F6353" s="497"/>
      <c r="Z6353" s="500"/>
      <c r="AA6353" s="500"/>
      <c r="AB6353" s="500"/>
      <c r="AC6353" s="500"/>
      <c r="AD6353" s="500"/>
      <c r="AE6353" s="500"/>
      <c r="AF6353" s="500"/>
      <c r="AG6353" s="500"/>
      <c r="AH6353" s="500"/>
      <c r="AI6353" s="500"/>
      <c r="AJ6353" s="500"/>
      <c r="AK6353" s="500"/>
      <c r="AL6353" s="500"/>
      <c r="AM6353" s="500"/>
      <c r="AN6353" s="500"/>
      <c r="AO6353" s="500"/>
      <c r="AP6353" s="500"/>
    </row>
    <row r="6354" spans="1:42" ht="16.5" customHeight="1">
      <c r="A6354" s="616" t="s">
        <v>3487</v>
      </c>
      <c r="B6354" s="605"/>
      <c r="C6354" s="446">
        <f>E6354+D6354+F6354</f>
        <v>250827</v>
      </c>
      <c r="D6354" s="453">
        <f>ROUNDDOWN(SUMIF(N6307:N6342,M6354,D6307:D6342),0)</f>
        <v>0</v>
      </c>
      <c r="E6354" s="454">
        <f>ROUNDDOWN(SUMIF(N6307:N6342,M6354,E6307:E6342),0)</f>
        <v>0</v>
      </c>
      <c r="F6354" s="446">
        <f>ROUNDDOWN(SUMIF(N6307:N6342,M6354,F6307:F6342),0)</f>
        <v>250827</v>
      </c>
      <c r="M6354" s="501" t="s">
        <v>2354</v>
      </c>
      <c r="Z6354" s="500"/>
      <c r="AA6354" s="500"/>
      <c r="AB6354" s="500"/>
      <c r="AC6354" s="500"/>
      <c r="AD6354" s="500"/>
      <c r="AE6354" s="500"/>
      <c r="AF6354" s="500"/>
      <c r="AG6354" s="500"/>
      <c r="AH6354" s="500"/>
      <c r="AI6354" s="500"/>
      <c r="AJ6354" s="500"/>
      <c r="AK6354" s="500"/>
      <c r="AL6354" s="500"/>
      <c r="AM6354" s="500"/>
      <c r="AN6354" s="500"/>
      <c r="AO6354" s="500"/>
      <c r="AP6354" s="500"/>
    </row>
    <row r="6355" spans="1:42" ht="16.5" customHeight="1">
      <c r="A6355" s="502"/>
      <c r="B6355" s="503" t="s">
        <v>2153</v>
      </c>
      <c r="C6355" s="615">
        <f>C6404</f>
        <v>287498</v>
      </c>
      <c r="D6355" s="615">
        <f>D6404</f>
        <v>0</v>
      </c>
      <c r="E6355" s="615">
        <f>E6404</f>
        <v>0</v>
      </c>
      <c r="F6355" s="615">
        <f>F6404</f>
        <v>287498</v>
      </c>
      <c r="G6355" s="486" t="str">
        <f>HYPERLINK("#G"&amp;ROW(G6392),"_x0005_`BDCOD|D01184_x0007_`POSS|"&amp;ROW(G6357)&amp;"_x0007_`POSE|"&amp;ROW(G6392)&amp;"_x0007_`")</f>
        <v>_x0005_`BDCOD|D01184_x0007_`POSS|6357_x0007_`POSE|6392_x0007_`</v>
      </c>
      <c r="Z6355" s="500"/>
      <c r="AA6355" s="500"/>
      <c r="AB6355" s="500"/>
      <c r="AC6355" s="500"/>
      <c r="AD6355" s="500"/>
      <c r="AE6355" s="500"/>
      <c r="AF6355" s="500"/>
      <c r="AG6355" s="500"/>
      <c r="AH6355" s="500"/>
      <c r="AI6355" s="500"/>
      <c r="AJ6355" s="500"/>
      <c r="AK6355" s="500"/>
      <c r="AL6355" s="500"/>
      <c r="AM6355" s="500"/>
      <c r="AN6355" s="500"/>
      <c r="AO6355" s="500"/>
      <c r="AP6355" s="500"/>
    </row>
    <row r="6356" spans="1:42" ht="16.5" customHeight="1">
      <c r="A6356" s="485"/>
      <c r="B6356" s="503" t="s">
        <v>4057</v>
      </c>
      <c r="C6356" s="593"/>
      <c r="D6356" s="593"/>
      <c r="E6356" s="593"/>
      <c r="F6356" s="593"/>
      <c r="M6356" s="501" t="s">
        <v>2153</v>
      </c>
      <c r="Z6356" s="500"/>
      <c r="AA6356" s="500"/>
      <c r="AB6356" s="500"/>
      <c r="AC6356" s="500"/>
      <c r="AD6356" s="500"/>
      <c r="AE6356" s="500"/>
      <c r="AF6356" s="500"/>
      <c r="AG6356" s="500"/>
      <c r="AH6356" s="500"/>
      <c r="AI6356" s="500"/>
      <c r="AJ6356" s="500"/>
      <c r="AK6356" s="500"/>
      <c r="AL6356" s="500"/>
      <c r="AM6356" s="500"/>
      <c r="AN6356" s="500"/>
      <c r="AO6356" s="500"/>
      <c r="AP6356" s="500"/>
    </row>
    <row r="6357" spans="1:42" ht="16.5" customHeight="1">
      <c r="A6357" s="434"/>
      <c r="B6357" s="437" t="s">
        <v>3980</v>
      </c>
      <c r="C6357" s="504"/>
      <c r="D6357" s="504"/>
      <c r="E6357" s="504"/>
      <c r="F6357" s="504"/>
      <c r="G6357" s="451" t="s">
        <v>3981</v>
      </c>
      <c r="Z6357" s="500"/>
      <c r="AA6357" s="500"/>
      <c r="AB6357" s="500"/>
      <c r="AC6357" s="500"/>
      <c r="AD6357" s="500"/>
      <c r="AE6357" s="500"/>
      <c r="AF6357" s="500"/>
      <c r="AG6357" s="500"/>
      <c r="AH6357" s="500"/>
      <c r="AI6357" s="500"/>
      <c r="AJ6357" s="500"/>
      <c r="AK6357" s="500"/>
      <c r="AL6357" s="500"/>
      <c r="AM6357" s="500"/>
      <c r="AN6357" s="500"/>
      <c r="AO6357" s="500"/>
      <c r="AP6357" s="500"/>
    </row>
    <row r="6358" spans="1:42" ht="16.5" customHeight="1">
      <c r="A6358" s="439"/>
      <c r="B6358" s="439"/>
      <c r="C6358" s="439"/>
      <c r="D6358" s="439"/>
      <c r="E6358" s="439"/>
      <c r="F6358" s="439"/>
      <c r="G6358" s="451" t="s">
        <v>3406</v>
      </c>
      <c r="Z6358" s="500"/>
      <c r="AA6358" s="500"/>
      <c r="AB6358" s="500"/>
      <c r="AC6358" s="500"/>
      <c r="AD6358" s="500"/>
      <c r="AE6358" s="500"/>
      <c r="AF6358" s="500"/>
      <c r="AG6358" s="500"/>
      <c r="AH6358" s="500"/>
      <c r="AI6358" s="500"/>
      <c r="AJ6358" s="500"/>
      <c r="AK6358" s="500"/>
      <c r="AL6358" s="500"/>
      <c r="AM6358" s="500"/>
      <c r="AN6358" s="500"/>
      <c r="AO6358" s="500"/>
      <c r="AP6358" s="500"/>
    </row>
    <row r="6359" spans="1:42" ht="16.5" customHeight="1">
      <c r="A6359" s="434"/>
      <c r="B6359" s="437" t="s">
        <v>4058</v>
      </c>
      <c r="C6359" s="439"/>
      <c r="D6359" s="439"/>
      <c r="E6359" s="439"/>
      <c r="F6359" s="439"/>
      <c r="G6359" s="451" t="s">
        <v>4059</v>
      </c>
      <c r="Z6359" s="500"/>
      <c r="AA6359" s="500"/>
      <c r="AB6359" s="500"/>
      <c r="AC6359" s="500"/>
      <c r="AD6359" s="500"/>
      <c r="AE6359" s="500"/>
      <c r="AF6359" s="500"/>
      <c r="AG6359" s="500"/>
      <c r="AH6359" s="500"/>
      <c r="AI6359" s="500"/>
      <c r="AJ6359" s="500"/>
      <c r="AK6359" s="500"/>
      <c r="AL6359" s="500"/>
      <c r="AM6359" s="500"/>
      <c r="AN6359" s="500"/>
      <c r="AO6359" s="500"/>
      <c r="AP6359" s="500"/>
    </row>
    <row r="6360" spans="1:42" ht="16.5" customHeight="1">
      <c r="A6360" s="439"/>
      <c r="B6360" s="439"/>
      <c r="C6360" s="439"/>
      <c r="D6360" s="439"/>
      <c r="E6360" s="439"/>
      <c r="F6360" s="439"/>
      <c r="G6360" s="451" t="s">
        <v>3406</v>
      </c>
      <c r="Z6360" s="500"/>
      <c r="AA6360" s="500"/>
      <c r="AB6360" s="500"/>
      <c r="AC6360" s="500"/>
      <c r="AD6360" s="500"/>
      <c r="AE6360" s="500"/>
      <c r="AF6360" s="500"/>
      <c r="AG6360" s="500"/>
      <c r="AH6360" s="500"/>
      <c r="AI6360" s="500"/>
      <c r="AJ6360" s="500"/>
      <c r="AK6360" s="500"/>
      <c r="AL6360" s="500"/>
      <c r="AM6360" s="500"/>
      <c r="AN6360" s="500"/>
      <c r="AO6360" s="500"/>
      <c r="AP6360" s="500"/>
    </row>
    <row r="6361" spans="1:42" ht="16.5" customHeight="1">
      <c r="A6361" s="439"/>
      <c r="B6361" s="439"/>
      <c r="C6361" s="439"/>
      <c r="D6361" s="439"/>
      <c r="E6361" s="439"/>
      <c r="F6361" s="439"/>
      <c r="G6361" s="451" t="s">
        <v>3406</v>
      </c>
      <c r="Z6361" s="500"/>
      <c r="AA6361" s="500"/>
      <c r="AB6361" s="500"/>
      <c r="AC6361" s="500"/>
      <c r="AD6361" s="500"/>
      <c r="AE6361" s="500"/>
      <c r="AF6361" s="500"/>
      <c r="AG6361" s="500"/>
      <c r="AH6361" s="500"/>
      <c r="AI6361" s="500"/>
      <c r="AJ6361" s="500"/>
      <c r="AK6361" s="500"/>
      <c r="AL6361" s="500"/>
      <c r="AM6361" s="500"/>
      <c r="AN6361" s="500"/>
      <c r="AO6361" s="500"/>
      <c r="AP6361" s="500"/>
    </row>
    <row r="6362" spans="1:42" ht="16.5" customHeight="1">
      <c r="A6362" s="434"/>
      <c r="B6362" s="437" t="s">
        <v>3984</v>
      </c>
      <c r="C6362" s="439"/>
      <c r="D6362" s="439"/>
      <c r="E6362" s="439"/>
      <c r="F6362" s="439"/>
      <c r="G6362" s="451" t="s">
        <v>3985</v>
      </c>
      <c r="Z6362" s="500"/>
      <c r="AA6362" s="500"/>
      <c r="AB6362" s="500"/>
      <c r="AC6362" s="500"/>
      <c r="AD6362" s="500"/>
      <c r="AE6362" s="500"/>
      <c r="AF6362" s="500"/>
      <c r="AG6362" s="500"/>
      <c r="AH6362" s="500"/>
      <c r="AI6362" s="500"/>
      <c r="AJ6362" s="500"/>
      <c r="AK6362" s="500"/>
      <c r="AL6362" s="500"/>
      <c r="AM6362" s="500"/>
      <c r="AN6362" s="500"/>
      <c r="AO6362" s="500"/>
      <c r="AP6362" s="500"/>
    </row>
    <row r="6363" spans="1:42" ht="16.5" customHeight="1">
      <c r="A6363" s="439"/>
      <c r="B6363" s="439"/>
      <c r="C6363" s="439"/>
      <c r="D6363" s="439"/>
      <c r="E6363" s="439"/>
      <c r="F6363" s="439"/>
      <c r="G6363" s="451" t="s">
        <v>3406</v>
      </c>
      <c r="Z6363" s="500"/>
      <c r="AA6363" s="500"/>
      <c r="AB6363" s="500"/>
      <c r="AC6363" s="500"/>
      <c r="AD6363" s="500"/>
      <c r="AE6363" s="500"/>
      <c r="AF6363" s="500"/>
      <c r="AG6363" s="500"/>
      <c r="AH6363" s="500"/>
      <c r="AI6363" s="500"/>
      <c r="AJ6363" s="500"/>
      <c r="AK6363" s="500"/>
      <c r="AL6363" s="500"/>
      <c r="AM6363" s="500"/>
      <c r="AN6363" s="500"/>
      <c r="AO6363" s="500"/>
      <c r="AP6363" s="500"/>
    </row>
    <row r="6364" spans="1:42" ht="16.5" customHeight="1">
      <c r="A6364" s="439"/>
      <c r="B6364" s="439"/>
      <c r="C6364" s="439"/>
      <c r="D6364" s="439"/>
      <c r="E6364" s="439"/>
      <c r="F6364" s="439"/>
      <c r="G6364" s="451" t="s">
        <v>3406</v>
      </c>
      <c r="Z6364" s="500"/>
      <c r="AA6364" s="500"/>
      <c r="AB6364" s="500"/>
      <c r="AC6364" s="500"/>
      <c r="AD6364" s="500"/>
      <c r="AE6364" s="500"/>
      <c r="AF6364" s="500"/>
      <c r="AG6364" s="500"/>
      <c r="AH6364" s="500"/>
      <c r="AI6364" s="500"/>
      <c r="AJ6364" s="500"/>
      <c r="AK6364" s="500"/>
      <c r="AL6364" s="500"/>
      <c r="AM6364" s="500"/>
      <c r="AN6364" s="500"/>
      <c r="AO6364" s="500"/>
      <c r="AP6364" s="500"/>
    </row>
    <row r="6365" spans="1:42" ht="16.5" customHeight="1">
      <c r="A6365" s="434"/>
      <c r="B6365" s="437" t="s">
        <v>3986</v>
      </c>
      <c r="C6365" s="439"/>
      <c r="D6365" s="439"/>
      <c r="E6365" s="439"/>
      <c r="F6365" s="439"/>
      <c r="G6365" s="451" t="s">
        <v>3987</v>
      </c>
      <c r="Z6365" s="500"/>
      <c r="AA6365" s="500"/>
      <c r="AB6365" s="500"/>
      <c r="AC6365" s="500"/>
      <c r="AD6365" s="500"/>
      <c r="AE6365" s="500"/>
      <c r="AF6365" s="500"/>
      <c r="AG6365" s="500"/>
      <c r="AH6365" s="500"/>
      <c r="AI6365" s="500"/>
      <c r="AJ6365" s="500"/>
      <c r="AK6365" s="500"/>
      <c r="AL6365" s="500"/>
      <c r="AM6365" s="500"/>
      <c r="AN6365" s="500"/>
      <c r="AO6365" s="500"/>
      <c r="AP6365" s="500"/>
    </row>
    <row r="6366" spans="1:42" ht="16.5" customHeight="1">
      <c r="A6366" s="439"/>
      <c r="B6366" s="439"/>
      <c r="C6366" s="439"/>
      <c r="D6366" s="439"/>
      <c r="E6366" s="439"/>
      <c r="F6366" s="439"/>
      <c r="G6366" s="451" t="s">
        <v>3406</v>
      </c>
      <c r="Z6366" s="500"/>
      <c r="AA6366" s="500"/>
      <c r="AB6366" s="500"/>
      <c r="AC6366" s="500"/>
      <c r="AD6366" s="500"/>
      <c r="AE6366" s="500"/>
      <c r="AF6366" s="500"/>
      <c r="AG6366" s="500"/>
      <c r="AH6366" s="500"/>
      <c r="AI6366" s="500"/>
      <c r="AJ6366" s="500"/>
      <c r="AK6366" s="500"/>
      <c r="AL6366" s="500"/>
      <c r="AM6366" s="500"/>
      <c r="AN6366" s="500"/>
      <c r="AO6366" s="500"/>
      <c r="AP6366" s="500"/>
    </row>
    <row r="6367" spans="1:42" ht="16.5" customHeight="1">
      <c r="A6367" s="439"/>
      <c r="B6367" s="439"/>
      <c r="C6367" s="439"/>
      <c r="D6367" s="439"/>
      <c r="E6367" s="439"/>
      <c r="F6367" s="439"/>
      <c r="G6367" s="451" t="s">
        <v>3406</v>
      </c>
      <c r="Z6367" s="500"/>
      <c r="AA6367" s="500"/>
      <c r="AB6367" s="500"/>
      <c r="AC6367" s="500"/>
      <c r="AD6367" s="500"/>
      <c r="AE6367" s="500"/>
      <c r="AF6367" s="500"/>
      <c r="AG6367" s="500"/>
      <c r="AH6367" s="500"/>
      <c r="AI6367" s="500"/>
      <c r="AJ6367" s="500"/>
      <c r="AK6367" s="500"/>
      <c r="AL6367" s="500"/>
      <c r="AM6367" s="500"/>
      <c r="AN6367" s="500"/>
      <c r="AO6367" s="500"/>
      <c r="AP6367" s="500"/>
    </row>
    <row r="6368" spans="1:42" ht="16.5" customHeight="1">
      <c r="A6368" s="434"/>
      <c r="B6368" s="437" t="str">
        <f>" L = "&amp;Z6368&amp;" , V = "&amp;AD6368&amp;" , t = "&amp;AH6368&amp;"  , T = "&amp;AL6368&amp;"-"&amp;AN6368&amp;""</f>
        <v xml:space="preserve"> L = 350 , V = 2500 , t = 2  , T = 480-30</v>
      </c>
      <c r="C6368" s="439"/>
      <c r="D6368" s="439"/>
      <c r="E6368" s="439"/>
      <c r="F6368" s="439"/>
      <c r="G6368" s="451" t="s">
        <v>4060</v>
      </c>
      <c r="Z6368" s="515">
        <v>350</v>
      </c>
      <c r="AA6368" s="501" t="s">
        <v>3418</v>
      </c>
      <c r="AB6368" s="512">
        <f>Z6368</f>
        <v>350</v>
      </c>
      <c r="AC6368" s="514" t="s">
        <v>3427</v>
      </c>
      <c r="AD6368" s="515">
        <v>2500</v>
      </c>
      <c r="AE6368" s="501" t="s">
        <v>3418</v>
      </c>
      <c r="AF6368" s="512">
        <f>AD6368</f>
        <v>2500</v>
      </c>
      <c r="AG6368" s="514" t="s">
        <v>3427</v>
      </c>
      <c r="AH6368" s="515">
        <v>2</v>
      </c>
      <c r="AI6368" s="501" t="s">
        <v>3418</v>
      </c>
      <c r="AJ6368" s="512">
        <f>AH6368</f>
        <v>2</v>
      </c>
      <c r="AK6368" s="514" t="s">
        <v>3427</v>
      </c>
      <c r="AL6368" s="515">
        <v>480</v>
      </c>
      <c r="AM6368" s="501" t="s">
        <v>3474</v>
      </c>
      <c r="AN6368" s="515">
        <v>30</v>
      </c>
      <c r="AO6368" s="501" t="s">
        <v>3418</v>
      </c>
      <c r="AP6368" s="512">
        <f>AL6368-AN6368</f>
        <v>450</v>
      </c>
    </row>
    <row r="6369" spans="1:42" ht="16.5" customHeight="1">
      <c r="A6369" s="439"/>
      <c r="B6369" s="439"/>
      <c r="C6369" s="439"/>
      <c r="D6369" s="439"/>
      <c r="E6369" s="439"/>
      <c r="F6369" s="439"/>
      <c r="G6369" s="451" t="s">
        <v>3406</v>
      </c>
      <c r="Z6369" s="500"/>
      <c r="AA6369" s="500"/>
      <c r="AB6369" s="500"/>
      <c r="AC6369" s="500"/>
      <c r="AD6369" s="500"/>
      <c r="AE6369" s="500"/>
      <c r="AF6369" s="500"/>
      <c r="AG6369" s="500"/>
      <c r="AH6369" s="500"/>
      <c r="AI6369" s="500"/>
      <c r="AJ6369" s="500"/>
      <c r="AK6369" s="500"/>
      <c r="AL6369" s="500"/>
      <c r="AM6369" s="500"/>
      <c r="AN6369" s="500"/>
      <c r="AO6369" s="500"/>
      <c r="AP6369" s="500"/>
    </row>
    <row r="6370" spans="1:42" ht="16.5" customHeight="1">
      <c r="A6370" s="439"/>
      <c r="B6370" s="439"/>
      <c r="C6370" s="439"/>
      <c r="D6370" s="439"/>
      <c r="E6370" s="439"/>
      <c r="F6370" s="439"/>
      <c r="G6370" s="451" t="s">
        <v>3406</v>
      </c>
      <c r="Z6370" s="500"/>
      <c r="AA6370" s="500"/>
      <c r="AB6370" s="500"/>
      <c r="AC6370" s="500"/>
      <c r="AD6370" s="500"/>
      <c r="AE6370" s="500"/>
      <c r="AF6370" s="500"/>
      <c r="AG6370" s="500"/>
      <c r="AH6370" s="500"/>
      <c r="AI6370" s="500"/>
      <c r="AJ6370" s="500"/>
      <c r="AK6370" s="500"/>
      <c r="AL6370" s="500"/>
      <c r="AM6370" s="500"/>
      <c r="AN6370" s="500"/>
      <c r="AO6370" s="500"/>
      <c r="AP6370" s="500"/>
    </row>
    <row r="6371" spans="1:42" ht="16.5" customHeight="1">
      <c r="A6371" s="439"/>
      <c r="B6371" s="439"/>
      <c r="C6371" s="439"/>
      <c r="D6371" s="439"/>
      <c r="E6371" s="439"/>
      <c r="F6371" s="439"/>
      <c r="G6371" s="451" t="s">
        <v>3406</v>
      </c>
      <c r="Z6371" s="500"/>
      <c r="AA6371" s="500"/>
      <c r="AB6371" s="500"/>
      <c r="AC6371" s="500"/>
      <c r="AD6371" s="500"/>
      <c r="AE6371" s="500"/>
      <c r="AF6371" s="500"/>
      <c r="AG6371" s="500"/>
      <c r="AH6371" s="500"/>
      <c r="AI6371" s="500"/>
      <c r="AJ6371" s="500"/>
      <c r="AK6371" s="500"/>
      <c r="AL6371" s="500"/>
      <c r="AM6371" s="500"/>
      <c r="AN6371" s="500"/>
      <c r="AO6371" s="500"/>
      <c r="AP6371" s="500"/>
    </row>
    <row r="6372" spans="1:42" ht="16.5" customHeight="1">
      <c r="A6372" s="434"/>
      <c r="B6372" s="437" t="str">
        <f>" N = V*T /( "&amp;AD6372&amp;"*L+V*"&amp;AJ6372&amp;" ) = "&amp;AM6372&amp;" 회/일 "</f>
        <v xml:space="preserve"> N = V*T /( 120*L+V*2 ) = 23.94 회/일 </v>
      </c>
      <c r="C6372" s="439"/>
      <c r="D6372" s="439"/>
      <c r="E6372" s="439"/>
      <c r="F6372" s="439"/>
      <c r="G6372" s="451" t="s">
        <v>3989</v>
      </c>
      <c r="Z6372" s="512">
        <f>AF6368</f>
        <v>2500</v>
      </c>
      <c r="AA6372" s="501" t="s">
        <v>3368</v>
      </c>
      <c r="AB6372" s="512">
        <f>AP6368</f>
        <v>450</v>
      </c>
      <c r="AC6372" s="501" t="s">
        <v>3463</v>
      </c>
      <c r="AD6372" s="515">
        <v>120</v>
      </c>
      <c r="AE6372" s="501" t="s">
        <v>3368</v>
      </c>
      <c r="AF6372" s="512">
        <f>AB6368</f>
        <v>350</v>
      </c>
      <c r="AG6372" s="501" t="s">
        <v>3468</v>
      </c>
      <c r="AH6372" s="512">
        <f>AF6368</f>
        <v>2500</v>
      </c>
      <c r="AI6372" s="501" t="s">
        <v>3368</v>
      </c>
      <c r="AJ6372" s="515">
        <v>2</v>
      </c>
      <c r="AK6372" s="501" t="s">
        <v>3464</v>
      </c>
      <c r="AL6372" s="501" t="s">
        <v>3418</v>
      </c>
      <c r="AM6372" s="512" t="str">
        <f>TEXT(ROUND(AF6368*AP6368/(AD6372*AB6368+AF6368*AJ6372),2),"#,0.00")</f>
        <v>23.94</v>
      </c>
      <c r="AN6372" s="500"/>
      <c r="AO6372" s="500"/>
      <c r="AP6372" s="500"/>
    </row>
    <row r="6373" spans="1:42" ht="16.5" customHeight="1">
      <c r="A6373" s="439"/>
      <c r="B6373" s="439"/>
      <c r="C6373" s="439"/>
      <c r="D6373" s="439"/>
      <c r="E6373" s="439"/>
      <c r="F6373" s="439"/>
      <c r="G6373" s="451" t="s">
        <v>3406</v>
      </c>
      <c r="Z6373" s="500"/>
      <c r="AA6373" s="500"/>
      <c r="AB6373" s="500"/>
      <c r="AC6373" s="500"/>
      <c r="AD6373" s="500"/>
      <c r="AE6373" s="500"/>
      <c r="AF6373" s="500"/>
      <c r="AG6373" s="500"/>
      <c r="AH6373" s="500"/>
      <c r="AI6373" s="500"/>
      <c r="AJ6373" s="500"/>
      <c r="AK6373" s="500"/>
      <c r="AL6373" s="500"/>
      <c r="AM6373" s="500"/>
      <c r="AN6373" s="500"/>
      <c r="AO6373" s="500"/>
      <c r="AP6373" s="500"/>
    </row>
    <row r="6374" spans="1:42" ht="16.5" customHeight="1">
      <c r="A6374" s="439"/>
      <c r="B6374" s="439"/>
      <c r="C6374" s="439"/>
      <c r="D6374" s="439"/>
      <c r="E6374" s="439"/>
      <c r="F6374" s="439"/>
      <c r="G6374" s="451" t="s">
        <v>3406</v>
      </c>
      <c r="Z6374" s="500"/>
      <c r="AA6374" s="500"/>
      <c r="AB6374" s="500"/>
      <c r="AC6374" s="500"/>
      <c r="AD6374" s="500"/>
      <c r="AE6374" s="500"/>
      <c r="AF6374" s="500"/>
      <c r="AG6374" s="500"/>
      <c r="AH6374" s="500"/>
      <c r="AI6374" s="500"/>
      <c r="AJ6374" s="500"/>
      <c r="AK6374" s="500"/>
      <c r="AL6374" s="500"/>
      <c r="AM6374" s="500"/>
      <c r="AN6374" s="500"/>
      <c r="AO6374" s="500"/>
      <c r="AP6374" s="500"/>
    </row>
    <row r="6375" spans="1:42" ht="16.5" customHeight="1">
      <c r="A6375" s="439"/>
      <c r="B6375" s="439"/>
      <c r="C6375" s="439"/>
      <c r="D6375" s="439"/>
      <c r="E6375" s="439"/>
      <c r="F6375" s="439"/>
      <c r="G6375" s="451" t="s">
        <v>3406</v>
      </c>
      <c r="Z6375" s="500"/>
      <c r="AA6375" s="500"/>
      <c r="AB6375" s="500"/>
      <c r="AC6375" s="500"/>
      <c r="AD6375" s="500"/>
      <c r="AE6375" s="500"/>
      <c r="AF6375" s="500"/>
      <c r="AG6375" s="500"/>
      <c r="AH6375" s="500"/>
      <c r="AI6375" s="500"/>
      <c r="AJ6375" s="500"/>
      <c r="AK6375" s="500"/>
      <c r="AL6375" s="500"/>
      <c r="AM6375" s="500"/>
      <c r="AN6375" s="500"/>
      <c r="AO6375" s="500"/>
      <c r="AP6375" s="500"/>
    </row>
    <row r="6376" spans="1:42" ht="16.5" customHeight="1">
      <c r="A6376" s="434"/>
      <c r="B6376" s="437" t="str">
        <f>" Q = N*"&amp;AB6376&amp;" ㎏ = "&amp;AD6376&amp;"  kg/일 "</f>
        <v xml:space="preserve"> Q = N*25 ㎏ = 598.50  kg/일 </v>
      </c>
      <c r="C6376" s="439"/>
      <c r="D6376" s="439"/>
      <c r="E6376" s="439"/>
      <c r="F6376" s="439"/>
      <c r="G6376" s="451" t="s">
        <v>3990</v>
      </c>
      <c r="Z6376" s="512" t="str">
        <f>AM6372</f>
        <v>23.94</v>
      </c>
      <c r="AA6376" s="501" t="s">
        <v>3368</v>
      </c>
      <c r="AB6376" s="515">
        <v>25</v>
      </c>
      <c r="AC6376" s="501" t="s">
        <v>3418</v>
      </c>
      <c r="AD6376" s="512" t="str">
        <f>TEXT(ROUND(AM6372*AB6376,2),"#,0.00")</f>
        <v>598.50</v>
      </c>
      <c r="AE6376" s="500"/>
      <c r="AF6376" s="500"/>
      <c r="AG6376" s="500"/>
      <c r="AH6376" s="500"/>
      <c r="AI6376" s="500"/>
      <c r="AJ6376" s="500"/>
      <c r="AK6376" s="500"/>
      <c r="AL6376" s="500"/>
      <c r="AM6376" s="500"/>
      <c r="AN6376" s="500"/>
      <c r="AO6376" s="500"/>
      <c r="AP6376" s="500"/>
    </row>
    <row r="6377" spans="1:42" ht="16.5" customHeight="1">
      <c r="A6377" s="439"/>
      <c r="B6377" s="439"/>
      <c r="C6377" s="439"/>
      <c r="D6377" s="439"/>
      <c r="E6377" s="439"/>
      <c r="F6377" s="439"/>
      <c r="G6377" s="451" t="s">
        <v>3406</v>
      </c>
      <c r="Z6377" s="500"/>
      <c r="AA6377" s="500"/>
      <c r="AB6377" s="500"/>
      <c r="AC6377" s="500"/>
      <c r="AD6377" s="500"/>
      <c r="AE6377" s="500"/>
      <c r="AF6377" s="500"/>
      <c r="AG6377" s="500"/>
      <c r="AH6377" s="500"/>
      <c r="AI6377" s="500"/>
      <c r="AJ6377" s="500"/>
      <c r="AK6377" s="500"/>
      <c r="AL6377" s="500"/>
      <c r="AM6377" s="500"/>
      <c r="AN6377" s="500"/>
      <c r="AO6377" s="500"/>
      <c r="AP6377" s="500"/>
    </row>
    <row r="6378" spans="1:42" ht="16.5" customHeight="1">
      <c r="A6378" s="439"/>
      <c r="B6378" s="439"/>
      <c r="C6378" s="439"/>
      <c r="D6378" s="439"/>
      <c r="E6378" s="439"/>
      <c r="F6378" s="439"/>
      <c r="G6378" s="451" t="s">
        <v>3406</v>
      </c>
      <c r="Z6378" s="500"/>
      <c r="AA6378" s="500"/>
      <c r="AB6378" s="500"/>
      <c r="AC6378" s="500"/>
      <c r="AD6378" s="500"/>
      <c r="AE6378" s="500"/>
      <c r="AF6378" s="500"/>
      <c r="AG6378" s="500"/>
      <c r="AH6378" s="500"/>
      <c r="AI6378" s="500"/>
      <c r="AJ6378" s="500"/>
      <c r="AK6378" s="500"/>
      <c r="AL6378" s="500"/>
      <c r="AM6378" s="500"/>
      <c r="AN6378" s="500"/>
      <c r="AO6378" s="500"/>
      <c r="AP6378" s="500"/>
    </row>
    <row r="6379" spans="1:42" ht="16.5" customHeight="1">
      <c r="A6379" s="439"/>
      <c r="B6379" s="439"/>
      <c r="C6379" s="439"/>
      <c r="D6379" s="439"/>
      <c r="E6379" s="439"/>
      <c r="F6379" s="439"/>
      <c r="G6379" s="451" t="s">
        <v>3406</v>
      </c>
      <c r="Z6379" s="500"/>
      <c r="AA6379" s="500"/>
      <c r="AB6379" s="500"/>
      <c r="AC6379" s="500"/>
      <c r="AD6379" s="500"/>
      <c r="AE6379" s="500"/>
      <c r="AF6379" s="500"/>
      <c r="AG6379" s="500"/>
      <c r="AH6379" s="500"/>
      <c r="AI6379" s="500"/>
      <c r="AJ6379" s="500"/>
      <c r="AK6379" s="500"/>
      <c r="AL6379" s="500"/>
      <c r="AM6379" s="500"/>
      <c r="AN6379" s="500"/>
      <c r="AO6379" s="500"/>
      <c r="AP6379" s="500"/>
    </row>
    <row r="6380" spans="1:42" ht="16.5" customHeight="1">
      <c r="A6380" s="434"/>
      <c r="B6380" s="437" t="str">
        <f>" k = "&amp;Z6380&amp;" kg /Q"</f>
        <v xml:space="preserve"> k = 1000 kg /Q</v>
      </c>
      <c r="C6380" s="439"/>
      <c r="D6380" s="439"/>
      <c r="E6380" s="439"/>
      <c r="F6380" s="439"/>
      <c r="G6380" s="451" t="s">
        <v>3991</v>
      </c>
      <c r="Z6380" s="515">
        <v>1000</v>
      </c>
      <c r="AA6380" s="501" t="s">
        <v>3428</v>
      </c>
      <c r="AB6380" s="512" t="str">
        <f>AD6376</f>
        <v>598.50</v>
      </c>
      <c r="AC6380" s="501" t="s">
        <v>3418</v>
      </c>
      <c r="AD6380" s="512">
        <f>ROUND(Z6380/AD6376,13)</f>
        <v>1.6708437761068999</v>
      </c>
      <c r="AE6380" s="500"/>
      <c r="AF6380" s="500"/>
      <c r="AG6380" s="500"/>
      <c r="AH6380" s="500"/>
      <c r="AI6380" s="500"/>
      <c r="AJ6380" s="500"/>
      <c r="AK6380" s="500"/>
      <c r="AL6380" s="500"/>
      <c r="AM6380" s="500"/>
      <c r="AN6380" s="500"/>
      <c r="AO6380" s="500"/>
      <c r="AP6380" s="500"/>
    </row>
    <row r="6381" spans="1:42" ht="16.5" customHeight="1">
      <c r="A6381" s="439"/>
      <c r="B6381" s="439"/>
      <c r="C6381" s="439"/>
      <c r="D6381" s="439"/>
      <c r="E6381" s="439"/>
      <c r="F6381" s="439"/>
      <c r="G6381" s="451" t="s">
        <v>3406</v>
      </c>
      <c r="Z6381" s="500"/>
      <c r="AA6381" s="500"/>
      <c r="AB6381" s="500"/>
      <c r="AC6381" s="500"/>
      <c r="AD6381" s="500"/>
      <c r="AE6381" s="500"/>
      <c r="AF6381" s="500"/>
      <c r="AG6381" s="500"/>
      <c r="AH6381" s="500"/>
      <c r="AI6381" s="500"/>
      <c r="AJ6381" s="500"/>
      <c r="AK6381" s="500"/>
      <c r="AL6381" s="500"/>
      <c r="AM6381" s="500"/>
      <c r="AN6381" s="500"/>
      <c r="AO6381" s="500"/>
      <c r="AP6381" s="500"/>
    </row>
    <row r="6382" spans="1:42" ht="16.5" customHeight="1">
      <c r="A6382" s="439"/>
      <c r="B6382" s="439"/>
      <c r="C6382" s="439"/>
      <c r="D6382" s="439"/>
      <c r="E6382" s="439"/>
      <c r="F6382" s="439"/>
      <c r="G6382" s="451" t="s">
        <v>3406</v>
      </c>
      <c r="Z6382" s="500"/>
      <c r="AA6382" s="500"/>
      <c r="AB6382" s="500"/>
      <c r="AC6382" s="500"/>
      <c r="AD6382" s="500"/>
      <c r="AE6382" s="500"/>
      <c r="AF6382" s="500"/>
      <c r="AG6382" s="500"/>
      <c r="AH6382" s="500"/>
      <c r="AI6382" s="500"/>
      <c r="AJ6382" s="500"/>
      <c r="AK6382" s="500"/>
      <c r="AL6382" s="500"/>
      <c r="AM6382" s="500"/>
      <c r="AN6382" s="500"/>
      <c r="AO6382" s="500"/>
      <c r="AP6382" s="500"/>
    </row>
    <row r="6383" spans="1:42" ht="16.5" customHeight="1">
      <c r="A6383" s="439"/>
      <c r="B6383" s="439"/>
      <c r="C6383" s="439"/>
      <c r="D6383" s="439"/>
      <c r="E6383" s="439"/>
      <c r="F6383" s="439"/>
      <c r="G6383" s="451" t="s">
        <v>3406</v>
      </c>
      <c r="Z6383" s="500"/>
      <c r="AA6383" s="500"/>
      <c r="AB6383" s="500"/>
      <c r="AC6383" s="500"/>
      <c r="AD6383" s="500"/>
      <c r="AE6383" s="500"/>
      <c r="AF6383" s="500"/>
      <c r="AG6383" s="500"/>
      <c r="AH6383" s="500"/>
      <c r="AI6383" s="500"/>
      <c r="AJ6383" s="500"/>
      <c r="AK6383" s="500"/>
      <c r="AL6383" s="500"/>
      <c r="AM6383" s="500"/>
      <c r="AN6383" s="500"/>
      <c r="AO6383" s="500"/>
      <c r="AP6383" s="500"/>
    </row>
    <row r="6384" spans="1:42" ht="16.5" customHeight="1">
      <c r="A6384" s="434" t="s">
        <v>3992</v>
      </c>
      <c r="B6384" s="505" t="str">
        <f>" 인    부: "&amp;TEXT(I6384,"#,##0"&amp;IF(I6384&lt;&gt;INT(I6384),".###",""))&amp;"*k = "&amp;TEXT(C6384,"#,##0.0")&amp;" 원 "</f>
        <v xml:space="preserve"> 인    부: 172,068*k = 287,498.7 원 </v>
      </c>
      <c r="C6384" s="506">
        <f>E6384+D6384+F6384</f>
        <v>287498.7</v>
      </c>
      <c r="D6384" s="506">
        <f>IF(H6384=0,0,ROUNDDOWN(J6384*H6384,1))</f>
        <v>287498.7</v>
      </c>
      <c r="E6384" s="506">
        <f>IF(H6384=0,0,ROUNDDOWN(K6384*H6384,1))</f>
        <v>0</v>
      </c>
      <c r="F6384" s="506">
        <f>IF(H6384=0,0,ROUNDDOWN(L6384*H6384,1))</f>
        <v>0</v>
      </c>
      <c r="G6384" s="451" t="s">
        <v>3993</v>
      </c>
      <c r="H6384" s="507">
        <f>ROUNDUP(AC6384,14-LEN(ABS(INT(AC6384))))</f>
        <v>1.6708437761068999</v>
      </c>
      <c r="I6384" s="508">
        <f>K6384+J6384+L6384</f>
        <v>172068</v>
      </c>
      <c r="J6384" s="509">
        <f>노무비목록표!E10</f>
        <v>172068</v>
      </c>
      <c r="M6384" s="501" t="s">
        <v>2363</v>
      </c>
      <c r="N6384" s="501" t="s">
        <v>3994</v>
      </c>
      <c r="X6384" s="510" t="str">
        <f>노무비목록표!B10&amp;" / "&amp;노무비목록표!C10</f>
        <v xml:space="preserve">보통인부 / </v>
      </c>
      <c r="Y6384" s="433" t="str">
        <f ca="1">HYPERLINK("#"&amp;노무비목록표!G2&amp;"!A"&amp;ROW(노무비목록표!A10),"L00017 →")</f>
        <v>L00017 →</v>
      </c>
      <c r="Z6384" s="501" t="s">
        <v>3500</v>
      </c>
      <c r="AA6384" s="512">
        <f>AD6380</f>
        <v>1.6708437761068999</v>
      </c>
      <c r="AB6384" s="501" t="s">
        <v>3418</v>
      </c>
      <c r="AC6384" s="512">
        <f>1*AD6380</f>
        <v>1.6708437761068999</v>
      </c>
      <c r="AD6384" s="500"/>
      <c r="AE6384" s="500"/>
      <c r="AF6384" s="500"/>
      <c r="AG6384" s="500"/>
      <c r="AH6384" s="500"/>
      <c r="AI6384" s="500"/>
      <c r="AJ6384" s="500"/>
      <c r="AK6384" s="500"/>
      <c r="AL6384" s="500"/>
      <c r="AM6384" s="500"/>
      <c r="AN6384" s="500"/>
      <c r="AO6384" s="500"/>
      <c r="AP6384" s="500"/>
    </row>
    <row r="6385" spans="1:42" ht="16.5" customHeight="1">
      <c r="A6385" s="439"/>
      <c r="B6385" s="439"/>
      <c r="C6385" s="439"/>
      <c r="D6385" s="439"/>
      <c r="E6385" s="439"/>
      <c r="F6385" s="439"/>
      <c r="G6385" s="451" t="s">
        <v>3406</v>
      </c>
      <c r="Z6385" s="500"/>
      <c r="AA6385" s="500"/>
      <c r="AB6385" s="500"/>
      <c r="AC6385" s="500"/>
      <c r="AD6385" s="500"/>
      <c r="AE6385" s="500"/>
      <c r="AF6385" s="500"/>
      <c r="AG6385" s="500"/>
      <c r="AH6385" s="500"/>
      <c r="AI6385" s="500"/>
      <c r="AJ6385" s="500"/>
      <c r="AK6385" s="500"/>
      <c r="AL6385" s="500"/>
      <c r="AM6385" s="500"/>
      <c r="AN6385" s="500"/>
      <c r="AO6385" s="500"/>
      <c r="AP6385" s="500"/>
    </row>
    <row r="6386" spans="1:42" ht="16.5" customHeight="1">
      <c r="A6386" s="439"/>
      <c r="B6386" s="439"/>
      <c r="C6386" s="439"/>
      <c r="D6386" s="439"/>
      <c r="E6386" s="439"/>
      <c r="F6386" s="439"/>
      <c r="G6386" s="451" t="s">
        <v>3406</v>
      </c>
      <c r="Z6386" s="500"/>
      <c r="AA6386" s="500"/>
      <c r="AB6386" s="500"/>
      <c r="AC6386" s="500"/>
      <c r="AD6386" s="500"/>
      <c r="AE6386" s="500"/>
      <c r="AF6386" s="500"/>
      <c r="AG6386" s="500"/>
      <c r="AH6386" s="500"/>
      <c r="AI6386" s="500"/>
      <c r="AJ6386" s="500"/>
      <c r="AK6386" s="500"/>
      <c r="AL6386" s="500"/>
      <c r="AM6386" s="500"/>
      <c r="AN6386" s="500"/>
      <c r="AO6386" s="500"/>
      <c r="AP6386" s="500"/>
    </row>
    <row r="6387" spans="1:42" ht="16.5" customHeight="1">
      <c r="A6387" s="439"/>
      <c r="B6387" s="439"/>
      <c r="C6387" s="439"/>
      <c r="D6387" s="439"/>
      <c r="E6387" s="439"/>
      <c r="F6387" s="439"/>
      <c r="G6387" s="451" t="s">
        <v>3406</v>
      </c>
      <c r="Z6387" s="500"/>
      <c r="AA6387" s="500"/>
      <c r="AB6387" s="500"/>
      <c r="AC6387" s="500"/>
      <c r="AD6387" s="500"/>
      <c r="AE6387" s="500"/>
      <c r="AF6387" s="500"/>
      <c r="AG6387" s="500"/>
      <c r="AH6387" s="500"/>
      <c r="AI6387" s="500"/>
      <c r="AJ6387" s="500"/>
      <c r="AK6387" s="500"/>
      <c r="AL6387" s="500"/>
      <c r="AM6387" s="500"/>
      <c r="AN6387" s="500"/>
      <c r="AO6387" s="500"/>
      <c r="AP6387" s="500"/>
    </row>
    <row r="6388" spans="1:42" ht="16.5" customHeight="1">
      <c r="A6388" s="439"/>
      <c r="B6388" s="439"/>
      <c r="C6388" s="439"/>
      <c r="D6388" s="439"/>
      <c r="E6388" s="439"/>
      <c r="F6388" s="439"/>
      <c r="G6388" s="451" t="s">
        <v>3406</v>
      </c>
      <c r="Z6388" s="500"/>
      <c r="AA6388" s="500"/>
      <c r="AB6388" s="500"/>
      <c r="AC6388" s="500"/>
      <c r="AD6388" s="500"/>
      <c r="AE6388" s="500"/>
      <c r="AF6388" s="500"/>
      <c r="AG6388" s="500"/>
      <c r="AH6388" s="500"/>
      <c r="AI6388" s="500"/>
      <c r="AJ6388" s="500"/>
      <c r="AK6388" s="500"/>
      <c r="AL6388" s="500"/>
      <c r="AM6388" s="500"/>
      <c r="AN6388" s="500"/>
      <c r="AO6388" s="500"/>
      <c r="AP6388" s="500"/>
    </row>
    <row r="6389" spans="1:42" ht="16.5" customHeight="1">
      <c r="A6389" s="434"/>
      <c r="B6389" s="437" t="s">
        <v>3995</v>
      </c>
      <c r="C6389" s="516">
        <f>E6389+D6389+F6389</f>
        <v>287498.7</v>
      </c>
      <c r="D6389" s="516">
        <f>SUMIF(N6357:N6388,M6389,D6357:D6388)</f>
        <v>287498.7</v>
      </c>
      <c r="E6389" s="516">
        <f>SUMIF(N6357:N6388,M6389,E6357:E6388)</f>
        <v>0</v>
      </c>
      <c r="F6389" s="516">
        <f>SUMIF(N6357:N6388,M6389,F6357:F6388)</f>
        <v>0</v>
      </c>
      <c r="G6389" s="451" t="s">
        <v>3996</v>
      </c>
      <c r="M6389" s="501" t="s">
        <v>3994</v>
      </c>
      <c r="Z6389" s="500"/>
      <c r="AA6389" s="500"/>
      <c r="AB6389" s="500"/>
      <c r="AC6389" s="500"/>
      <c r="AD6389" s="500"/>
      <c r="AE6389" s="500"/>
      <c r="AF6389" s="500"/>
      <c r="AG6389" s="500"/>
      <c r="AH6389" s="500"/>
      <c r="AI6389" s="500"/>
      <c r="AJ6389" s="500"/>
      <c r="AK6389" s="500"/>
      <c r="AL6389" s="500"/>
      <c r="AM6389" s="500"/>
      <c r="AN6389" s="500"/>
      <c r="AO6389" s="500"/>
      <c r="AP6389" s="500"/>
    </row>
    <row r="6390" spans="1:42" ht="16.5" customHeight="1">
      <c r="A6390" s="439"/>
      <c r="B6390" s="439"/>
      <c r="C6390" s="517"/>
      <c r="D6390" s="517"/>
      <c r="E6390" s="517"/>
      <c r="F6390" s="517"/>
      <c r="G6390" s="451" t="s">
        <v>3406</v>
      </c>
      <c r="Z6390" s="500"/>
      <c r="AA6390" s="500"/>
      <c r="AB6390" s="500"/>
      <c r="AC6390" s="500"/>
      <c r="AD6390" s="500"/>
      <c r="AE6390" s="500"/>
      <c r="AF6390" s="500"/>
      <c r="AG6390" s="500"/>
      <c r="AH6390" s="500"/>
      <c r="AI6390" s="500"/>
      <c r="AJ6390" s="500"/>
      <c r="AK6390" s="500"/>
      <c r="AL6390" s="500"/>
      <c r="AM6390" s="500"/>
      <c r="AN6390" s="500"/>
      <c r="AO6390" s="500"/>
      <c r="AP6390" s="500"/>
    </row>
    <row r="6391" spans="1:42" ht="16.5" customHeight="1">
      <c r="A6391" s="439"/>
      <c r="B6391" s="439"/>
      <c r="C6391" s="439"/>
      <c r="D6391" s="439"/>
      <c r="E6391" s="439"/>
      <c r="F6391" s="439"/>
      <c r="G6391" s="451" t="s">
        <v>3406</v>
      </c>
      <c r="Z6391" s="500"/>
      <c r="AA6391" s="500"/>
      <c r="AB6391" s="500"/>
      <c r="AC6391" s="500"/>
      <c r="AD6391" s="500"/>
      <c r="AE6391" s="500"/>
      <c r="AF6391" s="500"/>
      <c r="AG6391" s="500"/>
      <c r="AH6391" s="500"/>
      <c r="AI6391" s="500"/>
      <c r="AJ6391" s="500"/>
      <c r="AK6391" s="500"/>
      <c r="AL6391" s="500"/>
      <c r="AM6391" s="500"/>
      <c r="AN6391" s="500"/>
      <c r="AO6391" s="500"/>
      <c r="AP6391" s="500"/>
    </row>
    <row r="6392" spans="1:42" ht="16.5" customHeight="1">
      <c r="A6392" s="434" t="s">
        <v>3997</v>
      </c>
      <c r="B6392" s="505" t="str">
        <f>" 경비로 적용 : "&amp;TEXT(I6392,"#,##0"&amp;IF(I6392&lt;&gt;INT(I6392),".###",""))&amp;"  = "&amp;TEXT(C6392,"#,##0.0")&amp;""</f>
        <v xml:space="preserve"> 경비로 적용 : 287,498.7  = 287,498.7</v>
      </c>
      <c r="C6392" s="506">
        <f>E6392+D6392+F6392</f>
        <v>287498.7</v>
      </c>
      <c r="D6392" s="506">
        <f>IF(H6392=0,0,ROUNDDOWN(J6392*H6392,1))</f>
        <v>0</v>
      </c>
      <c r="E6392" s="506">
        <f>IF(H6392=0,0,ROUNDDOWN(K6392*H6392,1))</f>
        <v>0</v>
      </c>
      <c r="F6392" s="506">
        <f>IF(H6392=0,0,ROUNDDOWN(L6392*H6392,1))</f>
        <v>287498.7</v>
      </c>
      <c r="G6392" s="451" t="s">
        <v>3998</v>
      </c>
      <c r="H6392" s="507">
        <f>ROUNDUP(AB6392,14-LEN(ABS(INT(AB6392))))</f>
        <v>1</v>
      </c>
      <c r="I6392" s="508">
        <f>K6392+J6392+L6392</f>
        <v>287498.7</v>
      </c>
      <c r="J6392" s="456">
        <v>0</v>
      </c>
      <c r="K6392" s="456">
        <v>0</v>
      </c>
      <c r="L6392" s="518">
        <v>287498.7</v>
      </c>
      <c r="M6392" s="501" t="s">
        <v>3999</v>
      </c>
      <c r="N6392" s="501" t="s">
        <v>2354</v>
      </c>
      <c r="Z6392" s="501" t="s">
        <v>4000</v>
      </c>
      <c r="AA6392" s="501" t="s">
        <v>3418</v>
      </c>
      <c r="AB6392" s="512">
        <f>1</f>
        <v>1</v>
      </c>
      <c r="AC6392" s="500"/>
      <c r="AD6392" s="500"/>
      <c r="AE6392" s="500"/>
      <c r="AF6392" s="500"/>
      <c r="AG6392" s="500"/>
      <c r="AH6392" s="500"/>
      <c r="AI6392" s="500"/>
      <c r="AJ6392" s="500"/>
      <c r="AK6392" s="500"/>
      <c r="AL6392" s="500"/>
      <c r="AM6392" s="500"/>
      <c r="AN6392" s="500"/>
      <c r="AO6392" s="500"/>
      <c r="AP6392" s="500"/>
    </row>
    <row r="6393" spans="1:42" ht="16.5" customHeight="1">
      <c r="A6393" s="439"/>
      <c r="B6393" s="439"/>
      <c r="C6393" s="439"/>
      <c r="D6393" s="439"/>
      <c r="E6393" s="439"/>
      <c r="F6393" s="439"/>
      <c r="Z6393" s="500"/>
      <c r="AA6393" s="500"/>
      <c r="AB6393" s="500"/>
      <c r="AC6393" s="500"/>
      <c r="AD6393" s="500"/>
      <c r="AE6393" s="500"/>
      <c r="AF6393" s="500"/>
      <c r="AG6393" s="500"/>
      <c r="AH6393" s="500"/>
      <c r="AI6393" s="500"/>
      <c r="AJ6393" s="500"/>
      <c r="AK6393" s="500"/>
      <c r="AL6393" s="500"/>
      <c r="AM6393" s="500"/>
      <c r="AN6393" s="500"/>
      <c r="AO6393" s="500"/>
      <c r="AP6393" s="500"/>
    </row>
    <row r="6394" spans="1:42" ht="16.5" customHeight="1">
      <c r="A6394" s="439"/>
      <c r="B6394" s="439"/>
      <c r="C6394" s="439"/>
      <c r="D6394" s="439"/>
      <c r="E6394" s="439"/>
      <c r="F6394" s="439"/>
      <c r="Z6394" s="500"/>
      <c r="AA6394" s="500"/>
      <c r="AB6394" s="500"/>
      <c r="AC6394" s="500"/>
      <c r="AD6394" s="500"/>
      <c r="AE6394" s="500"/>
      <c r="AF6394" s="500"/>
      <c r="AG6394" s="500"/>
      <c r="AH6394" s="500"/>
      <c r="AI6394" s="500"/>
      <c r="AJ6394" s="500"/>
      <c r="AK6394" s="500"/>
      <c r="AL6394" s="500"/>
      <c r="AM6394" s="500"/>
      <c r="AN6394" s="500"/>
      <c r="AO6394" s="500"/>
      <c r="AP6394" s="500"/>
    </row>
    <row r="6395" spans="1:42" ht="16.5" customHeight="1">
      <c r="A6395" s="439"/>
      <c r="B6395" s="439"/>
      <c r="C6395" s="439"/>
      <c r="D6395" s="439"/>
      <c r="E6395" s="439"/>
      <c r="F6395" s="439"/>
      <c r="Z6395" s="500"/>
      <c r="AA6395" s="500"/>
      <c r="AB6395" s="500"/>
      <c r="AC6395" s="500"/>
      <c r="AD6395" s="500"/>
      <c r="AE6395" s="500"/>
      <c r="AF6395" s="500"/>
      <c r="AG6395" s="500"/>
      <c r="AH6395" s="500"/>
      <c r="AI6395" s="500"/>
      <c r="AJ6395" s="500"/>
      <c r="AK6395" s="500"/>
      <c r="AL6395" s="500"/>
      <c r="AM6395" s="500"/>
      <c r="AN6395" s="500"/>
      <c r="AO6395" s="500"/>
      <c r="AP6395" s="500"/>
    </row>
    <row r="6396" spans="1:42" ht="16.5" customHeight="1">
      <c r="A6396" s="439"/>
      <c r="B6396" s="439"/>
      <c r="C6396" s="439"/>
      <c r="D6396" s="439"/>
      <c r="E6396" s="439"/>
      <c r="F6396" s="439"/>
      <c r="Z6396" s="500"/>
      <c r="AA6396" s="500"/>
      <c r="AB6396" s="500"/>
      <c r="AC6396" s="500"/>
      <c r="AD6396" s="500"/>
      <c r="AE6396" s="500"/>
      <c r="AF6396" s="500"/>
      <c r="AG6396" s="500"/>
      <c r="AH6396" s="500"/>
      <c r="AI6396" s="500"/>
      <c r="AJ6396" s="500"/>
      <c r="AK6396" s="500"/>
      <c r="AL6396" s="500"/>
      <c r="AM6396" s="500"/>
      <c r="AN6396" s="500"/>
      <c r="AO6396" s="500"/>
      <c r="AP6396" s="500"/>
    </row>
    <row r="6397" spans="1:42" ht="16.5" customHeight="1">
      <c r="A6397" s="439"/>
      <c r="B6397" s="439"/>
      <c r="C6397" s="439"/>
      <c r="D6397" s="439"/>
      <c r="E6397" s="439"/>
      <c r="F6397" s="439"/>
      <c r="Z6397" s="500"/>
      <c r="AA6397" s="500"/>
      <c r="AB6397" s="500"/>
      <c r="AC6397" s="500"/>
      <c r="AD6397" s="500"/>
      <c r="AE6397" s="500"/>
      <c r="AF6397" s="500"/>
      <c r="AG6397" s="500"/>
      <c r="AH6397" s="500"/>
      <c r="AI6397" s="500"/>
      <c r="AJ6397" s="500"/>
      <c r="AK6397" s="500"/>
      <c r="AL6397" s="500"/>
      <c r="AM6397" s="500"/>
      <c r="AN6397" s="500"/>
      <c r="AO6397" s="500"/>
      <c r="AP6397" s="500"/>
    </row>
    <row r="6398" spans="1:42" ht="16.5" customHeight="1">
      <c r="A6398" s="439"/>
      <c r="B6398" s="439"/>
      <c r="C6398" s="439"/>
      <c r="D6398" s="439"/>
      <c r="E6398" s="439"/>
      <c r="F6398" s="439"/>
      <c r="Z6398" s="500"/>
      <c r="AA6398" s="500"/>
      <c r="AB6398" s="500"/>
      <c r="AC6398" s="500"/>
      <c r="AD6398" s="500"/>
      <c r="AE6398" s="500"/>
      <c r="AF6398" s="500"/>
      <c r="AG6398" s="500"/>
      <c r="AH6398" s="500"/>
      <c r="AI6398" s="500"/>
      <c r="AJ6398" s="500"/>
      <c r="AK6398" s="500"/>
      <c r="AL6398" s="500"/>
      <c r="AM6398" s="500"/>
      <c r="AN6398" s="500"/>
      <c r="AO6398" s="500"/>
      <c r="AP6398" s="500"/>
    </row>
    <row r="6399" spans="1:42" ht="16.5" customHeight="1">
      <c r="A6399" s="439"/>
      <c r="B6399" s="439"/>
      <c r="C6399" s="439"/>
      <c r="D6399" s="439"/>
      <c r="E6399" s="439"/>
      <c r="F6399" s="439"/>
      <c r="Z6399" s="500"/>
      <c r="AA6399" s="500"/>
      <c r="AB6399" s="500"/>
      <c r="AC6399" s="500"/>
      <c r="AD6399" s="500"/>
      <c r="AE6399" s="500"/>
      <c r="AF6399" s="500"/>
      <c r="AG6399" s="500"/>
      <c r="AH6399" s="500"/>
      <c r="AI6399" s="500"/>
      <c r="AJ6399" s="500"/>
      <c r="AK6399" s="500"/>
      <c r="AL6399" s="500"/>
      <c r="AM6399" s="500"/>
      <c r="AN6399" s="500"/>
      <c r="AO6399" s="500"/>
      <c r="AP6399" s="500"/>
    </row>
    <row r="6400" spans="1:42" ht="16.5" customHeight="1">
      <c r="A6400" s="439"/>
      <c r="B6400" s="439"/>
      <c r="C6400" s="439"/>
      <c r="D6400" s="439"/>
      <c r="E6400" s="439"/>
      <c r="F6400" s="439"/>
      <c r="Z6400" s="500"/>
      <c r="AA6400" s="500"/>
      <c r="AB6400" s="500"/>
      <c r="AC6400" s="500"/>
      <c r="AD6400" s="500"/>
      <c r="AE6400" s="500"/>
      <c r="AF6400" s="500"/>
      <c r="AG6400" s="500"/>
      <c r="AH6400" s="500"/>
      <c r="AI6400" s="500"/>
      <c r="AJ6400" s="500"/>
      <c r="AK6400" s="500"/>
      <c r="AL6400" s="500"/>
      <c r="AM6400" s="500"/>
      <c r="AN6400" s="500"/>
      <c r="AO6400" s="500"/>
      <c r="AP6400" s="500"/>
    </row>
    <row r="6401" spans="1:42" ht="16.5" customHeight="1">
      <c r="A6401" s="439"/>
      <c r="B6401" s="439"/>
      <c r="C6401" s="439"/>
      <c r="D6401" s="439"/>
      <c r="E6401" s="439"/>
      <c r="F6401" s="439"/>
      <c r="Z6401" s="500"/>
      <c r="AA6401" s="500"/>
      <c r="AB6401" s="500"/>
      <c r="AC6401" s="500"/>
      <c r="AD6401" s="500"/>
      <c r="AE6401" s="500"/>
      <c r="AF6401" s="500"/>
      <c r="AG6401" s="500"/>
      <c r="AH6401" s="500"/>
      <c r="AI6401" s="500"/>
      <c r="AJ6401" s="500"/>
      <c r="AK6401" s="500"/>
      <c r="AL6401" s="500"/>
      <c r="AM6401" s="500"/>
      <c r="AN6401" s="500"/>
      <c r="AO6401" s="500"/>
      <c r="AP6401" s="500"/>
    </row>
    <row r="6402" spans="1:42" ht="16.5" customHeight="1">
      <c r="A6402" s="439"/>
      <c r="B6402" s="439"/>
      <c r="C6402" s="439"/>
      <c r="D6402" s="439"/>
      <c r="E6402" s="439"/>
      <c r="F6402" s="439"/>
      <c r="Z6402" s="500"/>
      <c r="AA6402" s="500"/>
      <c r="AB6402" s="500"/>
      <c r="AC6402" s="500"/>
      <c r="AD6402" s="500"/>
      <c r="AE6402" s="500"/>
      <c r="AF6402" s="500"/>
      <c r="AG6402" s="500"/>
      <c r="AH6402" s="500"/>
      <c r="AI6402" s="500"/>
      <c r="AJ6402" s="500"/>
      <c r="AK6402" s="500"/>
      <c r="AL6402" s="500"/>
      <c r="AM6402" s="500"/>
      <c r="AN6402" s="500"/>
      <c r="AO6402" s="500"/>
      <c r="AP6402" s="500"/>
    </row>
    <row r="6403" spans="1:42" ht="16.5" customHeight="1">
      <c r="A6403" s="497"/>
      <c r="B6403" s="497"/>
      <c r="C6403" s="497"/>
      <c r="D6403" s="497"/>
      <c r="E6403" s="497"/>
      <c r="F6403" s="497"/>
      <c r="Z6403" s="500"/>
      <c r="AA6403" s="500"/>
      <c r="AB6403" s="500"/>
      <c r="AC6403" s="500"/>
      <c r="AD6403" s="500"/>
      <c r="AE6403" s="500"/>
      <c r="AF6403" s="500"/>
      <c r="AG6403" s="500"/>
      <c r="AH6403" s="500"/>
      <c r="AI6403" s="500"/>
      <c r="AJ6403" s="500"/>
      <c r="AK6403" s="500"/>
      <c r="AL6403" s="500"/>
      <c r="AM6403" s="500"/>
      <c r="AN6403" s="500"/>
      <c r="AO6403" s="500"/>
      <c r="AP6403" s="500"/>
    </row>
    <row r="6404" spans="1:42" ht="16.5" customHeight="1">
      <c r="A6404" s="616" t="s">
        <v>3487</v>
      </c>
      <c r="B6404" s="605"/>
      <c r="C6404" s="446">
        <f>E6404+D6404+F6404</f>
        <v>287498</v>
      </c>
      <c r="D6404" s="453">
        <f>ROUNDDOWN(SUMIF(N6357:N6392,M6404,D6357:D6392),0)</f>
        <v>0</v>
      </c>
      <c r="E6404" s="454">
        <f>ROUNDDOWN(SUMIF(N6357:N6392,M6404,E6357:E6392),0)</f>
        <v>0</v>
      </c>
      <c r="F6404" s="446">
        <f>ROUNDDOWN(SUMIF(N6357:N6392,M6404,F6357:F6392),0)</f>
        <v>287498</v>
      </c>
      <c r="M6404" s="501" t="s">
        <v>2354</v>
      </c>
      <c r="Z6404" s="500"/>
      <c r="AA6404" s="500"/>
      <c r="AB6404" s="500"/>
      <c r="AC6404" s="500"/>
      <c r="AD6404" s="500"/>
      <c r="AE6404" s="500"/>
      <c r="AF6404" s="500"/>
      <c r="AG6404" s="500"/>
      <c r="AH6404" s="500"/>
      <c r="AI6404" s="500"/>
      <c r="AJ6404" s="500"/>
      <c r="AK6404" s="500"/>
      <c r="AL6404" s="500"/>
      <c r="AM6404" s="500"/>
      <c r="AN6404" s="500"/>
      <c r="AO6404" s="500"/>
      <c r="AP6404" s="500"/>
    </row>
    <row r="6405" spans="1:42" ht="16.5" customHeight="1">
      <c r="A6405" s="502"/>
      <c r="B6405" s="503" t="s">
        <v>2157</v>
      </c>
      <c r="C6405" s="615">
        <f>C6454</f>
        <v>324197</v>
      </c>
      <c r="D6405" s="615">
        <f>D6454</f>
        <v>0</v>
      </c>
      <c r="E6405" s="615">
        <f>E6454</f>
        <v>0</v>
      </c>
      <c r="F6405" s="615">
        <f>F6454</f>
        <v>324197</v>
      </c>
      <c r="G6405" s="486" t="str">
        <f>HYPERLINK("#G"&amp;ROW(G6442),"_x0005_`BDCOD|D01185_x0007_`POSS|"&amp;ROW(G6407)&amp;"_x0007_`POSE|"&amp;ROW(G6442)&amp;"_x0007_`")</f>
        <v>_x0005_`BDCOD|D01185_x0007_`POSS|6407_x0007_`POSE|6442_x0007_`</v>
      </c>
      <c r="Z6405" s="500"/>
      <c r="AA6405" s="500"/>
      <c r="AB6405" s="500"/>
      <c r="AC6405" s="500"/>
      <c r="AD6405" s="500"/>
      <c r="AE6405" s="500"/>
      <c r="AF6405" s="500"/>
      <c r="AG6405" s="500"/>
      <c r="AH6405" s="500"/>
      <c r="AI6405" s="500"/>
      <c r="AJ6405" s="500"/>
      <c r="AK6405" s="500"/>
      <c r="AL6405" s="500"/>
      <c r="AM6405" s="500"/>
      <c r="AN6405" s="500"/>
      <c r="AO6405" s="500"/>
      <c r="AP6405" s="500"/>
    </row>
    <row r="6406" spans="1:42" ht="16.5" customHeight="1">
      <c r="A6406" s="485"/>
      <c r="B6406" s="503" t="s">
        <v>4061</v>
      </c>
      <c r="C6406" s="593"/>
      <c r="D6406" s="593"/>
      <c r="E6406" s="593"/>
      <c r="F6406" s="593"/>
      <c r="M6406" s="501" t="s">
        <v>2157</v>
      </c>
      <c r="Z6406" s="500"/>
      <c r="AA6406" s="500"/>
      <c r="AB6406" s="500"/>
      <c r="AC6406" s="500"/>
      <c r="AD6406" s="500"/>
      <c r="AE6406" s="500"/>
      <c r="AF6406" s="500"/>
      <c r="AG6406" s="500"/>
      <c r="AH6406" s="500"/>
      <c r="AI6406" s="500"/>
      <c r="AJ6406" s="500"/>
      <c r="AK6406" s="500"/>
      <c r="AL6406" s="500"/>
      <c r="AM6406" s="500"/>
      <c r="AN6406" s="500"/>
      <c r="AO6406" s="500"/>
      <c r="AP6406" s="500"/>
    </row>
    <row r="6407" spans="1:42" ht="16.5" customHeight="1">
      <c r="A6407" s="434"/>
      <c r="B6407" s="437" t="s">
        <v>3980</v>
      </c>
      <c r="C6407" s="504"/>
      <c r="D6407" s="504"/>
      <c r="E6407" s="504"/>
      <c r="F6407" s="504"/>
      <c r="G6407" s="451" t="s">
        <v>3981</v>
      </c>
      <c r="Z6407" s="500"/>
      <c r="AA6407" s="500"/>
      <c r="AB6407" s="500"/>
      <c r="AC6407" s="500"/>
      <c r="AD6407" s="500"/>
      <c r="AE6407" s="500"/>
      <c r="AF6407" s="500"/>
      <c r="AG6407" s="500"/>
      <c r="AH6407" s="500"/>
      <c r="AI6407" s="500"/>
      <c r="AJ6407" s="500"/>
      <c r="AK6407" s="500"/>
      <c r="AL6407" s="500"/>
      <c r="AM6407" s="500"/>
      <c r="AN6407" s="500"/>
      <c r="AO6407" s="500"/>
      <c r="AP6407" s="500"/>
    </row>
    <row r="6408" spans="1:42" ht="16.5" customHeight="1">
      <c r="A6408" s="439"/>
      <c r="B6408" s="439"/>
      <c r="C6408" s="439"/>
      <c r="D6408" s="439"/>
      <c r="E6408" s="439"/>
      <c r="F6408" s="439"/>
      <c r="G6408" s="451" t="s">
        <v>3406</v>
      </c>
      <c r="Z6408" s="500"/>
      <c r="AA6408" s="500"/>
      <c r="AB6408" s="500"/>
      <c r="AC6408" s="500"/>
      <c r="AD6408" s="500"/>
      <c r="AE6408" s="500"/>
      <c r="AF6408" s="500"/>
      <c r="AG6408" s="500"/>
      <c r="AH6408" s="500"/>
      <c r="AI6408" s="500"/>
      <c r="AJ6408" s="500"/>
      <c r="AK6408" s="500"/>
      <c r="AL6408" s="500"/>
      <c r="AM6408" s="500"/>
      <c r="AN6408" s="500"/>
      <c r="AO6408" s="500"/>
      <c r="AP6408" s="500"/>
    </row>
    <row r="6409" spans="1:42" ht="16.5" customHeight="1">
      <c r="A6409" s="434"/>
      <c r="B6409" s="437" t="s">
        <v>4062</v>
      </c>
      <c r="C6409" s="439"/>
      <c r="D6409" s="439"/>
      <c r="E6409" s="439"/>
      <c r="F6409" s="439"/>
      <c r="G6409" s="451" t="s">
        <v>4063</v>
      </c>
      <c r="Z6409" s="500"/>
      <c r="AA6409" s="500"/>
      <c r="AB6409" s="500"/>
      <c r="AC6409" s="500"/>
      <c r="AD6409" s="500"/>
      <c r="AE6409" s="500"/>
      <c r="AF6409" s="500"/>
      <c r="AG6409" s="500"/>
      <c r="AH6409" s="500"/>
      <c r="AI6409" s="500"/>
      <c r="AJ6409" s="500"/>
      <c r="AK6409" s="500"/>
      <c r="AL6409" s="500"/>
      <c r="AM6409" s="500"/>
      <c r="AN6409" s="500"/>
      <c r="AO6409" s="500"/>
      <c r="AP6409" s="500"/>
    </row>
    <row r="6410" spans="1:42" ht="16.5" customHeight="1">
      <c r="A6410" s="439"/>
      <c r="B6410" s="439"/>
      <c r="C6410" s="439"/>
      <c r="D6410" s="439"/>
      <c r="E6410" s="439"/>
      <c r="F6410" s="439"/>
      <c r="G6410" s="451" t="s">
        <v>3406</v>
      </c>
      <c r="Z6410" s="500"/>
      <c r="AA6410" s="500"/>
      <c r="AB6410" s="500"/>
      <c r="AC6410" s="500"/>
      <c r="AD6410" s="500"/>
      <c r="AE6410" s="500"/>
      <c r="AF6410" s="500"/>
      <c r="AG6410" s="500"/>
      <c r="AH6410" s="500"/>
      <c r="AI6410" s="500"/>
      <c r="AJ6410" s="500"/>
      <c r="AK6410" s="500"/>
      <c r="AL6410" s="500"/>
      <c r="AM6410" s="500"/>
      <c r="AN6410" s="500"/>
      <c r="AO6410" s="500"/>
      <c r="AP6410" s="500"/>
    </row>
    <row r="6411" spans="1:42" ht="16.5" customHeight="1">
      <c r="A6411" s="439"/>
      <c r="B6411" s="439"/>
      <c r="C6411" s="439"/>
      <c r="D6411" s="439"/>
      <c r="E6411" s="439"/>
      <c r="F6411" s="439"/>
      <c r="G6411" s="451" t="s">
        <v>3406</v>
      </c>
      <c r="Z6411" s="500"/>
      <c r="AA6411" s="500"/>
      <c r="AB6411" s="500"/>
      <c r="AC6411" s="500"/>
      <c r="AD6411" s="500"/>
      <c r="AE6411" s="500"/>
      <c r="AF6411" s="500"/>
      <c r="AG6411" s="500"/>
      <c r="AH6411" s="500"/>
      <c r="AI6411" s="500"/>
      <c r="AJ6411" s="500"/>
      <c r="AK6411" s="500"/>
      <c r="AL6411" s="500"/>
      <c r="AM6411" s="500"/>
      <c r="AN6411" s="500"/>
      <c r="AO6411" s="500"/>
      <c r="AP6411" s="500"/>
    </row>
    <row r="6412" spans="1:42" ht="16.5" customHeight="1">
      <c r="A6412" s="434"/>
      <c r="B6412" s="437" t="s">
        <v>3984</v>
      </c>
      <c r="C6412" s="439"/>
      <c r="D6412" s="439"/>
      <c r="E6412" s="439"/>
      <c r="F6412" s="439"/>
      <c r="G6412" s="451" t="s">
        <v>3985</v>
      </c>
      <c r="Z6412" s="500"/>
      <c r="AA6412" s="500"/>
      <c r="AB6412" s="500"/>
      <c r="AC6412" s="500"/>
      <c r="AD6412" s="500"/>
      <c r="AE6412" s="500"/>
      <c r="AF6412" s="500"/>
      <c r="AG6412" s="500"/>
      <c r="AH6412" s="500"/>
      <c r="AI6412" s="500"/>
      <c r="AJ6412" s="500"/>
      <c r="AK6412" s="500"/>
      <c r="AL6412" s="500"/>
      <c r="AM6412" s="500"/>
      <c r="AN6412" s="500"/>
      <c r="AO6412" s="500"/>
      <c r="AP6412" s="500"/>
    </row>
    <row r="6413" spans="1:42" ht="16.5" customHeight="1">
      <c r="A6413" s="439"/>
      <c r="B6413" s="439"/>
      <c r="C6413" s="439"/>
      <c r="D6413" s="439"/>
      <c r="E6413" s="439"/>
      <c r="F6413" s="439"/>
      <c r="G6413" s="451" t="s">
        <v>3406</v>
      </c>
      <c r="Z6413" s="500"/>
      <c r="AA6413" s="500"/>
      <c r="AB6413" s="500"/>
      <c r="AC6413" s="500"/>
      <c r="AD6413" s="500"/>
      <c r="AE6413" s="500"/>
      <c r="AF6413" s="500"/>
      <c r="AG6413" s="500"/>
      <c r="AH6413" s="500"/>
      <c r="AI6413" s="500"/>
      <c r="AJ6413" s="500"/>
      <c r="AK6413" s="500"/>
      <c r="AL6413" s="500"/>
      <c r="AM6413" s="500"/>
      <c r="AN6413" s="500"/>
      <c r="AO6413" s="500"/>
      <c r="AP6413" s="500"/>
    </row>
    <row r="6414" spans="1:42" ht="16.5" customHeight="1">
      <c r="A6414" s="439"/>
      <c r="B6414" s="439"/>
      <c r="C6414" s="439"/>
      <c r="D6414" s="439"/>
      <c r="E6414" s="439"/>
      <c r="F6414" s="439"/>
      <c r="G6414" s="451" t="s">
        <v>3406</v>
      </c>
      <c r="Z6414" s="500"/>
      <c r="AA6414" s="500"/>
      <c r="AB6414" s="500"/>
      <c r="AC6414" s="500"/>
      <c r="AD6414" s="500"/>
      <c r="AE6414" s="500"/>
      <c r="AF6414" s="500"/>
      <c r="AG6414" s="500"/>
      <c r="AH6414" s="500"/>
      <c r="AI6414" s="500"/>
      <c r="AJ6414" s="500"/>
      <c r="AK6414" s="500"/>
      <c r="AL6414" s="500"/>
      <c r="AM6414" s="500"/>
      <c r="AN6414" s="500"/>
      <c r="AO6414" s="500"/>
      <c r="AP6414" s="500"/>
    </row>
    <row r="6415" spans="1:42" ht="16.5" customHeight="1">
      <c r="A6415" s="434"/>
      <c r="B6415" s="437" t="s">
        <v>3986</v>
      </c>
      <c r="C6415" s="439"/>
      <c r="D6415" s="439"/>
      <c r="E6415" s="439"/>
      <c r="F6415" s="439"/>
      <c r="G6415" s="451" t="s">
        <v>3987</v>
      </c>
      <c r="Z6415" s="500"/>
      <c r="AA6415" s="500"/>
      <c r="AB6415" s="500"/>
      <c r="AC6415" s="500"/>
      <c r="AD6415" s="500"/>
      <c r="AE6415" s="500"/>
      <c r="AF6415" s="500"/>
      <c r="AG6415" s="500"/>
      <c r="AH6415" s="500"/>
      <c r="AI6415" s="500"/>
      <c r="AJ6415" s="500"/>
      <c r="AK6415" s="500"/>
      <c r="AL6415" s="500"/>
      <c r="AM6415" s="500"/>
      <c r="AN6415" s="500"/>
      <c r="AO6415" s="500"/>
      <c r="AP6415" s="500"/>
    </row>
    <row r="6416" spans="1:42" ht="16.5" customHeight="1">
      <c r="A6416" s="439"/>
      <c r="B6416" s="439"/>
      <c r="C6416" s="439"/>
      <c r="D6416" s="439"/>
      <c r="E6416" s="439"/>
      <c r="F6416" s="439"/>
      <c r="G6416" s="451" t="s">
        <v>3406</v>
      </c>
      <c r="Z6416" s="500"/>
      <c r="AA6416" s="500"/>
      <c r="AB6416" s="500"/>
      <c r="AC6416" s="500"/>
      <c r="AD6416" s="500"/>
      <c r="AE6416" s="500"/>
      <c r="AF6416" s="500"/>
      <c r="AG6416" s="500"/>
      <c r="AH6416" s="500"/>
      <c r="AI6416" s="500"/>
      <c r="AJ6416" s="500"/>
      <c r="AK6416" s="500"/>
      <c r="AL6416" s="500"/>
      <c r="AM6416" s="500"/>
      <c r="AN6416" s="500"/>
      <c r="AO6416" s="500"/>
      <c r="AP6416" s="500"/>
    </row>
    <row r="6417" spans="1:42" ht="16.5" customHeight="1">
      <c r="A6417" s="439"/>
      <c r="B6417" s="439"/>
      <c r="C6417" s="439"/>
      <c r="D6417" s="439"/>
      <c r="E6417" s="439"/>
      <c r="F6417" s="439"/>
      <c r="G6417" s="451" t="s">
        <v>3406</v>
      </c>
      <c r="Z6417" s="500"/>
      <c r="AA6417" s="500"/>
      <c r="AB6417" s="500"/>
      <c r="AC6417" s="500"/>
      <c r="AD6417" s="500"/>
      <c r="AE6417" s="500"/>
      <c r="AF6417" s="500"/>
      <c r="AG6417" s="500"/>
      <c r="AH6417" s="500"/>
      <c r="AI6417" s="500"/>
      <c r="AJ6417" s="500"/>
      <c r="AK6417" s="500"/>
      <c r="AL6417" s="500"/>
      <c r="AM6417" s="500"/>
      <c r="AN6417" s="500"/>
      <c r="AO6417" s="500"/>
      <c r="AP6417" s="500"/>
    </row>
    <row r="6418" spans="1:42" ht="16.5" customHeight="1">
      <c r="A6418" s="434"/>
      <c r="B6418" s="437" t="str">
        <f>" L = "&amp;Z6418&amp;" , V = "&amp;AD6418&amp;" , t = "&amp;AH6418&amp;"  , T = "&amp;AL6418&amp;"-"&amp;AN6418&amp;""</f>
        <v xml:space="preserve"> L = 400 , V = 2500 , t = 2  , T = 480-30</v>
      </c>
      <c r="C6418" s="439"/>
      <c r="D6418" s="439"/>
      <c r="E6418" s="439"/>
      <c r="F6418" s="439"/>
      <c r="G6418" s="451" t="s">
        <v>4064</v>
      </c>
      <c r="Z6418" s="515">
        <v>400</v>
      </c>
      <c r="AA6418" s="501" t="s">
        <v>3418</v>
      </c>
      <c r="AB6418" s="512">
        <f>Z6418</f>
        <v>400</v>
      </c>
      <c r="AC6418" s="514" t="s">
        <v>3427</v>
      </c>
      <c r="AD6418" s="515">
        <v>2500</v>
      </c>
      <c r="AE6418" s="501" t="s">
        <v>3418</v>
      </c>
      <c r="AF6418" s="512">
        <f>AD6418</f>
        <v>2500</v>
      </c>
      <c r="AG6418" s="514" t="s">
        <v>3427</v>
      </c>
      <c r="AH6418" s="515">
        <v>2</v>
      </c>
      <c r="AI6418" s="501" t="s">
        <v>3418</v>
      </c>
      <c r="AJ6418" s="512">
        <f>AH6418</f>
        <v>2</v>
      </c>
      <c r="AK6418" s="514" t="s">
        <v>3427</v>
      </c>
      <c r="AL6418" s="515">
        <v>480</v>
      </c>
      <c r="AM6418" s="501" t="s">
        <v>3474</v>
      </c>
      <c r="AN6418" s="515">
        <v>30</v>
      </c>
      <c r="AO6418" s="501" t="s">
        <v>3418</v>
      </c>
      <c r="AP6418" s="512">
        <f>AL6418-AN6418</f>
        <v>450</v>
      </c>
    </row>
    <row r="6419" spans="1:42" ht="16.5" customHeight="1">
      <c r="A6419" s="439"/>
      <c r="B6419" s="439"/>
      <c r="C6419" s="439"/>
      <c r="D6419" s="439"/>
      <c r="E6419" s="439"/>
      <c r="F6419" s="439"/>
      <c r="G6419" s="451" t="s">
        <v>3406</v>
      </c>
      <c r="Z6419" s="500"/>
      <c r="AA6419" s="500"/>
      <c r="AB6419" s="500"/>
      <c r="AC6419" s="500"/>
      <c r="AD6419" s="500"/>
      <c r="AE6419" s="500"/>
      <c r="AF6419" s="500"/>
      <c r="AG6419" s="500"/>
      <c r="AH6419" s="500"/>
      <c r="AI6419" s="500"/>
      <c r="AJ6419" s="500"/>
      <c r="AK6419" s="500"/>
      <c r="AL6419" s="500"/>
      <c r="AM6419" s="500"/>
      <c r="AN6419" s="500"/>
      <c r="AO6419" s="500"/>
      <c r="AP6419" s="500"/>
    </row>
    <row r="6420" spans="1:42" ht="16.5" customHeight="1">
      <c r="A6420" s="439"/>
      <c r="B6420" s="439"/>
      <c r="C6420" s="439"/>
      <c r="D6420" s="439"/>
      <c r="E6420" s="439"/>
      <c r="F6420" s="439"/>
      <c r="G6420" s="451" t="s">
        <v>3406</v>
      </c>
      <c r="Z6420" s="500"/>
      <c r="AA6420" s="500"/>
      <c r="AB6420" s="500"/>
      <c r="AC6420" s="500"/>
      <c r="AD6420" s="500"/>
      <c r="AE6420" s="500"/>
      <c r="AF6420" s="500"/>
      <c r="AG6420" s="500"/>
      <c r="AH6420" s="500"/>
      <c r="AI6420" s="500"/>
      <c r="AJ6420" s="500"/>
      <c r="AK6420" s="500"/>
      <c r="AL6420" s="500"/>
      <c r="AM6420" s="500"/>
      <c r="AN6420" s="500"/>
      <c r="AO6420" s="500"/>
      <c r="AP6420" s="500"/>
    </row>
    <row r="6421" spans="1:42" ht="16.5" customHeight="1">
      <c r="A6421" s="439"/>
      <c r="B6421" s="439"/>
      <c r="C6421" s="439"/>
      <c r="D6421" s="439"/>
      <c r="E6421" s="439"/>
      <c r="F6421" s="439"/>
      <c r="G6421" s="451" t="s">
        <v>3406</v>
      </c>
      <c r="Z6421" s="500"/>
      <c r="AA6421" s="500"/>
      <c r="AB6421" s="500"/>
      <c r="AC6421" s="500"/>
      <c r="AD6421" s="500"/>
      <c r="AE6421" s="500"/>
      <c r="AF6421" s="500"/>
      <c r="AG6421" s="500"/>
      <c r="AH6421" s="500"/>
      <c r="AI6421" s="500"/>
      <c r="AJ6421" s="500"/>
      <c r="AK6421" s="500"/>
      <c r="AL6421" s="500"/>
      <c r="AM6421" s="500"/>
      <c r="AN6421" s="500"/>
      <c r="AO6421" s="500"/>
      <c r="AP6421" s="500"/>
    </row>
    <row r="6422" spans="1:42" ht="16.5" customHeight="1">
      <c r="A6422" s="434"/>
      <c r="B6422" s="437" t="str">
        <f>" N = V*T /( "&amp;AD6422&amp;"*L+V*"&amp;AJ6422&amp;" ) = "&amp;AM6422&amp;" 회/일 "</f>
        <v xml:space="preserve"> N = V*T /( 120*L+V*2 ) = 21.23 회/일 </v>
      </c>
      <c r="C6422" s="439"/>
      <c r="D6422" s="439"/>
      <c r="E6422" s="439"/>
      <c r="F6422" s="439"/>
      <c r="G6422" s="451" t="s">
        <v>3989</v>
      </c>
      <c r="Z6422" s="512">
        <f>AF6418</f>
        <v>2500</v>
      </c>
      <c r="AA6422" s="501" t="s">
        <v>3368</v>
      </c>
      <c r="AB6422" s="512">
        <f>AP6418</f>
        <v>450</v>
      </c>
      <c r="AC6422" s="501" t="s">
        <v>3463</v>
      </c>
      <c r="AD6422" s="515">
        <v>120</v>
      </c>
      <c r="AE6422" s="501" t="s">
        <v>3368</v>
      </c>
      <c r="AF6422" s="512">
        <f>AB6418</f>
        <v>400</v>
      </c>
      <c r="AG6422" s="501" t="s">
        <v>3468</v>
      </c>
      <c r="AH6422" s="512">
        <f>AF6418</f>
        <v>2500</v>
      </c>
      <c r="AI6422" s="501" t="s">
        <v>3368</v>
      </c>
      <c r="AJ6422" s="515">
        <v>2</v>
      </c>
      <c r="AK6422" s="501" t="s">
        <v>3464</v>
      </c>
      <c r="AL6422" s="501" t="s">
        <v>3418</v>
      </c>
      <c r="AM6422" s="512" t="str">
        <f>TEXT(ROUND(AF6418*AP6418/(AD6422*AB6418+AF6418*AJ6422),2),"#,0.00")</f>
        <v>21.23</v>
      </c>
      <c r="AN6422" s="500"/>
      <c r="AO6422" s="500"/>
      <c r="AP6422" s="500"/>
    </row>
    <row r="6423" spans="1:42" ht="16.5" customHeight="1">
      <c r="A6423" s="439"/>
      <c r="B6423" s="439"/>
      <c r="C6423" s="439"/>
      <c r="D6423" s="439"/>
      <c r="E6423" s="439"/>
      <c r="F6423" s="439"/>
      <c r="G6423" s="451" t="s">
        <v>3406</v>
      </c>
      <c r="Z6423" s="500"/>
      <c r="AA6423" s="500"/>
      <c r="AB6423" s="500"/>
      <c r="AC6423" s="500"/>
      <c r="AD6423" s="500"/>
      <c r="AE6423" s="500"/>
      <c r="AF6423" s="500"/>
      <c r="AG6423" s="500"/>
      <c r="AH6423" s="500"/>
      <c r="AI6423" s="500"/>
      <c r="AJ6423" s="500"/>
      <c r="AK6423" s="500"/>
      <c r="AL6423" s="500"/>
      <c r="AM6423" s="500"/>
      <c r="AN6423" s="500"/>
      <c r="AO6423" s="500"/>
      <c r="AP6423" s="500"/>
    </row>
    <row r="6424" spans="1:42" ht="16.5" customHeight="1">
      <c r="A6424" s="439"/>
      <c r="B6424" s="439"/>
      <c r="C6424" s="439"/>
      <c r="D6424" s="439"/>
      <c r="E6424" s="439"/>
      <c r="F6424" s="439"/>
      <c r="G6424" s="451" t="s">
        <v>3406</v>
      </c>
      <c r="Z6424" s="500"/>
      <c r="AA6424" s="500"/>
      <c r="AB6424" s="500"/>
      <c r="AC6424" s="500"/>
      <c r="AD6424" s="500"/>
      <c r="AE6424" s="500"/>
      <c r="AF6424" s="500"/>
      <c r="AG6424" s="500"/>
      <c r="AH6424" s="500"/>
      <c r="AI6424" s="500"/>
      <c r="AJ6424" s="500"/>
      <c r="AK6424" s="500"/>
      <c r="AL6424" s="500"/>
      <c r="AM6424" s="500"/>
      <c r="AN6424" s="500"/>
      <c r="AO6424" s="500"/>
      <c r="AP6424" s="500"/>
    </row>
    <row r="6425" spans="1:42" ht="16.5" customHeight="1">
      <c r="A6425" s="439"/>
      <c r="B6425" s="439"/>
      <c r="C6425" s="439"/>
      <c r="D6425" s="439"/>
      <c r="E6425" s="439"/>
      <c r="F6425" s="439"/>
      <c r="G6425" s="451" t="s">
        <v>3406</v>
      </c>
      <c r="Z6425" s="500"/>
      <c r="AA6425" s="500"/>
      <c r="AB6425" s="500"/>
      <c r="AC6425" s="500"/>
      <c r="AD6425" s="500"/>
      <c r="AE6425" s="500"/>
      <c r="AF6425" s="500"/>
      <c r="AG6425" s="500"/>
      <c r="AH6425" s="500"/>
      <c r="AI6425" s="500"/>
      <c r="AJ6425" s="500"/>
      <c r="AK6425" s="500"/>
      <c r="AL6425" s="500"/>
      <c r="AM6425" s="500"/>
      <c r="AN6425" s="500"/>
      <c r="AO6425" s="500"/>
      <c r="AP6425" s="500"/>
    </row>
    <row r="6426" spans="1:42" ht="16.5" customHeight="1">
      <c r="A6426" s="434"/>
      <c r="B6426" s="437" t="str">
        <f>" Q = N*"&amp;AB6426&amp;" ㎏ = "&amp;AD6426&amp;"  kg/일 "</f>
        <v xml:space="preserve"> Q = N*25 ㎏ = 530.75  kg/일 </v>
      </c>
      <c r="C6426" s="439"/>
      <c r="D6426" s="439"/>
      <c r="E6426" s="439"/>
      <c r="F6426" s="439"/>
      <c r="G6426" s="451" t="s">
        <v>3990</v>
      </c>
      <c r="Z6426" s="512" t="str">
        <f>AM6422</f>
        <v>21.23</v>
      </c>
      <c r="AA6426" s="501" t="s">
        <v>3368</v>
      </c>
      <c r="AB6426" s="515">
        <v>25</v>
      </c>
      <c r="AC6426" s="501" t="s">
        <v>3418</v>
      </c>
      <c r="AD6426" s="512" t="str">
        <f>TEXT(ROUND(AM6422*AB6426,2),"#,0.00")</f>
        <v>530.75</v>
      </c>
      <c r="AE6426" s="500"/>
      <c r="AF6426" s="500"/>
      <c r="AG6426" s="500"/>
      <c r="AH6426" s="500"/>
      <c r="AI6426" s="500"/>
      <c r="AJ6426" s="500"/>
      <c r="AK6426" s="500"/>
      <c r="AL6426" s="500"/>
      <c r="AM6426" s="500"/>
      <c r="AN6426" s="500"/>
      <c r="AO6426" s="500"/>
      <c r="AP6426" s="500"/>
    </row>
    <row r="6427" spans="1:42" ht="16.5" customHeight="1">
      <c r="A6427" s="439"/>
      <c r="B6427" s="439"/>
      <c r="C6427" s="439"/>
      <c r="D6427" s="439"/>
      <c r="E6427" s="439"/>
      <c r="F6427" s="439"/>
      <c r="G6427" s="451" t="s">
        <v>3406</v>
      </c>
      <c r="Z6427" s="500"/>
      <c r="AA6427" s="500"/>
      <c r="AB6427" s="500"/>
      <c r="AC6427" s="500"/>
      <c r="AD6427" s="500"/>
      <c r="AE6427" s="500"/>
      <c r="AF6427" s="500"/>
      <c r="AG6427" s="500"/>
      <c r="AH6427" s="500"/>
      <c r="AI6427" s="500"/>
      <c r="AJ6427" s="500"/>
      <c r="AK6427" s="500"/>
      <c r="AL6427" s="500"/>
      <c r="AM6427" s="500"/>
      <c r="AN6427" s="500"/>
      <c r="AO6427" s="500"/>
      <c r="AP6427" s="500"/>
    </row>
    <row r="6428" spans="1:42" ht="16.5" customHeight="1">
      <c r="A6428" s="439"/>
      <c r="B6428" s="439"/>
      <c r="C6428" s="439"/>
      <c r="D6428" s="439"/>
      <c r="E6428" s="439"/>
      <c r="F6428" s="439"/>
      <c r="G6428" s="451" t="s">
        <v>3406</v>
      </c>
      <c r="Z6428" s="500"/>
      <c r="AA6428" s="500"/>
      <c r="AB6428" s="500"/>
      <c r="AC6428" s="500"/>
      <c r="AD6428" s="500"/>
      <c r="AE6428" s="500"/>
      <c r="AF6428" s="500"/>
      <c r="AG6428" s="500"/>
      <c r="AH6428" s="500"/>
      <c r="AI6428" s="500"/>
      <c r="AJ6428" s="500"/>
      <c r="AK6428" s="500"/>
      <c r="AL6428" s="500"/>
      <c r="AM6428" s="500"/>
      <c r="AN6428" s="500"/>
      <c r="AO6428" s="500"/>
      <c r="AP6428" s="500"/>
    </row>
    <row r="6429" spans="1:42" ht="16.5" customHeight="1">
      <c r="A6429" s="439"/>
      <c r="B6429" s="439"/>
      <c r="C6429" s="439"/>
      <c r="D6429" s="439"/>
      <c r="E6429" s="439"/>
      <c r="F6429" s="439"/>
      <c r="G6429" s="451" t="s">
        <v>3406</v>
      </c>
      <c r="Z6429" s="500"/>
      <c r="AA6429" s="500"/>
      <c r="AB6429" s="500"/>
      <c r="AC6429" s="500"/>
      <c r="AD6429" s="500"/>
      <c r="AE6429" s="500"/>
      <c r="AF6429" s="500"/>
      <c r="AG6429" s="500"/>
      <c r="AH6429" s="500"/>
      <c r="AI6429" s="500"/>
      <c r="AJ6429" s="500"/>
      <c r="AK6429" s="500"/>
      <c r="AL6429" s="500"/>
      <c r="AM6429" s="500"/>
      <c r="AN6429" s="500"/>
      <c r="AO6429" s="500"/>
      <c r="AP6429" s="500"/>
    </row>
    <row r="6430" spans="1:42" ht="16.5" customHeight="1">
      <c r="A6430" s="434"/>
      <c r="B6430" s="437" t="str">
        <f>" k = "&amp;Z6430&amp;" kg /Q"</f>
        <v xml:space="preserve"> k = 1000 kg /Q</v>
      </c>
      <c r="C6430" s="439"/>
      <c r="D6430" s="439"/>
      <c r="E6430" s="439"/>
      <c r="F6430" s="439"/>
      <c r="G6430" s="451" t="s">
        <v>3991</v>
      </c>
      <c r="Z6430" s="515">
        <v>1000</v>
      </c>
      <c r="AA6430" s="501" t="s">
        <v>3428</v>
      </c>
      <c r="AB6430" s="512" t="str">
        <f>AD6426</f>
        <v>530.75</v>
      </c>
      <c r="AC6430" s="501" t="s">
        <v>3418</v>
      </c>
      <c r="AD6430" s="512">
        <f>ROUND(Z6430/AD6426,13)</f>
        <v>1.8841262364578</v>
      </c>
      <c r="AE6430" s="500"/>
      <c r="AF6430" s="500"/>
      <c r="AG6430" s="500"/>
      <c r="AH6430" s="500"/>
      <c r="AI6430" s="500"/>
      <c r="AJ6430" s="500"/>
      <c r="AK6430" s="500"/>
      <c r="AL6430" s="500"/>
      <c r="AM6430" s="500"/>
      <c r="AN6430" s="500"/>
      <c r="AO6430" s="500"/>
      <c r="AP6430" s="500"/>
    </row>
    <row r="6431" spans="1:42" ht="16.5" customHeight="1">
      <c r="A6431" s="439"/>
      <c r="B6431" s="439"/>
      <c r="C6431" s="439"/>
      <c r="D6431" s="439"/>
      <c r="E6431" s="439"/>
      <c r="F6431" s="439"/>
      <c r="G6431" s="451" t="s">
        <v>3406</v>
      </c>
      <c r="Z6431" s="500"/>
      <c r="AA6431" s="500"/>
      <c r="AB6431" s="500"/>
      <c r="AC6431" s="500"/>
      <c r="AD6431" s="500"/>
      <c r="AE6431" s="500"/>
      <c r="AF6431" s="500"/>
      <c r="AG6431" s="500"/>
      <c r="AH6431" s="500"/>
      <c r="AI6431" s="500"/>
      <c r="AJ6431" s="500"/>
      <c r="AK6431" s="500"/>
      <c r="AL6431" s="500"/>
      <c r="AM6431" s="500"/>
      <c r="AN6431" s="500"/>
      <c r="AO6431" s="500"/>
      <c r="AP6431" s="500"/>
    </row>
    <row r="6432" spans="1:42" ht="16.5" customHeight="1">
      <c r="A6432" s="439"/>
      <c r="B6432" s="439"/>
      <c r="C6432" s="439"/>
      <c r="D6432" s="439"/>
      <c r="E6432" s="439"/>
      <c r="F6432" s="439"/>
      <c r="G6432" s="451" t="s">
        <v>3406</v>
      </c>
      <c r="Z6432" s="500"/>
      <c r="AA6432" s="500"/>
      <c r="AB6432" s="500"/>
      <c r="AC6432" s="500"/>
      <c r="AD6432" s="500"/>
      <c r="AE6432" s="500"/>
      <c r="AF6432" s="500"/>
      <c r="AG6432" s="500"/>
      <c r="AH6432" s="500"/>
      <c r="AI6432" s="500"/>
      <c r="AJ6432" s="500"/>
      <c r="AK6432" s="500"/>
      <c r="AL6432" s="500"/>
      <c r="AM6432" s="500"/>
      <c r="AN6432" s="500"/>
      <c r="AO6432" s="500"/>
      <c r="AP6432" s="500"/>
    </row>
    <row r="6433" spans="1:42" ht="16.5" customHeight="1">
      <c r="A6433" s="439"/>
      <c r="B6433" s="439"/>
      <c r="C6433" s="439"/>
      <c r="D6433" s="439"/>
      <c r="E6433" s="439"/>
      <c r="F6433" s="439"/>
      <c r="G6433" s="451" t="s">
        <v>3406</v>
      </c>
      <c r="Z6433" s="500"/>
      <c r="AA6433" s="500"/>
      <c r="AB6433" s="500"/>
      <c r="AC6433" s="500"/>
      <c r="AD6433" s="500"/>
      <c r="AE6433" s="500"/>
      <c r="AF6433" s="500"/>
      <c r="AG6433" s="500"/>
      <c r="AH6433" s="500"/>
      <c r="AI6433" s="500"/>
      <c r="AJ6433" s="500"/>
      <c r="AK6433" s="500"/>
      <c r="AL6433" s="500"/>
      <c r="AM6433" s="500"/>
      <c r="AN6433" s="500"/>
      <c r="AO6433" s="500"/>
      <c r="AP6433" s="500"/>
    </row>
    <row r="6434" spans="1:42" ht="16.5" customHeight="1">
      <c r="A6434" s="434" t="s">
        <v>3992</v>
      </c>
      <c r="B6434" s="505" t="str">
        <f>" 인    부: "&amp;TEXT(I6434,"#,##0"&amp;IF(I6434&lt;&gt;INT(I6434),".###",""))&amp;"*k = "&amp;TEXT(C6434,"#,##0.0")&amp;" 원 "</f>
        <v xml:space="preserve"> 인    부: 172,068*k = 324,197.8 원 </v>
      </c>
      <c r="C6434" s="506">
        <f>E6434+D6434+F6434</f>
        <v>324197.8</v>
      </c>
      <c r="D6434" s="506">
        <f>IF(H6434=0,0,ROUNDDOWN(J6434*H6434,1))</f>
        <v>324197.8</v>
      </c>
      <c r="E6434" s="506">
        <f>IF(H6434=0,0,ROUNDDOWN(K6434*H6434,1))</f>
        <v>0</v>
      </c>
      <c r="F6434" s="506">
        <f>IF(H6434=0,0,ROUNDDOWN(L6434*H6434,1))</f>
        <v>0</v>
      </c>
      <c r="G6434" s="451" t="s">
        <v>3993</v>
      </c>
      <c r="H6434" s="507">
        <f>ROUNDUP(AC6434,14-LEN(ABS(INT(AC6434))))</f>
        <v>1.8841262364578</v>
      </c>
      <c r="I6434" s="508">
        <f>K6434+J6434+L6434</f>
        <v>172068</v>
      </c>
      <c r="J6434" s="509">
        <f>노무비목록표!E10</f>
        <v>172068</v>
      </c>
      <c r="M6434" s="501" t="s">
        <v>2363</v>
      </c>
      <c r="N6434" s="501" t="s">
        <v>3994</v>
      </c>
      <c r="X6434" s="510" t="str">
        <f>노무비목록표!B10&amp;" / "&amp;노무비목록표!C10</f>
        <v xml:space="preserve">보통인부 / </v>
      </c>
      <c r="Y6434" s="433" t="str">
        <f ca="1">HYPERLINK("#"&amp;노무비목록표!G2&amp;"!A"&amp;ROW(노무비목록표!A10),"L00017 →")</f>
        <v>L00017 →</v>
      </c>
      <c r="Z6434" s="501" t="s">
        <v>3500</v>
      </c>
      <c r="AA6434" s="512">
        <f>AD6430</f>
        <v>1.8841262364578</v>
      </c>
      <c r="AB6434" s="501" t="s">
        <v>3418</v>
      </c>
      <c r="AC6434" s="512">
        <f>1*AD6430</f>
        <v>1.8841262364578</v>
      </c>
      <c r="AD6434" s="500"/>
      <c r="AE6434" s="500"/>
      <c r="AF6434" s="500"/>
      <c r="AG6434" s="500"/>
      <c r="AH6434" s="500"/>
      <c r="AI6434" s="500"/>
      <c r="AJ6434" s="500"/>
      <c r="AK6434" s="500"/>
      <c r="AL6434" s="500"/>
      <c r="AM6434" s="500"/>
      <c r="AN6434" s="500"/>
      <c r="AO6434" s="500"/>
      <c r="AP6434" s="500"/>
    </row>
    <row r="6435" spans="1:42" ht="16.5" customHeight="1">
      <c r="A6435" s="439"/>
      <c r="B6435" s="439"/>
      <c r="C6435" s="439"/>
      <c r="D6435" s="439"/>
      <c r="E6435" s="439"/>
      <c r="F6435" s="439"/>
      <c r="G6435" s="451" t="s">
        <v>3406</v>
      </c>
      <c r="Z6435" s="500"/>
      <c r="AA6435" s="500"/>
      <c r="AB6435" s="500"/>
      <c r="AC6435" s="500"/>
      <c r="AD6435" s="500"/>
      <c r="AE6435" s="500"/>
      <c r="AF6435" s="500"/>
      <c r="AG6435" s="500"/>
      <c r="AH6435" s="500"/>
      <c r="AI6435" s="500"/>
      <c r="AJ6435" s="500"/>
      <c r="AK6435" s="500"/>
      <c r="AL6435" s="500"/>
      <c r="AM6435" s="500"/>
      <c r="AN6435" s="500"/>
      <c r="AO6435" s="500"/>
      <c r="AP6435" s="500"/>
    </row>
    <row r="6436" spans="1:42" ht="16.5" customHeight="1">
      <c r="A6436" s="439"/>
      <c r="B6436" s="439"/>
      <c r="C6436" s="439"/>
      <c r="D6436" s="439"/>
      <c r="E6436" s="439"/>
      <c r="F6436" s="439"/>
      <c r="G6436" s="451" t="s">
        <v>3406</v>
      </c>
      <c r="Z6436" s="500"/>
      <c r="AA6436" s="500"/>
      <c r="AB6436" s="500"/>
      <c r="AC6436" s="500"/>
      <c r="AD6436" s="500"/>
      <c r="AE6436" s="500"/>
      <c r="AF6436" s="500"/>
      <c r="AG6436" s="500"/>
      <c r="AH6436" s="500"/>
      <c r="AI6436" s="500"/>
      <c r="AJ6436" s="500"/>
      <c r="AK6436" s="500"/>
      <c r="AL6436" s="500"/>
      <c r="AM6436" s="500"/>
      <c r="AN6436" s="500"/>
      <c r="AO6436" s="500"/>
      <c r="AP6436" s="500"/>
    </row>
    <row r="6437" spans="1:42" ht="16.5" customHeight="1">
      <c r="A6437" s="439"/>
      <c r="B6437" s="439"/>
      <c r="C6437" s="439"/>
      <c r="D6437" s="439"/>
      <c r="E6437" s="439"/>
      <c r="F6437" s="439"/>
      <c r="G6437" s="451" t="s">
        <v>3406</v>
      </c>
      <c r="Z6437" s="500"/>
      <c r="AA6437" s="500"/>
      <c r="AB6437" s="500"/>
      <c r="AC6437" s="500"/>
      <c r="AD6437" s="500"/>
      <c r="AE6437" s="500"/>
      <c r="AF6437" s="500"/>
      <c r="AG6437" s="500"/>
      <c r="AH6437" s="500"/>
      <c r="AI6437" s="500"/>
      <c r="AJ6437" s="500"/>
      <c r="AK6437" s="500"/>
      <c r="AL6437" s="500"/>
      <c r="AM6437" s="500"/>
      <c r="AN6437" s="500"/>
      <c r="AO6437" s="500"/>
      <c r="AP6437" s="500"/>
    </row>
    <row r="6438" spans="1:42" ht="16.5" customHeight="1">
      <c r="A6438" s="439"/>
      <c r="B6438" s="439"/>
      <c r="C6438" s="439"/>
      <c r="D6438" s="439"/>
      <c r="E6438" s="439"/>
      <c r="F6438" s="439"/>
      <c r="G6438" s="451" t="s">
        <v>3406</v>
      </c>
      <c r="Z6438" s="500"/>
      <c r="AA6438" s="500"/>
      <c r="AB6438" s="500"/>
      <c r="AC6438" s="500"/>
      <c r="AD6438" s="500"/>
      <c r="AE6438" s="500"/>
      <c r="AF6438" s="500"/>
      <c r="AG6438" s="500"/>
      <c r="AH6438" s="500"/>
      <c r="AI6438" s="500"/>
      <c r="AJ6438" s="500"/>
      <c r="AK6438" s="500"/>
      <c r="AL6438" s="500"/>
      <c r="AM6438" s="500"/>
      <c r="AN6438" s="500"/>
      <c r="AO6438" s="500"/>
      <c r="AP6438" s="500"/>
    </row>
    <row r="6439" spans="1:42" ht="16.5" customHeight="1">
      <c r="A6439" s="434"/>
      <c r="B6439" s="437" t="s">
        <v>3995</v>
      </c>
      <c r="C6439" s="516">
        <f>E6439+D6439+F6439</f>
        <v>324197.8</v>
      </c>
      <c r="D6439" s="516">
        <f>SUMIF(N6407:N6438,M6439,D6407:D6438)</f>
        <v>324197.8</v>
      </c>
      <c r="E6439" s="516">
        <f>SUMIF(N6407:N6438,M6439,E6407:E6438)</f>
        <v>0</v>
      </c>
      <c r="F6439" s="516">
        <f>SUMIF(N6407:N6438,M6439,F6407:F6438)</f>
        <v>0</v>
      </c>
      <c r="G6439" s="451" t="s">
        <v>3996</v>
      </c>
      <c r="M6439" s="501" t="s">
        <v>3994</v>
      </c>
      <c r="Z6439" s="500"/>
      <c r="AA6439" s="500"/>
      <c r="AB6439" s="500"/>
      <c r="AC6439" s="500"/>
      <c r="AD6439" s="500"/>
      <c r="AE6439" s="500"/>
      <c r="AF6439" s="500"/>
      <c r="AG6439" s="500"/>
      <c r="AH6439" s="500"/>
      <c r="AI6439" s="500"/>
      <c r="AJ6439" s="500"/>
      <c r="AK6439" s="500"/>
      <c r="AL6439" s="500"/>
      <c r="AM6439" s="500"/>
      <c r="AN6439" s="500"/>
      <c r="AO6439" s="500"/>
      <c r="AP6439" s="500"/>
    </row>
    <row r="6440" spans="1:42" ht="16.5" customHeight="1">
      <c r="A6440" s="439"/>
      <c r="B6440" s="439"/>
      <c r="C6440" s="517"/>
      <c r="D6440" s="517"/>
      <c r="E6440" s="517"/>
      <c r="F6440" s="517"/>
      <c r="G6440" s="451" t="s">
        <v>3406</v>
      </c>
      <c r="Z6440" s="500"/>
      <c r="AA6440" s="500"/>
      <c r="AB6440" s="500"/>
      <c r="AC6440" s="500"/>
      <c r="AD6440" s="500"/>
      <c r="AE6440" s="500"/>
      <c r="AF6440" s="500"/>
      <c r="AG6440" s="500"/>
      <c r="AH6440" s="500"/>
      <c r="AI6440" s="500"/>
      <c r="AJ6440" s="500"/>
      <c r="AK6440" s="500"/>
      <c r="AL6440" s="500"/>
      <c r="AM6440" s="500"/>
      <c r="AN6440" s="500"/>
      <c r="AO6440" s="500"/>
      <c r="AP6440" s="500"/>
    </row>
    <row r="6441" spans="1:42" ht="16.5" customHeight="1">
      <c r="A6441" s="439"/>
      <c r="B6441" s="439"/>
      <c r="C6441" s="439"/>
      <c r="D6441" s="439"/>
      <c r="E6441" s="439"/>
      <c r="F6441" s="439"/>
      <c r="G6441" s="451" t="s">
        <v>3406</v>
      </c>
      <c r="Z6441" s="500"/>
      <c r="AA6441" s="500"/>
      <c r="AB6441" s="500"/>
      <c r="AC6441" s="500"/>
      <c r="AD6441" s="500"/>
      <c r="AE6441" s="500"/>
      <c r="AF6441" s="500"/>
      <c r="AG6441" s="500"/>
      <c r="AH6441" s="500"/>
      <c r="AI6441" s="500"/>
      <c r="AJ6441" s="500"/>
      <c r="AK6441" s="500"/>
      <c r="AL6441" s="500"/>
      <c r="AM6441" s="500"/>
      <c r="AN6441" s="500"/>
      <c r="AO6441" s="500"/>
      <c r="AP6441" s="500"/>
    </row>
    <row r="6442" spans="1:42" ht="16.5" customHeight="1">
      <c r="A6442" s="434" t="s">
        <v>3997</v>
      </c>
      <c r="B6442" s="505" t="str">
        <f>" 경비로 적용 : "&amp;TEXT(I6442,"#,##0"&amp;IF(I6442&lt;&gt;INT(I6442),".###",""))&amp;"  = "&amp;TEXT(C6442,"#,##0.0")&amp;""</f>
        <v xml:space="preserve"> 경비로 적용 : 324,197.8  = 324,197.8</v>
      </c>
      <c r="C6442" s="506">
        <f>E6442+D6442+F6442</f>
        <v>324197.8</v>
      </c>
      <c r="D6442" s="506">
        <f>IF(H6442=0,0,ROUNDDOWN(J6442*H6442,1))</f>
        <v>0</v>
      </c>
      <c r="E6442" s="506">
        <f>IF(H6442=0,0,ROUNDDOWN(K6442*H6442,1))</f>
        <v>0</v>
      </c>
      <c r="F6442" s="506">
        <f>IF(H6442=0,0,ROUNDDOWN(L6442*H6442,1))</f>
        <v>324197.8</v>
      </c>
      <c r="G6442" s="451" t="s">
        <v>3998</v>
      </c>
      <c r="H6442" s="507">
        <f>ROUNDUP(AB6442,14-LEN(ABS(INT(AB6442))))</f>
        <v>1</v>
      </c>
      <c r="I6442" s="508">
        <f>K6442+J6442+L6442</f>
        <v>324197.8</v>
      </c>
      <c r="J6442" s="456">
        <v>0</v>
      </c>
      <c r="K6442" s="456">
        <v>0</v>
      </c>
      <c r="L6442" s="518">
        <v>324197.8</v>
      </c>
      <c r="M6442" s="501" t="s">
        <v>3999</v>
      </c>
      <c r="N6442" s="501" t="s">
        <v>2354</v>
      </c>
      <c r="Z6442" s="501" t="s">
        <v>4000</v>
      </c>
      <c r="AA6442" s="501" t="s">
        <v>3418</v>
      </c>
      <c r="AB6442" s="512">
        <f>1</f>
        <v>1</v>
      </c>
      <c r="AC6442" s="500"/>
      <c r="AD6442" s="500"/>
      <c r="AE6442" s="500"/>
      <c r="AF6442" s="500"/>
      <c r="AG6442" s="500"/>
      <c r="AH6442" s="500"/>
      <c r="AI6442" s="500"/>
      <c r="AJ6442" s="500"/>
      <c r="AK6442" s="500"/>
      <c r="AL6442" s="500"/>
      <c r="AM6442" s="500"/>
      <c r="AN6442" s="500"/>
      <c r="AO6442" s="500"/>
      <c r="AP6442" s="500"/>
    </row>
    <row r="6443" spans="1:42" ht="16.5" customHeight="1">
      <c r="A6443" s="439"/>
      <c r="B6443" s="439"/>
      <c r="C6443" s="439"/>
      <c r="D6443" s="439"/>
      <c r="E6443" s="439"/>
      <c r="F6443" s="439"/>
      <c r="Z6443" s="500"/>
      <c r="AA6443" s="500"/>
      <c r="AB6443" s="500"/>
      <c r="AC6443" s="500"/>
      <c r="AD6443" s="500"/>
      <c r="AE6443" s="500"/>
      <c r="AF6443" s="500"/>
      <c r="AG6443" s="500"/>
      <c r="AH6443" s="500"/>
      <c r="AI6443" s="500"/>
      <c r="AJ6443" s="500"/>
      <c r="AK6443" s="500"/>
      <c r="AL6443" s="500"/>
      <c r="AM6443" s="500"/>
      <c r="AN6443" s="500"/>
      <c r="AO6443" s="500"/>
      <c r="AP6443" s="500"/>
    </row>
    <row r="6444" spans="1:42" ht="16.5" customHeight="1">
      <c r="A6444" s="439"/>
      <c r="B6444" s="439"/>
      <c r="C6444" s="439"/>
      <c r="D6444" s="439"/>
      <c r="E6444" s="439"/>
      <c r="F6444" s="439"/>
      <c r="Z6444" s="500"/>
      <c r="AA6444" s="500"/>
      <c r="AB6444" s="500"/>
      <c r="AC6444" s="500"/>
      <c r="AD6444" s="500"/>
      <c r="AE6444" s="500"/>
      <c r="AF6444" s="500"/>
      <c r="AG6444" s="500"/>
      <c r="AH6444" s="500"/>
      <c r="AI6444" s="500"/>
      <c r="AJ6444" s="500"/>
      <c r="AK6444" s="500"/>
      <c r="AL6444" s="500"/>
      <c r="AM6444" s="500"/>
      <c r="AN6444" s="500"/>
      <c r="AO6444" s="500"/>
      <c r="AP6444" s="500"/>
    </row>
    <row r="6445" spans="1:42" ht="16.5" customHeight="1">
      <c r="A6445" s="439"/>
      <c r="B6445" s="439"/>
      <c r="C6445" s="439"/>
      <c r="D6445" s="439"/>
      <c r="E6445" s="439"/>
      <c r="F6445" s="439"/>
      <c r="Z6445" s="500"/>
      <c r="AA6445" s="500"/>
      <c r="AB6445" s="500"/>
      <c r="AC6445" s="500"/>
      <c r="AD6445" s="500"/>
      <c r="AE6445" s="500"/>
      <c r="AF6445" s="500"/>
      <c r="AG6445" s="500"/>
      <c r="AH6445" s="500"/>
      <c r="AI6445" s="500"/>
      <c r="AJ6445" s="500"/>
      <c r="AK6445" s="500"/>
      <c r="AL6445" s="500"/>
      <c r="AM6445" s="500"/>
      <c r="AN6445" s="500"/>
      <c r="AO6445" s="500"/>
      <c r="AP6445" s="500"/>
    </row>
    <row r="6446" spans="1:42" ht="16.5" customHeight="1">
      <c r="A6446" s="439"/>
      <c r="B6446" s="439"/>
      <c r="C6446" s="439"/>
      <c r="D6446" s="439"/>
      <c r="E6446" s="439"/>
      <c r="F6446" s="439"/>
      <c r="Z6446" s="500"/>
      <c r="AA6446" s="500"/>
      <c r="AB6446" s="500"/>
      <c r="AC6446" s="500"/>
      <c r="AD6446" s="500"/>
      <c r="AE6446" s="500"/>
      <c r="AF6446" s="500"/>
      <c r="AG6446" s="500"/>
      <c r="AH6446" s="500"/>
      <c r="AI6446" s="500"/>
      <c r="AJ6446" s="500"/>
      <c r="AK6446" s="500"/>
      <c r="AL6446" s="500"/>
      <c r="AM6446" s="500"/>
      <c r="AN6446" s="500"/>
      <c r="AO6446" s="500"/>
      <c r="AP6446" s="500"/>
    </row>
    <row r="6447" spans="1:42" ht="16.5" customHeight="1">
      <c r="A6447" s="439"/>
      <c r="B6447" s="439"/>
      <c r="C6447" s="439"/>
      <c r="D6447" s="439"/>
      <c r="E6447" s="439"/>
      <c r="F6447" s="439"/>
      <c r="Z6447" s="500"/>
      <c r="AA6447" s="500"/>
      <c r="AB6447" s="500"/>
      <c r="AC6447" s="500"/>
      <c r="AD6447" s="500"/>
      <c r="AE6447" s="500"/>
      <c r="AF6447" s="500"/>
      <c r="AG6447" s="500"/>
      <c r="AH6447" s="500"/>
      <c r="AI6447" s="500"/>
      <c r="AJ6447" s="500"/>
      <c r="AK6447" s="500"/>
      <c r="AL6447" s="500"/>
      <c r="AM6447" s="500"/>
      <c r="AN6447" s="500"/>
      <c r="AO6447" s="500"/>
      <c r="AP6447" s="500"/>
    </row>
    <row r="6448" spans="1:42" ht="16.5" customHeight="1">
      <c r="A6448" s="439"/>
      <c r="B6448" s="439"/>
      <c r="C6448" s="439"/>
      <c r="D6448" s="439"/>
      <c r="E6448" s="439"/>
      <c r="F6448" s="439"/>
      <c r="Z6448" s="500"/>
      <c r="AA6448" s="500"/>
      <c r="AB6448" s="500"/>
      <c r="AC6448" s="500"/>
      <c r="AD6448" s="500"/>
      <c r="AE6448" s="500"/>
      <c r="AF6448" s="500"/>
      <c r="AG6448" s="500"/>
      <c r="AH6448" s="500"/>
      <c r="AI6448" s="500"/>
      <c r="AJ6448" s="500"/>
      <c r="AK6448" s="500"/>
      <c r="AL6448" s="500"/>
      <c r="AM6448" s="500"/>
      <c r="AN6448" s="500"/>
      <c r="AO6448" s="500"/>
      <c r="AP6448" s="500"/>
    </row>
    <row r="6449" spans="1:42" ht="16.5" customHeight="1">
      <c r="A6449" s="439"/>
      <c r="B6449" s="439"/>
      <c r="C6449" s="439"/>
      <c r="D6449" s="439"/>
      <c r="E6449" s="439"/>
      <c r="F6449" s="439"/>
      <c r="Z6449" s="500"/>
      <c r="AA6449" s="500"/>
      <c r="AB6449" s="500"/>
      <c r="AC6449" s="500"/>
      <c r="AD6449" s="500"/>
      <c r="AE6449" s="500"/>
      <c r="AF6449" s="500"/>
      <c r="AG6449" s="500"/>
      <c r="AH6449" s="500"/>
      <c r="AI6449" s="500"/>
      <c r="AJ6449" s="500"/>
      <c r="AK6449" s="500"/>
      <c r="AL6449" s="500"/>
      <c r="AM6449" s="500"/>
      <c r="AN6449" s="500"/>
      <c r="AO6449" s="500"/>
      <c r="AP6449" s="500"/>
    </row>
    <row r="6450" spans="1:42" ht="16.5" customHeight="1">
      <c r="A6450" s="439"/>
      <c r="B6450" s="439"/>
      <c r="C6450" s="439"/>
      <c r="D6450" s="439"/>
      <c r="E6450" s="439"/>
      <c r="F6450" s="439"/>
      <c r="Z6450" s="500"/>
      <c r="AA6450" s="500"/>
      <c r="AB6450" s="500"/>
      <c r="AC6450" s="500"/>
      <c r="AD6450" s="500"/>
      <c r="AE6450" s="500"/>
      <c r="AF6450" s="500"/>
      <c r="AG6450" s="500"/>
      <c r="AH6450" s="500"/>
      <c r="AI6450" s="500"/>
      <c r="AJ6450" s="500"/>
      <c r="AK6450" s="500"/>
      <c r="AL6450" s="500"/>
      <c r="AM6450" s="500"/>
      <c r="AN6450" s="500"/>
      <c r="AO6450" s="500"/>
      <c r="AP6450" s="500"/>
    </row>
    <row r="6451" spans="1:42" ht="16.5" customHeight="1">
      <c r="A6451" s="439"/>
      <c r="B6451" s="439"/>
      <c r="C6451" s="439"/>
      <c r="D6451" s="439"/>
      <c r="E6451" s="439"/>
      <c r="F6451" s="439"/>
      <c r="Z6451" s="500"/>
      <c r="AA6451" s="500"/>
      <c r="AB6451" s="500"/>
      <c r="AC6451" s="500"/>
      <c r="AD6451" s="500"/>
      <c r="AE6451" s="500"/>
      <c r="AF6451" s="500"/>
      <c r="AG6451" s="500"/>
      <c r="AH6451" s="500"/>
      <c r="AI6451" s="500"/>
      <c r="AJ6451" s="500"/>
      <c r="AK6451" s="500"/>
      <c r="AL6451" s="500"/>
      <c r="AM6451" s="500"/>
      <c r="AN6451" s="500"/>
      <c r="AO6451" s="500"/>
      <c r="AP6451" s="500"/>
    </row>
    <row r="6452" spans="1:42" ht="16.5" customHeight="1">
      <c r="A6452" s="439"/>
      <c r="B6452" s="439"/>
      <c r="C6452" s="439"/>
      <c r="D6452" s="439"/>
      <c r="E6452" s="439"/>
      <c r="F6452" s="439"/>
      <c r="Z6452" s="500"/>
      <c r="AA6452" s="500"/>
      <c r="AB6452" s="500"/>
      <c r="AC6452" s="500"/>
      <c r="AD6452" s="500"/>
      <c r="AE6452" s="500"/>
      <c r="AF6452" s="500"/>
      <c r="AG6452" s="500"/>
      <c r="AH6452" s="500"/>
      <c r="AI6452" s="500"/>
      <c r="AJ6452" s="500"/>
      <c r="AK6452" s="500"/>
      <c r="AL6452" s="500"/>
      <c r="AM6452" s="500"/>
      <c r="AN6452" s="500"/>
      <c r="AO6452" s="500"/>
      <c r="AP6452" s="500"/>
    </row>
    <row r="6453" spans="1:42" ht="16.5" customHeight="1">
      <c r="A6453" s="497"/>
      <c r="B6453" s="497"/>
      <c r="C6453" s="497"/>
      <c r="D6453" s="497"/>
      <c r="E6453" s="497"/>
      <c r="F6453" s="497"/>
      <c r="Z6453" s="500"/>
      <c r="AA6453" s="500"/>
      <c r="AB6453" s="500"/>
      <c r="AC6453" s="500"/>
      <c r="AD6453" s="500"/>
      <c r="AE6453" s="500"/>
      <c r="AF6453" s="500"/>
      <c r="AG6453" s="500"/>
      <c r="AH6453" s="500"/>
      <c r="AI6453" s="500"/>
      <c r="AJ6453" s="500"/>
      <c r="AK6453" s="500"/>
      <c r="AL6453" s="500"/>
      <c r="AM6453" s="500"/>
      <c r="AN6453" s="500"/>
      <c r="AO6453" s="500"/>
      <c r="AP6453" s="500"/>
    </row>
    <row r="6454" spans="1:42" ht="16.5" customHeight="1">
      <c r="A6454" s="616" t="s">
        <v>3487</v>
      </c>
      <c r="B6454" s="605"/>
      <c r="C6454" s="446">
        <f>E6454+D6454+F6454</f>
        <v>324197</v>
      </c>
      <c r="D6454" s="453">
        <f>ROUNDDOWN(SUMIF(N6407:N6442,M6454,D6407:D6442),0)</f>
        <v>0</v>
      </c>
      <c r="E6454" s="454">
        <f>ROUNDDOWN(SUMIF(N6407:N6442,M6454,E6407:E6442),0)</f>
        <v>0</v>
      </c>
      <c r="F6454" s="446">
        <f>ROUNDDOWN(SUMIF(N6407:N6442,M6454,F6407:F6442),0)</f>
        <v>324197</v>
      </c>
      <c r="M6454" s="501" t="s">
        <v>2354</v>
      </c>
      <c r="Z6454" s="500"/>
      <c r="AA6454" s="500"/>
      <c r="AB6454" s="500"/>
      <c r="AC6454" s="500"/>
      <c r="AD6454" s="500"/>
      <c r="AE6454" s="500"/>
      <c r="AF6454" s="500"/>
      <c r="AG6454" s="500"/>
      <c r="AH6454" s="500"/>
      <c r="AI6454" s="500"/>
      <c r="AJ6454" s="500"/>
      <c r="AK6454" s="500"/>
      <c r="AL6454" s="500"/>
      <c r="AM6454" s="500"/>
      <c r="AN6454" s="500"/>
      <c r="AO6454" s="500"/>
      <c r="AP6454" s="500"/>
    </row>
    <row r="6455" spans="1:42" ht="16.5" customHeight="1">
      <c r="A6455" s="502"/>
      <c r="B6455" s="503" t="s">
        <v>2161</v>
      </c>
      <c r="C6455" s="615">
        <f>C6504</f>
        <v>360918</v>
      </c>
      <c r="D6455" s="615">
        <f>D6504</f>
        <v>0</v>
      </c>
      <c r="E6455" s="615">
        <f>E6504</f>
        <v>0</v>
      </c>
      <c r="F6455" s="615">
        <f>F6504</f>
        <v>360918</v>
      </c>
      <c r="G6455" s="486" t="str">
        <f>HYPERLINK("#G"&amp;ROW(G6492),"_x0005_`BDCOD|D01186_x0007_`POSS|"&amp;ROW(G6457)&amp;"_x0007_`POSE|"&amp;ROW(G6492)&amp;"_x0007_`")</f>
        <v>_x0005_`BDCOD|D01186_x0007_`POSS|6457_x0007_`POSE|6492_x0007_`</v>
      </c>
      <c r="Z6455" s="500"/>
      <c r="AA6455" s="500"/>
      <c r="AB6455" s="500"/>
      <c r="AC6455" s="500"/>
      <c r="AD6455" s="500"/>
      <c r="AE6455" s="500"/>
      <c r="AF6455" s="500"/>
      <c r="AG6455" s="500"/>
      <c r="AH6455" s="500"/>
      <c r="AI6455" s="500"/>
      <c r="AJ6455" s="500"/>
      <c r="AK6455" s="500"/>
      <c r="AL6455" s="500"/>
      <c r="AM6455" s="500"/>
      <c r="AN6455" s="500"/>
      <c r="AO6455" s="500"/>
      <c r="AP6455" s="500"/>
    </row>
    <row r="6456" spans="1:42" ht="16.5" customHeight="1">
      <c r="A6456" s="485"/>
      <c r="B6456" s="503" t="s">
        <v>4065</v>
      </c>
      <c r="C6456" s="593"/>
      <c r="D6456" s="593"/>
      <c r="E6456" s="593"/>
      <c r="F6456" s="593"/>
      <c r="M6456" s="501" t="s">
        <v>2161</v>
      </c>
      <c r="Z6456" s="500"/>
      <c r="AA6456" s="500"/>
      <c r="AB6456" s="500"/>
      <c r="AC6456" s="500"/>
      <c r="AD6456" s="500"/>
      <c r="AE6456" s="500"/>
      <c r="AF6456" s="500"/>
      <c r="AG6456" s="500"/>
      <c r="AH6456" s="500"/>
      <c r="AI6456" s="500"/>
      <c r="AJ6456" s="500"/>
      <c r="AK6456" s="500"/>
      <c r="AL6456" s="500"/>
      <c r="AM6456" s="500"/>
      <c r="AN6456" s="500"/>
      <c r="AO6456" s="500"/>
      <c r="AP6456" s="500"/>
    </row>
    <row r="6457" spans="1:42" ht="16.5" customHeight="1">
      <c r="A6457" s="434"/>
      <c r="B6457" s="437" t="s">
        <v>3980</v>
      </c>
      <c r="C6457" s="504"/>
      <c r="D6457" s="504"/>
      <c r="E6457" s="504"/>
      <c r="F6457" s="504"/>
      <c r="G6457" s="451" t="s">
        <v>3981</v>
      </c>
      <c r="Z6457" s="500"/>
      <c r="AA6457" s="500"/>
      <c r="AB6457" s="500"/>
      <c r="AC6457" s="500"/>
      <c r="AD6457" s="500"/>
      <c r="AE6457" s="500"/>
      <c r="AF6457" s="500"/>
      <c r="AG6457" s="500"/>
      <c r="AH6457" s="500"/>
      <c r="AI6457" s="500"/>
      <c r="AJ6457" s="500"/>
      <c r="AK6457" s="500"/>
      <c r="AL6457" s="500"/>
      <c r="AM6457" s="500"/>
      <c r="AN6457" s="500"/>
      <c r="AO6457" s="500"/>
      <c r="AP6457" s="500"/>
    </row>
    <row r="6458" spans="1:42" ht="16.5" customHeight="1">
      <c r="A6458" s="439"/>
      <c r="B6458" s="439"/>
      <c r="C6458" s="439"/>
      <c r="D6458" s="439"/>
      <c r="E6458" s="439"/>
      <c r="F6458" s="439"/>
      <c r="G6458" s="451" t="s">
        <v>3406</v>
      </c>
      <c r="Z6458" s="500"/>
      <c r="AA6458" s="500"/>
      <c r="AB6458" s="500"/>
      <c r="AC6458" s="500"/>
      <c r="AD6458" s="500"/>
      <c r="AE6458" s="500"/>
      <c r="AF6458" s="500"/>
      <c r="AG6458" s="500"/>
      <c r="AH6458" s="500"/>
      <c r="AI6458" s="500"/>
      <c r="AJ6458" s="500"/>
      <c r="AK6458" s="500"/>
      <c r="AL6458" s="500"/>
      <c r="AM6458" s="500"/>
      <c r="AN6458" s="500"/>
      <c r="AO6458" s="500"/>
      <c r="AP6458" s="500"/>
    </row>
    <row r="6459" spans="1:42" ht="16.5" customHeight="1">
      <c r="A6459" s="434"/>
      <c r="B6459" s="437" t="s">
        <v>4066</v>
      </c>
      <c r="C6459" s="439"/>
      <c r="D6459" s="439"/>
      <c r="E6459" s="439"/>
      <c r="F6459" s="439"/>
      <c r="G6459" s="451" t="s">
        <v>4067</v>
      </c>
      <c r="Z6459" s="500"/>
      <c r="AA6459" s="500"/>
      <c r="AB6459" s="500"/>
      <c r="AC6459" s="500"/>
      <c r="AD6459" s="500"/>
      <c r="AE6459" s="500"/>
      <c r="AF6459" s="500"/>
      <c r="AG6459" s="500"/>
      <c r="AH6459" s="500"/>
      <c r="AI6459" s="500"/>
      <c r="AJ6459" s="500"/>
      <c r="AK6459" s="500"/>
      <c r="AL6459" s="500"/>
      <c r="AM6459" s="500"/>
      <c r="AN6459" s="500"/>
      <c r="AO6459" s="500"/>
      <c r="AP6459" s="500"/>
    </row>
    <row r="6460" spans="1:42" ht="16.5" customHeight="1">
      <c r="A6460" s="439"/>
      <c r="B6460" s="439"/>
      <c r="C6460" s="439"/>
      <c r="D6460" s="439"/>
      <c r="E6460" s="439"/>
      <c r="F6460" s="439"/>
      <c r="G6460" s="451" t="s">
        <v>3406</v>
      </c>
      <c r="Z6460" s="500"/>
      <c r="AA6460" s="500"/>
      <c r="AB6460" s="500"/>
      <c r="AC6460" s="500"/>
      <c r="AD6460" s="500"/>
      <c r="AE6460" s="500"/>
      <c r="AF6460" s="500"/>
      <c r="AG6460" s="500"/>
      <c r="AH6460" s="500"/>
      <c r="AI6460" s="500"/>
      <c r="AJ6460" s="500"/>
      <c r="AK6460" s="500"/>
      <c r="AL6460" s="500"/>
      <c r="AM6460" s="500"/>
      <c r="AN6460" s="500"/>
      <c r="AO6460" s="500"/>
      <c r="AP6460" s="500"/>
    </row>
    <row r="6461" spans="1:42" ht="16.5" customHeight="1">
      <c r="A6461" s="439"/>
      <c r="B6461" s="439"/>
      <c r="C6461" s="439"/>
      <c r="D6461" s="439"/>
      <c r="E6461" s="439"/>
      <c r="F6461" s="439"/>
      <c r="G6461" s="451" t="s">
        <v>3406</v>
      </c>
      <c r="Z6461" s="500"/>
      <c r="AA6461" s="500"/>
      <c r="AB6461" s="500"/>
      <c r="AC6461" s="500"/>
      <c r="AD6461" s="500"/>
      <c r="AE6461" s="500"/>
      <c r="AF6461" s="500"/>
      <c r="AG6461" s="500"/>
      <c r="AH6461" s="500"/>
      <c r="AI6461" s="500"/>
      <c r="AJ6461" s="500"/>
      <c r="AK6461" s="500"/>
      <c r="AL6461" s="500"/>
      <c r="AM6461" s="500"/>
      <c r="AN6461" s="500"/>
      <c r="AO6461" s="500"/>
      <c r="AP6461" s="500"/>
    </row>
    <row r="6462" spans="1:42" ht="16.5" customHeight="1">
      <c r="A6462" s="434"/>
      <c r="B6462" s="437" t="s">
        <v>3984</v>
      </c>
      <c r="C6462" s="439"/>
      <c r="D6462" s="439"/>
      <c r="E6462" s="439"/>
      <c r="F6462" s="439"/>
      <c r="G6462" s="451" t="s">
        <v>3985</v>
      </c>
      <c r="Z6462" s="500"/>
      <c r="AA6462" s="500"/>
      <c r="AB6462" s="500"/>
      <c r="AC6462" s="500"/>
      <c r="AD6462" s="500"/>
      <c r="AE6462" s="500"/>
      <c r="AF6462" s="500"/>
      <c r="AG6462" s="500"/>
      <c r="AH6462" s="500"/>
      <c r="AI6462" s="500"/>
      <c r="AJ6462" s="500"/>
      <c r="AK6462" s="500"/>
      <c r="AL6462" s="500"/>
      <c r="AM6462" s="500"/>
      <c r="AN6462" s="500"/>
      <c r="AO6462" s="500"/>
      <c r="AP6462" s="500"/>
    </row>
    <row r="6463" spans="1:42" ht="16.5" customHeight="1">
      <c r="A6463" s="439"/>
      <c r="B6463" s="439"/>
      <c r="C6463" s="439"/>
      <c r="D6463" s="439"/>
      <c r="E6463" s="439"/>
      <c r="F6463" s="439"/>
      <c r="G6463" s="451" t="s">
        <v>3406</v>
      </c>
      <c r="Z6463" s="500"/>
      <c r="AA6463" s="500"/>
      <c r="AB6463" s="500"/>
      <c r="AC6463" s="500"/>
      <c r="AD6463" s="500"/>
      <c r="AE6463" s="500"/>
      <c r="AF6463" s="500"/>
      <c r="AG6463" s="500"/>
      <c r="AH6463" s="500"/>
      <c r="AI6463" s="500"/>
      <c r="AJ6463" s="500"/>
      <c r="AK6463" s="500"/>
      <c r="AL6463" s="500"/>
      <c r="AM6463" s="500"/>
      <c r="AN6463" s="500"/>
      <c r="AO6463" s="500"/>
      <c r="AP6463" s="500"/>
    </row>
    <row r="6464" spans="1:42" ht="16.5" customHeight="1">
      <c r="A6464" s="439"/>
      <c r="B6464" s="439"/>
      <c r="C6464" s="439"/>
      <c r="D6464" s="439"/>
      <c r="E6464" s="439"/>
      <c r="F6464" s="439"/>
      <c r="G6464" s="451" t="s">
        <v>3406</v>
      </c>
      <c r="Z6464" s="500"/>
      <c r="AA6464" s="500"/>
      <c r="AB6464" s="500"/>
      <c r="AC6464" s="500"/>
      <c r="AD6464" s="500"/>
      <c r="AE6464" s="500"/>
      <c r="AF6464" s="500"/>
      <c r="AG6464" s="500"/>
      <c r="AH6464" s="500"/>
      <c r="AI6464" s="500"/>
      <c r="AJ6464" s="500"/>
      <c r="AK6464" s="500"/>
      <c r="AL6464" s="500"/>
      <c r="AM6464" s="500"/>
      <c r="AN6464" s="500"/>
      <c r="AO6464" s="500"/>
      <c r="AP6464" s="500"/>
    </row>
    <row r="6465" spans="1:42" ht="16.5" customHeight="1">
      <c r="A6465" s="434"/>
      <c r="B6465" s="437" t="s">
        <v>3986</v>
      </c>
      <c r="C6465" s="439"/>
      <c r="D6465" s="439"/>
      <c r="E6465" s="439"/>
      <c r="F6465" s="439"/>
      <c r="G6465" s="451" t="s">
        <v>3987</v>
      </c>
      <c r="Z6465" s="500"/>
      <c r="AA6465" s="500"/>
      <c r="AB6465" s="500"/>
      <c r="AC6465" s="500"/>
      <c r="AD6465" s="500"/>
      <c r="AE6465" s="500"/>
      <c r="AF6465" s="500"/>
      <c r="AG6465" s="500"/>
      <c r="AH6465" s="500"/>
      <c r="AI6465" s="500"/>
      <c r="AJ6465" s="500"/>
      <c r="AK6465" s="500"/>
      <c r="AL6465" s="500"/>
      <c r="AM6465" s="500"/>
      <c r="AN6465" s="500"/>
      <c r="AO6465" s="500"/>
      <c r="AP6465" s="500"/>
    </row>
    <row r="6466" spans="1:42" ht="16.5" customHeight="1">
      <c r="A6466" s="439"/>
      <c r="B6466" s="439"/>
      <c r="C6466" s="439"/>
      <c r="D6466" s="439"/>
      <c r="E6466" s="439"/>
      <c r="F6466" s="439"/>
      <c r="G6466" s="451" t="s">
        <v>3406</v>
      </c>
      <c r="Z6466" s="500"/>
      <c r="AA6466" s="500"/>
      <c r="AB6466" s="500"/>
      <c r="AC6466" s="500"/>
      <c r="AD6466" s="500"/>
      <c r="AE6466" s="500"/>
      <c r="AF6466" s="500"/>
      <c r="AG6466" s="500"/>
      <c r="AH6466" s="500"/>
      <c r="AI6466" s="500"/>
      <c r="AJ6466" s="500"/>
      <c r="AK6466" s="500"/>
      <c r="AL6466" s="500"/>
      <c r="AM6466" s="500"/>
      <c r="AN6466" s="500"/>
      <c r="AO6466" s="500"/>
      <c r="AP6466" s="500"/>
    </row>
    <row r="6467" spans="1:42" ht="16.5" customHeight="1">
      <c r="A6467" s="439"/>
      <c r="B6467" s="439"/>
      <c r="C6467" s="439"/>
      <c r="D6467" s="439"/>
      <c r="E6467" s="439"/>
      <c r="F6467" s="439"/>
      <c r="G6467" s="451" t="s">
        <v>3406</v>
      </c>
      <c r="Z6467" s="500"/>
      <c r="AA6467" s="500"/>
      <c r="AB6467" s="500"/>
      <c r="AC6467" s="500"/>
      <c r="AD6467" s="500"/>
      <c r="AE6467" s="500"/>
      <c r="AF6467" s="500"/>
      <c r="AG6467" s="500"/>
      <c r="AH6467" s="500"/>
      <c r="AI6467" s="500"/>
      <c r="AJ6467" s="500"/>
      <c r="AK6467" s="500"/>
      <c r="AL6467" s="500"/>
      <c r="AM6467" s="500"/>
      <c r="AN6467" s="500"/>
      <c r="AO6467" s="500"/>
      <c r="AP6467" s="500"/>
    </row>
    <row r="6468" spans="1:42" ht="16.5" customHeight="1">
      <c r="A6468" s="434"/>
      <c r="B6468" s="437" t="str">
        <f>" L = "&amp;Z6468&amp;" , V = "&amp;AD6468&amp;" , t = "&amp;AH6468&amp;"  , T = "&amp;AL6468&amp;"-"&amp;AN6468&amp;""</f>
        <v xml:space="preserve"> L = 450 , V = 2500 , t = 2  , T = 480-30</v>
      </c>
      <c r="C6468" s="439"/>
      <c r="D6468" s="439"/>
      <c r="E6468" s="439"/>
      <c r="F6468" s="439"/>
      <c r="G6468" s="451" t="s">
        <v>4068</v>
      </c>
      <c r="Z6468" s="515">
        <v>450</v>
      </c>
      <c r="AA6468" s="501" t="s">
        <v>3418</v>
      </c>
      <c r="AB6468" s="512">
        <f>Z6468</f>
        <v>450</v>
      </c>
      <c r="AC6468" s="514" t="s">
        <v>3427</v>
      </c>
      <c r="AD6468" s="515">
        <v>2500</v>
      </c>
      <c r="AE6468" s="501" t="s">
        <v>3418</v>
      </c>
      <c r="AF6468" s="512">
        <f>AD6468</f>
        <v>2500</v>
      </c>
      <c r="AG6468" s="514" t="s">
        <v>3427</v>
      </c>
      <c r="AH6468" s="515">
        <v>2</v>
      </c>
      <c r="AI6468" s="501" t="s">
        <v>3418</v>
      </c>
      <c r="AJ6468" s="512">
        <f>AH6468</f>
        <v>2</v>
      </c>
      <c r="AK6468" s="514" t="s">
        <v>3427</v>
      </c>
      <c r="AL6468" s="515">
        <v>480</v>
      </c>
      <c r="AM6468" s="501" t="s">
        <v>3474</v>
      </c>
      <c r="AN6468" s="515">
        <v>30</v>
      </c>
      <c r="AO6468" s="501" t="s">
        <v>3418</v>
      </c>
      <c r="AP6468" s="512">
        <f>AL6468-AN6468</f>
        <v>450</v>
      </c>
    </row>
    <row r="6469" spans="1:42" ht="16.5" customHeight="1">
      <c r="A6469" s="439"/>
      <c r="B6469" s="439"/>
      <c r="C6469" s="439"/>
      <c r="D6469" s="439"/>
      <c r="E6469" s="439"/>
      <c r="F6469" s="439"/>
      <c r="G6469" s="451" t="s">
        <v>3406</v>
      </c>
      <c r="Z6469" s="500"/>
      <c r="AA6469" s="500"/>
      <c r="AB6469" s="500"/>
      <c r="AC6469" s="500"/>
      <c r="AD6469" s="500"/>
      <c r="AE6469" s="500"/>
      <c r="AF6469" s="500"/>
      <c r="AG6469" s="500"/>
      <c r="AH6469" s="500"/>
      <c r="AI6469" s="500"/>
      <c r="AJ6469" s="500"/>
      <c r="AK6469" s="500"/>
      <c r="AL6469" s="500"/>
      <c r="AM6469" s="500"/>
      <c r="AN6469" s="500"/>
      <c r="AO6469" s="500"/>
      <c r="AP6469" s="500"/>
    </row>
    <row r="6470" spans="1:42" ht="16.5" customHeight="1">
      <c r="A6470" s="439"/>
      <c r="B6470" s="439"/>
      <c r="C6470" s="439"/>
      <c r="D6470" s="439"/>
      <c r="E6470" s="439"/>
      <c r="F6470" s="439"/>
      <c r="G6470" s="451" t="s">
        <v>3406</v>
      </c>
      <c r="Z6470" s="500"/>
      <c r="AA6470" s="500"/>
      <c r="AB6470" s="500"/>
      <c r="AC6470" s="500"/>
      <c r="AD6470" s="500"/>
      <c r="AE6470" s="500"/>
      <c r="AF6470" s="500"/>
      <c r="AG6470" s="500"/>
      <c r="AH6470" s="500"/>
      <c r="AI6470" s="500"/>
      <c r="AJ6470" s="500"/>
      <c r="AK6470" s="500"/>
      <c r="AL6470" s="500"/>
      <c r="AM6470" s="500"/>
      <c r="AN6470" s="500"/>
      <c r="AO6470" s="500"/>
      <c r="AP6470" s="500"/>
    </row>
    <row r="6471" spans="1:42" ht="16.5" customHeight="1">
      <c r="A6471" s="439"/>
      <c r="B6471" s="439"/>
      <c r="C6471" s="439"/>
      <c r="D6471" s="439"/>
      <c r="E6471" s="439"/>
      <c r="F6471" s="439"/>
      <c r="G6471" s="451" t="s">
        <v>3406</v>
      </c>
      <c r="Z6471" s="500"/>
      <c r="AA6471" s="500"/>
      <c r="AB6471" s="500"/>
      <c r="AC6471" s="500"/>
      <c r="AD6471" s="500"/>
      <c r="AE6471" s="500"/>
      <c r="AF6471" s="500"/>
      <c r="AG6471" s="500"/>
      <c r="AH6471" s="500"/>
      <c r="AI6471" s="500"/>
      <c r="AJ6471" s="500"/>
      <c r="AK6471" s="500"/>
      <c r="AL6471" s="500"/>
      <c r="AM6471" s="500"/>
      <c r="AN6471" s="500"/>
      <c r="AO6471" s="500"/>
      <c r="AP6471" s="500"/>
    </row>
    <row r="6472" spans="1:42" ht="16.5" customHeight="1">
      <c r="A6472" s="434"/>
      <c r="B6472" s="437" t="str">
        <f>" N = V*T /( "&amp;AD6472&amp;"*L+V*"&amp;AJ6472&amp;" ) = "&amp;AM6472&amp;" 회/일 "</f>
        <v xml:space="preserve"> N = V*T /( 120*L+V*2 ) = 19.07 회/일 </v>
      </c>
      <c r="C6472" s="439"/>
      <c r="D6472" s="439"/>
      <c r="E6472" s="439"/>
      <c r="F6472" s="439"/>
      <c r="G6472" s="451" t="s">
        <v>3989</v>
      </c>
      <c r="Z6472" s="512">
        <f>AF6468</f>
        <v>2500</v>
      </c>
      <c r="AA6472" s="501" t="s">
        <v>3368</v>
      </c>
      <c r="AB6472" s="512">
        <f>AP6468</f>
        <v>450</v>
      </c>
      <c r="AC6472" s="501" t="s">
        <v>3463</v>
      </c>
      <c r="AD6472" s="515">
        <v>120</v>
      </c>
      <c r="AE6472" s="501" t="s">
        <v>3368</v>
      </c>
      <c r="AF6472" s="512">
        <f>AB6468</f>
        <v>450</v>
      </c>
      <c r="AG6472" s="501" t="s">
        <v>3468</v>
      </c>
      <c r="AH6472" s="512">
        <f>AF6468</f>
        <v>2500</v>
      </c>
      <c r="AI6472" s="501" t="s">
        <v>3368</v>
      </c>
      <c r="AJ6472" s="515">
        <v>2</v>
      </c>
      <c r="AK6472" s="501" t="s">
        <v>3464</v>
      </c>
      <c r="AL6472" s="501" t="s">
        <v>3418</v>
      </c>
      <c r="AM6472" s="512" t="str">
        <f>TEXT(ROUND(AF6468*AP6468/(AD6472*AB6468+AF6468*AJ6472),2),"#,0.00")</f>
        <v>19.07</v>
      </c>
      <c r="AN6472" s="500"/>
      <c r="AO6472" s="500"/>
      <c r="AP6472" s="500"/>
    </row>
    <row r="6473" spans="1:42" ht="16.5" customHeight="1">
      <c r="A6473" s="439"/>
      <c r="B6473" s="439"/>
      <c r="C6473" s="439"/>
      <c r="D6473" s="439"/>
      <c r="E6473" s="439"/>
      <c r="F6473" s="439"/>
      <c r="G6473" s="451" t="s">
        <v>3406</v>
      </c>
      <c r="Z6473" s="500"/>
      <c r="AA6473" s="500"/>
      <c r="AB6473" s="500"/>
      <c r="AC6473" s="500"/>
      <c r="AD6473" s="500"/>
      <c r="AE6473" s="500"/>
      <c r="AF6473" s="500"/>
      <c r="AG6473" s="500"/>
      <c r="AH6473" s="500"/>
      <c r="AI6473" s="500"/>
      <c r="AJ6473" s="500"/>
      <c r="AK6473" s="500"/>
      <c r="AL6473" s="500"/>
      <c r="AM6473" s="500"/>
      <c r="AN6473" s="500"/>
      <c r="AO6473" s="500"/>
      <c r="AP6473" s="500"/>
    </row>
    <row r="6474" spans="1:42" ht="16.5" customHeight="1">
      <c r="A6474" s="439"/>
      <c r="B6474" s="439"/>
      <c r="C6474" s="439"/>
      <c r="D6474" s="439"/>
      <c r="E6474" s="439"/>
      <c r="F6474" s="439"/>
      <c r="G6474" s="451" t="s">
        <v>3406</v>
      </c>
      <c r="Z6474" s="500"/>
      <c r="AA6474" s="500"/>
      <c r="AB6474" s="500"/>
      <c r="AC6474" s="500"/>
      <c r="AD6474" s="500"/>
      <c r="AE6474" s="500"/>
      <c r="AF6474" s="500"/>
      <c r="AG6474" s="500"/>
      <c r="AH6474" s="500"/>
      <c r="AI6474" s="500"/>
      <c r="AJ6474" s="500"/>
      <c r="AK6474" s="500"/>
      <c r="AL6474" s="500"/>
      <c r="AM6474" s="500"/>
      <c r="AN6474" s="500"/>
      <c r="AO6474" s="500"/>
      <c r="AP6474" s="500"/>
    </row>
    <row r="6475" spans="1:42" ht="16.5" customHeight="1">
      <c r="A6475" s="439"/>
      <c r="B6475" s="439"/>
      <c r="C6475" s="439"/>
      <c r="D6475" s="439"/>
      <c r="E6475" s="439"/>
      <c r="F6475" s="439"/>
      <c r="G6475" s="451" t="s">
        <v>3406</v>
      </c>
      <c r="Z6475" s="500"/>
      <c r="AA6475" s="500"/>
      <c r="AB6475" s="500"/>
      <c r="AC6475" s="500"/>
      <c r="AD6475" s="500"/>
      <c r="AE6475" s="500"/>
      <c r="AF6475" s="500"/>
      <c r="AG6475" s="500"/>
      <c r="AH6475" s="500"/>
      <c r="AI6475" s="500"/>
      <c r="AJ6475" s="500"/>
      <c r="AK6475" s="500"/>
      <c r="AL6475" s="500"/>
      <c r="AM6475" s="500"/>
      <c r="AN6475" s="500"/>
      <c r="AO6475" s="500"/>
      <c r="AP6475" s="500"/>
    </row>
    <row r="6476" spans="1:42" ht="16.5" customHeight="1">
      <c r="A6476" s="434"/>
      <c r="B6476" s="437" t="str">
        <f>" Q = N*"&amp;AB6476&amp;" ㎏ = "&amp;AD6476&amp;"  kg/일 "</f>
        <v xml:space="preserve"> Q = N*25 ㎏ = 476.75  kg/일 </v>
      </c>
      <c r="C6476" s="439"/>
      <c r="D6476" s="439"/>
      <c r="E6476" s="439"/>
      <c r="F6476" s="439"/>
      <c r="G6476" s="451" t="s">
        <v>3990</v>
      </c>
      <c r="Z6476" s="512" t="str">
        <f>AM6472</f>
        <v>19.07</v>
      </c>
      <c r="AA6476" s="501" t="s">
        <v>3368</v>
      </c>
      <c r="AB6476" s="515">
        <v>25</v>
      </c>
      <c r="AC6476" s="501" t="s">
        <v>3418</v>
      </c>
      <c r="AD6476" s="512" t="str">
        <f>TEXT(ROUND(AM6472*AB6476,2),"#,0.00")</f>
        <v>476.75</v>
      </c>
      <c r="AE6476" s="500"/>
      <c r="AF6476" s="500"/>
      <c r="AG6476" s="500"/>
      <c r="AH6476" s="500"/>
      <c r="AI6476" s="500"/>
      <c r="AJ6476" s="500"/>
      <c r="AK6476" s="500"/>
      <c r="AL6476" s="500"/>
      <c r="AM6476" s="500"/>
      <c r="AN6476" s="500"/>
      <c r="AO6476" s="500"/>
      <c r="AP6476" s="500"/>
    </row>
    <row r="6477" spans="1:42" ht="16.5" customHeight="1">
      <c r="A6477" s="439"/>
      <c r="B6477" s="439"/>
      <c r="C6477" s="439"/>
      <c r="D6477" s="439"/>
      <c r="E6477" s="439"/>
      <c r="F6477" s="439"/>
      <c r="G6477" s="451" t="s">
        <v>3406</v>
      </c>
      <c r="Z6477" s="500"/>
      <c r="AA6477" s="500"/>
      <c r="AB6477" s="500"/>
      <c r="AC6477" s="500"/>
      <c r="AD6477" s="500"/>
      <c r="AE6477" s="500"/>
      <c r="AF6477" s="500"/>
      <c r="AG6477" s="500"/>
      <c r="AH6477" s="500"/>
      <c r="AI6477" s="500"/>
      <c r="AJ6477" s="500"/>
      <c r="AK6477" s="500"/>
      <c r="AL6477" s="500"/>
      <c r="AM6477" s="500"/>
      <c r="AN6477" s="500"/>
      <c r="AO6477" s="500"/>
      <c r="AP6477" s="500"/>
    </row>
    <row r="6478" spans="1:42" ht="16.5" customHeight="1">
      <c r="A6478" s="439"/>
      <c r="B6478" s="439"/>
      <c r="C6478" s="439"/>
      <c r="D6478" s="439"/>
      <c r="E6478" s="439"/>
      <c r="F6478" s="439"/>
      <c r="G6478" s="451" t="s">
        <v>3406</v>
      </c>
      <c r="Z6478" s="500"/>
      <c r="AA6478" s="500"/>
      <c r="AB6478" s="500"/>
      <c r="AC6478" s="500"/>
      <c r="AD6478" s="500"/>
      <c r="AE6478" s="500"/>
      <c r="AF6478" s="500"/>
      <c r="AG6478" s="500"/>
      <c r="AH6478" s="500"/>
      <c r="AI6478" s="500"/>
      <c r="AJ6478" s="500"/>
      <c r="AK6478" s="500"/>
      <c r="AL6478" s="500"/>
      <c r="AM6478" s="500"/>
      <c r="AN6478" s="500"/>
      <c r="AO6478" s="500"/>
      <c r="AP6478" s="500"/>
    </row>
    <row r="6479" spans="1:42" ht="16.5" customHeight="1">
      <c r="A6479" s="439"/>
      <c r="B6479" s="439"/>
      <c r="C6479" s="439"/>
      <c r="D6479" s="439"/>
      <c r="E6479" s="439"/>
      <c r="F6479" s="439"/>
      <c r="G6479" s="451" t="s">
        <v>3406</v>
      </c>
      <c r="Z6479" s="500"/>
      <c r="AA6479" s="500"/>
      <c r="AB6479" s="500"/>
      <c r="AC6479" s="500"/>
      <c r="AD6479" s="500"/>
      <c r="AE6479" s="500"/>
      <c r="AF6479" s="500"/>
      <c r="AG6479" s="500"/>
      <c r="AH6479" s="500"/>
      <c r="AI6479" s="500"/>
      <c r="AJ6479" s="500"/>
      <c r="AK6479" s="500"/>
      <c r="AL6479" s="500"/>
      <c r="AM6479" s="500"/>
      <c r="AN6479" s="500"/>
      <c r="AO6479" s="500"/>
      <c r="AP6479" s="500"/>
    </row>
    <row r="6480" spans="1:42" ht="16.5" customHeight="1">
      <c r="A6480" s="434"/>
      <c r="B6480" s="437" t="str">
        <f>" k = "&amp;Z6480&amp;" kg /Q"</f>
        <v xml:space="preserve"> k = 1000 kg /Q</v>
      </c>
      <c r="C6480" s="439"/>
      <c r="D6480" s="439"/>
      <c r="E6480" s="439"/>
      <c r="F6480" s="439"/>
      <c r="G6480" s="451" t="s">
        <v>3991</v>
      </c>
      <c r="Z6480" s="515">
        <v>1000</v>
      </c>
      <c r="AA6480" s="501" t="s">
        <v>3428</v>
      </c>
      <c r="AB6480" s="512" t="str">
        <f>AD6476</f>
        <v>476.75</v>
      </c>
      <c r="AC6480" s="501" t="s">
        <v>3418</v>
      </c>
      <c r="AD6480" s="512">
        <f>ROUND(Z6480/AD6476,13)</f>
        <v>2.0975353959098002</v>
      </c>
      <c r="AE6480" s="500"/>
      <c r="AF6480" s="500"/>
      <c r="AG6480" s="500"/>
      <c r="AH6480" s="500"/>
      <c r="AI6480" s="500"/>
      <c r="AJ6480" s="500"/>
      <c r="AK6480" s="500"/>
      <c r="AL6480" s="500"/>
      <c r="AM6480" s="500"/>
      <c r="AN6480" s="500"/>
      <c r="AO6480" s="500"/>
      <c r="AP6480" s="500"/>
    </row>
    <row r="6481" spans="1:42" ht="16.5" customHeight="1">
      <c r="A6481" s="439"/>
      <c r="B6481" s="439"/>
      <c r="C6481" s="439"/>
      <c r="D6481" s="439"/>
      <c r="E6481" s="439"/>
      <c r="F6481" s="439"/>
      <c r="G6481" s="451" t="s">
        <v>3406</v>
      </c>
      <c r="Z6481" s="500"/>
      <c r="AA6481" s="500"/>
      <c r="AB6481" s="500"/>
      <c r="AC6481" s="500"/>
      <c r="AD6481" s="500"/>
      <c r="AE6481" s="500"/>
      <c r="AF6481" s="500"/>
      <c r="AG6481" s="500"/>
      <c r="AH6481" s="500"/>
      <c r="AI6481" s="500"/>
      <c r="AJ6481" s="500"/>
      <c r="AK6481" s="500"/>
      <c r="AL6481" s="500"/>
      <c r="AM6481" s="500"/>
      <c r="AN6481" s="500"/>
      <c r="AO6481" s="500"/>
      <c r="AP6481" s="500"/>
    </row>
    <row r="6482" spans="1:42" ht="16.5" customHeight="1">
      <c r="A6482" s="439"/>
      <c r="B6482" s="439"/>
      <c r="C6482" s="439"/>
      <c r="D6482" s="439"/>
      <c r="E6482" s="439"/>
      <c r="F6482" s="439"/>
      <c r="G6482" s="451" t="s">
        <v>3406</v>
      </c>
      <c r="Z6482" s="500"/>
      <c r="AA6482" s="500"/>
      <c r="AB6482" s="500"/>
      <c r="AC6482" s="500"/>
      <c r="AD6482" s="500"/>
      <c r="AE6482" s="500"/>
      <c r="AF6482" s="500"/>
      <c r="AG6482" s="500"/>
      <c r="AH6482" s="500"/>
      <c r="AI6482" s="500"/>
      <c r="AJ6482" s="500"/>
      <c r="AK6482" s="500"/>
      <c r="AL6482" s="500"/>
      <c r="AM6482" s="500"/>
      <c r="AN6482" s="500"/>
      <c r="AO6482" s="500"/>
      <c r="AP6482" s="500"/>
    </row>
    <row r="6483" spans="1:42" ht="16.5" customHeight="1">
      <c r="A6483" s="439"/>
      <c r="B6483" s="439"/>
      <c r="C6483" s="439"/>
      <c r="D6483" s="439"/>
      <c r="E6483" s="439"/>
      <c r="F6483" s="439"/>
      <c r="G6483" s="451" t="s">
        <v>3406</v>
      </c>
      <c r="Z6483" s="500"/>
      <c r="AA6483" s="500"/>
      <c r="AB6483" s="500"/>
      <c r="AC6483" s="500"/>
      <c r="AD6483" s="500"/>
      <c r="AE6483" s="500"/>
      <c r="AF6483" s="500"/>
      <c r="AG6483" s="500"/>
      <c r="AH6483" s="500"/>
      <c r="AI6483" s="500"/>
      <c r="AJ6483" s="500"/>
      <c r="AK6483" s="500"/>
      <c r="AL6483" s="500"/>
      <c r="AM6483" s="500"/>
      <c r="AN6483" s="500"/>
      <c r="AO6483" s="500"/>
      <c r="AP6483" s="500"/>
    </row>
    <row r="6484" spans="1:42" ht="16.5" customHeight="1">
      <c r="A6484" s="434" t="s">
        <v>3992</v>
      </c>
      <c r="B6484" s="505" t="str">
        <f>" 인    부: "&amp;TEXT(I6484,"#,##0"&amp;IF(I6484&lt;&gt;INT(I6484),".###",""))&amp;"*k = "&amp;TEXT(C6484,"#,##0.0")&amp;" 원 "</f>
        <v xml:space="preserve"> 인    부: 172,068*k = 360,918.7 원 </v>
      </c>
      <c r="C6484" s="506">
        <f>E6484+D6484+F6484</f>
        <v>360918.7</v>
      </c>
      <c r="D6484" s="506">
        <f>IF(H6484=0,0,ROUNDDOWN(J6484*H6484,1))</f>
        <v>360918.7</v>
      </c>
      <c r="E6484" s="506">
        <f>IF(H6484=0,0,ROUNDDOWN(K6484*H6484,1))</f>
        <v>0</v>
      </c>
      <c r="F6484" s="506">
        <f>IF(H6484=0,0,ROUNDDOWN(L6484*H6484,1))</f>
        <v>0</v>
      </c>
      <c r="G6484" s="451" t="s">
        <v>3993</v>
      </c>
      <c r="H6484" s="507">
        <f>ROUNDUP(AC6484,14-LEN(ABS(INT(AC6484))))</f>
        <v>2.0975353959098002</v>
      </c>
      <c r="I6484" s="508">
        <f>K6484+J6484+L6484</f>
        <v>172068</v>
      </c>
      <c r="J6484" s="509">
        <f>노무비목록표!E10</f>
        <v>172068</v>
      </c>
      <c r="M6484" s="501" t="s">
        <v>2363</v>
      </c>
      <c r="N6484" s="501" t="s">
        <v>3994</v>
      </c>
      <c r="X6484" s="510" t="str">
        <f>노무비목록표!B10&amp;" / "&amp;노무비목록표!C10</f>
        <v xml:space="preserve">보통인부 / </v>
      </c>
      <c r="Y6484" s="433" t="str">
        <f ca="1">HYPERLINK("#"&amp;노무비목록표!G2&amp;"!A"&amp;ROW(노무비목록표!A10),"L00017 →")</f>
        <v>L00017 →</v>
      </c>
      <c r="Z6484" s="501" t="s">
        <v>3500</v>
      </c>
      <c r="AA6484" s="512">
        <f>AD6480</f>
        <v>2.0975353959098002</v>
      </c>
      <c r="AB6484" s="501" t="s">
        <v>3418</v>
      </c>
      <c r="AC6484" s="512">
        <f>1*AD6480</f>
        <v>2.0975353959098002</v>
      </c>
      <c r="AD6484" s="500"/>
      <c r="AE6484" s="500"/>
      <c r="AF6484" s="500"/>
      <c r="AG6484" s="500"/>
      <c r="AH6484" s="500"/>
      <c r="AI6484" s="500"/>
      <c r="AJ6484" s="500"/>
      <c r="AK6484" s="500"/>
      <c r="AL6484" s="500"/>
      <c r="AM6484" s="500"/>
      <c r="AN6484" s="500"/>
      <c r="AO6484" s="500"/>
      <c r="AP6484" s="500"/>
    </row>
    <row r="6485" spans="1:42" ht="16.5" customHeight="1">
      <c r="A6485" s="439"/>
      <c r="B6485" s="439"/>
      <c r="C6485" s="439"/>
      <c r="D6485" s="439"/>
      <c r="E6485" s="439"/>
      <c r="F6485" s="439"/>
      <c r="G6485" s="451" t="s">
        <v>3406</v>
      </c>
      <c r="Z6485" s="500"/>
      <c r="AA6485" s="500"/>
      <c r="AB6485" s="500"/>
      <c r="AC6485" s="500"/>
      <c r="AD6485" s="500"/>
      <c r="AE6485" s="500"/>
      <c r="AF6485" s="500"/>
      <c r="AG6485" s="500"/>
      <c r="AH6485" s="500"/>
      <c r="AI6485" s="500"/>
      <c r="AJ6485" s="500"/>
      <c r="AK6485" s="500"/>
      <c r="AL6485" s="500"/>
      <c r="AM6485" s="500"/>
      <c r="AN6485" s="500"/>
      <c r="AO6485" s="500"/>
      <c r="AP6485" s="500"/>
    </row>
    <row r="6486" spans="1:42" ht="16.5" customHeight="1">
      <c r="A6486" s="439"/>
      <c r="B6486" s="439"/>
      <c r="C6486" s="439"/>
      <c r="D6486" s="439"/>
      <c r="E6486" s="439"/>
      <c r="F6486" s="439"/>
      <c r="G6486" s="451" t="s">
        <v>3406</v>
      </c>
      <c r="Z6486" s="500"/>
      <c r="AA6486" s="500"/>
      <c r="AB6486" s="500"/>
      <c r="AC6486" s="500"/>
      <c r="AD6486" s="500"/>
      <c r="AE6486" s="500"/>
      <c r="AF6486" s="500"/>
      <c r="AG6486" s="500"/>
      <c r="AH6486" s="500"/>
      <c r="AI6486" s="500"/>
      <c r="AJ6486" s="500"/>
      <c r="AK6486" s="500"/>
      <c r="AL6486" s="500"/>
      <c r="AM6486" s="500"/>
      <c r="AN6486" s="500"/>
      <c r="AO6486" s="500"/>
      <c r="AP6486" s="500"/>
    </row>
    <row r="6487" spans="1:42" ht="16.5" customHeight="1">
      <c r="A6487" s="439"/>
      <c r="B6487" s="439"/>
      <c r="C6487" s="439"/>
      <c r="D6487" s="439"/>
      <c r="E6487" s="439"/>
      <c r="F6487" s="439"/>
      <c r="G6487" s="451" t="s">
        <v>3406</v>
      </c>
      <c r="Z6487" s="500"/>
      <c r="AA6487" s="500"/>
      <c r="AB6487" s="500"/>
      <c r="AC6487" s="500"/>
      <c r="AD6487" s="500"/>
      <c r="AE6487" s="500"/>
      <c r="AF6487" s="500"/>
      <c r="AG6487" s="500"/>
      <c r="AH6487" s="500"/>
      <c r="AI6487" s="500"/>
      <c r="AJ6487" s="500"/>
      <c r="AK6487" s="500"/>
      <c r="AL6487" s="500"/>
      <c r="AM6487" s="500"/>
      <c r="AN6487" s="500"/>
      <c r="AO6487" s="500"/>
      <c r="AP6487" s="500"/>
    </row>
    <row r="6488" spans="1:42" ht="16.5" customHeight="1">
      <c r="A6488" s="439"/>
      <c r="B6488" s="439"/>
      <c r="C6488" s="439"/>
      <c r="D6488" s="439"/>
      <c r="E6488" s="439"/>
      <c r="F6488" s="439"/>
      <c r="G6488" s="451" t="s">
        <v>3406</v>
      </c>
      <c r="Z6488" s="500"/>
      <c r="AA6488" s="500"/>
      <c r="AB6488" s="500"/>
      <c r="AC6488" s="500"/>
      <c r="AD6488" s="500"/>
      <c r="AE6488" s="500"/>
      <c r="AF6488" s="500"/>
      <c r="AG6488" s="500"/>
      <c r="AH6488" s="500"/>
      <c r="AI6488" s="500"/>
      <c r="AJ6488" s="500"/>
      <c r="AK6488" s="500"/>
      <c r="AL6488" s="500"/>
      <c r="AM6488" s="500"/>
      <c r="AN6488" s="500"/>
      <c r="AO6488" s="500"/>
      <c r="AP6488" s="500"/>
    </row>
    <row r="6489" spans="1:42" ht="16.5" customHeight="1">
      <c r="A6489" s="434"/>
      <c r="B6489" s="437" t="s">
        <v>3995</v>
      </c>
      <c r="C6489" s="516">
        <f>E6489+D6489+F6489</f>
        <v>360918.7</v>
      </c>
      <c r="D6489" s="516">
        <f>SUMIF(N6457:N6488,M6489,D6457:D6488)</f>
        <v>360918.7</v>
      </c>
      <c r="E6489" s="516">
        <f>SUMIF(N6457:N6488,M6489,E6457:E6488)</f>
        <v>0</v>
      </c>
      <c r="F6489" s="516">
        <f>SUMIF(N6457:N6488,M6489,F6457:F6488)</f>
        <v>0</v>
      </c>
      <c r="G6489" s="451" t="s">
        <v>3996</v>
      </c>
      <c r="M6489" s="501" t="s">
        <v>3994</v>
      </c>
      <c r="Z6489" s="500"/>
      <c r="AA6489" s="500"/>
      <c r="AB6489" s="500"/>
      <c r="AC6489" s="500"/>
      <c r="AD6489" s="500"/>
      <c r="AE6489" s="500"/>
      <c r="AF6489" s="500"/>
      <c r="AG6489" s="500"/>
      <c r="AH6489" s="500"/>
      <c r="AI6489" s="500"/>
      <c r="AJ6489" s="500"/>
      <c r="AK6489" s="500"/>
      <c r="AL6489" s="500"/>
      <c r="AM6489" s="500"/>
      <c r="AN6489" s="500"/>
      <c r="AO6489" s="500"/>
      <c r="AP6489" s="500"/>
    </row>
    <row r="6490" spans="1:42" ht="16.5" customHeight="1">
      <c r="A6490" s="439"/>
      <c r="B6490" s="439"/>
      <c r="C6490" s="517"/>
      <c r="D6490" s="517"/>
      <c r="E6490" s="517"/>
      <c r="F6490" s="517"/>
      <c r="G6490" s="451" t="s">
        <v>3406</v>
      </c>
      <c r="Z6490" s="500"/>
      <c r="AA6490" s="500"/>
      <c r="AB6490" s="500"/>
      <c r="AC6490" s="500"/>
      <c r="AD6490" s="500"/>
      <c r="AE6490" s="500"/>
      <c r="AF6490" s="500"/>
      <c r="AG6490" s="500"/>
      <c r="AH6490" s="500"/>
      <c r="AI6490" s="500"/>
      <c r="AJ6490" s="500"/>
      <c r="AK6490" s="500"/>
      <c r="AL6490" s="500"/>
      <c r="AM6490" s="500"/>
      <c r="AN6490" s="500"/>
      <c r="AO6490" s="500"/>
      <c r="AP6490" s="500"/>
    </row>
    <row r="6491" spans="1:42" ht="16.5" customHeight="1">
      <c r="A6491" s="439"/>
      <c r="B6491" s="439"/>
      <c r="C6491" s="439"/>
      <c r="D6491" s="439"/>
      <c r="E6491" s="439"/>
      <c r="F6491" s="439"/>
      <c r="G6491" s="451" t="s">
        <v>3406</v>
      </c>
      <c r="Z6491" s="500"/>
      <c r="AA6491" s="500"/>
      <c r="AB6491" s="500"/>
      <c r="AC6491" s="500"/>
      <c r="AD6491" s="500"/>
      <c r="AE6491" s="500"/>
      <c r="AF6491" s="500"/>
      <c r="AG6491" s="500"/>
      <c r="AH6491" s="500"/>
      <c r="AI6491" s="500"/>
      <c r="AJ6491" s="500"/>
      <c r="AK6491" s="500"/>
      <c r="AL6491" s="500"/>
      <c r="AM6491" s="500"/>
      <c r="AN6491" s="500"/>
      <c r="AO6491" s="500"/>
      <c r="AP6491" s="500"/>
    </row>
    <row r="6492" spans="1:42" ht="16.5" customHeight="1">
      <c r="A6492" s="434" t="s">
        <v>3997</v>
      </c>
      <c r="B6492" s="505" t="str">
        <f>" 경비로 적용 : "&amp;TEXT(I6492,"#,##0"&amp;IF(I6492&lt;&gt;INT(I6492),".###",""))&amp;"  = "&amp;TEXT(C6492,"#,##0.0")&amp;""</f>
        <v xml:space="preserve"> 경비로 적용 : 360,918.7  = 360,918.7</v>
      </c>
      <c r="C6492" s="506">
        <f>E6492+D6492+F6492</f>
        <v>360918.7</v>
      </c>
      <c r="D6492" s="506">
        <f>IF(H6492=0,0,ROUNDDOWN(J6492*H6492,1))</f>
        <v>0</v>
      </c>
      <c r="E6492" s="506">
        <f>IF(H6492=0,0,ROUNDDOWN(K6492*H6492,1))</f>
        <v>0</v>
      </c>
      <c r="F6492" s="506">
        <f>IF(H6492=0,0,ROUNDDOWN(L6492*H6492,1))</f>
        <v>360918.7</v>
      </c>
      <c r="G6492" s="451" t="s">
        <v>3998</v>
      </c>
      <c r="H6492" s="507">
        <f>ROUNDUP(AB6492,14-LEN(ABS(INT(AB6492))))</f>
        <v>1</v>
      </c>
      <c r="I6492" s="508">
        <f>K6492+J6492+L6492</f>
        <v>360918.7</v>
      </c>
      <c r="J6492" s="456">
        <v>0</v>
      </c>
      <c r="K6492" s="456">
        <v>0</v>
      </c>
      <c r="L6492" s="518">
        <v>360918.7</v>
      </c>
      <c r="M6492" s="501" t="s">
        <v>3999</v>
      </c>
      <c r="N6492" s="501" t="s">
        <v>2354</v>
      </c>
      <c r="Z6492" s="501" t="s">
        <v>4000</v>
      </c>
      <c r="AA6492" s="501" t="s">
        <v>3418</v>
      </c>
      <c r="AB6492" s="512">
        <f>1</f>
        <v>1</v>
      </c>
      <c r="AC6492" s="500"/>
      <c r="AD6492" s="500"/>
      <c r="AE6492" s="500"/>
      <c r="AF6492" s="500"/>
      <c r="AG6492" s="500"/>
      <c r="AH6492" s="500"/>
      <c r="AI6492" s="500"/>
      <c r="AJ6492" s="500"/>
      <c r="AK6492" s="500"/>
      <c r="AL6492" s="500"/>
      <c r="AM6492" s="500"/>
      <c r="AN6492" s="500"/>
      <c r="AO6492" s="500"/>
      <c r="AP6492" s="500"/>
    </row>
    <row r="6493" spans="1:42" ht="16.5" customHeight="1">
      <c r="A6493" s="439"/>
      <c r="B6493" s="439"/>
      <c r="C6493" s="439"/>
      <c r="D6493" s="439"/>
      <c r="E6493" s="439"/>
      <c r="F6493" s="439"/>
      <c r="Z6493" s="500"/>
      <c r="AA6493" s="500"/>
      <c r="AB6493" s="500"/>
      <c r="AC6493" s="500"/>
      <c r="AD6493" s="500"/>
      <c r="AE6493" s="500"/>
      <c r="AF6493" s="500"/>
      <c r="AG6493" s="500"/>
      <c r="AH6493" s="500"/>
      <c r="AI6493" s="500"/>
      <c r="AJ6493" s="500"/>
      <c r="AK6493" s="500"/>
      <c r="AL6493" s="500"/>
      <c r="AM6493" s="500"/>
      <c r="AN6493" s="500"/>
      <c r="AO6493" s="500"/>
      <c r="AP6493" s="500"/>
    </row>
    <row r="6494" spans="1:42" ht="16.5" customHeight="1">
      <c r="A6494" s="439"/>
      <c r="B6494" s="439"/>
      <c r="C6494" s="439"/>
      <c r="D6494" s="439"/>
      <c r="E6494" s="439"/>
      <c r="F6494" s="439"/>
      <c r="Z6494" s="500"/>
      <c r="AA6494" s="500"/>
      <c r="AB6494" s="500"/>
      <c r="AC6494" s="500"/>
      <c r="AD6494" s="500"/>
      <c r="AE6494" s="500"/>
      <c r="AF6494" s="500"/>
      <c r="AG6494" s="500"/>
      <c r="AH6494" s="500"/>
      <c r="AI6494" s="500"/>
      <c r="AJ6494" s="500"/>
      <c r="AK6494" s="500"/>
      <c r="AL6494" s="500"/>
      <c r="AM6494" s="500"/>
      <c r="AN6494" s="500"/>
      <c r="AO6494" s="500"/>
      <c r="AP6494" s="500"/>
    </row>
    <row r="6495" spans="1:42" ht="16.5" customHeight="1">
      <c r="A6495" s="439"/>
      <c r="B6495" s="439"/>
      <c r="C6495" s="439"/>
      <c r="D6495" s="439"/>
      <c r="E6495" s="439"/>
      <c r="F6495" s="439"/>
      <c r="Z6495" s="500"/>
      <c r="AA6495" s="500"/>
      <c r="AB6495" s="500"/>
      <c r="AC6495" s="500"/>
      <c r="AD6495" s="500"/>
      <c r="AE6495" s="500"/>
      <c r="AF6495" s="500"/>
      <c r="AG6495" s="500"/>
      <c r="AH6495" s="500"/>
      <c r="AI6495" s="500"/>
      <c r="AJ6495" s="500"/>
      <c r="AK6495" s="500"/>
      <c r="AL6495" s="500"/>
      <c r="AM6495" s="500"/>
      <c r="AN6495" s="500"/>
      <c r="AO6495" s="500"/>
      <c r="AP6495" s="500"/>
    </row>
    <row r="6496" spans="1:42" ht="16.5" customHeight="1">
      <c r="A6496" s="439"/>
      <c r="B6496" s="439"/>
      <c r="C6496" s="439"/>
      <c r="D6496" s="439"/>
      <c r="E6496" s="439"/>
      <c r="F6496" s="439"/>
      <c r="Z6496" s="500"/>
      <c r="AA6496" s="500"/>
      <c r="AB6496" s="500"/>
      <c r="AC6496" s="500"/>
      <c r="AD6496" s="500"/>
      <c r="AE6496" s="500"/>
      <c r="AF6496" s="500"/>
      <c r="AG6496" s="500"/>
      <c r="AH6496" s="500"/>
      <c r="AI6496" s="500"/>
      <c r="AJ6496" s="500"/>
      <c r="AK6496" s="500"/>
      <c r="AL6496" s="500"/>
      <c r="AM6496" s="500"/>
      <c r="AN6496" s="500"/>
      <c r="AO6496" s="500"/>
      <c r="AP6496" s="500"/>
    </row>
    <row r="6497" spans="1:42" ht="16.5" customHeight="1">
      <c r="A6497" s="439"/>
      <c r="B6497" s="439"/>
      <c r="C6497" s="439"/>
      <c r="D6497" s="439"/>
      <c r="E6497" s="439"/>
      <c r="F6497" s="439"/>
      <c r="Z6497" s="500"/>
      <c r="AA6497" s="500"/>
      <c r="AB6497" s="500"/>
      <c r="AC6497" s="500"/>
      <c r="AD6497" s="500"/>
      <c r="AE6497" s="500"/>
      <c r="AF6497" s="500"/>
      <c r="AG6497" s="500"/>
      <c r="AH6497" s="500"/>
      <c r="AI6497" s="500"/>
      <c r="AJ6497" s="500"/>
      <c r="AK6497" s="500"/>
      <c r="AL6497" s="500"/>
      <c r="AM6497" s="500"/>
      <c r="AN6497" s="500"/>
      <c r="AO6497" s="500"/>
      <c r="AP6497" s="500"/>
    </row>
    <row r="6498" spans="1:42" ht="16.5" customHeight="1">
      <c r="A6498" s="439"/>
      <c r="B6498" s="439"/>
      <c r="C6498" s="439"/>
      <c r="D6498" s="439"/>
      <c r="E6498" s="439"/>
      <c r="F6498" s="439"/>
      <c r="Z6498" s="500"/>
      <c r="AA6498" s="500"/>
      <c r="AB6498" s="500"/>
      <c r="AC6498" s="500"/>
      <c r="AD6498" s="500"/>
      <c r="AE6498" s="500"/>
      <c r="AF6498" s="500"/>
      <c r="AG6498" s="500"/>
      <c r="AH6498" s="500"/>
      <c r="AI6498" s="500"/>
      <c r="AJ6498" s="500"/>
      <c r="AK6498" s="500"/>
      <c r="AL6498" s="500"/>
      <c r="AM6498" s="500"/>
      <c r="AN6498" s="500"/>
      <c r="AO6498" s="500"/>
      <c r="AP6498" s="500"/>
    </row>
    <row r="6499" spans="1:42" ht="16.5" customHeight="1">
      <c r="A6499" s="439"/>
      <c r="B6499" s="439"/>
      <c r="C6499" s="439"/>
      <c r="D6499" s="439"/>
      <c r="E6499" s="439"/>
      <c r="F6499" s="439"/>
      <c r="Z6499" s="500"/>
      <c r="AA6499" s="500"/>
      <c r="AB6499" s="500"/>
      <c r="AC6499" s="500"/>
      <c r="AD6499" s="500"/>
      <c r="AE6499" s="500"/>
      <c r="AF6499" s="500"/>
      <c r="AG6499" s="500"/>
      <c r="AH6499" s="500"/>
      <c r="AI6499" s="500"/>
      <c r="AJ6499" s="500"/>
      <c r="AK6499" s="500"/>
      <c r="AL6499" s="500"/>
      <c r="AM6499" s="500"/>
      <c r="AN6499" s="500"/>
      <c r="AO6499" s="500"/>
      <c r="AP6499" s="500"/>
    </row>
    <row r="6500" spans="1:42" ht="16.5" customHeight="1">
      <c r="A6500" s="439"/>
      <c r="B6500" s="439"/>
      <c r="C6500" s="439"/>
      <c r="D6500" s="439"/>
      <c r="E6500" s="439"/>
      <c r="F6500" s="439"/>
      <c r="Z6500" s="500"/>
      <c r="AA6500" s="500"/>
      <c r="AB6500" s="500"/>
      <c r="AC6500" s="500"/>
      <c r="AD6500" s="500"/>
      <c r="AE6500" s="500"/>
      <c r="AF6500" s="500"/>
      <c r="AG6500" s="500"/>
      <c r="AH6500" s="500"/>
      <c r="AI6500" s="500"/>
      <c r="AJ6500" s="500"/>
      <c r="AK6500" s="500"/>
      <c r="AL6500" s="500"/>
      <c r="AM6500" s="500"/>
      <c r="AN6500" s="500"/>
      <c r="AO6500" s="500"/>
      <c r="AP6500" s="500"/>
    </row>
    <row r="6501" spans="1:42" ht="16.5" customHeight="1">
      <c r="A6501" s="439"/>
      <c r="B6501" s="439"/>
      <c r="C6501" s="439"/>
      <c r="D6501" s="439"/>
      <c r="E6501" s="439"/>
      <c r="F6501" s="439"/>
      <c r="Z6501" s="500"/>
      <c r="AA6501" s="500"/>
      <c r="AB6501" s="500"/>
      <c r="AC6501" s="500"/>
      <c r="AD6501" s="500"/>
      <c r="AE6501" s="500"/>
      <c r="AF6501" s="500"/>
      <c r="AG6501" s="500"/>
      <c r="AH6501" s="500"/>
      <c r="AI6501" s="500"/>
      <c r="AJ6501" s="500"/>
      <c r="AK6501" s="500"/>
      <c r="AL6501" s="500"/>
      <c r="AM6501" s="500"/>
      <c r="AN6501" s="500"/>
      <c r="AO6501" s="500"/>
      <c r="AP6501" s="500"/>
    </row>
    <row r="6502" spans="1:42" ht="16.5" customHeight="1">
      <c r="A6502" s="439"/>
      <c r="B6502" s="439"/>
      <c r="C6502" s="439"/>
      <c r="D6502" s="439"/>
      <c r="E6502" s="439"/>
      <c r="F6502" s="439"/>
      <c r="Z6502" s="500"/>
      <c r="AA6502" s="500"/>
      <c r="AB6502" s="500"/>
      <c r="AC6502" s="500"/>
      <c r="AD6502" s="500"/>
      <c r="AE6502" s="500"/>
      <c r="AF6502" s="500"/>
      <c r="AG6502" s="500"/>
      <c r="AH6502" s="500"/>
      <c r="AI6502" s="500"/>
      <c r="AJ6502" s="500"/>
      <c r="AK6502" s="500"/>
      <c r="AL6502" s="500"/>
      <c r="AM6502" s="500"/>
      <c r="AN6502" s="500"/>
      <c r="AO6502" s="500"/>
      <c r="AP6502" s="500"/>
    </row>
    <row r="6503" spans="1:42" ht="16.5" customHeight="1">
      <c r="A6503" s="497"/>
      <c r="B6503" s="497"/>
      <c r="C6503" s="497"/>
      <c r="D6503" s="497"/>
      <c r="E6503" s="497"/>
      <c r="F6503" s="497"/>
      <c r="Z6503" s="500"/>
      <c r="AA6503" s="500"/>
      <c r="AB6503" s="500"/>
      <c r="AC6503" s="500"/>
      <c r="AD6503" s="500"/>
      <c r="AE6503" s="500"/>
      <c r="AF6503" s="500"/>
      <c r="AG6503" s="500"/>
      <c r="AH6503" s="500"/>
      <c r="AI6503" s="500"/>
      <c r="AJ6503" s="500"/>
      <c r="AK6503" s="500"/>
      <c r="AL6503" s="500"/>
      <c r="AM6503" s="500"/>
      <c r="AN6503" s="500"/>
      <c r="AO6503" s="500"/>
      <c r="AP6503" s="500"/>
    </row>
    <row r="6504" spans="1:42" ht="16.5" customHeight="1">
      <c r="A6504" s="616" t="s">
        <v>3487</v>
      </c>
      <c r="B6504" s="605"/>
      <c r="C6504" s="446">
        <f>E6504+D6504+F6504</f>
        <v>360918</v>
      </c>
      <c r="D6504" s="453">
        <f>ROUNDDOWN(SUMIF(N6457:N6492,M6504,D6457:D6492),0)</f>
        <v>0</v>
      </c>
      <c r="E6504" s="454">
        <f>ROUNDDOWN(SUMIF(N6457:N6492,M6504,E6457:E6492),0)</f>
        <v>0</v>
      </c>
      <c r="F6504" s="446">
        <f>ROUNDDOWN(SUMIF(N6457:N6492,M6504,F6457:F6492),0)</f>
        <v>360918</v>
      </c>
      <c r="M6504" s="501" t="s">
        <v>2354</v>
      </c>
      <c r="Z6504" s="500"/>
      <c r="AA6504" s="500"/>
      <c r="AB6504" s="500"/>
      <c r="AC6504" s="500"/>
      <c r="AD6504" s="500"/>
      <c r="AE6504" s="500"/>
      <c r="AF6504" s="500"/>
      <c r="AG6504" s="500"/>
      <c r="AH6504" s="500"/>
      <c r="AI6504" s="500"/>
      <c r="AJ6504" s="500"/>
      <c r="AK6504" s="500"/>
      <c r="AL6504" s="500"/>
      <c r="AM6504" s="500"/>
      <c r="AN6504" s="500"/>
      <c r="AO6504" s="500"/>
      <c r="AP6504" s="500"/>
    </row>
    <row r="6505" spans="1:42" ht="16.5" customHeight="1">
      <c r="A6505" s="502"/>
      <c r="B6505" s="503" t="s">
        <v>2165</v>
      </c>
      <c r="C6505" s="615">
        <f>C6554</f>
        <v>397615</v>
      </c>
      <c r="D6505" s="615">
        <f>D6554</f>
        <v>0</v>
      </c>
      <c r="E6505" s="615">
        <f>E6554</f>
        <v>0</v>
      </c>
      <c r="F6505" s="615">
        <f>F6554</f>
        <v>397615</v>
      </c>
      <c r="G6505" s="486" t="str">
        <f>HYPERLINK("#G"&amp;ROW(G6542),"_x0005_`BDCOD|D01187_x0007_`POSS|"&amp;ROW(G6507)&amp;"_x0007_`POSE|"&amp;ROW(G6542)&amp;"_x0007_`")</f>
        <v>_x0005_`BDCOD|D01187_x0007_`POSS|6507_x0007_`POSE|6542_x0007_`</v>
      </c>
      <c r="Z6505" s="500"/>
      <c r="AA6505" s="500"/>
      <c r="AB6505" s="500"/>
      <c r="AC6505" s="500"/>
      <c r="AD6505" s="500"/>
      <c r="AE6505" s="500"/>
      <c r="AF6505" s="500"/>
      <c r="AG6505" s="500"/>
      <c r="AH6505" s="500"/>
      <c r="AI6505" s="500"/>
      <c r="AJ6505" s="500"/>
      <c r="AK6505" s="500"/>
      <c r="AL6505" s="500"/>
      <c r="AM6505" s="500"/>
      <c r="AN6505" s="500"/>
      <c r="AO6505" s="500"/>
      <c r="AP6505" s="500"/>
    </row>
    <row r="6506" spans="1:42" ht="16.5" customHeight="1">
      <c r="A6506" s="485"/>
      <c r="B6506" s="503" t="s">
        <v>4069</v>
      </c>
      <c r="C6506" s="593"/>
      <c r="D6506" s="593"/>
      <c r="E6506" s="593"/>
      <c r="F6506" s="593"/>
      <c r="M6506" s="501" t="s">
        <v>2165</v>
      </c>
      <c r="Z6506" s="500"/>
      <c r="AA6506" s="500"/>
      <c r="AB6506" s="500"/>
      <c r="AC6506" s="500"/>
      <c r="AD6506" s="500"/>
      <c r="AE6506" s="500"/>
      <c r="AF6506" s="500"/>
      <c r="AG6506" s="500"/>
      <c r="AH6506" s="500"/>
      <c r="AI6506" s="500"/>
      <c r="AJ6506" s="500"/>
      <c r="AK6506" s="500"/>
      <c r="AL6506" s="500"/>
      <c r="AM6506" s="500"/>
      <c r="AN6506" s="500"/>
      <c r="AO6506" s="500"/>
      <c r="AP6506" s="500"/>
    </row>
    <row r="6507" spans="1:42" ht="16.5" customHeight="1">
      <c r="A6507" s="434"/>
      <c r="B6507" s="437" t="s">
        <v>3980</v>
      </c>
      <c r="C6507" s="504"/>
      <c r="D6507" s="504"/>
      <c r="E6507" s="504"/>
      <c r="F6507" s="504"/>
      <c r="G6507" s="451" t="s">
        <v>3981</v>
      </c>
      <c r="Z6507" s="500"/>
      <c r="AA6507" s="500"/>
      <c r="AB6507" s="500"/>
      <c r="AC6507" s="500"/>
      <c r="AD6507" s="500"/>
      <c r="AE6507" s="500"/>
      <c r="AF6507" s="500"/>
      <c r="AG6507" s="500"/>
      <c r="AH6507" s="500"/>
      <c r="AI6507" s="500"/>
      <c r="AJ6507" s="500"/>
      <c r="AK6507" s="500"/>
      <c r="AL6507" s="500"/>
      <c r="AM6507" s="500"/>
      <c r="AN6507" s="500"/>
      <c r="AO6507" s="500"/>
      <c r="AP6507" s="500"/>
    </row>
    <row r="6508" spans="1:42" ht="16.5" customHeight="1">
      <c r="A6508" s="439"/>
      <c r="B6508" s="439"/>
      <c r="C6508" s="439"/>
      <c r="D6508" s="439"/>
      <c r="E6508" s="439"/>
      <c r="F6508" s="439"/>
      <c r="G6508" s="451" t="s">
        <v>3406</v>
      </c>
      <c r="Z6508" s="500"/>
      <c r="AA6508" s="500"/>
      <c r="AB6508" s="500"/>
      <c r="AC6508" s="500"/>
      <c r="AD6508" s="500"/>
      <c r="AE6508" s="500"/>
      <c r="AF6508" s="500"/>
      <c r="AG6508" s="500"/>
      <c r="AH6508" s="500"/>
      <c r="AI6508" s="500"/>
      <c r="AJ6508" s="500"/>
      <c r="AK6508" s="500"/>
      <c r="AL6508" s="500"/>
      <c r="AM6508" s="500"/>
      <c r="AN6508" s="500"/>
      <c r="AO6508" s="500"/>
      <c r="AP6508" s="500"/>
    </row>
    <row r="6509" spans="1:42" ht="16.5" customHeight="1">
      <c r="A6509" s="434"/>
      <c r="B6509" s="437" t="s">
        <v>4070</v>
      </c>
      <c r="C6509" s="439"/>
      <c r="D6509" s="439"/>
      <c r="E6509" s="439"/>
      <c r="F6509" s="439"/>
      <c r="G6509" s="451" t="s">
        <v>4071</v>
      </c>
      <c r="Z6509" s="500"/>
      <c r="AA6509" s="500"/>
      <c r="AB6509" s="500"/>
      <c r="AC6509" s="500"/>
      <c r="AD6509" s="500"/>
      <c r="AE6509" s="500"/>
      <c r="AF6509" s="500"/>
      <c r="AG6509" s="500"/>
      <c r="AH6509" s="500"/>
      <c r="AI6509" s="500"/>
      <c r="AJ6509" s="500"/>
      <c r="AK6509" s="500"/>
      <c r="AL6509" s="500"/>
      <c r="AM6509" s="500"/>
      <c r="AN6509" s="500"/>
      <c r="AO6509" s="500"/>
      <c r="AP6509" s="500"/>
    </row>
    <row r="6510" spans="1:42" ht="16.5" customHeight="1">
      <c r="A6510" s="439"/>
      <c r="B6510" s="439"/>
      <c r="C6510" s="439"/>
      <c r="D6510" s="439"/>
      <c r="E6510" s="439"/>
      <c r="F6510" s="439"/>
      <c r="G6510" s="451" t="s">
        <v>3406</v>
      </c>
      <c r="Z6510" s="500"/>
      <c r="AA6510" s="500"/>
      <c r="AB6510" s="500"/>
      <c r="AC6510" s="500"/>
      <c r="AD6510" s="500"/>
      <c r="AE6510" s="500"/>
      <c r="AF6510" s="500"/>
      <c r="AG6510" s="500"/>
      <c r="AH6510" s="500"/>
      <c r="AI6510" s="500"/>
      <c r="AJ6510" s="500"/>
      <c r="AK6510" s="500"/>
      <c r="AL6510" s="500"/>
      <c r="AM6510" s="500"/>
      <c r="AN6510" s="500"/>
      <c r="AO6510" s="500"/>
      <c r="AP6510" s="500"/>
    </row>
    <row r="6511" spans="1:42" ht="16.5" customHeight="1">
      <c r="A6511" s="439"/>
      <c r="B6511" s="439"/>
      <c r="C6511" s="439"/>
      <c r="D6511" s="439"/>
      <c r="E6511" s="439"/>
      <c r="F6511" s="439"/>
      <c r="G6511" s="451" t="s">
        <v>3406</v>
      </c>
      <c r="Z6511" s="500"/>
      <c r="AA6511" s="500"/>
      <c r="AB6511" s="500"/>
      <c r="AC6511" s="500"/>
      <c r="AD6511" s="500"/>
      <c r="AE6511" s="500"/>
      <c r="AF6511" s="500"/>
      <c r="AG6511" s="500"/>
      <c r="AH6511" s="500"/>
      <c r="AI6511" s="500"/>
      <c r="AJ6511" s="500"/>
      <c r="AK6511" s="500"/>
      <c r="AL6511" s="500"/>
      <c r="AM6511" s="500"/>
      <c r="AN6511" s="500"/>
      <c r="AO6511" s="500"/>
      <c r="AP6511" s="500"/>
    </row>
    <row r="6512" spans="1:42" ht="16.5" customHeight="1">
      <c r="A6512" s="434"/>
      <c r="B6512" s="437" t="s">
        <v>3984</v>
      </c>
      <c r="C6512" s="439"/>
      <c r="D6512" s="439"/>
      <c r="E6512" s="439"/>
      <c r="F6512" s="439"/>
      <c r="G6512" s="451" t="s">
        <v>3985</v>
      </c>
      <c r="Z6512" s="500"/>
      <c r="AA6512" s="500"/>
      <c r="AB6512" s="500"/>
      <c r="AC6512" s="500"/>
      <c r="AD6512" s="500"/>
      <c r="AE6512" s="500"/>
      <c r="AF6512" s="500"/>
      <c r="AG6512" s="500"/>
      <c r="AH6512" s="500"/>
      <c r="AI6512" s="500"/>
      <c r="AJ6512" s="500"/>
      <c r="AK6512" s="500"/>
      <c r="AL6512" s="500"/>
      <c r="AM6512" s="500"/>
      <c r="AN6512" s="500"/>
      <c r="AO6512" s="500"/>
      <c r="AP6512" s="500"/>
    </row>
    <row r="6513" spans="1:42" ht="16.5" customHeight="1">
      <c r="A6513" s="439"/>
      <c r="B6513" s="439"/>
      <c r="C6513" s="439"/>
      <c r="D6513" s="439"/>
      <c r="E6513" s="439"/>
      <c r="F6513" s="439"/>
      <c r="G6513" s="451" t="s">
        <v>3406</v>
      </c>
      <c r="Z6513" s="500"/>
      <c r="AA6513" s="500"/>
      <c r="AB6513" s="500"/>
      <c r="AC6513" s="500"/>
      <c r="AD6513" s="500"/>
      <c r="AE6513" s="500"/>
      <c r="AF6513" s="500"/>
      <c r="AG6513" s="500"/>
      <c r="AH6513" s="500"/>
      <c r="AI6513" s="500"/>
      <c r="AJ6513" s="500"/>
      <c r="AK6513" s="500"/>
      <c r="AL6513" s="500"/>
      <c r="AM6513" s="500"/>
      <c r="AN6513" s="500"/>
      <c r="AO6513" s="500"/>
      <c r="AP6513" s="500"/>
    </row>
    <row r="6514" spans="1:42" ht="16.5" customHeight="1">
      <c r="A6514" s="439"/>
      <c r="B6514" s="439"/>
      <c r="C6514" s="439"/>
      <c r="D6514" s="439"/>
      <c r="E6514" s="439"/>
      <c r="F6514" s="439"/>
      <c r="G6514" s="451" t="s">
        <v>3406</v>
      </c>
      <c r="Z6514" s="500"/>
      <c r="AA6514" s="500"/>
      <c r="AB6514" s="500"/>
      <c r="AC6514" s="500"/>
      <c r="AD6514" s="500"/>
      <c r="AE6514" s="500"/>
      <c r="AF6514" s="500"/>
      <c r="AG6514" s="500"/>
      <c r="AH6514" s="500"/>
      <c r="AI6514" s="500"/>
      <c r="AJ6514" s="500"/>
      <c r="AK6514" s="500"/>
      <c r="AL6514" s="500"/>
      <c r="AM6514" s="500"/>
      <c r="AN6514" s="500"/>
      <c r="AO6514" s="500"/>
      <c r="AP6514" s="500"/>
    </row>
    <row r="6515" spans="1:42" ht="16.5" customHeight="1">
      <c r="A6515" s="434"/>
      <c r="B6515" s="437" t="s">
        <v>3986</v>
      </c>
      <c r="C6515" s="439"/>
      <c r="D6515" s="439"/>
      <c r="E6515" s="439"/>
      <c r="F6515" s="439"/>
      <c r="G6515" s="451" t="s">
        <v>3987</v>
      </c>
      <c r="Z6515" s="500"/>
      <c r="AA6515" s="500"/>
      <c r="AB6515" s="500"/>
      <c r="AC6515" s="500"/>
      <c r="AD6515" s="500"/>
      <c r="AE6515" s="500"/>
      <c r="AF6515" s="500"/>
      <c r="AG6515" s="500"/>
      <c r="AH6515" s="500"/>
      <c r="AI6515" s="500"/>
      <c r="AJ6515" s="500"/>
      <c r="AK6515" s="500"/>
      <c r="AL6515" s="500"/>
      <c r="AM6515" s="500"/>
      <c r="AN6515" s="500"/>
      <c r="AO6515" s="500"/>
      <c r="AP6515" s="500"/>
    </row>
    <row r="6516" spans="1:42" ht="16.5" customHeight="1">
      <c r="A6516" s="439"/>
      <c r="B6516" s="439"/>
      <c r="C6516" s="439"/>
      <c r="D6516" s="439"/>
      <c r="E6516" s="439"/>
      <c r="F6516" s="439"/>
      <c r="G6516" s="451" t="s">
        <v>3406</v>
      </c>
      <c r="Z6516" s="500"/>
      <c r="AA6516" s="500"/>
      <c r="AB6516" s="500"/>
      <c r="AC6516" s="500"/>
      <c r="AD6516" s="500"/>
      <c r="AE6516" s="500"/>
      <c r="AF6516" s="500"/>
      <c r="AG6516" s="500"/>
      <c r="AH6516" s="500"/>
      <c r="AI6516" s="500"/>
      <c r="AJ6516" s="500"/>
      <c r="AK6516" s="500"/>
      <c r="AL6516" s="500"/>
      <c r="AM6516" s="500"/>
      <c r="AN6516" s="500"/>
      <c r="AO6516" s="500"/>
      <c r="AP6516" s="500"/>
    </row>
    <row r="6517" spans="1:42" ht="16.5" customHeight="1">
      <c r="A6517" s="439"/>
      <c r="B6517" s="439"/>
      <c r="C6517" s="439"/>
      <c r="D6517" s="439"/>
      <c r="E6517" s="439"/>
      <c r="F6517" s="439"/>
      <c r="G6517" s="451" t="s">
        <v>3406</v>
      </c>
      <c r="Z6517" s="500"/>
      <c r="AA6517" s="500"/>
      <c r="AB6517" s="500"/>
      <c r="AC6517" s="500"/>
      <c r="AD6517" s="500"/>
      <c r="AE6517" s="500"/>
      <c r="AF6517" s="500"/>
      <c r="AG6517" s="500"/>
      <c r="AH6517" s="500"/>
      <c r="AI6517" s="500"/>
      <c r="AJ6517" s="500"/>
      <c r="AK6517" s="500"/>
      <c r="AL6517" s="500"/>
      <c r="AM6517" s="500"/>
      <c r="AN6517" s="500"/>
      <c r="AO6517" s="500"/>
      <c r="AP6517" s="500"/>
    </row>
    <row r="6518" spans="1:42" ht="16.5" customHeight="1">
      <c r="A6518" s="434"/>
      <c r="B6518" s="437" t="str">
        <f>" L = "&amp;Z6518&amp;" , V = "&amp;AD6518&amp;" , t = "&amp;AH6518&amp;"  , T = "&amp;AL6518&amp;"-"&amp;AN6518&amp;""</f>
        <v xml:space="preserve"> L = 500 , V = 2500 , t = 2  , T = 480-30</v>
      </c>
      <c r="C6518" s="439"/>
      <c r="D6518" s="439"/>
      <c r="E6518" s="439"/>
      <c r="F6518" s="439"/>
      <c r="G6518" s="451" t="s">
        <v>4072</v>
      </c>
      <c r="Z6518" s="515">
        <v>500</v>
      </c>
      <c r="AA6518" s="501" t="s">
        <v>3418</v>
      </c>
      <c r="AB6518" s="512">
        <f>Z6518</f>
        <v>500</v>
      </c>
      <c r="AC6518" s="514" t="s">
        <v>3427</v>
      </c>
      <c r="AD6518" s="515">
        <v>2500</v>
      </c>
      <c r="AE6518" s="501" t="s">
        <v>3418</v>
      </c>
      <c r="AF6518" s="512">
        <f>AD6518</f>
        <v>2500</v>
      </c>
      <c r="AG6518" s="514" t="s">
        <v>3427</v>
      </c>
      <c r="AH6518" s="515">
        <v>2</v>
      </c>
      <c r="AI6518" s="501" t="s">
        <v>3418</v>
      </c>
      <c r="AJ6518" s="512">
        <f>AH6518</f>
        <v>2</v>
      </c>
      <c r="AK6518" s="514" t="s">
        <v>3427</v>
      </c>
      <c r="AL6518" s="515">
        <v>480</v>
      </c>
      <c r="AM6518" s="501" t="s">
        <v>3474</v>
      </c>
      <c r="AN6518" s="515">
        <v>30</v>
      </c>
      <c r="AO6518" s="501" t="s">
        <v>3418</v>
      </c>
      <c r="AP6518" s="512">
        <f>AL6518-AN6518</f>
        <v>450</v>
      </c>
    </row>
    <row r="6519" spans="1:42" ht="16.5" customHeight="1">
      <c r="A6519" s="439"/>
      <c r="B6519" s="439"/>
      <c r="C6519" s="439"/>
      <c r="D6519" s="439"/>
      <c r="E6519" s="439"/>
      <c r="F6519" s="439"/>
      <c r="G6519" s="451" t="s">
        <v>3406</v>
      </c>
      <c r="Z6519" s="500"/>
      <c r="AA6519" s="500"/>
      <c r="AB6519" s="500"/>
      <c r="AC6519" s="500"/>
      <c r="AD6519" s="500"/>
      <c r="AE6519" s="500"/>
      <c r="AF6519" s="500"/>
      <c r="AG6519" s="500"/>
      <c r="AH6519" s="500"/>
      <c r="AI6519" s="500"/>
      <c r="AJ6519" s="500"/>
      <c r="AK6519" s="500"/>
      <c r="AL6519" s="500"/>
      <c r="AM6519" s="500"/>
      <c r="AN6519" s="500"/>
      <c r="AO6519" s="500"/>
      <c r="AP6519" s="500"/>
    </row>
    <row r="6520" spans="1:42" ht="16.5" customHeight="1">
      <c r="A6520" s="439"/>
      <c r="B6520" s="439"/>
      <c r="C6520" s="439"/>
      <c r="D6520" s="439"/>
      <c r="E6520" s="439"/>
      <c r="F6520" s="439"/>
      <c r="G6520" s="451" t="s">
        <v>3406</v>
      </c>
      <c r="Z6520" s="500"/>
      <c r="AA6520" s="500"/>
      <c r="AB6520" s="500"/>
      <c r="AC6520" s="500"/>
      <c r="AD6520" s="500"/>
      <c r="AE6520" s="500"/>
      <c r="AF6520" s="500"/>
      <c r="AG6520" s="500"/>
      <c r="AH6520" s="500"/>
      <c r="AI6520" s="500"/>
      <c r="AJ6520" s="500"/>
      <c r="AK6520" s="500"/>
      <c r="AL6520" s="500"/>
      <c r="AM6520" s="500"/>
      <c r="AN6520" s="500"/>
      <c r="AO6520" s="500"/>
      <c r="AP6520" s="500"/>
    </row>
    <row r="6521" spans="1:42" ht="16.5" customHeight="1">
      <c r="A6521" s="439"/>
      <c r="B6521" s="439"/>
      <c r="C6521" s="439"/>
      <c r="D6521" s="439"/>
      <c r="E6521" s="439"/>
      <c r="F6521" s="439"/>
      <c r="G6521" s="451" t="s">
        <v>3406</v>
      </c>
      <c r="Z6521" s="500"/>
      <c r="AA6521" s="500"/>
      <c r="AB6521" s="500"/>
      <c r="AC6521" s="500"/>
      <c r="AD6521" s="500"/>
      <c r="AE6521" s="500"/>
      <c r="AF6521" s="500"/>
      <c r="AG6521" s="500"/>
      <c r="AH6521" s="500"/>
      <c r="AI6521" s="500"/>
      <c r="AJ6521" s="500"/>
      <c r="AK6521" s="500"/>
      <c r="AL6521" s="500"/>
      <c r="AM6521" s="500"/>
      <c r="AN6521" s="500"/>
      <c r="AO6521" s="500"/>
      <c r="AP6521" s="500"/>
    </row>
    <row r="6522" spans="1:42" ht="16.5" customHeight="1">
      <c r="A6522" s="434"/>
      <c r="B6522" s="437" t="str">
        <f>" N = V*T /( "&amp;AD6522&amp;"*L+V*"&amp;AJ6522&amp;" ) = "&amp;AM6522&amp;" 회/일 "</f>
        <v xml:space="preserve"> N = V*T /( 120*L+V*2 ) = 17.31 회/일 </v>
      </c>
      <c r="C6522" s="439"/>
      <c r="D6522" s="439"/>
      <c r="E6522" s="439"/>
      <c r="F6522" s="439"/>
      <c r="G6522" s="451" t="s">
        <v>3989</v>
      </c>
      <c r="Z6522" s="512">
        <f>AF6518</f>
        <v>2500</v>
      </c>
      <c r="AA6522" s="501" t="s">
        <v>3368</v>
      </c>
      <c r="AB6522" s="512">
        <f>AP6518</f>
        <v>450</v>
      </c>
      <c r="AC6522" s="501" t="s">
        <v>3463</v>
      </c>
      <c r="AD6522" s="515">
        <v>120</v>
      </c>
      <c r="AE6522" s="501" t="s">
        <v>3368</v>
      </c>
      <c r="AF6522" s="512">
        <f>AB6518</f>
        <v>500</v>
      </c>
      <c r="AG6522" s="501" t="s">
        <v>3468</v>
      </c>
      <c r="AH6522" s="512">
        <f>AF6518</f>
        <v>2500</v>
      </c>
      <c r="AI6522" s="501" t="s">
        <v>3368</v>
      </c>
      <c r="AJ6522" s="515">
        <v>2</v>
      </c>
      <c r="AK6522" s="501" t="s">
        <v>3464</v>
      </c>
      <c r="AL6522" s="501" t="s">
        <v>3418</v>
      </c>
      <c r="AM6522" s="512" t="str">
        <f>TEXT(ROUND(AF6518*AP6518/(AD6522*AB6518+AF6518*AJ6522),2),"#,0.00")</f>
        <v>17.31</v>
      </c>
      <c r="AN6522" s="500"/>
      <c r="AO6522" s="500"/>
      <c r="AP6522" s="500"/>
    </row>
    <row r="6523" spans="1:42" ht="16.5" customHeight="1">
      <c r="A6523" s="439"/>
      <c r="B6523" s="439"/>
      <c r="C6523" s="439"/>
      <c r="D6523" s="439"/>
      <c r="E6523" s="439"/>
      <c r="F6523" s="439"/>
      <c r="G6523" s="451" t="s">
        <v>3406</v>
      </c>
      <c r="Z6523" s="500"/>
      <c r="AA6523" s="500"/>
      <c r="AB6523" s="500"/>
      <c r="AC6523" s="500"/>
      <c r="AD6523" s="500"/>
      <c r="AE6523" s="500"/>
      <c r="AF6523" s="500"/>
      <c r="AG6523" s="500"/>
      <c r="AH6523" s="500"/>
      <c r="AI6523" s="500"/>
      <c r="AJ6523" s="500"/>
      <c r="AK6523" s="500"/>
      <c r="AL6523" s="500"/>
      <c r="AM6523" s="500"/>
      <c r="AN6523" s="500"/>
      <c r="AO6523" s="500"/>
      <c r="AP6523" s="500"/>
    </row>
    <row r="6524" spans="1:42" ht="16.5" customHeight="1">
      <c r="A6524" s="439"/>
      <c r="B6524" s="439"/>
      <c r="C6524" s="439"/>
      <c r="D6524" s="439"/>
      <c r="E6524" s="439"/>
      <c r="F6524" s="439"/>
      <c r="G6524" s="451" t="s">
        <v>3406</v>
      </c>
      <c r="Z6524" s="500"/>
      <c r="AA6524" s="500"/>
      <c r="AB6524" s="500"/>
      <c r="AC6524" s="500"/>
      <c r="AD6524" s="500"/>
      <c r="AE6524" s="500"/>
      <c r="AF6524" s="500"/>
      <c r="AG6524" s="500"/>
      <c r="AH6524" s="500"/>
      <c r="AI6524" s="500"/>
      <c r="AJ6524" s="500"/>
      <c r="AK6524" s="500"/>
      <c r="AL6524" s="500"/>
      <c r="AM6524" s="500"/>
      <c r="AN6524" s="500"/>
      <c r="AO6524" s="500"/>
      <c r="AP6524" s="500"/>
    </row>
    <row r="6525" spans="1:42" ht="16.5" customHeight="1">
      <c r="A6525" s="439"/>
      <c r="B6525" s="439"/>
      <c r="C6525" s="439"/>
      <c r="D6525" s="439"/>
      <c r="E6525" s="439"/>
      <c r="F6525" s="439"/>
      <c r="G6525" s="451" t="s">
        <v>3406</v>
      </c>
      <c r="Z6525" s="500"/>
      <c r="AA6525" s="500"/>
      <c r="AB6525" s="500"/>
      <c r="AC6525" s="500"/>
      <c r="AD6525" s="500"/>
      <c r="AE6525" s="500"/>
      <c r="AF6525" s="500"/>
      <c r="AG6525" s="500"/>
      <c r="AH6525" s="500"/>
      <c r="AI6525" s="500"/>
      <c r="AJ6525" s="500"/>
      <c r="AK6525" s="500"/>
      <c r="AL6525" s="500"/>
      <c r="AM6525" s="500"/>
      <c r="AN6525" s="500"/>
      <c r="AO6525" s="500"/>
      <c r="AP6525" s="500"/>
    </row>
    <row r="6526" spans="1:42" ht="16.5" customHeight="1">
      <c r="A6526" s="434"/>
      <c r="B6526" s="437" t="str">
        <f>" Q = N*"&amp;AB6526&amp;" ㎏ = "&amp;AD6526&amp;"  kg/일 "</f>
        <v xml:space="preserve"> Q = N*25 ㎏ = 432.75  kg/일 </v>
      </c>
      <c r="C6526" s="439"/>
      <c r="D6526" s="439"/>
      <c r="E6526" s="439"/>
      <c r="F6526" s="439"/>
      <c r="G6526" s="451" t="s">
        <v>3990</v>
      </c>
      <c r="Z6526" s="512" t="str">
        <f>AM6522</f>
        <v>17.31</v>
      </c>
      <c r="AA6526" s="501" t="s">
        <v>3368</v>
      </c>
      <c r="AB6526" s="515">
        <v>25</v>
      </c>
      <c r="AC6526" s="501" t="s">
        <v>3418</v>
      </c>
      <c r="AD6526" s="512" t="str">
        <f>TEXT(ROUND(AM6522*AB6526,2),"#,0.00")</f>
        <v>432.75</v>
      </c>
      <c r="AE6526" s="500"/>
      <c r="AF6526" s="500"/>
      <c r="AG6526" s="500"/>
      <c r="AH6526" s="500"/>
      <c r="AI6526" s="500"/>
      <c r="AJ6526" s="500"/>
      <c r="AK6526" s="500"/>
      <c r="AL6526" s="500"/>
      <c r="AM6526" s="500"/>
      <c r="AN6526" s="500"/>
      <c r="AO6526" s="500"/>
      <c r="AP6526" s="500"/>
    </row>
    <row r="6527" spans="1:42" ht="16.5" customHeight="1">
      <c r="A6527" s="439"/>
      <c r="B6527" s="439"/>
      <c r="C6527" s="439"/>
      <c r="D6527" s="439"/>
      <c r="E6527" s="439"/>
      <c r="F6527" s="439"/>
      <c r="G6527" s="451" t="s">
        <v>3406</v>
      </c>
      <c r="Z6527" s="500"/>
      <c r="AA6527" s="500"/>
      <c r="AB6527" s="500"/>
      <c r="AC6527" s="500"/>
      <c r="AD6527" s="500"/>
      <c r="AE6527" s="500"/>
      <c r="AF6527" s="500"/>
      <c r="AG6527" s="500"/>
      <c r="AH6527" s="500"/>
      <c r="AI6527" s="500"/>
      <c r="AJ6527" s="500"/>
      <c r="AK6527" s="500"/>
      <c r="AL6527" s="500"/>
      <c r="AM6527" s="500"/>
      <c r="AN6527" s="500"/>
      <c r="AO6527" s="500"/>
      <c r="AP6527" s="500"/>
    </row>
    <row r="6528" spans="1:42" ht="16.5" customHeight="1">
      <c r="A6528" s="439"/>
      <c r="B6528" s="439"/>
      <c r="C6528" s="439"/>
      <c r="D6528" s="439"/>
      <c r="E6528" s="439"/>
      <c r="F6528" s="439"/>
      <c r="G6528" s="451" t="s">
        <v>3406</v>
      </c>
      <c r="Z6528" s="500"/>
      <c r="AA6528" s="500"/>
      <c r="AB6528" s="500"/>
      <c r="AC6528" s="500"/>
      <c r="AD6528" s="500"/>
      <c r="AE6528" s="500"/>
      <c r="AF6528" s="500"/>
      <c r="AG6528" s="500"/>
      <c r="AH6528" s="500"/>
      <c r="AI6528" s="500"/>
      <c r="AJ6528" s="500"/>
      <c r="AK6528" s="500"/>
      <c r="AL6528" s="500"/>
      <c r="AM6528" s="500"/>
      <c r="AN6528" s="500"/>
      <c r="AO6528" s="500"/>
      <c r="AP6528" s="500"/>
    </row>
    <row r="6529" spans="1:42" ht="16.5" customHeight="1">
      <c r="A6529" s="439"/>
      <c r="B6529" s="439"/>
      <c r="C6529" s="439"/>
      <c r="D6529" s="439"/>
      <c r="E6529" s="439"/>
      <c r="F6529" s="439"/>
      <c r="G6529" s="451" t="s">
        <v>3406</v>
      </c>
      <c r="Z6529" s="500"/>
      <c r="AA6529" s="500"/>
      <c r="AB6529" s="500"/>
      <c r="AC6529" s="500"/>
      <c r="AD6529" s="500"/>
      <c r="AE6529" s="500"/>
      <c r="AF6529" s="500"/>
      <c r="AG6529" s="500"/>
      <c r="AH6529" s="500"/>
      <c r="AI6529" s="500"/>
      <c r="AJ6529" s="500"/>
      <c r="AK6529" s="500"/>
      <c r="AL6529" s="500"/>
      <c r="AM6529" s="500"/>
      <c r="AN6529" s="500"/>
      <c r="AO6529" s="500"/>
      <c r="AP6529" s="500"/>
    </row>
    <row r="6530" spans="1:42" ht="16.5" customHeight="1">
      <c r="A6530" s="434"/>
      <c r="B6530" s="437" t="str">
        <f>" k = "&amp;Z6530&amp;" kg /Q"</f>
        <v xml:space="preserve"> k = 1000 kg /Q</v>
      </c>
      <c r="C6530" s="439"/>
      <c r="D6530" s="439"/>
      <c r="E6530" s="439"/>
      <c r="F6530" s="439"/>
      <c r="G6530" s="451" t="s">
        <v>3991</v>
      </c>
      <c r="Z6530" s="515">
        <v>1000</v>
      </c>
      <c r="AA6530" s="501" t="s">
        <v>3428</v>
      </c>
      <c r="AB6530" s="512" t="str">
        <f>AD6526</f>
        <v>432.75</v>
      </c>
      <c r="AC6530" s="501" t="s">
        <v>3418</v>
      </c>
      <c r="AD6530" s="512">
        <f>ROUND(Z6530/AD6526,13)</f>
        <v>2.3108030040438998</v>
      </c>
      <c r="AE6530" s="500"/>
      <c r="AF6530" s="500"/>
      <c r="AG6530" s="500"/>
      <c r="AH6530" s="500"/>
      <c r="AI6530" s="500"/>
      <c r="AJ6530" s="500"/>
      <c r="AK6530" s="500"/>
      <c r="AL6530" s="500"/>
      <c r="AM6530" s="500"/>
      <c r="AN6530" s="500"/>
      <c r="AO6530" s="500"/>
      <c r="AP6530" s="500"/>
    </row>
    <row r="6531" spans="1:42" ht="16.5" customHeight="1">
      <c r="A6531" s="439"/>
      <c r="B6531" s="439"/>
      <c r="C6531" s="439"/>
      <c r="D6531" s="439"/>
      <c r="E6531" s="439"/>
      <c r="F6531" s="439"/>
      <c r="G6531" s="451" t="s">
        <v>3406</v>
      </c>
      <c r="Z6531" s="500"/>
      <c r="AA6531" s="500"/>
      <c r="AB6531" s="500"/>
      <c r="AC6531" s="500"/>
      <c r="AD6531" s="500"/>
      <c r="AE6531" s="500"/>
      <c r="AF6531" s="500"/>
      <c r="AG6531" s="500"/>
      <c r="AH6531" s="500"/>
      <c r="AI6531" s="500"/>
      <c r="AJ6531" s="500"/>
      <c r="AK6531" s="500"/>
      <c r="AL6531" s="500"/>
      <c r="AM6531" s="500"/>
      <c r="AN6531" s="500"/>
      <c r="AO6531" s="500"/>
      <c r="AP6531" s="500"/>
    </row>
    <row r="6532" spans="1:42" ht="16.5" customHeight="1">
      <c r="A6532" s="439"/>
      <c r="B6532" s="439"/>
      <c r="C6532" s="439"/>
      <c r="D6532" s="439"/>
      <c r="E6532" s="439"/>
      <c r="F6532" s="439"/>
      <c r="G6532" s="451" t="s">
        <v>3406</v>
      </c>
      <c r="Z6532" s="500"/>
      <c r="AA6532" s="500"/>
      <c r="AB6532" s="500"/>
      <c r="AC6532" s="500"/>
      <c r="AD6532" s="500"/>
      <c r="AE6532" s="500"/>
      <c r="AF6532" s="500"/>
      <c r="AG6532" s="500"/>
      <c r="AH6532" s="500"/>
      <c r="AI6532" s="500"/>
      <c r="AJ6532" s="500"/>
      <c r="AK6532" s="500"/>
      <c r="AL6532" s="500"/>
      <c r="AM6532" s="500"/>
      <c r="AN6532" s="500"/>
      <c r="AO6532" s="500"/>
      <c r="AP6532" s="500"/>
    </row>
    <row r="6533" spans="1:42" ht="16.5" customHeight="1">
      <c r="A6533" s="439"/>
      <c r="B6533" s="439"/>
      <c r="C6533" s="439"/>
      <c r="D6533" s="439"/>
      <c r="E6533" s="439"/>
      <c r="F6533" s="439"/>
      <c r="G6533" s="451" t="s">
        <v>3406</v>
      </c>
      <c r="Z6533" s="500"/>
      <c r="AA6533" s="500"/>
      <c r="AB6533" s="500"/>
      <c r="AC6533" s="500"/>
      <c r="AD6533" s="500"/>
      <c r="AE6533" s="500"/>
      <c r="AF6533" s="500"/>
      <c r="AG6533" s="500"/>
      <c r="AH6533" s="500"/>
      <c r="AI6533" s="500"/>
      <c r="AJ6533" s="500"/>
      <c r="AK6533" s="500"/>
      <c r="AL6533" s="500"/>
      <c r="AM6533" s="500"/>
      <c r="AN6533" s="500"/>
      <c r="AO6533" s="500"/>
      <c r="AP6533" s="500"/>
    </row>
    <row r="6534" spans="1:42" ht="16.5" customHeight="1">
      <c r="A6534" s="434" t="s">
        <v>3992</v>
      </c>
      <c r="B6534" s="505" t="str">
        <f>" 인    부: "&amp;TEXT(I6534,"#,##0"&amp;IF(I6534&lt;&gt;INT(I6534),".###",""))&amp;"*k = "&amp;TEXT(C6534,"#,##0.0")&amp;" 원 "</f>
        <v xml:space="preserve"> 인    부: 172,068*k = 397,615.2 원 </v>
      </c>
      <c r="C6534" s="506">
        <f>E6534+D6534+F6534</f>
        <v>397615.2</v>
      </c>
      <c r="D6534" s="506">
        <f>IF(H6534=0,0,ROUNDDOWN(J6534*H6534,1))</f>
        <v>397615.2</v>
      </c>
      <c r="E6534" s="506">
        <f>IF(H6534=0,0,ROUNDDOWN(K6534*H6534,1))</f>
        <v>0</v>
      </c>
      <c r="F6534" s="506">
        <f>IF(H6534=0,0,ROUNDDOWN(L6534*H6534,1))</f>
        <v>0</v>
      </c>
      <c r="G6534" s="451" t="s">
        <v>3993</v>
      </c>
      <c r="H6534" s="507">
        <f>ROUNDUP(AC6534,14-LEN(ABS(INT(AC6534))))</f>
        <v>2.3108030040438998</v>
      </c>
      <c r="I6534" s="508">
        <f>K6534+J6534+L6534</f>
        <v>172068</v>
      </c>
      <c r="J6534" s="509">
        <f>노무비목록표!E10</f>
        <v>172068</v>
      </c>
      <c r="M6534" s="501" t="s">
        <v>2363</v>
      </c>
      <c r="N6534" s="501" t="s">
        <v>3994</v>
      </c>
      <c r="X6534" s="510" t="str">
        <f>노무비목록표!B10&amp;" / "&amp;노무비목록표!C10</f>
        <v xml:space="preserve">보통인부 / </v>
      </c>
      <c r="Y6534" s="433" t="str">
        <f ca="1">HYPERLINK("#"&amp;노무비목록표!G2&amp;"!A"&amp;ROW(노무비목록표!A10),"L00017 →")</f>
        <v>L00017 →</v>
      </c>
      <c r="Z6534" s="501" t="s">
        <v>3500</v>
      </c>
      <c r="AA6534" s="512">
        <f>AD6530</f>
        <v>2.3108030040438998</v>
      </c>
      <c r="AB6534" s="501" t="s">
        <v>3418</v>
      </c>
      <c r="AC6534" s="512">
        <f>1*AD6530</f>
        <v>2.3108030040438998</v>
      </c>
      <c r="AD6534" s="500"/>
      <c r="AE6534" s="500"/>
      <c r="AF6534" s="500"/>
      <c r="AG6534" s="500"/>
      <c r="AH6534" s="500"/>
      <c r="AI6534" s="500"/>
      <c r="AJ6534" s="500"/>
      <c r="AK6534" s="500"/>
      <c r="AL6534" s="500"/>
      <c r="AM6534" s="500"/>
      <c r="AN6534" s="500"/>
      <c r="AO6534" s="500"/>
      <c r="AP6534" s="500"/>
    </row>
    <row r="6535" spans="1:42" ht="16.5" customHeight="1">
      <c r="A6535" s="439"/>
      <c r="B6535" s="439"/>
      <c r="C6535" s="439"/>
      <c r="D6535" s="439"/>
      <c r="E6535" s="439"/>
      <c r="F6535" s="439"/>
      <c r="G6535" s="451" t="s">
        <v>3406</v>
      </c>
      <c r="Z6535" s="500"/>
      <c r="AA6535" s="500"/>
      <c r="AB6535" s="500"/>
      <c r="AC6535" s="500"/>
      <c r="AD6535" s="500"/>
      <c r="AE6535" s="500"/>
      <c r="AF6535" s="500"/>
      <c r="AG6535" s="500"/>
      <c r="AH6535" s="500"/>
      <c r="AI6535" s="500"/>
      <c r="AJ6535" s="500"/>
      <c r="AK6535" s="500"/>
      <c r="AL6535" s="500"/>
      <c r="AM6535" s="500"/>
      <c r="AN6535" s="500"/>
      <c r="AO6535" s="500"/>
      <c r="AP6535" s="500"/>
    </row>
    <row r="6536" spans="1:42" ht="16.5" customHeight="1">
      <c r="A6536" s="439"/>
      <c r="B6536" s="439"/>
      <c r="C6536" s="439"/>
      <c r="D6536" s="439"/>
      <c r="E6536" s="439"/>
      <c r="F6536" s="439"/>
      <c r="G6536" s="451" t="s">
        <v>3406</v>
      </c>
      <c r="Z6536" s="500"/>
      <c r="AA6536" s="500"/>
      <c r="AB6536" s="500"/>
      <c r="AC6536" s="500"/>
      <c r="AD6536" s="500"/>
      <c r="AE6536" s="500"/>
      <c r="AF6536" s="500"/>
      <c r="AG6536" s="500"/>
      <c r="AH6536" s="500"/>
      <c r="AI6536" s="500"/>
      <c r="AJ6536" s="500"/>
      <c r="AK6536" s="500"/>
      <c r="AL6536" s="500"/>
      <c r="AM6536" s="500"/>
      <c r="AN6536" s="500"/>
      <c r="AO6536" s="500"/>
      <c r="AP6536" s="500"/>
    </row>
    <row r="6537" spans="1:42" ht="16.5" customHeight="1">
      <c r="A6537" s="439"/>
      <c r="B6537" s="439"/>
      <c r="C6537" s="439"/>
      <c r="D6537" s="439"/>
      <c r="E6537" s="439"/>
      <c r="F6537" s="439"/>
      <c r="G6537" s="451" t="s">
        <v>3406</v>
      </c>
      <c r="Z6537" s="500"/>
      <c r="AA6537" s="500"/>
      <c r="AB6537" s="500"/>
      <c r="AC6537" s="500"/>
      <c r="AD6537" s="500"/>
      <c r="AE6537" s="500"/>
      <c r="AF6537" s="500"/>
      <c r="AG6537" s="500"/>
      <c r="AH6537" s="500"/>
      <c r="AI6537" s="500"/>
      <c r="AJ6537" s="500"/>
      <c r="AK6537" s="500"/>
      <c r="AL6537" s="500"/>
      <c r="AM6537" s="500"/>
      <c r="AN6537" s="500"/>
      <c r="AO6537" s="500"/>
      <c r="AP6537" s="500"/>
    </row>
    <row r="6538" spans="1:42" ht="16.5" customHeight="1">
      <c r="A6538" s="439"/>
      <c r="B6538" s="439"/>
      <c r="C6538" s="439"/>
      <c r="D6538" s="439"/>
      <c r="E6538" s="439"/>
      <c r="F6538" s="439"/>
      <c r="G6538" s="451" t="s">
        <v>3406</v>
      </c>
      <c r="Z6538" s="500"/>
      <c r="AA6538" s="500"/>
      <c r="AB6538" s="500"/>
      <c r="AC6538" s="500"/>
      <c r="AD6538" s="500"/>
      <c r="AE6538" s="500"/>
      <c r="AF6538" s="500"/>
      <c r="AG6538" s="500"/>
      <c r="AH6538" s="500"/>
      <c r="AI6538" s="500"/>
      <c r="AJ6538" s="500"/>
      <c r="AK6538" s="500"/>
      <c r="AL6538" s="500"/>
      <c r="AM6538" s="500"/>
      <c r="AN6538" s="500"/>
      <c r="AO6538" s="500"/>
      <c r="AP6538" s="500"/>
    </row>
    <row r="6539" spans="1:42" ht="16.5" customHeight="1">
      <c r="A6539" s="434"/>
      <c r="B6539" s="437" t="s">
        <v>3995</v>
      </c>
      <c r="C6539" s="516">
        <f>E6539+D6539+F6539</f>
        <v>397615.2</v>
      </c>
      <c r="D6539" s="516">
        <f>SUMIF(N6507:N6538,M6539,D6507:D6538)</f>
        <v>397615.2</v>
      </c>
      <c r="E6539" s="516">
        <f>SUMIF(N6507:N6538,M6539,E6507:E6538)</f>
        <v>0</v>
      </c>
      <c r="F6539" s="516">
        <f>SUMIF(N6507:N6538,M6539,F6507:F6538)</f>
        <v>0</v>
      </c>
      <c r="G6539" s="451" t="s">
        <v>3996</v>
      </c>
      <c r="M6539" s="501" t="s">
        <v>3994</v>
      </c>
      <c r="Z6539" s="500"/>
      <c r="AA6539" s="500"/>
      <c r="AB6539" s="500"/>
      <c r="AC6539" s="500"/>
      <c r="AD6539" s="500"/>
      <c r="AE6539" s="500"/>
      <c r="AF6539" s="500"/>
      <c r="AG6539" s="500"/>
      <c r="AH6539" s="500"/>
      <c r="AI6539" s="500"/>
      <c r="AJ6539" s="500"/>
      <c r="AK6539" s="500"/>
      <c r="AL6539" s="500"/>
      <c r="AM6539" s="500"/>
      <c r="AN6539" s="500"/>
      <c r="AO6539" s="500"/>
      <c r="AP6539" s="500"/>
    </row>
    <row r="6540" spans="1:42" ht="16.5" customHeight="1">
      <c r="A6540" s="439"/>
      <c r="B6540" s="439"/>
      <c r="C6540" s="517"/>
      <c r="D6540" s="517"/>
      <c r="E6540" s="517"/>
      <c r="F6540" s="517"/>
      <c r="G6540" s="451" t="s">
        <v>3406</v>
      </c>
      <c r="Z6540" s="500"/>
      <c r="AA6540" s="500"/>
      <c r="AB6540" s="500"/>
      <c r="AC6540" s="500"/>
      <c r="AD6540" s="500"/>
      <c r="AE6540" s="500"/>
      <c r="AF6540" s="500"/>
      <c r="AG6540" s="500"/>
      <c r="AH6540" s="500"/>
      <c r="AI6540" s="500"/>
      <c r="AJ6540" s="500"/>
      <c r="AK6540" s="500"/>
      <c r="AL6540" s="500"/>
      <c r="AM6540" s="500"/>
      <c r="AN6540" s="500"/>
      <c r="AO6540" s="500"/>
      <c r="AP6540" s="500"/>
    </row>
    <row r="6541" spans="1:42" ht="16.5" customHeight="1">
      <c r="A6541" s="439"/>
      <c r="B6541" s="439"/>
      <c r="C6541" s="439"/>
      <c r="D6541" s="439"/>
      <c r="E6541" s="439"/>
      <c r="F6541" s="439"/>
      <c r="G6541" s="451" t="s">
        <v>3406</v>
      </c>
      <c r="Z6541" s="500"/>
      <c r="AA6541" s="500"/>
      <c r="AB6541" s="500"/>
      <c r="AC6541" s="500"/>
      <c r="AD6541" s="500"/>
      <c r="AE6541" s="500"/>
      <c r="AF6541" s="500"/>
      <c r="AG6541" s="500"/>
      <c r="AH6541" s="500"/>
      <c r="AI6541" s="500"/>
      <c r="AJ6541" s="500"/>
      <c r="AK6541" s="500"/>
      <c r="AL6541" s="500"/>
      <c r="AM6541" s="500"/>
      <c r="AN6541" s="500"/>
      <c r="AO6541" s="500"/>
      <c r="AP6541" s="500"/>
    </row>
    <row r="6542" spans="1:42" ht="16.5" customHeight="1">
      <c r="A6542" s="434" t="s">
        <v>3997</v>
      </c>
      <c r="B6542" s="505" t="str">
        <f>" 경비로 적용 : "&amp;TEXT(I6542,"#,##0"&amp;IF(I6542&lt;&gt;INT(I6542),".###",""))&amp;"  = "&amp;TEXT(C6542,"#,##0.0")&amp;""</f>
        <v xml:space="preserve"> 경비로 적용 : 397,615.2  = 397,615.2</v>
      </c>
      <c r="C6542" s="506">
        <f>E6542+D6542+F6542</f>
        <v>397615.2</v>
      </c>
      <c r="D6542" s="506">
        <f>IF(H6542=0,0,ROUNDDOWN(J6542*H6542,1))</f>
        <v>0</v>
      </c>
      <c r="E6542" s="506">
        <f>IF(H6542=0,0,ROUNDDOWN(K6542*H6542,1))</f>
        <v>0</v>
      </c>
      <c r="F6542" s="506">
        <f>IF(H6542=0,0,ROUNDDOWN(L6542*H6542,1))</f>
        <v>397615.2</v>
      </c>
      <c r="G6542" s="451" t="s">
        <v>3998</v>
      </c>
      <c r="H6542" s="507">
        <f>ROUNDUP(AB6542,14-LEN(ABS(INT(AB6542))))</f>
        <v>1</v>
      </c>
      <c r="I6542" s="508">
        <f>K6542+J6542+L6542</f>
        <v>397615.2</v>
      </c>
      <c r="J6542" s="456">
        <v>0</v>
      </c>
      <c r="K6542" s="456">
        <v>0</v>
      </c>
      <c r="L6542" s="518">
        <v>397615.2</v>
      </c>
      <c r="M6542" s="501" t="s">
        <v>3999</v>
      </c>
      <c r="N6542" s="501" t="s">
        <v>2354</v>
      </c>
      <c r="Z6542" s="501" t="s">
        <v>4000</v>
      </c>
      <c r="AA6542" s="501" t="s">
        <v>3418</v>
      </c>
      <c r="AB6542" s="512">
        <f>1</f>
        <v>1</v>
      </c>
      <c r="AC6542" s="500"/>
      <c r="AD6542" s="500"/>
      <c r="AE6542" s="500"/>
      <c r="AF6542" s="500"/>
      <c r="AG6542" s="500"/>
      <c r="AH6542" s="500"/>
      <c r="AI6542" s="500"/>
      <c r="AJ6542" s="500"/>
      <c r="AK6542" s="500"/>
      <c r="AL6542" s="500"/>
      <c r="AM6542" s="500"/>
      <c r="AN6542" s="500"/>
      <c r="AO6542" s="500"/>
      <c r="AP6542" s="500"/>
    </row>
    <row r="6543" spans="1:42" ht="16.5" customHeight="1">
      <c r="A6543" s="439"/>
      <c r="B6543" s="439"/>
      <c r="C6543" s="439"/>
      <c r="D6543" s="439"/>
      <c r="E6543" s="439"/>
      <c r="F6543" s="439"/>
      <c r="Z6543" s="500"/>
      <c r="AA6543" s="500"/>
      <c r="AB6543" s="500"/>
      <c r="AC6543" s="500"/>
      <c r="AD6543" s="500"/>
      <c r="AE6543" s="500"/>
      <c r="AF6543" s="500"/>
      <c r="AG6543" s="500"/>
      <c r="AH6543" s="500"/>
      <c r="AI6543" s="500"/>
      <c r="AJ6543" s="500"/>
      <c r="AK6543" s="500"/>
      <c r="AL6543" s="500"/>
      <c r="AM6543" s="500"/>
      <c r="AN6543" s="500"/>
      <c r="AO6543" s="500"/>
      <c r="AP6543" s="500"/>
    </row>
    <row r="6544" spans="1:42" ht="16.5" customHeight="1">
      <c r="A6544" s="439"/>
      <c r="B6544" s="439"/>
      <c r="C6544" s="439"/>
      <c r="D6544" s="439"/>
      <c r="E6544" s="439"/>
      <c r="F6544" s="439"/>
      <c r="Z6544" s="500"/>
      <c r="AA6544" s="500"/>
      <c r="AB6544" s="500"/>
      <c r="AC6544" s="500"/>
      <c r="AD6544" s="500"/>
      <c r="AE6544" s="500"/>
      <c r="AF6544" s="500"/>
      <c r="AG6544" s="500"/>
      <c r="AH6544" s="500"/>
      <c r="AI6544" s="500"/>
      <c r="AJ6544" s="500"/>
      <c r="AK6544" s="500"/>
      <c r="AL6544" s="500"/>
      <c r="AM6544" s="500"/>
      <c r="AN6544" s="500"/>
      <c r="AO6544" s="500"/>
      <c r="AP6544" s="500"/>
    </row>
    <row r="6545" spans="1:42" ht="16.5" customHeight="1">
      <c r="A6545" s="439"/>
      <c r="B6545" s="439"/>
      <c r="C6545" s="439"/>
      <c r="D6545" s="439"/>
      <c r="E6545" s="439"/>
      <c r="F6545" s="439"/>
      <c r="Z6545" s="500"/>
      <c r="AA6545" s="500"/>
      <c r="AB6545" s="500"/>
      <c r="AC6545" s="500"/>
      <c r="AD6545" s="500"/>
      <c r="AE6545" s="500"/>
      <c r="AF6545" s="500"/>
      <c r="AG6545" s="500"/>
      <c r="AH6545" s="500"/>
      <c r="AI6545" s="500"/>
      <c r="AJ6545" s="500"/>
      <c r="AK6545" s="500"/>
      <c r="AL6545" s="500"/>
      <c r="AM6545" s="500"/>
      <c r="AN6545" s="500"/>
      <c r="AO6545" s="500"/>
      <c r="AP6545" s="500"/>
    </row>
    <row r="6546" spans="1:42" ht="16.5" customHeight="1">
      <c r="A6546" s="439"/>
      <c r="B6546" s="439"/>
      <c r="C6546" s="439"/>
      <c r="D6546" s="439"/>
      <c r="E6546" s="439"/>
      <c r="F6546" s="439"/>
      <c r="Z6546" s="500"/>
      <c r="AA6546" s="500"/>
      <c r="AB6546" s="500"/>
      <c r="AC6546" s="500"/>
      <c r="AD6546" s="500"/>
      <c r="AE6546" s="500"/>
      <c r="AF6546" s="500"/>
      <c r="AG6546" s="500"/>
      <c r="AH6546" s="500"/>
      <c r="AI6546" s="500"/>
      <c r="AJ6546" s="500"/>
      <c r="AK6546" s="500"/>
      <c r="AL6546" s="500"/>
      <c r="AM6546" s="500"/>
      <c r="AN6546" s="500"/>
      <c r="AO6546" s="500"/>
      <c r="AP6546" s="500"/>
    </row>
    <row r="6547" spans="1:42" ht="16.5" customHeight="1">
      <c r="A6547" s="439"/>
      <c r="B6547" s="439"/>
      <c r="C6547" s="439"/>
      <c r="D6547" s="439"/>
      <c r="E6547" s="439"/>
      <c r="F6547" s="439"/>
      <c r="Z6547" s="500"/>
      <c r="AA6547" s="500"/>
      <c r="AB6547" s="500"/>
      <c r="AC6547" s="500"/>
      <c r="AD6547" s="500"/>
      <c r="AE6547" s="500"/>
      <c r="AF6547" s="500"/>
      <c r="AG6547" s="500"/>
      <c r="AH6547" s="500"/>
      <c r="AI6547" s="500"/>
      <c r="AJ6547" s="500"/>
      <c r="AK6547" s="500"/>
      <c r="AL6547" s="500"/>
      <c r="AM6547" s="500"/>
      <c r="AN6547" s="500"/>
      <c r="AO6547" s="500"/>
      <c r="AP6547" s="500"/>
    </row>
    <row r="6548" spans="1:42" ht="16.5" customHeight="1">
      <c r="A6548" s="439"/>
      <c r="B6548" s="439"/>
      <c r="C6548" s="439"/>
      <c r="D6548" s="439"/>
      <c r="E6548" s="439"/>
      <c r="F6548" s="439"/>
      <c r="Z6548" s="500"/>
      <c r="AA6548" s="500"/>
      <c r="AB6548" s="500"/>
      <c r="AC6548" s="500"/>
      <c r="AD6548" s="500"/>
      <c r="AE6548" s="500"/>
      <c r="AF6548" s="500"/>
      <c r="AG6548" s="500"/>
      <c r="AH6548" s="500"/>
      <c r="AI6548" s="500"/>
      <c r="AJ6548" s="500"/>
      <c r="AK6548" s="500"/>
      <c r="AL6548" s="500"/>
      <c r="AM6548" s="500"/>
      <c r="AN6548" s="500"/>
      <c r="AO6548" s="500"/>
      <c r="AP6548" s="500"/>
    </row>
    <row r="6549" spans="1:42" ht="16.5" customHeight="1">
      <c r="A6549" s="439"/>
      <c r="B6549" s="439"/>
      <c r="C6549" s="439"/>
      <c r="D6549" s="439"/>
      <c r="E6549" s="439"/>
      <c r="F6549" s="439"/>
      <c r="Z6549" s="500"/>
      <c r="AA6549" s="500"/>
      <c r="AB6549" s="500"/>
      <c r="AC6549" s="500"/>
      <c r="AD6549" s="500"/>
      <c r="AE6549" s="500"/>
      <c r="AF6549" s="500"/>
      <c r="AG6549" s="500"/>
      <c r="AH6549" s="500"/>
      <c r="AI6549" s="500"/>
      <c r="AJ6549" s="500"/>
      <c r="AK6549" s="500"/>
      <c r="AL6549" s="500"/>
      <c r="AM6549" s="500"/>
      <c r="AN6549" s="500"/>
      <c r="AO6549" s="500"/>
      <c r="AP6549" s="500"/>
    </row>
    <row r="6550" spans="1:42" ht="16.5" customHeight="1">
      <c r="A6550" s="439"/>
      <c r="B6550" s="439"/>
      <c r="C6550" s="439"/>
      <c r="D6550" s="439"/>
      <c r="E6550" s="439"/>
      <c r="F6550" s="439"/>
      <c r="Z6550" s="500"/>
      <c r="AA6550" s="500"/>
      <c r="AB6550" s="500"/>
      <c r="AC6550" s="500"/>
      <c r="AD6550" s="500"/>
      <c r="AE6550" s="500"/>
      <c r="AF6550" s="500"/>
      <c r="AG6550" s="500"/>
      <c r="AH6550" s="500"/>
      <c r="AI6550" s="500"/>
      <c r="AJ6550" s="500"/>
      <c r="AK6550" s="500"/>
      <c r="AL6550" s="500"/>
      <c r="AM6550" s="500"/>
      <c r="AN6550" s="500"/>
      <c r="AO6550" s="500"/>
      <c r="AP6550" s="500"/>
    </row>
    <row r="6551" spans="1:42" ht="16.5" customHeight="1">
      <c r="A6551" s="439"/>
      <c r="B6551" s="439"/>
      <c r="C6551" s="439"/>
      <c r="D6551" s="439"/>
      <c r="E6551" s="439"/>
      <c r="F6551" s="439"/>
      <c r="Z6551" s="500"/>
      <c r="AA6551" s="500"/>
      <c r="AB6551" s="500"/>
      <c r="AC6551" s="500"/>
      <c r="AD6551" s="500"/>
      <c r="AE6551" s="500"/>
      <c r="AF6551" s="500"/>
      <c r="AG6551" s="500"/>
      <c r="AH6551" s="500"/>
      <c r="AI6551" s="500"/>
      <c r="AJ6551" s="500"/>
      <c r="AK6551" s="500"/>
      <c r="AL6551" s="500"/>
      <c r="AM6551" s="500"/>
      <c r="AN6551" s="500"/>
      <c r="AO6551" s="500"/>
      <c r="AP6551" s="500"/>
    </row>
    <row r="6552" spans="1:42" ht="16.5" customHeight="1">
      <c r="A6552" s="439"/>
      <c r="B6552" s="439"/>
      <c r="C6552" s="439"/>
      <c r="D6552" s="439"/>
      <c r="E6552" s="439"/>
      <c r="F6552" s="439"/>
      <c r="Z6552" s="500"/>
      <c r="AA6552" s="500"/>
      <c r="AB6552" s="500"/>
      <c r="AC6552" s="500"/>
      <c r="AD6552" s="500"/>
      <c r="AE6552" s="500"/>
      <c r="AF6552" s="500"/>
      <c r="AG6552" s="500"/>
      <c r="AH6552" s="500"/>
      <c r="AI6552" s="500"/>
      <c r="AJ6552" s="500"/>
      <c r="AK6552" s="500"/>
      <c r="AL6552" s="500"/>
      <c r="AM6552" s="500"/>
      <c r="AN6552" s="500"/>
      <c r="AO6552" s="500"/>
      <c r="AP6552" s="500"/>
    </row>
    <row r="6553" spans="1:42" ht="16.5" customHeight="1">
      <c r="A6553" s="497"/>
      <c r="B6553" s="497"/>
      <c r="C6553" s="497"/>
      <c r="D6553" s="497"/>
      <c r="E6553" s="497"/>
      <c r="F6553" s="497"/>
      <c r="Z6553" s="500"/>
      <c r="AA6553" s="500"/>
      <c r="AB6553" s="500"/>
      <c r="AC6553" s="500"/>
      <c r="AD6553" s="500"/>
      <c r="AE6553" s="500"/>
      <c r="AF6553" s="500"/>
      <c r="AG6553" s="500"/>
      <c r="AH6553" s="500"/>
      <c r="AI6553" s="500"/>
      <c r="AJ6553" s="500"/>
      <c r="AK6553" s="500"/>
      <c r="AL6553" s="500"/>
      <c r="AM6553" s="500"/>
      <c r="AN6553" s="500"/>
      <c r="AO6553" s="500"/>
      <c r="AP6553" s="500"/>
    </row>
    <row r="6554" spans="1:42" ht="16.5" customHeight="1">
      <c r="A6554" s="616" t="s">
        <v>3487</v>
      </c>
      <c r="B6554" s="605"/>
      <c r="C6554" s="446">
        <f>E6554+D6554+F6554</f>
        <v>397615</v>
      </c>
      <c r="D6554" s="453">
        <f>ROUNDDOWN(SUMIF(N6507:N6542,M6554,D6507:D6542),0)</f>
        <v>0</v>
      </c>
      <c r="E6554" s="454">
        <f>ROUNDDOWN(SUMIF(N6507:N6542,M6554,E6507:E6542),0)</f>
        <v>0</v>
      </c>
      <c r="F6554" s="446">
        <f>ROUNDDOWN(SUMIF(N6507:N6542,M6554,F6507:F6542),0)</f>
        <v>397615</v>
      </c>
      <c r="M6554" s="501" t="s">
        <v>2354</v>
      </c>
      <c r="Z6554" s="500"/>
      <c r="AA6554" s="500"/>
      <c r="AB6554" s="500"/>
      <c r="AC6554" s="500"/>
      <c r="AD6554" s="500"/>
      <c r="AE6554" s="500"/>
      <c r="AF6554" s="500"/>
      <c r="AG6554" s="500"/>
      <c r="AH6554" s="500"/>
      <c r="AI6554" s="500"/>
      <c r="AJ6554" s="500"/>
      <c r="AK6554" s="500"/>
      <c r="AL6554" s="500"/>
      <c r="AM6554" s="500"/>
      <c r="AN6554" s="500"/>
      <c r="AO6554" s="500"/>
      <c r="AP6554" s="500"/>
    </row>
    <row r="6555" spans="1:42" ht="16.5" customHeight="1">
      <c r="A6555" s="502"/>
      <c r="B6555" s="503" t="s">
        <v>2169</v>
      </c>
      <c r="C6555" s="615">
        <f>C6604</f>
        <v>434241</v>
      </c>
      <c r="D6555" s="615">
        <f>D6604</f>
        <v>0</v>
      </c>
      <c r="E6555" s="615">
        <f>E6604</f>
        <v>0</v>
      </c>
      <c r="F6555" s="615">
        <f>F6604</f>
        <v>434241</v>
      </c>
      <c r="G6555" s="486" t="str">
        <f>HYPERLINK("#G"&amp;ROW(G6592),"_x0005_`BDCOD|D01188_x0007_`POSS|"&amp;ROW(G6557)&amp;"_x0007_`POSE|"&amp;ROW(G6592)&amp;"_x0007_`")</f>
        <v>_x0005_`BDCOD|D01188_x0007_`POSS|6557_x0007_`POSE|6592_x0007_`</v>
      </c>
      <c r="Z6555" s="500"/>
      <c r="AA6555" s="500"/>
      <c r="AB6555" s="500"/>
      <c r="AC6555" s="500"/>
      <c r="AD6555" s="500"/>
      <c r="AE6555" s="500"/>
      <c r="AF6555" s="500"/>
      <c r="AG6555" s="500"/>
      <c r="AH6555" s="500"/>
      <c r="AI6555" s="500"/>
      <c r="AJ6555" s="500"/>
      <c r="AK6555" s="500"/>
      <c r="AL6555" s="500"/>
      <c r="AM6555" s="500"/>
      <c r="AN6555" s="500"/>
      <c r="AO6555" s="500"/>
      <c r="AP6555" s="500"/>
    </row>
    <row r="6556" spans="1:42" ht="16.5" customHeight="1">
      <c r="A6556" s="485"/>
      <c r="B6556" s="503" t="s">
        <v>4073</v>
      </c>
      <c r="C6556" s="593"/>
      <c r="D6556" s="593"/>
      <c r="E6556" s="593"/>
      <c r="F6556" s="593"/>
      <c r="M6556" s="501" t="s">
        <v>2169</v>
      </c>
      <c r="Z6556" s="500"/>
      <c r="AA6556" s="500"/>
      <c r="AB6556" s="500"/>
      <c r="AC6556" s="500"/>
      <c r="AD6556" s="500"/>
      <c r="AE6556" s="500"/>
      <c r="AF6556" s="500"/>
      <c r="AG6556" s="500"/>
      <c r="AH6556" s="500"/>
      <c r="AI6556" s="500"/>
      <c r="AJ6556" s="500"/>
      <c r="AK6556" s="500"/>
      <c r="AL6556" s="500"/>
      <c r="AM6556" s="500"/>
      <c r="AN6556" s="500"/>
      <c r="AO6556" s="500"/>
      <c r="AP6556" s="500"/>
    </row>
    <row r="6557" spans="1:42" ht="16.5" customHeight="1">
      <c r="A6557" s="434"/>
      <c r="B6557" s="437" t="s">
        <v>3980</v>
      </c>
      <c r="C6557" s="504"/>
      <c r="D6557" s="504"/>
      <c r="E6557" s="504"/>
      <c r="F6557" s="504"/>
      <c r="G6557" s="451" t="s">
        <v>3981</v>
      </c>
      <c r="Z6557" s="500"/>
      <c r="AA6557" s="500"/>
      <c r="AB6557" s="500"/>
      <c r="AC6557" s="500"/>
      <c r="AD6557" s="500"/>
      <c r="AE6557" s="500"/>
      <c r="AF6557" s="500"/>
      <c r="AG6557" s="500"/>
      <c r="AH6557" s="500"/>
      <c r="AI6557" s="500"/>
      <c r="AJ6557" s="500"/>
      <c r="AK6557" s="500"/>
      <c r="AL6557" s="500"/>
      <c r="AM6557" s="500"/>
      <c r="AN6557" s="500"/>
      <c r="AO6557" s="500"/>
      <c r="AP6557" s="500"/>
    </row>
    <row r="6558" spans="1:42" ht="16.5" customHeight="1">
      <c r="A6558" s="439"/>
      <c r="B6558" s="439"/>
      <c r="C6558" s="439"/>
      <c r="D6558" s="439"/>
      <c r="E6558" s="439"/>
      <c r="F6558" s="439"/>
      <c r="G6558" s="451" t="s">
        <v>3406</v>
      </c>
      <c r="Z6558" s="500"/>
      <c r="AA6558" s="500"/>
      <c r="AB6558" s="500"/>
      <c r="AC6558" s="500"/>
      <c r="AD6558" s="500"/>
      <c r="AE6558" s="500"/>
      <c r="AF6558" s="500"/>
      <c r="AG6558" s="500"/>
      <c r="AH6558" s="500"/>
      <c r="AI6558" s="500"/>
      <c r="AJ6558" s="500"/>
      <c r="AK6558" s="500"/>
      <c r="AL6558" s="500"/>
      <c r="AM6558" s="500"/>
      <c r="AN6558" s="500"/>
      <c r="AO6558" s="500"/>
      <c r="AP6558" s="500"/>
    </row>
    <row r="6559" spans="1:42" ht="16.5" customHeight="1">
      <c r="A6559" s="434"/>
      <c r="B6559" s="437" t="s">
        <v>4074</v>
      </c>
      <c r="C6559" s="439"/>
      <c r="D6559" s="439"/>
      <c r="E6559" s="439"/>
      <c r="F6559" s="439"/>
      <c r="G6559" s="451" t="s">
        <v>4075</v>
      </c>
      <c r="Z6559" s="500"/>
      <c r="AA6559" s="500"/>
      <c r="AB6559" s="500"/>
      <c r="AC6559" s="500"/>
      <c r="AD6559" s="500"/>
      <c r="AE6559" s="500"/>
      <c r="AF6559" s="500"/>
      <c r="AG6559" s="500"/>
      <c r="AH6559" s="500"/>
      <c r="AI6559" s="500"/>
      <c r="AJ6559" s="500"/>
      <c r="AK6559" s="500"/>
      <c r="AL6559" s="500"/>
      <c r="AM6559" s="500"/>
      <c r="AN6559" s="500"/>
      <c r="AO6559" s="500"/>
      <c r="AP6559" s="500"/>
    </row>
    <row r="6560" spans="1:42" ht="16.5" customHeight="1">
      <c r="A6560" s="439"/>
      <c r="B6560" s="439"/>
      <c r="C6560" s="439"/>
      <c r="D6560" s="439"/>
      <c r="E6560" s="439"/>
      <c r="F6560" s="439"/>
      <c r="G6560" s="451" t="s">
        <v>3406</v>
      </c>
      <c r="Z6560" s="500"/>
      <c r="AA6560" s="500"/>
      <c r="AB6560" s="500"/>
      <c r="AC6560" s="500"/>
      <c r="AD6560" s="500"/>
      <c r="AE6560" s="500"/>
      <c r="AF6560" s="500"/>
      <c r="AG6560" s="500"/>
      <c r="AH6560" s="500"/>
      <c r="AI6560" s="500"/>
      <c r="AJ6560" s="500"/>
      <c r="AK6560" s="500"/>
      <c r="AL6560" s="500"/>
      <c r="AM6560" s="500"/>
      <c r="AN6560" s="500"/>
      <c r="AO6560" s="500"/>
      <c r="AP6560" s="500"/>
    </row>
    <row r="6561" spans="1:42" ht="16.5" customHeight="1">
      <c r="A6561" s="439"/>
      <c r="B6561" s="439"/>
      <c r="C6561" s="439"/>
      <c r="D6561" s="439"/>
      <c r="E6561" s="439"/>
      <c r="F6561" s="439"/>
      <c r="G6561" s="451" t="s">
        <v>3406</v>
      </c>
      <c r="Z6561" s="500"/>
      <c r="AA6561" s="500"/>
      <c r="AB6561" s="500"/>
      <c r="AC6561" s="500"/>
      <c r="AD6561" s="500"/>
      <c r="AE6561" s="500"/>
      <c r="AF6561" s="500"/>
      <c r="AG6561" s="500"/>
      <c r="AH6561" s="500"/>
      <c r="AI6561" s="500"/>
      <c r="AJ6561" s="500"/>
      <c r="AK6561" s="500"/>
      <c r="AL6561" s="500"/>
      <c r="AM6561" s="500"/>
      <c r="AN6561" s="500"/>
      <c r="AO6561" s="500"/>
      <c r="AP6561" s="500"/>
    </row>
    <row r="6562" spans="1:42" ht="16.5" customHeight="1">
      <c r="A6562" s="434"/>
      <c r="B6562" s="437" t="s">
        <v>3984</v>
      </c>
      <c r="C6562" s="439"/>
      <c r="D6562" s="439"/>
      <c r="E6562" s="439"/>
      <c r="F6562" s="439"/>
      <c r="G6562" s="451" t="s">
        <v>3985</v>
      </c>
      <c r="Z6562" s="500"/>
      <c r="AA6562" s="500"/>
      <c r="AB6562" s="500"/>
      <c r="AC6562" s="500"/>
      <c r="AD6562" s="500"/>
      <c r="AE6562" s="500"/>
      <c r="AF6562" s="500"/>
      <c r="AG6562" s="500"/>
      <c r="AH6562" s="500"/>
      <c r="AI6562" s="500"/>
      <c r="AJ6562" s="500"/>
      <c r="AK6562" s="500"/>
      <c r="AL6562" s="500"/>
      <c r="AM6562" s="500"/>
      <c r="AN6562" s="500"/>
      <c r="AO6562" s="500"/>
      <c r="AP6562" s="500"/>
    </row>
    <row r="6563" spans="1:42" ht="16.5" customHeight="1">
      <c r="A6563" s="439"/>
      <c r="B6563" s="439"/>
      <c r="C6563" s="439"/>
      <c r="D6563" s="439"/>
      <c r="E6563" s="439"/>
      <c r="F6563" s="439"/>
      <c r="G6563" s="451" t="s">
        <v>3406</v>
      </c>
      <c r="Z6563" s="500"/>
      <c r="AA6563" s="500"/>
      <c r="AB6563" s="500"/>
      <c r="AC6563" s="500"/>
      <c r="AD6563" s="500"/>
      <c r="AE6563" s="500"/>
      <c r="AF6563" s="500"/>
      <c r="AG6563" s="500"/>
      <c r="AH6563" s="500"/>
      <c r="AI6563" s="500"/>
      <c r="AJ6563" s="500"/>
      <c r="AK6563" s="500"/>
      <c r="AL6563" s="500"/>
      <c r="AM6563" s="500"/>
      <c r="AN6563" s="500"/>
      <c r="AO6563" s="500"/>
      <c r="AP6563" s="500"/>
    </row>
    <row r="6564" spans="1:42" ht="16.5" customHeight="1">
      <c r="A6564" s="439"/>
      <c r="B6564" s="439"/>
      <c r="C6564" s="439"/>
      <c r="D6564" s="439"/>
      <c r="E6564" s="439"/>
      <c r="F6564" s="439"/>
      <c r="G6564" s="451" t="s">
        <v>3406</v>
      </c>
      <c r="Z6564" s="500"/>
      <c r="AA6564" s="500"/>
      <c r="AB6564" s="500"/>
      <c r="AC6564" s="500"/>
      <c r="AD6564" s="500"/>
      <c r="AE6564" s="500"/>
      <c r="AF6564" s="500"/>
      <c r="AG6564" s="500"/>
      <c r="AH6564" s="500"/>
      <c r="AI6564" s="500"/>
      <c r="AJ6564" s="500"/>
      <c r="AK6564" s="500"/>
      <c r="AL6564" s="500"/>
      <c r="AM6564" s="500"/>
      <c r="AN6564" s="500"/>
      <c r="AO6564" s="500"/>
      <c r="AP6564" s="500"/>
    </row>
    <row r="6565" spans="1:42" ht="16.5" customHeight="1">
      <c r="A6565" s="434"/>
      <c r="B6565" s="437" t="s">
        <v>3986</v>
      </c>
      <c r="C6565" s="439"/>
      <c r="D6565" s="439"/>
      <c r="E6565" s="439"/>
      <c r="F6565" s="439"/>
      <c r="G6565" s="451" t="s">
        <v>3987</v>
      </c>
      <c r="Z6565" s="500"/>
      <c r="AA6565" s="500"/>
      <c r="AB6565" s="500"/>
      <c r="AC6565" s="500"/>
      <c r="AD6565" s="500"/>
      <c r="AE6565" s="500"/>
      <c r="AF6565" s="500"/>
      <c r="AG6565" s="500"/>
      <c r="AH6565" s="500"/>
      <c r="AI6565" s="500"/>
      <c r="AJ6565" s="500"/>
      <c r="AK6565" s="500"/>
      <c r="AL6565" s="500"/>
      <c r="AM6565" s="500"/>
      <c r="AN6565" s="500"/>
      <c r="AO6565" s="500"/>
      <c r="AP6565" s="500"/>
    </row>
    <row r="6566" spans="1:42" ht="16.5" customHeight="1">
      <c r="A6566" s="439"/>
      <c r="B6566" s="439"/>
      <c r="C6566" s="439"/>
      <c r="D6566" s="439"/>
      <c r="E6566" s="439"/>
      <c r="F6566" s="439"/>
      <c r="G6566" s="451" t="s">
        <v>3406</v>
      </c>
      <c r="Z6566" s="500"/>
      <c r="AA6566" s="500"/>
      <c r="AB6566" s="500"/>
      <c r="AC6566" s="500"/>
      <c r="AD6566" s="500"/>
      <c r="AE6566" s="500"/>
      <c r="AF6566" s="500"/>
      <c r="AG6566" s="500"/>
      <c r="AH6566" s="500"/>
      <c r="AI6566" s="500"/>
      <c r="AJ6566" s="500"/>
      <c r="AK6566" s="500"/>
      <c r="AL6566" s="500"/>
      <c r="AM6566" s="500"/>
      <c r="AN6566" s="500"/>
      <c r="AO6566" s="500"/>
      <c r="AP6566" s="500"/>
    </row>
    <row r="6567" spans="1:42" ht="16.5" customHeight="1">
      <c r="A6567" s="439"/>
      <c r="B6567" s="439"/>
      <c r="C6567" s="439"/>
      <c r="D6567" s="439"/>
      <c r="E6567" s="439"/>
      <c r="F6567" s="439"/>
      <c r="G6567" s="451" t="s">
        <v>3406</v>
      </c>
      <c r="Z6567" s="500"/>
      <c r="AA6567" s="500"/>
      <c r="AB6567" s="500"/>
      <c r="AC6567" s="500"/>
      <c r="AD6567" s="500"/>
      <c r="AE6567" s="500"/>
      <c r="AF6567" s="500"/>
      <c r="AG6567" s="500"/>
      <c r="AH6567" s="500"/>
      <c r="AI6567" s="500"/>
      <c r="AJ6567" s="500"/>
      <c r="AK6567" s="500"/>
      <c r="AL6567" s="500"/>
      <c r="AM6567" s="500"/>
      <c r="AN6567" s="500"/>
      <c r="AO6567" s="500"/>
      <c r="AP6567" s="500"/>
    </row>
    <row r="6568" spans="1:42" ht="16.5" customHeight="1">
      <c r="A6568" s="434"/>
      <c r="B6568" s="437" t="str">
        <f>" L = "&amp;Z6568&amp;" , V = "&amp;AD6568&amp;" , t = "&amp;AH6568&amp;"  , T = "&amp;AL6568&amp;"-"&amp;AN6568&amp;""</f>
        <v xml:space="preserve"> L = 550 , V = 2500 , t = 2  , T = 480-30</v>
      </c>
      <c r="C6568" s="439"/>
      <c r="D6568" s="439"/>
      <c r="E6568" s="439"/>
      <c r="F6568" s="439"/>
      <c r="G6568" s="451" t="s">
        <v>4076</v>
      </c>
      <c r="Z6568" s="515">
        <v>550</v>
      </c>
      <c r="AA6568" s="501" t="s">
        <v>3418</v>
      </c>
      <c r="AB6568" s="512">
        <f>Z6568</f>
        <v>550</v>
      </c>
      <c r="AC6568" s="514" t="s">
        <v>3427</v>
      </c>
      <c r="AD6568" s="515">
        <v>2500</v>
      </c>
      <c r="AE6568" s="501" t="s">
        <v>3418</v>
      </c>
      <c r="AF6568" s="512">
        <f>AD6568</f>
        <v>2500</v>
      </c>
      <c r="AG6568" s="514" t="s">
        <v>3427</v>
      </c>
      <c r="AH6568" s="515">
        <v>2</v>
      </c>
      <c r="AI6568" s="501" t="s">
        <v>3418</v>
      </c>
      <c r="AJ6568" s="512">
        <f>AH6568</f>
        <v>2</v>
      </c>
      <c r="AK6568" s="514" t="s">
        <v>3427</v>
      </c>
      <c r="AL6568" s="515">
        <v>480</v>
      </c>
      <c r="AM6568" s="501" t="s">
        <v>3474</v>
      </c>
      <c r="AN6568" s="515">
        <v>30</v>
      </c>
      <c r="AO6568" s="501" t="s">
        <v>3418</v>
      </c>
      <c r="AP6568" s="512">
        <f>AL6568-AN6568</f>
        <v>450</v>
      </c>
    </row>
    <row r="6569" spans="1:42" ht="16.5" customHeight="1">
      <c r="A6569" s="439"/>
      <c r="B6569" s="439"/>
      <c r="C6569" s="439"/>
      <c r="D6569" s="439"/>
      <c r="E6569" s="439"/>
      <c r="F6569" s="439"/>
      <c r="G6569" s="451" t="s">
        <v>3406</v>
      </c>
      <c r="Z6569" s="500"/>
      <c r="AA6569" s="500"/>
      <c r="AB6569" s="500"/>
      <c r="AC6569" s="500"/>
      <c r="AD6569" s="500"/>
      <c r="AE6569" s="500"/>
      <c r="AF6569" s="500"/>
      <c r="AG6569" s="500"/>
      <c r="AH6569" s="500"/>
      <c r="AI6569" s="500"/>
      <c r="AJ6569" s="500"/>
      <c r="AK6569" s="500"/>
      <c r="AL6569" s="500"/>
      <c r="AM6569" s="500"/>
      <c r="AN6569" s="500"/>
      <c r="AO6569" s="500"/>
      <c r="AP6569" s="500"/>
    </row>
    <row r="6570" spans="1:42" ht="16.5" customHeight="1">
      <c r="A6570" s="439"/>
      <c r="B6570" s="439"/>
      <c r="C6570" s="439"/>
      <c r="D6570" s="439"/>
      <c r="E6570" s="439"/>
      <c r="F6570" s="439"/>
      <c r="G6570" s="451" t="s">
        <v>3406</v>
      </c>
      <c r="Z6570" s="500"/>
      <c r="AA6570" s="500"/>
      <c r="AB6570" s="500"/>
      <c r="AC6570" s="500"/>
      <c r="AD6570" s="500"/>
      <c r="AE6570" s="500"/>
      <c r="AF6570" s="500"/>
      <c r="AG6570" s="500"/>
      <c r="AH6570" s="500"/>
      <c r="AI6570" s="500"/>
      <c r="AJ6570" s="500"/>
      <c r="AK6570" s="500"/>
      <c r="AL6570" s="500"/>
      <c r="AM6570" s="500"/>
      <c r="AN6570" s="500"/>
      <c r="AO6570" s="500"/>
      <c r="AP6570" s="500"/>
    </row>
    <row r="6571" spans="1:42" ht="16.5" customHeight="1">
      <c r="A6571" s="439"/>
      <c r="B6571" s="439"/>
      <c r="C6571" s="439"/>
      <c r="D6571" s="439"/>
      <c r="E6571" s="439"/>
      <c r="F6571" s="439"/>
      <c r="G6571" s="451" t="s">
        <v>3406</v>
      </c>
      <c r="Z6571" s="500"/>
      <c r="AA6571" s="500"/>
      <c r="AB6571" s="500"/>
      <c r="AC6571" s="500"/>
      <c r="AD6571" s="500"/>
      <c r="AE6571" s="500"/>
      <c r="AF6571" s="500"/>
      <c r="AG6571" s="500"/>
      <c r="AH6571" s="500"/>
      <c r="AI6571" s="500"/>
      <c r="AJ6571" s="500"/>
      <c r="AK6571" s="500"/>
      <c r="AL6571" s="500"/>
      <c r="AM6571" s="500"/>
      <c r="AN6571" s="500"/>
      <c r="AO6571" s="500"/>
      <c r="AP6571" s="500"/>
    </row>
    <row r="6572" spans="1:42" ht="16.5" customHeight="1">
      <c r="A6572" s="434"/>
      <c r="B6572" s="437" t="str">
        <f>" N = V*T /( "&amp;AD6572&amp;"*L+V*"&amp;AJ6572&amp;" ) = "&amp;AM6572&amp;" 회/일 "</f>
        <v xml:space="preserve"> N = V*T /( 120*L+V*2 ) = 15.85 회/일 </v>
      </c>
      <c r="C6572" s="439"/>
      <c r="D6572" s="439"/>
      <c r="E6572" s="439"/>
      <c r="F6572" s="439"/>
      <c r="G6572" s="451" t="s">
        <v>3989</v>
      </c>
      <c r="Z6572" s="512">
        <f>AF6568</f>
        <v>2500</v>
      </c>
      <c r="AA6572" s="501" t="s">
        <v>3368</v>
      </c>
      <c r="AB6572" s="512">
        <f>AP6568</f>
        <v>450</v>
      </c>
      <c r="AC6572" s="501" t="s">
        <v>3463</v>
      </c>
      <c r="AD6572" s="515">
        <v>120</v>
      </c>
      <c r="AE6572" s="501" t="s">
        <v>3368</v>
      </c>
      <c r="AF6572" s="512">
        <f>AB6568</f>
        <v>550</v>
      </c>
      <c r="AG6572" s="501" t="s">
        <v>3468</v>
      </c>
      <c r="AH6572" s="512">
        <f>AF6568</f>
        <v>2500</v>
      </c>
      <c r="AI6572" s="501" t="s">
        <v>3368</v>
      </c>
      <c r="AJ6572" s="515">
        <v>2</v>
      </c>
      <c r="AK6572" s="501" t="s">
        <v>3464</v>
      </c>
      <c r="AL6572" s="501" t="s">
        <v>3418</v>
      </c>
      <c r="AM6572" s="512" t="str">
        <f>TEXT(ROUND(AF6568*AP6568/(AD6572*AB6568+AF6568*AJ6572),2),"#,0.00")</f>
        <v>15.85</v>
      </c>
      <c r="AN6572" s="500"/>
      <c r="AO6572" s="500"/>
      <c r="AP6572" s="500"/>
    </row>
    <row r="6573" spans="1:42" ht="16.5" customHeight="1">
      <c r="A6573" s="439"/>
      <c r="B6573" s="439"/>
      <c r="C6573" s="439"/>
      <c r="D6573" s="439"/>
      <c r="E6573" s="439"/>
      <c r="F6573" s="439"/>
      <c r="G6573" s="451" t="s">
        <v>3406</v>
      </c>
      <c r="Z6573" s="500"/>
      <c r="AA6573" s="500"/>
      <c r="AB6573" s="500"/>
      <c r="AC6573" s="500"/>
      <c r="AD6573" s="500"/>
      <c r="AE6573" s="500"/>
      <c r="AF6573" s="500"/>
      <c r="AG6573" s="500"/>
      <c r="AH6573" s="500"/>
      <c r="AI6573" s="500"/>
      <c r="AJ6573" s="500"/>
      <c r="AK6573" s="500"/>
      <c r="AL6573" s="500"/>
      <c r="AM6573" s="500"/>
      <c r="AN6573" s="500"/>
      <c r="AO6573" s="500"/>
      <c r="AP6573" s="500"/>
    </row>
    <row r="6574" spans="1:42" ht="16.5" customHeight="1">
      <c r="A6574" s="439"/>
      <c r="B6574" s="439"/>
      <c r="C6574" s="439"/>
      <c r="D6574" s="439"/>
      <c r="E6574" s="439"/>
      <c r="F6574" s="439"/>
      <c r="G6574" s="451" t="s">
        <v>3406</v>
      </c>
      <c r="Z6574" s="500"/>
      <c r="AA6574" s="500"/>
      <c r="AB6574" s="500"/>
      <c r="AC6574" s="500"/>
      <c r="AD6574" s="500"/>
      <c r="AE6574" s="500"/>
      <c r="AF6574" s="500"/>
      <c r="AG6574" s="500"/>
      <c r="AH6574" s="500"/>
      <c r="AI6574" s="500"/>
      <c r="AJ6574" s="500"/>
      <c r="AK6574" s="500"/>
      <c r="AL6574" s="500"/>
      <c r="AM6574" s="500"/>
      <c r="AN6574" s="500"/>
      <c r="AO6574" s="500"/>
      <c r="AP6574" s="500"/>
    </row>
    <row r="6575" spans="1:42" ht="16.5" customHeight="1">
      <c r="A6575" s="439"/>
      <c r="B6575" s="439"/>
      <c r="C6575" s="439"/>
      <c r="D6575" s="439"/>
      <c r="E6575" s="439"/>
      <c r="F6575" s="439"/>
      <c r="G6575" s="451" t="s">
        <v>3406</v>
      </c>
      <c r="Z6575" s="500"/>
      <c r="AA6575" s="500"/>
      <c r="AB6575" s="500"/>
      <c r="AC6575" s="500"/>
      <c r="AD6575" s="500"/>
      <c r="AE6575" s="500"/>
      <c r="AF6575" s="500"/>
      <c r="AG6575" s="500"/>
      <c r="AH6575" s="500"/>
      <c r="AI6575" s="500"/>
      <c r="AJ6575" s="500"/>
      <c r="AK6575" s="500"/>
      <c r="AL6575" s="500"/>
      <c r="AM6575" s="500"/>
      <c r="AN6575" s="500"/>
      <c r="AO6575" s="500"/>
      <c r="AP6575" s="500"/>
    </row>
    <row r="6576" spans="1:42" ht="16.5" customHeight="1">
      <c r="A6576" s="434"/>
      <c r="B6576" s="437" t="str">
        <f>" Q = N*"&amp;AB6576&amp;" ㎏ = "&amp;AD6576&amp;"  kg/일 "</f>
        <v xml:space="preserve"> Q = N*25 ㎏ = 396.25  kg/일 </v>
      </c>
      <c r="C6576" s="439"/>
      <c r="D6576" s="439"/>
      <c r="E6576" s="439"/>
      <c r="F6576" s="439"/>
      <c r="G6576" s="451" t="s">
        <v>3990</v>
      </c>
      <c r="Z6576" s="512" t="str">
        <f>AM6572</f>
        <v>15.85</v>
      </c>
      <c r="AA6576" s="501" t="s">
        <v>3368</v>
      </c>
      <c r="AB6576" s="515">
        <v>25</v>
      </c>
      <c r="AC6576" s="501" t="s">
        <v>3418</v>
      </c>
      <c r="AD6576" s="512" t="str">
        <f>TEXT(ROUND(AM6572*AB6576,2),"#,0.00")</f>
        <v>396.25</v>
      </c>
      <c r="AE6576" s="500"/>
      <c r="AF6576" s="500"/>
      <c r="AG6576" s="500"/>
      <c r="AH6576" s="500"/>
      <c r="AI6576" s="500"/>
      <c r="AJ6576" s="500"/>
      <c r="AK6576" s="500"/>
      <c r="AL6576" s="500"/>
      <c r="AM6576" s="500"/>
      <c r="AN6576" s="500"/>
      <c r="AO6576" s="500"/>
      <c r="AP6576" s="500"/>
    </row>
    <row r="6577" spans="1:42" ht="16.5" customHeight="1">
      <c r="A6577" s="439"/>
      <c r="B6577" s="439"/>
      <c r="C6577" s="439"/>
      <c r="D6577" s="439"/>
      <c r="E6577" s="439"/>
      <c r="F6577" s="439"/>
      <c r="G6577" s="451" t="s">
        <v>3406</v>
      </c>
      <c r="Z6577" s="500"/>
      <c r="AA6577" s="500"/>
      <c r="AB6577" s="500"/>
      <c r="AC6577" s="500"/>
      <c r="AD6577" s="500"/>
      <c r="AE6577" s="500"/>
      <c r="AF6577" s="500"/>
      <c r="AG6577" s="500"/>
      <c r="AH6577" s="500"/>
      <c r="AI6577" s="500"/>
      <c r="AJ6577" s="500"/>
      <c r="AK6577" s="500"/>
      <c r="AL6577" s="500"/>
      <c r="AM6577" s="500"/>
      <c r="AN6577" s="500"/>
      <c r="AO6577" s="500"/>
      <c r="AP6577" s="500"/>
    </row>
    <row r="6578" spans="1:42" ht="16.5" customHeight="1">
      <c r="A6578" s="439"/>
      <c r="B6578" s="439"/>
      <c r="C6578" s="439"/>
      <c r="D6578" s="439"/>
      <c r="E6578" s="439"/>
      <c r="F6578" s="439"/>
      <c r="G6578" s="451" t="s">
        <v>3406</v>
      </c>
      <c r="Z6578" s="500"/>
      <c r="AA6578" s="500"/>
      <c r="AB6578" s="500"/>
      <c r="AC6578" s="500"/>
      <c r="AD6578" s="500"/>
      <c r="AE6578" s="500"/>
      <c r="AF6578" s="500"/>
      <c r="AG6578" s="500"/>
      <c r="AH6578" s="500"/>
      <c r="AI6578" s="500"/>
      <c r="AJ6578" s="500"/>
      <c r="AK6578" s="500"/>
      <c r="AL6578" s="500"/>
      <c r="AM6578" s="500"/>
      <c r="AN6578" s="500"/>
      <c r="AO6578" s="500"/>
      <c r="AP6578" s="500"/>
    </row>
    <row r="6579" spans="1:42" ht="16.5" customHeight="1">
      <c r="A6579" s="439"/>
      <c r="B6579" s="439"/>
      <c r="C6579" s="439"/>
      <c r="D6579" s="439"/>
      <c r="E6579" s="439"/>
      <c r="F6579" s="439"/>
      <c r="G6579" s="451" t="s">
        <v>3406</v>
      </c>
      <c r="Z6579" s="500"/>
      <c r="AA6579" s="500"/>
      <c r="AB6579" s="500"/>
      <c r="AC6579" s="500"/>
      <c r="AD6579" s="500"/>
      <c r="AE6579" s="500"/>
      <c r="AF6579" s="500"/>
      <c r="AG6579" s="500"/>
      <c r="AH6579" s="500"/>
      <c r="AI6579" s="500"/>
      <c r="AJ6579" s="500"/>
      <c r="AK6579" s="500"/>
      <c r="AL6579" s="500"/>
      <c r="AM6579" s="500"/>
      <c r="AN6579" s="500"/>
      <c r="AO6579" s="500"/>
      <c r="AP6579" s="500"/>
    </row>
    <row r="6580" spans="1:42" ht="16.5" customHeight="1">
      <c r="A6580" s="434"/>
      <c r="B6580" s="437" t="str">
        <f>" k = "&amp;Z6580&amp;" kg /Q"</f>
        <v xml:space="preserve"> k = 1000 kg /Q</v>
      </c>
      <c r="C6580" s="439"/>
      <c r="D6580" s="439"/>
      <c r="E6580" s="439"/>
      <c r="F6580" s="439"/>
      <c r="G6580" s="451" t="s">
        <v>3991</v>
      </c>
      <c r="Z6580" s="515">
        <v>1000</v>
      </c>
      <c r="AA6580" s="501" t="s">
        <v>3428</v>
      </c>
      <c r="AB6580" s="512" t="str">
        <f>AD6576</f>
        <v>396.25</v>
      </c>
      <c r="AC6580" s="501" t="s">
        <v>3418</v>
      </c>
      <c r="AD6580" s="512">
        <f>ROUND(Z6580/AD6576,13)</f>
        <v>2.5236593059937</v>
      </c>
      <c r="AE6580" s="500"/>
      <c r="AF6580" s="500"/>
      <c r="AG6580" s="500"/>
      <c r="AH6580" s="500"/>
      <c r="AI6580" s="500"/>
      <c r="AJ6580" s="500"/>
      <c r="AK6580" s="500"/>
      <c r="AL6580" s="500"/>
      <c r="AM6580" s="500"/>
      <c r="AN6580" s="500"/>
      <c r="AO6580" s="500"/>
      <c r="AP6580" s="500"/>
    </row>
    <row r="6581" spans="1:42" ht="16.5" customHeight="1">
      <c r="A6581" s="439"/>
      <c r="B6581" s="439"/>
      <c r="C6581" s="439"/>
      <c r="D6581" s="439"/>
      <c r="E6581" s="439"/>
      <c r="F6581" s="439"/>
      <c r="G6581" s="451" t="s">
        <v>3406</v>
      </c>
      <c r="Z6581" s="500"/>
      <c r="AA6581" s="500"/>
      <c r="AB6581" s="500"/>
      <c r="AC6581" s="500"/>
      <c r="AD6581" s="500"/>
      <c r="AE6581" s="500"/>
      <c r="AF6581" s="500"/>
      <c r="AG6581" s="500"/>
      <c r="AH6581" s="500"/>
      <c r="AI6581" s="500"/>
      <c r="AJ6581" s="500"/>
      <c r="AK6581" s="500"/>
      <c r="AL6581" s="500"/>
      <c r="AM6581" s="500"/>
      <c r="AN6581" s="500"/>
      <c r="AO6581" s="500"/>
      <c r="AP6581" s="500"/>
    </row>
    <row r="6582" spans="1:42" ht="16.5" customHeight="1">
      <c r="A6582" s="439"/>
      <c r="B6582" s="439"/>
      <c r="C6582" s="439"/>
      <c r="D6582" s="439"/>
      <c r="E6582" s="439"/>
      <c r="F6582" s="439"/>
      <c r="G6582" s="451" t="s">
        <v>3406</v>
      </c>
      <c r="Z6582" s="500"/>
      <c r="AA6582" s="500"/>
      <c r="AB6582" s="500"/>
      <c r="AC6582" s="500"/>
      <c r="AD6582" s="500"/>
      <c r="AE6582" s="500"/>
      <c r="AF6582" s="500"/>
      <c r="AG6582" s="500"/>
      <c r="AH6582" s="500"/>
      <c r="AI6582" s="500"/>
      <c r="AJ6582" s="500"/>
      <c r="AK6582" s="500"/>
      <c r="AL6582" s="500"/>
      <c r="AM6582" s="500"/>
      <c r="AN6582" s="500"/>
      <c r="AO6582" s="500"/>
      <c r="AP6582" s="500"/>
    </row>
    <row r="6583" spans="1:42" ht="16.5" customHeight="1">
      <c r="A6583" s="439"/>
      <c r="B6583" s="439"/>
      <c r="C6583" s="439"/>
      <c r="D6583" s="439"/>
      <c r="E6583" s="439"/>
      <c r="F6583" s="439"/>
      <c r="G6583" s="451" t="s">
        <v>3406</v>
      </c>
      <c r="Z6583" s="500"/>
      <c r="AA6583" s="500"/>
      <c r="AB6583" s="500"/>
      <c r="AC6583" s="500"/>
      <c r="AD6583" s="500"/>
      <c r="AE6583" s="500"/>
      <c r="AF6583" s="500"/>
      <c r="AG6583" s="500"/>
      <c r="AH6583" s="500"/>
      <c r="AI6583" s="500"/>
      <c r="AJ6583" s="500"/>
      <c r="AK6583" s="500"/>
      <c r="AL6583" s="500"/>
      <c r="AM6583" s="500"/>
      <c r="AN6583" s="500"/>
      <c r="AO6583" s="500"/>
      <c r="AP6583" s="500"/>
    </row>
    <row r="6584" spans="1:42" ht="16.5" customHeight="1">
      <c r="A6584" s="434" t="s">
        <v>3992</v>
      </c>
      <c r="B6584" s="505" t="str">
        <f>" 인    부: "&amp;TEXT(I6584,"#,##0"&amp;IF(I6584&lt;&gt;INT(I6584),".###",""))&amp;"*k = "&amp;TEXT(C6584,"#,##0.0")&amp;" 원 "</f>
        <v xml:space="preserve"> 인    부: 172,068*k = 434,241.0 원 </v>
      </c>
      <c r="C6584" s="506">
        <f>E6584+D6584+F6584</f>
        <v>434241</v>
      </c>
      <c r="D6584" s="506">
        <f>IF(H6584=0,0,ROUNDDOWN(J6584*H6584,1))</f>
        <v>434241</v>
      </c>
      <c r="E6584" s="506">
        <f>IF(H6584=0,0,ROUNDDOWN(K6584*H6584,1))</f>
        <v>0</v>
      </c>
      <c r="F6584" s="506">
        <f>IF(H6584=0,0,ROUNDDOWN(L6584*H6584,1))</f>
        <v>0</v>
      </c>
      <c r="G6584" s="451" t="s">
        <v>3993</v>
      </c>
      <c r="H6584" s="507">
        <f>ROUNDUP(AC6584,14-LEN(ABS(INT(AC6584))))</f>
        <v>2.5236593059937</v>
      </c>
      <c r="I6584" s="508">
        <f>K6584+J6584+L6584</f>
        <v>172068</v>
      </c>
      <c r="J6584" s="509">
        <f>노무비목록표!E10</f>
        <v>172068</v>
      </c>
      <c r="M6584" s="501" t="s">
        <v>2363</v>
      </c>
      <c r="N6584" s="501" t="s">
        <v>3994</v>
      </c>
      <c r="X6584" s="510" t="str">
        <f>노무비목록표!B10&amp;" / "&amp;노무비목록표!C10</f>
        <v xml:space="preserve">보통인부 / </v>
      </c>
      <c r="Y6584" s="433" t="str">
        <f ca="1">HYPERLINK("#"&amp;노무비목록표!G2&amp;"!A"&amp;ROW(노무비목록표!A10),"L00017 →")</f>
        <v>L00017 →</v>
      </c>
      <c r="Z6584" s="501" t="s">
        <v>3500</v>
      </c>
      <c r="AA6584" s="512">
        <f>AD6580</f>
        <v>2.5236593059937</v>
      </c>
      <c r="AB6584" s="501" t="s">
        <v>3418</v>
      </c>
      <c r="AC6584" s="512">
        <f>1*AD6580</f>
        <v>2.5236593059937</v>
      </c>
      <c r="AD6584" s="500"/>
      <c r="AE6584" s="500"/>
      <c r="AF6584" s="500"/>
      <c r="AG6584" s="500"/>
      <c r="AH6584" s="500"/>
      <c r="AI6584" s="500"/>
      <c r="AJ6584" s="500"/>
      <c r="AK6584" s="500"/>
      <c r="AL6584" s="500"/>
      <c r="AM6584" s="500"/>
      <c r="AN6584" s="500"/>
      <c r="AO6584" s="500"/>
      <c r="AP6584" s="500"/>
    </row>
    <row r="6585" spans="1:42" ht="16.5" customHeight="1">
      <c r="A6585" s="439"/>
      <c r="B6585" s="439"/>
      <c r="C6585" s="439"/>
      <c r="D6585" s="439"/>
      <c r="E6585" s="439"/>
      <c r="F6585" s="439"/>
      <c r="G6585" s="451" t="s">
        <v>3406</v>
      </c>
      <c r="Z6585" s="500"/>
      <c r="AA6585" s="500"/>
      <c r="AB6585" s="500"/>
      <c r="AC6585" s="500"/>
      <c r="AD6585" s="500"/>
      <c r="AE6585" s="500"/>
      <c r="AF6585" s="500"/>
      <c r="AG6585" s="500"/>
      <c r="AH6585" s="500"/>
      <c r="AI6585" s="500"/>
      <c r="AJ6585" s="500"/>
      <c r="AK6585" s="500"/>
      <c r="AL6585" s="500"/>
      <c r="AM6585" s="500"/>
      <c r="AN6585" s="500"/>
      <c r="AO6585" s="500"/>
      <c r="AP6585" s="500"/>
    </row>
    <row r="6586" spans="1:42" ht="16.5" customHeight="1">
      <c r="A6586" s="439"/>
      <c r="B6586" s="439"/>
      <c r="C6586" s="439"/>
      <c r="D6586" s="439"/>
      <c r="E6586" s="439"/>
      <c r="F6586" s="439"/>
      <c r="G6586" s="451" t="s">
        <v>3406</v>
      </c>
      <c r="Z6586" s="500"/>
      <c r="AA6586" s="500"/>
      <c r="AB6586" s="500"/>
      <c r="AC6586" s="500"/>
      <c r="AD6586" s="500"/>
      <c r="AE6586" s="500"/>
      <c r="AF6586" s="500"/>
      <c r="AG6586" s="500"/>
      <c r="AH6586" s="500"/>
      <c r="AI6586" s="500"/>
      <c r="AJ6586" s="500"/>
      <c r="AK6586" s="500"/>
      <c r="AL6586" s="500"/>
      <c r="AM6586" s="500"/>
      <c r="AN6586" s="500"/>
      <c r="AO6586" s="500"/>
      <c r="AP6586" s="500"/>
    </row>
    <row r="6587" spans="1:42" ht="16.5" customHeight="1">
      <c r="A6587" s="439"/>
      <c r="B6587" s="439"/>
      <c r="C6587" s="439"/>
      <c r="D6587" s="439"/>
      <c r="E6587" s="439"/>
      <c r="F6587" s="439"/>
      <c r="G6587" s="451" t="s">
        <v>3406</v>
      </c>
      <c r="Z6587" s="500"/>
      <c r="AA6587" s="500"/>
      <c r="AB6587" s="500"/>
      <c r="AC6587" s="500"/>
      <c r="AD6587" s="500"/>
      <c r="AE6587" s="500"/>
      <c r="AF6587" s="500"/>
      <c r="AG6587" s="500"/>
      <c r="AH6587" s="500"/>
      <c r="AI6587" s="500"/>
      <c r="AJ6587" s="500"/>
      <c r="AK6587" s="500"/>
      <c r="AL6587" s="500"/>
      <c r="AM6587" s="500"/>
      <c r="AN6587" s="500"/>
      <c r="AO6587" s="500"/>
      <c r="AP6587" s="500"/>
    </row>
    <row r="6588" spans="1:42" ht="16.5" customHeight="1">
      <c r="A6588" s="439"/>
      <c r="B6588" s="439"/>
      <c r="C6588" s="439"/>
      <c r="D6588" s="439"/>
      <c r="E6588" s="439"/>
      <c r="F6588" s="439"/>
      <c r="G6588" s="451" t="s">
        <v>3406</v>
      </c>
      <c r="Z6588" s="500"/>
      <c r="AA6588" s="500"/>
      <c r="AB6588" s="500"/>
      <c r="AC6588" s="500"/>
      <c r="AD6588" s="500"/>
      <c r="AE6588" s="500"/>
      <c r="AF6588" s="500"/>
      <c r="AG6588" s="500"/>
      <c r="AH6588" s="500"/>
      <c r="AI6588" s="500"/>
      <c r="AJ6588" s="500"/>
      <c r="AK6588" s="500"/>
      <c r="AL6588" s="500"/>
      <c r="AM6588" s="500"/>
      <c r="AN6588" s="500"/>
      <c r="AO6588" s="500"/>
      <c r="AP6588" s="500"/>
    </row>
    <row r="6589" spans="1:42" ht="16.5" customHeight="1">
      <c r="A6589" s="434"/>
      <c r="B6589" s="437" t="s">
        <v>3995</v>
      </c>
      <c r="C6589" s="516">
        <f>E6589+D6589+F6589</f>
        <v>434241</v>
      </c>
      <c r="D6589" s="516">
        <f>SUMIF(N6557:N6588,M6589,D6557:D6588)</f>
        <v>434241</v>
      </c>
      <c r="E6589" s="516">
        <f>SUMIF(N6557:N6588,M6589,E6557:E6588)</f>
        <v>0</v>
      </c>
      <c r="F6589" s="516">
        <f>SUMIF(N6557:N6588,M6589,F6557:F6588)</f>
        <v>0</v>
      </c>
      <c r="G6589" s="451" t="s">
        <v>3996</v>
      </c>
      <c r="M6589" s="501" t="s">
        <v>3994</v>
      </c>
      <c r="Z6589" s="500"/>
      <c r="AA6589" s="500"/>
      <c r="AB6589" s="500"/>
      <c r="AC6589" s="500"/>
      <c r="AD6589" s="500"/>
      <c r="AE6589" s="500"/>
      <c r="AF6589" s="500"/>
      <c r="AG6589" s="500"/>
      <c r="AH6589" s="500"/>
      <c r="AI6589" s="500"/>
      <c r="AJ6589" s="500"/>
      <c r="AK6589" s="500"/>
      <c r="AL6589" s="500"/>
      <c r="AM6589" s="500"/>
      <c r="AN6589" s="500"/>
      <c r="AO6589" s="500"/>
      <c r="AP6589" s="500"/>
    </row>
    <row r="6590" spans="1:42" ht="16.5" customHeight="1">
      <c r="A6590" s="439"/>
      <c r="B6590" s="439"/>
      <c r="C6590" s="517"/>
      <c r="D6590" s="517"/>
      <c r="E6590" s="517"/>
      <c r="F6590" s="517"/>
      <c r="G6590" s="451" t="s">
        <v>3406</v>
      </c>
      <c r="Z6590" s="500"/>
      <c r="AA6590" s="500"/>
      <c r="AB6590" s="500"/>
      <c r="AC6590" s="500"/>
      <c r="AD6590" s="500"/>
      <c r="AE6590" s="500"/>
      <c r="AF6590" s="500"/>
      <c r="AG6590" s="500"/>
      <c r="AH6590" s="500"/>
      <c r="AI6590" s="500"/>
      <c r="AJ6590" s="500"/>
      <c r="AK6590" s="500"/>
      <c r="AL6590" s="500"/>
      <c r="AM6590" s="500"/>
      <c r="AN6590" s="500"/>
      <c r="AO6590" s="500"/>
      <c r="AP6590" s="500"/>
    </row>
    <row r="6591" spans="1:42" ht="16.5" customHeight="1">
      <c r="A6591" s="439"/>
      <c r="B6591" s="439"/>
      <c r="C6591" s="439"/>
      <c r="D6591" s="439"/>
      <c r="E6591" s="439"/>
      <c r="F6591" s="439"/>
      <c r="G6591" s="451" t="s">
        <v>3406</v>
      </c>
      <c r="Z6591" s="500"/>
      <c r="AA6591" s="500"/>
      <c r="AB6591" s="500"/>
      <c r="AC6591" s="500"/>
      <c r="AD6591" s="500"/>
      <c r="AE6591" s="500"/>
      <c r="AF6591" s="500"/>
      <c r="AG6591" s="500"/>
      <c r="AH6591" s="500"/>
      <c r="AI6591" s="500"/>
      <c r="AJ6591" s="500"/>
      <c r="AK6591" s="500"/>
      <c r="AL6591" s="500"/>
      <c r="AM6591" s="500"/>
      <c r="AN6591" s="500"/>
      <c r="AO6591" s="500"/>
      <c r="AP6591" s="500"/>
    </row>
    <row r="6592" spans="1:42" ht="16.5" customHeight="1">
      <c r="A6592" s="434" t="s">
        <v>3997</v>
      </c>
      <c r="B6592" s="505" t="str">
        <f>" 경비로 적용 : "&amp;TEXT(I6592,"#,##0"&amp;IF(I6592&lt;&gt;INT(I6592),".###",""))&amp;"  = "&amp;TEXT(C6592,"#,##0.0")&amp;""</f>
        <v xml:space="preserve"> 경비로 적용 : 434,241  = 434,241.0</v>
      </c>
      <c r="C6592" s="506">
        <f>E6592+D6592+F6592</f>
        <v>434241</v>
      </c>
      <c r="D6592" s="506">
        <f>IF(H6592=0,0,ROUNDDOWN(J6592*H6592,1))</f>
        <v>0</v>
      </c>
      <c r="E6592" s="506">
        <f>IF(H6592=0,0,ROUNDDOWN(K6592*H6592,1))</f>
        <v>0</v>
      </c>
      <c r="F6592" s="506">
        <f>IF(H6592=0,0,ROUNDDOWN(L6592*H6592,1))</f>
        <v>434241</v>
      </c>
      <c r="G6592" s="451" t="s">
        <v>3998</v>
      </c>
      <c r="H6592" s="507">
        <f>ROUNDUP(AB6592,14-LEN(ABS(INT(AB6592))))</f>
        <v>1</v>
      </c>
      <c r="I6592" s="508">
        <f>K6592+J6592+L6592</f>
        <v>434241</v>
      </c>
      <c r="J6592" s="456">
        <v>0</v>
      </c>
      <c r="K6592" s="456">
        <v>0</v>
      </c>
      <c r="L6592" s="456">
        <v>434241</v>
      </c>
      <c r="M6592" s="501" t="s">
        <v>3999</v>
      </c>
      <c r="N6592" s="501" t="s">
        <v>2354</v>
      </c>
      <c r="Z6592" s="501" t="s">
        <v>4000</v>
      </c>
      <c r="AA6592" s="501" t="s">
        <v>3418</v>
      </c>
      <c r="AB6592" s="512">
        <f>1</f>
        <v>1</v>
      </c>
      <c r="AC6592" s="500"/>
      <c r="AD6592" s="500"/>
      <c r="AE6592" s="500"/>
      <c r="AF6592" s="500"/>
      <c r="AG6592" s="500"/>
      <c r="AH6592" s="500"/>
      <c r="AI6592" s="500"/>
      <c r="AJ6592" s="500"/>
      <c r="AK6592" s="500"/>
      <c r="AL6592" s="500"/>
      <c r="AM6592" s="500"/>
      <c r="AN6592" s="500"/>
      <c r="AO6592" s="500"/>
      <c r="AP6592" s="500"/>
    </row>
    <row r="6593" spans="1:42" ht="16.5" customHeight="1">
      <c r="A6593" s="439"/>
      <c r="B6593" s="439"/>
      <c r="C6593" s="439"/>
      <c r="D6593" s="439"/>
      <c r="E6593" s="439"/>
      <c r="F6593" s="439"/>
      <c r="Z6593" s="500"/>
      <c r="AA6593" s="500"/>
      <c r="AB6593" s="500"/>
      <c r="AC6593" s="500"/>
      <c r="AD6593" s="500"/>
      <c r="AE6593" s="500"/>
      <c r="AF6593" s="500"/>
      <c r="AG6593" s="500"/>
      <c r="AH6593" s="500"/>
      <c r="AI6593" s="500"/>
      <c r="AJ6593" s="500"/>
      <c r="AK6593" s="500"/>
      <c r="AL6593" s="500"/>
      <c r="AM6593" s="500"/>
      <c r="AN6593" s="500"/>
      <c r="AO6593" s="500"/>
      <c r="AP6593" s="500"/>
    </row>
    <row r="6594" spans="1:42" ht="16.5" customHeight="1">
      <c r="A6594" s="439"/>
      <c r="B6594" s="439"/>
      <c r="C6594" s="439"/>
      <c r="D6594" s="439"/>
      <c r="E6594" s="439"/>
      <c r="F6594" s="439"/>
      <c r="Z6594" s="500"/>
      <c r="AA6594" s="500"/>
      <c r="AB6594" s="500"/>
      <c r="AC6594" s="500"/>
      <c r="AD6594" s="500"/>
      <c r="AE6594" s="500"/>
      <c r="AF6594" s="500"/>
      <c r="AG6594" s="500"/>
      <c r="AH6594" s="500"/>
      <c r="AI6594" s="500"/>
      <c r="AJ6594" s="500"/>
      <c r="AK6594" s="500"/>
      <c r="AL6594" s="500"/>
      <c r="AM6594" s="500"/>
      <c r="AN6594" s="500"/>
      <c r="AO6594" s="500"/>
      <c r="AP6594" s="500"/>
    </row>
    <row r="6595" spans="1:42" ht="16.5" customHeight="1">
      <c r="A6595" s="439"/>
      <c r="B6595" s="439"/>
      <c r="C6595" s="439"/>
      <c r="D6595" s="439"/>
      <c r="E6595" s="439"/>
      <c r="F6595" s="439"/>
      <c r="Z6595" s="500"/>
      <c r="AA6595" s="500"/>
      <c r="AB6595" s="500"/>
      <c r="AC6595" s="500"/>
      <c r="AD6595" s="500"/>
      <c r="AE6595" s="500"/>
      <c r="AF6595" s="500"/>
      <c r="AG6595" s="500"/>
      <c r="AH6595" s="500"/>
      <c r="AI6595" s="500"/>
      <c r="AJ6595" s="500"/>
      <c r="AK6595" s="500"/>
      <c r="AL6595" s="500"/>
      <c r="AM6595" s="500"/>
      <c r="AN6595" s="500"/>
      <c r="AO6595" s="500"/>
      <c r="AP6595" s="500"/>
    </row>
    <row r="6596" spans="1:42" ht="16.5" customHeight="1">
      <c r="A6596" s="439"/>
      <c r="B6596" s="439"/>
      <c r="C6596" s="439"/>
      <c r="D6596" s="439"/>
      <c r="E6596" s="439"/>
      <c r="F6596" s="439"/>
      <c r="Z6596" s="500"/>
      <c r="AA6596" s="500"/>
      <c r="AB6596" s="500"/>
      <c r="AC6596" s="500"/>
      <c r="AD6596" s="500"/>
      <c r="AE6596" s="500"/>
      <c r="AF6596" s="500"/>
      <c r="AG6596" s="500"/>
      <c r="AH6596" s="500"/>
      <c r="AI6596" s="500"/>
      <c r="AJ6596" s="500"/>
      <c r="AK6596" s="500"/>
      <c r="AL6596" s="500"/>
      <c r="AM6596" s="500"/>
      <c r="AN6596" s="500"/>
      <c r="AO6596" s="500"/>
      <c r="AP6596" s="500"/>
    </row>
    <row r="6597" spans="1:42" ht="16.5" customHeight="1">
      <c r="A6597" s="439"/>
      <c r="B6597" s="439"/>
      <c r="C6597" s="439"/>
      <c r="D6597" s="439"/>
      <c r="E6597" s="439"/>
      <c r="F6597" s="439"/>
      <c r="Z6597" s="500"/>
      <c r="AA6597" s="500"/>
      <c r="AB6597" s="500"/>
      <c r="AC6597" s="500"/>
      <c r="AD6597" s="500"/>
      <c r="AE6597" s="500"/>
      <c r="AF6597" s="500"/>
      <c r="AG6597" s="500"/>
      <c r="AH6597" s="500"/>
      <c r="AI6597" s="500"/>
      <c r="AJ6597" s="500"/>
      <c r="AK6597" s="500"/>
      <c r="AL6597" s="500"/>
      <c r="AM6597" s="500"/>
      <c r="AN6597" s="500"/>
      <c r="AO6597" s="500"/>
      <c r="AP6597" s="500"/>
    </row>
    <row r="6598" spans="1:42" ht="16.5" customHeight="1">
      <c r="A6598" s="439"/>
      <c r="B6598" s="439"/>
      <c r="C6598" s="439"/>
      <c r="D6598" s="439"/>
      <c r="E6598" s="439"/>
      <c r="F6598" s="439"/>
      <c r="Z6598" s="500"/>
      <c r="AA6598" s="500"/>
      <c r="AB6598" s="500"/>
      <c r="AC6598" s="500"/>
      <c r="AD6598" s="500"/>
      <c r="AE6598" s="500"/>
      <c r="AF6598" s="500"/>
      <c r="AG6598" s="500"/>
      <c r="AH6598" s="500"/>
      <c r="AI6598" s="500"/>
      <c r="AJ6598" s="500"/>
      <c r="AK6598" s="500"/>
      <c r="AL6598" s="500"/>
      <c r="AM6598" s="500"/>
      <c r="AN6598" s="500"/>
      <c r="AO6598" s="500"/>
      <c r="AP6598" s="500"/>
    </row>
    <row r="6599" spans="1:42" ht="16.5" customHeight="1">
      <c r="A6599" s="439"/>
      <c r="B6599" s="439"/>
      <c r="C6599" s="439"/>
      <c r="D6599" s="439"/>
      <c r="E6599" s="439"/>
      <c r="F6599" s="439"/>
      <c r="Z6599" s="500"/>
      <c r="AA6599" s="500"/>
      <c r="AB6599" s="500"/>
      <c r="AC6599" s="500"/>
      <c r="AD6599" s="500"/>
      <c r="AE6599" s="500"/>
      <c r="AF6599" s="500"/>
      <c r="AG6599" s="500"/>
      <c r="AH6599" s="500"/>
      <c r="AI6599" s="500"/>
      <c r="AJ6599" s="500"/>
      <c r="AK6599" s="500"/>
      <c r="AL6599" s="500"/>
      <c r="AM6599" s="500"/>
      <c r="AN6599" s="500"/>
      <c r="AO6599" s="500"/>
      <c r="AP6599" s="500"/>
    </row>
    <row r="6600" spans="1:42" ht="16.5" customHeight="1">
      <c r="A6600" s="439"/>
      <c r="B6600" s="439"/>
      <c r="C6600" s="439"/>
      <c r="D6600" s="439"/>
      <c r="E6600" s="439"/>
      <c r="F6600" s="439"/>
      <c r="Z6600" s="500"/>
      <c r="AA6600" s="500"/>
      <c r="AB6600" s="500"/>
      <c r="AC6600" s="500"/>
      <c r="AD6600" s="500"/>
      <c r="AE6600" s="500"/>
      <c r="AF6600" s="500"/>
      <c r="AG6600" s="500"/>
      <c r="AH6600" s="500"/>
      <c r="AI6600" s="500"/>
      <c r="AJ6600" s="500"/>
      <c r="AK6600" s="500"/>
      <c r="AL6600" s="500"/>
      <c r="AM6600" s="500"/>
      <c r="AN6600" s="500"/>
      <c r="AO6600" s="500"/>
      <c r="AP6600" s="500"/>
    </row>
    <row r="6601" spans="1:42" ht="16.5" customHeight="1">
      <c r="A6601" s="439"/>
      <c r="B6601" s="439"/>
      <c r="C6601" s="439"/>
      <c r="D6601" s="439"/>
      <c r="E6601" s="439"/>
      <c r="F6601" s="439"/>
      <c r="Z6601" s="500"/>
      <c r="AA6601" s="500"/>
      <c r="AB6601" s="500"/>
      <c r="AC6601" s="500"/>
      <c r="AD6601" s="500"/>
      <c r="AE6601" s="500"/>
      <c r="AF6601" s="500"/>
      <c r="AG6601" s="500"/>
      <c r="AH6601" s="500"/>
      <c r="AI6601" s="500"/>
      <c r="AJ6601" s="500"/>
      <c r="AK6601" s="500"/>
      <c r="AL6601" s="500"/>
      <c r="AM6601" s="500"/>
      <c r="AN6601" s="500"/>
      <c r="AO6601" s="500"/>
      <c r="AP6601" s="500"/>
    </row>
    <row r="6602" spans="1:42" ht="16.5" customHeight="1">
      <c r="A6602" s="439"/>
      <c r="B6602" s="439"/>
      <c r="C6602" s="439"/>
      <c r="D6602" s="439"/>
      <c r="E6602" s="439"/>
      <c r="F6602" s="439"/>
      <c r="Z6602" s="500"/>
      <c r="AA6602" s="500"/>
      <c r="AB6602" s="500"/>
      <c r="AC6602" s="500"/>
      <c r="AD6602" s="500"/>
      <c r="AE6602" s="500"/>
      <c r="AF6602" s="500"/>
      <c r="AG6602" s="500"/>
      <c r="AH6602" s="500"/>
      <c r="AI6602" s="500"/>
      <c r="AJ6602" s="500"/>
      <c r="AK6602" s="500"/>
      <c r="AL6602" s="500"/>
      <c r="AM6602" s="500"/>
      <c r="AN6602" s="500"/>
      <c r="AO6602" s="500"/>
      <c r="AP6602" s="500"/>
    </row>
    <row r="6603" spans="1:42" ht="16.5" customHeight="1">
      <c r="A6603" s="497"/>
      <c r="B6603" s="497"/>
      <c r="C6603" s="497"/>
      <c r="D6603" s="497"/>
      <c r="E6603" s="497"/>
      <c r="F6603" s="497"/>
      <c r="Z6603" s="500"/>
      <c r="AA6603" s="500"/>
      <c r="AB6603" s="500"/>
      <c r="AC6603" s="500"/>
      <c r="AD6603" s="500"/>
      <c r="AE6603" s="500"/>
      <c r="AF6603" s="500"/>
      <c r="AG6603" s="500"/>
      <c r="AH6603" s="500"/>
      <c r="AI6603" s="500"/>
      <c r="AJ6603" s="500"/>
      <c r="AK6603" s="500"/>
      <c r="AL6603" s="500"/>
      <c r="AM6603" s="500"/>
      <c r="AN6603" s="500"/>
      <c r="AO6603" s="500"/>
      <c r="AP6603" s="500"/>
    </row>
    <row r="6604" spans="1:42" ht="16.5" customHeight="1">
      <c r="A6604" s="616" t="s">
        <v>3487</v>
      </c>
      <c r="B6604" s="605"/>
      <c r="C6604" s="446">
        <f>E6604+D6604+F6604</f>
        <v>434241</v>
      </c>
      <c r="D6604" s="453">
        <f>ROUNDDOWN(SUMIF(N6557:N6592,M6604,D6557:D6592),0)</f>
        <v>0</v>
      </c>
      <c r="E6604" s="454">
        <f>ROUNDDOWN(SUMIF(N6557:N6592,M6604,E6557:E6592),0)</f>
        <v>0</v>
      </c>
      <c r="F6604" s="446">
        <f>ROUNDDOWN(SUMIF(N6557:N6592,M6604,F6557:F6592),0)</f>
        <v>434241</v>
      </c>
      <c r="M6604" s="501" t="s">
        <v>2354</v>
      </c>
      <c r="Z6604" s="500"/>
      <c r="AA6604" s="500"/>
      <c r="AB6604" s="500"/>
      <c r="AC6604" s="500"/>
      <c r="AD6604" s="500"/>
      <c r="AE6604" s="500"/>
      <c r="AF6604" s="500"/>
      <c r="AG6604" s="500"/>
      <c r="AH6604" s="500"/>
      <c r="AI6604" s="500"/>
      <c r="AJ6604" s="500"/>
      <c r="AK6604" s="500"/>
      <c r="AL6604" s="500"/>
      <c r="AM6604" s="500"/>
      <c r="AN6604" s="500"/>
      <c r="AO6604" s="500"/>
      <c r="AP6604" s="500"/>
    </row>
    <row r="6605" spans="1:42" ht="16.5" customHeight="1">
      <c r="A6605" s="502"/>
      <c r="B6605" s="503" t="s">
        <v>2173</v>
      </c>
      <c r="C6605" s="615">
        <f>C6654</f>
        <v>471096</v>
      </c>
      <c r="D6605" s="615">
        <f>D6654</f>
        <v>0</v>
      </c>
      <c r="E6605" s="615">
        <f>E6654</f>
        <v>0</v>
      </c>
      <c r="F6605" s="615">
        <f>F6654</f>
        <v>471096</v>
      </c>
      <c r="G6605" s="486" t="str">
        <f>HYPERLINK("#G"&amp;ROW(G6642),"_x0005_`BDCOD|D01189_x0007_`POSS|"&amp;ROW(G6607)&amp;"_x0007_`POSE|"&amp;ROW(G6642)&amp;"_x0007_`")</f>
        <v>_x0005_`BDCOD|D01189_x0007_`POSS|6607_x0007_`POSE|6642_x0007_`</v>
      </c>
      <c r="Z6605" s="500"/>
      <c r="AA6605" s="500"/>
      <c r="AB6605" s="500"/>
      <c r="AC6605" s="500"/>
      <c r="AD6605" s="500"/>
      <c r="AE6605" s="500"/>
      <c r="AF6605" s="500"/>
      <c r="AG6605" s="500"/>
      <c r="AH6605" s="500"/>
      <c r="AI6605" s="500"/>
      <c r="AJ6605" s="500"/>
      <c r="AK6605" s="500"/>
      <c r="AL6605" s="500"/>
      <c r="AM6605" s="500"/>
      <c r="AN6605" s="500"/>
      <c r="AO6605" s="500"/>
      <c r="AP6605" s="500"/>
    </row>
    <row r="6606" spans="1:42" ht="16.5" customHeight="1">
      <c r="A6606" s="485"/>
      <c r="B6606" s="503" t="s">
        <v>4077</v>
      </c>
      <c r="C6606" s="593"/>
      <c r="D6606" s="593"/>
      <c r="E6606" s="593"/>
      <c r="F6606" s="593"/>
      <c r="M6606" s="501" t="s">
        <v>2173</v>
      </c>
      <c r="Z6606" s="500"/>
      <c r="AA6606" s="500"/>
      <c r="AB6606" s="500"/>
      <c r="AC6606" s="500"/>
      <c r="AD6606" s="500"/>
      <c r="AE6606" s="500"/>
      <c r="AF6606" s="500"/>
      <c r="AG6606" s="500"/>
      <c r="AH6606" s="500"/>
      <c r="AI6606" s="500"/>
      <c r="AJ6606" s="500"/>
      <c r="AK6606" s="500"/>
      <c r="AL6606" s="500"/>
      <c r="AM6606" s="500"/>
      <c r="AN6606" s="500"/>
      <c r="AO6606" s="500"/>
      <c r="AP6606" s="500"/>
    </row>
    <row r="6607" spans="1:42" ht="16.5" customHeight="1">
      <c r="A6607" s="434"/>
      <c r="B6607" s="437" t="s">
        <v>3980</v>
      </c>
      <c r="C6607" s="504"/>
      <c r="D6607" s="504"/>
      <c r="E6607" s="504"/>
      <c r="F6607" s="504"/>
      <c r="G6607" s="451" t="s">
        <v>3981</v>
      </c>
      <c r="Z6607" s="500"/>
      <c r="AA6607" s="500"/>
      <c r="AB6607" s="500"/>
      <c r="AC6607" s="500"/>
      <c r="AD6607" s="500"/>
      <c r="AE6607" s="500"/>
      <c r="AF6607" s="500"/>
      <c r="AG6607" s="500"/>
      <c r="AH6607" s="500"/>
      <c r="AI6607" s="500"/>
      <c r="AJ6607" s="500"/>
      <c r="AK6607" s="500"/>
      <c r="AL6607" s="500"/>
      <c r="AM6607" s="500"/>
      <c r="AN6607" s="500"/>
      <c r="AO6607" s="500"/>
      <c r="AP6607" s="500"/>
    </row>
    <row r="6608" spans="1:42" ht="16.5" customHeight="1">
      <c r="A6608" s="439"/>
      <c r="B6608" s="439"/>
      <c r="C6608" s="439"/>
      <c r="D6608" s="439"/>
      <c r="E6608" s="439"/>
      <c r="F6608" s="439"/>
      <c r="G6608" s="451" t="s">
        <v>3406</v>
      </c>
      <c r="Z6608" s="500"/>
      <c r="AA6608" s="500"/>
      <c r="AB6608" s="500"/>
      <c r="AC6608" s="500"/>
      <c r="AD6608" s="500"/>
      <c r="AE6608" s="500"/>
      <c r="AF6608" s="500"/>
      <c r="AG6608" s="500"/>
      <c r="AH6608" s="500"/>
      <c r="AI6608" s="500"/>
      <c r="AJ6608" s="500"/>
      <c r="AK6608" s="500"/>
      <c r="AL6608" s="500"/>
      <c r="AM6608" s="500"/>
      <c r="AN6608" s="500"/>
      <c r="AO6608" s="500"/>
      <c r="AP6608" s="500"/>
    </row>
    <row r="6609" spans="1:42" ht="16.5" customHeight="1">
      <c r="A6609" s="434"/>
      <c r="B6609" s="437" t="s">
        <v>4078</v>
      </c>
      <c r="C6609" s="439"/>
      <c r="D6609" s="439"/>
      <c r="E6609" s="439"/>
      <c r="F6609" s="439"/>
      <c r="G6609" s="451" t="s">
        <v>4079</v>
      </c>
      <c r="Z6609" s="500"/>
      <c r="AA6609" s="500"/>
      <c r="AB6609" s="500"/>
      <c r="AC6609" s="500"/>
      <c r="AD6609" s="500"/>
      <c r="AE6609" s="500"/>
      <c r="AF6609" s="500"/>
      <c r="AG6609" s="500"/>
      <c r="AH6609" s="500"/>
      <c r="AI6609" s="500"/>
      <c r="AJ6609" s="500"/>
      <c r="AK6609" s="500"/>
      <c r="AL6609" s="500"/>
      <c r="AM6609" s="500"/>
      <c r="AN6609" s="500"/>
      <c r="AO6609" s="500"/>
      <c r="AP6609" s="500"/>
    </row>
    <row r="6610" spans="1:42" ht="16.5" customHeight="1">
      <c r="A6610" s="439"/>
      <c r="B6610" s="439"/>
      <c r="C6610" s="439"/>
      <c r="D6610" s="439"/>
      <c r="E6610" s="439"/>
      <c r="F6610" s="439"/>
      <c r="G6610" s="451" t="s">
        <v>3406</v>
      </c>
      <c r="Z6610" s="500"/>
      <c r="AA6610" s="500"/>
      <c r="AB6610" s="500"/>
      <c r="AC6610" s="500"/>
      <c r="AD6610" s="500"/>
      <c r="AE6610" s="500"/>
      <c r="AF6610" s="500"/>
      <c r="AG6610" s="500"/>
      <c r="AH6610" s="500"/>
      <c r="AI6610" s="500"/>
      <c r="AJ6610" s="500"/>
      <c r="AK6610" s="500"/>
      <c r="AL6610" s="500"/>
      <c r="AM6610" s="500"/>
      <c r="AN6610" s="500"/>
      <c r="AO6610" s="500"/>
      <c r="AP6610" s="500"/>
    </row>
    <row r="6611" spans="1:42" ht="16.5" customHeight="1">
      <c r="A6611" s="439"/>
      <c r="B6611" s="439"/>
      <c r="C6611" s="439"/>
      <c r="D6611" s="439"/>
      <c r="E6611" s="439"/>
      <c r="F6611" s="439"/>
      <c r="G6611" s="451" t="s">
        <v>3406</v>
      </c>
      <c r="Z6611" s="500"/>
      <c r="AA6611" s="500"/>
      <c r="AB6611" s="500"/>
      <c r="AC6611" s="500"/>
      <c r="AD6611" s="500"/>
      <c r="AE6611" s="500"/>
      <c r="AF6611" s="500"/>
      <c r="AG6611" s="500"/>
      <c r="AH6611" s="500"/>
      <c r="AI6611" s="500"/>
      <c r="AJ6611" s="500"/>
      <c r="AK6611" s="500"/>
      <c r="AL6611" s="500"/>
      <c r="AM6611" s="500"/>
      <c r="AN6611" s="500"/>
      <c r="AO6611" s="500"/>
      <c r="AP6611" s="500"/>
    </row>
    <row r="6612" spans="1:42" ht="16.5" customHeight="1">
      <c r="A6612" s="434"/>
      <c r="B6612" s="437" t="s">
        <v>3984</v>
      </c>
      <c r="C6612" s="439"/>
      <c r="D6612" s="439"/>
      <c r="E6612" s="439"/>
      <c r="F6612" s="439"/>
      <c r="G6612" s="451" t="s">
        <v>3985</v>
      </c>
      <c r="Z6612" s="500"/>
      <c r="AA6612" s="500"/>
      <c r="AB6612" s="500"/>
      <c r="AC6612" s="500"/>
      <c r="AD6612" s="500"/>
      <c r="AE6612" s="500"/>
      <c r="AF6612" s="500"/>
      <c r="AG6612" s="500"/>
      <c r="AH6612" s="500"/>
      <c r="AI6612" s="500"/>
      <c r="AJ6612" s="500"/>
      <c r="AK6612" s="500"/>
      <c r="AL6612" s="500"/>
      <c r="AM6612" s="500"/>
      <c r="AN6612" s="500"/>
      <c r="AO6612" s="500"/>
      <c r="AP6612" s="500"/>
    </row>
    <row r="6613" spans="1:42" ht="16.5" customHeight="1">
      <c r="A6613" s="439"/>
      <c r="B6613" s="439"/>
      <c r="C6613" s="439"/>
      <c r="D6613" s="439"/>
      <c r="E6613" s="439"/>
      <c r="F6613" s="439"/>
      <c r="G6613" s="451" t="s">
        <v>3406</v>
      </c>
      <c r="Z6613" s="500"/>
      <c r="AA6613" s="500"/>
      <c r="AB6613" s="500"/>
      <c r="AC6613" s="500"/>
      <c r="AD6613" s="500"/>
      <c r="AE6613" s="500"/>
      <c r="AF6613" s="500"/>
      <c r="AG6613" s="500"/>
      <c r="AH6613" s="500"/>
      <c r="AI6613" s="500"/>
      <c r="AJ6613" s="500"/>
      <c r="AK6613" s="500"/>
      <c r="AL6613" s="500"/>
      <c r="AM6613" s="500"/>
      <c r="AN6613" s="500"/>
      <c r="AO6613" s="500"/>
      <c r="AP6613" s="500"/>
    </row>
    <row r="6614" spans="1:42" ht="16.5" customHeight="1">
      <c r="A6614" s="439"/>
      <c r="B6614" s="439"/>
      <c r="C6614" s="439"/>
      <c r="D6614" s="439"/>
      <c r="E6614" s="439"/>
      <c r="F6614" s="439"/>
      <c r="G6614" s="451" t="s">
        <v>3406</v>
      </c>
      <c r="Z6614" s="500"/>
      <c r="AA6614" s="500"/>
      <c r="AB6614" s="500"/>
      <c r="AC6614" s="500"/>
      <c r="AD6614" s="500"/>
      <c r="AE6614" s="500"/>
      <c r="AF6614" s="500"/>
      <c r="AG6614" s="500"/>
      <c r="AH6614" s="500"/>
      <c r="AI6614" s="500"/>
      <c r="AJ6614" s="500"/>
      <c r="AK6614" s="500"/>
      <c r="AL6614" s="500"/>
      <c r="AM6614" s="500"/>
      <c r="AN6614" s="500"/>
      <c r="AO6614" s="500"/>
      <c r="AP6614" s="500"/>
    </row>
    <row r="6615" spans="1:42" ht="16.5" customHeight="1">
      <c r="A6615" s="434"/>
      <c r="B6615" s="437" t="s">
        <v>3986</v>
      </c>
      <c r="C6615" s="439"/>
      <c r="D6615" s="439"/>
      <c r="E6615" s="439"/>
      <c r="F6615" s="439"/>
      <c r="G6615" s="451" t="s">
        <v>3987</v>
      </c>
      <c r="Z6615" s="500"/>
      <c r="AA6615" s="500"/>
      <c r="AB6615" s="500"/>
      <c r="AC6615" s="500"/>
      <c r="AD6615" s="500"/>
      <c r="AE6615" s="500"/>
      <c r="AF6615" s="500"/>
      <c r="AG6615" s="500"/>
      <c r="AH6615" s="500"/>
      <c r="AI6615" s="500"/>
      <c r="AJ6615" s="500"/>
      <c r="AK6615" s="500"/>
      <c r="AL6615" s="500"/>
      <c r="AM6615" s="500"/>
      <c r="AN6615" s="500"/>
      <c r="AO6615" s="500"/>
      <c r="AP6615" s="500"/>
    </row>
    <row r="6616" spans="1:42" ht="16.5" customHeight="1">
      <c r="A6616" s="439"/>
      <c r="B6616" s="439"/>
      <c r="C6616" s="439"/>
      <c r="D6616" s="439"/>
      <c r="E6616" s="439"/>
      <c r="F6616" s="439"/>
      <c r="G6616" s="451" t="s">
        <v>3406</v>
      </c>
      <c r="Z6616" s="500"/>
      <c r="AA6616" s="500"/>
      <c r="AB6616" s="500"/>
      <c r="AC6616" s="500"/>
      <c r="AD6616" s="500"/>
      <c r="AE6616" s="500"/>
      <c r="AF6616" s="500"/>
      <c r="AG6616" s="500"/>
      <c r="AH6616" s="500"/>
      <c r="AI6616" s="500"/>
      <c r="AJ6616" s="500"/>
      <c r="AK6616" s="500"/>
      <c r="AL6616" s="500"/>
      <c r="AM6616" s="500"/>
      <c r="AN6616" s="500"/>
      <c r="AO6616" s="500"/>
      <c r="AP6616" s="500"/>
    </row>
    <row r="6617" spans="1:42" ht="16.5" customHeight="1">
      <c r="A6617" s="439"/>
      <c r="B6617" s="439"/>
      <c r="C6617" s="439"/>
      <c r="D6617" s="439"/>
      <c r="E6617" s="439"/>
      <c r="F6617" s="439"/>
      <c r="G6617" s="451" t="s">
        <v>3406</v>
      </c>
      <c r="Z6617" s="500"/>
      <c r="AA6617" s="500"/>
      <c r="AB6617" s="500"/>
      <c r="AC6617" s="500"/>
      <c r="AD6617" s="500"/>
      <c r="AE6617" s="500"/>
      <c r="AF6617" s="500"/>
      <c r="AG6617" s="500"/>
      <c r="AH6617" s="500"/>
      <c r="AI6617" s="500"/>
      <c r="AJ6617" s="500"/>
      <c r="AK6617" s="500"/>
      <c r="AL6617" s="500"/>
      <c r="AM6617" s="500"/>
      <c r="AN6617" s="500"/>
      <c r="AO6617" s="500"/>
      <c r="AP6617" s="500"/>
    </row>
    <row r="6618" spans="1:42" ht="16.5" customHeight="1">
      <c r="A6618" s="434"/>
      <c r="B6618" s="437" t="str">
        <f>" L = "&amp;Z6618&amp;" , V = "&amp;AD6618&amp;" , t = "&amp;AH6618&amp;"  , T = "&amp;AL6618&amp;"-"&amp;AN6618&amp;""</f>
        <v xml:space="preserve"> L = 600 , V = 2500 , t = 2  , T = 480-30</v>
      </c>
      <c r="C6618" s="439"/>
      <c r="D6618" s="439"/>
      <c r="E6618" s="439"/>
      <c r="F6618" s="439"/>
      <c r="G6618" s="451" t="s">
        <v>4080</v>
      </c>
      <c r="Z6618" s="515">
        <v>600</v>
      </c>
      <c r="AA6618" s="501" t="s">
        <v>3418</v>
      </c>
      <c r="AB6618" s="512">
        <f>Z6618</f>
        <v>600</v>
      </c>
      <c r="AC6618" s="514" t="s">
        <v>3427</v>
      </c>
      <c r="AD6618" s="515">
        <v>2500</v>
      </c>
      <c r="AE6618" s="501" t="s">
        <v>3418</v>
      </c>
      <c r="AF6618" s="512">
        <f>AD6618</f>
        <v>2500</v>
      </c>
      <c r="AG6618" s="514" t="s">
        <v>3427</v>
      </c>
      <c r="AH6618" s="515">
        <v>2</v>
      </c>
      <c r="AI6618" s="501" t="s">
        <v>3418</v>
      </c>
      <c r="AJ6618" s="512">
        <f>AH6618</f>
        <v>2</v>
      </c>
      <c r="AK6618" s="514" t="s">
        <v>3427</v>
      </c>
      <c r="AL6618" s="515">
        <v>480</v>
      </c>
      <c r="AM6618" s="501" t="s">
        <v>3474</v>
      </c>
      <c r="AN6618" s="515">
        <v>30</v>
      </c>
      <c r="AO6618" s="501" t="s">
        <v>3418</v>
      </c>
      <c r="AP6618" s="512">
        <f>AL6618-AN6618</f>
        <v>450</v>
      </c>
    </row>
    <row r="6619" spans="1:42" ht="16.5" customHeight="1">
      <c r="A6619" s="439"/>
      <c r="B6619" s="439"/>
      <c r="C6619" s="439"/>
      <c r="D6619" s="439"/>
      <c r="E6619" s="439"/>
      <c r="F6619" s="439"/>
      <c r="G6619" s="451" t="s">
        <v>3406</v>
      </c>
      <c r="Z6619" s="500"/>
      <c r="AA6619" s="500"/>
      <c r="AB6619" s="500"/>
      <c r="AC6619" s="500"/>
      <c r="AD6619" s="500"/>
      <c r="AE6619" s="500"/>
      <c r="AF6619" s="500"/>
      <c r="AG6619" s="500"/>
      <c r="AH6619" s="500"/>
      <c r="AI6619" s="500"/>
      <c r="AJ6619" s="500"/>
      <c r="AK6619" s="500"/>
      <c r="AL6619" s="500"/>
      <c r="AM6619" s="500"/>
      <c r="AN6619" s="500"/>
      <c r="AO6619" s="500"/>
      <c r="AP6619" s="500"/>
    </row>
    <row r="6620" spans="1:42" ht="16.5" customHeight="1">
      <c r="A6620" s="439"/>
      <c r="B6620" s="439"/>
      <c r="C6620" s="439"/>
      <c r="D6620" s="439"/>
      <c r="E6620" s="439"/>
      <c r="F6620" s="439"/>
      <c r="G6620" s="451" t="s">
        <v>3406</v>
      </c>
      <c r="Z6620" s="500"/>
      <c r="AA6620" s="500"/>
      <c r="AB6620" s="500"/>
      <c r="AC6620" s="500"/>
      <c r="AD6620" s="500"/>
      <c r="AE6620" s="500"/>
      <c r="AF6620" s="500"/>
      <c r="AG6620" s="500"/>
      <c r="AH6620" s="500"/>
      <c r="AI6620" s="500"/>
      <c r="AJ6620" s="500"/>
      <c r="AK6620" s="500"/>
      <c r="AL6620" s="500"/>
      <c r="AM6620" s="500"/>
      <c r="AN6620" s="500"/>
      <c r="AO6620" s="500"/>
      <c r="AP6620" s="500"/>
    </row>
    <row r="6621" spans="1:42" ht="16.5" customHeight="1">
      <c r="A6621" s="439"/>
      <c r="B6621" s="439"/>
      <c r="C6621" s="439"/>
      <c r="D6621" s="439"/>
      <c r="E6621" s="439"/>
      <c r="F6621" s="439"/>
      <c r="G6621" s="451" t="s">
        <v>3406</v>
      </c>
      <c r="Z6621" s="500"/>
      <c r="AA6621" s="500"/>
      <c r="AB6621" s="500"/>
      <c r="AC6621" s="500"/>
      <c r="AD6621" s="500"/>
      <c r="AE6621" s="500"/>
      <c r="AF6621" s="500"/>
      <c r="AG6621" s="500"/>
      <c r="AH6621" s="500"/>
      <c r="AI6621" s="500"/>
      <c r="AJ6621" s="500"/>
      <c r="AK6621" s="500"/>
      <c r="AL6621" s="500"/>
      <c r="AM6621" s="500"/>
      <c r="AN6621" s="500"/>
      <c r="AO6621" s="500"/>
      <c r="AP6621" s="500"/>
    </row>
    <row r="6622" spans="1:42" ht="16.5" customHeight="1">
      <c r="A6622" s="434"/>
      <c r="B6622" s="437" t="str">
        <f>" N = V*T /( "&amp;AD6622&amp;"*L+V*"&amp;AJ6622&amp;" ) = "&amp;AM6622&amp;" 회/일 "</f>
        <v xml:space="preserve"> N = V*T /( 120*L+V*2 ) = 14.61 회/일 </v>
      </c>
      <c r="C6622" s="439"/>
      <c r="D6622" s="439"/>
      <c r="E6622" s="439"/>
      <c r="F6622" s="439"/>
      <c r="G6622" s="451" t="s">
        <v>3989</v>
      </c>
      <c r="Z6622" s="512">
        <f>AF6618</f>
        <v>2500</v>
      </c>
      <c r="AA6622" s="501" t="s">
        <v>3368</v>
      </c>
      <c r="AB6622" s="512">
        <f>AP6618</f>
        <v>450</v>
      </c>
      <c r="AC6622" s="501" t="s">
        <v>3463</v>
      </c>
      <c r="AD6622" s="515">
        <v>120</v>
      </c>
      <c r="AE6622" s="501" t="s">
        <v>3368</v>
      </c>
      <c r="AF6622" s="512">
        <f>AB6618</f>
        <v>600</v>
      </c>
      <c r="AG6622" s="501" t="s">
        <v>3468</v>
      </c>
      <c r="AH6622" s="512">
        <f>AF6618</f>
        <v>2500</v>
      </c>
      <c r="AI6622" s="501" t="s">
        <v>3368</v>
      </c>
      <c r="AJ6622" s="515">
        <v>2</v>
      </c>
      <c r="AK6622" s="501" t="s">
        <v>3464</v>
      </c>
      <c r="AL6622" s="501" t="s">
        <v>3418</v>
      </c>
      <c r="AM6622" s="512" t="str">
        <f>TEXT(ROUND(AF6618*AP6618/(AD6622*AB6618+AF6618*AJ6622),2),"#,0.00")</f>
        <v>14.61</v>
      </c>
      <c r="AN6622" s="500"/>
      <c r="AO6622" s="500"/>
      <c r="AP6622" s="500"/>
    </row>
    <row r="6623" spans="1:42" ht="16.5" customHeight="1">
      <c r="A6623" s="439"/>
      <c r="B6623" s="439"/>
      <c r="C6623" s="439"/>
      <c r="D6623" s="439"/>
      <c r="E6623" s="439"/>
      <c r="F6623" s="439"/>
      <c r="G6623" s="451" t="s">
        <v>3406</v>
      </c>
      <c r="Z6623" s="500"/>
      <c r="AA6623" s="500"/>
      <c r="AB6623" s="500"/>
      <c r="AC6623" s="500"/>
      <c r="AD6623" s="500"/>
      <c r="AE6623" s="500"/>
      <c r="AF6623" s="500"/>
      <c r="AG6623" s="500"/>
      <c r="AH6623" s="500"/>
      <c r="AI6623" s="500"/>
      <c r="AJ6623" s="500"/>
      <c r="AK6623" s="500"/>
      <c r="AL6623" s="500"/>
      <c r="AM6623" s="500"/>
      <c r="AN6623" s="500"/>
      <c r="AO6623" s="500"/>
      <c r="AP6623" s="500"/>
    </row>
    <row r="6624" spans="1:42" ht="16.5" customHeight="1">
      <c r="A6624" s="439"/>
      <c r="B6624" s="439"/>
      <c r="C6624" s="439"/>
      <c r="D6624" s="439"/>
      <c r="E6624" s="439"/>
      <c r="F6624" s="439"/>
      <c r="G6624" s="451" t="s">
        <v>3406</v>
      </c>
      <c r="Z6624" s="500"/>
      <c r="AA6624" s="500"/>
      <c r="AB6624" s="500"/>
      <c r="AC6624" s="500"/>
      <c r="AD6624" s="500"/>
      <c r="AE6624" s="500"/>
      <c r="AF6624" s="500"/>
      <c r="AG6624" s="500"/>
      <c r="AH6624" s="500"/>
      <c r="AI6624" s="500"/>
      <c r="AJ6624" s="500"/>
      <c r="AK6624" s="500"/>
      <c r="AL6624" s="500"/>
      <c r="AM6624" s="500"/>
      <c r="AN6624" s="500"/>
      <c r="AO6624" s="500"/>
      <c r="AP6624" s="500"/>
    </row>
    <row r="6625" spans="1:42" ht="16.5" customHeight="1">
      <c r="A6625" s="439"/>
      <c r="B6625" s="439"/>
      <c r="C6625" s="439"/>
      <c r="D6625" s="439"/>
      <c r="E6625" s="439"/>
      <c r="F6625" s="439"/>
      <c r="G6625" s="451" t="s">
        <v>3406</v>
      </c>
      <c r="Z6625" s="500"/>
      <c r="AA6625" s="500"/>
      <c r="AB6625" s="500"/>
      <c r="AC6625" s="500"/>
      <c r="AD6625" s="500"/>
      <c r="AE6625" s="500"/>
      <c r="AF6625" s="500"/>
      <c r="AG6625" s="500"/>
      <c r="AH6625" s="500"/>
      <c r="AI6625" s="500"/>
      <c r="AJ6625" s="500"/>
      <c r="AK6625" s="500"/>
      <c r="AL6625" s="500"/>
      <c r="AM6625" s="500"/>
      <c r="AN6625" s="500"/>
      <c r="AO6625" s="500"/>
      <c r="AP6625" s="500"/>
    </row>
    <row r="6626" spans="1:42" ht="16.5" customHeight="1">
      <c r="A6626" s="434"/>
      <c r="B6626" s="437" t="str">
        <f>" Q = N*"&amp;AB6626&amp;" ㎏ = "&amp;AD6626&amp;"  kg/일 "</f>
        <v xml:space="preserve"> Q = N*25 ㎏ = 365.25  kg/일 </v>
      </c>
      <c r="C6626" s="439"/>
      <c r="D6626" s="439"/>
      <c r="E6626" s="439"/>
      <c r="F6626" s="439"/>
      <c r="G6626" s="451" t="s">
        <v>3990</v>
      </c>
      <c r="Z6626" s="512" t="str">
        <f>AM6622</f>
        <v>14.61</v>
      </c>
      <c r="AA6626" s="501" t="s">
        <v>3368</v>
      </c>
      <c r="AB6626" s="515">
        <v>25</v>
      </c>
      <c r="AC6626" s="501" t="s">
        <v>3418</v>
      </c>
      <c r="AD6626" s="512" t="str">
        <f>TEXT(ROUND(AM6622*AB6626,2),"#,0.00")</f>
        <v>365.25</v>
      </c>
      <c r="AE6626" s="500"/>
      <c r="AF6626" s="500"/>
      <c r="AG6626" s="500"/>
      <c r="AH6626" s="500"/>
      <c r="AI6626" s="500"/>
      <c r="AJ6626" s="500"/>
      <c r="AK6626" s="500"/>
      <c r="AL6626" s="500"/>
      <c r="AM6626" s="500"/>
      <c r="AN6626" s="500"/>
      <c r="AO6626" s="500"/>
      <c r="AP6626" s="500"/>
    </row>
    <row r="6627" spans="1:42" ht="16.5" customHeight="1">
      <c r="A6627" s="439"/>
      <c r="B6627" s="439"/>
      <c r="C6627" s="439"/>
      <c r="D6627" s="439"/>
      <c r="E6627" s="439"/>
      <c r="F6627" s="439"/>
      <c r="G6627" s="451" t="s">
        <v>3406</v>
      </c>
      <c r="Z6627" s="500"/>
      <c r="AA6627" s="500"/>
      <c r="AB6627" s="500"/>
      <c r="AC6627" s="500"/>
      <c r="AD6627" s="500"/>
      <c r="AE6627" s="500"/>
      <c r="AF6627" s="500"/>
      <c r="AG6627" s="500"/>
      <c r="AH6627" s="500"/>
      <c r="AI6627" s="500"/>
      <c r="AJ6627" s="500"/>
      <c r="AK6627" s="500"/>
      <c r="AL6627" s="500"/>
      <c r="AM6627" s="500"/>
      <c r="AN6627" s="500"/>
      <c r="AO6627" s="500"/>
      <c r="AP6627" s="500"/>
    </row>
    <row r="6628" spans="1:42" ht="16.5" customHeight="1">
      <c r="A6628" s="439"/>
      <c r="B6628" s="439"/>
      <c r="C6628" s="439"/>
      <c r="D6628" s="439"/>
      <c r="E6628" s="439"/>
      <c r="F6628" s="439"/>
      <c r="G6628" s="451" t="s">
        <v>3406</v>
      </c>
      <c r="Z6628" s="500"/>
      <c r="AA6628" s="500"/>
      <c r="AB6628" s="500"/>
      <c r="AC6628" s="500"/>
      <c r="AD6628" s="500"/>
      <c r="AE6628" s="500"/>
      <c r="AF6628" s="500"/>
      <c r="AG6628" s="500"/>
      <c r="AH6628" s="500"/>
      <c r="AI6628" s="500"/>
      <c r="AJ6628" s="500"/>
      <c r="AK6628" s="500"/>
      <c r="AL6628" s="500"/>
      <c r="AM6628" s="500"/>
      <c r="AN6628" s="500"/>
      <c r="AO6628" s="500"/>
      <c r="AP6628" s="500"/>
    </row>
    <row r="6629" spans="1:42" ht="16.5" customHeight="1">
      <c r="A6629" s="439"/>
      <c r="B6629" s="439"/>
      <c r="C6629" s="439"/>
      <c r="D6629" s="439"/>
      <c r="E6629" s="439"/>
      <c r="F6629" s="439"/>
      <c r="G6629" s="451" t="s">
        <v>3406</v>
      </c>
      <c r="Z6629" s="500"/>
      <c r="AA6629" s="500"/>
      <c r="AB6629" s="500"/>
      <c r="AC6629" s="500"/>
      <c r="AD6629" s="500"/>
      <c r="AE6629" s="500"/>
      <c r="AF6629" s="500"/>
      <c r="AG6629" s="500"/>
      <c r="AH6629" s="500"/>
      <c r="AI6629" s="500"/>
      <c r="AJ6629" s="500"/>
      <c r="AK6629" s="500"/>
      <c r="AL6629" s="500"/>
      <c r="AM6629" s="500"/>
      <c r="AN6629" s="500"/>
      <c r="AO6629" s="500"/>
      <c r="AP6629" s="500"/>
    </row>
    <row r="6630" spans="1:42" ht="16.5" customHeight="1">
      <c r="A6630" s="434"/>
      <c r="B6630" s="437" t="str">
        <f>" k = "&amp;Z6630&amp;" kg /Q"</f>
        <v xml:space="preserve"> k = 1000 kg /Q</v>
      </c>
      <c r="C6630" s="439"/>
      <c r="D6630" s="439"/>
      <c r="E6630" s="439"/>
      <c r="F6630" s="439"/>
      <c r="G6630" s="451" t="s">
        <v>3991</v>
      </c>
      <c r="Z6630" s="515">
        <v>1000</v>
      </c>
      <c r="AA6630" s="501" t="s">
        <v>3428</v>
      </c>
      <c r="AB6630" s="512" t="str">
        <f>AD6626</f>
        <v>365.25</v>
      </c>
      <c r="AC6630" s="501" t="s">
        <v>3418</v>
      </c>
      <c r="AD6630" s="512">
        <f>ROUND(Z6630/AD6626,13)</f>
        <v>2.7378507871320998</v>
      </c>
      <c r="AE6630" s="500"/>
      <c r="AF6630" s="500"/>
      <c r="AG6630" s="500"/>
      <c r="AH6630" s="500"/>
      <c r="AI6630" s="500"/>
      <c r="AJ6630" s="500"/>
      <c r="AK6630" s="500"/>
      <c r="AL6630" s="500"/>
      <c r="AM6630" s="500"/>
      <c r="AN6630" s="500"/>
      <c r="AO6630" s="500"/>
      <c r="AP6630" s="500"/>
    </row>
    <row r="6631" spans="1:42" ht="16.5" customHeight="1">
      <c r="A6631" s="439"/>
      <c r="B6631" s="439"/>
      <c r="C6631" s="439"/>
      <c r="D6631" s="439"/>
      <c r="E6631" s="439"/>
      <c r="F6631" s="439"/>
      <c r="G6631" s="451" t="s">
        <v>3406</v>
      </c>
      <c r="Z6631" s="500"/>
      <c r="AA6631" s="500"/>
      <c r="AB6631" s="500"/>
      <c r="AC6631" s="500"/>
      <c r="AD6631" s="500"/>
      <c r="AE6631" s="500"/>
      <c r="AF6631" s="500"/>
      <c r="AG6631" s="500"/>
      <c r="AH6631" s="500"/>
      <c r="AI6631" s="500"/>
      <c r="AJ6631" s="500"/>
      <c r="AK6631" s="500"/>
      <c r="AL6631" s="500"/>
      <c r="AM6631" s="500"/>
      <c r="AN6631" s="500"/>
      <c r="AO6631" s="500"/>
      <c r="AP6631" s="500"/>
    </row>
    <row r="6632" spans="1:42" ht="16.5" customHeight="1">
      <c r="A6632" s="439"/>
      <c r="B6632" s="439"/>
      <c r="C6632" s="439"/>
      <c r="D6632" s="439"/>
      <c r="E6632" s="439"/>
      <c r="F6632" s="439"/>
      <c r="G6632" s="451" t="s">
        <v>3406</v>
      </c>
      <c r="Z6632" s="500"/>
      <c r="AA6632" s="500"/>
      <c r="AB6632" s="500"/>
      <c r="AC6632" s="500"/>
      <c r="AD6632" s="500"/>
      <c r="AE6632" s="500"/>
      <c r="AF6632" s="500"/>
      <c r="AG6632" s="500"/>
      <c r="AH6632" s="500"/>
      <c r="AI6632" s="500"/>
      <c r="AJ6632" s="500"/>
      <c r="AK6632" s="500"/>
      <c r="AL6632" s="500"/>
      <c r="AM6632" s="500"/>
      <c r="AN6632" s="500"/>
      <c r="AO6632" s="500"/>
      <c r="AP6632" s="500"/>
    </row>
    <row r="6633" spans="1:42" ht="16.5" customHeight="1">
      <c r="A6633" s="439"/>
      <c r="B6633" s="439"/>
      <c r="C6633" s="439"/>
      <c r="D6633" s="439"/>
      <c r="E6633" s="439"/>
      <c r="F6633" s="439"/>
      <c r="G6633" s="451" t="s">
        <v>3406</v>
      </c>
      <c r="Z6633" s="500"/>
      <c r="AA6633" s="500"/>
      <c r="AB6633" s="500"/>
      <c r="AC6633" s="500"/>
      <c r="AD6633" s="500"/>
      <c r="AE6633" s="500"/>
      <c r="AF6633" s="500"/>
      <c r="AG6633" s="500"/>
      <c r="AH6633" s="500"/>
      <c r="AI6633" s="500"/>
      <c r="AJ6633" s="500"/>
      <c r="AK6633" s="500"/>
      <c r="AL6633" s="500"/>
      <c r="AM6633" s="500"/>
      <c r="AN6633" s="500"/>
      <c r="AO6633" s="500"/>
      <c r="AP6633" s="500"/>
    </row>
    <row r="6634" spans="1:42" ht="16.5" customHeight="1">
      <c r="A6634" s="434" t="s">
        <v>3992</v>
      </c>
      <c r="B6634" s="505" t="str">
        <f>" 인    부: "&amp;TEXT(I6634,"#,##0"&amp;IF(I6634&lt;&gt;INT(I6634),".###",""))&amp;"*k = "&amp;TEXT(C6634,"#,##0.0")&amp;" 원 "</f>
        <v xml:space="preserve"> 인    부: 172,068*k = 471,096.5 원 </v>
      </c>
      <c r="C6634" s="506">
        <f>E6634+D6634+F6634</f>
        <v>471096.5</v>
      </c>
      <c r="D6634" s="506">
        <f>IF(H6634=0,0,ROUNDDOWN(J6634*H6634,1))</f>
        <v>471096.5</v>
      </c>
      <c r="E6634" s="506">
        <f>IF(H6634=0,0,ROUNDDOWN(K6634*H6634,1))</f>
        <v>0</v>
      </c>
      <c r="F6634" s="506">
        <f>IF(H6634=0,0,ROUNDDOWN(L6634*H6634,1))</f>
        <v>0</v>
      </c>
      <c r="G6634" s="451" t="s">
        <v>3993</v>
      </c>
      <c r="H6634" s="507">
        <f>ROUNDUP(AC6634,14-LEN(ABS(INT(AC6634))))</f>
        <v>2.7378507871320998</v>
      </c>
      <c r="I6634" s="508">
        <f>K6634+J6634+L6634</f>
        <v>172068</v>
      </c>
      <c r="J6634" s="509">
        <f>노무비목록표!E10</f>
        <v>172068</v>
      </c>
      <c r="M6634" s="501" t="s">
        <v>2363</v>
      </c>
      <c r="N6634" s="501" t="s">
        <v>3994</v>
      </c>
      <c r="X6634" s="510" t="str">
        <f>노무비목록표!B10&amp;" / "&amp;노무비목록표!C10</f>
        <v xml:space="preserve">보통인부 / </v>
      </c>
      <c r="Y6634" s="433" t="str">
        <f ca="1">HYPERLINK("#"&amp;노무비목록표!G2&amp;"!A"&amp;ROW(노무비목록표!A10),"L00017 →")</f>
        <v>L00017 →</v>
      </c>
      <c r="Z6634" s="501" t="s">
        <v>3500</v>
      </c>
      <c r="AA6634" s="512">
        <f>AD6630</f>
        <v>2.7378507871320998</v>
      </c>
      <c r="AB6634" s="501" t="s">
        <v>3418</v>
      </c>
      <c r="AC6634" s="512">
        <f>1*AD6630</f>
        <v>2.7378507871320998</v>
      </c>
      <c r="AD6634" s="500"/>
      <c r="AE6634" s="500"/>
      <c r="AF6634" s="500"/>
      <c r="AG6634" s="500"/>
      <c r="AH6634" s="500"/>
      <c r="AI6634" s="500"/>
      <c r="AJ6634" s="500"/>
      <c r="AK6634" s="500"/>
      <c r="AL6634" s="500"/>
      <c r="AM6634" s="500"/>
      <c r="AN6634" s="500"/>
      <c r="AO6634" s="500"/>
      <c r="AP6634" s="500"/>
    </row>
    <row r="6635" spans="1:42" ht="16.5" customHeight="1">
      <c r="A6635" s="439"/>
      <c r="B6635" s="439"/>
      <c r="C6635" s="439"/>
      <c r="D6635" s="439"/>
      <c r="E6635" s="439"/>
      <c r="F6635" s="439"/>
      <c r="G6635" s="451" t="s">
        <v>3406</v>
      </c>
      <c r="Z6635" s="500"/>
      <c r="AA6635" s="500"/>
      <c r="AB6635" s="500"/>
      <c r="AC6635" s="500"/>
      <c r="AD6635" s="500"/>
      <c r="AE6635" s="500"/>
      <c r="AF6635" s="500"/>
      <c r="AG6635" s="500"/>
      <c r="AH6635" s="500"/>
      <c r="AI6635" s="500"/>
      <c r="AJ6635" s="500"/>
      <c r="AK6635" s="500"/>
      <c r="AL6635" s="500"/>
      <c r="AM6635" s="500"/>
      <c r="AN6635" s="500"/>
      <c r="AO6635" s="500"/>
      <c r="AP6635" s="500"/>
    </row>
    <row r="6636" spans="1:42" ht="16.5" customHeight="1">
      <c r="A6636" s="439"/>
      <c r="B6636" s="439"/>
      <c r="C6636" s="439"/>
      <c r="D6636" s="439"/>
      <c r="E6636" s="439"/>
      <c r="F6636" s="439"/>
      <c r="G6636" s="451" t="s">
        <v>3406</v>
      </c>
      <c r="Z6636" s="500"/>
      <c r="AA6636" s="500"/>
      <c r="AB6636" s="500"/>
      <c r="AC6636" s="500"/>
      <c r="AD6636" s="500"/>
      <c r="AE6636" s="500"/>
      <c r="AF6636" s="500"/>
      <c r="AG6636" s="500"/>
      <c r="AH6636" s="500"/>
      <c r="AI6636" s="500"/>
      <c r="AJ6636" s="500"/>
      <c r="AK6636" s="500"/>
      <c r="AL6636" s="500"/>
      <c r="AM6636" s="500"/>
      <c r="AN6636" s="500"/>
      <c r="AO6636" s="500"/>
      <c r="AP6636" s="500"/>
    </row>
    <row r="6637" spans="1:42" ht="16.5" customHeight="1">
      <c r="A6637" s="439"/>
      <c r="B6637" s="439"/>
      <c r="C6637" s="439"/>
      <c r="D6637" s="439"/>
      <c r="E6637" s="439"/>
      <c r="F6637" s="439"/>
      <c r="G6637" s="451" t="s">
        <v>3406</v>
      </c>
      <c r="Z6637" s="500"/>
      <c r="AA6637" s="500"/>
      <c r="AB6637" s="500"/>
      <c r="AC6637" s="500"/>
      <c r="AD6637" s="500"/>
      <c r="AE6637" s="500"/>
      <c r="AF6637" s="500"/>
      <c r="AG6637" s="500"/>
      <c r="AH6637" s="500"/>
      <c r="AI6637" s="500"/>
      <c r="AJ6637" s="500"/>
      <c r="AK6637" s="500"/>
      <c r="AL6637" s="500"/>
      <c r="AM6637" s="500"/>
      <c r="AN6637" s="500"/>
      <c r="AO6637" s="500"/>
      <c r="AP6637" s="500"/>
    </row>
    <row r="6638" spans="1:42" ht="16.5" customHeight="1">
      <c r="A6638" s="439"/>
      <c r="B6638" s="439"/>
      <c r="C6638" s="439"/>
      <c r="D6638" s="439"/>
      <c r="E6638" s="439"/>
      <c r="F6638" s="439"/>
      <c r="G6638" s="451" t="s">
        <v>3406</v>
      </c>
      <c r="Z6638" s="500"/>
      <c r="AA6638" s="500"/>
      <c r="AB6638" s="500"/>
      <c r="AC6638" s="500"/>
      <c r="AD6638" s="500"/>
      <c r="AE6638" s="500"/>
      <c r="AF6638" s="500"/>
      <c r="AG6638" s="500"/>
      <c r="AH6638" s="500"/>
      <c r="AI6638" s="500"/>
      <c r="AJ6638" s="500"/>
      <c r="AK6638" s="500"/>
      <c r="AL6638" s="500"/>
      <c r="AM6638" s="500"/>
      <c r="AN6638" s="500"/>
      <c r="AO6638" s="500"/>
      <c r="AP6638" s="500"/>
    </row>
    <row r="6639" spans="1:42" ht="16.5" customHeight="1">
      <c r="A6639" s="434"/>
      <c r="B6639" s="437" t="s">
        <v>3995</v>
      </c>
      <c r="C6639" s="516">
        <f>E6639+D6639+F6639</f>
        <v>471096.5</v>
      </c>
      <c r="D6639" s="516">
        <f>SUMIF(N6607:N6638,M6639,D6607:D6638)</f>
        <v>471096.5</v>
      </c>
      <c r="E6639" s="516">
        <f>SUMIF(N6607:N6638,M6639,E6607:E6638)</f>
        <v>0</v>
      </c>
      <c r="F6639" s="516">
        <f>SUMIF(N6607:N6638,M6639,F6607:F6638)</f>
        <v>0</v>
      </c>
      <c r="G6639" s="451" t="s">
        <v>3996</v>
      </c>
      <c r="M6639" s="501" t="s">
        <v>3994</v>
      </c>
      <c r="Z6639" s="500"/>
      <c r="AA6639" s="500"/>
      <c r="AB6639" s="500"/>
      <c r="AC6639" s="500"/>
      <c r="AD6639" s="500"/>
      <c r="AE6639" s="500"/>
      <c r="AF6639" s="500"/>
      <c r="AG6639" s="500"/>
      <c r="AH6639" s="500"/>
      <c r="AI6639" s="500"/>
      <c r="AJ6639" s="500"/>
      <c r="AK6639" s="500"/>
      <c r="AL6639" s="500"/>
      <c r="AM6639" s="500"/>
      <c r="AN6639" s="500"/>
      <c r="AO6639" s="500"/>
      <c r="AP6639" s="500"/>
    </row>
    <row r="6640" spans="1:42" ht="16.5" customHeight="1">
      <c r="A6640" s="439"/>
      <c r="B6640" s="439"/>
      <c r="C6640" s="517"/>
      <c r="D6640" s="517"/>
      <c r="E6640" s="517"/>
      <c r="F6640" s="517"/>
      <c r="G6640" s="451" t="s">
        <v>3406</v>
      </c>
      <c r="Z6640" s="500"/>
      <c r="AA6640" s="500"/>
      <c r="AB6640" s="500"/>
      <c r="AC6640" s="500"/>
      <c r="AD6640" s="500"/>
      <c r="AE6640" s="500"/>
      <c r="AF6640" s="500"/>
      <c r="AG6640" s="500"/>
      <c r="AH6640" s="500"/>
      <c r="AI6640" s="500"/>
      <c r="AJ6640" s="500"/>
      <c r="AK6640" s="500"/>
      <c r="AL6640" s="500"/>
      <c r="AM6640" s="500"/>
      <c r="AN6640" s="500"/>
      <c r="AO6640" s="500"/>
      <c r="AP6640" s="500"/>
    </row>
    <row r="6641" spans="1:42" ht="16.5" customHeight="1">
      <c r="A6641" s="439"/>
      <c r="B6641" s="439"/>
      <c r="C6641" s="439"/>
      <c r="D6641" s="439"/>
      <c r="E6641" s="439"/>
      <c r="F6641" s="439"/>
      <c r="G6641" s="451" t="s">
        <v>3406</v>
      </c>
      <c r="Z6641" s="500"/>
      <c r="AA6641" s="500"/>
      <c r="AB6641" s="500"/>
      <c r="AC6641" s="500"/>
      <c r="AD6641" s="500"/>
      <c r="AE6641" s="500"/>
      <c r="AF6641" s="500"/>
      <c r="AG6641" s="500"/>
      <c r="AH6641" s="500"/>
      <c r="AI6641" s="500"/>
      <c r="AJ6641" s="500"/>
      <c r="AK6641" s="500"/>
      <c r="AL6641" s="500"/>
      <c r="AM6641" s="500"/>
      <c r="AN6641" s="500"/>
      <c r="AO6641" s="500"/>
      <c r="AP6641" s="500"/>
    </row>
    <row r="6642" spans="1:42" ht="16.5" customHeight="1">
      <c r="A6642" s="434" t="s">
        <v>3997</v>
      </c>
      <c r="B6642" s="505" t="str">
        <f>" 경비로 적용 : "&amp;TEXT(I6642,"#,##0"&amp;IF(I6642&lt;&gt;INT(I6642),".###",""))&amp;"  = "&amp;TEXT(C6642,"#,##0.0")&amp;""</f>
        <v xml:space="preserve"> 경비로 적용 : 471,096.5  = 471,096.5</v>
      </c>
      <c r="C6642" s="506">
        <f>E6642+D6642+F6642</f>
        <v>471096.5</v>
      </c>
      <c r="D6642" s="506">
        <f>IF(H6642=0,0,ROUNDDOWN(J6642*H6642,1))</f>
        <v>0</v>
      </c>
      <c r="E6642" s="506">
        <f>IF(H6642=0,0,ROUNDDOWN(K6642*H6642,1))</f>
        <v>0</v>
      </c>
      <c r="F6642" s="506">
        <f>IF(H6642=0,0,ROUNDDOWN(L6642*H6642,1))</f>
        <v>471096.5</v>
      </c>
      <c r="G6642" s="451" t="s">
        <v>3998</v>
      </c>
      <c r="H6642" s="507">
        <f>ROUNDUP(AB6642,14-LEN(ABS(INT(AB6642))))</f>
        <v>1</v>
      </c>
      <c r="I6642" s="508">
        <f>K6642+J6642+L6642</f>
        <v>471096.5</v>
      </c>
      <c r="J6642" s="456">
        <v>0</v>
      </c>
      <c r="K6642" s="456">
        <v>0</v>
      </c>
      <c r="L6642" s="518">
        <v>471096.5</v>
      </c>
      <c r="M6642" s="501" t="s">
        <v>3999</v>
      </c>
      <c r="N6642" s="501" t="s">
        <v>2354</v>
      </c>
      <c r="Z6642" s="501" t="s">
        <v>4000</v>
      </c>
      <c r="AA6642" s="501" t="s">
        <v>3418</v>
      </c>
      <c r="AB6642" s="512">
        <f>1</f>
        <v>1</v>
      </c>
      <c r="AC6642" s="500"/>
      <c r="AD6642" s="500"/>
      <c r="AE6642" s="500"/>
      <c r="AF6642" s="500"/>
      <c r="AG6642" s="500"/>
      <c r="AH6642" s="500"/>
      <c r="AI6642" s="500"/>
      <c r="AJ6642" s="500"/>
      <c r="AK6642" s="500"/>
      <c r="AL6642" s="500"/>
      <c r="AM6642" s="500"/>
      <c r="AN6642" s="500"/>
      <c r="AO6642" s="500"/>
      <c r="AP6642" s="500"/>
    </row>
    <row r="6643" spans="1:42" ht="16.5" customHeight="1">
      <c r="A6643" s="439"/>
      <c r="B6643" s="439"/>
      <c r="C6643" s="439"/>
      <c r="D6643" s="439"/>
      <c r="E6643" s="439"/>
      <c r="F6643" s="439"/>
      <c r="Z6643" s="500"/>
      <c r="AA6643" s="500"/>
      <c r="AB6643" s="500"/>
      <c r="AC6643" s="500"/>
      <c r="AD6643" s="500"/>
      <c r="AE6643" s="500"/>
      <c r="AF6643" s="500"/>
      <c r="AG6643" s="500"/>
      <c r="AH6643" s="500"/>
      <c r="AI6643" s="500"/>
      <c r="AJ6643" s="500"/>
      <c r="AK6643" s="500"/>
      <c r="AL6643" s="500"/>
      <c r="AM6643" s="500"/>
      <c r="AN6643" s="500"/>
      <c r="AO6643" s="500"/>
      <c r="AP6643" s="500"/>
    </row>
    <row r="6644" spans="1:42" ht="16.5" customHeight="1">
      <c r="A6644" s="439"/>
      <c r="B6644" s="439"/>
      <c r="C6644" s="439"/>
      <c r="D6644" s="439"/>
      <c r="E6644" s="439"/>
      <c r="F6644" s="439"/>
      <c r="Z6644" s="500"/>
      <c r="AA6644" s="500"/>
      <c r="AB6644" s="500"/>
      <c r="AC6644" s="500"/>
      <c r="AD6644" s="500"/>
      <c r="AE6644" s="500"/>
      <c r="AF6644" s="500"/>
      <c r="AG6644" s="500"/>
      <c r="AH6644" s="500"/>
      <c r="AI6644" s="500"/>
      <c r="AJ6644" s="500"/>
      <c r="AK6644" s="500"/>
      <c r="AL6644" s="500"/>
      <c r="AM6644" s="500"/>
      <c r="AN6644" s="500"/>
      <c r="AO6644" s="500"/>
      <c r="AP6644" s="500"/>
    </row>
    <row r="6645" spans="1:42" ht="16.5" customHeight="1">
      <c r="A6645" s="439"/>
      <c r="B6645" s="439"/>
      <c r="C6645" s="439"/>
      <c r="D6645" s="439"/>
      <c r="E6645" s="439"/>
      <c r="F6645" s="439"/>
      <c r="Z6645" s="500"/>
      <c r="AA6645" s="500"/>
      <c r="AB6645" s="500"/>
      <c r="AC6645" s="500"/>
      <c r="AD6645" s="500"/>
      <c r="AE6645" s="500"/>
      <c r="AF6645" s="500"/>
      <c r="AG6645" s="500"/>
      <c r="AH6645" s="500"/>
      <c r="AI6645" s="500"/>
      <c r="AJ6645" s="500"/>
      <c r="AK6645" s="500"/>
      <c r="AL6645" s="500"/>
      <c r="AM6645" s="500"/>
      <c r="AN6645" s="500"/>
      <c r="AO6645" s="500"/>
      <c r="AP6645" s="500"/>
    </row>
    <row r="6646" spans="1:42" ht="16.5" customHeight="1">
      <c r="A6646" s="439"/>
      <c r="B6646" s="439"/>
      <c r="C6646" s="439"/>
      <c r="D6646" s="439"/>
      <c r="E6646" s="439"/>
      <c r="F6646" s="439"/>
      <c r="Z6646" s="500"/>
      <c r="AA6646" s="500"/>
      <c r="AB6646" s="500"/>
      <c r="AC6646" s="500"/>
      <c r="AD6646" s="500"/>
      <c r="AE6646" s="500"/>
      <c r="AF6646" s="500"/>
      <c r="AG6646" s="500"/>
      <c r="AH6646" s="500"/>
      <c r="AI6646" s="500"/>
      <c r="AJ6646" s="500"/>
      <c r="AK6646" s="500"/>
      <c r="AL6646" s="500"/>
      <c r="AM6646" s="500"/>
      <c r="AN6646" s="500"/>
      <c r="AO6646" s="500"/>
      <c r="AP6646" s="500"/>
    </row>
    <row r="6647" spans="1:42" ht="16.5" customHeight="1">
      <c r="A6647" s="439"/>
      <c r="B6647" s="439"/>
      <c r="C6647" s="439"/>
      <c r="D6647" s="439"/>
      <c r="E6647" s="439"/>
      <c r="F6647" s="439"/>
      <c r="Z6647" s="500"/>
      <c r="AA6647" s="500"/>
      <c r="AB6647" s="500"/>
      <c r="AC6647" s="500"/>
      <c r="AD6647" s="500"/>
      <c r="AE6647" s="500"/>
      <c r="AF6647" s="500"/>
      <c r="AG6647" s="500"/>
      <c r="AH6647" s="500"/>
      <c r="AI6647" s="500"/>
      <c r="AJ6647" s="500"/>
      <c r="AK6647" s="500"/>
      <c r="AL6647" s="500"/>
      <c r="AM6647" s="500"/>
      <c r="AN6647" s="500"/>
      <c r="AO6647" s="500"/>
      <c r="AP6647" s="500"/>
    </row>
    <row r="6648" spans="1:42" ht="16.5" customHeight="1">
      <c r="A6648" s="439"/>
      <c r="B6648" s="439"/>
      <c r="C6648" s="439"/>
      <c r="D6648" s="439"/>
      <c r="E6648" s="439"/>
      <c r="F6648" s="439"/>
      <c r="Z6648" s="500"/>
      <c r="AA6648" s="500"/>
      <c r="AB6648" s="500"/>
      <c r="AC6648" s="500"/>
      <c r="AD6648" s="500"/>
      <c r="AE6648" s="500"/>
      <c r="AF6648" s="500"/>
      <c r="AG6648" s="500"/>
      <c r="AH6648" s="500"/>
      <c r="AI6648" s="500"/>
      <c r="AJ6648" s="500"/>
      <c r="AK6648" s="500"/>
      <c r="AL6648" s="500"/>
      <c r="AM6648" s="500"/>
      <c r="AN6648" s="500"/>
      <c r="AO6648" s="500"/>
      <c r="AP6648" s="500"/>
    </row>
    <row r="6649" spans="1:42" ht="16.5" customHeight="1">
      <c r="A6649" s="439"/>
      <c r="B6649" s="439"/>
      <c r="C6649" s="439"/>
      <c r="D6649" s="439"/>
      <c r="E6649" s="439"/>
      <c r="F6649" s="439"/>
      <c r="Z6649" s="500"/>
      <c r="AA6649" s="500"/>
      <c r="AB6649" s="500"/>
      <c r="AC6649" s="500"/>
      <c r="AD6649" s="500"/>
      <c r="AE6649" s="500"/>
      <c r="AF6649" s="500"/>
      <c r="AG6649" s="500"/>
      <c r="AH6649" s="500"/>
      <c r="AI6649" s="500"/>
      <c r="AJ6649" s="500"/>
      <c r="AK6649" s="500"/>
      <c r="AL6649" s="500"/>
      <c r="AM6649" s="500"/>
      <c r="AN6649" s="500"/>
      <c r="AO6649" s="500"/>
      <c r="AP6649" s="500"/>
    </row>
    <row r="6650" spans="1:42" ht="16.5" customHeight="1">
      <c r="A6650" s="439"/>
      <c r="B6650" s="439"/>
      <c r="C6650" s="439"/>
      <c r="D6650" s="439"/>
      <c r="E6650" s="439"/>
      <c r="F6650" s="439"/>
      <c r="Z6650" s="500"/>
      <c r="AA6650" s="500"/>
      <c r="AB6650" s="500"/>
      <c r="AC6650" s="500"/>
      <c r="AD6650" s="500"/>
      <c r="AE6650" s="500"/>
      <c r="AF6650" s="500"/>
      <c r="AG6650" s="500"/>
      <c r="AH6650" s="500"/>
      <c r="AI6650" s="500"/>
      <c r="AJ6650" s="500"/>
      <c r="AK6650" s="500"/>
      <c r="AL6650" s="500"/>
      <c r="AM6650" s="500"/>
      <c r="AN6650" s="500"/>
      <c r="AO6650" s="500"/>
      <c r="AP6650" s="500"/>
    </row>
    <row r="6651" spans="1:42" ht="16.5" customHeight="1">
      <c r="A6651" s="439"/>
      <c r="B6651" s="439"/>
      <c r="C6651" s="439"/>
      <c r="D6651" s="439"/>
      <c r="E6651" s="439"/>
      <c r="F6651" s="439"/>
      <c r="Z6651" s="500"/>
      <c r="AA6651" s="500"/>
      <c r="AB6651" s="500"/>
      <c r="AC6651" s="500"/>
      <c r="AD6651" s="500"/>
      <c r="AE6651" s="500"/>
      <c r="AF6651" s="500"/>
      <c r="AG6651" s="500"/>
      <c r="AH6651" s="500"/>
      <c r="AI6651" s="500"/>
      <c r="AJ6651" s="500"/>
      <c r="AK6651" s="500"/>
      <c r="AL6651" s="500"/>
      <c r="AM6651" s="500"/>
      <c r="AN6651" s="500"/>
      <c r="AO6651" s="500"/>
      <c r="AP6651" s="500"/>
    </row>
    <row r="6652" spans="1:42" ht="16.5" customHeight="1">
      <c r="A6652" s="439"/>
      <c r="B6652" s="439"/>
      <c r="C6652" s="439"/>
      <c r="D6652" s="439"/>
      <c r="E6652" s="439"/>
      <c r="F6652" s="439"/>
      <c r="Z6652" s="500"/>
      <c r="AA6652" s="500"/>
      <c r="AB6652" s="500"/>
      <c r="AC6652" s="500"/>
      <c r="AD6652" s="500"/>
      <c r="AE6652" s="500"/>
      <c r="AF6652" s="500"/>
      <c r="AG6652" s="500"/>
      <c r="AH6652" s="500"/>
      <c r="AI6652" s="500"/>
      <c r="AJ6652" s="500"/>
      <c r="AK6652" s="500"/>
      <c r="AL6652" s="500"/>
      <c r="AM6652" s="500"/>
      <c r="AN6652" s="500"/>
      <c r="AO6652" s="500"/>
      <c r="AP6652" s="500"/>
    </row>
    <row r="6653" spans="1:42" ht="16.5" customHeight="1">
      <c r="A6653" s="497"/>
      <c r="B6653" s="497"/>
      <c r="C6653" s="497"/>
      <c r="D6653" s="497"/>
      <c r="E6653" s="497"/>
      <c r="F6653" s="497"/>
      <c r="Z6653" s="500"/>
      <c r="AA6653" s="500"/>
      <c r="AB6653" s="500"/>
      <c r="AC6653" s="500"/>
      <c r="AD6653" s="500"/>
      <c r="AE6653" s="500"/>
      <c r="AF6653" s="500"/>
      <c r="AG6653" s="500"/>
      <c r="AH6653" s="500"/>
      <c r="AI6653" s="500"/>
      <c r="AJ6653" s="500"/>
      <c r="AK6653" s="500"/>
      <c r="AL6653" s="500"/>
      <c r="AM6653" s="500"/>
      <c r="AN6653" s="500"/>
      <c r="AO6653" s="500"/>
      <c r="AP6653" s="500"/>
    </row>
    <row r="6654" spans="1:42" ht="16.5" customHeight="1">
      <c r="A6654" s="616" t="s">
        <v>3487</v>
      </c>
      <c r="B6654" s="605"/>
      <c r="C6654" s="446">
        <f>E6654+D6654+F6654</f>
        <v>471096</v>
      </c>
      <c r="D6654" s="453">
        <f>ROUNDDOWN(SUMIF(N6607:N6642,M6654,D6607:D6642),0)</f>
        <v>0</v>
      </c>
      <c r="E6654" s="454">
        <f>ROUNDDOWN(SUMIF(N6607:N6642,M6654,E6607:E6642),0)</f>
        <v>0</v>
      </c>
      <c r="F6654" s="446">
        <f>ROUNDDOWN(SUMIF(N6607:N6642,M6654,F6607:F6642),0)</f>
        <v>471096</v>
      </c>
      <c r="M6654" s="501" t="s">
        <v>2354</v>
      </c>
      <c r="Z6654" s="500"/>
      <c r="AA6654" s="500"/>
      <c r="AB6654" s="500"/>
      <c r="AC6654" s="500"/>
      <c r="AD6654" s="500"/>
      <c r="AE6654" s="500"/>
      <c r="AF6654" s="500"/>
      <c r="AG6654" s="500"/>
      <c r="AH6654" s="500"/>
      <c r="AI6654" s="500"/>
      <c r="AJ6654" s="500"/>
      <c r="AK6654" s="500"/>
      <c r="AL6654" s="500"/>
      <c r="AM6654" s="500"/>
      <c r="AN6654" s="500"/>
      <c r="AO6654" s="500"/>
      <c r="AP6654" s="500"/>
    </row>
    <row r="6655" spans="1:42" ht="16.5" customHeight="1">
      <c r="A6655" s="502"/>
      <c r="B6655" s="503" t="s">
        <v>2177</v>
      </c>
      <c r="C6655" s="615">
        <f>C6704</f>
        <v>507949</v>
      </c>
      <c r="D6655" s="615">
        <f>D6704</f>
        <v>0</v>
      </c>
      <c r="E6655" s="615">
        <f>E6704</f>
        <v>0</v>
      </c>
      <c r="F6655" s="615">
        <f>F6704</f>
        <v>507949</v>
      </c>
      <c r="G6655" s="486" t="str">
        <f>HYPERLINK("#G"&amp;ROW(G6692),"_x0005_`BDCOD|D01190_x0007_`POSS|"&amp;ROW(G6657)&amp;"_x0007_`POSE|"&amp;ROW(G6692)&amp;"_x0007_`")</f>
        <v>_x0005_`BDCOD|D01190_x0007_`POSS|6657_x0007_`POSE|6692_x0007_`</v>
      </c>
      <c r="Z6655" s="500"/>
      <c r="AA6655" s="500"/>
      <c r="AB6655" s="500"/>
      <c r="AC6655" s="500"/>
      <c r="AD6655" s="500"/>
      <c r="AE6655" s="500"/>
      <c r="AF6655" s="500"/>
      <c r="AG6655" s="500"/>
      <c r="AH6655" s="500"/>
      <c r="AI6655" s="500"/>
      <c r="AJ6655" s="500"/>
      <c r="AK6655" s="500"/>
      <c r="AL6655" s="500"/>
      <c r="AM6655" s="500"/>
      <c r="AN6655" s="500"/>
      <c r="AO6655" s="500"/>
      <c r="AP6655" s="500"/>
    </row>
    <row r="6656" spans="1:42" ht="16.5" customHeight="1">
      <c r="A6656" s="485"/>
      <c r="B6656" s="503" t="s">
        <v>4081</v>
      </c>
      <c r="C6656" s="593"/>
      <c r="D6656" s="593"/>
      <c r="E6656" s="593"/>
      <c r="F6656" s="593"/>
      <c r="M6656" s="501" t="s">
        <v>2177</v>
      </c>
      <c r="Z6656" s="500"/>
      <c r="AA6656" s="500"/>
      <c r="AB6656" s="500"/>
      <c r="AC6656" s="500"/>
      <c r="AD6656" s="500"/>
      <c r="AE6656" s="500"/>
      <c r="AF6656" s="500"/>
      <c r="AG6656" s="500"/>
      <c r="AH6656" s="500"/>
      <c r="AI6656" s="500"/>
      <c r="AJ6656" s="500"/>
      <c r="AK6656" s="500"/>
      <c r="AL6656" s="500"/>
      <c r="AM6656" s="500"/>
      <c r="AN6656" s="500"/>
      <c r="AO6656" s="500"/>
      <c r="AP6656" s="500"/>
    </row>
    <row r="6657" spans="1:42" ht="16.5" customHeight="1">
      <c r="A6657" s="434"/>
      <c r="B6657" s="437" t="s">
        <v>3980</v>
      </c>
      <c r="C6657" s="504"/>
      <c r="D6657" s="504"/>
      <c r="E6657" s="504"/>
      <c r="F6657" s="504"/>
      <c r="G6657" s="451" t="s">
        <v>3981</v>
      </c>
      <c r="Z6657" s="500"/>
      <c r="AA6657" s="500"/>
      <c r="AB6657" s="500"/>
      <c r="AC6657" s="500"/>
      <c r="AD6657" s="500"/>
      <c r="AE6657" s="500"/>
      <c r="AF6657" s="500"/>
      <c r="AG6657" s="500"/>
      <c r="AH6657" s="500"/>
      <c r="AI6657" s="500"/>
      <c r="AJ6657" s="500"/>
      <c r="AK6657" s="500"/>
      <c r="AL6657" s="500"/>
      <c r="AM6657" s="500"/>
      <c r="AN6657" s="500"/>
      <c r="AO6657" s="500"/>
      <c r="AP6657" s="500"/>
    </row>
    <row r="6658" spans="1:42" ht="16.5" customHeight="1">
      <c r="A6658" s="439"/>
      <c r="B6658" s="439"/>
      <c r="C6658" s="439"/>
      <c r="D6658" s="439"/>
      <c r="E6658" s="439"/>
      <c r="F6658" s="439"/>
      <c r="G6658" s="451" t="s">
        <v>3406</v>
      </c>
      <c r="Z6658" s="500"/>
      <c r="AA6658" s="500"/>
      <c r="AB6658" s="500"/>
      <c r="AC6658" s="500"/>
      <c r="AD6658" s="500"/>
      <c r="AE6658" s="500"/>
      <c r="AF6658" s="500"/>
      <c r="AG6658" s="500"/>
      <c r="AH6658" s="500"/>
      <c r="AI6658" s="500"/>
      <c r="AJ6658" s="500"/>
      <c r="AK6658" s="500"/>
      <c r="AL6658" s="500"/>
      <c r="AM6658" s="500"/>
      <c r="AN6658" s="500"/>
      <c r="AO6658" s="500"/>
      <c r="AP6658" s="500"/>
    </row>
    <row r="6659" spans="1:42" ht="16.5" customHeight="1">
      <c r="A6659" s="434"/>
      <c r="B6659" s="437" t="s">
        <v>4082</v>
      </c>
      <c r="C6659" s="439"/>
      <c r="D6659" s="439"/>
      <c r="E6659" s="439"/>
      <c r="F6659" s="439"/>
      <c r="G6659" s="451" t="s">
        <v>4083</v>
      </c>
      <c r="Z6659" s="500"/>
      <c r="AA6659" s="500"/>
      <c r="AB6659" s="500"/>
      <c r="AC6659" s="500"/>
      <c r="AD6659" s="500"/>
      <c r="AE6659" s="500"/>
      <c r="AF6659" s="500"/>
      <c r="AG6659" s="500"/>
      <c r="AH6659" s="500"/>
      <c r="AI6659" s="500"/>
      <c r="AJ6659" s="500"/>
      <c r="AK6659" s="500"/>
      <c r="AL6659" s="500"/>
      <c r="AM6659" s="500"/>
      <c r="AN6659" s="500"/>
      <c r="AO6659" s="500"/>
      <c r="AP6659" s="500"/>
    </row>
    <row r="6660" spans="1:42" ht="16.5" customHeight="1">
      <c r="A6660" s="439"/>
      <c r="B6660" s="439"/>
      <c r="C6660" s="439"/>
      <c r="D6660" s="439"/>
      <c r="E6660" s="439"/>
      <c r="F6660" s="439"/>
      <c r="G6660" s="451" t="s">
        <v>3406</v>
      </c>
      <c r="Z6660" s="500"/>
      <c r="AA6660" s="500"/>
      <c r="AB6660" s="500"/>
      <c r="AC6660" s="500"/>
      <c r="AD6660" s="500"/>
      <c r="AE6660" s="500"/>
      <c r="AF6660" s="500"/>
      <c r="AG6660" s="500"/>
      <c r="AH6660" s="500"/>
      <c r="AI6660" s="500"/>
      <c r="AJ6660" s="500"/>
      <c r="AK6660" s="500"/>
      <c r="AL6660" s="500"/>
      <c r="AM6660" s="500"/>
      <c r="AN6660" s="500"/>
      <c r="AO6660" s="500"/>
      <c r="AP6660" s="500"/>
    </row>
    <row r="6661" spans="1:42" ht="16.5" customHeight="1">
      <c r="A6661" s="439"/>
      <c r="B6661" s="439"/>
      <c r="C6661" s="439"/>
      <c r="D6661" s="439"/>
      <c r="E6661" s="439"/>
      <c r="F6661" s="439"/>
      <c r="G6661" s="451" t="s">
        <v>3406</v>
      </c>
      <c r="Z6661" s="500"/>
      <c r="AA6661" s="500"/>
      <c r="AB6661" s="500"/>
      <c r="AC6661" s="500"/>
      <c r="AD6661" s="500"/>
      <c r="AE6661" s="500"/>
      <c r="AF6661" s="500"/>
      <c r="AG6661" s="500"/>
      <c r="AH6661" s="500"/>
      <c r="AI6661" s="500"/>
      <c r="AJ6661" s="500"/>
      <c r="AK6661" s="500"/>
      <c r="AL6661" s="500"/>
      <c r="AM6661" s="500"/>
      <c r="AN6661" s="500"/>
      <c r="AO6661" s="500"/>
      <c r="AP6661" s="500"/>
    </row>
    <row r="6662" spans="1:42" ht="16.5" customHeight="1">
      <c r="A6662" s="434"/>
      <c r="B6662" s="437" t="s">
        <v>3984</v>
      </c>
      <c r="C6662" s="439"/>
      <c r="D6662" s="439"/>
      <c r="E6662" s="439"/>
      <c r="F6662" s="439"/>
      <c r="G6662" s="451" t="s">
        <v>3985</v>
      </c>
      <c r="Z6662" s="500"/>
      <c r="AA6662" s="500"/>
      <c r="AB6662" s="500"/>
      <c r="AC6662" s="500"/>
      <c r="AD6662" s="500"/>
      <c r="AE6662" s="500"/>
      <c r="AF6662" s="500"/>
      <c r="AG6662" s="500"/>
      <c r="AH6662" s="500"/>
      <c r="AI6662" s="500"/>
      <c r="AJ6662" s="500"/>
      <c r="AK6662" s="500"/>
      <c r="AL6662" s="500"/>
      <c r="AM6662" s="500"/>
      <c r="AN6662" s="500"/>
      <c r="AO6662" s="500"/>
      <c r="AP6662" s="500"/>
    </row>
    <row r="6663" spans="1:42" ht="16.5" customHeight="1">
      <c r="A6663" s="439"/>
      <c r="B6663" s="439"/>
      <c r="C6663" s="439"/>
      <c r="D6663" s="439"/>
      <c r="E6663" s="439"/>
      <c r="F6663" s="439"/>
      <c r="G6663" s="451" t="s">
        <v>3406</v>
      </c>
      <c r="Z6663" s="500"/>
      <c r="AA6663" s="500"/>
      <c r="AB6663" s="500"/>
      <c r="AC6663" s="500"/>
      <c r="AD6663" s="500"/>
      <c r="AE6663" s="500"/>
      <c r="AF6663" s="500"/>
      <c r="AG6663" s="500"/>
      <c r="AH6663" s="500"/>
      <c r="AI6663" s="500"/>
      <c r="AJ6663" s="500"/>
      <c r="AK6663" s="500"/>
      <c r="AL6663" s="500"/>
      <c r="AM6663" s="500"/>
      <c r="AN6663" s="500"/>
      <c r="AO6663" s="500"/>
      <c r="AP6663" s="500"/>
    </row>
    <row r="6664" spans="1:42" ht="16.5" customHeight="1">
      <c r="A6664" s="439"/>
      <c r="B6664" s="439"/>
      <c r="C6664" s="439"/>
      <c r="D6664" s="439"/>
      <c r="E6664" s="439"/>
      <c r="F6664" s="439"/>
      <c r="G6664" s="451" t="s">
        <v>3406</v>
      </c>
      <c r="Z6664" s="500"/>
      <c r="AA6664" s="500"/>
      <c r="AB6664" s="500"/>
      <c r="AC6664" s="500"/>
      <c r="AD6664" s="500"/>
      <c r="AE6664" s="500"/>
      <c r="AF6664" s="500"/>
      <c r="AG6664" s="500"/>
      <c r="AH6664" s="500"/>
      <c r="AI6664" s="500"/>
      <c r="AJ6664" s="500"/>
      <c r="AK6664" s="500"/>
      <c r="AL6664" s="500"/>
      <c r="AM6664" s="500"/>
      <c r="AN6664" s="500"/>
      <c r="AO6664" s="500"/>
      <c r="AP6664" s="500"/>
    </row>
    <row r="6665" spans="1:42" ht="16.5" customHeight="1">
      <c r="A6665" s="434"/>
      <c r="B6665" s="437" t="s">
        <v>3986</v>
      </c>
      <c r="C6665" s="439"/>
      <c r="D6665" s="439"/>
      <c r="E6665" s="439"/>
      <c r="F6665" s="439"/>
      <c r="G6665" s="451" t="s">
        <v>3987</v>
      </c>
      <c r="Z6665" s="500"/>
      <c r="AA6665" s="500"/>
      <c r="AB6665" s="500"/>
      <c r="AC6665" s="500"/>
      <c r="AD6665" s="500"/>
      <c r="AE6665" s="500"/>
      <c r="AF6665" s="500"/>
      <c r="AG6665" s="500"/>
      <c r="AH6665" s="500"/>
      <c r="AI6665" s="500"/>
      <c r="AJ6665" s="500"/>
      <c r="AK6665" s="500"/>
      <c r="AL6665" s="500"/>
      <c r="AM6665" s="500"/>
      <c r="AN6665" s="500"/>
      <c r="AO6665" s="500"/>
      <c r="AP6665" s="500"/>
    </row>
    <row r="6666" spans="1:42" ht="16.5" customHeight="1">
      <c r="A6666" s="439"/>
      <c r="B6666" s="439"/>
      <c r="C6666" s="439"/>
      <c r="D6666" s="439"/>
      <c r="E6666" s="439"/>
      <c r="F6666" s="439"/>
      <c r="G6666" s="451" t="s">
        <v>3406</v>
      </c>
      <c r="Z6666" s="500"/>
      <c r="AA6666" s="500"/>
      <c r="AB6666" s="500"/>
      <c r="AC6666" s="500"/>
      <c r="AD6666" s="500"/>
      <c r="AE6666" s="500"/>
      <c r="AF6666" s="500"/>
      <c r="AG6666" s="500"/>
      <c r="AH6666" s="500"/>
      <c r="AI6666" s="500"/>
      <c r="AJ6666" s="500"/>
      <c r="AK6666" s="500"/>
      <c r="AL6666" s="500"/>
      <c r="AM6666" s="500"/>
      <c r="AN6666" s="500"/>
      <c r="AO6666" s="500"/>
      <c r="AP6666" s="500"/>
    </row>
    <row r="6667" spans="1:42" ht="16.5" customHeight="1">
      <c r="A6667" s="439"/>
      <c r="B6667" s="439"/>
      <c r="C6667" s="439"/>
      <c r="D6667" s="439"/>
      <c r="E6667" s="439"/>
      <c r="F6667" s="439"/>
      <c r="G6667" s="451" t="s">
        <v>3406</v>
      </c>
      <c r="Z6667" s="500"/>
      <c r="AA6667" s="500"/>
      <c r="AB6667" s="500"/>
      <c r="AC6667" s="500"/>
      <c r="AD6667" s="500"/>
      <c r="AE6667" s="500"/>
      <c r="AF6667" s="500"/>
      <c r="AG6667" s="500"/>
      <c r="AH6667" s="500"/>
      <c r="AI6667" s="500"/>
      <c r="AJ6667" s="500"/>
      <c r="AK6667" s="500"/>
      <c r="AL6667" s="500"/>
      <c r="AM6667" s="500"/>
      <c r="AN6667" s="500"/>
      <c r="AO6667" s="500"/>
      <c r="AP6667" s="500"/>
    </row>
    <row r="6668" spans="1:42" ht="16.5" customHeight="1">
      <c r="A6668" s="434"/>
      <c r="B6668" s="437" t="str">
        <f>" L = "&amp;Z6668&amp;" , V = "&amp;AD6668&amp;" , t = "&amp;AH6668&amp;"  , T = "&amp;AL6668&amp;"-"&amp;AN6668&amp;""</f>
        <v xml:space="preserve"> L = 650 , V = 2500 , t = 2  , T = 480-30</v>
      </c>
      <c r="C6668" s="439"/>
      <c r="D6668" s="439"/>
      <c r="E6668" s="439"/>
      <c r="F6668" s="439"/>
      <c r="G6668" s="451" t="s">
        <v>4084</v>
      </c>
      <c r="Z6668" s="515">
        <v>650</v>
      </c>
      <c r="AA6668" s="501" t="s">
        <v>3418</v>
      </c>
      <c r="AB6668" s="512">
        <f>Z6668</f>
        <v>650</v>
      </c>
      <c r="AC6668" s="514" t="s">
        <v>3427</v>
      </c>
      <c r="AD6668" s="515">
        <v>2500</v>
      </c>
      <c r="AE6668" s="501" t="s">
        <v>3418</v>
      </c>
      <c r="AF6668" s="512">
        <f>AD6668</f>
        <v>2500</v>
      </c>
      <c r="AG6668" s="514" t="s">
        <v>3427</v>
      </c>
      <c r="AH6668" s="515">
        <v>2</v>
      </c>
      <c r="AI6668" s="501" t="s">
        <v>3418</v>
      </c>
      <c r="AJ6668" s="512">
        <f>AH6668</f>
        <v>2</v>
      </c>
      <c r="AK6668" s="514" t="s">
        <v>3427</v>
      </c>
      <c r="AL6668" s="515">
        <v>480</v>
      </c>
      <c r="AM6668" s="501" t="s">
        <v>3474</v>
      </c>
      <c r="AN6668" s="515">
        <v>30</v>
      </c>
      <c r="AO6668" s="501" t="s">
        <v>3418</v>
      </c>
      <c r="AP6668" s="512">
        <f>AL6668-AN6668</f>
        <v>450</v>
      </c>
    </row>
    <row r="6669" spans="1:42" ht="16.5" customHeight="1">
      <c r="A6669" s="439"/>
      <c r="B6669" s="439"/>
      <c r="C6669" s="439"/>
      <c r="D6669" s="439"/>
      <c r="E6669" s="439"/>
      <c r="F6669" s="439"/>
      <c r="G6669" s="451" t="s">
        <v>3406</v>
      </c>
      <c r="Z6669" s="500"/>
      <c r="AA6669" s="500"/>
      <c r="AB6669" s="500"/>
      <c r="AC6669" s="500"/>
      <c r="AD6669" s="500"/>
      <c r="AE6669" s="500"/>
      <c r="AF6669" s="500"/>
      <c r="AG6669" s="500"/>
      <c r="AH6669" s="500"/>
      <c r="AI6669" s="500"/>
      <c r="AJ6669" s="500"/>
      <c r="AK6669" s="500"/>
      <c r="AL6669" s="500"/>
      <c r="AM6669" s="500"/>
      <c r="AN6669" s="500"/>
      <c r="AO6669" s="500"/>
      <c r="AP6669" s="500"/>
    </row>
    <row r="6670" spans="1:42" ht="16.5" customHeight="1">
      <c r="A6670" s="439"/>
      <c r="B6670" s="439"/>
      <c r="C6670" s="439"/>
      <c r="D6670" s="439"/>
      <c r="E6670" s="439"/>
      <c r="F6670" s="439"/>
      <c r="G6670" s="451" t="s">
        <v>3406</v>
      </c>
      <c r="Z6670" s="500"/>
      <c r="AA6670" s="500"/>
      <c r="AB6670" s="500"/>
      <c r="AC6670" s="500"/>
      <c r="AD6670" s="500"/>
      <c r="AE6670" s="500"/>
      <c r="AF6670" s="500"/>
      <c r="AG6670" s="500"/>
      <c r="AH6670" s="500"/>
      <c r="AI6670" s="500"/>
      <c r="AJ6670" s="500"/>
      <c r="AK6670" s="500"/>
      <c r="AL6670" s="500"/>
      <c r="AM6670" s="500"/>
      <c r="AN6670" s="500"/>
      <c r="AO6670" s="500"/>
      <c r="AP6670" s="500"/>
    </row>
    <row r="6671" spans="1:42" ht="16.5" customHeight="1">
      <c r="A6671" s="439"/>
      <c r="B6671" s="439"/>
      <c r="C6671" s="439"/>
      <c r="D6671" s="439"/>
      <c r="E6671" s="439"/>
      <c r="F6671" s="439"/>
      <c r="G6671" s="451" t="s">
        <v>3406</v>
      </c>
      <c r="Z6671" s="500"/>
      <c r="AA6671" s="500"/>
      <c r="AB6671" s="500"/>
      <c r="AC6671" s="500"/>
      <c r="AD6671" s="500"/>
      <c r="AE6671" s="500"/>
      <c r="AF6671" s="500"/>
      <c r="AG6671" s="500"/>
      <c r="AH6671" s="500"/>
      <c r="AI6671" s="500"/>
      <c r="AJ6671" s="500"/>
      <c r="AK6671" s="500"/>
      <c r="AL6671" s="500"/>
      <c r="AM6671" s="500"/>
      <c r="AN6671" s="500"/>
      <c r="AO6671" s="500"/>
      <c r="AP6671" s="500"/>
    </row>
    <row r="6672" spans="1:42" ht="16.5" customHeight="1">
      <c r="A6672" s="434"/>
      <c r="B6672" s="437" t="str">
        <f>" N = V*T /( "&amp;AD6672&amp;"*L+V*"&amp;AJ6672&amp;" ) = "&amp;AM6672&amp;" 회/일 "</f>
        <v xml:space="preserve"> N = V*T /( 120*L+V*2 ) = 13.55 회/일 </v>
      </c>
      <c r="C6672" s="439"/>
      <c r="D6672" s="439"/>
      <c r="E6672" s="439"/>
      <c r="F6672" s="439"/>
      <c r="G6672" s="451" t="s">
        <v>3989</v>
      </c>
      <c r="Z6672" s="512">
        <f>AF6668</f>
        <v>2500</v>
      </c>
      <c r="AA6672" s="501" t="s">
        <v>3368</v>
      </c>
      <c r="AB6672" s="512">
        <f>AP6668</f>
        <v>450</v>
      </c>
      <c r="AC6672" s="501" t="s">
        <v>3463</v>
      </c>
      <c r="AD6672" s="515">
        <v>120</v>
      </c>
      <c r="AE6672" s="501" t="s">
        <v>3368</v>
      </c>
      <c r="AF6672" s="512">
        <f>AB6668</f>
        <v>650</v>
      </c>
      <c r="AG6672" s="501" t="s">
        <v>3468</v>
      </c>
      <c r="AH6672" s="512">
        <f>AF6668</f>
        <v>2500</v>
      </c>
      <c r="AI6672" s="501" t="s">
        <v>3368</v>
      </c>
      <c r="AJ6672" s="515">
        <v>2</v>
      </c>
      <c r="AK6672" s="501" t="s">
        <v>3464</v>
      </c>
      <c r="AL6672" s="501" t="s">
        <v>3418</v>
      </c>
      <c r="AM6672" s="512" t="str">
        <f>TEXT(ROUND(AF6668*AP6668/(AD6672*AB6668+AF6668*AJ6672),2),"#,0.00")</f>
        <v>13.55</v>
      </c>
      <c r="AN6672" s="500"/>
      <c r="AO6672" s="500"/>
      <c r="AP6672" s="500"/>
    </row>
    <row r="6673" spans="1:42" ht="16.5" customHeight="1">
      <c r="A6673" s="439"/>
      <c r="B6673" s="439"/>
      <c r="C6673" s="439"/>
      <c r="D6673" s="439"/>
      <c r="E6673" s="439"/>
      <c r="F6673" s="439"/>
      <c r="G6673" s="451" t="s">
        <v>3406</v>
      </c>
      <c r="Z6673" s="500"/>
      <c r="AA6673" s="500"/>
      <c r="AB6673" s="500"/>
      <c r="AC6673" s="500"/>
      <c r="AD6673" s="500"/>
      <c r="AE6673" s="500"/>
      <c r="AF6673" s="500"/>
      <c r="AG6673" s="500"/>
      <c r="AH6673" s="500"/>
      <c r="AI6673" s="500"/>
      <c r="AJ6673" s="500"/>
      <c r="AK6673" s="500"/>
      <c r="AL6673" s="500"/>
      <c r="AM6673" s="500"/>
      <c r="AN6673" s="500"/>
      <c r="AO6673" s="500"/>
      <c r="AP6673" s="500"/>
    </row>
    <row r="6674" spans="1:42" ht="16.5" customHeight="1">
      <c r="A6674" s="439"/>
      <c r="B6674" s="439"/>
      <c r="C6674" s="439"/>
      <c r="D6674" s="439"/>
      <c r="E6674" s="439"/>
      <c r="F6674" s="439"/>
      <c r="G6674" s="451" t="s">
        <v>3406</v>
      </c>
      <c r="Z6674" s="500"/>
      <c r="AA6674" s="500"/>
      <c r="AB6674" s="500"/>
      <c r="AC6674" s="500"/>
      <c r="AD6674" s="500"/>
      <c r="AE6674" s="500"/>
      <c r="AF6674" s="500"/>
      <c r="AG6674" s="500"/>
      <c r="AH6674" s="500"/>
      <c r="AI6674" s="500"/>
      <c r="AJ6674" s="500"/>
      <c r="AK6674" s="500"/>
      <c r="AL6674" s="500"/>
      <c r="AM6674" s="500"/>
      <c r="AN6674" s="500"/>
      <c r="AO6674" s="500"/>
      <c r="AP6674" s="500"/>
    </row>
    <row r="6675" spans="1:42" ht="16.5" customHeight="1">
      <c r="A6675" s="439"/>
      <c r="B6675" s="439"/>
      <c r="C6675" s="439"/>
      <c r="D6675" s="439"/>
      <c r="E6675" s="439"/>
      <c r="F6675" s="439"/>
      <c r="G6675" s="451" t="s">
        <v>3406</v>
      </c>
      <c r="Z6675" s="500"/>
      <c r="AA6675" s="500"/>
      <c r="AB6675" s="500"/>
      <c r="AC6675" s="500"/>
      <c r="AD6675" s="500"/>
      <c r="AE6675" s="500"/>
      <c r="AF6675" s="500"/>
      <c r="AG6675" s="500"/>
      <c r="AH6675" s="500"/>
      <c r="AI6675" s="500"/>
      <c r="AJ6675" s="500"/>
      <c r="AK6675" s="500"/>
      <c r="AL6675" s="500"/>
      <c r="AM6675" s="500"/>
      <c r="AN6675" s="500"/>
      <c r="AO6675" s="500"/>
      <c r="AP6675" s="500"/>
    </row>
    <row r="6676" spans="1:42" ht="16.5" customHeight="1">
      <c r="A6676" s="434"/>
      <c r="B6676" s="437" t="str">
        <f>" Q = N*"&amp;AB6676&amp;" ㎏ = "&amp;AD6676&amp;"  kg/일 "</f>
        <v xml:space="preserve"> Q = N*25 ㎏ = 338.75  kg/일 </v>
      </c>
      <c r="C6676" s="439"/>
      <c r="D6676" s="439"/>
      <c r="E6676" s="439"/>
      <c r="F6676" s="439"/>
      <c r="G6676" s="451" t="s">
        <v>3990</v>
      </c>
      <c r="Z6676" s="512" t="str">
        <f>AM6672</f>
        <v>13.55</v>
      </c>
      <c r="AA6676" s="501" t="s">
        <v>3368</v>
      </c>
      <c r="AB6676" s="515">
        <v>25</v>
      </c>
      <c r="AC6676" s="501" t="s">
        <v>3418</v>
      </c>
      <c r="AD6676" s="512" t="str">
        <f>TEXT(ROUND(AM6672*AB6676,2),"#,0.00")</f>
        <v>338.75</v>
      </c>
      <c r="AE6676" s="500"/>
      <c r="AF6676" s="500"/>
      <c r="AG6676" s="500"/>
      <c r="AH6676" s="500"/>
      <c r="AI6676" s="500"/>
      <c r="AJ6676" s="500"/>
      <c r="AK6676" s="500"/>
      <c r="AL6676" s="500"/>
      <c r="AM6676" s="500"/>
      <c r="AN6676" s="500"/>
      <c r="AO6676" s="500"/>
      <c r="AP6676" s="500"/>
    </row>
    <row r="6677" spans="1:42" ht="16.5" customHeight="1">
      <c r="A6677" s="439"/>
      <c r="B6677" s="439"/>
      <c r="C6677" s="439"/>
      <c r="D6677" s="439"/>
      <c r="E6677" s="439"/>
      <c r="F6677" s="439"/>
      <c r="G6677" s="451" t="s">
        <v>3406</v>
      </c>
      <c r="Z6677" s="500"/>
      <c r="AA6677" s="500"/>
      <c r="AB6677" s="500"/>
      <c r="AC6677" s="500"/>
      <c r="AD6677" s="500"/>
      <c r="AE6677" s="500"/>
      <c r="AF6677" s="500"/>
      <c r="AG6677" s="500"/>
      <c r="AH6677" s="500"/>
      <c r="AI6677" s="500"/>
      <c r="AJ6677" s="500"/>
      <c r="AK6677" s="500"/>
      <c r="AL6677" s="500"/>
      <c r="AM6677" s="500"/>
      <c r="AN6677" s="500"/>
      <c r="AO6677" s="500"/>
      <c r="AP6677" s="500"/>
    </row>
    <row r="6678" spans="1:42" ht="16.5" customHeight="1">
      <c r="A6678" s="439"/>
      <c r="B6678" s="439"/>
      <c r="C6678" s="439"/>
      <c r="D6678" s="439"/>
      <c r="E6678" s="439"/>
      <c r="F6678" s="439"/>
      <c r="G6678" s="451" t="s">
        <v>3406</v>
      </c>
      <c r="Z6678" s="500"/>
      <c r="AA6678" s="500"/>
      <c r="AB6678" s="500"/>
      <c r="AC6678" s="500"/>
      <c r="AD6678" s="500"/>
      <c r="AE6678" s="500"/>
      <c r="AF6678" s="500"/>
      <c r="AG6678" s="500"/>
      <c r="AH6678" s="500"/>
      <c r="AI6678" s="500"/>
      <c r="AJ6678" s="500"/>
      <c r="AK6678" s="500"/>
      <c r="AL6678" s="500"/>
      <c r="AM6678" s="500"/>
      <c r="AN6678" s="500"/>
      <c r="AO6678" s="500"/>
      <c r="AP6678" s="500"/>
    </row>
    <row r="6679" spans="1:42" ht="16.5" customHeight="1">
      <c r="A6679" s="439"/>
      <c r="B6679" s="439"/>
      <c r="C6679" s="439"/>
      <c r="D6679" s="439"/>
      <c r="E6679" s="439"/>
      <c r="F6679" s="439"/>
      <c r="G6679" s="451" t="s">
        <v>3406</v>
      </c>
      <c r="Z6679" s="500"/>
      <c r="AA6679" s="500"/>
      <c r="AB6679" s="500"/>
      <c r="AC6679" s="500"/>
      <c r="AD6679" s="500"/>
      <c r="AE6679" s="500"/>
      <c r="AF6679" s="500"/>
      <c r="AG6679" s="500"/>
      <c r="AH6679" s="500"/>
      <c r="AI6679" s="500"/>
      <c r="AJ6679" s="500"/>
      <c r="AK6679" s="500"/>
      <c r="AL6679" s="500"/>
      <c r="AM6679" s="500"/>
      <c r="AN6679" s="500"/>
      <c r="AO6679" s="500"/>
      <c r="AP6679" s="500"/>
    </row>
    <row r="6680" spans="1:42" ht="16.5" customHeight="1">
      <c r="A6680" s="434"/>
      <c r="B6680" s="437" t="str">
        <f>" k = "&amp;Z6680&amp;" kg /Q"</f>
        <v xml:space="preserve"> k = 1000 kg /Q</v>
      </c>
      <c r="C6680" s="439"/>
      <c r="D6680" s="439"/>
      <c r="E6680" s="439"/>
      <c r="F6680" s="439"/>
      <c r="G6680" s="451" t="s">
        <v>3991</v>
      </c>
      <c r="Z6680" s="515">
        <v>1000</v>
      </c>
      <c r="AA6680" s="501" t="s">
        <v>3428</v>
      </c>
      <c r="AB6680" s="512" t="str">
        <f>AD6676</f>
        <v>338.75</v>
      </c>
      <c r="AC6680" s="501" t="s">
        <v>3418</v>
      </c>
      <c r="AD6680" s="512">
        <f>ROUND(Z6680/AD6676,13)</f>
        <v>2.9520295202951998</v>
      </c>
      <c r="AE6680" s="500"/>
      <c r="AF6680" s="500"/>
      <c r="AG6680" s="500"/>
      <c r="AH6680" s="500"/>
      <c r="AI6680" s="500"/>
      <c r="AJ6680" s="500"/>
      <c r="AK6680" s="500"/>
      <c r="AL6680" s="500"/>
      <c r="AM6680" s="500"/>
      <c r="AN6680" s="500"/>
      <c r="AO6680" s="500"/>
      <c r="AP6680" s="500"/>
    </row>
    <row r="6681" spans="1:42" ht="16.5" customHeight="1">
      <c r="A6681" s="439"/>
      <c r="B6681" s="439"/>
      <c r="C6681" s="439"/>
      <c r="D6681" s="439"/>
      <c r="E6681" s="439"/>
      <c r="F6681" s="439"/>
      <c r="G6681" s="451" t="s">
        <v>3406</v>
      </c>
      <c r="Z6681" s="500"/>
      <c r="AA6681" s="500"/>
      <c r="AB6681" s="500"/>
      <c r="AC6681" s="500"/>
      <c r="AD6681" s="500"/>
      <c r="AE6681" s="500"/>
      <c r="AF6681" s="500"/>
      <c r="AG6681" s="500"/>
      <c r="AH6681" s="500"/>
      <c r="AI6681" s="500"/>
      <c r="AJ6681" s="500"/>
      <c r="AK6681" s="500"/>
      <c r="AL6681" s="500"/>
      <c r="AM6681" s="500"/>
      <c r="AN6681" s="500"/>
      <c r="AO6681" s="500"/>
      <c r="AP6681" s="500"/>
    </row>
    <row r="6682" spans="1:42" ht="16.5" customHeight="1">
      <c r="A6682" s="439"/>
      <c r="B6682" s="439"/>
      <c r="C6682" s="439"/>
      <c r="D6682" s="439"/>
      <c r="E6682" s="439"/>
      <c r="F6682" s="439"/>
      <c r="G6682" s="451" t="s">
        <v>3406</v>
      </c>
      <c r="Z6682" s="500"/>
      <c r="AA6682" s="500"/>
      <c r="AB6682" s="500"/>
      <c r="AC6682" s="500"/>
      <c r="AD6682" s="500"/>
      <c r="AE6682" s="500"/>
      <c r="AF6682" s="500"/>
      <c r="AG6682" s="500"/>
      <c r="AH6682" s="500"/>
      <c r="AI6682" s="500"/>
      <c r="AJ6682" s="500"/>
      <c r="AK6682" s="500"/>
      <c r="AL6682" s="500"/>
      <c r="AM6682" s="500"/>
      <c r="AN6682" s="500"/>
      <c r="AO6682" s="500"/>
      <c r="AP6682" s="500"/>
    </row>
    <row r="6683" spans="1:42" ht="16.5" customHeight="1">
      <c r="A6683" s="439"/>
      <c r="B6683" s="439"/>
      <c r="C6683" s="439"/>
      <c r="D6683" s="439"/>
      <c r="E6683" s="439"/>
      <c r="F6683" s="439"/>
      <c r="G6683" s="451" t="s">
        <v>3406</v>
      </c>
      <c r="Z6683" s="500"/>
      <c r="AA6683" s="500"/>
      <c r="AB6683" s="500"/>
      <c r="AC6683" s="500"/>
      <c r="AD6683" s="500"/>
      <c r="AE6683" s="500"/>
      <c r="AF6683" s="500"/>
      <c r="AG6683" s="500"/>
      <c r="AH6683" s="500"/>
      <c r="AI6683" s="500"/>
      <c r="AJ6683" s="500"/>
      <c r="AK6683" s="500"/>
      <c r="AL6683" s="500"/>
      <c r="AM6683" s="500"/>
      <c r="AN6683" s="500"/>
      <c r="AO6683" s="500"/>
      <c r="AP6683" s="500"/>
    </row>
    <row r="6684" spans="1:42" ht="16.5" customHeight="1">
      <c r="A6684" s="434" t="s">
        <v>3992</v>
      </c>
      <c r="B6684" s="505" t="str">
        <f>" 인    부: "&amp;TEXT(I6684,"#,##0"&amp;IF(I6684&lt;&gt;INT(I6684),".###",""))&amp;"*k = "&amp;TEXT(C6684,"#,##0.0")&amp;" 원 "</f>
        <v xml:space="preserve"> 인    부: 172,068*k = 507,949.8 원 </v>
      </c>
      <c r="C6684" s="506">
        <f>E6684+D6684+F6684</f>
        <v>507949.8</v>
      </c>
      <c r="D6684" s="506">
        <f>IF(H6684=0,0,ROUNDDOWN(J6684*H6684,1))</f>
        <v>507949.8</v>
      </c>
      <c r="E6684" s="506">
        <f>IF(H6684=0,0,ROUNDDOWN(K6684*H6684,1))</f>
        <v>0</v>
      </c>
      <c r="F6684" s="506">
        <f>IF(H6684=0,0,ROUNDDOWN(L6684*H6684,1))</f>
        <v>0</v>
      </c>
      <c r="G6684" s="451" t="s">
        <v>3993</v>
      </c>
      <c r="H6684" s="507">
        <f>ROUNDUP(AC6684,14-LEN(ABS(INT(AC6684))))</f>
        <v>2.9520295202951998</v>
      </c>
      <c r="I6684" s="508">
        <f>K6684+J6684+L6684</f>
        <v>172068</v>
      </c>
      <c r="J6684" s="509">
        <f>노무비목록표!E10</f>
        <v>172068</v>
      </c>
      <c r="M6684" s="501" t="s">
        <v>2363</v>
      </c>
      <c r="N6684" s="501" t="s">
        <v>3994</v>
      </c>
      <c r="X6684" s="510" t="str">
        <f>노무비목록표!B10&amp;" / "&amp;노무비목록표!C10</f>
        <v xml:space="preserve">보통인부 / </v>
      </c>
      <c r="Y6684" s="433" t="str">
        <f ca="1">HYPERLINK("#"&amp;노무비목록표!G2&amp;"!A"&amp;ROW(노무비목록표!A10),"L00017 →")</f>
        <v>L00017 →</v>
      </c>
      <c r="Z6684" s="501" t="s">
        <v>3500</v>
      </c>
      <c r="AA6684" s="512">
        <f>AD6680</f>
        <v>2.9520295202951998</v>
      </c>
      <c r="AB6684" s="501" t="s">
        <v>3418</v>
      </c>
      <c r="AC6684" s="512">
        <f>1*AD6680</f>
        <v>2.9520295202951998</v>
      </c>
      <c r="AD6684" s="500"/>
      <c r="AE6684" s="500"/>
      <c r="AF6684" s="500"/>
      <c r="AG6684" s="500"/>
      <c r="AH6684" s="500"/>
      <c r="AI6684" s="500"/>
      <c r="AJ6684" s="500"/>
      <c r="AK6684" s="500"/>
      <c r="AL6684" s="500"/>
      <c r="AM6684" s="500"/>
      <c r="AN6684" s="500"/>
      <c r="AO6684" s="500"/>
      <c r="AP6684" s="500"/>
    </row>
    <row r="6685" spans="1:42" ht="16.5" customHeight="1">
      <c r="A6685" s="439"/>
      <c r="B6685" s="439"/>
      <c r="C6685" s="439"/>
      <c r="D6685" s="439"/>
      <c r="E6685" s="439"/>
      <c r="F6685" s="439"/>
      <c r="G6685" s="451" t="s">
        <v>3406</v>
      </c>
      <c r="Z6685" s="500"/>
      <c r="AA6685" s="500"/>
      <c r="AB6685" s="500"/>
      <c r="AC6685" s="500"/>
      <c r="AD6685" s="500"/>
      <c r="AE6685" s="500"/>
      <c r="AF6685" s="500"/>
      <c r="AG6685" s="500"/>
      <c r="AH6685" s="500"/>
      <c r="AI6685" s="500"/>
      <c r="AJ6685" s="500"/>
      <c r="AK6685" s="500"/>
      <c r="AL6685" s="500"/>
      <c r="AM6685" s="500"/>
      <c r="AN6685" s="500"/>
      <c r="AO6685" s="500"/>
      <c r="AP6685" s="500"/>
    </row>
    <row r="6686" spans="1:42" ht="16.5" customHeight="1">
      <c r="A6686" s="439"/>
      <c r="B6686" s="439"/>
      <c r="C6686" s="439"/>
      <c r="D6686" s="439"/>
      <c r="E6686" s="439"/>
      <c r="F6686" s="439"/>
      <c r="G6686" s="451" t="s">
        <v>3406</v>
      </c>
      <c r="Z6686" s="500"/>
      <c r="AA6686" s="500"/>
      <c r="AB6686" s="500"/>
      <c r="AC6686" s="500"/>
      <c r="AD6686" s="500"/>
      <c r="AE6686" s="500"/>
      <c r="AF6686" s="500"/>
      <c r="AG6686" s="500"/>
      <c r="AH6686" s="500"/>
      <c r="AI6686" s="500"/>
      <c r="AJ6686" s="500"/>
      <c r="AK6686" s="500"/>
      <c r="AL6686" s="500"/>
      <c r="AM6686" s="500"/>
      <c r="AN6686" s="500"/>
      <c r="AO6686" s="500"/>
      <c r="AP6686" s="500"/>
    </row>
    <row r="6687" spans="1:42" ht="16.5" customHeight="1">
      <c r="A6687" s="439"/>
      <c r="B6687" s="439"/>
      <c r="C6687" s="439"/>
      <c r="D6687" s="439"/>
      <c r="E6687" s="439"/>
      <c r="F6687" s="439"/>
      <c r="G6687" s="451" t="s">
        <v>3406</v>
      </c>
      <c r="Z6687" s="500"/>
      <c r="AA6687" s="500"/>
      <c r="AB6687" s="500"/>
      <c r="AC6687" s="500"/>
      <c r="AD6687" s="500"/>
      <c r="AE6687" s="500"/>
      <c r="AF6687" s="500"/>
      <c r="AG6687" s="500"/>
      <c r="AH6687" s="500"/>
      <c r="AI6687" s="500"/>
      <c r="AJ6687" s="500"/>
      <c r="AK6687" s="500"/>
      <c r="AL6687" s="500"/>
      <c r="AM6687" s="500"/>
      <c r="AN6687" s="500"/>
      <c r="AO6687" s="500"/>
      <c r="AP6687" s="500"/>
    </row>
    <row r="6688" spans="1:42" ht="16.5" customHeight="1">
      <c r="A6688" s="439"/>
      <c r="B6688" s="439"/>
      <c r="C6688" s="439"/>
      <c r="D6688" s="439"/>
      <c r="E6688" s="439"/>
      <c r="F6688" s="439"/>
      <c r="G6688" s="451" t="s">
        <v>3406</v>
      </c>
      <c r="Z6688" s="500"/>
      <c r="AA6688" s="500"/>
      <c r="AB6688" s="500"/>
      <c r="AC6688" s="500"/>
      <c r="AD6688" s="500"/>
      <c r="AE6688" s="500"/>
      <c r="AF6688" s="500"/>
      <c r="AG6688" s="500"/>
      <c r="AH6688" s="500"/>
      <c r="AI6688" s="500"/>
      <c r="AJ6688" s="500"/>
      <c r="AK6688" s="500"/>
      <c r="AL6688" s="500"/>
      <c r="AM6688" s="500"/>
      <c r="AN6688" s="500"/>
      <c r="AO6688" s="500"/>
      <c r="AP6688" s="500"/>
    </row>
    <row r="6689" spans="1:42" ht="16.5" customHeight="1">
      <c r="A6689" s="434"/>
      <c r="B6689" s="437" t="s">
        <v>3995</v>
      </c>
      <c r="C6689" s="516">
        <f>E6689+D6689+F6689</f>
        <v>507949.8</v>
      </c>
      <c r="D6689" s="516">
        <f>SUMIF(N6657:N6688,M6689,D6657:D6688)</f>
        <v>507949.8</v>
      </c>
      <c r="E6689" s="516">
        <f>SUMIF(N6657:N6688,M6689,E6657:E6688)</f>
        <v>0</v>
      </c>
      <c r="F6689" s="516">
        <f>SUMIF(N6657:N6688,M6689,F6657:F6688)</f>
        <v>0</v>
      </c>
      <c r="G6689" s="451" t="s">
        <v>3996</v>
      </c>
      <c r="M6689" s="501" t="s">
        <v>3994</v>
      </c>
      <c r="Z6689" s="500"/>
      <c r="AA6689" s="500"/>
      <c r="AB6689" s="500"/>
      <c r="AC6689" s="500"/>
      <c r="AD6689" s="500"/>
      <c r="AE6689" s="500"/>
      <c r="AF6689" s="500"/>
      <c r="AG6689" s="500"/>
      <c r="AH6689" s="500"/>
      <c r="AI6689" s="500"/>
      <c r="AJ6689" s="500"/>
      <c r="AK6689" s="500"/>
      <c r="AL6689" s="500"/>
      <c r="AM6689" s="500"/>
      <c r="AN6689" s="500"/>
      <c r="AO6689" s="500"/>
      <c r="AP6689" s="500"/>
    </row>
    <row r="6690" spans="1:42" ht="16.5" customHeight="1">
      <c r="A6690" s="439"/>
      <c r="B6690" s="439"/>
      <c r="C6690" s="517"/>
      <c r="D6690" s="517"/>
      <c r="E6690" s="517"/>
      <c r="F6690" s="517"/>
      <c r="G6690" s="451" t="s">
        <v>3406</v>
      </c>
      <c r="Z6690" s="500"/>
      <c r="AA6690" s="500"/>
      <c r="AB6690" s="500"/>
      <c r="AC6690" s="500"/>
      <c r="AD6690" s="500"/>
      <c r="AE6690" s="500"/>
      <c r="AF6690" s="500"/>
      <c r="AG6690" s="500"/>
      <c r="AH6690" s="500"/>
      <c r="AI6690" s="500"/>
      <c r="AJ6690" s="500"/>
      <c r="AK6690" s="500"/>
      <c r="AL6690" s="500"/>
      <c r="AM6690" s="500"/>
      <c r="AN6690" s="500"/>
      <c r="AO6690" s="500"/>
      <c r="AP6690" s="500"/>
    </row>
    <row r="6691" spans="1:42" ht="16.5" customHeight="1">
      <c r="A6691" s="439"/>
      <c r="B6691" s="439"/>
      <c r="C6691" s="439"/>
      <c r="D6691" s="439"/>
      <c r="E6691" s="439"/>
      <c r="F6691" s="439"/>
      <c r="G6691" s="451" t="s">
        <v>3406</v>
      </c>
      <c r="Z6691" s="500"/>
      <c r="AA6691" s="500"/>
      <c r="AB6691" s="500"/>
      <c r="AC6691" s="500"/>
      <c r="AD6691" s="500"/>
      <c r="AE6691" s="500"/>
      <c r="AF6691" s="500"/>
      <c r="AG6691" s="500"/>
      <c r="AH6691" s="500"/>
      <c r="AI6691" s="500"/>
      <c r="AJ6691" s="500"/>
      <c r="AK6691" s="500"/>
      <c r="AL6691" s="500"/>
      <c r="AM6691" s="500"/>
      <c r="AN6691" s="500"/>
      <c r="AO6691" s="500"/>
      <c r="AP6691" s="500"/>
    </row>
    <row r="6692" spans="1:42" ht="16.5" customHeight="1">
      <c r="A6692" s="434" t="s">
        <v>3997</v>
      </c>
      <c r="B6692" s="505" t="str">
        <f>" 경비로 적용 : "&amp;TEXT(I6692,"#,##0"&amp;IF(I6692&lt;&gt;INT(I6692),".###",""))&amp;"  = "&amp;TEXT(C6692,"#,##0.0")&amp;""</f>
        <v xml:space="preserve"> 경비로 적용 : 507,949.8  = 507,949.8</v>
      </c>
      <c r="C6692" s="506">
        <f>E6692+D6692+F6692</f>
        <v>507949.8</v>
      </c>
      <c r="D6692" s="506">
        <f>IF(H6692=0,0,ROUNDDOWN(J6692*H6692,1))</f>
        <v>0</v>
      </c>
      <c r="E6692" s="506">
        <f>IF(H6692=0,0,ROUNDDOWN(K6692*H6692,1))</f>
        <v>0</v>
      </c>
      <c r="F6692" s="506">
        <f>IF(H6692=0,0,ROUNDDOWN(L6692*H6692,1))</f>
        <v>507949.8</v>
      </c>
      <c r="G6692" s="451" t="s">
        <v>3998</v>
      </c>
      <c r="H6692" s="507">
        <f>ROUNDUP(AB6692,14-LEN(ABS(INT(AB6692))))</f>
        <v>1</v>
      </c>
      <c r="I6692" s="508">
        <f>K6692+J6692+L6692</f>
        <v>507949.8</v>
      </c>
      <c r="J6692" s="456">
        <v>0</v>
      </c>
      <c r="K6692" s="456">
        <v>0</v>
      </c>
      <c r="L6692" s="518">
        <v>507949.8</v>
      </c>
      <c r="M6692" s="501" t="s">
        <v>3999</v>
      </c>
      <c r="N6692" s="501" t="s">
        <v>2354</v>
      </c>
      <c r="Z6692" s="501" t="s">
        <v>4000</v>
      </c>
      <c r="AA6692" s="501" t="s">
        <v>3418</v>
      </c>
      <c r="AB6692" s="512">
        <f>1</f>
        <v>1</v>
      </c>
      <c r="AC6692" s="500"/>
      <c r="AD6692" s="500"/>
      <c r="AE6692" s="500"/>
      <c r="AF6692" s="500"/>
      <c r="AG6692" s="500"/>
      <c r="AH6692" s="500"/>
      <c r="AI6692" s="500"/>
      <c r="AJ6692" s="500"/>
      <c r="AK6692" s="500"/>
      <c r="AL6692" s="500"/>
      <c r="AM6692" s="500"/>
      <c r="AN6692" s="500"/>
      <c r="AO6692" s="500"/>
      <c r="AP6692" s="500"/>
    </row>
    <row r="6693" spans="1:42" ht="16.5" customHeight="1">
      <c r="A6693" s="439"/>
      <c r="B6693" s="439"/>
      <c r="C6693" s="439"/>
      <c r="D6693" s="439"/>
      <c r="E6693" s="439"/>
      <c r="F6693" s="439"/>
      <c r="Z6693" s="500"/>
      <c r="AA6693" s="500"/>
      <c r="AB6693" s="500"/>
      <c r="AC6693" s="500"/>
      <c r="AD6693" s="500"/>
      <c r="AE6693" s="500"/>
      <c r="AF6693" s="500"/>
      <c r="AG6693" s="500"/>
      <c r="AH6693" s="500"/>
      <c r="AI6693" s="500"/>
      <c r="AJ6693" s="500"/>
      <c r="AK6693" s="500"/>
      <c r="AL6693" s="500"/>
      <c r="AM6693" s="500"/>
      <c r="AN6693" s="500"/>
      <c r="AO6693" s="500"/>
      <c r="AP6693" s="500"/>
    </row>
    <row r="6694" spans="1:42" ht="16.5" customHeight="1">
      <c r="A6694" s="439"/>
      <c r="B6694" s="439"/>
      <c r="C6694" s="439"/>
      <c r="D6694" s="439"/>
      <c r="E6694" s="439"/>
      <c r="F6694" s="439"/>
      <c r="Z6694" s="500"/>
      <c r="AA6694" s="500"/>
      <c r="AB6694" s="500"/>
      <c r="AC6694" s="500"/>
      <c r="AD6694" s="500"/>
      <c r="AE6694" s="500"/>
      <c r="AF6694" s="500"/>
      <c r="AG6694" s="500"/>
      <c r="AH6694" s="500"/>
      <c r="AI6694" s="500"/>
      <c r="AJ6694" s="500"/>
      <c r="AK6694" s="500"/>
      <c r="AL6694" s="500"/>
      <c r="AM6694" s="500"/>
      <c r="AN6694" s="500"/>
      <c r="AO6694" s="500"/>
      <c r="AP6694" s="500"/>
    </row>
    <row r="6695" spans="1:42" ht="16.5" customHeight="1">
      <c r="A6695" s="439"/>
      <c r="B6695" s="439"/>
      <c r="C6695" s="439"/>
      <c r="D6695" s="439"/>
      <c r="E6695" s="439"/>
      <c r="F6695" s="439"/>
      <c r="Z6695" s="500"/>
      <c r="AA6695" s="500"/>
      <c r="AB6695" s="500"/>
      <c r="AC6695" s="500"/>
      <c r="AD6695" s="500"/>
      <c r="AE6695" s="500"/>
      <c r="AF6695" s="500"/>
      <c r="AG6695" s="500"/>
      <c r="AH6695" s="500"/>
      <c r="AI6695" s="500"/>
      <c r="AJ6695" s="500"/>
      <c r="AK6695" s="500"/>
      <c r="AL6695" s="500"/>
      <c r="AM6695" s="500"/>
      <c r="AN6695" s="500"/>
      <c r="AO6695" s="500"/>
      <c r="AP6695" s="500"/>
    </row>
    <row r="6696" spans="1:42" ht="16.5" customHeight="1">
      <c r="A6696" s="439"/>
      <c r="B6696" s="439"/>
      <c r="C6696" s="439"/>
      <c r="D6696" s="439"/>
      <c r="E6696" s="439"/>
      <c r="F6696" s="439"/>
      <c r="Z6696" s="500"/>
      <c r="AA6696" s="500"/>
      <c r="AB6696" s="500"/>
      <c r="AC6696" s="500"/>
      <c r="AD6696" s="500"/>
      <c r="AE6696" s="500"/>
      <c r="AF6696" s="500"/>
      <c r="AG6696" s="500"/>
      <c r="AH6696" s="500"/>
      <c r="AI6696" s="500"/>
      <c r="AJ6696" s="500"/>
      <c r="AK6696" s="500"/>
      <c r="AL6696" s="500"/>
      <c r="AM6696" s="500"/>
      <c r="AN6696" s="500"/>
      <c r="AO6696" s="500"/>
      <c r="AP6696" s="500"/>
    </row>
    <row r="6697" spans="1:42" ht="16.5" customHeight="1">
      <c r="A6697" s="439"/>
      <c r="B6697" s="439"/>
      <c r="C6697" s="439"/>
      <c r="D6697" s="439"/>
      <c r="E6697" s="439"/>
      <c r="F6697" s="439"/>
      <c r="Z6697" s="500"/>
      <c r="AA6697" s="500"/>
      <c r="AB6697" s="500"/>
      <c r="AC6697" s="500"/>
      <c r="AD6697" s="500"/>
      <c r="AE6697" s="500"/>
      <c r="AF6697" s="500"/>
      <c r="AG6697" s="500"/>
      <c r="AH6697" s="500"/>
      <c r="AI6697" s="500"/>
      <c r="AJ6697" s="500"/>
      <c r="AK6697" s="500"/>
      <c r="AL6697" s="500"/>
      <c r="AM6697" s="500"/>
      <c r="AN6697" s="500"/>
      <c r="AO6697" s="500"/>
      <c r="AP6697" s="500"/>
    </row>
    <row r="6698" spans="1:42" ht="16.5" customHeight="1">
      <c r="A6698" s="439"/>
      <c r="B6698" s="439"/>
      <c r="C6698" s="439"/>
      <c r="D6698" s="439"/>
      <c r="E6698" s="439"/>
      <c r="F6698" s="439"/>
      <c r="Z6698" s="500"/>
      <c r="AA6698" s="500"/>
      <c r="AB6698" s="500"/>
      <c r="AC6698" s="500"/>
      <c r="AD6698" s="500"/>
      <c r="AE6698" s="500"/>
      <c r="AF6698" s="500"/>
      <c r="AG6698" s="500"/>
      <c r="AH6698" s="500"/>
      <c r="AI6698" s="500"/>
      <c r="AJ6698" s="500"/>
      <c r="AK6698" s="500"/>
      <c r="AL6698" s="500"/>
      <c r="AM6698" s="500"/>
      <c r="AN6698" s="500"/>
      <c r="AO6698" s="500"/>
      <c r="AP6698" s="500"/>
    </row>
    <row r="6699" spans="1:42" ht="16.5" customHeight="1">
      <c r="A6699" s="439"/>
      <c r="B6699" s="439"/>
      <c r="C6699" s="439"/>
      <c r="D6699" s="439"/>
      <c r="E6699" s="439"/>
      <c r="F6699" s="439"/>
      <c r="Z6699" s="500"/>
      <c r="AA6699" s="500"/>
      <c r="AB6699" s="500"/>
      <c r="AC6699" s="500"/>
      <c r="AD6699" s="500"/>
      <c r="AE6699" s="500"/>
      <c r="AF6699" s="500"/>
      <c r="AG6699" s="500"/>
      <c r="AH6699" s="500"/>
      <c r="AI6699" s="500"/>
      <c r="AJ6699" s="500"/>
      <c r="AK6699" s="500"/>
      <c r="AL6699" s="500"/>
      <c r="AM6699" s="500"/>
      <c r="AN6699" s="500"/>
      <c r="AO6699" s="500"/>
      <c r="AP6699" s="500"/>
    </row>
    <row r="6700" spans="1:42" ht="16.5" customHeight="1">
      <c r="A6700" s="439"/>
      <c r="B6700" s="439"/>
      <c r="C6700" s="439"/>
      <c r="D6700" s="439"/>
      <c r="E6700" s="439"/>
      <c r="F6700" s="439"/>
      <c r="Z6700" s="500"/>
      <c r="AA6700" s="500"/>
      <c r="AB6700" s="500"/>
      <c r="AC6700" s="500"/>
      <c r="AD6700" s="500"/>
      <c r="AE6700" s="500"/>
      <c r="AF6700" s="500"/>
      <c r="AG6700" s="500"/>
      <c r="AH6700" s="500"/>
      <c r="AI6700" s="500"/>
      <c r="AJ6700" s="500"/>
      <c r="AK6700" s="500"/>
      <c r="AL6700" s="500"/>
      <c r="AM6700" s="500"/>
      <c r="AN6700" s="500"/>
      <c r="AO6700" s="500"/>
      <c r="AP6700" s="500"/>
    </row>
    <row r="6701" spans="1:42" ht="16.5" customHeight="1">
      <c r="A6701" s="439"/>
      <c r="B6701" s="439"/>
      <c r="C6701" s="439"/>
      <c r="D6701" s="439"/>
      <c r="E6701" s="439"/>
      <c r="F6701" s="439"/>
      <c r="Z6701" s="500"/>
      <c r="AA6701" s="500"/>
      <c r="AB6701" s="500"/>
      <c r="AC6701" s="500"/>
      <c r="AD6701" s="500"/>
      <c r="AE6701" s="500"/>
      <c r="AF6701" s="500"/>
      <c r="AG6701" s="500"/>
      <c r="AH6701" s="500"/>
      <c r="AI6701" s="500"/>
      <c r="AJ6701" s="500"/>
      <c r="AK6701" s="500"/>
      <c r="AL6701" s="500"/>
      <c r="AM6701" s="500"/>
      <c r="AN6701" s="500"/>
      <c r="AO6701" s="500"/>
      <c r="AP6701" s="500"/>
    </row>
    <row r="6702" spans="1:42" ht="16.5" customHeight="1">
      <c r="A6702" s="439"/>
      <c r="B6702" s="439"/>
      <c r="C6702" s="439"/>
      <c r="D6702" s="439"/>
      <c r="E6702" s="439"/>
      <c r="F6702" s="439"/>
      <c r="Z6702" s="500"/>
      <c r="AA6702" s="500"/>
      <c r="AB6702" s="500"/>
      <c r="AC6702" s="500"/>
      <c r="AD6702" s="500"/>
      <c r="AE6702" s="500"/>
      <c r="AF6702" s="500"/>
      <c r="AG6702" s="500"/>
      <c r="AH6702" s="500"/>
      <c r="AI6702" s="500"/>
      <c r="AJ6702" s="500"/>
      <c r="AK6702" s="500"/>
      <c r="AL6702" s="500"/>
      <c r="AM6702" s="500"/>
      <c r="AN6702" s="500"/>
      <c r="AO6702" s="500"/>
      <c r="AP6702" s="500"/>
    </row>
    <row r="6703" spans="1:42" ht="16.5" customHeight="1">
      <c r="A6703" s="497"/>
      <c r="B6703" s="497"/>
      <c r="C6703" s="497"/>
      <c r="D6703" s="497"/>
      <c r="E6703" s="497"/>
      <c r="F6703" s="497"/>
      <c r="Z6703" s="500"/>
      <c r="AA6703" s="500"/>
      <c r="AB6703" s="500"/>
      <c r="AC6703" s="500"/>
      <c r="AD6703" s="500"/>
      <c r="AE6703" s="500"/>
      <c r="AF6703" s="500"/>
      <c r="AG6703" s="500"/>
      <c r="AH6703" s="500"/>
      <c r="AI6703" s="500"/>
      <c r="AJ6703" s="500"/>
      <c r="AK6703" s="500"/>
      <c r="AL6703" s="500"/>
      <c r="AM6703" s="500"/>
      <c r="AN6703" s="500"/>
      <c r="AO6703" s="500"/>
      <c r="AP6703" s="500"/>
    </row>
    <row r="6704" spans="1:42" ht="16.5" customHeight="1">
      <c r="A6704" s="616" t="s">
        <v>3487</v>
      </c>
      <c r="B6704" s="605"/>
      <c r="C6704" s="446">
        <f>E6704+D6704+F6704</f>
        <v>507949</v>
      </c>
      <c r="D6704" s="453">
        <f>ROUNDDOWN(SUMIF(N6657:N6692,M6704,D6657:D6692),0)</f>
        <v>0</v>
      </c>
      <c r="E6704" s="454">
        <f>ROUNDDOWN(SUMIF(N6657:N6692,M6704,E6657:E6692),0)</f>
        <v>0</v>
      </c>
      <c r="F6704" s="446">
        <f>ROUNDDOWN(SUMIF(N6657:N6692,M6704,F6657:F6692),0)</f>
        <v>507949</v>
      </c>
      <c r="M6704" s="501" t="s">
        <v>2354</v>
      </c>
      <c r="Z6704" s="500"/>
      <c r="AA6704" s="500"/>
      <c r="AB6704" s="500"/>
      <c r="AC6704" s="500"/>
      <c r="AD6704" s="500"/>
      <c r="AE6704" s="500"/>
      <c r="AF6704" s="500"/>
      <c r="AG6704" s="500"/>
      <c r="AH6704" s="500"/>
      <c r="AI6704" s="500"/>
      <c r="AJ6704" s="500"/>
      <c r="AK6704" s="500"/>
      <c r="AL6704" s="500"/>
      <c r="AM6704" s="500"/>
      <c r="AN6704" s="500"/>
      <c r="AO6704" s="500"/>
      <c r="AP6704" s="500"/>
    </row>
    <row r="6705" spans="1:42" ht="16.5" customHeight="1">
      <c r="A6705" s="502"/>
      <c r="B6705" s="503" t="s">
        <v>2181</v>
      </c>
      <c r="C6705" s="615">
        <f>C6754</f>
        <v>544518</v>
      </c>
      <c r="D6705" s="615">
        <f>D6754</f>
        <v>0</v>
      </c>
      <c r="E6705" s="615">
        <f>E6754</f>
        <v>0</v>
      </c>
      <c r="F6705" s="615">
        <f>F6754</f>
        <v>544518</v>
      </c>
      <c r="G6705" s="486" t="str">
        <f>HYPERLINK("#G"&amp;ROW(G6742),"_x0005_`BDCOD|D01191_x0007_`POSS|"&amp;ROW(G6707)&amp;"_x0007_`POSE|"&amp;ROW(G6742)&amp;"_x0007_`")</f>
        <v>_x0005_`BDCOD|D01191_x0007_`POSS|6707_x0007_`POSE|6742_x0007_`</v>
      </c>
      <c r="Z6705" s="500"/>
      <c r="AA6705" s="500"/>
      <c r="AB6705" s="500"/>
      <c r="AC6705" s="500"/>
      <c r="AD6705" s="500"/>
      <c r="AE6705" s="500"/>
      <c r="AF6705" s="500"/>
      <c r="AG6705" s="500"/>
      <c r="AH6705" s="500"/>
      <c r="AI6705" s="500"/>
      <c r="AJ6705" s="500"/>
      <c r="AK6705" s="500"/>
      <c r="AL6705" s="500"/>
      <c r="AM6705" s="500"/>
      <c r="AN6705" s="500"/>
      <c r="AO6705" s="500"/>
      <c r="AP6705" s="500"/>
    </row>
    <row r="6706" spans="1:42" ht="16.5" customHeight="1">
      <c r="A6706" s="485"/>
      <c r="B6706" s="503" t="s">
        <v>4085</v>
      </c>
      <c r="C6706" s="593"/>
      <c r="D6706" s="593"/>
      <c r="E6706" s="593"/>
      <c r="F6706" s="593"/>
      <c r="M6706" s="501" t="s">
        <v>2181</v>
      </c>
      <c r="Z6706" s="500"/>
      <c r="AA6706" s="500"/>
      <c r="AB6706" s="500"/>
      <c r="AC6706" s="500"/>
      <c r="AD6706" s="500"/>
      <c r="AE6706" s="500"/>
      <c r="AF6706" s="500"/>
      <c r="AG6706" s="500"/>
      <c r="AH6706" s="500"/>
      <c r="AI6706" s="500"/>
      <c r="AJ6706" s="500"/>
      <c r="AK6706" s="500"/>
      <c r="AL6706" s="500"/>
      <c r="AM6706" s="500"/>
      <c r="AN6706" s="500"/>
      <c r="AO6706" s="500"/>
      <c r="AP6706" s="500"/>
    </row>
    <row r="6707" spans="1:42" ht="16.5" customHeight="1">
      <c r="A6707" s="434"/>
      <c r="B6707" s="437" t="s">
        <v>3980</v>
      </c>
      <c r="C6707" s="504"/>
      <c r="D6707" s="504"/>
      <c r="E6707" s="504"/>
      <c r="F6707" s="504"/>
      <c r="G6707" s="451" t="s">
        <v>3981</v>
      </c>
      <c r="Z6707" s="500"/>
      <c r="AA6707" s="500"/>
      <c r="AB6707" s="500"/>
      <c r="AC6707" s="500"/>
      <c r="AD6707" s="500"/>
      <c r="AE6707" s="500"/>
      <c r="AF6707" s="500"/>
      <c r="AG6707" s="500"/>
      <c r="AH6707" s="500"/>
      <c r="AI6707" s="500"/>
      <c r="AJ6707" s="500"/>
      <c r="AK6707" s="500"/>
      <c r="AL6707" s="500"/>
      <c r="AM6707" s="500"/>
      <c r="AN6707" s="500"/>
      <c r="AO6707" s="500"/>
      <c r="AP6707" s="500"/>
    </row>
    <row r="6708" spans="1:42" ht="16.5" customHeight="1">
      <c r="A6708" s="439"/>
      <c r="B6708" s="439"/>
      <c r="C6708" s="439"/>
      <c r="D6708" s="439"/>
      <c r="E6708" s="439"/>
      <c r="F6708" s="439"/>
      <c r="G6708" s="451" t="s">
        <v>3406</v>
      </c>
      <c r="Z6708" s="500"/>
      <c r="AA6708" s="500"/>
      <c r="AB6708" s="500"/>
      <c r="AC6708" s="500"/>
      <c r="AD6708" s="500"/>
      <c r="AE6708" s="500"/>
      <c r="AF6708" s="500"/>
      <c r="AG6708" s="500"/>
      <c r="AH6708" s="500"/>
      <c r="AI6708" s="500"/>
      <c r="AJ6708" s="500"/>
      <c r="AK6708" s="500"/>
      <c r="AL6708" s="500"/>
      <c r="AM6708" s="500"/>
      <c r="AN6708" s="500"/>
      <c r="AO6708" s="500"/>
      <c r="AP6708" s="500"/>
    </row>
    <row r="6709" spans="1:42" ht="16.5" customHeight="1">
      <c r="A6709" s="434"/>
      <c r="B6709" s="437" t="s">
        <v>4086</v>
      </c>
      <c r="C6709" s="439"/>
      <c r="D6709" s="439"/>
      <c r="E6709" s="439"/>
      <c r="F6709" s="439"/>
      <c r="G6709" s="451" t="s">
        <v>4087</v>
      </c>
      <c r="Z6709" s="500"/>
      <c r="AA6709" s="500"/>
      <c r="AB6709" s="500"/>
      <c r="AC6709" s="500"/>
      <c r="AD6709" s="500"/>
      <c r="AE6709" s="500"/>
      <c r="AF6709" s="500"/>
      <c r="AG6709" s="500"/>
      <c r="AH6709" s="500"/>
      <c r="AI6709" s="500"/>
      <c r="AJ6709" s="500"/>
      <c r="AK6709" s="500"/>
      <c r="AL6709" s="500"/>
      <c r="AM6709" s="500"/>
      <c r="AN6709" s="500"/>
      <c r="AO6709" s="500"/>
      <c r="AP6709" s="500"/>
    </row>
    <row r="6710" spans="1:42" ht="16.5" customHeight="1">
      <c r="A6710" s="439"/>
      <c r="B6710" s="439"/>
      <c r="C6710" s="439"/>
      <c r="D6710" s="439"/>
      <c r="E6710" s="439"/>
      <c r="F6710" s="439"/>
      <c r="G6710" s="451" t="s">
        <v>3406</v>
      </c>
      <c r="Z6710" s="500"/>
      <c r="AA6710" s="500"/>
      <c r="AB6710" s="500"/>
      <c r="AC6710" s="500"/>
      <c r="AD6710" s="500"/>
      <c r="AE6710" s="500"/>
      <c r="AF6710" s="500"/>
      <c r="AG6710" s="500"/>
      <c r="AH6710" s="500"/>
      <c r="AI6710" s="500"/>
      <c r="AJ6710" s="500"/>
      <c r="AK6710" s="500"/>
      <c r="AL6710" s="500"/>
      <c r="AM6710" s="500"/>
      <c r="AN6710" s="500"/>
      <c r="AO6710" s="500"/>
      <c r="AP6710" s="500"/>
    </row>
    <row r="6711" spans="1:42" ht="16.5" customHeight="1">
      <c r="A6711" s="439"/>
      <c r="B6711" s="439"/>
      <c r="C6711" s="439"/>
      <c r="D6711" s="439"/>
      <c r="E6711" s="439"/>
      <c r="F6711" s="439"/>
      <c r="G6711" s="451" t="s">
        <v>3406</v>
      </c>
      <c r="Z6711" s="500"/>
      <c r="AA6711" s="500"/>
      <c r="AB6711" s="500"/>
      <c r="AC6711" s="500"/>
      <c r="AD6711" s="500"/>
      <c r="AE6711" s="500"/>
      <c r="AF6711" s="500"/>
      <c r="AG6711" s="500"/>
      <c r="AH6711" s="500"/>
      <c r="AI6711" s="500"/>
      <c r="AJ6711" s="500"/>
      <c r="AK6711" s="500"/>
      <c r="AL6711" s="500"/>
      <c r="AM6711" s="500"/>
      <c r="AN6711" s="500"/>
      <c r="AO6711" s="500"/>
      <c r="AP6711" s="500"/>
    </row>
    <row r="6712" spans="1:42" ht="16.5" customHeight="1">
      <c r="A6712" s="434"/>
      <c r="B6712" s="437" t="s">
        <v>3984</v>
      </c>
      <c r="C6712" s="439"/>
      <c r="D6712" s="439"/>
      <c r="E6712" s="439"/>
      <c r="F6712" s="439"/>
      <c r="G6712" s="451" t="s">
        <v>3985</v>
      </c>
      <c r="Z6712" s="500"/>
      <c r="AA6712" s="500"/>
      <c r="AB6712" s="500"/>
      <c r="AC6712" s="500"/>
      <c r="AD6712" s="500"/>
      <c r="AE6712" s="500"/>
      <c r="AF6712" s="500"/>
      <c r="AG6712" s="500"/>
      <c r="AH6712" s="500"/>
      <c r="AI6712" s="500"/>
      <c r="AJ6712" s="500"/>
      <c r="AK6712" s="500"/>
      <c r="AL6712" s="500"/>
      <c r="AM6712" s="500"/>
      <c r="AN6712" s="500"/>
      <c r="AO6712" s="500"/>
      <c r="AP6712" s="500"/>
    </row>
    <row r="6713" spans="1:42" ht="16.5" customHeight="1">
      <c r="A6713" s="439"/>
      <c r="B6713" s="439"/>
      <c r="C6713" s="439"/>
      <c r="D6713" s="439"/>
      <c r="E6713" s="439"/>
      <c r="F6713" s="439"/>
      <c r="G6713" s="451" t="s">
        <v>3406</v>
      </c>
      <c r="Z6713" s="500"/>
      <c r="AA6713" s="500"/>
      <c r="AB6713" s="500"/>
      <c r="AC6713" s="500"/>
      <c r="AD6713" s="500"/>
      <c r="AE6713" s="500"/>
      <c r="AF6713" s="500"/>
      <c r="AG6713" s="500"/>
      <c r="AH6713" s="500"/>
      <c r="AI6713" s="500"/>
      <c r="AJ6713" s="500"/>
      <c r="AK6713" s="500"/>
      <c r="AL6713" s="500"/>
      <c r="AM6713" s="500"/>
      <c r="AN6713" s="500"/>
      <c r="AO6713" s="500"/>
      <c r="AP6713" s="500"/>
    </row>
    <row r="6714" spans="1:42" ht="16.5" customHeight="1">
      <c r="A6714" s="439"/>
      <c r="B6714" s="439"/>
      <c r="C6714" s="439"/>
      <c r="D6714" s="439"/>
      <c r="E6714" s="439"/>
      <c r="F6714" s="439"/>
      <c r="G6714" s="451" t="s">
        <v>3406</v>
      </c>
      <c r="Z6714" s="500"/>
      <c r="AA6714" s="500"/>
      <c r="AB6714" s="500"/>
      <c r="AC6714" s="500"/>
      <c r="AD6714" s="500"/>
      <c r="AE6714" s="500"/>
      <c r="AF6714" s="500"/>
      <c r="AG6714" s="500"/>
      <c r="AH6714" s="500"/>
      <c r="AI6714" s="500"/>
      <c r="AJ6714" s="500"/>
      <c r="AK6714" s="500"/>
      <c r="AL6714" s="500"/>
      <c r="AM6714" s="500"/>
      <c r="AN6714" s="500"/>
      <c r="AO6714" s="500"/>
      <c r="AP6714" s="500"/>
    </row>
    <row r="6715" spans="1:42" ht="16.5" customHeight="1">
      <c r="A6715" s="434"/>
      <c r="B6715" s="437" t="s">
        <v>3986</v>
      </c>
      <c r="C6715" s="439"/>
      <c r="D6715" s="439"/>
      <c r="E6715" s="439"/>
      <c r="F6715" s="439"/>
      <c r="G6715" s="451" t="s">
        <v>3987</v>
      </c>
      <c r="Z6715" s="500"/>
      <c r="AA6715" s="500"/>
      <c r="AB6715" s="500"/>
      <c r="AC6715" s="500"/>
      <c r="AD6715" s="500"/>
      <c r="AE6715" s="500"/>
      <c r="AF6715" s="500"/>
      <c r="AG6715" s="500"/>
      <c r="AH6715" s="500"/>
      <c r="AI6715" s="500"/>
      <c r="AJ6715" s="500"/>
      <c r="AK6715" s="500"/>
      <c r="AL6715" s="500"/>
      <c r="AM6715" s="500"/>
      <c r="AN6715" s="500"/>
      <c r="AO6715" s="500"/>
      <c r="AP6715" s="500"/>
    </row>
    <row r="6716" spans="1:42" ht="16.5" customHeight="1">
      <c r="A6716" s="439"/>
      <c r="B6716" s="439"/>
      <c r="C6716" s="439"/>
      <c r="D6716" s="439"/>
      <c r="E6716" s="439"/>
      <c r="F6716" s="439"/>
      <c r="G6716" s="451" t="s">
        <v>3406</v>
      </c>
      <c r="Z6716" s="500"/>
      <c r="AA6716" s="500"/>
      <c r="AB6716" s="500"/>
      <c r="AC6716" s="500"/>
      <c r="AD6716" s="500"/>
      <c r="AE6716" s="500"/>
      <c r="AF6716" s="500"/>
      <c r="AG6716" s="500"/>
      <c r="AH6716" s="500"/>
      <c r="AI6716" s="500"/>
      <c r="AJ6716" s="500"/>
      <c r="AK6716" s="500"/>
      <c r="AL6716" s="500"/>
      <c r="AM6716" s="500"/>
      <c r="AN6716" s="500"/>
      <c r="AO6716" s="500"/>
      <c r="AP6716" s="500"/>
    </row>
    <row r="6717" spans="1:42" ht="16.5" customHeight="1">
      <c r="A6717" s="439"/>
      <c r="B6717" s="439"/>
      <c r="C6717" s="439"/>
      <c r="D6717" s="439"/>
      <c r="E6717" s="439"/>
      <c r="F6717" s="439"/>
      <c r="G6717" s="451" t="s">
        <v>3406</v>
      </c>
      <c r="Z6717" s="500"/>
      <c r="AA6717" s="500"/>
      <c r="AB6717" s="500"/>
      <c r="AC6717" s="500"/>
      <c r="AD6717" s="500"/>
      <c r="AE6717" s="500"/>
      <c r="AF6717" s="500"/>
      <c r="AG6717" s="500"/>
      <c r="AH6717" s="500"/>
      <c r="AI6717" s="500"/>
      <c r="AJ6717" s="500"/>
      <c r="AK6717" s="500"/>
      <c r="AL6717" s="500"/>
      <c r="AM6717" s="500"/>
      <c r="AN6717" s="500"/>
      <c r="AO6717" s="500"/>
      <c r="AP6717" s="500"/>
    </row>
    <row r="6718" spans="1:42" ht="16.5" customHeight="1">
      <c r="A6718" s="434"/>
      <c r="B6718" s="437" t="str">
        <f>" L = "&amp;Z6718&amp;" , V = "&amp;AD6718&amp;" , t = "&amp;AH6718&amp;"  , T = "&amp;AL6718&amp;"-"&amp;AN6718&amp;""</f>
        <v xml:space="preserve"> L = 700 , V = 2500 , t = 2  , T = 480-30</v>
      </c>
      <c r="C6718" s="439"/>
      <c r="D6718" s="439"/>
      <c r="E6718" s="439"/>
      <c r="F6718" s="439"/>
      <c r="G6718" s="451" t="s">
        <v>4088</v>
      </c>
      <c r="Z6718" s="515">
        <v>700</v>
      </c>
      <c r="AA6718" s="501" t="s">
        <v>3418</v>
      </c>
      <c r="AB6718" s="512">
        <f>Z6718</f>
        <v>700</v>
      </c>
      <c r="AC6718" s="514" t="s">
        <v>3427</v>
      </c>
      <c r="AD6718" s="515">
        <v>2500</v>
      </c>
      <c r="AE6718" s="501" t="s">
        <v>3418</v>
      </c>
      <c r="AF6718" s="512">
        <f>AD6718</f>
        <v>2500</v>
      </c>
      <c r="AG6718" s="514" t="s">
        <v>3427</v>
      </c>
      <c r="AH6718" s="515">
        <v>2</v>
      </c>
      <c r="AI6718" s="501" t="s">
        <v>3418</v>
      </c>
      <c r="AJ6718" s="512">
        <f>AH6718</f>
        <v>2</v>
      </c>
      <c r="AK6718" s="514" t="s">
        <v>3427</v>
      </c>
      <c r="AL6718" s="515">
        <v>480</v>
      </c>
      <c r="AM6718" s="501" t="s">
        <v>3474</v>
      </c>
      <c r="AN6718" s="515">
        <v>30</v>
      </c>
      <c r="AO6718" s="501" t="s">
        <v>3418</v>
      </c>
      <c r="AP6718" s="512">
        <f>AL6718-AN6718</f>
        <v>450</v>
      </c>
    </row>
    <row r="6719" spans="1:42" ht="16.5" customHeight="1">
      <c r="A6719" s="439"/>
      <c r="B6719" s="439"/>
      <c r="C6719" s="439"/>
      <c r="D6719" s="439"/>
      <c r="E6719" s="439"/>
      <c r="F6719" s="439"/>
      <c r="G6719" s="451" t="s">
        <v>3406</v>
      </c>
      <c r="Z6719" s="500"/>
      <c r="AA6719" s="500"/>
      <c r="AB6719" s="500"/>
      <c r="AC6719" s="500"/>
      <c r="AD6719" s="500"/>
      <c r="AE6719" s="500"/>
      <c r="AF6719" s="500"/>
      <c r="AG6719" s="500"/>
      <c r="AH6719" s="500"/>
      <c r="AI6719" s="500"/>
      <c r="AJ6719" s="500"/>
      <c r="AK6719" s="500"/>
      <c r="AL6719" s="500"/>
      <c r="AM6719" s="500"/>
      <c r="AN6719" s="500"/>
      <c r="AO6719" s="500"/>
      <c r="AP6719" s="500"/>
    </row>
    <row r="6720" spans="1:42" ht="16.5" customHeight="1">
      <c r="A6720" s="439"/>
      <c r="B6720" s="439"/>
      <c r="C6720" s="439"/>
      <c r="D6720" s="439"/>
      <c r="E6720" s="439"/>
      <c r="F6720" s="439"/>
      <c r="G6720" s="451" t="s">
        <v>3406</v>
      </c>
      <c r="Z6720" s="500"/>
      <c r="AA6720" s="500"/>
      <c r="AB6720" s="500"/>
      <c r="AC6720" s="500"/>
      <c r="AD6720" s="500"/>
      <c r="AE6720" s="500"/>
      <c r="AF6720" s="500"/>
      <c r="AG6720" s="500"/>
      <c r="AH6720" s="500"/>
      <c r="AI6720" s="500"/>
      <c r="AJ6720" s="500"/>
      <c r="AK6720" s="500"/>
      <c r="AL6720" s="500"/>
      <c r="AM6720" s="500"/>
      <c r="AN6720" s="500"/>
      <c r="AO6720" s="500"/>
      <c r="AP6720" s="500"/>
    </row>
    <row r="6721" spans="1:42" ht="16.5" customHeight="1">
      <c r="A6721" s="439"/>
      <c r="B6721" s="439"/>
      <c r="C6721" s="439"/>
      <c r="D6721" s="439"/>
      <c r="E6721" s="439"/>
      <c r="F6721" s="439"/>
      <c r="G6721" s="451" t="s">
        <v>3406</v>
      </c>
      <c r="Z6721" s="500"/>
      <c r="AA6721" s="500"/>
      <c r="AB6721" s="500"/>
      <c r="AC6721" s="500"/>
      <c r="AD6721" s="500"/>
      <c r="AE6721" s="500"/>
      <c r="AF6721" s="500"/>
      <c r="AG6721" s="500"/>
      <c r="AH6721" s="500"/>
      <c r="AI6721" s="500"/>
      <c r="AJ6721" s="500"/>
      <c r="AK6721" s="500"/>
      <c r="AL6721" s="500"/>
      <c r="AM6721" s="500"/>
      <c r="AN6721" s="500"/>
      <c r="AO6721" s="500"/>
      <c r="AP6721" s="500"/>
    </row>
    <row r="6722" spans="1:42" ht="16.5" customHeight="1">
      <c r="A6722" s="434"/>
      <c r="B6722" s="437" t="str">
        <f>" N = V*T /( "&amp;AD6722&amp;"*L+V*"&amp;AJ6722&amp;" ) = "&amp;AM6722&amp;" 회/일 "</f>
        <v xml:space="preserve"> N = V*T /( 120*L+V*2 ) = 12.64 회/일 </v>
      </c>
      <c r="C6722" s="439"/>
      <c r="D6722" s="439"/>
      <c r="E6722" s="439"/>
      <c r="F6722" s="439"/>
      <c r="G6722" s="451" t="s">
        <v>3989</v>
      </c>
      <c r="Z6722" s="512">
        <f>AF6718</f>
        <v>2500</v>
      </c>
      <c r="AA6722" s="501" t="s">
        <v>3368</v>
      </c>
      <c r="AB6722" s="512">
        <f>AP6718</f>
        <v>450</v>
      </c>
      <c r="AC6722" s="501" t="s">
        <v>3463</v>
      </c>
      <c r="AD6722" s="515">
        <v>120</v>
      </c>
      <c r="AE6722" s="501" t="s">
        <v>3368</v>
      </c>
      <c r="AF6722" s="512">
        <f>AB6718</f>
        <v>700</v>
      </c>
      <c r="AG6722" s="501" t="s">
        <v>3468</v>
      </c>
      <c r="AH6722" s="512">
        <f>AF6718</f>
        <v>2500</v>
      </c>
      <c r="AI6722" s="501" t="s">
        <v>3368</v>
      </c>
      <c r="AJ6722" s="515">
        <v>2</v>
      </c>
      <c r="AK6722" s="501" t="s">
        <v>3464</v>
      </c>
      <c r="AL6722" s="501" t="s">
        <v>3418</v>
      </c>
      <c r="AM6722" s="512" t="str">
        <f>TEXT(ROUND(AF6718*AP6718/(AD6722*AB6718+AF6718*AJ6722),2),"#,0.00")</f>
        <v>12.64</v>
      </c>
      <c r="AN6722" s="500"/>
      <c r="AO6722" s="500"/>
      <c r="AP6722" s="500"/>
    </row>
    <row r="6723" spans="1:42" ht="16.5" customHeight="1">
      <c r="A6723" s="439"/>
      <c r="B6723" s="439"/>
      <c r="C6723" s="439"/>
      <c r="D6723" s="439"/>
      <c r="E6723" s="439"/>
      <c r="F6723" s="439"/>
      <c r="G6723" s="451" t="s">
        <v>3406</v>
      </c>
      <c r="Z6723" s="500"/>
      <c r="AA6723" s="500"/>
      <c r="AB6723" s="500"/>
      <c r="AC6723" s="500"/>
      <c r="AD6723" s="500"/>
      <c r="AE6723" s="500"/>
      <c r="AF6723" s="500"/>
      <c r="AG6723" s="500"/>
      <c r="AH6723" s="500"/>
      <c r="AI6723" s="500"/>
      <c r="AJ6723" s="500"/>
      <c r="AK6723" s="500"/>
      <c r="AL6723" s="500"/>
      <c r="AM6723" s="500"/>
      <c r="AN6723" s="500"/>
      <c r="AO6723" s="500"/>
      <c r="AP6723" s="500"/>
    </row>
    <row r="6724" spans="1:42" ht="16.5" customHeight="1">
      <c r="A6724" s="439"/>
      <c r="B6724" s="439"/>
      <c r="C6724" s="439"/>
      <c r="D6724" s="439"/>
      <c r="E6724" s="439"/>
      <c r="F6724" s="439"/>
      <c r="G6724" s="451" t="s">
        <v>3406</v>
      </c>
      <c r="Z6724" s="500"/>
      <c r="AA6724" s="500"/>
      <c r="AB6724" s="500"/>
      <c r="AC6724" s="500"/>
      <c r="AD6724" s="500"/>
      <c r="AE6724" s="500"/>
      <c r="AF6724" s="500"/>
      <c r="AG6724" s="500"/>
      <c r="AH6724" s="500"/>
      <c r="AI6724" s="500"/>
      <c r="AJ6724" s="500"/>
      <c r="AK6724" s="500"/>
      <c r="AL6724" s="500"/>
      <c r="AM6724" s="500"/>
      <c r="AN6724" s="500"/>
      <c r="AO6724" s="500"/>
      <c r="AP6724" s="500"/>
    </row>
    <row r="6725" spans="1:42" ht="16.5" customHeight="1">
      <c r="A6725" s="439"/>
      <c r="B6725" s="439"/>
      <c r="C6725" s="439"/>
      <c r="D6725" s="439"/>
      <c r="E6725" s="439"/>
      <c r="F6725" s="439"/>
      <c r="G6725" s="451" t="s">
        <v>3406</v>
      </c>
      <c r="Z6725" s="500"/>
      <c r="AA6725" s="500"/>
      <c r="AB6725" s="500"/>
      <c r="AC6725" s="500"/>
      <c r="AD6725" s="500"/>
      <c r="AE6725" s="500"/>
      <c r="AF6725" s="500"/>
      <c r="AG6725" s="500"/>
      <c r="AH6725" s="500"/>
      <c r="AI6725" s="500"/>
      <c r="AJ6725" s="500"/>
      <c r="AK6725" s="500"/>
      <c r="AL6725" s="500"/>
      <c r="AM6725" s="500"/>
      <c r="AN6725" s="500"/>
      <c r="AO6725" s="500"/>
      <c r="AP6725" s="500"/>
    </row>
    <row r="6726" spans="1:42" ht="16.5" customHeight="1">
      <c r="A6726" s="434"/>
      <c r="B6726" s="437" t="str">
        <f>" Q = N*"&amp;AB6726&amp;" ㎏ = "&amp;AD6726&amp;"  kg/일 "</f>
        <v xml:space="preserve"> Q = N*25 ㎏ = 316.00  kg/일 </v>
      </c>
      <c r="C6726" s="439"/>
      <c r="D6726" s="439"/>
      <c r="E6726" s="439"/>
      <c r="F6726" s="439"/>
      <c r="G6726" s="451" t="s">
        <v>3990</v>
      </c>
      <c r="Z6726" s="512" t="str">
        <f>AM6722</f>
        <v>12.64</v>
      </c>
      <c r="AA6726" s="501" t="s">
        <v>3368</v>
      </c>
      <c r="AB6726" s="515">
        <v>25</v>
      </c>
      <c r="AC6726" s="501" t="s">
        <v>3418</v>
      </c>
      <c r="AD6726" s="512" t="str">
        <f>TEXT(ROUND(AM6722*AB6726,2),"#,0.00")</f>
        <v>316.00</v>
      </c>
      <c r="AE6726" s="500"/>
      <c r="AF6726" s="500"/>
      <c r="AG6726" s="500"/>
      <c r="AH6726" s="500"/>
      <c r="AI6726" s="500"/>
      <c r="AJ6726" s="500"/>
      <c r="AK6726" s="500"/>
      <c r="AL6726" s="500"/>
      <c r="AM6726" s="500"/>
      <c r="AN6726" s="500"/>
      <c r="AO6726" s="500"/>
      <c r="AP6726" s="500"/>
    </row>
    <row r="6727" spans="1:42" ht="16.5" customHeight="1">
      <c r="A6727" s="439"/>
      <c r="B6727" s="439"/>
      <c r="C6727" s="439"/>
      <c r="D6727" s="439"/>
      <c r="E6727" s="439"/>
      <c r="F6727" s="439"/>
      <c r="G6727" s="451" t="s">
        <v>3406</v>
      </c>
      <c r="Z6727" s="500"/>
      <c r="AA6727" s="500"/>
      <c r="AB6727" s="500"/>
      <c r="AC6727" s="500"/>
      <c r="AD6727" s="500"/>
      <c r="AE6727" s="500"/>
      <c r="AF6727" s="500"/>
      <c r="AG6727" s="500"/>
      <c r="AH6727" s="500"/>
      <c r="AI6727" s="500"/>
      <c r="AJ6727" s="500"/>
      <c r="AK6727" s="500"/>
      <c r="AL6727" s="500"/>
      <c r="AM6727" s="500"/>
      <c r="AN6727" s="500"/>
      <c r="AO6727" s="500"/>
      <c r="AP6727" s="500"/>
    </row>
    <row r="6728" spans="1:42" ht="16.5" customHeight="1">
      <c r="A6728" s="439"/>
      <c r="B6728" s="439"/>
      <c r="C6728" s="439"/>
      <c r="D6728" s="439"/>
      <c r="E6728" s="439"/>
      <c r="F6728" s="439"/>
      <c r="G6728" s="451" t="s">
        <v>3406</v>
      </c>
      <c r="Z6728" s="500"/>
      <c r="AA6728" s="500"/>
      <c r="AB6728" s="500"/>
      <c r="AC6728" s="500"/>
      <c r="AD6728" s="500"/>
      <c r="AE6728" s="500"/>
      <c r="AF6728" s="500"/>
      <c r="AG6728" s="500"/>
      <c r="AH6728" s="500"/>
      <c r="AI6728" s="500"/>
      <c r="AJ6728" s="500"/>
      <c r="AK6728" s="500"/>
      <c r="AL6728" s="500"/>
      <c r="AM6728" s="500"/>
      <c r="AN6728" s="500"/>
      <c r="AO6728" s="500"/>
      <c r="AP6728" s="500"/>
    </row>
    <row r="6729" spans="1:42" ht="16.5" customHeight="1">
      <c r="A6729" s="439"/>
      <c r="B6729" s="439"/>
      <c r="C6729" s="439"/>
      <c r="D6729" s="439"/>
      <c r="E6729" s="439"/>
      <c r="F6729" s="439"/>
      <c r="G6729" s="451" t="s">
        <v>3406</v>
      </c>
      <c r="Z6729" s="500"/>
      <c r="AA6729" s="500"/>
      <c r="AB6729" s="500"/>
      <c r="AC6729" s="500"/>
      <c r="AD6729" s="500"/>
      <c r="AE6729" s="500"/>
      <c r="AF6729" s="500"/>
      <c r="AG6729" s="500"/>
      <c r="AH6729" s="500"/>
      <c r="AI6729" s="500"/>
      <c r="AJ6729" s="500"/>
      <c r="AK6729" s="500"/>
      <c r="AL6729" s="500"/>
      <c r="AM6729" s="500"/>
      <c r="AN6729" s="500"/>
      <c r="AO6729" s="500"/>
      <c r="AP6729" s="500"/>
    </row>
    <row r="6730" spans="1:42" ht="16.5" customHeight="1">
      <c r="A6730" s="434"/>
      <c r="B6730" s="437" t="str">
        <f>" k = "&amp;Z6730&amp;" kg /Q"</f>
        <v xml:space="preserve"> k = 1000 kg /Q</v>
      </c>
      <c r="C6730" s="439"/>
      <c r="D6730" s="439"/>
      <c r="E6730" s="439"/>
      <c r="F6730" s="439"/>
      <c r="G6730" s="451" t="s">
        <v>3991</v>
      </c>
      <c r="Z6730" s="515">
        <v>1000</v>
      </c>
      <c r="AA6730" s="501" t="s">
        <v>3428</v>
      </c>
      <c r="AB6730" s="512" t="str">
        <f>AD6726</f>
        <v>316.00</v>
      </c>
      <c r="AC6730" s="501" t="s">
        <v>3418</v>
      </c>
      <c r="AD6730" s="512">
        <f>ROUND(Z6730/AD6726,13)</f>
        <v>3.1645569620253</v>
      </c>
      <c r="AE6730" s="500"/>
      <c r="AF6730" s="500"/>
      <c r="AG6730" s="500"/>
      <c r="AH6730" s="500"/>
      <c r="AI6730" s="500"/>
      <c r="AJ6730" s="500"/>
      <c r="AK6730" s="500"/>
      <c r="AL6730" s="500"/>
      <c r="AM6730" s="500"/>
      <c r="AN6730" s="500"/>
      <c r="AO6730" s="500"/>
      <c r="AP6730" s="500"/>
    </row>
    <row r="6731" spans="1:42" ht="16.5" customHeight="1">
      <c r="A6731" s="439"/>
      <c r="B6731" s="439"/>
      <c r="C6731" s="439"/>
      <c r="D6731" s="439"/>
      <c r="E6731" s="439"/>
      <c r="F6731" s="439"/>
      <c r="G6731" s="451" t="s">
        <v>3406</v>
      </c>
      <c r="Z6731" s="500"/>
      <c r="AA6731" s="500"/>
      <c r="AB6731" s="500"/>
      <c r="AC6731" s="500"/>
      <c r="AD6731" s="500"/>
      <c r="AE6731" s="500"/>
      <c r="AF6731" s="500"/>
      <c r="AG6731" s="500"/>
      <c r="AH6731" s="500"/>
      <c r="AI6731" s="500"/>
      <c r="AJ6731" s="500"/>
      <c r="AK6731" s="500"/>
      <c r="AL6731" s="500"/>
      <c r="AM6731" s="500"/>
      <c r="AN6731" s="500"/>
      <c r="AO6731" s="500"/>
      <c r="AP6731" s="500"/>
    </row>
    <row r="6732" spans="1:42" ht="16.5" customHeight="1">
      <c r="A6732" s="439"/>
      <c r="B6732" s="439"/>
      <c r="C6732" s="439"/>
      <c r="D6732" s="439"/>
      <c r="E6732" s="439"/>
      <c r="F6732" s="439"/>
      <c r="G6732" s="451" t="s">
        <v>3406</v>
      </c>
      <c r="Z6732" s="500"/>
      <c r="AA6732" s="500"/>
      <c r="AB6732" s="500"/>
      <c r="AC6732" s="500"/>
      <c r="AD6732" s="500"/>
      <c r="AE6732" s="500"/>
      <c r="AF6732" s="500"/>
      <c r="AG6732" s="500"/>
      <c r="AH6732" s="500"/>
      <c r="AI6732" s="500"/>
      <c r="AJ6732" s="500"/>
      <c r="AK6732" s="500"/>
      <c r="AL6732" s="500"/>
      <c r="AM6732" s="500"/>
      <c r="AN6732" s="500"/>
      <c r="AO6732" s="500"/>
      <c r="AP6732" s="500"/>
    </row>
    <row r="6733" spans="1:42" ht="16.5" customHeight="1">
      <c r="A6733" s="439"/>
      <c r="B6733" s="439"/>
      <c r="C6733" s="439"/>
      <c r="D6733" s="439"/>
      <c r="E6733" s="439"/>
      <c r="F6733" s="439"/>
      <c r="G6733" s="451" t="s">
        <v>3406</v>
      </c>
      <c r="Z6733" s="500"/>
      <c r="AA6733" s="500"/>
      <c r="AB6733" s="500"/>
      <c r="AC6733" s="500"/>
      <c r="AD6733" s="500"/>
      <c r="AE6733" s="500"/>
      <c r="AF6733" s="500"/>
      <c r="AG6733" s="500"/>
      <c r="AH6733" s="500"/>
      <c r="AI6733" s="500"/>
      <c r="AJ6733" s="500"/>
      <c r="AK6733" s="500"/>
      <c r="AL6733" s="500"/>
      <c r="AM6733" s="500"/>
      <c r="AN6733" s="500"/>
      <c r="AO6733" s="500"/>
      <c r="AP6733" s="500"/>
    </row>
    <row r="6734" spans="1:42" ht="16.5" customHeight="1">
      <c r="A6734" s="434" t="s">
        <v>3992</v>
      </c>
      <c r="B6734" s="505" t="str">
        <f>" 인    부: "&amp;TEXT(I6734,"#,##0"&amp;IF(I6734&lt;&gt;INT(I6734),".###",""))&amp;"*k = "&amp;TEXT(C6734,"#,##0.0")&amp;" 원 "</f>
        <v xml:space="preserve"> 인    부: 172,068*k = 544,518.9 원 </v>
      </c>
      <c r="C6734" s="506">
        <f>E6734+D6734+F6734</f>
        <v>544518.9</v>
      </c>
      <c r="D6734" s="506">
        <f>IF(H6734=0,0,ROUNDDOWN(J6734*H6734,1))</f>
        <v>544518.9</v>
      </c>
      <c r="E6734" s="506">
        <f>IF(H6734=0,0,ROUNDDOWN(K6734*H6734,1))</f>
        <v>0</v>
      </c>
      <c r="F6734" s="506">
        <f>IF(H6734=0,0,ROUNDDOWN(L6734*H6734,1))</f>
        <v>0</v>
      </c>
      <c r="G6734" s="451" t="s">
        <v>3993</v>
      </c>
      <c r="H6734" s="507">
        <f>ROUNDUP(AC6734,14-LEN(ABS(INT(AC6734))))</f>
        <v>3.1645569620253</v>
      </c>
      <c r="I6734" s="508">
        <f>K6734+J6734+L6734</f>
        <v>172068</v>
      </c>
      <c r="J6734" s="509">
        <f>노무비목록표!E10</f>
        <v>172068</v>
      </c>
      <c r="M6734" s="501" t="s">
        <v>2363</v>
      </c>
      <c r="N6734" s="501" t="s">
        <v>3994</v>
      </c>
      <c r="X6734" s="510" t="str">
        <f>노무비목록표!B10&amp;" / "&amp;노무비목록표!C10</f>
        <v xml:space="preserve">보통인부 / </v>
      </c>
      <c r="Y6734" s="433" t="str">
        <f ca="1">HYPERLINK("#"&amp;노무비목록표!G2&amp;"!A"&amp;ROW(노무비목록표!A10),"L00017 →")</f>
        <v>L00017 →</v>
      </c>
      <c r="Z6734" s="501" t="s">
        <v>3500</v>
      </c>
      <c r="AA6734" s="512">
        <f>AD6730</f>
        <v>3.1645569620253</v>
      </c>
      <c r="AB6734" s="501" t="s">
        <v>3418</v>
      </c>
      <c r="AC6734" s="512">
        <f>1*AD6730</f>
        <v>3.1645569620253</v>
      </c>
      <c r="AD6734" s="500"/>
      <c r="AE6734" s="500"/>
      <c r="AF6734" s="500"/>
      <c r="AG6734" s="500"/>
      <c r="AH6734" s="500"/>
      <c r="AI6734" s="500"/>
      <c r="AJ6734" s="500"/>
      <c r="AK6734" s="500"/>
      <c r="AL6734" s="500"/>
      <c r="AM6734" s="500"/>
      <c r="AN6734" s="500"/>
      <c r="AO6734" s="500"/>
      <c r="AP6734" s="500"/>
    </row>
    <row r="6735" spans="1:42" ht="16.5" customHeight="1">
      <c r="A6735" s="439"/>
      <c r="B6735" s="439"/>
      <c r="C6735" s="439"/>
      <c r="D6735" s="439"/>
      <c r="E6735" s="439"/>
      <c r="F6735" s="439"/>
      <c r="G6735" s="451" t="s">
        <v>3406</v>
      </c>
      <c r="Z6735" s="500"/>
      <c r="AA6735" s="500"/>
      <c r="AB6735" s="500"/>
      <c r="AC6735" s="500"/>
      <c r="AD6735" s="500"/>
      <c r="AE6735" s="500"/>
      <c r="AF6735" s="500"/>
      <c r="AG6735" s="500"/>
      <c r="AH6735" s="500"/>
      <c r="AI6735" s="500"/>
      <c r="AJ6735" s="500"/>
      <c r="AK6735" s="500"/>
      <c r="AL6735" s="500"/>
      <c r="AM6735" s="500"/>
      <c r="AN6735" s="500"/>
      <c r="AO6735" s="500"/>
      <c r="AP6735" s="500"/>
    </row>
    <row r="6736" spans="1:42" ht="16.5" customHeight="1">
      <c r="A6736" s="439"/>
      <c r="B6736" s="439"/>
      <c r="C6736" s="439"/>
      <c r="D6736" s="439"/>
      <c r="E6736" s="439"/>
      <c r="F6736" s="439"/>
      <c r="G6736" s="451" t="s">
        <v>3406</v>
      </c>
      <c r="Z6736" s="500"/>
      <c r="AA6736" s="500"/>
      <c r="AB6736" s="500"/>
      <c r="AC6736" s="500"/>
      <c r="AD6736" s="500"/>
      <c r="AE6736" s="500"/>
      <c r="AF6736" s="500"/>
      <c r="AG6736" s="500"/>
      <c r="AH6736" s="500"/>
      <c r="AI6736" s="500"/>
      <c r="AJ6736" s="500"/>
      <c r="AK6736" s="500"/>
      <c r="AL6736" s="500"/>
      <c r="AM6736" s="500"/>
      <c r="AN6736" s="500"/>
      <c r="AO6736" s="500"/>
      <c r="AP6736" s="500"/>
    </row>
    <row r="6737" spans="1:42" ht="16.5" customHeight="1">
      <c r="A6737" s="439"/>
      <c r="B6737" s="439"/>
      <c r="C6737" s="439"/>
      <c r="D6737" s="439"/>
      <c r="E6737" s="439"/>
      <c r="F6737" s="439"/>
      <c r="G6737" s="451" t="s">
        <v>3406</v>
      </c>
      <c r="Z6737" s="500"/>
      <c r="AA6737" s="500"/>
      <c r="AB6737" s="500"/>
      <c r="AC6737" s="500"/>
      <c r="AD6737" s="500"/>
      <c r="AE6737" s="500"/>
      <c r="AF6737" s="500"/>
      <c r="AG6737" s="500"/>
      <c r="AH6737" s="500"/>
      <c r="AI6737" s="500"/>
      <c r="AJ6737" s="500"/>
      <c r="AK6737" s="500"/>
      <c r="AL6737" s="500"/>
      <c r="AM6737" s="500"/>
      <c r="AN6737" s="500"/>
      <c r="AO6737" s="500"/>
      <c r="AP6737" s="500"/>
    </row>
    <row r="6738" spans="1:42" ht="16.5" customHeight="1">
      <c r="A6738" s="439"/>
      <c r="B6738" s="439"/>
      <c r="C6738" s="439"/>
      <c r="D6738" s="439"/>
      <c r="E6738" s="439"/>
      <c r="F6738" s="439"/>
      <c r="G6738" s="451" t="s">
        <v>3406</v>
      </c>
      <c r="Z6738" s="500"/>
      <c r="AA6738" s="500"/>
      <c r="AB6738" s="500"/>
      <c r="AC6738" s="500"/>
      <c r="AD6738" s="500"/>
      <c r="AE6738" s="500"/>
      <c r="AF6738" s="500"/>
      <c r="AG6738" s="500"/>
      <c r="AH6738" s="500"/>
      <c r="AI6738" s="500"/>
      <c r="AJ6738" s="500"/>
      <c r="AK6738" s="500"/>
      <c r="AL6738" s="500"/>
      <c r="AM6738" s="500"/>
      <c r="AN6738" s="500"/>
      <c r="AO6738" s="500"/>
      <c r="AP6738" s="500"/>
    </row>
    <row r="6739" spans="1:42" ht="16.5" customHeight="1">
      <c r="A6739" s="434"/>
      <c r="B6739" s="437" t="s">
        <v>3995</v>
      </c>
      <c r="C6739" s="516">
        <f>E6739+D6739+F6739</f>
        <v>544518.9</v>
      </c>
      <c r="D6739" s="516">
        <f>SUMIF(N6707:N6738,M6739,D6707:D6738)</f>
        <v>544518.9</v>
      </c>
      <c r="E6739" s="516">
        <f>SUMIF(N6707:N6738,M6739,E6707:E6738)</f>
        <v>0</v>
      </c>
      <c r="F6739" s="516">
        <f>SUMIF(N6707:N6738,M6739,F6707:F6738)</f>
        <v>0</v>
      </c>
      <c r="G6739" s="451" t="s">
        <v>3996</v>
      </c>
      <c r="M6739" s="501" t="s">
        <v>3994</v>
      </c>
      <c r="Z6739" s="500"/>
      <c r="AA6739" s="500"/>
      <c r="AB6739" s="500"/>
      <c r="AC6739" s="500"/>
      <c r="AD6739" s="500"/>
      <c r="AE6739" s="500"/>
      <c r="AF6739" s="500"/>
      <c r="AG6739" s="500"/>
      <c r="AH6739" s="500"/>
      <c r="AI6739" s="500"/>
      <c r="AJ6739" s="500"/>
      <c r="AK6739" s="500"/>
      <c r="AL6739" s="500"/>
      <c r="AM6739" s="500"/>
      <c r="AN6739" s="500"/>
      <c r="AO6739" s="500"/>
      <c r="AP6739" s="500"/>
    </row>
    <row r="6740" spans="1:42" ht="16.5" customHeight="1">
      <c r="A6740" s="439"/>
      <c r="B6740" s="439"/>
      <c r="C6740" s="517"/>
      <c r="D6740" s="517"/>
      <c r="E6740" s="517"/>
      <c r="F6740" s="517"/>
      <c r="G6740" s="451" t="s">
        <v>3406</v>
      </c>
      <c r="Z6740" s="500"/>
      <c r="AA6740" s="500"/>
      <c r="AB6740" s="500"/>
      <c r="AC6740" s="500"/>
      <c r="AD6740" s="500"/>
      <c r="AE6740" s="500"/>
      <c r="AF6740" s="500"/>
      <c r="AG6740" s="500"/>
      <c r="AH6740" s="500"/>
      <c r="AI6740" s="500"/>
      <c r="AJ6740" s="500"/>
      <c r="AK6740" s="500"/>
      <c r="AL6740" s="500"/>
      <c r="AM6740" s="500"/>
      <c r="AN6740" s="500"/>
      <c r="AO6740" s="500"/>
      <c r="AP6740" s="500"/>
    </row>
    <row r="6741" spans="1:42" ht="16.5" customHeight="1">
      <c r="A6741" s="439"/>
      <c r="B6741" s="439"/>
      <c r="C6741" s="439"/>
      <c r="D6741" s="439"/>
      <c r="E6741" s="439"/>
      <c r="F6741" s="439"/>
      <c r="G6741" s="451" t="s">
        <v>3406</v>
      </c>
      <c r="Z6741" s="500"/>
      <c r="AA6741" s="500"/>
      <c r="AB6741" s="500"/>
      <c r="AC6741" s="500"/>
      <c r="AD6741" s="500"/>
      <c r="AE6741" s="500"/>
      <c r="AF6741" s="500"/>
      <c r="AG6741" s="500"/>
      <c r="AH6741" s="500"/>
      <c r="AI6741" s="500"/>
      <c r="AJ6741" s="500"/>
      <c r="AK6741" s="500"/>
      <c r="AL6741" s="500"/>
      <c r="AM6741" s="500"/>
      <c r="AN6741" s="500"/>
      <c r="AO6741" s="500"/>
      <c r="AP6741" s="500"/>
    </row>
    <row r="6742" spans="1:42" ht="16.5" customHeight="1">
      <c r="A6742" s="434" t="s">
        <v>3997</v>
      </c>
      <c r="B6742" s="505" t="str">
        <f>" 경비로 적용 : "&amp;TEXT(I6742,"#,##0"&amp;IF(I6742&lt;&gt;INT(I6742),".###",""))&amp;"  = "&amp;TEXT(C6742,"#,##0.0")&amp;""</f>
        <v xml:space="preserve"> 경비로 적용 : 544,518.9  = 544,518.9</v>
      </c>
      <c r="C6742" s="506">
        <f>E6742+D6742+F6742</f>
        <v>544518.9</v>
      </c>
      <c r="D6742" s="506">
        <f>IF(H6742=0,0,ROUNDDOWN(J6742*H6742,1))</f>
        <v>0</v>
      </c>
      <c r="E6742" s="506">
        <f>IF(H6742=0,0,ROUNDDOWN(K6742*H6742,1))</f>
        <v>0</v>
      </c>
      <c r="F6742" s="506">
        <f>IF(H6742=0,0,ROUNDDOWN(L6742*H6742,1))</f>
        <v>544518.9</v>
      </c>
      <c r="G6742" s="451" t="s">
        <v>3998</v>
      </c>
      <c r="H6742" s="507">
        <f>ROUNDUP(AB6742,14-LEN(ABS(INT(AB6742))))</f>
        <v>1</v>
      </c>
      <c r="I6742" s="508">
        <f>K6742+J6742+L6742</f>
        <v>544518.9</v>
      </c>
      <c r="J6742" s="456">
        <v>0</v>
      </c>
      <c r="K6742" s="456">
        <v>0</v>
      </c>
      <c r="L6742" s="518">
        <v>544518.9</v>
      </c>
      <c r="M6742" s="501" t="s">
        <v>3999</v>
      </c>
      <c r="N6742" s="501" t="s">
        <v>2354</v>
      </c>
      <c r="Z6742" s="501" t="s">
        <v>4000</v>
      </c>
      <c r="AA6742" s="501" t="s">
        <v>3418</v>
      </c>
      <c r="AB6742" s="512">
        <f>1</f>
        <v>1</v>
      </c>
      <c r="AC6742" s="500"/>
      <c r="AD6742" s="500"/>
      <c r="AE6742" s="500"/>
      <c r="AF6742" s="500"/>
      <c r="AG6742" s="500"/>
      <c r="AH6742" s="500"/>
      <c r="AI6742" s="500"/>
      <c r="AJ6742" s="500"/>
      <c r="AK6742" s="500"/>
      <c r="AL6742" s="500"/>
      <c r="AM6742" s="500"/>
      <c r="AN6742" s="500"/>
      <c r="AO6742" s="500"/>
      <c r="AP6742" s="500"/>
    </row>
    <row r="6743" spans="1:42" ht="16.5" customHeight="1">
      <c r="A6743" s="439"/>
      <c r="B6743" s="439"/>
      <c r="C6743" s="439"/>
      <c r="D6743" s="439"/>
      <c r="E6743" s="439"/>
      <c r="F6743" s="439"/>
      <c r="Z6743" s="500"/>
      <c r="AA6743" s="500"/>
      <c r="AB6743" s="500"/>
      <c r="AC6743" s="500"/>
      <c r="AD6743" s="500"/>
      <c r="AE6743" s="500"/>
      <c r="AF6743" s="500"/>
      <c r="AG6743" s="500"/>
      <c r="AH6743" s="500"/>
      <c r="AI6743" s="500"/>
      <c r="AJ6743" s="500"/>
      <c r="AK6743" s="500"/>
      <c r="AL6743" s="500"/>
      <c r="AM6743" s="500"/>
      <c r="AN6743" s="500"/>
      <c r="AO6743" s="500"/>
      <c r="AP6743" s="500"/>
    </row>
    <row r="6744" spans="1:42" ht="16.5" customHeight="1">
      <c r="A6744" s="439"/>
      <c r="B6744" s="439"/>
      <c r="C6744" s="439"/>
      <c r="D6744" s="439"/>
      <c r="E6744" s="439"/>
      <c r="F6744" s="439"/>
      <c r="Z6744" s="500"/>
      <c r="AA6744" s="500"/>
      <c r="AB6744" s="500"/>
      <c r="AC6744" s="500"/>
      <c r="AD6744" s="500"/>
      <c r="AE6744" s="500"/>
      <c r="AF6744" s="500"/>
      <c r="AG6744" s="500"/>
      <c r="AH6744" s="500"/>
      <c r="AI6744" s="500"/>
      <c r="AJ6744" s="500"/>
      <c r="AK6744" s="500"/>
      <c r="AL6744" s="500"/>
      <c r="AM6744" s="500"/>
      <c r="AN6744" s="500"/>
      <c r="AO6744" s="500"/>
      <c r="AP6744" s="500"/>
    </row>
    <row r="6745" spans="1:42" ht="16.5" customHeight="1">
      <c r="A6745" s="439"/>
      <c r="B6745" s="439"/>
      <c r="C6745" s="439"/>
      <c r="D6745" s="439"/>
      <c r="E6745" s="439"/>
      <c r="F6745" s="439"/>
      <c r="Z6745" s="500"/>
      <c r="AA6745" s="500"/>
      <c r="AB6745" s="500"/>
      <c r="AC6745" s="500"/>
      <c r="AD6745" s="500"/>
      <c r="AE6745" s="500"/>
      <c r="AF6745" s="500"/>
      <c r="AG6745" s="500"/>
      <c r="AH6745" s="500"/>
      <c r="AI6745" s="500"/>
      <c r="AJ6745" s="500"/>
      <c r="AK6745" s="500"/>
      <c r="AL6745" s="500"/>
      <c r="AM6745" s="500"/>
      <c r="AN6745" s="500"/>
      <c r="AO6745" s="500"/>
      <c r="AP6745" s="500"/>
    </row>
    <row r="6746" spans="1:42" ht="16.5" customHeight="1">
      <c r="A6746" s="439"/>
      <c r="B6746" s="439"/>
      <c r="C6746" s="439"/>
      <c r="D6746" s="439"/>
      <c r="E6746" s="439"/>
      <c r="F6746" s="439"/>
      <c r="Z6746" s="500"/>
      <c r="AA6746" s="500"/>
      <c r="AB6746" s="500"/>
      <c r="AC6746" s="500"/>
      <c r="AD6746" s="500"/>
      <c r="AE6746" s="500"/>
      <c r="AF6746" s="500"/>
      <c r="AG6746" s="500"/>
      <c r="AH6746" s="500"/>
      <c r="AI6746" s="500"/>
      <c r="AJ6746" s="500"/>
      <c r="AK6746" s="500"/>
      <c r="AL6746" s="500"/>
      <c r="AM6746" s="500"/>
      <c r="AN6746" s="500"/>
      <c r="AO6746" s="500"/>
      <c r="AP6746" s="500"/>
    </row>
    <row r="6747" spans="1:42" ht="16.5" customHeight="1">
      <c r="A6747" s="439"/>
      <c r="B6747" s="439"/>
      <c r="C6747" s="439"/>
      <c r="D6747" s="439"/>
      <c r="E6747" s="439"/>
      <c r="F6747" s="439"/>
      <c r="Z6747" s="500"/>
      <c r="AA6747" s="500"/>
      <c r="AB6747" s="500"/>
      <c r="AC6747" s="500"/>
      <c r="AD6747" s="500"/>
      <c r="AE6747" s="500"/>
      <c r="AF6747" s="500"/>
      <c r="AG6747" s="500"/>
      <c r="AH6747" s="500"/>
      <c r="AI6747" s="500"/>
      <c r="AJ6747" s="500"/>
      <c r="AK6747" s="500"/>
      <c r="AL6747" s="500"/>
      <c r="AM6747" s="500"/>
      <c r="AN6747" s="500"/>
      <c r="AO6747" s="500"/>
      <c r="AP6747" s="500"/>
    </row>
    <row r="6748" spans="1:42" ht="16.5" customHeight="1">
      <c r="A6748" s="439"/>
      <c r="B6748" s="439"/>
      <c r="C6748" s="439"/>
      <c r="D6748" s="439"/>
      <c r="E6748" s="439"/>
      <c r="F6748" s="439"/>
      <c r="Z6748" s="500"/>
      <c r="AA6748" s="500"/>
      <c r="AB6748" s="500"/>
      <c r="AC6748" s="500"/>
      <c r="AD6748" s="500"/>
      <c r="AE6748" s="500"/>
      <c r="AF6748" s="500"/>
      <c r="AG6748" s="500"/>
      <c r="AH6748" s="500"/>
      <c r="AI6748" s="500"/>
      <c r="AJ6748" s="500"/>
      <c r="AK6748" s="500"/>
      <c r="AL6748" s="500"/>
      <c r="AM6748" s="500"/>
      <c r="AN6748" s="500"/>
      <c r="AO6748" s="500"/>
      <c r="AP6748" s="500"/>
    </row>
    <row r="6749" spans="1:42" ht="16.5" customHeight="1">
      <c r="A6749" s="439"/>
      <c r="B6749" s="439"/>
      <c r="C6749" s="439"/>
      <c r="D6749" s="439"/>
      <c r="E6749" s="439"/>
      <c r="F6749" s="439"/>
      <c r="Z6749" s="500"/>
      <c r="AA6749" s="500"/>
      <c r="AB6749" s="500"/>
      <c r="AC6749" s="500"/>
      <c r="AD6749" s="500"/>
      <c r="AE6749" s="500"/>
      <c r="AF6749" s="500"/>
      <c r="AG6749" s="500"/>
      <c r="AH6749" s="500"/>
      <c r="AI6749" s="500"/>
      <c r="AJ6749" s="500"/>
      <c r="AK6749" s="500"/>
      <c r="AL6749" s="500"/>
      <c r="AM6749" s="500"/>
      <c r="AN6749" s="500"/>
      <c r="AO6749" s="500"/>
      <c r="AP6749" s="500"/>
    </row>
    <row r="6750" spans="1:42" ht="16.5" customHeight="1">
      <c r="A6750" s="439"/>
      <c r="B6750" s="439"/>
      <c r="C6750" s="439"/>
      <c r="D6750" s="439"/>
      <c r="E6750" s="439"/>
      <c r="F6750" s="439"/>
      <c r="Z6750" s="500"/>
      <c r="AA6750" s="500"/>
      <c r="AB6750" s="500"/>
      <c r="AC6750" s="500"/>
      <c r="AD6750" s="500"/>
      <c r="AE6750" s="500"/>
      <c r="AF6750" s="500"/>
      <c r="AG6750" s="500"/>
      <c r="AH6750" s="500"/>
      <c r="AI6750" s="500"/>
      <c r="AJ6750" s="500"/>
      <c r="AK6750" s="500"/>
      <c r="AL6750" s="500"/>
      <c r="AM6750" s="500"/>
      <c r="AN6750" s="500"/>
      <c r="AO6750" s="500"/>
      <c r="AP6750" s="500"/>
    </row>
    <row r="6751" spans="1:42" ht="16.5" customHeight="1">
      <c r="A6751" s="439"/>
      <c r="B6751" s="439"/>
      <c r="C6751" s="439"/>
      <c r="D6751" s="439"/>
      <c r="E6751" s="439"/>
      <c r="F6751" s="439"/>
      <c r="Z6751" s="500"/>
      <c r="AA6751" s="500"/>
      <c r="AB6751" s="500"/>
      <c r="AC6751" s="500"/>
      <c r="AD6751" s="500"/>
      <c r="AE6751" s="500"/>
      <c r="AF6751" s="500"/>
      <c r="AG6751" s="500"/>
      <c r="AH6751" s="500"/>
      <c r="AI6751" s="500"/>
      <c r="AJ6751" s="500"/>
      <c r="AK6751" s="500"/>
      <c r="AL6751" s="500"/>
      <c r="AM6751" s="500"/>
      <c r="AN6751" s="500"/>
      <c r="AO6751" s="500"/>
      <c r="AP6751" s="500"/>
    </row>
    <row r="6752" spans="1:42" ht="16.5" customHeight="1">
      <c r="A6752" s="439"/>
      <c r="B6752" s="439"/>
      <c r="C6752" s="439"/>
      <c r="D6752" s="439"/>
      <c r="E6752" s="439"/>
      <c r="F6752" s="439"/>
      <c r="Z6752" s="500"/>
      <c r="AA6752" s="500"/>
      <c r="AB6752" s="500"/>
      <c r="AC6752" s="500"/>
      <c r="AD6752" s="500"/>
      <c r="AE6752" s="500"/>
      <c r="AF6752" s="500"/>
      <c r="AG6752" s="500"/>
      <c r="AH6752" s="500"/>
      <c r="AI6752" s="500"/>
      <c r="AJ6752" s="500"/>
      <c r="AK6752" s="500"/>
      <c r="AL6752" s="500"/>
      <c r="AM6752" s="500"/>
      <c r="AN6752" s="500"/>
      <c r="AO6752" s="500"/>
      <c r="AP6752" s="500"/>
    </row>
    <row r="6753" spans="1:42" ht="16.5" customHeight="1">
      <c r="A6753" s="497"/>
      <c r="B6753" s="497"/>
      <c r="C6753" s="497"/>
      <c r="D6753" s="497"/>
      <c r="E6753" s="497"/>
      <c r="F6753" s="497"/>
      <c r="Z6753" s="500"/>
      <c r="AA6753" s="500"/>
      <c r="AB6753" s="500"/>
      <c r="AC6753" s="500"/>
      <c r="AD6753" s="500"/>
      <c r="AE6753" s="500"/>
      <c r="AF6753" s="500"/>
      <c r="AG6753" s="500"/>
      <c r="AH6753" s="500"/>
      <c r="AI6753" s="500"/>
      <c r="AJ6753" s="500"/>
      <c r="AK6753" s="500"/>
      <c r="AL6753" s="500"/>
      <c r="AM6753" s="500"/>
      <c r="AN6753" s="500"/>
      <c r="AO6753" s="500"/>
      <c r="AP6753" s="500"/>
    </row>
    <row r="6754" spans="1:42" ht="16.5" customHeight="1">
      <c r="A6754" s="616" t="s">
        <v>3487</v>
      </c>
      <c r="B6754" s="605"/>
      <c r="C6754" s="446">
        <f>E6754+D6754+F6754</f>
        <v>544518</v>
      </c>
      <c r="D6754" s="453">
        <f>ROUNDDOWN(SUMIF(N6707:N6742,M6754,D6707:D6742),0)</f>
        <v>0</v>
      </c>
      <c r="E6754" s="454">
        <f>ROUNDDOWN(SUMIF(N6707:N6742,M6754,E6707:E6742),0)</f>
        <v>0</v>
      </c>
      <c r="F6754" s="446">
        <f>ROUNDDOWN(SUMIF(N6707:N6742,M6754,F6707:F6742),0)</f>
        <v>544518</v>
      </c>
      <c r="M6754" s="501" t="s">
        <v>2354</v>
      </c>
      <c r="Z6754" s="500"/>
      <c r="AA6754" s="500"/>
      <c r="AB6754" s="500"/>
      <c r="AC6754" s="500"/>
      <c r="AD6754" s="500"/>
      <c r="AE6754" s="500"/>
      <c r="AF6754" s="500"/>
      <c r="AG6754" s="500"/>
      <c r="AH6754" s="500"/>
      <c r="AI6754" s="500"/>
      <c r="AJ6754" s="500"/>
      <c r="AK6754" s="500"/>
      <c r="AL6754" s="500"/>
      <c r="AM6754" s="500"/>
      <c r="AN6754" s="500"/>
      <c r="AO6754" s="500"/>
      <c r="AP6754" s="500"/>
    </row>
    <row r="6755" spans="1:42" ht="16.5" customHeight="1">
      <c r="A6755" s="502"/>
      <c r="B6755" s="503" t="s">
        <v>2185</v>
      </c>
      <c r="C6755" s="615">
        <f>C6804</f>
        <v>581310</v>
      </c>
      <c r="D6755" s="615">
        <f>D6804</f>
        <v>0</v>
      </c>
      <c r="E6755" s="615">
        <f>E6804</f>
        <v>0</v>
      </c>
      <c r="F6755" s="615">
        <f>F6804</f>
        <v>581310</v>
      </c>
      <c r="G6755" s="486" t="str">
        <f>HYPERLINK("#G"&amp;ROW(G6792),"_x0005_`BDCOD|D01192_x0007_`POSS|"&amp;ROW(G6757)&amp;"_x0007_`POSE|"&amp;ROW(G6792)&amp;"_x0007_`")</f>
        <v>_x0005_`BDCOD|D01192_x0007_`POSS|6757_x0007_`POSE|6792_x0007_`</v>
      </c>
      <c r="Z6755" s="500"/>
      <c r="AA6755" s="500"/>
      <c r="AB6755" s="500"/>
      <c r="AC6755" s="500"/>
      <c r="AD6755" s="500"/>
      <c r="AE6755" s="500"/>
      <c r="AF6755" s="500"/>
      <c r="AG6755" s="500"/>
      <c r="AH6755" s="500"/>
      <c r="AI6755" s="500"/>
      <c r="AJ6755" s="500"/>
      <c r="AK6755" s="500"/>
      <c r="AL6755" s="500"/>
      <c r="AM6755" s="500"/>
      <c r="AN6755" s="500"/>
      <c r="AO6755" s="500"/>
      <c r="AP6755" s="500"/>
    </row>
    <row r="6756" spans="1:42" ht="16.5" customHeight="1">
      <c r="A6756" s="485"/>
      <c r="B6756" s="503" t="s">
        <v>4089</v>
      </c>
      <c r="C6756" s="593"/>
      <c r="D6756" s="593"/>
      <c r="E6756" s="593"/>
      <c r="F6756" s="593"/>
      <c r="M6756" s="501" t="s">
        <v>2185</v>
      </c>
      <c r="Z6756" s="500"/>
      <c r="AA6756" s="500"/>
      <c r="AB6756" s="500"/>
      <c r="AC6756" s="500"/>
      <c r="AD6756" s="500"/>
      <c r="AE6756" s="500"/>
      <c r="AF6756" s="500"/>
      <c r="AG6756" s="500"/>
      <c r="AH6756" s="500"/>
      <c r="AI6756" s="500"/>
      <c r="AJ6756" s="500"/>
      <c r="AK6756" s="500"/>
      <c r="AL6756" s="500"/>
      <c r="AM6756" s="500"/>
      <c r="AN6756" s="500"/>
      <c r="AO6756" s="500"/>
      <c r="AP6756" s="500"/>
    </row>
    <row r="6757" spans="1:42" ht="16.5" customHeight="1">
      <c r="A6757" s="434"/>
      <c r="B6757" s="437" t="s">
        <v>3980</v>
      </c>
      <c r="C6757" s="504"/>
      <c r="D6757" s="504"/>
      <c r="E6757" s="504"/>
      <c r="F6757" s="504"/>
      <c r="G6757" s="451" t="s">
        <v>3981</v>
      </c>
      <c r="Z6757" s="500"/>
      <c r="AA6757" s="500"/>
      <c r="AB6757" s="500"/>
      <c r="AC6757" s="500"/>
      <c r="AD6757" s="500"/>
      <c r="AE6757" s="500"/>
      <c r="AF6757" s="500"/>
      <c r="AG6757" s="500"/>
      <c r="AH6757" s="500"/>
      <c r="AI6757" s="500"/>
      <c r="AJ6757" s="500"/>
      <c r="AK6757" s="500"/>
      <c r="AL6757" s="500"/>
      <c r="AM6757" s="500"/>
      <c r="AN6757" s="500"/>
      <c r="AO6757" s="500"/>
      <c r="AP6757" s="500"/>
    </row>
    <row r="6758" spans="1:42" ht="16.5" customHeight="1">
      <c r="A6758" s="439"/>
      <c r="B6758" s="439"/>
      <c r="C6758" s="439"/>
      <c r="D6758" s="439"/>
      <c r="E6758" s="439"/>
      <c r="F6758" s="439"/>
      <c r="G6758" s="451" t="s">
        <v>3406</v>
      </c>
      <c r="Z6758" s="500"/>
      <c r="AA6758" s="500"/>
      <c r="AB6758" s="500"/>
      <c r="AC6758" s="500"/>
      <c r="AD6758" s="500"/>
      <c r="AE6758" s="500"/>
      <c r="AF6758" s="500"/>
      <c r="AG6758" s="500"/>
      <c r="AH6758" s="500"/>
      <c r="AI6758" s="500"/>
      <c r="AJ6758" s="500"/>
      <c r="AK6758" s="500"/>
      <c r="AL6758" s="500"/>
      <c r="AM6758" s="500"/>
      <c r="AN6758" s="500"/>
      <c r="AO6758" s="500"/>
      <c r="AP6758" s="500"/>
    </row>
    <row r="6759" spans="1:42" ht="16.5" customHeight="1">
      <c r="A6759" s="434"/>
      <c r="B6759" s="437" t="s">
        <v>4090</v>
      </c>
      <c r="C6759" s="439"/>
      <c r="D6759" s="439"/>
      <c r="E6759" s="439"/>
      <c r="F6759" s="439"/>
      <c r="G6759" s="451" t="s">
        <v>4091</v>
      </c>
      <c r="Z6759" s="500"/>
      <c r="AA6759" s="500"/>
      <c r="AB6759" s="500"/>
      <c r="AC6759" s="500"/>
      <c r="AD6759" s="500"/>
      <c r="AE6759" s="500"/>
      <c r="AF6759" s="500"/>
      <c r="AG6759" s="500"/>
      <c r="AH6759" s="500"/>
      <c r="AI6759" s="500"/>
      <c r="AJ6759" s="500"/>
      <c r="AK6759" s="500"/>
      <c r="AL6759" s="500"/>
      <c r="AM6759" s="500"/>
      <c r="AN6759" s="500"/>
      <c r="AO6759" s="500"/>
      <c r="AP6759" s="500"/>
    </row>
    <row r="6760" spans="1:42" ht="16.5" customHeight="1">
      <c r="A6760" s="439"/>
      <c r="B6760" s="439"/>
      <c r="C6760" s="439"/>
      <c r="D6760" s="439"/>
      <c r="E6760" s="439"/>
      <c r="F6760" s="439"/>
      <c r="G6760" s="451" t="s">
        <v>3406</v>
      </c>
      <c r="Z6760" s="500"/>
      <c r="AA6760" s="500"/>
      <c r="AB6760" s="500"/>
      <c r="AC6760" s="500"/>
      <c r="AD6760" s="500"/>
      <c r="AE6760" s="500"/>
      <c r="AF6760" s="500"/>
      <c r="AG6760" s="500"/>
      <c r="AH6760" s="500"/>
      <c r="AI6760" s="500"/>
      <c r="AJ6760" s="500"/>
      <c r="AK6760" s="500"/>
      <c r="AL6760" s="500"/>
      <c r="AM6760" s="500"/>
      <c r="AN6760" s="500"/>
      <c r="AO6760" s="500"/>
      <c r="AP6760" s="500"/>
    </row>
    <row r="6761" spans="1:42" ht="16.5" customHeight="1">
      <c r="A6761" s="439"/>
      <c r="B6761" s="439"/>
      <c r="C6761" s="439"/>
      <c r="D6761" s="439"/>
      <c r="E6761" s="439"/>
      <c r="F6761" s="439"/>
      <c r="G6761" s="451" t="s">
        <v>3406</v>
      </c>
      <c r="Z6761" s="500"/>
      <c r="AA6761" s="500"/>
      <c r="AB6761" s="500"/>
      <c r="AC6761" s="500"/>
      <c r="AD6761" s="500"/>
      <c r="AE6761" s="500"/>
      <c r="AF6761" s="500"/>
      <c r="AG6761" s="500"/>
      <c r="AH6761" s="500"/>
      <c r="AI6761" s="500"/>
      <c r="AJ6761" s="500"/>
      <c r="AK6761" s="500"/>
      <c r="AL6761" s="500"/>
      <c r="AM6761" s="500"/>
      <c r="AN6761" s="500"/>
      <c r="AO6761" s="500"/>
      <c r="AP6761" s="500"/>
    </row>
    <row r="6762" spans="1:42" ht="16.5" customHeight="1">
      <c r="A6762" s="434"/>
      <c r="B6762" s="437" t="s">
        <v>3984</v>
      </c>
      <c r="C6762" s="439"/>
      <c r="D6762" s="439"/>
      <c r="E6762" s="439"/>
      <c r="F6762" s="439"/>
      <c r="G6762" s="451" t="s">
        <v>3985</v>
      </c>
      <c r="Z6762" s="500"/>
      <c r="AA6762" s="500"/>
      <c r="AB6762" s="500"/>
      <c r="AC6762" s="500"/>
      <c r="AD6762" s="500"/>
      <c r="AE6762" s="500"/>
      <c r="AF6762" s="500"/>
      <c r="AG6762" s="500"/>
      <c r="AH6762" s="500"/>
      <c r="AI6762" s="500"/>
      <c r="AJ6762" s="500"/>
      <c r="AK6762" s="500"/>
      <c r="AL6762" s="500"/>
      <c r="AM6762" s="500"/>
      <c r="AN6762" s="500"/>
      <c r="AO6762" s="500"/>
      <c r="AP6762" s="500"/>
    </row>
    <row r="6763" spans="1:42" ht="16.5" customHeight="1">
      <c r="A6763" s="439"/>
      <c r="B6763" s="439"/>
      <c r="C6763" s="439"/>
      <c r="D6763" s="439"/>
      <c r="E6763" s="439"/>
      <c r="F6763" s="439"/>
      <c r="G6763" s="451" t="s">
        <v>3406</v>
      </c>
      <c r="Z6763" s="500"/>
      <c r="AA6763" s="500"/>
      <c r="AB6763" s="500"/>
      <c r="AC6763" s="500"/>
      <c r="AD6763" s="500"/>
      <c r="AE6763" s="500"/>
      <c r="AF6763" s="500"/>
      <c r="AG6763" s="500"/>
      <c r="AH6763" s="500"/>
      <c r="AI6763" s="500"/>
      <c r="AJ6763" s="500"/>
      <c r="AK6763" s="500"/>
      <c r="AL6763" s="500"/>
      <c r="AM6763" s="500"/>
      <c r="AN6763" s="500"/>
      <c r="AO6763" s="500"/>
      <c r="AP6763" s="500"/>
    </row>
    <row r="6764" spans="1:42" ht="16.5" customHeight="1">
      <c r="A6764" s="439"/>
      <c r="B6764" s="439"/>
      <c r="C6764" s="439"/>
      <c r="D6764" s="439"/>
      <c r="E6764" s="439"/>
      <c r="F6764" s="439"/>
      <c r="G6764" s="451" t="s">
        <v>3406</v>
      </c>
      <c r="Z6764" s="500"/>
      <c r="AA6764" s="500"/>
      <c r="AB6764" s="500"/>
      <c r="AC6764" s="500"/>
      <c r="AD6764" s="500"/>
      <c r="AE6764" s="500"/>
      <c r="AF6764" s="500"/>
      <c r="AG6764" s="500"/>
      <c r="AH6764" s="500"/>
      <c r="AI6764" s="500"/>
      <c r="AJ6764" s="500"/>
      <c r="AK6764" s="500"/>
      <c r="AL6764" s="500"/>
      <c r="AM6764" s="500"/>
      <c r="AN6764" s="500"/>
      <c r="AO6764" s="500"/>
      <c r="AP6764" s="500"/>
    </row>
    <row r="6765" spans="1:42" ht="16.5" customHeight="1">
      <c r="A6765" s="434"/>
      <c r="B6765" s="437" t="s">
        <v>3986</v>
      </c>
      <c r="C6765" s="439"/>
      <c r="D6765" s="439"/>
      <c r="E6765" s="439"/>
      <c r="F6765" s="439"/>
      <c r="G6765" s="451" t="s">
        <v>3987</v>
      </c>
      <c r="Z6765" s="500"/>
      <c r="AA6765" s="500"/>
      <c r="AB6765" s="500"/>
      <c r="AC6765" s="500"/>
      <c r="AD6765" s="500"/>
      <c r="AE6765" s="500"/>
      <c r="AF6765" s="500"/>
      <c r="AG6765" s="500"/>
      <c r="AH6765" s="500"/>
      <c r="AI6765" s="500"/>
      <c r="AJ6765" s="500"/>
      <c r="AK6765" s="500"/>
      <c r="AL6765" s="500"/>
      <c r="AM6765" s="500"/>
      <c r="AN6765" s="500"/>
      <c r="AO6765" s="500"/>
      <c r="AP6765" s="500"/>
    </row>
    <row r="6766" spans="1:42" ht="16.5" customHeight="1">
      <c r="A6766" s="439"/>
      <c r="B6766" s="439"/>
      <c r="C6766" s="439"/>
      <c r="D6766" s="439"/>
      <c r="E6766" s="439"/>
      <c r="F6766" s="439"/>
      <c r="G6766" s="451" t="s">
        <v>3406</v>
      </c>
      <c r="Z6766" s="500"/>
      <c r="AA6766" s="500"/>
      <c r="AB6766" s="500"/>
      <c r="AC6766" s="500"/>
      <c r="AD6766" s="500"/>
      <c r="AE6766" s="500"/>
      <c r="AF6766" s="500"/>
      <c r="AG6766" s="500"/>
      <c r="AH6766" s="500"/>
      <c r="AI6766" s="500"/>
      <c r="AJ6766" s="500"/>
      <c r="AK6766" s="500"/>
      <c r="AL6766" s="500"/>
      <c r="AM6766" s="500"/>
      <c r="AN6766" s="500"/>
      <c r="AO6766" s="500"/>
      <c r="AP6766" s="500"/>
    </row>
    <row r="6767" spans="1:42" ht="16.5" customHeight="1">
      <c r="A6767" s="439"/>
      <c r="B6767" s="439"/>
      <c r="C6767" s="439"/>
      <c r="D6767" s="439"/>
      <c r="E6767" s="439"/>
      <c r="F6767" s="439"/>
      <c r="G6767" s="451" t="s">
        <v>3406</v>
      </c>
      <c r="Z6767" s="500"/>
      <c r="AA6767" s="500"/>
      <c r="AB6767" s="500"/>
      <c r="AC6767" s="500"/>
      <c r="AD6767" s="500"/>
      <c r="AE6767" s="500"/>
      <c r="AF6767" s="500"/>
      <c r="AG6767" s="500"/>
      <c r="AH6767" s="500"/>
      <c r="AI6767" s="500"/>
      <c r="AJ6767" s="500"/>
      <c r="AK6767" s="500"/>
      <c r="AL6767" s="500"/>
      <c r="AM6767" s="500"/>
      <c r="AN6767" s="500"/>
      <c r="AO6767" s="500"/>
      <c r="AP6767" s="500"/>
    </row>
    <row r="6768" spans="1:42" ht="16.5" customHeight="1">
      <c r="A6768" s="434"/>
      <c r="B6768" s="437" t="str">
        <f>" L = "&amp;Z6768&amp;" , V = "&amp;AD6768&amp;" , t = "&amp;AH6768&amp;"  , T = "&amp;AL6768&amp;"-"&amp;AN6768&amp;""</f>
        <v xml:space="preserve"> L = 750 , V = 2500 , t = 2  , T = 480-30</v>
      </c>
      <c r="C6768" s="439"/>
      <c r="D6768" s="439"/>
      <c r="E6768" s="439"/>
      <c r="F6768" s="439"/>
      <c r="G6768" s="451" t="s">
        <v>4092</v>
      </c>
      <c r="Z6768" s="515">
        <v>750</v>
      </c>
      <c r="AA6768" s="501" t="s">
        <v>3418</v>
      </c>
      <c r="AB6768" s="512">
        <f>Z6768</f>
        <v>750</v>
      </c>
      <c r="AC6768" s="514" t="s">
        <v>3427</v>
      </c>
      <c r="AD6768" s="515">
        <v>2500</v>
      </c>
      <c r="AE6768" s="501" t="s">
        <v>3418</v>
      </c>
      <c r="AF6768" s="512">
        <f>AD6768</f>
        <v>2500</v>
      </c>
      <c r="AG6768" s="514" t="s">
        <v>3427</v>
      </c>
      <c r="AH6768" s="515">
        <v>2</v>
      </c>
      <c r="AI6768" s="501" t="s">
        <v>3418</v>
      </c>
      <c r="AJ6768" s="512">
        <f>AH6768</f>
        <v>2</v>
      </c>
      <c r="AK6768" s="514" t="s">
        <v>3427</v>
      </c>
      <c r="AL6768" s="515">
        <v>480</v>
      </c>
      <c r="AM6768" s="501" t="s">
        <v>3474</v>
      </c>
      <c r="AN6768" s="515">
        <v>30</v>
      </c>
      <c r="AO6768" s="501" t="s">
        <v>3418</v>
      </c>
      <c r="AP6768" s="512">
        <f>AL6768-AN6768</f>
        <v>450</v>
      </c>
    </row>
    <row r="6769" spans="1:42" ht="16.5" customHeight="1">
      <c r="A6769" s="439"/>
      <c r="B6769" s="439"/>
      <c r="C6769" s="439"/>
      <c r="D6769" s="439"/>
      <c r="E6769" s="439"/>
      <c r="F6769" s="439"/>
      <c r="G6769" s="451" t="s">
        <v>3406</v>
      </c>
      <c r="Z6769" s="500"/>
      <c r="AA6769" s="500"/>
      <c r="AB6769" s="500"/>
      <c r="AC6769" s="500"/>
      <c r="AD6769" s="500"/>
      <c r="AE6769" s="500"/>
      <c r="AF6769" s="500"/>
      <c r="AG6769" s="500"/>
      <c r="AH6769" s="500"/>
      <c r="AI6769" s="500"/>
      <c r="AJ6769" s="500"/>
      <c r="AK6769" s="500"/>
      <c r="AL6769" s="500"/>
      <c r="AM6769" s="500"/>
      <c r="AN6769" s="500"/>
      <c r="AO6769" s="500"/>
      <c r="AP6769" s="500"/>
    </row>
    <row r="6770" spans="1:42" ht="16.5" customHeight="1">
      <c r="A6770" s="439"/>
      <c r="B6770" s="439"/>
      <c r="C6770" s="439"/>
      <c r="D6770" s="439"/>
      <c r="E6770" s="439"/>
      <c r="F6770" s="439"/>
      <c r="G6770" s="451" t="s">
        <v>3406</v>
      </c>
      <c r="Z6770" s="500"/>
      <c r="AA6770" s="500"/>
      <c r="AB6770" s="500"/>
      <c r="AC6770" s="500"/>
      <c r="AD6770" s="500"/>
      <c r="AE6770" s="500"/>
      <c r="AF6770" s="500"/>
      <c r="AG6770" s="500"/>
      <c r="AH6770" s="500"/>
      <c r="AI6770" s="500"/>
      <c r="AJ6770" s="500"/>
      <c r="AK6770" s="500"/>
      <c r="AL6770" s="500"/>
      <c r="AM6770" s="500"/>
      <c r="AN6770" s="500"/>
      <c r="AO6770" s="500"/>
      <c r="AP6770" s="500"/>
    </row>
    <row r="6771" spans="1:42" ht="16.5" customHeight="1">
      <c r="A6771" s="439"/>
      <c r="B6771" s="439"/>
      <c r="C6771" s="439"/>
      <c r="D6771" s="439"/>
      <c r="E6771" s="439"/>
      <c r="F6771" s="439"/>
      <c r="G6771" s="451" t="s">
        <v>3406</v>
      </c>
      <c r="Z6771" s="500"/>
      <c r="AA6771" s="500"/>
      <c r="AB6771" s="500"/>
      <c r="AC6771" s="500"/>
      <c r="AD6771" s="500"/>
      <c r="AE6771" s="500"/>
      <c r="AF6771" s="500"/>
      <c r="AG6771" s="500"/>
      <c r="AH6771" s="500"/>
      <c r="AI6771" s="500"/>
      <c r="AJ6771" s="500"/>
      <c r="AK6771" s="500"/>
      <c r="AL6771" s="500"/>
      <c r="AM6771" s="500"/>
      <c r="AN6771" s="500"/>
      <c r="AO6771" s="500"/>
      <c r="AP6771" s="500"/>
    </row>
    <row r="6772" spans="1:42" ht="16.5" customHeight="1">
      <c r="A6772" s="434"/>
      <c r="B6772" s="437" t="str">
        <f>" N = V*T /( "&amp;AD6772&amp;"*L+V*"&amp;AJ6772&amp;" ) = "&amp;AM6772&amp;" 회/일 "</f>
        <v xml:space="preserve"> N = V*T /( 120*L+V*2 ) = 11.84 회/일 </v>
      </c>
      <c r="C6772" s="439"/>
      <c r="D6772" s="439"/>
      <c r="E6772" s="439"/>
      <c r="F6772" s="439"/>
      <c r="G6772" s="451" t="s">
        <v>3989</v>
      </c>
      <c r="Z6772" s="512">
        <f>AF6768</f>
        <v>2500</v>
      </c>
      <c r="AA6772" s="501" t="s">
        <v>3368</v>
      </c>
      <c r="AB6772" s="512">
        <f>AP6768</f>
        <v>450</v>
      </c>
      <c r="AC6772" s="501" t="s">
        <v>3463</v>
      </c>
      <c r="AD6772" s="515">
        <v>120</v>
      </c>
      <c r="AE6772" s="501" t="s">
        <v>3368</v>
      </c>
      <c r="AF6772" s="512">
        <f>AB6768</f>
        <v>750</v>
      </c>
      <c r="AG6772" s="501" t="s">
        <v>3468</v>
      </c>
      <c r="AH6772" s="512">
        <f>AF6768</f>
        <v>2500</v>
      </c>
      <c r="AI6772" s="501" t="s">
        <v>3368</v>
      </c>
      <c r="AJ6772" s="515">
        <v>2</v>
      </c>
      <c r="AK6772" s="501" t="s">
        <v>3464</v>
      </c>
      <c r="AL6772" s="501" t="s">
        <v>3418</v>
      </c>
      <c r="AM6772" s="512" t="str">
        <f>TEXT(ROUND(AF6768*AP6768/(AD6772*AB6768+AF6768*AJ6772),2),"#,0.00")</f>
        <v>11.84</v>
      </c>
      <c r="AN6772" s="500"/>
      <c r="AO6772" s="500"/>
      <c r="AP6772" s="500"/>
    </row>
    <row r="6773" spans="1:42" ht="16.5" customHeight="1">
      <c r="A6773" s="439"/>
      <c r="B6773" s="439"/>
      <c r="C6773" s="439"/>
      <c r="D6773" s="439"/>
      <c r="E6773" s="439"/>
      <c r="F6773" s="439"/>
      <c r="G6773" s="451" t="s">
        <v>3406</v>
      </c>
      <c r="Z6773" s="500"/>
      <c r="AA6773" s="500"/>
      <c r="AB6773" s="500"/>
      <c r="AC6773" s="500"/>
      <c r="AD6773" s="500"/>
      <c r="AE6773" s="500"/>
      <c r="AF6773" s="500"/>
      <c r="AG6773" s="500"/>
      <c r="AH6773" s="500"/>
      <c r="AI6773" s="500"/>
      <c r="AJ6773" s="500"/>
      <c r="AK6773" s="500"/>
      <c r="AL6773" s="500"/>
      <c r="AM6773" s="500"/>
      <c r="AN6773" s="500"/>
      <c r="AO6773" s="500"/>
      <c r="AP6773" s="500"/>
    </row>
    <row r="6774" spans="1:42" ht="16.5" customHeight="1">
      <c r="A6774" s="439"/>
      <c r="B6774" s="439"/>
      <c r="C6774" s="439"/>
      <c r="D6774" s="439"/>
      <c r="E6774" s="439"/>
      <c r="F6774" s="439"/>
      <c r="G6774" s="451" t="s">
        <v>3406</v>
      </c>
      <c r="Z6774" s="500"/>
      <c r="AA6774" s="500"/>
      <c r="AB6774" s="500"/>
      <c r="AC6774" s="500"/>
      <c r="AD6774" s="500"/>
      <c r="AE6774" s="500"/>
      <c r="AF6774" s="500"/>
      <c r="AG6774" s="500"/>
      <c r="AH6774" s="500"/>
      <c r="AI6774" s="500"/>
      <c r="AJ6774" s="500"/>
      <c r="AK6774" s="500"/>
      <c r="AL6774" s="500"/>
      <c r="AM6774" s="500"/>
      <c r="AN6774" s="500"/>
      <c r="AO6774" s="500"/>
      <c r="AP6774" s="500"/>
    </row>
    <row r="6775" spans="1:42" ht="16.5" customHeight="1">
      <c r="A6775" s="439"/>
      <c r="B6775" s="439"/>
      <c r="C6775" s="439"/>
      <c r="D6775" s="439"/>
      <c r="E6775" s="439"/>
      <c r="F6775" s="439"/>
      <c r="G6775" s="451" t="s">
        <v>3406</v>
      </c>
      <c r="Z6775" s="500"/>
      <c r="AA6775" s="500"/>
      <c r="AB6775" s="500"/>
      <c r="AC6775" s="500"/>
      <c r="AD6775" s="500"/>
      <c r="AE6775" s="500"/>
      <c r="AF6775" s="500"/>
      <c r="AG6775" s="500"/>
      <c r="AH6775" s="500"/>
      <c r="AI6775" s="500"/>
      <c r="AJ6775" s="500"/>
      <c r="AK6775" s="500"/>
      <c r="AL6775" s="500"/>
      <c r="AM6775" s="500"/>
      <c r="AN6775" s="500"/>
      <c r="AO6775" s="500"/>
      <c r="AP6775" s="500"/>
    </row>
    <row r="6776" spans="1:42" ht="16.5" customHeight="1">
      <c r="A6776" s="434"/>
      <c r="B6776" s="437" t="str">
        <f>" Q = N*"&amp;AB6776&amp;" ㎏ = "&amp;AD6776&amp;"  kg/일 "</f>
        <v xml:space="preserve"> Q = N*25 ㎏ = 296.00  kg/일 </v>
      </c>
      <c r="C6776" s="439"/>
      <c r="D6776" s="439"/>
      <c r="E6776" s="439"/>
      <c r="F6776" s="439"/>
      <c r="G6776" s="451" t="s">
        <v>3990</v>
      </c>
      <c r="Z6776" s="512" t="str">
        <f>AM6772</f>
        <v>11.84</v>
      </c>
      <c r="AA6776" s="501" t="s">
        <v>3368</v>
      </c>
      <c r="AB6776" s="515">
        <v>25</v>
      </c>
      <c r="AC6776" s="501" t="s">
        <v>3418</v>
      </c>
      <c r="AD6776" s="512" t="str">
        <f>TEXT(ROUND(AM6772*AB6776,2),"#,0.00")</f>
        <v>296.00</v>
      </c>
      <c r="AE6776" s="500"/>
      <c r="AF6776" s="500"/>
      <c r="AG6776" s="500"/>
      <c r="AH6776" s="500"/>
      <c r="AI6776" s="500"/>
      <c r="AJ6776" s="500"/>
      <c r="AK6776" s="500"/>
      <c r="AL6776" s="500"/>
      <c r="AM6776" s="500"/>
      <c r="AN6776" s="500"/>
      <c r="AO6776" s="500"/>
      <c r="AP6776" s="500"/>
    </row>
    <row r="6777" spans="1:42" ht="16.5" customHeight="1">
      <c r="A6777" s="439"/>
      <c r="B6777" s="439"/>
      <c r="C6777" s="439"/>
      <c r="D6777" s="439"/>
      <c r="E6777" s="439"/>
      <c r="F6777" s="439"/>
      <c r="G6777" s="451" t="s">
        <v>3406</v>
      </c>
      <c r="Z6777" s="500"/>
      <c r="AA6777" s="500"/>
      <c r="AB6777" s="500"/>
      <c r="AC6777" s="500"/>
      <c r="AD6777" s="500"/>
      <c r="AE6777" s="500"/>
      <c r="AF6777" s="500"/>
      <c r="AG6777" s="500"/>
      <c r="AH6777" s="500"/>
      <c r="AI6777" s="500"/>
      <c r="AJ6777" s="500"/>
      <c r="AK6777" s="500"/>
      <c r="AL6777" s="500"/>
      <c r="AM6777" s="500"/>
      <c r="AN6777" s="500"/>
      <c r="AO6777" s="500"/>
      <c r="AP6777" s="500"/>
    </row>
    <row r="6778" spans="1:42" ht="16.5" customHeight="1">
      <c r="A6778" s="439"/>
      <c r="B6778" s="439"/>
      <c r="C6778" s="439"/>
      <c r="D6778" s="439"/>
      <c r="E6778" s="439"/>
      <c r="F6778" s="439"/>
      <c r="G6778" s="451" t="s">
        <v>3406</v>
      </c>
      <c r="Z6778" s="500"/>
      <c r="AA6778" s="500"/>
      <c r="AB6778" s="500"/>
      <c r="AC6778" s="500"/>
      <c r="AD6778" s="500"/>
      <c r="AE6778" s="500"/>
      <c r="AF6778" s="500"/>
      <c r="AG6778" s="500"/>
      <c r="AH6778" s="500"/>
      <c r="AI6778" s="500"/>
      <c r="AJ6778" s="500"/>
      <c r="AK6778" s="500"/>
      <c r="AL6778" s="500"/>
      <c r="AM6778" s="500"/>
      <c r="AN6778" s="500"/>
      <c r="AO6778" s="500"/>
      <c r="AP6778" s="500"/>
    </row>
    <row r="6779" spans="1:42" ht="16.5" customHeight="1">
      <c r="A6779" s="439"/>
      <c r="B6779" s="439"/>
      <c r="C6779" s="439"/>
      <c r="D6779" s="439"/>
      <c r="E6779" s="439"/>
      <c r="F6779" s="439"/>
      <c r="G6779" s="451" t="s">
        <v>3406</v>
      </c>
      <c r="Z6779" s="500"/>
      <c r="AA6779" s="500"/>
      <c r="AB6779" s="500"/>
      <c r="AC6779" s="500"/>
      <c r="AD6779" s="500"/>
      <c r="AE6779" s="500"/>
      <c r="AF6779" s="500"/>
      <c r="AG6779" s="500"/>
      <c r="AH6779" s="500"/>
      <c r="AI6779" s="500"/>
      <c r="AJ6779" s="500"/>
      <c r="AK6779" s="500"/>
      <c r="AL6779" s="500"/>
      <c r="AM6779" s="500"/>
      <c r="AN6779" s="500"/>
      <c r="AO6779" s="500"/>
      <c r="AP6779" s="500"/>
    </row>
    <row r="6780" spans="1:42" ht="16.5" customHeight="1">
      <c r="A6780" s="434"/>
      <c r="B6780" s="437" t="str">
        <f>" k = "&amp;Z6780&amp;" kg /Q"</f>
        <v xml:space="preserve"> k = 1000 kg /Q</v>
      </c>
      <c r="C6780" s="439"/>
      <c r="D6780" s="439"/>
      <c r="E6780" s="439"/>
      <c r="F6780" s="439"/>
      <c r="G6780" s="451" t="s">
        <v>3991</v>
      </c>
      <c r="Z6780" s="515">
        <v>1000</v>
      </c>
      <c r="AA6780" s="501" t="s">
        <v>3428</v>
      </c>
      <c r="AB6780" s="512" t="str">
        <f>AD6776</f>
        <v>296.00</v>
      </c>
      <c r="AC6780" s="501" t="s">
        <v>3418</v>
      </c>
      <c r="AD6780" s="512">
        <f>ROUND(Z6780/AD6776,13)</f>
        <v>3.3783783783783998</v>
      </c>
      <c r="AE6780" s="500"/>
      <c r="AF6780" s="500"/>
      <c r="AG6780" s="500"/>
      <c r="AH6780" s="500"/>
      <c r="AI6780" s="500"/>
      <c r="AJ6780" s="500"/>
      <c r="AK6780" s="500"/>
      <c r="AL6780" s="500"/>
      <c r="AM6780" s="500"/>
      <c r="AN6780" s="500"/>
      <c r="AO6780" s="500"/>
      <c r="AP6780" s="500"/>
    </row>
    <row r="6781" spans="1:42" ht="16.5" customHeight="1">
      <c r="A6781" s="439"/>
      <c r="B6781" s="439"/>
      <c r="C6781" s="439"/>
      <c r="D6781" s="439"/>
      <c r="E6781" s="439"/>
      <c r="F6781" s="439"/>
      <c r="G6781" s="451" t="s">
        <v>3406</v>
      </c>
      <c r="Z6781" s="500"/>
      <c r="AA6781" s="500"/>
      <c r="AB6781" s="500"/>
      <c r="AC6781" s="500"/>
      <c r="AD6781" s="500"/>
      <c r="AE6781" s="500"/>
      <c r="AF6781" s="500"/>
      <c r="AG6781" s="500"/>
      <c r="AH6781" s="500"/>
      <c r="AI6781" s="500"/>
      <c r="AJ6781" s="500"/>
      <c r="AK6781" s="500"/>
      <c r="AL6781" s="500"/>
      <c r="AM6781" s="500"/>
      <c r="AN6781" s="500"/>
      <c r="AO6781" s="500"/>
      <c r="AP6781" s="500"/>
    </row>
    <row r="6782" spans="1:42" ht="16.5" customHeight="1">
      <c r="A6782" s="439"/>
      <c r="B6782" s="439"/>
      <c r="C6782" s="439"/>
      <c r="D6782" s="439"/>
      <c r="E6782" s="439"/>
      <c r="F6782" s="439"/>
      <c r="G6782" s="451" t="s">
        <v>3406</v>
      </c>
      <c r="Z6782" s="500"/>
      <c r="AA6782" s="500"/>
      <c r="AB6782" s="500"/>
      <c r="AC6782" s="500"/>
      <c r="AD6782" s="500"/>
      <c r="AE6782" s="500"/>
      <c r="AF6782" s="500"/>
      <c r="AG6782" s="500"/>
      <c r="AH6782" s="500"/>
      <c r="AI6782" s="500"/>
      <c r="AJ6782" s="500"/>
      <c r="AK6782" s="500"/>
      <c r="AL6782" s="500"/>
      <c r="AM6782" s="500"/>
      <c r="AN6782" s="500"/>
      <c r="AO6782" s="500"/>
      <c r="AP6782" s="500"/>
    </row>
    <row r="6783" spans="1:42" ht="16.5" customHeight="1">
      <c r="A6783" s="439"/>
      <c r="B6783" s="439"/>
      <c r="C6783" s="439"/>
      <c r="D6783" s="439"/>
      <c r="E6783" s="439"/>
      <c r="F6783" s="439"/>
      <c r="G6783" s="451" t="s">
        <v>3406</v>
      </c>
      <c r="Z6783" s="500"/>
      <c r="AA6783" s="500"/>
      <c r="AB6783" s="500"/>
      <c r="AC6783" s="500"/>
      <c r="AD6783" s="500"/>
      <c r="AE6783" s="500"/>
      <c r="AF6783" s="500"/>
      <c r="AG6783" s="500"/>
      <c r="AH6783" s="500"/>
      <c r="AI6783" s="500"/>
      <c r="AJ6783" s="500"/>
      <c r="AK6783" s="500"/>
      <c r="AL6783" s="500"/>
      <c r="AM6783" s="500"/>
      <c r="AN6783" s="500"/>
      <c r="AO6783" s="500"/>
      <c r="AP6783" s="500"/>
    </row>
    <row r="6784" spans="1:42" ht="16.5" customHeight="1">
      <c r="A6784" s="434" t="s">
        <v>3992</v>
      </c>
      <c r="B6784" s="505" t="str">
        <f>" 인    부: "&amp;TEXT(I6784,"#,##0"&amp;IF(I6784&lt;&gt;INT(I6784),".###",""))&amp;"*k = "&amp;TEXT(C6784,"#,##0.0")&amp;" 원 "</f>
        <v xml:space="preserve"> 인    부: 172,068*k = 581,310.8 원 </v>
      </c>
      <c r="C6784" s="506">
        <f>E6784+D6784+F6784</f>
        <v>581310.80000000005</v>
      </c>
      <c r="D6784" s="506">
        <f>IF(H6784=0,0,ROUNDDOWN(J6784*H6784,1))</f>
        <v>581310.80000000005</v>
      </c>
      <c r="E6784" s="506">
        <f>IF(H6784=0,0,ROUNDDOWN(K6784*H6784,1))</f>
        <v>0</v>
      </c>
      <c r="F6784" s="506">
        <f>IF(H6784=0,0,ROUNDDOWN(L6784*H6784,1))</f>
        <v>0</v>
      </c>
      <c r="G6784" s="451" t="s">
        <v>3993</v>
      </c>
      <c r="H6784" s="507">
        <f>ROUNDUP(AC6784,14-LEN(ABS(INT(AC6784))))</f>
        <v>3.3783783783783998</v>
      </c>
      <c r="I6784" s="508">
        <f>K6784+J6784+L6784</f>
        <v>172068</v>
      </c>
      <c r="J6784" s="509">
        <f>노무비목록표!E10</f>
        <v>172068</v>
      </c>
      <c r="M6784" s="501" t="s">
        <v>2363</v>
      </c>
      <c r="N6784" s="501" t="s">
        <v>3994</v>
      </c>
      <c r="X6784" s="510" t="str">
        <f>노무비목록표!B10&amp;" / "&amp;노무비목록표!C10</f>
        <v xml:space="preserve">보통인부 / </v>
      </c>
      <c r="Y6784" s="433" t="str">
        <f ca="1">HYPERLINK("#"&amp;노무비목록표!G2&amp;"!A"&amp;ROW(노무비목록표!A10),"L00017 →")</f>
        <v>L00017 →</v>
      </c>
      <c r="Z6784" s="501" t="s">
        <v>3500</v>
      </c>
      <c r="AA6784" s="512">
        <f>AD6780</f>
        <v>3.3783783783783998</v>
      </c>
      <c r="AB6784" s="501" t="s">
        <v>3418</v>
      </c>
      <c r="AC6784" s="512">
        <f>1*AD6780</f>
        <v>3.3783783783783998</v>
      </c>
      <c r="AD6784" s="500"/>
      <c r="AE6784" s="500"/>
      <c r="AF6784" s="500"/>
      <c r="AG6784" s="500"/>
      <c r="AH6784" s="500"/>
      <c r="AI6784" s="500"/>
      <c r="AJ6784" s="500"/>
      <c r="AK6784" s="500"/>
      <c r="AL6784" s="500"/>
      <c r="AM6784" s="500"/>
      <c r="AN6784" s="500"/>
      <c r="AO6784" s="500"/>
      <c r="AP6784" s="500"/>
    </row>
    <row r="6785" spans="1:42" ht="16.5" customHeight="1">
      <c r="A6785" s="439"/>
      <c r="B6785" s="439"/>
      <c r="C6785" s="439"/>
      <c r="D6785" s="439"/>
      <c r="E6785" s="439"/>
      <c r="F6785" s="439"/>
      <c r="G6785" s="451" t="s">
        <v>3406</v>
      </c>
      <c r="Z6785" s="500"/>
      <c r="AA6785" s="500"/>
      <c r="AB6785" s="500"/>
      <c r="AC6785" s="500"/>
      <c r="AD6785" s="500"/>
      <c r="AE6785" s="500"/>
      <c r="AF6785" s="500"/>
      <c r="AG6785" s="500"/>
      <c r="AH6785" s="500"/>
      <c r="AI6785" s="500"/>
      <c r="AJ6785" s="500"/>
      <c r="AK6785" s="500"/>
      <c r="AL6785" s="500"/>
      <c r="AM6785" s="500"/>
      <c r="AN6785" s="500"/>
      <c r="AO6785" s="500"/>
      <c r="AP6785" s="500"/>
    </row>
    <row r="6786" spans="1:42" ht="16.5" customHeight="1">
      <c r="A6786" s="439"/>
      <c r="B6786" s="439"/>
      <c r="C6786" s="439"/>
      <c r="D6786" s="439"/>
      <c r="E6786" s="439"/>
      <c r="F6786" s="439"/>
      <c r="G6786" s="451" t="s">
        <v>3406</v>
      </c>
      <c r="Z6786" s="500"/>
      <c r="AA6786" s="500"/>
      <c r="AB6786" s="500"/>
      <c r="AC6786" s="500"/>
      <c r="AD6786" s="500"/>
      <c r="AE6786" s="500"/>
      <c r="AF6786" s="500"/>
      <c r="AG6786" s="500"/>
      <c r="AH6786" s="500"/>
      <c r="AI6786" s="500"/>
      <c r="AJ6786" s="500"/>
      <c r="AK6786" s="500"/>
      <c r="AL6786" s="500"/>
      <c r="AM6786" s="500"/>
      <c r="AN6786" s="500"/>
      <c r="AO6786" s="500"/>
      <c r="AP6786" s="500"/>
    </row>
    <row r="6787" spans="1:42" ht="16.5" customHeight="1">
      <c r="A6787" s="439"/>
      <c r="B6787" s="439"/>
      <c r="C6787" s="439"/>
      <c r="D6787" s="439"/>
      <c r="E6787" s="439"/>
      <c r="F6787" s="439"/>
      <c r="G6787" s="451" t="s">
        <v>3406</v>
      </c>
      <c r="Z6787" s="500"/>
      <c r="AA6787" s="500"/>
      <c r="AB6787" s="500"/>
      <c r="AC6787" s="500"/>
      <c r="AD6787" s="500"/>
      <c r="AE6787" s="500"/>
      <c r="AF6787" s="500"/>
      <c r="AG6787" s="500"/>
      <c r="AH6787" s="500"/>
      <c r="AI6787" s="500"/>
      <c r="AJ6787" s="500"/>
      <c r="AK6787" s="500"/>
      <c r="AL6787" s="500"/>
      <c r="AM6787" s="500"/>
      <c r="AN6787" s="500"/>
      <c r="AO6787" s="500"/>
      <c r="AP6787" s="500"/>
    </row>
    <row r="6788" spans="1:42" ht="16.5" customHeight="1">
      <c r="A6788" s="439"/>
      <c r="B6788" s="439"/>
      <c r="C6788" s="439"/>
      <c r="D6788" s="439"/>
      <c r="E6788" s="439"/>
      <c r="F6788" s="439"/>
      <c r="G6788" s="451" t="s">
        <v>3406</v>
      </c>
      <c r="Z6788" s="500"/>
      <c r="AA6788" s="500"/>
      <c r="AB6788" s="500"/>
      <c r="AC6788" s="500"/>
      <c r="AD6788" s="500"/>
      <c r="AE6788" s="500"/>
      <c r="AF6788" s="500"/>
      <c r="AG6788" s="500"/>
      <c r="AH6788" s="500"/>
      <c r="AI6788" s="500"/>
      <c r="AJ6788" s="500"/>
      <c r="AK6788" s="500"/>
      <c r="AL6788" s="500"/>
      <c r="AM6788" s="500"/>
      <c r="AN6788" s="500"/>
      <c r="AO6788" s="500"/>
      <c r="AP6788" s="500"/>
    </row>
    <row r="6789" spans="1:42" ht="16.5" customHeight="1">
      <c r="A6789" s="434"/>
      <c r="B6789" s="437" t="s">
        <v>3995</v>
      </c>
      <c r="C6789" s="516">
        <f>E6789+D6789+F6789</f>
        <v>581310.80000000005</v>
      </c>
      <c r="D6789" s="516">
        <f>SUMIF(N6757:N6788,M6789,D6757:D6788)</f>
        <v>581310.80000000005</v>
      </c>
      <c r="E6789" s="516">
        <f>SUMIF(N6757:N6788,M6789,E6757:E6788)</f>
        <v>0</v>
      </c>
      <c r="F6789" s="516">
        <f>SUMIF(N6757:N6788,M6789,F6757:F6788)</f>
        <v>0</v>
      </c>
      <c r="G6789" s="451" t="s">
        <v>3996</v>
      </c>
      <c r="M6789" s="501" t="s">
        <v>3994</v>
      </c>
      <c r="Z6789" s="500"/>
      <c r="AA6789" s="500"/>
      <c r="AB6789" s="500"/>
      <c r="AC6789" s="500"/>
      <c r="AD6789" s="500"/>
      <c r="AE6789" s="500"/>
      <c r="AF6789" s="500"/>
      <c r="AG6789" s="500"/>
      <c r="AH6789" s="500"/>
      <c r="AI6789" s="500"/>
      <c r="AJ6789" s="500"/>
      <c r="AK6789" s="500"/>
      <c r="AL6789" s="500"/>
      <c r="AM6789" s="500"/>
      <c r="AN6789" s="500"/>
      <c r="AO6789" s="500"/>
      <c r="AP6789" s="500"/>
    </row>
    <row r="6790" spans="1:42" ht="16.5" customHeight="1">
      <c r="A6790" s="439"/>
      <c r="B6790" s="439"/>
      <c r="C6790" s="517"/>
      <c r="D6790" s="517"/>
      <c r="E6790" s="517"/>
      <c r="F6790" s="517"/>
      <c r="G6790" s="451" t="s">
        <v>3406</v>
      </c>
      <c r="Z6790" s="500"/>
      <c r="AA6790" s="500"/>
      <c r="AB6790" s="500"/>
      <c r="AC6790" s="500"/>
      <c r="AD6790" s="500"/>
      <c r="AE6790" s="500"/>
      <c r="AF6790" s="500"/>
      <c r="AG6790" s="500"/>
      <c r="AH6790" s="500"/>
      <c r="AI6790" s="500"/>
      <c r="AJ6790" s="500"/>
      <c r="AK6790" s="500"/>
      <c r="AL6790" s="500"/>
      <c r="AM6790" s="500"/>
      <c r="AN6790" s="500"/>
      <c r="AO6790" s="500"/>
      <c r="AP6790" s="500"/>
    </row>
    <row r="6791" spans="1:42" ht="16.5" customHeight="1">
      <c r="A6791" s="439"/>
      <c r="B6791" s="439"/>
      <c r="C6791" s="439"/>
      <c r="D6791" s="439"/>
      <c r="E6791" s="439"/>
      <c r="F6791" s="439"/>
      <c r="G6791" s="451" t="s">
        <v>3406</v>
      </c>
      <c r="Z6791" s="500"/>
      <c r="AA6791" s="500"/>
      <c r="AB6791" s="500"/>
      <c r="AC6791" s="500"/>
      <c r="AD6791" s="500"/>
      <c r="AE6791" s="500"/>
      <c r="AF6791" s="500"/>
      <c r="AG6791" s="500"/>
      <c r="AH6791" s="500"/>
      <c r="AI6791" s="500"/>
      <c r="AJ6791" s="500"/>
      <c r="AK6791" s="500"/>
      <c r="AL6791" s="500"/>
      <c r="AM6791" s="500"/>
      <c r="AN6791" s="500"/>
      <c r="AO6791" s="500"/>
      <c r="AP6791" s="500"/>
    </row>
    <row r="6792" spans="1:42" ht="16.5" customHeight="1">
      <c r="A6792" s="434" t="s">
        <v>3997</v>
      </c>
      <c r="B6792" s="505" t="str">
        <f>" 경비로 적용 : "&amp;TEXT(I6792,"#,##0"&amp;IF(I6792&lt;&gt;INT(I6792),".###",""))&amp;"  = "&amp;TEXT(C6792,"#,##0.0")&amp;""</f>
        <v xml:space="preserve"> 경비로 적용 : 581,310.8  = 581,310.8</v>
      </c>
      <c r="C6792" s="506">
        <f>E6792+D6792+F6792</f>
        <v>581310.80000000005</v>
      </c>
      <c r="D6792" s="506">
        <f>IF(H6792=0,0,ROUNDDOWN(J6792*H6792,1))</f>
        <v>0</v>
      </c>
      <c r="E6792" s="506">
        <f>IF(H6792=0,0,ROUNDDOWN(K6792*H6792,1))</f>
        <v>0</v>
      </c>
      <c r="F6792" s="506">
        <f>IF(H6792=0,0,ROUNDDOWN(L6792*H6792,1))</f>
        <v>581310.80000000005</v>
      </c>
      <c r="G6792" s="451" t="s">
        <v>3998</v>
      </c>
      <c r="H6792" s="507">
        <f>ROUNDUP(AB6792,14-LEN(ABS(INT(AB6792))))</f>
        <v>1</v>
      </c>
      <c r="I6792" s="508">
        <f>K6792+J6792+L6792</f>
        <v>581310.80000000005</v>
      </c>
      <c r="J6792" s="456">
        <v>0</v>
      </c>
      <c r="K6792" s="456">
        <v>0</v>
      </c>
      <c r="L6792" s="518">
        <v>581310.80000000005</v>
      </c>
      <c r="M6792" s="501" t="s">
        <v>3999</v>
      </c>
      <c r="N6792" s="501" t="s">
        <v>2354</v>
      </c>
      <c r="Z6792" s="501" t="s">
        <v>4000</v>
      </c>
      <c r="AA6792" s="501" t="s">
        <v>3418</v>
      </c>
      <c r="AB6792" s="512">
        <f>1</f>
        <v>1</v>
      </c>
      <c r="AC6792" s="500"/>
      <c r="AD6792" s="500"/>
      <c r="AE6792" s="500"/>
      <c r="AF6792" s="500"/>
      <c r="AG6792" s="500"/>
      <c r="AH6792" s="500"/>
      <c r="AI6792" s="500"/>
      <c r="AJ6792" s="500"/>
      <c r="AK6792" s="500"/>
      <c r="AL6792" s="500"/>
      <c r="AM6792" s="500"/>
      <c r="AN6792" s="500"/>
      <c r="AO6792" s="500"/>
      <c r="AP6792" s="500"/>
    </row>
    <row r="6793" spans="1:42" ht="16.5" customHeight="1">
      <c r="A6793" s="439"/>
      <c r="B6793" s="439"/>
      <c r="C6793" s="439"/>
      <c r="D6793" s="439"/>
      <c r="E6793" s="439"/>
      <c r="F6793" s="439"/>
      <c r="Z6793" s="500"/>
      <c r="AA6793" s="500"/>
      <c r="AB6793" s="500"/>
      <c r="AC6793" s="500"/>
      <c r="AD6793" s="500"/>
      <c r="AE6793" s="500"/>
      <c r="AF6793" s="500"/>
      <c r="AG6793" s="500"/>
      <c r="AH6793" s="500"/>
      <c r="AI6793" s="500"/>
      <c r="AJ6793" s="500"/>
      <c r="AK6793" s="500"/>
      <c r="AL6793" s="500"/>
      <c r="AM6793" s="500"/>
      <c r="AN6793" s="500"/>
      <c r="AO6793" s="500"/>
      <c r="AP6793" s="500"/>
    </row>
    <row r="6794" spans="1:42" ht="16.5" customHeight="1">
      <c r="A6794" s="439"/>
      <c r="B6794" s="439"/>
      <c r="C6794" s="439"/>
      <c r="D6794" s="439"/>
      <c r="E6794" s="439"/>
      <c r="F6794" s="439"/>
      <c r="Z6794" s="500"/>
      <c r="AA6794" s="500"/>
      <c r="AB6794" s="500"/>
      <c r="AC6794" s="500"/>
      <c r="AD6794" s="500"/>
      <c r="AE6794" s="500"/>
      <c r="AF6794" s="500"/>
      <c r="AG6794" s="500"/>
      <c r="AH6794" s="500"/>
      <c r="AI6794" s="500"/>
      <c r="AJ6794" s="500"/>
      <c r="AK6794" s="500"/>
      <c r="AL6794" s="500"/>
      <c r="AM6794" s="500"/>
      <c r="AN6794" s="500"/>
      <c r="AO6794" s="500"/>
      <c r="AP6794" s="500"/>
    </row>
    <row r="6795" spans="1:42" ht="16.5" customHeight="1">
      <c r="A6795" s="439"/>
      <c r="B6795" s="439"/>
      <c r="C6795" s="439"/>
      <c r="D6795" s="439"/>
      <c r="E6795" s="439"/>
      <c r="F6795" s="439"/>
      <c r="Z6795" s="500"/>
      <c r="AA6795" s="500"/>
      <c r="AB6795" s="500"/>
      <c r="AC6795" s="500"/>
      <c r="AD6795" s="500"/>
      <c r="AE6795" s="500"/>
      <c r="AF6795" s="500"/>
      <c r="AG6795" s="500"/>
      <c r="AH6795" s="500"/>
      <c r="AI6795" s="500"/>
      <c r="AJ6795" s="500"/>
      <c r="AK6795" s="500"/>
      <c r="AL6795" s="500"/>
      <c r="AM6795" s="500"/>
      <c r="AN6795" s="500"/>
      <c r="AO6795" s="500"/>
      <c r="AP6795" s="500"/>
    </row>
    <row r="6796" spans="1:42" ht="16.5" customHeight="1">
      <c r="A6796" s="439"/>
      <c r="B6796" s="439"/>
      <c r="C6796" s="439"/>
      <c r="D6796" s="439"/>
      <c r="E6796" s="439"/>
      <c r="F6796" s="439"/>
      <c r="Z6796" s="500"/>
      <c r="AA6796" s="500"/>
      <c r="AB6796" s="500"/>
      <c r="AC6796" s="500"/>
      <c r="AD6796" s="500"/>
      <c r="AE6796" s="500"/>
      <c r="AF6796" s="500"/>
      <c r="AG6796" s="500"/>
      <c r="AH6796" s="500"/>
      <c r="AI6796" s="500"/>
      <c r="AJ6796" s="500"/>
      <c r="AK6796" s="500"/>
      <c r="AL6796" s="500"/>
      <c r="AM6796" s="500"/>
      <c r="AN6796" s="500"/>
      <c r="AO6796" s="500"/>
      <c r="AP6796" s="500"/>
    </row>
    <row r="6797" spans="1:42" ht="16.5" customHeight="1">
      <c r="A6797" s="439"/>
      <c r="B6797" s="439"/>
      <c r="C6797" s="439"/>
      <c r="D6797" s="439"/>
      <c r="E6797" s="439"/>
      <c r="F6797" s="439"/>
      <c r="Z6797" s="500"/>
      <c r="AA6797" s="500"/>
      <c r="AB6797" s="500"/>
      <c r="AC6797" s="500"/>
      <c r="AD6797" s="500"/>
      <c r="AE6797" s="500"/>
      <c r="AF6797" s="500"/>
      <c r="AG6797" s="500"/>
      <c r="AH6797" s="500"/>
      <c r="AI6797" s="500"/>
      <c r="AJ6797" s="500"/>
      <c r="AK6797" s="500"/>
      <c r="AL6797" s="500"/>
      <c r="AM6797" s="500"/>
      <c r="AN6797" s="500"/>
      <c r="AO6797" s="500"/>
      <c r="AP6797" s="500"/>
    </row>
    <row r="6798" spans="1:42" ht="16.5" customHeight="1">
      <c r="A6798" s="439"/>
      <c r="B6798" s="439"/>
      <c r="C6798" s="439"/>
      <c r="D6798" s="439"/>
      <c r="E6798" s="439"/>
      <c r="F6798" s="439"/>
      <c r="Z6798" s="500"/>
      <c r="AA6798" s="500"/>
      <c r="AB6798" s="500"/>
      <c r="AC6798" s="500"/>
      <c r="AD6798" s="500"/>
      <c r="AE6798" s="500"/>
      <c r="AF6798" s="500"/>
      <c r="AG6798" s="500"/>
      <c r="AH6798" s="500"/>
      <c r="AI6798" s="500"/>
      <c r="AJ6798" s="500"/>
      <c r="AK6798" s="500"/>
      <c r="AL6798" s="500"/>
      <c r="AM6798" s="500"/>
      <c r="AN6798" s="500"/>
      <c r="AO6798" s="500"/>
      <c r="AP6798" s="500"/>
    </row>
    <row r="6799" spans="1:42" ht="16.5" customHeight="1">
      <c r="A6799" s="439"/>
      <c r="B6799" s="439"/>
      <c r="C6799" s="439"/>
      <c r="D6799" s="439"/>
      <c r="E6799" s="439"/>
      <c r="F6799" s="439"/>
      <c r="Z6799" s="500"/>
      <c r="AA6799" s="500"/>
      <c r="AB6799" s="500"/>
      <c r="AC6799" s="500"/>
      <c r="AD6799" s="500"/>
      <c r="AE6799" s="500"/>
      <c r="AF6799" s="500"/>
      <c r="AG6799" s="500"/>
      <c r="AH6799" s="500"/>
      <c r="AI6799" s="500"/>
      <c r="AJ6799" s="500"/>
      <c r="AK6799" s="500"/>
      <c r="AL6799" s="500"/>
      <c r="AM6799" s="500"/>
      <c r="AN6799" s="500"/>
      <c r="AO6799" s="500"/>
      <c r="AP6799" s="500"/>
    </row>
    <row r="6800" spans="1:42" ht="16.5" customHeight="1">
      <c r="A6800" s="439"/>
      <c r="B6800" s="439"/>
      <c r="C6800" s="439"/>
      <c r="D6800" s="439"/>
      <c r="E6800" s="439"/>
      <c r="F6800" s="439"/>
      <c r="Z6800" s="500"/>
      <c r="AA6800" s="500"/>
      <c r="AB6800" s="500"/>
      <c r="AC6800" s="500"/>
      <c r="AD6800" s="500"/>
      <c r="AE6800" s="500"/>
      <c r="AF6800" s="500"/>
      <c r="AG6800" s="500"/>
      <c r="AH6800" s="500"/>
      <c r="AI6800" s="500"/>
      <c r="AJ6800" s="500"/>
      <c r="AK6800" s="500"/>
      <c r="AL6800" s="500"/>
      <c r="AM6800" s="500"/>
      <c r="AN6800" s="500"/>
      <c r="AO6800" s="500"/>
      <c r="AP6800" s="500"/>
    </row>
    <row r="6801" spans="1:42" ht="16.5" customHeight="1">
      <c r="A6801" s="439"/>
      <c r="B6801" s="439"/>
      <c r="C6801" s="439"/>
      <c r="D6801" s="439"/>
      <c r="E6801" s="439"/>
      <c r="F6801" s="439"/>
      <c r="Z6801" s="500"/>
      <c r="AA6801" s="500"/>
      <c r="AB6801" s="500"/>
      <c r="AC6801" s="500"/>
      <c r="AD6801" s="500"/>
      <c r="AE6801" s="500"/>
      <c r="AF6801" s="500"/>
      <c r="AG6801" s="500"/>
      <c r="AH6801" s="500"/>
      <c r="AI6801" s="500"/>
      <c r="AJ6801" s="500"/>
      <c r="AK6801" s="500"/>
      <c r="AL6801" s="500"/>
      <c r="AM6801" s="500"/>
      <c r="AN6801" s="500"/>
      <c r="AO6801" s="500"/>
      <c r="AP6801" s="500"/>
    </row>
    <row r="6802" spans="1:42" ht="16.5" customHeight="1">
      <c r="A6802" s="439"/>
      <c r="B6802" s="439"/>
      <c r="C6802" s="439"/>
      <c r="D6802" s="439"/>
      <c r="E6802" s="439"/>
      <c r="F6802" s="439"/>
      <c r="Z6802" s="500"/>
      <c r="AA6802" s="500"/>
      <c r="AB6802" s="500"/>
      <c r="AC6802" s="500"/>
      <c r="AD6802" s="500"/>
      <c r="AE6802" s="500"/>
      <c r="AF6802" s="500"/>
      <c r="AG6802" s="500"/>
      <c r="AH6802" s="500"/>
      <c r="AI6802" s="500"/>
      <c r="AJ6802" s="500"/>
      <c r="AK6802" s="500"/>
      <c r="AL6802" s="500"/>
      <c r="AM6802" s="500"/>
      <c r="AN6802" s="500"/>
      <c r="AO6802" s="500"/>
      <c r="AP6802" s="500"/>
    </row>
    <row r="6803" spans="1:42" ht="16.5" customHeight="1">
      <c r="A6803" s="497"/>
      <c r="B6803" s="497"/>
      <c r="C6803" s="497"/>
      <c r="D6803" s="497"/>
      <c r="E6803" s="497"/>
      <c r="F6803" s="497"/>
      <c r="Z6803" s="500"/>
      <c r="AA6803" s="500"/>
      <c r="AB6803" s="500"/>
      <c r="AC6803" s="500"/>
      <c r="AD6803" s="500"/>
      <c r="AE6803" s="500"/>
      <c r="AF6803" s="500"/>
      <c r="AG6803" s="500"/>
      <c r="AH6803" s="500"/>
      <c r="AI6803" s="500"/>
      <c r="AJ6803" s="500"/>
      <c r="AK6803" s="500"/>
      <c r="AL6803" s="500"/>
      <c r="AM6803" s="500"/>
      <c r="AN6803" s="500"/>
      <c r="AO6803" s="500"/>
      <c r="AP6803" s="500"/>
    </row>
    <row r="6804" spans="1:42" ht="16.5" customHeight="1">
      <c r="A6804" s="616" t="s">
        <v>3487</v>
      </c>
      <c r="B6804" s="605"/>
      <c r="C6804" s="446">
        <f>E6804+D6804+F6804</f>
        <v>581310</v>
      </c>
      <c r="D6804" s="453">
        <f>ROUNDDOWN(SUMIF(N6757:N6792,M6804,D6757:D6792),0)</f>
        <v>0</v>
      </c>
      <c r="E6804" s="454">
        <f>ROUNDDOWN(SUMIF(N6757:N6792,M6804,E6757:E6792),0)</f>
        <v>0</v>
      </c>
      <c r="F6804" s="446">
        <f>ROUNDDOWN(SUMIF(N6757:N6792,M6804,F6757:F6792),0)</f>
        <v>581310</v>
      </c>
      <c r="M6804" s="501" t="s">
        <v>2354</v>
      </c>
      <c r="Z6804" s="500"/>
      <c r="AA6804" s="500"/>
      <c r="AB6804" s="500"/>
      <c r="AC6804" s="500"/>
      <c r="AD6804" s="500"/>
      <c r="AE6804" s="500"/>
      <c r="AF6804" s="500"/>
      <c r="AG6804" s="500"/>
      <c r="AH6804" s="500"/>
      <c r="AI6804" s="500"/>
      <c r="AJ6804" s="500"/>
      <c r="AK6804" s="500"/>
      <c r="AL6804" s="500"/>
      <c r="AM6804" s="500"/>
      <c r="AN6804" s="500"/>
      <c r="AO6804" s="500"/>
      <c r="AP6804" s="500"/>
    </row>
    <row r="6805" spans="1:42" ht="16.5" customHeight="1">
      <c r="A6805" s="502"/>
      <c r="B6805" s="503" t="s">
        <v>2189</v>
      </c>
      <c r="C6805" s="615">
        <f>C6854</f>
        <v>617838</v>
      </c>
      <c r="D6805" s="615">
        <f>D6854</f>
        <v>0</v>
      </c>
      <c r="E6805" s="615">
        <f>E6854</f>
        <v>0</v>
      </c>
      <c r="F6805" s="615">
        <f>F6854</f>
        <v>617838</v>
      </c>
      <c r="G6805" s="486" t="str">
        <f>HYPERLINK("#G"&amp;ROW(G6842),"_x0005_`BDCOD|D01193_x0007_`POSS|"&amp;ROW(G6807)&amp;"_x0007_`POSE|"&amp;ROW(G6842)&amp;"_x0007_`")</f>
        <v>_x0005_`BDCOD|D01193_x0007_`POSS|6807_x0007_`POSE|6842_x0007_`</v>
      </c>
      <c r="Z6805" s="500"/>
      <c r="AA6805" s="500"/>
      <c r="AB6805" s="500"/>
      <c r="AC6805" s="500"/>
      <c r="AD6805" s="500"/>
      <c r="AE6805" s="500"/>
      <c r="AF6805" s="500"/>
      <c r="AG6805" s="500"/>
      <c r="AH6805" s="500"/>
      <c r="AI6805" s="500"/>
      <c r="AJ6805" s="500"/>
      <c r="AK6805" s="500"/>
      <c r="AL6805" s="500"/>
      <c r="AM6805" s="500"/>
      <c r="AN6805" s="500"/>
      <c r="AO6805" s="500"/>
      <c r="AP6805" s="500"/>
    </row>
    <row r="6806" spans="1:42" ht="16.5" customHeight="1">
      <c r="A6806" s="485"/>
      <c r="B6806" s="503" t="s">
        <v>4093</v>
      </c>
      <c r="C6806" s="593"/>
      <c r="D6806" s="593"/>
      <c r="E6806" s="593"/>
      <c r="F6806" s="593"/>
      <c r="M6806" s="501" t="s">
        <v>2189</v>
      </c>
      <c r="Z6806" s="500"/>
      <c r="AA6806" s="500"/>
      <c r="AB6806" s="500"/>
      <c r="AC6806" s="500"/>
      <c r="AD6806" s="500"/>
      <c r="AE6806" s="500"/>
      <c r="AF6806" s="500"/>
      <c r="AG6806" s="500"/>
      <c r="AH6806" s="500"/>
      <c r="AI6806" s="500"/>
      <c r="AJ6806" s="500"/>
      <c r="AK6806" s="500"/>
      <c r="AL6806" s="500"/>
      <c r="AM6806" s="500"/>
      <c r="AN6806" s="500"/>
      <c r="AO6806" s="500"/>
      <c r="AP6806" s="500"/>
    </row>
    <row r="6807" spans="1:42" ht="16.5" customHeight="1">
      <c r="A6807" s="434"/>
      <c r="B6807" s="437" t="s">
        <v>3980</v>
      </c>
      <c r="C6807" s="504"/>
      <c r="D6807" s="504"/>
      <c r="E6807" s="504"/>
      <c r="F6807" s="504"/>
      <c r="G6807" s="451" t="s">
        <v>3981</v>
      </c>
      <c r="Z6807" s="500"/>
      <c r="AA6807" s="500"/>
      <c r="AB6807" s="500"/>
      <c r="AC6807" s="500"/>
      <c r="AD6807" s="500"/>
      <c r="AE6807" s="500"/>
      <c r="AF6807" s="500"/>
      <c r="AG6807" s="500"/>
      <c r="AH6807" s="500"/>
      <c r="AI6807" s="500"/>
      <c r="AJ6807" s="500"/>
      <c r="AK6807" s="500"/>
      <c r="AL6807" s="500"/>
      <c r="AM6807" s="500"/>
      <c r="AN6807" s="500"/>
      <c r="AO6807" s="500"/>
      <c r="AP6807" s="500"/>
    </row>
    <row r="6808" spans="1:42" ht="16.5" customHeight="1">
      <c r="A6808" s="439"/>
      <c r="B6808" s="439"/>
      <c r="C6808" s="439"/>
      <c r="D6808" s="439"/>
      <c r="E6808" s="439"/>
      <c r="F6808" s="439"/>
      <c r="G6808" s="451" t="s">
        <v>3406</v>
      </c>
      <c r="Z6808" s="500"/>
      <c r="AA6808" s="500"/>
      <c r="AB6808" s="500"/>
      <c r="AC6808" s="500"/>
      <c r="AD6808" s="500"/>
      <c r="AE6808" s="500"/>
      <c r="AF6808" s="500"/>
      <c r="AG6808" s="500"/>
      <c r="AH6808" s="500"/>
      <c r="AI6808" s="500"/>
      <c r="AJ6808" s="500"/>
      <c r="AK6808" s="500"/>
      <c r="AL6808" s="500"/>
      <c r="AM6808" s="500"/>
      <c r="AN6808" s="500"/>
      <c r="AO6808" s="500"/>
      <c r="AP6808" s="500"/>
    </row>
    <row r="6809" spans="1:42" ht="16.5" customHeight="1">
      <c r="A6809" s="434"/>
      <c r="B6809" s="437" t="s">
        <v>4094</v>
      </c>
      <c r="C6809" s="439"/>
      <c r="D6809" s="439"/>
      <c r="E6809" s="439"/>
      <c r="F6809" s="439"/>
      <c r="G6809" s="451" t="s">
        <v>4095</v>
      </c>
      <c r="Z6809" s="500"/>
      <c r="AA6809" s="500"/>
      <c r="AB6809" s="500"/>
      <c r="AC6809" s="500"/>
      <c r="AD6809" s="500"/>
      <c r="AE6809" s="500"/>
      <c r="AF6809" s="500"/>
      <c r="AG6809" s="500"/>
      <c r="AH6809" s="500"/>
      <c r="AI6809" s="500"/>
      <c r="AJ6809" s="500"/>
      <c r="AK6809" s="500"/>
      <c r="AL6809" s="500"/>
      <c r="AM6809" s="500"/>
      <c r="AN6809" s="500"/>
      <c r="AO6809" s="500"/>
      <c r="AP6809" s="500"/>
    </row>
    <row r="6810" spans="1:42" ht="16.5" customHeight="1">
      <c r="A6810" s="439"/>
      <c r="B6810" s="439"/>
      <c r="C6810" s="439"/>
      <c r="D6810" s="439"/>
      <c r="E6810" s="439"/>
      <c r="F6810" s="439"/>
      <c r="G6810" s="451" t="s">
        <v>3406</v>
      </c>
      <c r="Z6810" s="500"/>
      <c r="AA6810" s="500"/>
      <c r="AB6810" s="500"/>
      <c r="AC6810" s="500"/>
      <c r="AD6810" s="500"/>
      <c r="AE6810" s="500"/>
      <c r="AF6810" s="500"/>
      <c r="AG6810" s="500"/>
      <c r="AH6810" s="500"/>
      <c r="AI6810" s="500"/>
      <c r="AJ6810" s="500"/>
      <c r="AK6810" s="500"/>
      <c r="AL6810" s="500"/>
      <c r="AM6810" s="500"/>
      <c r="AN6810" s="500"/>
      <c r="AO6810" s="500"/>
      <c r="AP6810" s="500"/>
    </row>
    <row r="6811" spans="1:42" ht="16.5" customHeight="1">
      <c r="A6811" s="439"/>
      <c r="B6811" s="439"/>
      <c r="C6811" s="439"/>
      <c r="D6811" s="439"/>
      <c r="E6811" s="439"/>
      <c r="F6811" s="439"/>
      <c r="G6811" s="451" t="s">
        <v>3406</v>
      </c>
      <c r="Z6811" s="500"/>
      <c r="AA6811" s="500"/>
      <c r="AB6811" s="500"/>
      <c r="AC6811" s="500"/>
      <c r="AD6811" s="500"/>
      <c r="AE6811" s="500"/>
      <c r="AF6811" s="500"/>
      <c r="AG6811" s="500"/>
      <c r="AH6811" s="500"/>
      <c r="AI6811" s="500"/>
      <c r="AJ6811" s="500"/>
      <c r="AK6811" s="500"/>
      <c r="AL6811" s="500"/>
      <c r="AM6811" s="500"/>
      <c r="AN6811" s="500"/>
      <c r="AO6811" s="500"/>
      <c r="AP6811" s="500"/>
    </row>
    <row r="6812" spans="1:42" ht="16.5" customHeight="1">
      <c r="A6812" s="434"/>
      <c r="B6812" s="437" t="s">
        <v>3984</v>
      </c>
      <c r="C6812" s="439"/>
      <c r="D6812" s="439"/>
      <c r="E6812" s="439"/>
      <c r="F6812" s="439"/>
      <c r="G6812" s="451" t="s">
        <v>3985</v>
      </c>
      <c r="Z6812" s="500"/>
      <c r="AA6812" s="500"/>
      <c r="AB6812" s="500"/>
      <c r="AC6812" s="500"/>
      <c r="AD6812" s="500"/>
      <c r="AE6812" s="500"/>
      <c r="AF6812" s="500"/>
      <c r="AG6812" s="500"/>
      <c r="AH6812" s="500"/>
      <c r="AI6812" s="500"/>
      <c r="AJ6812" s="500"/>
      <c r="AK6812" s="500"/>
      <c r="AL6812" s="500"/>
      <c r="AM6812" s="500"/>
      <c r="AN6812" s="500"/>
      <c r="AO6812" s="500"/>
      <c r="AP6812" s="500"/>
    </row>
    <row r="6813" spans="1:42" ht="16.5" customHeight="1">
      <c r="A6813" s="439"/>
      <c r="B6813" s="439"/>
      <c r="C6813" s="439"/>
      <c r="D6813" s="439"/>
      <c r="E6813" s="439"/>
      <c r="F6813" s="439"/>
      <c r="G6813" s="451" t="s">
        <v>3406</v>
      </c>
      <c r="Z6813" s="500"/>
      <c r="AA6813" s="500"/>
      <c r="AB6813" s="500"/>
      <c r="AC6813" s="500"/>
      <c r="AD6813" s="500"/>
      <c r="AE6813" s="500"/>
      <c r="AF6813" s="500"/>
      <c r="AG6813" s="500"/>
      <c r="AH6813" s="500"/>
      <c r="AI6813" s="500"/>
      <c r="AJ6813" s="500"/>
      <c r="AK6813" s="500"/>
      <c r="AL6813" s="500"/>
      <c r="AM6813" s="500"/>
      <c r="AN6813" s="500"/>
      <c r="AO6813" s="500"/>
      <c r="AP6813" s="500"/>
    </row>
    <row r="6814" spans="1:42" ht="16.5" customHeight="1">
      <c r="A6814" s="439"/>
      <c r="B6814" s="439"/>
      <c r="C6814" s="439"/>
      <c r="D6814" s="439"/>
      <c r="E6814" s="439"/>
      <c r="F6814" s="439"/>
      <c r="G6814" s="451" t="s">
        <v>3406</v>
      </c>
      <c r="Z6814" s="500"/>
      <c r="AA6814" s="500"/>
      <c r="AB6814" s="500"/>
      <c r="AC6814" s="500"/>
      <c r="AD6814" s="500"/>
      <c r="AE6814" s="500"/>
      <c r="AF6814" s="500"/>
      <c r="AG6814" s="500"/>
      <c r="AH6814" s="500"/>
      <c r="AI6814" s="500"/>
      <c r="AJ6814" s="500"/>
      <c r="AK6814" s="500"/>
      <c r="AL6814" s="500"/>
      <c r="AM6814" s="500"/>
      <c r="AN6814" s="500"/>
      <c r="AO6814" s="500"/>
      <c r="AP6814" s="500"/>
    </row>
    <row r="6815" spans="1:42" ht="16.5" customHeight="1">
      <c r="A6815" s="434"/>
      <c r="B6815" s="437" t="s">
        <v>3986</v>
      </c>
      <c r="C6815" s="439"/>
      <c r="D6815" s="439"/>
      <c r="E6815" s="439"/>
      <c r="F6815" s="439"/>
      <c r="G6815" s="451" t="s">
        <v>3987</v>
      </c>
      <c r="Z6815" s="500"/>
      <c r="AA6815" s="500"/>
      <c r="AB6815" s="500"/>
      <c r="AC6815" s="500"/>
      <c r="AD6815" s="500"/>
      <c r="AE6815" s="500"/>
      <c r="AF6815" s="500"/>
      <c r="AG6815" s="500"/>
      <c r="AH6815" s="500"/>
      <c r="AI6815" s="500"/>
      <c r="AJ6815" s="500"/>
      <c r="AK6815" s="500"/>
      <c r="AL6815" s="500"/>
      <c r="AM6815" s="500"/>
      <c r="AN6815" s="500"/>
      <c r="AO6815" s="500"/>
      <c r="AP6815" s="500"/>
    </row>
    <row r="6816" spans="1:42" ht="16.5" customHeight="1">
      <c r="A6816" s="439"/>
      <c r="B6816" s="439"/>
      <c r="C6816" s="439"/>
      <c r="D6816" s="439"/>
      <c r="E6816" s="439"/>
      <c r="F6816" s="439"/>
      <c r="G6816" s="451" t="s">
        <v>3406</v>
      </c>
      <c r="Z6816" s="500"/>
      <c r="AA6816" s="500"/>
      <c r="AB6816" s="500"/>
      <c r="AC6816" s="500"/>
      <c r="AD6816" s="500"/>
      <c r="AE6816" s="500"/>
      <c r="AF6816" s="500"/>
      <c r="AG6816" s="500"/>
      <c r="AH6816" s="500"/>
      <c r="AI6816" s="500"/>
      <c r="AJ6816" s="500"/>
      <c r="AK6816" s="500"/>
      <c r="AL6816" s="500"/>
      <c r="AM6816" s="500"/>
      <c r="AN6816" s="500"/>
      <c r="AO6816" s="500"/>
      <c r="AP6816" s="500"/>
    </row>
    <row r="6817" spans="1:42" ht="16.5" customHeight="1">
      <c r="A6817" s="439"/>
      <c r="B6817" s="439"/>
      <c r="C6817" s="439"/>
      <c r="D6817" s="439"/>
      <c r="E6817" s="439"/>
      <c r="F6817" s="439"/>
      <c r="G6817" s="451" t="s">
        <v>3406</v>
      </c>
      <c r="Z6817" s="500"/>
      <c r="AA6817" s="500"/>
      <c r="AB6817" s="500"/>
      <c r="AC6817" s="500"/>
      <c r="AD6817" s="500"/>
      <c r="AE6817" s="500"/>
      <c r="AF6817" s="500"/>
      <c r="AG6817" s="500"/>
      <c r="AH6817" s="500"/>
      <c r="AI6817" s="500"/>
      <c r="AJ6817" s="500"/>
      <c r="AK6817" s="500"/>
      <c r="AL6817" s="500"/>
      <c r="AM6817" s="500"/>
      <c r="AN6817" s="500"/>
      <c r="AO6817" s="500"/>
      <c r="AP6817" s="500"/>
    </row>
    <row r="6818" spans="1:42" ht="16.5" customHeight="1">
      <c r="A6818" s="434"/>
      <c r="B6818" s="437" t="str">
        <f>" L = "&amp;Z6818&amp;" , V = "&amp;AD6818&amp;" , t = "&amp;AH6818&amp;"  , T = "&amp;AL6818&amp;"-"&amp;AN6818&amp;""</f>
        <v xml:space="preserve"> L = 800 , V = 2500 , t = 2  , T = 480-30</v>
      </c>
      <c r="C6818" s="439"/>
      <c r="D6818" s="439"/>
      <c r="E6818" s="439"/>
      <c r="F6818" s="439"/>
      <c r="G6818" s="451" t="s">
        <v>4096</v>
      </c>
      <c r="Z6818" s="515">
        <v>800</v>
      </c>
      <c r="AA6818" s="501" t="s">
        <v>3418</v>
      </c>
      <c r="AB6818" s="512">
        <f>Z6818</f>
        <v>800</v>
      </c>
      <c r="AC6818" s="514" t="s">
        <v>3427</v>
      </c>
      <c r="AD6818" s="515">
        <v>2500</v>
      </c>
      <c r="AE6818" s="501" t="s">
        <v>3418</v>
      </c>
      <c r="AF6818" s="512">
        <f>AD6818</f>
        <v>2500</v>
      </c>
      <c r="AG6818" s="514" t="s">
        <v>3427</v>
      </c>
      <c r="AH6818" s="515">
        <v>2</v>
      </c>
      <c r="AI6818" s="501" t="s">
        <v>3418</v>
      </c>
      <c r="AJ6818" s="512">
        <f>AH6818</f>
        <v>2</v>
      </c>
      <c r="AK6818" s="514" t="s">
        <v>3427</v>
      </c>
      <c r="AL6818" s="515">
        <v>480</v>
      </c>
      <c r="AM6818" s="501" t="s">
        <v>3474</v>
      </c>
      <c r="AN6818" s="515">
        <v>30</v>
      </c>
      <c r="AO6818" s="501" t="s">
        <v>3418</v>
      </c>
      <c r="AP6818" s="512">
        <f>AL6818-AN6818</f>
        <v>450</v>
      </c>
    </row>
    <row r="6819" spans="1:42" ht="16.5" customHeight="1">
      <c r="A6819" s="439"/>
      <c r="B6819" s="439"/>
      <c r="C6819" s="439"/>
      <c r="D6819" s="439"/>
      <c r="E6819" s="439"/>
      <c r="F6819" s="439"/>
      <c r="G6819" s="451" t="s">
        <v>3406</v>
      </c>
      <c r="Z6819" s="500"/>
      <c r="AA6819" s="500"/>
      <c r="AB6819" s="500"/>
      <c r="AC6819" s="500"/>
      <c r="AD6819" s="500"/>
      <c r="AE6819" s="500"/>
      <c r="AF6819" s="500"/>
      <c r="AG6819" s="500"/>
      <c r="AH6819" s="500"/>
      <c r="AI6819" s="500"/>
      <c r="AJ6819" s="500"/>
      <c r="AK6819" s="500"/>
      <c r="AL6819" s="500"/>
      <c r="AM6819" s="500"/>
      <c r="AN6819" s="500"/>
      <c r="AO6819" s="500"/>
      <c r="AP6819" s="500"/>
    </row>
    <row r="6820" spans="1:42" ht="16.5" customHeight="1">
      <c r="A6820" s="439"/>
      <c r="B6820" s="439"/>
      <c r="C6820" s="439"/>
      <c r="D6820" s="439"/>
      <c r="E6820" s="439"/>
      <c r="F6820" s="439"/>
      <c r="G6820" s="451" t="s">
        <v>3406</v>
      </c>
      <c r="Z6820" s="500"/>
      <c r="AA6820" s="500"/>
      <c r="AB6820" s="500"/>
      <c r="AC6820" s="500"/>
      <c r="AD6820" s="500"/>
      <c r="AE6820" s="500"/>
      <c r="AF6820" s="500"/>
      <c r="AG6820" s="500"/>
      <c r="AH6820" s="500"/>
      <c r="AI6820" s="500"/>
      <c r="AJ6820" s="500"/>
      <c r="AK6820" s="500"/>
      <c r="AL6820" s="500"/>
      <c r="AM6820" s="500"/>
      <c r="AN6820" s="500"/>
      <c r="AO6820" s="500"/>
      <c r="AP6820" s="500"/>
    </row>
    <row r="6821" spans="1:42" ht="16.5" customHeight="1">
      <c r="A6821" s="439"/>
      <c r="B6821" s="439"/>
      <c r="C6821" s="439"/>
      <c r="D6821" s="439"/>
      <c r="E6821" s="439"/>
      <c r="F6821" s="439"/>
      <c r="G6821" s="451" t="s">
        <v>3406</v>
      </c>
      <c r="Z6821" s="500"/>
      <c r="AA6821" s="500"/>
      <c r="AB6821" s="500"/>
      <c r="AC6821" s="500"/>
      <c r="AD6821" s="500"/>
      <c r="AE6821" s="500"/>
      <c r="AF6821" s="500"/>
      <c r="AG6821" s="500"/>
      <c r="AH6821" s="500"/>
      <c r="AI6821" s="500"/>
      <c r="AJ6821" s="500"/>
      <c r="AK6821" s="500"/>
      <c r="AL6821" s="500"/>
      <c r="AM6821" s="500"/>
      <c r="AN6821" s="500"/>
      <c r="AO6821" s="500"/>
      <c r="AP6821" s="500"/>
    </row>
    <row r="6822" spans="1:42" ht="16.5" customHeight="1">
      <c r="A6822" s="434"/>
      <c r="B6822" s="437" t="str">
        <f>" N = V*T /( "&amp;AD6822&amp;"*L+V*"&amp;AJ6822&amp;" ) = "&amp;AM6822&amp;" 회/일 "</f>
        <v xml:space="preserve"> N = V*T /( 120*L+V*2 ) = 11.14 회/일 </v>
      </c>
      <c r="C6822" s="439"/>
      <c r="D6822" s="439"/>
      <c r="E6822" s="439"/>
      <c r="F6822" s="439"/>
      <c r="G6822" s="451" t="s">
        <v>3989</v>
      </c>
      <c r="Z6822" s="512">
        <f>AF6818</f>
        <v>2500</v>
      </c>
      <c r="AA6822" s="501" t="s">
        <v>3368</v>
      </c>
      <c r="AB6822" s="512">
        <f>AP6818</f>
        <v>450</v>
      </c>
      <c r="AC6822" s="501" t="s">
        <v>3463</v>
      </c>
      <c r="AD6822" s="515">
        <v>120</v>
      </c>
      <c r="AE6822" s="501" t="s">
        <v>3368</v>
      </c>
      <c r="AF6822" s="512">
        <f>AB6818</f>
        <v>800</v>
      </c>
      <c r="AG6822" s="501" t="s">
        <v>3468</v>
      </c>
      <c r="AH6822" s="512">
        <f>AF6818</f>
        <v>2500</v>
      </c>
      <c r="AI6822" s="501" t="s">
        <v>3368</v>
      </c>
      <c r="AJ6822" s="515">
        <v>2</v>
      </c>
      <c r="AK6822" s="501" t="s">
        <v>3464</v>
      </c>
      <c r="AL6822" s="501" t="s">
        <v>3418</v>
      </c>
      <c r="AM6822" s="512" t="str">
        <f>TEXT(ROUND(AF6818*AP6818/(AD6822*AB6818+AF6818*AJ6822),2),"#,0.00")</f>
        <v>11.14</v>
      </c>
      <c r="AN6822" s="500"/>
      <c r="AO6822" s="500"/>
      <c r="AP6822" s="500"/>
    </row>
    <row r="6823" spans="1:42" ht="16.5" customHeight="1">
      <c r="A6823" s="439"/>
      <c r="B6823" s="439"/>
      <c r="C6823" s="439"/>
      <c r="D6823" s="439"/>
      <c r="E6823" s="439"/>
      <c r="F6823" s="439"/>
      <c r="G6823" s="451" t="s">
        <v>3406</v>
      </c>
      <c r="Z6823" s="500"/>
      <c r="AA6823" s="500"/>
      <c r="AB6823" s="500"/>
      <c r="AC6823" s="500"/>
      <c r="AD6823" s="500"/>
      <c r="AE6823" s="500"/>
      <c r="AF6823" s="500"/>
      <c r="AG6823" s="500"/>
      <c r="AH6823" s="500"/>
      <c r="AI6823" s="500"/>
      <c r="AJ6823" s="500"/>
      <c r="AK6823" s="500"/>
      <c r="AL6823" s="500"/>
      <c r="AM6823" s="500"/>
      <c r="AN6823" s="500"/>
      <c r="AO6823" s="500"/>
      <c r="AP6823" s="500"/>
    </row>
    <row r="6824" spans="1:42" ht="16.5" customHeight="1">
      <c r="A6824" s="439"/>
      <c r="B6824" s="439"/>
      <c r="C6824" s="439"/>
      <c r="D6824" s="439"/>
      <c r="E6824" s="439"/>
      <c r="F6824" s="439"/>
      <c r="G6824" s="451" t="s">
        <v>3406</v>
      </c>
      <c r="Z6824" s="500"/>
      <c r="AA6824" s="500"/>
      <c r="AB6824" s="500"/>
      <c r="AC6824" s="500"/>
      <c r="AD6824" s="500"/>
      <c r="AE6824" s="500"/>
      <c r="AF6824" s="500"/>
      <c r="AG6824" s="500"/>
      <c r="AH6824" s="500"/>
      <c r="AI6824" s="500"/>
      <c r="AJ6824" s="500"/>
      <c r="AK6824" s="500"/>
      <c r="AL6824" s="500"/>
      <c r="AM6824" s="500"/>
      <c r="AN6824" s="500"/>
      <c r="AO6824" s="500"/>
      <c r="AP6824" s="500"/>
    </row>
    <row r="6825" spans="1:42" ht="16.5" customHeight="1">
      <c r="A6825" s="439"/>
      <c r="B6825" s="439"/>
      <c r="C6825" s="439"/>
      <c r="D6825" s="439"/>
      <c r="E6825" s="439"/>
      <c r="F6825" s="439"/>
      <c r="G6825" s="451" t="s">
        <v>3406</v>
      </c>
      <c r="Z6825" s="500"/>
      <c r="AA6825" s="500"/>
      <c r="AB6825" s="500"/>
      <c r="AC6825" s="500"/>
      <c r="AD6825" s="500"/>
      <c r="AE6825" s="500"/>
      <c r="AF6825" s="500"/>
      <c r="AG6825" s="500"/>
      <c r="AH6825" s="500"/>
      <c r="AI6825" s="500"/>
      <c r="AJ6825" s="500"/>
      <c r="AK6825" s="500"/>
      <c r="AL6825" s="500"/>
      <c r="AM6825" s="500"/>
      <c r="AN6825" s="500"/>
      <c r="AO6825" s="500"/>
      <c r="AP6825" s="500"/>
    </row>
    <row r="6826" spans="1:42" ht="16.5" customHeight="1">
      <c r="A6826" s="434"/>
      <c r="B6826" s="437" t="str">
        <f>" Q = N*"&amp;AB6826&amp;" ㎏ = "&amp;AD6826&amp;"  kg/일 "</f>
        <v xml:space="preserve"> Q = N*25 ㎏ = 278.50  kg/일 </v>
      </c>
      <c r="C6826" s="439"/>
      <c r="D6826" s="439"/>
      <c r="E6826" s="439"/>
      <c r="F6826" s="439"/>
      <c r="G6826" s="451" t="s">
        <v>3990</v>
      </c>
      <c r="Z6826" s="512" t="str">
        <f>AM6822</f>
        <v>11.14</v>
      </c>
      <c r="AA6826" s="501" t="s">
        <v>3368</v>
      </c>
      <c r="AB6826" s="515">
        <v>25</v>
      </c>
      <c r="AC6826" s="501" t="s">
        <v>3418</v>
      </c>
      <c r="AD6826" s="512" t="str">
        <f>TEXT(ROUND(AM6822*AB6826,2),"#,0.00")</f>
        <v>278.50</v>
      </c>
      <c r="AE6826" s="500"/>
      <c r="AF6826" s="500"/>
      <c r="AG6826" s="500"/>
      <c r="AH6826" s="500"/>
      <c r="AI6826" s="500"/>
      <c r="AJ6826" s="500"/>
      <c r="AK6826" s="500"/>
      <c r="AL6826" s="500"/>
      <c r="AM6826" s="500"/>
      <c r="AN6826" s="500"/>
      <c r="AO6826" s="500"/>
      <c r="AP6826" s="500"/>
    </row>
    <row r="6827" spans="1:42" ht="16.5" customHeight="1">
      <c r="A6827" s="439"/>
      <c r="B6827" s="439"/>
      <c r="C6827" s="439"/>
      <c r="D6827" s="439"/>
      <c r="E6827" s="439"/>
      <c r="F6827" s="439"/>
      <c r="G6827" s="451" t="s">
        <v>3406</v>
      </c>
      <c r="Z6827" s="500"/>
      <c r="AA6827" s="500"/>
      <c r="AB6827" s="500"/>
      <c r="AC6827" s="500"/>
      <c r="AD6827" s="500"/>
      <c r="AE6827" s="500"/>
      <c r="AF6827" s="500"/>
      <c r="AG6827" s="500"/>
      <c r="AH6827" s="500"/>
      <c r="AI6827" s="500"/>
      <c r="AJ6827" s="500"/>
      <c r="AK6827" s="500"/>
      <c r="AL6827" s="500"/>
      <c r="AM6827" s="500"/>
      <c r="AN6827" s="500"/>
      <c r="AO6827" s="500"/>
      <c r="AP6827" s="500"/>
    </row>
    <row r="6828" spans="1:42" ht="16.5" customHeight="1">
      <c r="A6828" s="439"/>
      <c r="B6828" s="439"/>
      <c r="C6828" s="439"/>
      <c r="D6828" s="439"/>
      <c r="E6828" s="439"/>
      <c r="F6828" s="439"/>
      <c r="G6828" s="451" t="s">
        <v>3406</v>
      </c>
      <c r="Z6828" s="500"/>
      <c r="AA6828" s="500"/>
      <c r="AB6828" s="500"/>
      <c r="AC6828" s="500"/>
      <c r="AD6828" s="500"/>
      <c r="AE6828" s="500"/>
      <c r="AF6828" s="500"/>
      <c r="AG6828" s="500"/>
      <c r="AH6828" s="500"/>
      <c r="AI6828" s="500"/>
      <c r="AJ6828" s="500"/>
      <c r="AK6828" s="500"/>
      <c r="AL6828" s="500"/>
      <c r="AM6828" s="500"/>
      <c r="AN6828" s="500"/>
      <c r="AO6828" s="500"/>
      <c r="AP6828" s="500"/>
    </row>
    <row r="6829" spans="1:42" ht="16.5" customHeight="1">
      <c r="A6829" s="439"/>
      <c r="B6829" s="439"/>
      <c r="C6829" s="439"/>
      <c r="D6829" s="439"/>
      <c r="E6829" s="439"/>
      <c r="F6829" s="439"/>
      <c r="G6829" s="451" t="s">
        <v>3406</v>
      </c>
      <c r="Z6829" s="500"/>
      <c r="AA6829" s="500"/>
      <c r="AB6829" s="500"/>
      <c r="AC6829" s="500"/>
      <c r="AD6829" s="500"/>
      <c r="AE6829" s="500"/>
      <c r="AF6829" s="500"/>
      <c r="AG6829" s="500"/>
      <c r="AH6829" s="500"/>
      <c r="AI6829" s="500"/>
      <c r="AJ6829" s="500"/>
      <c r="AK6829" s="500"/>
      <c r="AL6829" s="500"/>
      <c r="AM6829" s="500"/>
      <c r="AN6829" s="500"/>
      <c r="AO6829" s="500"/>
      <c r="AP6829" s="500"/>
    </row>
    <row r="6830" spans="1:42" ht="16.5" customHeight="1">
      <c r="A6830" s="434"/>
      <c r="B6830" s="437" t="str">
        <f>" k = "&amp;Z6830&amp;" kg /Q"</f>
        <v xml:space="preserve"> k = 1000 kg /Q</v>
      </c>
      <c r="C6830" s="439"/>
      <c r="D6830" s="439"/>
      <c r="E6830" s="439"/>
      <c r="F6830" s="439"/>
      <c r="G6830" s="451" t="s">
        <v>3991</v>
      </c>
      <c r="Z6830" s="515">
        <v>1000</v>
      </c>
      <c r="AA6830" s="501" t="s">
        <v>3428</v>
      </c>
      <c r="AB6830" s="512" t="str">
        <f>AD6826</f>
        <v>278.50</v>
      </c>
      <c r="AC6830" s="501" t="s">
        <v>3418</v>
      </c>
      <c r="AD6830" s="512">
        <f>ROUND(Z6830/AD6826,13)</f>
        <v>3.5906642728904998</v>
      </c>
      <c r="AE6830" s="500"/>
      <c r="AF6830" s="500"/>
      <c r="AG6830" s="500"/>
      <c r="AH6830" s="500"/>
      <c r="AI6830" s="500"/>
      <c r="AJ6830" s="500"/>
      <c r="AK6830" s="500"/>
      <c r="AL6830" s="500"/>
      <c r="AM6830" s="500"/>
      <c r="AN6830" s="500"/>
      <c r="AO6830" s="500"/>
      <c r="AP6830" s="500"/>
    </row>
    <row r="6831" spans="1:42" ht="16.5" customHeight="1">
      <c r="A6831" s="439"/>
      <c r="B6831" s="439"/>
      <c r="C6831" s="439"/>
      <c r="D6831" s="439"/>
      <c r="E6831" s="439"/>
      <c r="F6831" s="439"/>
      <c r="G6831" s="451" t="s">
        <v>3406</v>
      </c>
      <c r="Z6831" s="500"/>
      <c r="AA6831" s="500"/>
      <c r="AB6831" s="500"/>
      <c r="AC6831" s="500"/>
      <c r="AD6831" s="500"/>
      <c r="AE6831" s="500"/>
      <c r="AF6831" s="500"/>
      <c r="AG6831" s="500"/>
      <c r="AH6831" s="500"/>
      <c r="AI6831" s="500"/>
      <c r="AJ6831" s="500"/>
      <c r="AK6831" s="500"/>
      <c r="AL6831" s="500"/>
      <c r="AM6831" s="500"/>
      <c r="AN6831" s="500"/>
      <c r="AO6831" s="500"/>
      <c r="AP6831" s="500"/>
    </row>
    <row r="6832" spans="1:42" ht="16.5" customHeight="1">
      <c r="A6832" s="439"/>
      <c r="B6832" s="439"/>
      <c r="C6832" s="439"/>
      <c r="D6832" s="439"/>
      <c r="E6832" s="439"/>
      <c r="F6832" s="439"/>
      <c r="G6832" s="451" t="s">
        <v>3406</v>
      </c>
      <c r="Z6832" s="500"/>
      <c r="AA6832" s="500"/>
      <c r="AB6832" s="500"/>
      <c r="AC6832" s="500"/>
      <c r="AD6832" s="500"/>
      <c r="AE6832" s="500"/>
      <c r="AF6832" s="500"/>
      <c r="AG6832" s="500"/>
      <c r="AH6832" s="500"/>
      <c r="AI6832" s="500"/>
      <c r="AJ6832" s="500"/>
      <c r="AK6832" s="500"/>
      <c r="AL6832" s="500"/>
      <c r="AM6832" s="500"/>
      <c r="AN6832" s="500"/>
      <c r="AO6832" s="500"/>
      <c r="AP6832" s="500"/>
    </row>
    <row r="6833" spans="1:42" ht="16.5" customHeight="1">
      <c r="A6833" s="439"/>
      <c r="B6833" s="439"/>
      <c r="C6833" s="439"/>
      <c r="D6833" s="439"/>
      <c r="E6833" s="439"/>
      <c r="F6833" s="439"/>
      <c r="G6833" s="451" t="s">
        <v>3406</v>
      </c>
      <c r="Z6833" s="500"/>
      <c r="AA6833" s="500"/>
      <c r="AB6833" s="500"/>
      <c r="AC6833" s="500"/>
      <c r="AD6833" s="500"/>
      <c r="AE6833" s="500"/>
      <c r="AF6833" s="500"/>
      <c r="AG6833" s="500"/>
      <c r="AH6833" s="500"/>
      <c r="AI6833" s="500"/>
      <c r="AJ6833" s="500"/>
      <c r="AK6833" s="500"/>
      <c r="AL6833" s="500"/>
      <c r="AM6833" s="500"/>
      <c r="AN6833" s="500"/>
      <c r="AO6833" s="500"/>
      <c r="AP6833" s="500"/>
    </row>
    <row r="6834" spans="1:42" ht="16.5" customHeight="1">
      <c r="A6834" s="434" t="s">
        <v>3992</v>
      </c>
      <c r="B6834" s="505" t="str">
        <f>" 인    부: "&amp;TEXT(I6834,"#,##0"&amp;IF(I6834&lt;&gt;INT(I6834),".###",""))&amp;"*k = "&amp;TEXT(C6834,"#,##0.0")&amp;" 원 "</f>
        <v xml:space="preserve"> 인    부: 172,068*k = 617,838.4 원 </v>
      </c>
      <c r="C6834" s="506">
        <f>E6834+D6834+F6834</f>
        <v>617838.4</v>
      </c>
      <c r="D6834" s="506">
        <f>IF(H6834=0,0,ROUNDDOWN(J6834*H6834,1))</f>
        <v>617838.4</v>
      </c>
      <c r="E6834" s="506">
        <f>IF(H6834=0,0,ROUNDDOWN(K6834*H6834,1))</f>
        <v>0</v>
      </c>
      <c r="F6834" s="506">
        <f>IF(H6834=0,0,ROUNDDOWN(L6834*H6834,1))</f>
        <v>0</v>
      </c>
      <c r="G6834" s="451" t="s">
        <v>3993</v>
      </c>
      <c r="H6834" s="507">
        <f>ROUNDUP(AC6834,14-LEN(ABS(INT(AC6834))))</f>
        <v>3.5906642728904998</v>
      </c>
      <c r="I6834" s="508">
        <f>K6834+J6834+L6834</f>
        <v>172068</v>
      </c>
      <c r="J6834" s="509">
        <f>노무비목록표!E10</f>
        <v>172068</v>
      </c>
      <c r="M6834" s="501" t="s">
        <v>2363</v>
      </c>
      <c r="N6834" s="501" t="s">
        <v>3994</v>
      </c>
      <c r="X6834" s="510" t="str">
        <f>노무비목록표!B10&amp;" / "&amp;노무비목록표!C10</f>
        <v xml:space="preserve">보통인부 / </v>
      </c>
      <c r="Y6834" s="433" t="str">
        <f ca="1">HYPERLINK("#"&amp;노무비목록표!G2&amp;"!A"&amp;ROW(노무비목록표!A10),"L00017 →")</f>
        <v>L00017 →</v>
      </c>
      <c r="Z6834" s="501" t="s">
        <v>3500</v>
      </c>
      <c r="AA6834" s="512">
        <f>AD6830</f>
        <v>3.5906642728904998</v>
      </c>
      <c r="AB6834" s="501" t="s">
        <v>3418</v>
      </c>
      <c r="AC6834" s="512">
        <f>1*AD6830</f>
        <v>3.5906642728904998</v>
      </c>
      <c r="AD6834" s="500"/>
      <c r="AE6834" s="500"/>
      <c r="AF6834" s="500"/>
      <c r="AG6834" s="500"/>
      <c r="AH6834" s="500"/>
      <c r="AI6834" s="500"/>
      <c r="AJ6834" s="500"/>
      <c r="AK6834" s="500"/>
      <c r="AL6834" s="500"/>
      <c r="AM6834" s="500"/>
      <c r="AN6834" s="500"/>
      <c r="AO6834" s="500"/>
      <c r="AP6834" s="500"/>
    </row>
    <row r="6835" spans="1:42" ht="16.5" customHeight="1">
      <c r="A6835" s="439"/>
      <c r="B6835" s="439"/>
      <c r="C6835" s="439"/>
      <c r="D6835" s="439"/>
      <c r="E6835" s="439"/>
      <c r="F6835" s="439"/>
      <c r="G6835" s="451" t="s">
        <v>3406</v>
      </c>
      <c r="Z6835" s="500"/>
      <c r="AA6835" s="500"/>
      <c r="AB6835" s="500"/>
      <c r="AC6835" s="500"/>
      <c r="AD6835" s="500"/>
      <c r="AE6835" s="500"/>
      <c r="AF6835" s="500"/>
      <c r="AG6835" s="500"/>
      <c r="AH6835" s="500"/>
      <c r="AI6835" s="500"/>
      <c r="AJ6835" s="500"/>
      <c r="AK6835" s="500"/>
      <c r="AL6835" s="500"/>
      <c r="AM6835" s="500"/>
      <c r="AN6835" s="500"/>
      <c r="AO6835" s="500"/>
      <c r="AP6835" s="500"/>
    </row>
    <row r="6836" spans="1:42" ht="16.5" customHeight="1">
      <c r="A6836" s="439"/>
      <c r="B6836" s="439"/>
      <c r="C6836" s="439"/>
      <c r="D6836" s="439"/>
      <c r="E6836" s="439"/>
      <c r="F6836" s="439"/>
      <c r="G6836" s="451" t="s">
        <v>3406</v>
      </c>
      <c r="Z6836" s="500"/>
      <c r="AA6836" s="500"/>
      <c r="AB6836" s="500"/>
      <c r="AC6836" s="500"/>
      <c r="AD6836" s="500"/>
      <c r="AE6836" s="500"/>
      <c r="AF6836" s="500"/>
      <c r="AG6836" s="500"/>
      <c r="AH6836" s="500"/>
      <c r="AI6836" s="500"/>
      <c r="AJ6836" s="500"/>
      <c r="AK6836" s="500"/>
      <c r="AL6836" s="500"/>
      <c r="AM6836" s="500"/>
      <c r="AN6836" s="500"/>
      <c r="AO6836" s="500"/>
      <c r="AP6836" s="500"/>
    </row>
    <row r="6837" spans="1:42" ht="16.5" customHeight="1">
      <c r="A6837" s="439"/>
      <c r="B6837" s="439"/>
      <c r="C6837" s="439"/>
      <c r="D6837" s="439"/>
      <c r="E6837" s="439"/>
      <c r="F6837" s="439"/>
      <c r="G6837" s="451" t="s">
        <v>3406</v>
      </c>
      <c r="Z6837" s="500"/>
      <c r="AA6837" s="500"/>
      <c r="AB6837" s="500"/>
      <c r="AC6837" s="500"/>
      <c r="AD6837" s="500"/>
      <c r="AE6837" s="500"/>
      <c r="AF6837" s="500"/>
      <c r="AG6837" s="500"/>
      <c r="AH6837" s="500"/>
      <c r="AI6837" s="500"/>
      <c r="AJ6837" s="500"/>
      <c r="AK6837" s="500"/>
      <c r="AL6837" s="500"/>
      <c r="AM6837" s="500"/>
      <c r="AN6837" s="500"/>
      <c r="AO6837" s="500"/>
      <c r="AP6837" s="500"/>
    </row>
    <row r="6838" spans="1:42" ht="16.5" customHeight="1">
      <c r="A6838" s="439"/>
      <c r="B6838" s="439"/>
      <c r="C6838" s="439"/>
      <c r="D6838" s="439"/>
      <c r="E6838" s="439"/>
      <c r="F6838" s="439"/>
      <c r="G6838" s="451" t="s">
        <v>3406</v>
      </c>
      <c r="Z6838" s="500"/>
      <c r="AA6838" s="500"/>
      <c r="AB6838" s="500"/>
      <c r="AC6838" s="500"/>
      <c r="AD6838" s="500"/>
      <c r="AE6838" s="500"/>
      <c r="AF6838" s="500"/>
      <c r="AG6838" s="500"/>
      <c r="AH6838" s="500"/>
      <c r="AI6838" s="500"/>
      <c r="AJ6838" s="500"/>
      <c r="AK6838" s="500"/>
      <c r="AL6838" s="500"/>
      <c r="AM6838" s="500"/>
      <c r="AN6838" s="500"/>
      <c r="AO6838" s="500"/>
      <c r="AP6838" s="500"/>
    </row>
    <row r="6839" spans="1:42" ht="16.5" customHeight="1">
      <c r="A6839" s="434"/>
      <c r="B6839" s="437" t="s">
        <v>3995</v>
      </c>
      <c r="C6839" s="516">
        <f>E6839+D6839+F6839</f>
        <v>617838.4</v>
      </c>
      <c r="D6839" s="516">
        <f>SUMIF(N6807:N6838,M6839,D6807:D6838)</f>
        <v>617838.4</v>
      </c>
      <c r="E6839" s="516">
        <f>SUMIF(N6807:N6838,M6839,E6807:E6838)</f>
        <v>0</v>
      </c>
      <c r="F6839" s="516">
        <f>SUMIF(N6807:N6838,M6839,F6807:F6838)</f>
        <v>0</v>
      </c>
      <c r="G6839" s="451" t="s">
        <v>3996</v>
      </c>
      <c r="M6839" s="501" t="s">
        <v>3994</v>
      </c>
      <c r="Z6839" s="500"/>
      <c r="AA6839" s="500"/>
      <c r="AB6839" s="500"/>
      <c r="AC6839" s="500"/>
      <c r="AD6839" s="500"/>
      <c r="AE6839" s="500"/>
      <c r="AF6839" s="500"/>
      <c r="AG6839" s="500"/>
      <c r="AH6839" s="500"/>
      <c r="AI6839" s="500"/>
      <c r="AJ6839" s="500"/>
      <c r="AK6839" s="500"/>
      <c r="AL6839" s="500"/>
      <c r="AM6839" s="500"/>
      <c r="AN6839" s="500"/>
      <c r="AO6839" s="500"/>
      <c r="AP6839" s="500"/>
    </row>
    <row r="6840" spans="1:42" ht="16.5" customHeight="1">
      <c r="A6840" s="439"/>
      <c r="B6840" s="439"/>
      <c r="C6840" s="517"/>
      <c r="D6840" s="517"/>
      <c r="E6840" s="517"/>
      <c r="F6840" s="517"/>
      <c r="G6840" s="451" t="s">
        <v>3406</v>
      </c>
      <c r="Z6840" s="500"/>
      <c r="AA6840" s="500"/>
      <c r="AB6840" s="500"/>
      <c r="AC6840" s="500"/>
      <c r="AD6840" s="500"/>
      <c r="AE6840" s="500"/>
      <c r="AF6840" s="500"/>
      <c r="AG6840" s="500"/>
      <c r="AH6840" s="500"/>
      <c r="AI6840" s="500"/>
      <c r="AJ6840" s="500"/>
      <c r="AK6840" s="500"/>
      <c r="AL6840" s="500"/>
      <c r="AM6840" s="500"/>
      <c r="AN6840" s="500"/>
      <c r="AO6840" s="500"/>
      <c r="AP6840" s="500"/>
    </row>
    <row r="6841" spans="1:42" ht="16.5" customHeight="1">
      <c r="A6841" s="439"/>
      <c r="B6841" s="439"/>
      <c r="C6841" s="439"/>
      <c r="D6841" s="439"/>
      <c r="E6841" s="439"/>
      <c r="F6841" s="439"/>
      <c r="G6841" s="451" t="s">
        <v>3406</v>
      </c>
      <c r="Z6841" s="500"/>
      <c r="AA6841" s="500"/>
      <c r="AB6841" s="500"/>
      <c r="AC6841" s="500"/>
      <c r="AD6841" s="500"/>
      <c r="AE6841" s="500"/>
      <c r="AF6841" s="500"/>
      <c r="AG6841" s="500"/>
      <c r="AH6841" s="500"/>
      <c r="AI6841" s="500"/>
      <c r="AJ6841" s="500"/>
      <c r="AK6841" s="500"/>
      <c r="AL6841" s="500"/>
      <c r="AM6841" s="500"/>
      <c r="AN6841" s="500"/>
      <c r="AO6841" s="500"/>
      <c r="AP6841" s="500"/>
    </row>
    <row r="6842" spans="1:42" ht="16.5" customHeight="1">
      <c r="A6842" s="434" t="s">
        <v>3997</v>
      </c>
      <c r="B6842" s="505" t="str">
        <f>" 경비로 적용 : "&amp;TEXT(I6842,"#,##0"&amp;IF(I6842&lt;&gt;INT(I6842),".###",""))&amp;"  = "&amp;TEXT(C6842,"#,##0.0")&amp;""</f>
        <v xml:space="preserve"> 경비로 적용 : 617,838.4  = 617,838.4</v>
      </c>
      <c r="C6842" s="506">
        <f>E6842+D6842+F6842</f>
        <v>617838.4</v>
      </c>
      <c r="D6842" s="506">
        <f>IF(H6842=0,0,ROUNDDOWN(J6842*H6842,1))</f>
        <v>0</v>
      </c>
      <c r="E6842" s="506">
        <f>IF(H6842=0,0,ROUNDDOWN(K6842*H6842,1))</f>
        <v>0</v>
      </c>
      <c r="F6842" s="506">
        <f>IF(H6842=0,0,ROUNDDOWN(L6842*H6842,1))</f>
        <v>617838.4</v>
      </c>
      <c r="G6842" s="451" t="s">
        <v>3998</v>
      </c>
      <c r="H6842" s="507">
        <f>ROUNDUP(AB6842,14-LEN(ABS(INT(AB6842))))</f>
        <v>1</v>
      </c>
      <c r="I6842" s="508">
        <f>K6842+J6842+L6842</f>
        <v>617838.4</v>
      </c>
      <c r="J6842" s="456">
        <v>0</v>
      </c>
      <c r="K6842" s="456">
        <v>0</v>
      </c>
      <c r="L6842" s="518">
        <v>617838.4</v>
      </c>
      <c r="M6842" s="501" t="s">
        <v>3999</v>
      </c>
      <c r="N6842" s="501" t="s">
        <v>2354</v>
      </c>
      <c r="Z6842" s="501" t="s">
        <v>4000</v>
      </c>
      <c r="AA6842" s="501" t="s">
        <v>3418</v>
      </c>
      <c r="AB6842" s="512">
        <f>1</f>
        <v>1</v>
      </c>
      <c r="AC6842" s="500"/>
      <c r="AD6842" s="500"/>
      <c r="AE6842" s="500"/>
      <c r="AF6842" s="500"/>
      <c r="AG6842" s="500"/>
      <c r="AH6842" s="500"/>
      <c r="AI6842" s="500"/>
      <c r="AJ6842" s="500"/>
      <c r="AK6842" s="500"/>
      <c r="AL6842" s="500"/>
      <c r="AM6842" s="500"/>
      <c r="AN6842" s="500"/>
      <c r="AO6842" s="500"/>
      <c r="AP6842" s="500"/>
    </row>
    <row r="6843" spans="1:42" ht="16.5" customHeight="1">
      <c r="A6843" s="439"/>
      <c r="B6843" s="439"/>
      <c r="C6843" s="439"/>
      <c r="D6843" s="439"/>
      <c r="E6843" s="439"/>
      <c r="F6843" s="439"/>
      <c r="Z6843" s="500"/>
      <c r="AA6843" s="500"/>
      <c r="AB6843" s="500"/>
      <c r="AC6843" s="500"/>
      <c r="AD6843" s="500"/>
      <c r="AE6843" s="500"/>
      <c r="AF6843" s="500"/>
      <c r="AG6843" s="500"/>
      <c r="AH6843" s="500"/>
      <c r="AI6843" s="500"/>
      <c r="AJ6843" s="500"/>
      <c r="AK6843" s="500"/>
      <c r="AL6843" s="500"/>
      <c r="AM6843" s="500"/>
      <c r="AN6843" s="500"/>
      <c r="AO6843" s="500"/>
      <c r="AP6843" s="500"/>
    </row>
    <row r="6844" spans="1:42" ht="16.5" customHeight="1">
      <c r="A6844" s="439"/>
      <c r="B6844" s="439"/>
      <c r="C6844" s="439"/>
      <c r="D6844" s="439"/>
      <c r="E6844" s="439"/>
      <c r="F6844" s="439"/>
      <c r="Z6844" s="500"/>
      <c r="AA6844" s="500"/>
      <c r="AB6844" s="500"/>
      <c r="AC6844" s="500"/>
      <c r="AD6844" s="500"/>
      <c r="AE6844" s="500"/>
      <c r="AF6844" s="500"/>
      <c r="AG6844" s="500"/>
      <c r="AH6844" s="500"/>
      <c r="AI6844" s="500"/>
      <c r="AJ6844" s="500"/>
      <c r="AK6844" s="500"/>
      <c r="AL6844" s="500"/>
      <c r="AM6844" s="500"/>
      <c r="AN6844" s="500"/>
      <c r="AO6844" s="500"/>
      <c r="AP6844" s="500"/>
    </row>
    <row r="6845" spans="1:42" ht="16.5" customHeight="1">
      <c r="A6845" s="439"/>
      <c r="B6845" s="439"/>
      <c r="C6845" s="439"/>
      <c r="D6845" s="439"/>
      <c r="E6845" s="439"/>
      <c r="F6845" s="439"/>
      <c r="Z6845" s="500"/>
      <c r="AA6845" s="500"/>
      <c r="AB6845" s="500"/>
      <c r="AC6845" s="500"/>
      <c r="AD6845" s="500"/>
      <c r="AE6845" s="500"/>
      <c r="AF6845" s="500"/>
      <c r="AG6845" s="500"/>
      <c r="AH6845" s="500"/>
      <c r="AI6845" s="500"/>
      <c r="AJ6845" s="500"/>
      <c r="AK6845" s="500"/>
      <c r="AL6845" s="500"/>
      <c r="AM6845" s="500"/>
      <c r="AN6845" s="500"/>
      <c r="AO6845" s="500"/>
      <c r="AP6845" s="500"/>
    </row>
    <row r="6846" spans="1:42" ht="16.5" customHeight="1">
      <c r="A6846" s="439"/>
      <c r="B6846" s="439"/>
      <c r="C6846" s="439"/>
      <c r="D6846" s="439"/>
      <c r="E6846" s="439"/>
      <c r="F6846" s="439"/>
      <c r="Z6846" s="500"/>
      <c r="AA6846" s="500"/>
      <c r="AB6846" s="500"/>
      <c r="AC6846" s="500"/>
      <c r="AD6846" s="500"/>
      <c r="AE6846" s="500"/>
      <c r="AF6846" s="500"/>
      <c r="AG6846" s="500"/>
      <c r="AH6846" s="500"/>
      <c r="AI6846" s="500"/>
      <c r="AJ6846" s="500"/>
      <c r="AK6846" s="500"/>
      <c r="AL6846" s="500"/>
      <c r="AM6846" s="500"/>
      <c r="AN6846" s="500"/>
      <c r="AO6846" s="500"/>
      <c r="AP6846" s="500"/>
    </row>
    <row r="6847" spans="1:42" ht="16.5" customHeight="1">
      <c r="A6847" s="439"/>
      <c r="B6847" s="439"/>
      <c r="C6847" s="439"/>
      <c r="D6847" s="439"/>
      <c r="E6847" s="439"/>
      <c r="F6847" s="439"/>
      <c r="Z6847" s="500"/>
      <c r="AA6847" s="500"/>
      <c r="AB6847" s="500"/>
      <c r="AC6847" s="500"/>
      <c r="AD6847" s="500"/>
      <c r="AE6847" s="500"/>
      <c r="AF6847" s="500"/>
      <c r="AG6847" s="500"/>
      <c r="AH6847" s="500"/>
      <c r="AI6847" s="500"/>
      <c r="AJ6847" s="500"/>
      <c r="AK6847" s="500"/>
      <c r="AL6847" s="500"/>
      <c r="AM6847" s="500"/>
      <c r="AN6847" s="500"/>
      <c r="AO6847" s="500"/>
      <c r="AP6847" s="500"/>
    </row>
    <row r="6848" spans="1:42" ht="16.5" customHeight="1">
      <c r="A6848" s="439"/>
      <c r="B6848" s="439"/>
      <c r="C6848" s="439"/>
      <c r="D6848" s="439"/>
      <c r="E6848" s="439"/>
      <c r="F6848" s="439"/>
      <c r="Z6848" s="500"/>
      <c r="AA6848" s="500"/>
      <c r="AB6848" s="500"/>
      <c r="AC6848" s="500"/>
      <c r="AD6848" s="500"/>
      <c r="AE6848" s="500"/>
      <c r="AF6848" s="500"/>
      <c r="AG6848" s="500"/>
      <c r="AH6848" s="500"/>
      <c r="AI6848" s="500"/>
      <c r="AJ6848" s="500"/>
      <c r="AK6848" s="500"/>
      <c r="AL6848" s="500"/>
      <c r="AM6848" s="500"/>
      <c r="AN6848" s="500"/>
      <c r="AO6848" s="500"/>
      <c r="AP6848" s="500"/>
    </row>
    <row r="6849" spans="1:42" ht="16.5" customHeight="1">
      <c r="A6849" s="439"/>
      <c r="B6849" s="439"/>
      <c r="C6849" s="439"/>
      <c r="D6849" s="439"/>
      <c r="E6849" s="439"/>
      <c r="F6849" s="439"/>
      <c r="Z6849" s="500"/>
      <c r="AA6849" s="500"/>
      <c r="AB6849" s="500"/>
      <c r="AC6849" s="500"/>
      <c r="AD6849" s="500"/>
      <c r="AE6849" s="500"/>
      <c r="AF6849" s="500"/>
      <c r="AG6849" s="500"/>
      <c r="AH6849" s="500"/>
      <c r="AI6849" s="500"/>
      <c r="AJ6849" s="500"/>
      <c r="AK6849" s="500"/>
      <c r="AL6849" s="500"/>
      <c r="AM6849" s="500"/>
      <c r="AN6849" s="500"/>
      <c r="AO6849" s="500"/>
      <c r="AP6849" s="500"/>
    </row>
    <row r="6850" spans="1:42" ht="16.5" customHeight="1">
      <c r="A6850" s="439"/>
      <c r="B6850" s="439"/>
      <c r="C6850" s="439"/>
      <c r="D6850" s="439"/>
      <c r="E6850" s="439"/>
      <c r="F6850" s="439"/>
      <c r="Z6850" s="500"/>
      <c r="AA6850" s="500"/>
      <c r="AB6850" s="500"/>
      <c r="AC6850" s="500"/>
      <c r="AD6850" s="500"/>
      <c r="AE6850" s="500"/>
      <c r="AF6850" s="500"/>
      <c r="AG6850" s="500"/>
      <c r="AH6850" s="500"/>
      <c r="AI6850" s="500"/>
      <c r="AJ6850" s="500"/>
      <c r="AK6850" s="500"/>
      <c r="AL6850" s="500"/>
      <c r="AM6850" s="500"/>
      <c r="AN6850" s="500"/>
      <c r="AO6850" s="500"/>
      <c r="AP6850" s="500"/>
    </row>
    <row r="6851" spans="1:42" ht="16.5" customHeight="1">
      <c r="A6851" s="439"/>
      <c r="B6851" s="439"/>
      <c r="C6851" s="439"/>
      <c r="D6851" s="439"/>
      <c r="E6851" s="439"/>
      <c r="F6851" s="439"/>
      <c r="Z6851" s="500"/>
      <c r="AA6851" s="500"/>
      <c r="AB6851" s="500"/>
      <c r="AC6851" s="500"/>
      <c r="AD6851" s="500"/>
      <c r="AE6851" s="500"/>
      <c r="AF6851" s="500"/>
      <c r="AG6851" s="500"/>
      <c r="AH6851" s="500"/>
      <c r="AI6851" s="500"/>
      <c r="AJ6851" s="500"/>
      <c r="AK6851" s="500"/>
      <c r="AL6851" s="500"/>
      <c r="AM6851" s="500"/>
      <c r="AN6851" s="500"/>
      <c r="AO6851" s="500"/>
      <c r="AP6851" s="500"/>
    </row>
    <row r="6852" spans="1:42" ht="16.5" customHeight="1">
      <c r="A6852" s="439"/>
      <c r="B6852" s="439"/>
      <c r="C6852" s="439"/>
      <c r="D6852" s="439"/>
      <c r="E6852" s="439"/>
      <c r="F6852" s="439"/>
      <c r="Z6852" s="500"/>
      <c r="AA6852" s="500"/>
      <c r="AB6852" s="500"/>
      <c r="AC6852" s="500"/>
      <c r="AD6852" s="500"/>
      <c r="AE6852" s="500"/>
      <c r="AF6852" s="500"/>
      <c r="AG6852" s="500"/>
      <c r="AH6852" s="500"/>
      <c r="AI6852" s="500"/>
      <c r="AJ6852" s="500"/>
      <c r="AK6852" s="500"/>
      <c r="AL6852" s="500"/>
      <c r="AM6852" s="500"/>
      <c r="AN6852" s="500"/>
      <c r="AO6852" s="500"/>
      <c r="AP6852" s="500"/>
    </row>
    <row r="6853" spans="1:42" ht="16.5" customHeight="1">
      <c r="A6853" s="497"/>
      <c r="B6853" s="497"/>
      <c r="C6853" s="497"/>
      <c r="D6853" s="497"/>
      <c r="E6853" s="497"/>
      <c r="F6853" s="497"/>
      <c r="Z6853" s="500"/>
      <c r="AA6853" s="500"/>
      <c r="AB6853" s="500"/>
      <c r="AC6853" s="500"/>
      <c r="AD6853" s="500"/>
      <c r="AE6853" s="500"/>
      <c r="AF6853" s="500"/>
      <c r="AG6853" s="500"/>
      <c r="AH6853" s="500"/>
      <c r="AI6853" s="500"/>
      <c r="AJ6853" s="500"/>
      <c r="AK6853" s="500"/>
      <c r="AL6853" s="500"/>
      <c r="AM6853" s="500"/>
      <c r="AN6853" s="500"/>
      <c r="AO6853" s="500"/>
      <c r="AP6853" s="500"/>
    </row>
    <row r="6854" spans="1:42" ht="16.5" customHeight="1">
      <c r="A6854" s="616" t="s">
        <v>3487</v>
      </c>
      <c r="B6854" s="605"/>
      <c r="C6854" s="446">
        <f>E6854+D6854+F6854</f>
        <v>617838</v>
      </c>
      <c r="D6854" s="453">
        <f>ROUNDDOWN(SUMIF(N6807:N6842,M6854,D6807:D6842),0)</f>
        <v>0</v>
      </c>
      <c r="E6854" s="454">
        <f>ROUNDDOWN(SUMIF(N6807:N6842,M6854,E6807:E6842),0)</f>
        <v>0</v>
      </c>
      <c r="F6854" s="446">
        <f>ROUNDDOWN(SUMIF(N6807:N6842,M6854,F6807:F6842),0)</f>
        <v>617838</v>
      </c>
      <c r="M6854" s="501" t="s">
        <v>2354</v>
      </c>
      <c r="Z6854" s="500"/>
      <c r="AA6854" s="500"/>
      <c r="AB6854" s="500"/>
      <c r="AC6854" s="500"/>
      <c r="AD6854" s="500"/>
      <c r="AE6854" s="500"/>
      <c r="AF6854" s="500"/>
      <c r="AG6854" s="500"/>
      <c r="AH6854" s="500"/>
      <c r="AI6854" s="500"/>
      <c r="AJ6854" s="500"/>
      <c r="AK6854" s="500"/>
      <c r="AL6854" s="500"/>
      <c r="AM6854" s="500"/>
      <c r="AN6854" s="500"/>
      <c r="AO6854" s="500"/>
      <c r="AP6854" s="500"/>
    </row>
    <row r="6855" spans="1:42" ht="16.5" customHeight="1">
      <c r="A6855" s="502"/>
      <c r="B6855" s="503" t="s">
        <v>2193</v>
      </c>
      <c r="C6855" s="615">
        <f>C6904</f>
        <v>654873</v>
      </c>
      <c r="D6855" s="615">
        <f>D6904</f>
        <v>0</v>
      </c>
      <c r="E6855" s="615">
        <f>E6904</f>
        <v>0</v>
      </c>
      <c r="F6855" s="615">
        <f>F6904</f>
        <v>654873</v>
      </c>
      <c r="G6855" s="486" t="str">
        <f>HYPERLINK("#G"&amp;ROW(G6892),"_x0005_`BDCOD|D01194_x0007_`POSS|"&amp;ROW(G6857)&amp;"_x0007_`POSE|"&amp;ROW(G6892)&amp;"_x0007_`")</f>
        <v>_x0005_`BDCOD|D01194_x0007_`POSS|6857_x0007_`POSE|6892_x0007_`</v>
      </c>
      <c r="Z6855" s="500"/>
      <c r="AA6855" s="500"/>
      <c r="AB6855" s="500"/>
      <c r="AC6855" s="500"/>
      <c r="AD6855" s="500"/>
      <c r="AE6855" s="500"/>
      <c r="AF6855" s="500"/>
      <c r="AG6855" s="500"/>
      <c r="AH6855" s="500"/>
      <c r="AI6855" s="500"/>
      <c r="AJ6855" s="500"/>
      <c r="AK6855" s="500"/>
      <c r="AL6855" s="500"/>
      <c r="AM6855" s="500"/>
      <c r="AN6855" s="500"/>
      <c r="AO6855" s="500"/>
      <c r="AP6855" s="500"/>
    </row>
    <row r="6856" spans="1:42" ht="16.5" customHeight="1">
      <c r="A6856" s="485"/>
      <c r="B6856" s="503" t="s">
        <v>4097</v>
      </c>
      <c r="C6856" s="593"/>
      <c r="D6856" s="593"/>
      <c r="E6856" s="593"/>
      <c r="F6856" s="593"/>
      <c r="M6856" s="501" t="s">
        <v>2193</v>
      </c>
      <c r="Z6856" s="500"/>
      <c r="AA6856" s="500"/>
      <c r="AB6856" s="500"/>
      <c r="AC6856" s="500"/>
      <c r="AD6856" s="500"/>
      <c r="AE6856" s="500"/>
      <c r="AF6856" s="500"/>
      <c r="AG6856" s="500"/>
      <c r="AH6856" s="500"/>
      <c r="AI6856" s="500"/>
      <c r="AJ6856" s="500"/>
      <c r="AK6856" s="500"/>
      <c r="AL6856" s="500"/>
      <c r="AM6856" s="500"/>
      <c r="AN6856" s="500"/>
      <c r="AO6856" s="500"/>
      <c r="AP6856" s="500"/>
    </row>
    <row r="6857" spans="1:42" ht="16.5" customHeight="1">
      <c r="A6857" s="434"/>
      <c r="B6857" s="437" t="s">
        <v>3980</v>
      </c>
      <c r="C6857" s="504"/>
      <c r="D6857" s="504"/>
      <c r="E6857" s="504"/>
      <c r="F6857" s="504"/>
      <c r="G6857" s="451" t="s">
        <v>3981</v>
      </c>
      <c r="Z6857" s="500"/>
      <c r="AA6857" s="500"/>
      <c r="AB6857" s="500"/>
      <c r="AC6857" s="500"/>
      <c r="AD6857" s="500"/>
      <c r="AE6857" s="500"/>
      <c r="AF6857" s="500"/>
      <c r="AG6857" s="500"/>
      <c r="AH6857" s="500"/>
      <c r="AI6857" s="500"/>
      <c r="AJ6857" s="500"/>
      <c r="AK6857" s="500"/>
      <c r="AL6857" s="500"/>
      <c r="AM6857" s="500"/>
      <c r="AN6857" s="500"/>
      <c r="AO6857" s="500"/>
      <c r="AP6857" s="500"/>
    </row>
    <row r="6858" spans="1:42" ht="16.5" customHeight="1">
      <c r="A6858" s="439"/>
      <c r="B6858" s="439"/>
      <c r="C6858" s="439"/>
      <c r="D6858" s="439"/>
      <c r="E6858" s="439"/>
      <c r="F6858" s="439"/>
      <c r="G6858" s="451" t="s">
        <v>3406</v>
      </c>
      <c r="Z6858" s="500"/>
      <c r="AA6858" s="500"/>
      <c r="AB6858" s="500"/>
      <c r="AC6858" s="500"/>
      <c r="AD6858" s="500"/>
      <c r="AE6858" s="500"/>
      <c r="AF6858" s="500"/>
      <c r="AG6858" s="500"/>
      <c r="AH6858" s="500"/>
      <c r="AI6858" s="500"/>
      <c r="AJ6858" s="500"/>
      <c r="AK6858" s="500"/>
      <c r="AL6858" s="500"/>
      <c r="AM6858" s="500"/>
      <c r="AN6858" s="500"/>
      <c r="AO6858" s="500"/>
      <c r="AP6858" s="500"/>
    </row>
    <row r="6859" spans="1:42" ht="16.5" customHeight="1">
      <c r="A6859" s="434"/>
      <c r="B6859" s="437" t="s">
        <v>4098</v>
      </c>
      <c r="C6859" s="439"/>
      <c r="D6859" s="439"/>
      <c r="E6859" s="439"/>
      <c r="F6859" s="439"/>
      <c r="G6859" s="451" t="s">
        <v>4099</v>
      </c>
      <c r="Z6859" s="500"/>
      <c r="AA6859" s="500"/>
      <c r="AB6859" s="500"/>
      <c r="AC6859" s="500"/>
      <c r="AD6859" s="500"/>
      <c r="AE6859" s="500"/>
      <c r="AF6859" s="500"/>
      <c r="AG6859" s="500"/>
      <c r="AH6859" s="500"/>
      <c r="AI6859" s="500"/>
      <c r="AJ6859" s="500"/>
      <c r="AK6859" s="500"/>
      <c r="AL6859" s="500"/>
      <c r="AM6859" s="500"/>
      <c r="AN6859" s="500"/>
      <c r="AO6859" s="500"/>
      <c r="AP6859" s="500"/>
    </row>
    <row r="6860" spans="1:42" ht="16.5" customHeight="1">
      <c r="A6860" s="439"/>
      <c r="B6860" s="439"/>
      <c r="C6860" s="439"/>
      <c r="D6860" s="439"/>
      <c r="E6860" s="439"/>
      <c r="F6860" s="439"/>
      <c r="G6860" s="451" t="s">
        <v>3406</v>
      </c>
      <c r="Z6860" s="500"/>
      <c r="AA6860" s="500"/>
      <c r="AB6860" s="500"/>
      <c r="AC6860" s="500"/>
      <c r="AD6860" s="500"/>
      <c r="AE6860" s="500"/>
      <c r="AF6860" s="500"/>
      <c r="AG6860" s="500"/>
      <c r="AH6860" s="500"/>
      <c r="AI6860" s="500"/>
      <c r="AJ6860" s="500"/>
      <c r="AK6860" s="500"/>
      <c r="AL6860" s="500"/>
      <c r="AM6860" s="500"/>
      <c r="AN6860" s="500"/>
      <c r="AO6860" s="500"/>
      <c r="AP6860" s="500"/>
    </row>
    <row r="6861" spans="1:42" ht="16.5" customHeight="1">
      <c r="A6861" s="439"/>
      <c r="B6861" s="439"/>
      <c r="C6861" s="439"/>
      <c r="D6861" s="439"/>
      <c r="E6861" s="439"/>
      <c r="F6861" s="439"/>
      <c r="G6861" s="451" t="s">
        <v>3406</v>
      </c>
      <c r="Z6861" s="500"/>
      <c r="AA6861" s="500"/>
      <c r="AB6861" s="500"/>
      <c r="AC6861" s="500"/>
      <c r="AD6861" s="500"/>
      <c r="AE6861" s="500"/>
      <c r="AF6861" s="500"/>
      <c r="AG6861" s="500"/>
      <c r="AH6861" s="500"/>
      <c r="AI6861" s="500"/>
      <c r="AJ6861" s="500"/>
      <c r="AK6861" s="500"/>
      <c r="AL6861" s="500"/>
      <c r="AM6861" s="500"/>
      <c r="AN6861" s="500"/>
      <c r="AO6861" s="500"/>
      <c r="AP6861" s="500"/>
    </row>
    <row r="6862" spans="1:42" ht="16.5" customHeight="1">
      <c r="A6862" s="434"/>
      <c r="B6862" s="437" t="s">
        <v>3984</v>
      </c>
      <c r="C6862" s="439"/>
      <c r="D6862" s="439"/>
      <c r="E6862" s="439"/>
      <c r="F6862" s="439"/>
      <c r="G6862" s="451" t="s">
        <v>3985</v>
      </c>
      <c r="Z6862" s="500"/>
      <c r="AA6862" s="500"/>
      <c r="AB6862" s="500"/>
      <c r="AC6862" s="500"/>
      <c r="AD6862" s="500"/>
      <c r="AE6862" s="500"/>
      <c r="AF6862" s="500"/>
      <c r="AG6862" s="500"/>
      <c r="AH6862" s="500"/>
      <c r="AI6862" s="500"/>
      <c r="AJ6862" s="500"/>
      <c r="AK6862" s="500"/>
      <c r="AL6862" s="500"/>
      <c r="AM6862" s="500"/>
      <c r="AN6862" s="500"/>
      <c r="AO6862" s="500"/>
      <c r="AP6862" s="500"/>
    </row>
    <row r="6863" spans="1:42" ht="16.5" customHeight="1">
      <c r="A6863" s="439"/>
      <c r="B6863" s="439"/>
      <c r="C6863" s="439"/>
      <c r="D6863" s="439"/>
      <c r="E6863" s="439"/>
      <c r="F6863" s="439"/>
      <c r="G6863" s="451" t="s">
        <v>3406</v>
      </c>
      <c r="Z6863" s="500"/>
      <c r="AA6863" s="500"/>
      <c r="AB6863" s="500"/>
      <c r="AC6863" s="500"/>
      <c r="AD6863" s="500"/>
      <c r="AE6863" s="500"/>
      <c r="AF6863" s="500"/>
      <c r="AG6863" s="500"/>
      <c r="AH6863" s="500"/>
      <c r="AI6863" s="500"/>
      <c r="AJ6863" s="500"/>
      <c r="AK6863" s="500"/>
      <c r="AL6863" s="500"/>
      <c r="AM6863" s="500"/>
      <c r="AN6863" s="500"/>
      <c r="AO6863" s="500"/>
      <c r="AP6863" s="500"/>
    </row>
    <row r="6864" spans="1:42" ht="16.5" customHeight="1">
      <c r="A6864" s="439"/>
      <c r="B6864" s="439"/>
      <c r="C6864" s="439"/>
      <c r="D6864" s="439"/>
      <c r="E6864" s="439"/>
      <c r="F6864" s="439"/>
      <c r="G6864" s="451" t="s">
        <v>3406</v>
      </c>
      <c r="Z6864" s="500"/>
      <c r="AA6864" s="500"/>
      <c r="AB6864" s="500"/>
      <c r="AC6864" s="500"/>
      <c r="AD6864" s="500"/>
      <c r="AE6864" s="500"/>
      <c r="AF6864" s="500"/>
      <c r="AG6864" s="500"/>
      <c r="AH6864" s="500"/>
      <c r="AI6864" s="500"/>
      <c r="AJ6864" s="500"/>
      <c r="AK6864" s="500"/>
      <c r="AL6864" s="500"/>
      <c r="AM6864" s="500"/>
      <c r="AN6864" s="500"/>
      <c r="AO6864" s="500"/>
      <c r="AP6864" s="500"/>
    </row>
    <row r="6865" spans="1:42" ht="16.5" customHeight="1">
      <c r="A6865" s="434"/>
      <c r="B6865" s="437" t="s">
        <v>3986</v>
      </c>
      <c r="C6865" s="439"/>
      <c r="D6865" s="439"/>
      <c r="E6865" s="439"/>
      <c r="F6865" s="439"/>
      <c r="G6865" s="451" t="s">
        <v>3987</v>
      </c>
      <c r="Z6865" s="500"/>
      <c r="AA6865" s="500"/>
      <c r="AB6865" s="500"/>
      <c r="AC6865" s="500"/>
      <c r="AD6865" s="500"/>
      <c r="AE6865" s="500"/>
      <c r="AF6865" s="500"/>
      <c r="AG6865" s="500"/>
      <c r="AH6865" s="500"/>
      <c r="AI6865" s="500"/>
      <c r="AJ6865" s="500"/>
      <c r="AK6865" s="500"/>
      <c r="AL6865" s="500"/>
      <c r="AM6865" s="500"/>
      <c r="AN6865" s="500"/>
      <c r="AO6865" s="500"/>
      <c r="AP6865" s="500"/>
    </row>
    <row r="6866" spans="1:42" ht="16.5" customHeight="1">
      <c r="A6866" s="439"/>
      <c r="B6866" s="439"/>
      <c r="C6866" s="439"/>
      <c r="D6866" s="439"/>
      <c r="E6866" s="439"/>
      <c r="F6866" s="439"/>
      <c r="G6866" s="451" t="s">
        <v>3406</v>
      </c>
      <c r="Z6866" s="500"/>
      <c r="AA6866" s="500"/>
      <c r="AB6866" s="500"/>
      <c r="AC6866" s="500"/>
      <c r="AD6866" s="500"/>
      <c r="AE6866" s="500"/>
      <c r="AF6866" s="500"/>
      <c r="AG6866" s="500"/>
      <c r="AH6866" s="500"/>
      <c r="AI6866" s="500"/>
      <c r="AJ6866" s="500"/>
      <c r="AK6866" s="500"/>
      <c r="AL6866" s="500"/>
      <c r="AM6866" s="500"/>
      <c r="AN6866" s="500"/>
      <c r="AO6866" s="500"/>
      <c r="AP6866" s="500"/>
    </row>
    <row r="6867" spans="1:42" ht="16.5" customHeight="1">
      <c r="A6867" s="439"/>
      <c r="B6867" s="439"/>
      <c r="C6867" s="439"/>
      <c r="D6867" s="439"/>
      <c r="E6867" s="439"/>
      <c r="F6867" s="439"/>
      <c r="G6867" s="451" t="s">
        <v>3406</v>
      </c>
      <c r="Z6867" s="500"/>
      <c r="AA6867" s="500"/>
      <c r="AB6867" s="500"/>
      <c r="AC6867" s="500"/>
      <c r="AD6867" s="500"/>
      <c r="AE6867" s="500"/>
      <c r="AF6867" s="500"/>
      <c r="AG6867" s="500"/>
      <c r="AH6867" s="500"/>
      <c r="AI6867" s="500"/>
      <c r="AJ6867" s="500"/>
      <c r="AK6867" s="500"/>
      <c r="AL6867" s="500"/>
      <c r="AM6867" s="500"/>
      <c r="AN6867" s="500"/>
      <c r="AO6867" s="500"/>
      <c r="AP6867" s="500"/>
    </row>
    <row r="6868" spans="1:42" ht="16.5" customHeight="1">
      <c r="A6868" s="434"/>
      <c r="B6868" s="437" t="str">
        <f>" L = "&amp;Z6868&amp;" , V = "&amp;AD6868&amp;" , t = "&amp;AH6868&amp;"  , T = "&amp;AL6868&amp;"-"&amp;AN6868&amp;""</f>
        <v xml:space="preserve"> L = 850 , V = 2500 , t = 2  , T = 480-30</v>
      </c>
      <c r="C6868" s="439"/>
      <c r="D6868" s="439"/>
      <c r="E6868" s="439"/>
      <c r="F6868" s="439"/>
      <c r="G6868" s="451" t="s">
        <v>4100</v>
      </c>
      <c r="Z6868" s="515">
        <v>850</v>
      </c>
      <c r="AA6868" s="501" t="s">
        <v>3418</v>
      </c>
      <c r="AB6868" s="512">
        <f>Z6868</f>
        <v>850</v>
      </c>
      <c r="AC6868" s="514" t="s">
        <v>3427</v>
      </c>
      <c r="AD6868" s="515">
        <v>2500</v>
      </c>
      <c r="AE6868" s="501" t="s">
        <v>3418</v>
      </c>
      <c r="AF6868" s="512">
        <f>AD6868</f>
        <v>2500</v>
      </c>
      <c r="AG6868" s="514" t="s">
        <v>3427</v>
      </c>
      <c r="AH6868" s="515">
        <v>2</v>
      </c>
      <c r="AI6868" s="501" t="s">
        <v>3418</v>
      </c>
      <c r="AJ6868" s="512">
        <f>AH6868</f>
        <v>2</v>
      </c>
      <c r="AK6868" s="514" t="s">
        <v>3427</v>
      </c>
      <c r="AL6868" s="515">
        <v>480</v>
      </c>
      <c r="AM6868" s="501" t="s">
        <v>3474</v>
      </c>
      <c r="AN6868" s="515">
        <v>30</v>
      </c>
      <c r="AO6868" s="501" t="s">
        <v>3418</v>
      </c>
      <c r="AP6868" s="512">
        <f>AL6868-AN6868</f>
        <v>450</v>
      </c>
    </row>
    <row r="6869" spans="1:42" ht="16.5" customHeight="1">
      <c r="A6869" s="439"/>
      <c r="B6869" s="439"/>
      <c r="C6869" s="439"/>
      <c r="D6869" s="439"/>
      <c r="E6869" s="439"/>
      <c r="F6869" s="439"/>
      <c r="G6869" s="451" t="s">
        <v>3406</v>
      </c>
      <c r="Z6869" s="500"/>
      <c r="AA6869" s="500"/>
      <c r="AB6869" s="500"/>
      <c r="AC6869" s="500"/>
      <c r="AD6869" s="500"/>
      <c r="AE6869" s="500"/>
      <c r="AF6869" s="500"/>
      <c r="AG6869" s="500"/>
      <c r="AH6869" s="500"/>
      <c r="AI6869" s="500"/>
      <c r="AJ6869" s="500"/>
      <c r="AK6869" s="500"/>
      <c r="AL6869" s="500"/>
      <c r="AM6869" s="500"/>
      <c r="AN6869" s="500"/>
      <c r="AO6869" s="500"/>
      <c r="AP6869" s="500"/>
    </row>
    <row r="6870" spans="1:42" ht="16.5" customHeight="1">
      <c r="A6870" s="439"/>
      <c r="B6870" s="439"/>
      <c r="C6870" s="439"/>
      <c r="D6870" s="439"/>
      <c r="E6870" s="439"/>
      <c r="F6870" s="439"/>
      <c r="G6870" s="451" t="s">
        <v>3406</v>
      </c>
      <c r="Z6870" s="500"/>
      <c r="AA6870" s="500"/>
      <c r="AB6870" s="500"/>
      <c r="AC6870" s="500"/>
      <c r="AD6870" s="500"/>
      <c r="AE6870" s="500"/>
      <c r="AF6870" s="500"/>
      <c r="AG6870" s="500"/>
      <c r="AH6870" s="500"/>
      <c r="AI6870" s="500"/>
      <c r="AJ6870" s="500"/>
      <c r="AK6870" s="500"/>
      <c r="AL6870" s="500"/>
      <c r="AM6870" s="500"/>
      <c r="AN6870" s="500"/>
      <c r="AO6870" s="500"/>
      <c r="AP6870" s="500"/>
    </row>
    <row r="6871" spans="1:42" ht="16.5" customHeight="1">
      <c r="A6871" s="439"/>
      <c r="B6871" s="439"/>
      <c r="C6871" s="439"/>
      <c r="D6871" s="439"/>
      <c r="E6871" s="439"/>
      <c r="F6871" s="439"/>
      <c r="G6871" s="451" t="s">
        <v>3406</v>
      </c>
      <c r="Z6871" s="500"/>
      <c r="AA6871" s="500"/>
      <c r="AB6871" s="500"/>
      <c r="AC6871" s="500"/>
      <c r="AD6871" s="500"/>
      <c r="AE6871" s="500"/>
      <c r="AF6871" s="500"/>
      <c r="AG6871" s="500"/>
      <c r="AH6871" s="500"/>
      <c r="AI6871" s="500"/>
      <c r="AJ6871" s="500"/>
      <c r="AK6871" s="500"/>
      <c r="AL6871" s="500"/>
      <c r="AM6871" s="500"/>
      <c r="AN6871" s="500"/>
      <c r="AO6871" s="500"/>
      <c r="AP6871" s="500"/>
    </row>
    <row r="6872" spans="1:42" ht="16.5" customHeight="1">
      <c r="A6872" s="434"/>
      <c r="B6872" s="437" t="str">
        <f>" N = V*T /( "&amp;AD6872&amp;"*L+V*"&amp;AJ6872&amp;" ) = "&amp;AM6872&amp;" 회/일 "</f>
        <v xml:space="preserve"> N = V*T /( 120*L+V*2 ) = 10.51 회/일 </v>
      </c>
      <c r="C6872" s="439"/>
      <c r="D6872" s="439"/>
      <c r="E6872" s="439"/>
      <c r="F6872" s="439"/>
      <c r="G6872" s="451" t="s">
        <v>3989</v>
      </c>
      <c r="Z6872" s="512">
        <f>AF6868</f>
        <v>2500</v>
      </c>
      <c r="AA6872" s="501" t="s">
        <v>3368</v>
      </c>
      <c r="AB6872" s="512">
        <f>AP6868</f>
        <v>450</v>
      </c>
      <c r="AC6872" s="501" t="s">
        <v>3463</v>
      </c>
      <c r="AD6872" s="515">
        <v>120</v>
      </c>
      <c r="AE6872" s="501" t="s">
        <v>3368</v>
      </c>
      <c r="AF6872" s="512">
        <f>AB6868</f>
        <v>850</v>
      </c>
      <c r="AG6872" s="501" t="s">
        <v>3468</v>
      </c>
      <c r="AH6872" s="512">
        <f>AF6868</f>
        <v>2500</v>
      </c>
      <c r="AI6872" s="501" t="s">
        <v>3368</v>
      </c>
      <c r="AJ6872" s="515">
        <v>2</v>
      </c>
      <c r="AK6872" s="501" t="s">
        <v>3464</v>
      </c>
      <c r="AL6872" s="501" t="s">
        <v>3418</v>
      </c>
      <c r="AM6872" s="512" t="str">
        <f>TEXT(ROUND(AF6868*AP6868/(AD6872*AB6868+AF6868*AJ6872),2),"#,0.00")</f>
        <v>10.51</v>
      </c>
      <c r="AN6872" s="500"/>
      <c r="AO6872" s="500"/>
      <c r="AP6872" s="500"/>
    </row>
    <row r="6873" spans="1:42" ht="16.5" customHeight="1">
      <c r="A6873" s="439"/>
      <c r="B6873" s="439"/>
      <c r="C6873" s="439"/>
      <c r="D6873" s="439"/>
      <c r="E6873" s="439"/>
      <c r="F6873" s="439"/>
      <c r="G6873" s="451" t="s">
        <v>3406</v>
      </c>
      <c r="Z6873" s="500"/>
      <c r="AA6873" s="500"/>
      <c r="AB6873" s="500"/>
      <c r="AC6873" s="500"/>
      <c r="AD6873" s="500"/>
      <c r="AE6873" s="500"/>
      <c r="AF6873" s="500"/>
      <c r="AG6873" s="500"/>
      <c r="AH6873" s="500"/>
      <c r="AI6873" s="500"/>
      <c r="AJ6873" s="500"/>
      <c r="AK6873" s="500"/>
      <c r="AL6873" s="500"/>
      <c r="AM6873" s="500"/>
      <c r="AN6873" s="500"/>
      <c r="AO6873" s="500"/>
      <c r="AP6873" s="500"/>
    </row>
    <row r="6874" spans="1:42" ht="16.5" customHeight="1">
      <c r="A6874" s="439"/>
      <c r="B6874" s="439"/>
      <c r="C6874" s="439"/>
      <c r="D6874" s="439"/>
      <c r="E6874" s="439"/>
      <c r="F6874" s="439"/>
      <c r="G6874" s="451" t="s">
        <v>3406</v>
      </c>
      <c r="Z6874" s="500"/>
      <c r="AA6874" s="500"/>
      <c r="AB6874" s="500"/>
      <c r="AC6874" s="500"/>
      <c r="AD6874" s="500"/>
      <c r="AE6874" s="500"/>
      <c r="AF6874" s="500"/>
      <c r="AG6874" s="500"/>
      <c r="AH6874" s="500"/>
      <c r="AI6874" s="500"/>
      <c r="AJ6874" s="500"/>
      <c r="AK6874" s="500"/>
      <c r="AL6874" s="500"/>
      <c r="AM6874" s="500"/>
      <c r="AN6874" s="500"/>
      <c r="AO6874" s="500"/>
      <c r="AP6874" s="500"/>
    </row>
    <row r="6875" spans="1:42" ht="16.5" customHeight="1">
      <c r="A6875" s="439"/>
      <c r="B6875" s="439"/>
      <c r="C6875" s="439"/>
      <c r="D6875" s="439"/>
      <c r="E6875" s="439"/>
      <c r="F6875" s="439"/>
      <c r="G6875" s="451" t="s">
        <v>3406</v>
      </c>
      <c r="Z6875" s="500"/>
      <c r="AA6875" s="500"/>
      <c r="AB6875" s="500"/>
      <c r="AC6875" s="500"/>
      <c r="AD6875" s="500"/>
      <c r="AE6875" s="500"/>
      <c r="AF6875" s="500"/>
      <c r="AG6875" s="500"/>
      <c r="AH6875" s="500"/>
      <c r="AI6875" s="500"/>
      <c r="AJ6875" s="500"/>
      <c r="AK6875" s="500"/>
      <c r="AL6875" s="500"/>
      <c r="AM6875" s="500"/>
      <c r="AN6875" s="500"/>
      <c r="AO6875" s="500"/>
      <c r="AP6875" s="500"/>
    </row>
    <row r="6876" spans="1:42" ht="16.5" customHeight="1">
      <c r="A6876" s="434"/>
      <c r="B6876" s="437" t="str">
        <f>" Q = N*"&amp;AB6876&amp;" ㎏ = "&amp;AD6876&amp;"  kg/일 "</f>
        <v xml:space="preserve"> Q = N*25 ㎏ = 262.75  kg/일 </v>
      </c>
      <c r="C6876" s="439"/>
      <c r="D6876" s="439"/>
      <c r="E6876" s="439"/>
      <c r="F6876" s="439"/>
      <c r="G6876" s="451" t="s">
        <v>3990</v>
      </c>
      <c r="Z6876" s="512" t="str">
        <f>AM6872</f>
        <v>10.51</v>
      </c>
      <c r="AA6876" s="501" t="s">
        <v>3368</v>
      </c>
      <c r="AB6876" s="515">
        <v>25</v>
      </c>
      <c r="AC6876" s="501" t="s">
        <v>3418</v>
      </c>
      <c r="AD6876" s="512" t="str">
        <f>TEXT(ROUND(AM6872*AB6876,2),"#,0.00")</f>
        <v>262.75</v>
      </c>
      <c r="AE6876" s="500"/>
      <c r="AF6876" s="500"/>
      <c r="AG6876" s="500"/>
      <c r="AH6876" s="500"/>
      <c r="AI6876" s="500"/>
      <c r="AJ6876" s="500"/>
      <c r="AK6876" s="500"/>
      <c r="AL6876" s="500"/>
      <c r="AM6876" s="500"/>
      <c r="AN6876" s="500"/>
      <c r="AO6876" s="500"/>
      <c r="AP6876" s="500"/>
    </row>
    <row r="6877" spans="1:42" ht="16.5" customHeight="1">
      <c r="A6877" s="439"/>
      <c r="B6877" s="439"/>
      <c r="C6877" s="439"/>
      <c r="D6877" s="439"/>
      <c r="E6877" s="439"/>
      <c r="F6877" s="439"/>
      <c r="G6877" s="451" t="s">
        <v>3406</v>
      </c>
      <c r="Z6877" s="500"/>
      <c r="AA6877" s="500"/>
      <c r="AB6877" s="500"/>
      <c r="AC6877" s="500"/>
      <c r="AD6877" s="500"/>
      <c r="AE6877" s="500"/>
      <c r="AF6877" s="500"/>
      <c r="AG6877" s="500"/>
      <c r="AH6877" s="500"/>
      <c r="AI6877" s="500"/>
      <c r="AJ6877" s="500"/>
      <c r="AK6877" s="500"/>
      <c r="AL6877" s="500"/>
      <c r="AM6877" s="500"/>
      <c r="AN6877" s="500"/>
      <c r="AO6877" s="500"/>
      <c r="AP6877" s="500"/>
    </row>
    <row r="6878" spans="1:42" ht="16.5" customHeight="1">
      <c r="A6878" s="439"/>
      <c r="B6878" s="439"/>
      <c r="C6878" s="439"/>
      <c r="D6878" s="439"/>
      <c r="E6878" s="439"/>
      <c r="F6878" s="439"/>
      <c r="G6878" s="451" t="s">
        <v>3406</v>
      </c>
      <c r="Z6878" s="500"/>
      <c r="AA6878" s="500"/>
      <c r="AB6878" s="500"/>
      <c r="AC6878" s="500"/>
      <c r="AD6878" s="500"/>
      <c r="AE6878" s="500"/>
      <c r="AF6878" s="500"/>
      <c r="AG6878" s="500"/>
      <c r="AH6878" s="500"/>
      <c r="AI6878" s="500"/>
      <c r="AJ6878" s="500"/>
      <c r="AK6878" s="500"/>
      <c r="AL6878" s="500"/>
      <c r="AM6878" s="500"/>
      <c r="AN6878" s="500"/>
      <c r="AO6878" s="500"/>
      <c r="AP6878" s="500"/>
    </row>
    <row r="6879" spans="1:42" ht="16.5" customHeight="1">
      <c r="A6879" s="439"/>
      <c r="B6879" s="439"/>
      <c r="C6879" s="439"/>
      <c r="D6879" s="439"/>
      <c r="E6879" s="439"/>
      <c r="F6879" s="439"/>
      <c r="G6879" s="451" t="s">
        <v>3406</v>
      </c>
      <c r="Z6879" s="500"/>
      <c r="AA6879" s="500"/>
      <c r="AB6879" s="500"/>
      <c r="AC6879" s="500"/>
      <c r="AD6879" s="500"/>
      <c r="AE6879" s="500"/>
      <c r="AF6879" s="500"/>
      <c r="AG6879" s="500"/>
      <c r="AH6879" s="500"/>
      <c r="AI6879" s="500"/>
      <c r="AJ6879" s="500"/>
      <c r="AK6879" s="500"/>
      <c r="AL6879" s="500"/>
      <c r="AM6879" s="500"/>
      <c r="AN6879" s="500"/>
      <c r="AO6879" s="500"/>
      <c r="AP6879" s="500"/>
    </row>
    <row r="6880" spans="1:42" ht="16.5" customHeight="1">
      <c r="A6880" s="434"/>
      <c r="B6880" s="437" t="str">
        <f>" k = "&amp;Z6880&amp;" kg /Q"</f>
        <v xml:space="preserve"> k = 1000 kg /Q</v>
      </c>
      <c r="C6880" s="439"/>
      <c r="D6880" s="439"/>
      <c r="E6880" s="439"/>
      <c r="F6880" s="439"/>
      <c r="G6880" s="451" t="s">
        <v>3991</v>
      </c>
      <c r="Z6880" s="515">
        <v>1000</v>
      </c>
      <c r="AA6880" s="501" t="s">
        <v>3428</v>
      </c>
      <c r="AB6880" s="512" t="str">
        <f>AD6876</f>
        <v>262.75</v>
      </c>
      <c r="AC6880" s="501" t="s">
        <v>3418</v>
      </c>
      <c r="AD6880" s="512">
        <f>ROUND(Z6880/AD6876,13)</f>
        <v>3.8058991436727001</v>
      </c>
      <c r="AE6880" s="500"/>
      <c r="AF6880" s="500"/>
      <c r="AG6880" s="500"/>
      <c r="AH6880" s="500"/>
      <c r="AI6880" s="500"/>
      <c r="AJ6880" s="500"/>
      <c r="AK6880" s="500"/>
      <c r="AL6880" s="500"/>
      <c r="AM6880" s="500"/>
      <c r="AN6880" s="500"/>
      <c r="AO6880" s="500"/>
      <c r="AP6880" s="500"/>
    </row>
    <row r="6881" spans="1:42" ht="16.5" customHeight="1">
      <c r="A6881" s="439"/>
      <c r="B6881" s="439"/>
      <c r="C6881" s="439"/>
      <c r="D6881" s="439"/>
      <c r="E6881" s="439"/>
      <c r="F6881" s="439"/>
      <c r="G6881" s="451" t="s">
        <v>3406</v>
      </c>
      <c r="Z6881" s="500"/>
      <c r="AA6881" s="500"/>
      <c r="AB6881" s="500"/>
      <c r="AC6881" s="500"/>
      <c r="AD6881" s="500"/>
      <c r="AE6881" s="500"/>
      <c r="AF6881" s="500"/>
      <c r="AG6881" s="500"/>
      <c r="AH6881" s="500"/>
      <c r="AI6881" s="500"/>
      <c r="AJ6881" s="500"/>
      <c r="AK6881" s="500"/>
      <c r="AL6881" s="500"/>
      <c r="AM6881" s="500"/>
      <c r="AN6881" s="500"/>
      <c r="AO6881" s="500"/>
      <c r="AP6881" s="500"/>
    </row>
    <row r="6882" spans="1:42" ht="16.5" customHeight="1">
      <c r="A6882" s="439"/>
      <c r="B6882" s="439"/>
      <c r="C6882" s="439"/>
      <c r="D6882" s="439"/>
      <c r="E6882" s="439"/>
      <c r="F6882" s="439"/>
      <c r="G6882" s="451" t="s">
        <v>3406</v>
      </c>
      <c r="Z6882" s="500"/>
      <c r="AA6882" s="500"/>
      <c r="AB6882" s="500"/>
      <c r="AC6882" s="500"/>
      <c r="AD6882" s="500"/>
      <c r="AE6882" s="500"/>
      <c r="AF6882" s="500"/>
      <c r="AG6882" s="500"/>
      <c r="AH6882" s="500"/>
      <c r="AI6882" s="500"/>
      <c r="AJ6882" s="500"/>
      <c r="AK6882" s="500"/>
      <c r="AL6882" s="500"/>
      <c r="AM6882" s="500"/>
      <c r="AN6882" s="500"/>
      <c r="AO6882" s="500"/>
      <c r="AP6882" s="500"/>
    </row>
    <row r="6883" spans="1:42" ht="16.5" customHeight="1">
      <c r="A6883" s="439"/>
      <c r="B6883" s="439"/>
      <c r="C6883" s="439"/>
      <c r="D6883" s="439"/>
      <c r="E6883" s="439"/>
      <c r="F6883" s="439"/>
      <c r="G6883" s="451" t="s">
        <v>3406</v>
      </c>
      <c r="Z6883" s="500"/>
      <c r="AA6883" s="500"/>
      <c r="AB6883" s="500"/>
      <c r="AC6883" s="500"/>
      <c r="AD6883" s="500"/>
      <c r="AE6883" s="500"/>
      <c r="AF6883" s="500"/>
      <c r="AG6883" s="500"/>
      <c r="AH6883" s="500"/>
      <c r="AI6883" s="500"/>
      <c r="AJ6883" s="500"/>
      <c r="AK6883" s="500"/>
      <c r="AL6883" s="500"/>
      <c r="AM6883" s="500"/>
      <c r="AN6883" s="500"/>
      <c r="AO6883" s="500"/>
      <c r="AP6883" s="500"/>
    </row>
    <row r="6884" spans="1:42" ht="16.5" customHeight="1">
      <c r="A6884" s="434" t="s">
        <v>3992</v>
      </c>
      <c r="B6884" s="505" t="str">
        <f>" 인    부: "&amp;TEXT(I6884,"#,##0"&amp;IF(I6884&lt;&gt;INT(I6884),".###",""))&amp;"*k = "&amp;TEXT(C6884,"#,##0.0")&amp;" 원 "</f>
        <v xml:space="preserve"> 인    부: 172,068*k = 654,873.4 원 </v>
      </c>
      <c r="C6884" s="506">
        <f>E6884+D6884+F6884</f>
        <v>654873.4</v>
      </c>
      <c r="D6884" s="506">
        <f>IF(H6884=0,0,ROUNDDOWN(J6884*H6884,1))</f>
        <v>654873.4</v>
      </c>
      <c r="E6884" s="506">
        <f>IF(H6884=0,0,ROUNDDOWN(K6884*H6884,1))</f>
        <v>0</v>
      </c>
      <c r="F6884" s="506">
        <f>IF(H6884=0,0,ROUNDDOWN(L6884*H6884,1))</f>
        <v>0</v>
      </c>
      <c r="G6884" s="451" t="s">
        <v>3993</v>
      </c>
      <c r="H6884" s="507">
        <f>ROUNDUP(AC6884,14-LEN(ABS(INT(AC6884))))</f>
        <v>3.8058991436727001</v>
      </c>
      <c r="I6884" s="508">
        <f>K6884+J6884+L6884</f>
        <v>172068</v>
      </c>
      <c r="J6884" s="509">
        <f>노무비목록표!E10</f>
        <v>172068</v>
      </c>
      <c r="M6884" s="501" t="s">
        <v>2363</v>
      </c>
      <c r="N6884" s="501" t="s">
        <v>3994</v>
      </c>
      <c r="X6884" s="510" t="str">
        <f>노무비목록표!B10&amp;" / "&amp;노무비목록표!C10</f>
        <v xml:space="preserve">보통인부 / </v>
      </c>
      <c r="Y6884" s="433" t="str">
        <f ca="1">HYPERLINK("#"&amp;노무비목록표!G2&amp;"!A"&amp;ROW(노무비목록표!A10),"L00017 →")</f>
        <v>L00017 →</v>
      </c>
      <c r="Z6884" s="501" t="s">
        <v>3500</v>
      </c>
      <c r="AA6884" s="512">
        <f>AD6880</f>
        <v>3.8058991436727001</v>
      </c>
      <c r="AB6884" s="501" t="s">
        <v>3418</v>
      </c>
      <c r="AC6884" s="512">
        <f>1*AD6880</f>
        <v>3.8058991436727001</v>
      </c>
      <c r="AD6884" s="500"/>
      <c r="AE6884" s="500"/>
      <c r="AF6884" s="500"/>
      <c r="AG6884" s="500"/>
      <c r="AH6884" s="500"/>
      <c r="AI6884" s="500"/>
      <c r="AJ6884" s="500"/>
      <c r="AK6884" s="500"/>
      <c r="AL6884" s="500"/>
      <c r="AM6884" s="500"/>
      <c r="AN6884" s="500"/>
      <c r="AO6884" s="500"/>
      <c r="AP6884" s="500"/>
    </row>
    <row r="6885" spans="1:42" ht="16.5" customHeight="1">
      <c r="A6885" s="439"/>
      <c r="B6885" s="439"/>
      <c r="C6885" s="439"/>
      <c r="D6885" s="439"/>
      <c r="E6885" s="439"/>
      <c r="F6885" s="439"/>
      <c r="G6885" s="451" t="s">
        <v>3406</v>
      </c>
      <c r="Z6885" s="500"/>
      <c r="AA6885" s="500"/>
      <c r="AB6885" s="500"/>
      <c r="AC6885" s="500"/>
      <c r="AD6885" s="500"/>
      <c r="AE6885" s="500"/>
      <c r="AF6885" s="500"/>
      <c r="AG6885" s="500"/>
      <c r="AH6885" s="500"/>
      <c r="AI6885" s="500"/>
      <c r="AJ6885" s="500"/>
      <c r="AK6885" s="500"/>
      <c r="AL6885" s="500"/>
      <c r="AM6885" s="500"/>
      <c r="AN6885" s="500"/>
      <c r="AO6885" s="500"/>
      <c r="AP6885" s="500"/>
    </row>
    <row r="6886" spans="1:42" ht="16.5" customHeight="1">
      <c r="A6886" s="439"/>
      <c r="B6886" s="439"/>
      <c r="C6886" s="439"/>
      <c r="D6886" s="439"/>
      <c r="E6886" s="439"/>
      <c r="F6886" s="439"/>
      <c r="G6886" s="451" t="s">
        <v>3406</v>
      </c>
      <c r="Z6886" s="500"/>
      <c r="AA6886" s="500"/>
      <c r="AB6886" s="500"/>
      <c r="AC6886" s="500"/>
      <c r="AD6886" s="500"/>
      <c r="AE6886" s="500"/>
      <c r="AF6886" s="500"/>
      <c r="AG6886" s="500"/>
      <c r="AH6886" s="500"/>
      <c r="AI6886" s="500"/>
      <c r="AJ6886" s="500"/>
      <c r="AK6886" s="500"/>
      <c r="AL6886" s="500"/>
      <c r="AM6886" s="500"/>
      <c r="AN6886" s="500"/>
      <c r="AO6886" s="500"/>
      <c r="AP6886" s="500"/>
    </row>
    <row r="6887" spans="1:42" ht="16.5" customHeight="1">
      <c r="A6887" s="439"/>
      <c r="B6887" s="439"/>
      <c r="C6887" s="439"/>
      <c r="D6887" s="439"/>
      <c r="E6887" s="439"/>
      <c r="F6887" s="439"/>
      <c r="G6887" s="451" t="s">
        <v>3406</v>
      </c>
      <c r="Z6887" s="500"/>
      <c r="AA6887" s="500"/>
      <c r="AB6887" s="500"/>
      <c r="AC6887" s="500"/>
      <c r="AD6887" s="500"/>
      <c r="AE6887" s="500"/>
      <c r="AF6887" s="500"/>
      <c r="AG6887" s="500"/>
      <c r="AH6887" s="500"/>
      <c r="AI6887" s="500"/>
      <c r="AJ6887" s="500"/>
      <c r="AK6887" s="500"/>
      <c r="AL6887" s="500"/>
      <c r="AM6887" s="500"/>
      <c r="AN6887" s="500"/>
      <c r="AO6887" s="500"/>
      <c r="AP6887" s="500"/>
    </row>
    <row r="6888" spans="1:42" ht="16.5" customHeight="1">
      <c r="A6888" s="439"/>
      <c r="B6888" s="439"/>
      <c r="C6888" s="439"/>
      <c r="D6888" s="439"/>
      <c r="E6888" s="439"/>
      <c r="F6888" s="439"/>
      <c r="G6888" s="451" t="s">
        <v>3406</v>
      </c>
      <c r="Z6888" s="500"/>
      <c r="AA6888" s="500"/>
      <c r="AB6888" s="500"/>
      <c r="AC6888" s="500"/>
      <c r="AD6888" s="500"/>
      <c r="AE6888" s="500"/>
      <c r="AF6888" s="500"/>
      <c r="AG6888" s="500"/>
      <c r="AH6888" s="500"/>
      <c r="AI6888" s="500"/>
      <c r="AJ6888" s="500"/>
      <c r="AK6888" s="500"/>
      <c r="AL6888" s="500"/>
      <c r="AM6888" s="500"/>
      <c r="AN6888" s="500"/>
      <c r="AO6888" s="500"/>
      <c r="AP6888" s="500"/>
    </row>
    <row r="6889" spans="1:42" ht="16.5" customHeight="1">
      <c r="A6889" s="434"/>
      <c r="B6889" s="437" t="s">
        <v>3995</v>
      </c>
      <c r="C6889" s="516">
        <f>E6889+D6889+F6889</f>
        <v>654873.4</v>
      </c>
      <c r="D6889" s="516">
        <f>SUMIF(N6857:N6888,M6889,D6857:D6888)</f>
        <v>654873.4</v>
      </c>
      <c r="E6889" s="516">
        <f>SUMIF(N6857:N6888,M6889,E6857:E6888)</f>
        <v>0</v>
      </c>
      <c r="F6889" s="516">
        <f>SUMIF(N6857:N6888,M6889,F6857:F6888)</f>
        <v>0</v>
      </c>
      <c r="G6889" s="451" t="s">
        <v>3996</v>
      </c>
      <c r="M6889" s="501" t="s">
        <v>3994</v>
      </c>
      <c r="Z6889" s="500"/>
      <c r="AA6889" s="500"/>
      <c r="AB6889" s="500"/>
      <c r="AC6889" s="500"/>
      <c r="AD6889" s="500"/>
      <c r="AE6889" s="500"/>
      <c r="AF6889" s="500"/>
      <c r="AG6889" s="500"/>
      <c r="AH6889" s="500"/>
      <c r="AI6889" s="500"/>
      <c r="AJ6889" s="500"/>
      <c r="AK6889" s="500"/>
      <c r="AL6889" s="500"/>
      <c r="AM6889" s="500"/>
      <c r="AN6889" s="500"/>
      <c r="AO6889" s="500"/>
      <c r="AP6889" s="500"/>
    </row>
    <row r="6890" spans="1:42" ht="16.5" customHeight="1">
      <c r="A6890" s="439"/>
      <c r="B6890" s="439"/>
      <c r="C6890" s="517"/>
      <c r="D6890" s="517"/>
      <c r="E6890" s="517"/>
      <c r="F6890" s="517"/>
      <c r="G6890" s="451" t="s">
        <v>3406</v>
      </c>
      <c r="Z6890" s="500"/>
      <c r="AA6890" s="500"/>
      <c r="AB6890" s="500"/>
      <c r="AC6890" s="500"/>
      <c r="AD6890" s="500"/>
      <c r="AE6890" s="500"/>
      <c r="AF6890" s="500"/>
      <c r="AG6890" s="500"/>
      <c r="AH6890" s="500"/>
      <c r="AI6890" s="500"/>
      <c r="AJ6890" s="500"/>
      <c r="AK6890" s="500"/>
      <c r="AL6890" s="500"/>
      <c r="AM6890" s="500"/>
      <c r="AN6890" s="500"/>
      <c r="AO6890" s="500"/>
      <c r="AP6890" s="500"/>
    </row>
    <row r="6891" spans="1:42" ht="16.5" customHeight="1">
      <c r="A6891" s="439"/>
      <c r="B6891" s="439"/>
      <c r="C6891" s="439"/>
      <c r="D6891" s="439"/>
      <c r="E6891" s="439"/>
      <c r="F6891" s="439"/>
      <c r="G6891" s="451" t="s">
        <v>3406</v>
      </c>
      <c r="Z6891" s="500"/>
      <c r="AA6891" s="500"/>
      <c r="AB6891" s="500"/>
      <c r="AC6891" s="500"/>
      <c r="AD6891" s="500"/>
      <c r="AE6891" s="500"/>
      <c r="AF6891" s="500"/>
      <c r="AG6891" s="500"/>
      <c r="AH6891" s="500"/>
      <c r="AI6891" s="500"/>
      <c r="AJ6891" s="500"/>
      <c r="AK6891" s="500"/>
      <c r="AL6891" s="500"/>
      <c r="AM6891" s="500"/>
      <c r="AN6891" s="500"/>
      <c r="AO6891" s="500"/>
      <c r="AP6891" s="500"/>
    </row>
    <row r="6892" spans="1:42" ht="16.5" customHeight="1">
      <c r="A6892" s="434" t="s">
        <v>3997</v>
      </c>
      <c r="B6892" s="505" t="str">
        <f>" 경비로 적용 : "&amp;TEXT(I6892,"#,##0"&amp;IF(I6892&lt;&gt;INT(I6892),".###",""))&amp;"  = "&amp;TEXT(C6892,"#,##0.0")&amp;""</f>
        <v xml:space="preserve"> 경비로 적용 : 654,873.4  = 654,873.4</v>
      </c>
      <c r="C6892" s="506">
        <f>E6892+D6892+F6892</f>
        <v>654873.4</v>
      </c>
      <c r="D6892" s="506">
        <f>IF(H6892=0,0,ROUNDDOWN(J6892*H6892,1))</f>
        <v>0</v>
      </c>
      <c r="E6892" s="506">
        <f>IF(H6892=0,0,ROUNDDOWN(K6892*H6892,1))</f>
        <v>0</v>
      </c>
      <c r="F6892" s="506">
        <f>IF(H6892=0,0,ROUNDDOWN(L6892*H6892,1))</f>
        <v>654873.4</v>
      </c>
      <c r="G6892" s="451" t="s">
        <v>3998</v>
      </c>
      <c r="H6892" s="507">
        <f>ROUNDUP(AB6892,14-LEN(ABS(INT(AB6892))))</f>
        <v>1</v>
      </c>
      <c r="I6892" s="508">
        <f>K6892+J6892+L6892</f>
        <v>654873.4</v>
      </c>
      <c r="J6892" s="456">
        <v>0</v>
      </c>
      <c r="K6892" s="456">
        <v>0</v>
      </c>
      <c r="L6892" s="518">
        <v>654873.4</v>
      </c>
      <c r="M6892" s="501" t="s">
        <v>3999</v>
      </c>
      <c r="N6892" s="501" t="s">
        <v>2354</v>
      </c>
      <c r="Z6892" s="501" t="s">
        <v>4000</v>
      </c>
      <c r="AA6892" s="501" t="s">
        <v>3418</v>
      </c>
      <c r="AB6892" s="512">
        <f>1</f>
        <v>1</v>
      </c>
      <c r="AC6892" s="500"/>
      <c r="AD6892" s="500"/>
      <c r="AE6892" s="500"/>
      <c r="AF6892" s="500"/>
      <c r="AG6892" s="500"/>
      <c r="AH6892" s="500"/>
      <c r="AI6892" s="500"/>
      <c r="AJ6892" s="500"/>
      <c r="AK6892" s="500"/>
      <c r="AL6892" s="500"/>
      <c r="AM6892" s="500"/>
      <c r="AN6892" s="500"/>
      <c r="AO6892" s="500"/>
      <c r="AP6892" s="500"/>
    </row>
    <row r="6893" spans="1:42" ht="16.5" customHeight="1">
      <c r="A6893" s="439"/>
      <c r="B6893" s="439"/>
      <c r="C6893" s="439"/>
      <c r="D6893" s="439"/>
      <c r="E6893" s="439"/>
      <c r="F6893" s="439"/>
      <c r="Z6893" s="500"/>
      <c r="AA6893" s="500"/>
      <c r="AB6893" s="500"/>
      <c r="AC6893" s="500"/>
      <c r="AD6893" s="500"/>
      <c r="AE6893" s="500"/>
      <c r="AF6893" s="500"/>
      <c r="AG6893" s="500"/>
      <c r="AH6893" s="500"/>
      <c r="AI6893" s="500"/>
      <c r="AJ6893" s="500"/>
      <c r="AK6893" s="500"/>
      <c r="AL6893" s="500"/>
      <c r="AM6893" s="500"/>
      <c r="AN6893" s="500"/>
      <c r="AO6893" s="500"/>
      <c r="AP6893" s="500"/>
    </row>
    <row r="6894" spans="1:42" ht="16.5" customHeight="1">
      <c r="A6894" s="439"/>
      <c r="B6894" s="439"/>
      <c r="C6894" s="439"/>
      <c r="D6894" s="439"/>
      <c r="E6894" s="439"/>
      <c r="F6894" s="439"/>
      <c r="Z6894" s="500"/>
      <c r="AA6894" s="500"/>
      <c r="AB6894" s="500"/>
      <c r="AC6894" s="500"/>
      <c r="AD6894" s="500"/>
      <c r="AE6894" s="500"/>
      <c r="AF6894" s="500"/>
      <c r="AG6894" s="500"/>
      <c r="AH6894" s="500"/>
      <c r="AI6894" s="500"/>
      <c r="AJ6894" s="500"/>
      <c r="AK6894" s="500"/>
      <c r="AL6894" s="500"/>
      <c r="AM6894" s="500"/>
      <c r="AN6894" s="500"/>
      <c r="AO6894" s="500"/>
      <c r="AP6894" s="500"/>
    </row>
    <row r="6895" spans="1:42" ht="16.5" customHeight="1">
      <c r="A6895" s="439"/>
      <c r="B6895" s="439"/>
      <c r="C6895" s="439"/>
      <c r="D6895" s="439"/>
      <c r="E6895" s="439"/>
      <c r="F6895" s="439"/>
      <c r="Z6895" s="500"/>
      <c r="AA6895" s="500"/>
      <c r="AB6895" s="500"/>
      <c r="AC6895" s="500"/>
      <c r="AD6895" s="500"/>
      <c r="AE6895" s="500"/>
      <c r="AF6895" s="500"/>
      <c r="AG6895" s="500"/>
      <c r="AH6895" s="500"/>
      <c r="AI6895" s="500"/>
      <c r="AJ6895" s="500"/>
      <c r="AK6895" s="500"/>
      <c r="AL6895" s="500"/>
      <c r="AM6895" s="500"/>
      <c r="AN6895" s="500"/>
      <c r="AO6895" s="500"/>
      <c r="AP6895" s="500"/>
    </row>
    <row r="6896" spans="1:42" ht="16.5" customHeight="1">
      <c r="A6896" s="439"/>
      <c r="B6896" s="439"/>
      <c r="C6896" s="439"/>
      <c r="D6896" s="439"/>
      <c r="E6896" s="439"/>
      <c r="F6896" s="439"/>
      <c r="Z6896" s="500"/>
      <c r="AA6896" s="500"/>
      <c r="AB6896" s="500"/>
      <c r="AC6896" s="500"/>
      <c r="AD6896" s="500"/>
      <c r="AE6896" s="500"/>
      <c r="AF6896" s="500"/>
      <c r="AG6896" s="500"/>
      <c r="AH6896" s="500"/>
      <c r="AI6896" s="500"/>
      <c r="AJ6896" s="500"/>
      <c r="AK6896" s="500"/>
      <c r="AL6896" s="500"/>
      <c r="AM6896" s="500"/>
      <c r="AN6896" s="500"/>
      <c r="AO6896" s="500"/>
      <c r="AP6896" s="500"/>
    </row>
    <row r="6897" spans="1:42" ht="16.5" customHeight="1">
      <c r="A6897" s="439"/>
      <c r="B6897" s="439"/>
      <c r="C6897" s="439"/>
      <c r="D6897" s="439"/>
      <c r="E6897" s="439"/>
      <c r="F6897" s="439"/>
      <c r="Z6897" s="500"/>
      <c r="AA6897" s="500"/>
      <c r="AB6897" s="500"/>
      <c r="AC6897" s="500"/>
      <c r="AD6897" s="500"/>
      <c r="AE6897" s="500"/>
      <c r="AF6897" s="500"/>
      <c r="AG6897" s="500"/>
      <c r="AH6897" s="500"/>
      <c r="AI6897" s="500"/>
      <c r="AJ6897" s="500"/>
      <c r="AK6897" s="500"/>
      <c r="AL6897" s="500"/>
      <c r="AM6897" s="500"/>
      <c r="AN6897" s="500"/>
      <c r="AO6897" s="500"/>
      <c r="AP6897" s="500"/>
    </row>
    <row r="6898" spans="1:42" ht="16.5" customHeight="1">
      <c r="A6898" s="439"/>
      <c r="B6898" s="439"/>
      <c r="C6898" s="439"/>
      <c r="D6898" s="439"/>
      <c r="E6898" s="439"/>
      <c r="F6898" s="439"/>
      <c r="Z6898" s="500"/>
      <c r="AA6898" s="500"/>
      <c r="AB6898" s="500"/>
      <c r="AC6898" s="500"/>
      <c r="AD6898" s="500"/>
      <c r="AE6898" s="500"/>
      <c r="AF6898" s="500"/>
      <c r="AG6898" s="500"/>
      <c r="AH6898" s="500"/>
      <c r="AI6898" s="500"/>
      <c r="AJ6898" s="500"/>
      <c r="AK6898" s="500"/>
      <c r="AL6898" s="500"/>
      <c r="AM6898" s="500"/>
      <c r="AN6898" s="500"/>
      <c r="AO6898" s="500"/>
      <c r="AP6898" s="500"/>
    </row>
    <row r="6899" spans="1:42" ht="16.5" customHeight="1">
      <c r="A6899" s="439"/>
      <c r="B6899" s="439"/>
      <c r="C6899" s="439"/>
      <c r="D6899" s="439"/>
      <c r="E6899" s="439"/>
      <c r="F6899" s="439"/>
      <c r="Z6899" s="500"/>
      <c r="AA6899" s="500"/>
      <c r="AB6899" s="500"/>
      <c r="AC6899" s="500"/>
      <c r="AD6899" s="500"/>
      <c r="AE6899" s="500"/>
      <c r="AF6899" s="500"/>
      <c r="AG6899" s="500"/>
      <c r="AH6899" s="500"/>
      <c r="AI6899" s="500"/>
      <c r="AJ6899" s="500"/>
      <c r="AK6899" s="500"/>
      <c r="AL6899" s="500"/>
      <c r="AM6899" s="500"/>
      <c r="AN6899" s="500"/>
      <c r="AO6899" s="500"/>
      <c r="AP6899" s="500"/>
    </row>
    <row r="6900" spans="1:42" ht="16.5" customHeight="1">
      <c r="A6900" s="439"/>
      <c r="B6900" s="439"/>
      <c r="C6900" s="439"/>
      <c r="D6900" s="439"/>
      <c r="E6900" s="439"/>
      <c r="F6900" s="439"/>
      <c r="Z6900" s="500"/>
      <c r="AA6900" s="500"/>
      <c r="AB6900" s="500"/>
      <c r="AC6900" s="500"/>
      <c r="AD6900" s="500"/>
      <c r="AE6900" s="500"/>
      <c r="AF6900" s="500"/>
      <c r="AG6900" s="500"/>
      <c r="AH6900" s="500"/>
      <c r="AI6900" s="500"/>
      <c r="AJ6900" s="500"/>
      <c r="AK6900" s="500"/>
      <c r="AL6900" s="500"/>
      <c r="AM6900" s="500"/>
      <c r="AN6900" s="500"/>
      <c r="AO6900" s="500"/>
      <c r="AP6900" s="500"/>
    </row>
    <row r="6901" spans="1:42" ht="16.5" customHeight="1">
      <c r="A6901" s="439"/>
      <c r="B6901" s="439"/>
      <c r="C6901" s="439"/>
      <c r="D6901" s="439"/>
      <c r="E6901" s="439"/>
      <c r="F6901" s="439"/>
      <c r="Z6901" s="500"/>
      <c r="AA6901" s="500"/>
      <c r="AB6901" s="500"/>
      <c r="AC6901" s="500"/>
      <c r="AD6901" s="500"/>
      <c r="AE6901" s="500"/>
      <c r="AF6901" s="500"/>
      <c r="AG6901" s="500"/>
      <c r="AH6901" s="500"/>
      <c r="AI6901" s="500"/>
      <c r="AJ6901" s="500"/>
      <c r="AK6901" s="500"/>
      <c r="AL6901" s="500"/>
      <c r="AM6901" s="500"/>
      <c r="AN6901" s="500"/>
      <c r="AO6901" s="500"/>
      <c r="AP6901" s="500"/>
    </row>
    <row r="6902" spans="1:42" ht="16.5" customHeight="1">
      <c r="A6902" s="439"/>
      <c r="B6902" s="439"/>
      <c r="C6902" s="439"/>
      <c r="D6902" s="439"/>
      <c r="E6902" s="439"/>
      <c r="F6902" s="439"/>
      <c r="Z6902" s="500"/>
      <c r="AA6902" s="500"/>
      <c r="AB6902" s="500"/>
      <c r="AC6902" s="500"/>
      <c r="AD6902" s="500"/>
      <c r="AE6902" s="500"/>
      <c r="AF6902" s="500"/>
      <c r="AG6902" s="500"/>
      <c r="AH6902" s="500"/>
      <c r="AI6902" s="500"/>
      <c r="AJ6902" s="500"/>
      <c r="AK6902" s="500"/>
      <c r="AL6902" s="500"/>
      <c r="AM6902" s="500"/>
      <c r="AN6902" s="500"/>
      <c r="AO6902" s="500"/>
      <c r="AP6902" s="500"/>
    </row>
    <row r="6903" spans="1:42" ht="16.5" customHeight="1">
      <c r="A6903" s="497"/>
      <c r="B6903" s="497"/>
      <c r="C6903" s="497"/>
      <c r="D6903" s="497"/>
      <c r="E6903" s="497"/>
      <c r="F6903" s="497"/>
      <c r="Z6903" s="500"/>
      <c r="AA6903" s="500"/>
      <c r="AB6903" s="500"/>
      <c r="AC6903" s="500"/>
      <c r="AD6903" s="500"/>
      <c r="AE6903" s="500"/>
      <c r="AF6903" s="500"/>
      <c r="AG6903" s="500"/>
      <c r="AH6903" s="500"/>
      <c r="AI6903" s="500"/>
      <c r="AJ6903" s="500"/>
      <c r="AK6903" s="500"/>
      <c r="AL6903" s="500"/>
      <c r="AM6903" s="500"/>
      <c r="AN6903" s="500"/>
      <c r="AO6903" s="500"/>
      <c r="AP6903" s="500"/>
    </row>
    <row r="6904" spans="1:42" ht="16.5" customHeight="1">
      <c r="A6904" s="616" t="s">
        <v>3487</v>
      </c>
      <c r="B6904" s="605"/>
      <c r="C6904" s="446">
        <f>E6904+D6904+F6904</f>
        <v>654873</v>
      </c>
      <c r="D6904" s="453">
        <f>ROUNDDOWN(SUMIF(N6857:N6892,M6904,D6857:D6892),0)</f>
        <v>0</v>
      </c>
      <c r="E6904" s="454">
        <f>ROUNDDOWN(SUMIF(N6857:N6892,M6904,E6857:E6892),0)</f>
        <v>0</v>
      </c>
      <c r="F6904" s="446">
        <f>ROUNDDOWN(SUMIF(N6857:N6892,M6904,F6857:F6892),0)</f>
        <v>654873</v>
      </c>
      <c r="M6904" s="501" t="s">
        <v>2354</v>
      </c>
      <c r="Z6904" s="500"/>
      <c r="AA6904" s="500"/>
      <c r="AB6904" s="500"/>
      <c r="AC6904" s="500"/>
      <c r="AD6904" s="500"/>
      <c r="AE6904" s="500"/>
      <c r="AF6904" s="500"/>
      <c r="AG6904" s="500"/>
      <c r="AH6904" s="500"/>
      <c r="AI6904" s="500"/>
      <c r="AJ6904" s="500"/>
      <c r="AK6904" s="500"/>
      <c r="AL6904" s="500"/>
      <c r="AM6904" s="500"/>
      <c r="AN6904" s="500"/>
      <c r="AO6904" s="500"/>
      <c r="AP6904" s="500"/>
    </row>
    <row r="6905" spans="1:42" ht="16.5" customHeight="1">
      <c r="A6905" s="502"/>
      <c r="B6905" s="503" t="s">
        <v>2197</v>
      </c>
      <c r="C6905" s="615">
        <f>C6954</f>
        <v>691036</v>
      </c>
      <c r="D6905" s="615">
        <f>D6954</f>
        <v>0</v>
      </c>
      <c r="E6905" s="615">
        <f>E6954</f>
        <v>0</v>
      </c>
      <c r="F6905" s="615">
        <f>F6954</f>
        <v>691036</v>
      </c>
      <c r="G6905" s="486" t="str">
        <f>HYPERLINK("#G"&amp;ROW(G6942),"_x0005_`BDCOD|D01195_x0007_`POSS|"&amp;ROW(G6907)&amp;"_x0007_`POSE|"&amp;ROW(G6942)&amp;"_x0007_`")</f>
        <v>_x0005_`BDCOD|D01195_x0007_`POSS|6907_x0007_`POSE|6942_x0007_`</v>
      </c>
      <c r="Z6905" s="500"/>
      <c r="AA6905" s="500"/>
      <c r="AB6905" s="500"/>
      <c r="AC6905" s="500"/>
      <c r="AD6905" s="500"/>
      <c r="AE6905" s="500"/>
      <c r="AF6905" s="500"/>
      <c r="AG6905" s="500"/>
      <c r="AH6905" s="500"/>
      <c r="AI6905" s="500"/>
      <c r="AJ6905" s="500"/>
      <c r="AK6905" s="500"/>
      <c r="AL6905" s="500"/>
      <c r="AM6905" s="500"/>
      <c r="AN6905" s="500"/>
      <c r="AO6905" s="500"/>
      <c r="AP6905" s="500"/>
    </row>
    <row r="6906" spans="1:42" ht="16.5" customHeight="1">
      <c r="A6906" s="485"/>
      <c r="B6906" s="503" t="s">
        <v>4101</v>
      </c>
      <c r="C6906" s="593"/>
      <c r="D6906" s="593"/>
      <c r="E6906" s="593"/>
      <c r="F6906" s="593"/>
      <c r="M6906" s="501" t="s">
        <v>2197</v>
      </c>
      <c r="Z6906" s="500"/>
      <c r="AA6906" s="500"/>
      <c r="AB6906" s="500"/>
      <c r="AC6906" s="500"/>
      <c r="AD6906" s="500"/>
      <c r="AE6906" s="500"/>
      <c r="AF6906" s="500"/>
      <c r="AG6906" s="500"/>
      <c r="AH6906" s="500"/>
      <c r="AI6906" s="500"/>
      <c r="AJ6906" s="500"/>
      <c r="AK6906" s="500"/>
      <c r="AL6906" s="500"/>
      <c r="AM6906" s="500"/>
      <c r="AN6906" s="500"/>
      <c r="AO6906" s="500"/>
      <c r="AP6906" s="500"/>
    </row>
    <row r="6907" spans="1:42" ht="16.5" customHeight="1">
      <c r="A6907" s="434"/>
      <c r="B6907" s="437" t="s">
        <v>3980</v>
      </c>
      <c r="C6907" s="504"/>
      <c r="D6907" s="504"/>
      <c r="E6907" s="504"/>
      <c r="F6907" s="504"/>
      <c r="G6907" s="451" t="s">
        <v>3981</v>
      </c>
      <c r="Z6907" s="500"/>
      <c r="AA6907" s="500"/>
      <c r="AB6907" s="500"/>
      <c r="AC6907" s="500"/>
      <c r="AD6907" s="500"/>
      <c r="AE6907" s="500"/>
      <c r="AF6907" s="500"/>
      <c r="AG6907" s="500"/>
      <c r="AH6907" s="500"/>
      <c r="AI6907" s="500"/>
      <c r="AJ6907" s="500"/>
      <c r="AK6907" s="500"/>
      <c r="AL6907" s="500"/>
      <c r="AM6907" s="500"/>
      <c r="AN6907" s="500"/>
      <c r="AO6907" s="500"/>
      <c r="AP6907" s="500"/>
    </row>
    <row r="6908" spans="1:42" ht="16.5" customHeight="1">
      <c r="A6908" s="439"/>
      <c r="B6908" s="439"/>
      <c r="C6908" s="439"/>
      <c r="D6908" s="439"/>
      <c r="E6908" s="439"/>
      <c r="F6908" s="439"/>
      <c r="G6908" s="451" t="s">
        <v>3406</v>
      </c>
      <c r="Z6908" s="500"/>
      <c r="AA6908" s="500"/>
      <c r="AB6908" s="500"/>
      <c r="AC6908" s="500"/>
      <c r="AD6908" s="500"/>
      <c r="AE6908" s="500"/>
      <c r="AF6908" s="500"/>
      <c r="AG6908" s="500"/>
      <c r="AH6908" s="500"/>
      <c r="AI6908" s="500"/>
      <c r="AJ6908" s="500"/>
      <c r="AK6908" s="500"/>
      <c r="AL6908" s="500"/>
      <c r="AM6908" s="500"/>
      <c r="AN6908" s="500"/>
      <c r="AO6908" s="500"/>
      <c r="AP6908" s="500"/>
    </row>
    <row r="6909" spans="1:42" ht="16.5" customHeight="1">
      <c r="A6909" s="434"/>
      <c r="B6909" s="437" t="s">
        <v>4102</v>
      </c>
      <c r="C6909" s="439"/>
      <c r="D6909" s="439"/>
      <c r="E6909" s="439"/>
      <c r="F6909" s="439"/>
      <c r="G6909" s="451" t="s">
        <v>4103</v>
      </c>
      <c r="Z6909" s="500"/>
      <c r="AA6909" s="500"/>
      <c r="AB6909" s="500"/>
      <c r="AC6909" s="500"/>
      <c r="AD6909" s="500"/>
      <c r="AE6909" s="500"/>
      <c r="AF6909" s="500"/>
      <c r="AG6909" s="500"/>
      <c r="AH6909" s="500"/>
      <c r="AI6909" s="500"/>
      <c r="AJ6909" s="500"/>
      <c r="AK6909" s="500"/>
      <c r="AL6909" s="500"/>
      <c r="AM6909" s="500"/>
      <c r="AN6909" s="500"/>
      <c r="AO6909" s="500"/>
      <c r="AP6909" s="500"/>
    </row>
    <row r="6910" spans="1:42" ht="16.5" customHeight="1">
      <c r="A6910" s="439"/>
      <c r="B6910" s="439"/>
      <c r="C6910" s="439"/>
      <c r="D6910" s="439"/>
      <c r="E6910" s="439"/>
      <c r="F6910" s="439"/>
      <c r="G6910" s="451" t="s">
        <v>3406</v>
      </c>
      <c r="Z6910" s="500"/>
      <c r="AA6910" s="500"/>
      <c r="AB6910" s="500"/>
      <c r="AC6910" s="500"/>
      <c r="AD6910" s="500"/>
      <c r="AE6910" s="500"/>
      <c r="AF6910" s="500"/>
      <c r="AG6910" s="500"/>
      <c r="AH6910" s="500"/>
      <c r="AI6910" s="500"/>
      <c r="AJ6910" s="500"/>
      <c r="AK6910" s="500"/>
      <c r="AL6910" s="500"/>
      <c r="AM6910" s="500"/>
      <c r="AN6910" s="500"/>
      <c r="AO6910" s="500"/>
      <c r="AP6910" s="500"/>
    </row>
    <row r="6911" spans="1:42" ht="16.5" customHeight="1">
      <c r="A6911" s="439"/>
      <c r="B6911" s="439"/>
      <c r="C6911" s="439"/>
      <c r="D6911" s="439"/>
      <c r="E6911" s="439"/>
      <c r="F6911" s="439"/>
      <c r="G6911" s="451" t="s">
        <v>3406</v>
      </c>
      <c r="Z6911" s="500"/>
      <c r="AA6911" s="500"/>
      <c r="AB6911" s="500"/>
      <c r="AC6911" s="500"/>
      <c r="AD6911" s="500"/>
      <c r="AE6911" s="500"/>
      <c r="AF6911" s="500"/>
      <c r="AG6911" s="500"/>
      <c r="AH6911" s="500"/>
      <c r="AI6911" s="500"/>
      <c r="AJ6911" s="500"/>
      <c r="AK6911" s="500"/>
      <c r="AL6911" s="500"/>
      <c r="AM6911" s="500"/>
      <c r="AN6911" s="500"/>
      <c r="AO6911" s="500"/>
      <c r="AP6911" s="500"/>
    </row>
    <row r="6912" spans="1:42" ht="16.5" customHeight="1">
      <c r="A6912" s="434"/>
      <c r="B6912" s="437" t="s">
        <v>3984</v>
      </c>
      <c r="C6912" s="439"/>
      <c r="D6912" s="439"/>
      <c r="E6912" s="439"/>
      <c r="F6912" s="439"/>
      <c r="G6912" s="451" t="s">
        <v>3985</v>
      </c>
      <c r="Z6912" s="500"/>
      <c r="AA6912" s="500"/>
      <c r="AB6912" s="500"/>
      <c r="AC6912" s="500"/>
      <c r="AD6912" s="500"/>
      <c r="AE6912" s="500"/>
      <c r="AF6912" s="500"/>
      <c r="AG6912" s="500"/>
      <c r="AH6912" s="500"/>
      <c r="AI6912" s="500"/>
      <c r="AJ6912" s="500"/>
      <c r="AK6912" s="500"/>
      <c r="AL6912" s="500"/>
      <c r="AM6912" s="500"/>
      <c r="AN6912" s="500"/>
      <c r="AO6912" s="500"/>
      <c r="AP6912" s="500"/>
    </row>
    <row r="6913" spans="1:42" ht="16.5" customHeight="1">
      <c r="A6913" s="439"/>
      <c r="B6913" s="439"/>
      <c r="C6913" s="439"/>
      <c r="D6913" s="439"/>
      <c r="E6913" s="439"/>
      <c r="F6913" s="439"/>
      <c r="G6913" s="451" t="s">
        <v>3406</v>
      </c>
      <c r="Z6913" s="500"/>
      <c r="AA6913" s="500"/>
      <c r="AB6913" s="500"/>
      <c r="AC6913" s="500"/>
      <c r="AD6913" s="500"/>
      <c r="AE6913" s="500"/>
      <c r="AF6913" s="500"/>
      <c r="AG6913" s="500"/>
      <c r="AH6913" s="500"/>
      <c r="AI6913" s="500"/>
      <c r="AJ6913" s="500"/>
      <c r="AK6913" s="500"/>
      <c r="AL6913" s="500"/>
      <c r="AM6913" s="500"/>
      <c r="AN6913" s="500"/>
      <c r="AO6913" s="500"/>
      <c r="AP6913" s="500"/>
    </row>
    <row r="6914" spans="1:42" ht="16.5" customHeight="1">
      <c r="A6914" s="439"/>
      <c r="B6914" s="439"/>
      <c r="C6914" s="439"/>
      <c r="D6914" s="439"/>
      <c r="E6914" s="439"/>
      <c r="F6914" s="439"/>
      <c r="G6914" s="451" t="s">
        <v>3406</v>
      </c>
      <c r="Z6914" s="500"/>
      <c r="AA6914" s="500"/>
      <c r="AB6914" s="500"/>
      <c r="AC6914" s="500"/>
      <c r="AD6914" s="500"/>
      <c r="AE6914" s="500"/>
      <c r="AF6914" s="500"/>
      <c r="AG6914" s="500"/>
      <c r="AH6914" s="500"/>
      <c r="AI6914" s="500"/>
      <c r="AJ6914" s="500"/>
      <c r="AK6914" s="500"/>
      <c r="AL6914" s="500"/>
      <c r="AM6914" s="500"/>
      <c r="AN6914" s="500"/>
      <c r="AO6914" s="500"/>
      <c r="AP6914" s="500"/>
    </row>
    <row r="6915" spans="1:42" ht="16.5" customHeight="1">
      <c r="A6915" s="434"/>
      <c r="B6915" s="437" t="s">
        <v>3986</v>
      </c>
      <c r="C6915" s="439"/>
      <c r="D6915" s="439"/>
      <c r="E6915" s="439"/>
      <c r="F6915" s="439"/>
      <c r="G6915" s="451" t="s">
        <v>3987</v>
      </c>
      <c r="Z6915" s="500"/>
      <c r="AA6915" s="500"/>
      <c r="AB6915" s="500"/>
      <c r="AC6915" s="500"/>
      <c r="AD6915" s="500"/>
      <c r="AE6915" s="500"/>
      <c r="AF6915" s="500"/>
      <c r="AG6915" s="500"/>
      <c r="AH6915" s="500"/>
      <c r="AI6915" s="500"/>
      <c r="AJ6915" s="500"/>
      <c r="AK6915" s="500"/>
      <c r="AL6915" s="500"/>
      <c r="AM6915" s="500"/>
      <c r="AN6915" s="500"/>
      <c r="AO6915" s="500"/>
      <c r="AP6915" s="500"/>
    </row>
    <row r="6916" spans="1:42" ht="16.5" customHeight="1">
      <c r="A6916" s="439"/>
      <c r="B6916" s="439"/>
      <c r="C6916" s="439"/>
      <c r="D6916" s="439"/>
      <c r="E6916" s="439"/>
      <c r="F6916" s="439"/>
      <c r="G6916" s="451" t="s">
        <v>3406</v>
      </c>
      <c r="Z6916" s="500"/>
      <c r="AA6916" s="500"/>
      <c r="AB6916" s="500"/>
      <c r="AC6916" s="500"/>
      <c r="AD6916" s="500"/>
      <c r="AE6916" s="500"/>
      <c r="AF6916" s="500"/>
      <c r="AG6916" s="500"/>
      <c r="AH6916" s="500"/>
      <c r="AI6916" s="500"/>
      <c r="AJ6916" s="500"/>
      <c r="AK6916" s="500"/>
      <c r="AL6916" s="500"/>
      <c r="AM6916" s="500"/>
      <c r="AN6916" s="500"/>
      <c r="AO6916" s="500"/>
      <c r="AP6916" s="500"/>
    </row>
    <row r="6917" spans="1:42" ht="16.5" customHeight="1">
      <c r="A6917" s="439"/>
      <c r="B6917" s="439"/>
      <c r="C6917" s="439"/>
      <c r="D6917" s="439"/>
      <c r="E6917" s="439"/>
      <c r="F6917" s="439"/>
      <c r="G6917" s="451" t="s">
        <v>3406</v>
      </c>
      <c r="Z6917" s="500"/>
      <c r="AA6917" s="500"/>
      <c r="AB6917" s="500"/>
      <c r="AC6917" s="500"/>
      <c r="AD6917" s="500"/>
      <c r="AE6917" s="500"/>
      <c r="AF6917" s="500"/>
      <c r="AG6917" s="500"/>
      <c r="AH6917" s="500"/>
      <c r="AI6917" s="500"/>
      <c r="AJ6917" s="500"/>
      <c r="AK6917" s="500"/>
      <c r="AL6917" s="500"/>
      <c r="AM6917" s="500"/>
      <c r="AN6917" s="500"/>
      <c r="AO6917" s="500"/>
      <c r="AP6917" s="500"/>
    </row>
    <row r="6918" spans="1:42" ht="16.5" customHeight="1">
      <c r="A6918" s="434"/>
      <c r="B6918" s="437" t="str">
        <f>" L = "&amp;Z6918&amp;" , V = "&amp;AD6918&amp;" , t = "&amp;AH6918&amp;"  , T = "&amp;AL6918&amp;"-"&amp;AN6918&amp;""</f>
        <v xml:space="preserve"> L = 900 , V = 2500 , t = 2  , T = 480-30</v>
      </c>
      <c r="C6918" s="439"/>
      <c r="D6918" s="439"/>
      <c r="E6918" s="439"/>
      <c r="F6918" s="439"/>
      <c r="G6918" s="451" t="s">
        <v>4104</v>
      </c>
      <c r="Z6918" s="515">
        <v>900</v>
      </c>
      <c r="AA6918" s="501" t="s">
        <v>3418</v>
      </c>
      <c r="AB6918" s="512">
        <f>Z6918</f>
        <v>900</v>
      </c>
      <c r="AC6918" s="514" t="s">
        <v>3427</v>
      </c>
      <c r="AD6918" s="515">
        <v>2500</v>
      </c>
      <c r="AE6918" s="501" t="s">
        <v>3418</v>
      </c>
      <c r="AF6918" s="512">
        <f>AD6918</f>
        <v>2500</v>
      </c>
      <c r="AG6918" s="514" t="s">
        <v>3427</v>
      </c>
      <c r="AH6918" s="515">
        <v>2</v>
      </c>
      <c r="AI6918" s="501" t="s">
        <v>3418</v>
      </c>
      <c r="AJ6918" s="512">
        <f>AH6918</f>
        <v>2</v>
      </c>
      <c r="AK6918" s="514" t="s">
        <v>3427</v>
      </c>
      <c r="AL6918" s="515">
        <v>480</v>
      </c>
      <c r="AM6918" s="501" t="s">
        <v>3474</v>
      </c>
      <c r="AN6918" s="515">
        <v>30</v>
      </c>
      <c r="AO6918" s="501" t="s">
        <v>3418</v>
      </c>
      <c r="AP6918" s="512">
        <f>AL6918-AN6918</f>
        <v>450</v>
      </c>
    </row>
    <row r="6919" spans="1:42" ht="16.5" customHeight="1">
      <c r="A6919" s="439"/>
      <c r="B6919" s="439"/>
      <c r="C6919" s="439"/>
      <c r="D6919" s="439"/>
      <c r="E6919" s="439"/>
      <c r="F6919" s="439"/>
      <c r="G6919" s="451" t="s">
        <v>3406</v>
      </c>
      <c r="Z6919" s="500"/>
      <c r="AA6919" s="500"/>
      <c r="AB6919" s="500"/>
      <c r="AC6919" s="500"/>
      <c r="AD6919" s="500"/>
      <c r="AE6919" s="500"/>
      <c r="AF6919" s="500"/>
      <c r="AG6919" s="500"/>
      <c r="AH6919" s="500"/>
      <c r="AI6919" s="500"/>
      <c r="AJ6919" s="500"/>
      <c r="AK6919" s="500"/>
      <c r="AL6919" s="500"/>
      <c r="AM6919" s="500"/>
      <c r="AN6919" s="500"/>
      <c r="AO6919" s="500"/>
      <c r="AP6919" s="500"/>
    </row>
    <row r="6920" spans="1:42" ht="16.5" customHeight="1">
      <c r="A6920" s="439"/>
      <c r="B6920" s="439"/>
      <c r="C6920" s="439"/>
      <c r="D6920" s="439"/>
      <c r="E6920" s="439"/>
      <c r="F6920" s="439"/>
      <c r="G6920" s="451" t="s">
        <v>3406</v>
      </c>
      <c r="Z6920" s="500"/>
      <c r="AA6920" s="500"/>
      <c r="AB6920" s="500"/>
      <c r="AC6920" s="500"/>
      <c r="AD6920" s="500"/>
      <c r="AE6920" s="500"/>
      <c r="AF6920" s="500"/>
      <c r="AG6920" s="500"/>
      <c r="AH6920" s="500"/>
      <c r="AI6920" s="500"/>
      <c r="AJ6920" s="500"/>
      <c r="AK6920" s="500"/>
      <c r="AL6920" s="500"/>
      <c r="AM6920" s="500"/>
      <c r="AN6920" s="500"/>
      <c r="AO6920" s="500"/>
      <c r="AP6920" s="500"/>
    </row>
    <row r="6921" spans="1:42" ht="16.5" customHeight="1">
      <c r="A6921" s="439"/>
      <c r="B6921" s="439"/>
      <c r="C6921" s="439"/>
      <c r="D6921" s="439"/>
      <c r="E6921" s="439"/>
      <c r="F6921" s="439"/>
      <c r="G6921" s="451" t="s">
        <v>3406</v>
      </c>
      <c r="Z6921" s="500"/>
      <c r="AA6921" s="500"/>
      <c r="AB6921" s="500"/>
      <c r="AC6921" s="500"/>
      <c r="AD6921" s="500"/>
      <c r="AE6921" s="500"/>
      <c r="AF6921" s="500"/>
      <c r="AG6921" s="500"/>
      <c r="AH6921" s="500"/>
      <c r="AI6921" s="500"/>
      <c r="AJ6921" s="500"/>
      <c r="AK6921" s="500"/>
      <c r="AL6921" s="500"/>
      <c r="AM6921" s="500"/>
      <c r="AN6921" s="500"/>
      <c r="AO6921" s="500"/>
      <c r="AP6921" s="500"/>
    </row>
    <row r="6922" spans="1:42" ht="16.5" customHeight="1">
      <c r="A6922" s="434"/>
      <c r="B6922" s="437" t="str">
        <f>" N = V*T /( "&amp;AD6922&amp;"*L+V*"&amp;AJ6922&amp;" ) = "&amp;AM6922&amp;" 회/일 "</f>
        <v xml:space="preserve"> N = V*T /( 120*L+V*2 ) = 9.96 회/일 </v>
      </c>
      <c r="C6922" s="439"/>
      <c r="D6922" s="439"/>
      <c r="E6922" s="439"/>
      <c r="F6922" s="439"/>
      <c r="G6922" s="451" t="s">
        <v>3989</v>
      </c>
      <c r="Z6922" s="512">
        <f>AF6918</f>
        <v>2500</v>
      </c>
      <c r="AA6922" s="501" t="s">
        <v>3368</v>
      </c>
      <c r="AB6922" s="512">
        <f>AP6918</f>
        <v>450</v>
      </c>
      <c r="AC6922" s="501" t="s">
        <v>3463</v>
      </c>
      <c r="AD6922" s="515">
        <v>120</v>
      </c>
      <c r="AE6922" s="501" t="s">
        <v>3368</v>
      </c>
      <c r="AF6922" s="512">
        <f>AB6918</f>
        <v>900</v>
      </c>
      <c r="AG6922" s="501" t="s">
        <v>3468</v>
      </c>
      <c r="AH6922" s="512">
        <f>AF6918</f>
        <v>2500</v>
      </c>
      <c r="AI6922" s="501" t="s">
        <v>3368</v>
      </c>
      <c r="AJ6922" s="515">
        <v>2</v>
      </c>
      <c r="AK6922" s="501" t="s">
        <v>3464</v>
      </c>
      <c r="AL6922" s="501" t="s">
        <v>3418</v>
      </c>
      <c r="AM6922" s="512" t="str">
        <f>TEXT(ROUND(AF6918*AP6918/(AD6922*AB6918+AF6918*AJ6922),2),"#,0.00")</f>
        <v>9.96</v>
      </c>
      <c r="AN6922" s="500"/>
      <c r="AO6922" s="500"/>
      <c r="AP6922" s="500"/>
    </row>
    <row r="6923" spans="1:42" ht="16.5" customHeight="1">
      <c r="A6923" s="439"/>
      <c r="B6923" s="439"/>
      <c r="C6923" s="439"/>
      <c r="D6923" s="439"/>
      <c r="E6923" s="439"/>
      <c r="F6923" s="439"/>
      <c r="G6923" s="451" t="s">
        <v>3406</v>
      </c>
      <c r="Z6923" s="500"/>
      <c r="AA6923" s="500"/>
      <c r="AB6923" s="500"/>
      <c r="AC6923" s="500"/>
      <c r="AD6923" s="500"/>
      <c r="AE6923" s="500"/>
      <c r="AF6923" s="500"/>
      <c r="AG6923" s="500"/>
      <c r="AH6923" s="500"/>
      <c r="AI6923" s="500"/>
      <c r="AJ6923" s="500"/>
      <c r="AK6923" s="500"/>
      <c r="AL6923" s="500"/>
      <c r="AM6923" s="500"/>
      <c r="AN6923" s="500"/>
      <c r="AO6923" s="500"/>
      <c r="AP6923" s="500"/>
    </row>
    <row r="6924" spans="1:42" ht="16.5" customHeight="1">
      <c r="A6924" s="439"/>
      <c r="B6924" s="439"/>
      <c r="C6924" s="439"/>
      <c r="D6924" s="439"/>
      <c r="E6924" s="439"/>
      <c r="F6924" s="439"/>
      <c r="G6924" s="451" t="s">
        <v>3406</v>
      </c>
      <c r="Z6924" s="500"/>
      <c r="AA6924" s="500"/>
      <c r="AB6924" s="500"/>
      <c r="AC6924" s="500"/>
      <c r="AD6924" s="500"/>
      <c r="AE6924" s="500"/>
      <c r="AF6924" s="500"/>
      <c r="AG6924" s="500"/>
      <c r="AH6924" s="500"/>
      <c r="AI6924" s="500"/>
      <c r="AJ6924" s="500"/>
      <c r="AK6924" s="500"/>
      <c r="AL6924" s="500"/>
      <c r="AM6924" s="500"/>
      <c r="AN6924" s="500"/>
      <c r="AO6924" s="500"/>
      <c r="AP6924" s="500"/>
    </row>
    <row r="6925" spans="1:42" ht="16.5" customHeight="1">
      <c r="A6925" s="439"/>
      <c r="B6925" s="439"/>
      <c r="C6925" s="439"/>
      <c r="D6925" s="439"/>
      <c r="E6925" s="439"/>
      <c r="F6925" s="439"/>
      <c r="G6925" s="451" t="s">
        <v>3406</v>
      </c>
      <c r="Z6925" s="500"/>
      <c r="AA6925" s="500"/>
      <c r="AB6925" s="500"/>
      <c r="AC6925" s="500"/>
      <c r="AD6925" s="500"/>
      <c r="AE6925" s="500"/>
      <c r="AF6925" s="500"/>
      <c r="AG6925" s="500"/>
      <c r="AH6925" s="500"/>
      <c r="AI6925" s="500"/>
      <c r="AJ6925" s="500"/>
      <c r="AK6925" s="500"/>
      <c r="AL6925" s="500"/>
      <c r="AM6925" s="500"/>
      <c r="AN6925" s="500"/>
      <c r="AO6925" s="500"/>
      <c r="AP6925" s="500"/>
    </row>
    <row r="6926" spans="1:42" ht="16.5" customHeight="1">
      <c r="A6926" s="434"/>
      <c r="B6926" s="437" t="str">
        <f>" Q = N*"&amp;AB6926&amp;" ㎏ = "&amp;AD6926&amp;"  kg/일 "</f>
        <v xml:space="preserve"> Q = N*25 ㎏ = 249.00  kg/일 </v>
      </c>
      <c r="C6926" s="439"/>
      <c r="D6926" s="439"/>
      <c r="E6926" s="439"/>
      <c r="F6926" s="439"/>
      <c r="G6926" s="451" t="s">
        <v>3990</v>
      </c>
      <c r="Z6926" s="512" t="str">
        <f>AM6922</f>
        <v>9.96</v>
      </c>
      <c r="AA6926" s="501" t="s">
        <v>3368</v>
      </c>
      <c r="AB6926" s="515">
        <v>25</v>
      </c>
      <c r="AC6926" s="501" t="s">
        <v>3418</v>
      </c>
      <c r="AD6926" s="512" t="str">
        <f>TEXT(ROUND(AM6922*AB6926,2),"#,0.00")</f>
        <v>249.00</v>
      </c>
      <c r="AE6926" s="500"/>
      <c r="AF6926" s="500"/>
      <c r="AG6926" s="500"/>
      <c r="AH6926" s="500"/>
      <c r="AI6926" s="500"/>
      <c r="AJ6926" s="500"/>
      <c r="AK6926" s="500"/>
      <c r="AL6926" s="500"/>
      <c r="AM6926" s="500"/>
      <c r="AN6926" s="500"/>
      <c r="AO6926" s="500"/>
      <c r="AP6926" s="500"/>
    </row>
    <row r="6927" spans="1:42" ht="16.5" customHeight="1">
      <c r="A6927" s="439"/>
      <c r="B6927" s="439"/>
      <c r="C6927" s="439"/>
      <c r="D6927" s="439"/>
      <c r="E6927" s="439"/>
      <c r="F6927" s="439"/>
      <c r="G6927" s="451" t="s">
        <v>3406</v>
      </c>
      <c r="Z6927" s="500"/>
      <c r="AA6927" s="500"/>
      <c r="AB6927" s="500"/>
      <c r="AC6927" s="500"/>
      <c r="AD6927" s="500"/>
      <c r="AE6927" s="500"/>
      <c r="AF6927" s="500"/>
      <c r="AG6927" s="500"/>
      <c r="AH6927" s="500"/>
      <c r="AI6927" s="500"/>
      <c r="AJ6927" s="500"/>
      <c r="AK6927" s="500"/>
      <c r="AL6927" s="500"/>
      <c r="AM6927" s="500"/>
      <c r="AN6927" s="500"/>
      <c r="AO6927" s="500"/>
      <c r="AP6927" s="500"/>
    </row>
    <row r="6928" spans="1:42" ht="16.5" customHeight="1">
      <c r="A6928" s="439"/>
      <c r="B6928" s="439"/>
      <c r="C6928" s="439"/>
      <c r="D6928" s="439"/>
      <c r="E6928" s="439"/>
      <c r="F6928" s="439"/>
      <c r="G6928" s="451" t="s">
        <v>3406</v>
      </c>
      <c r="Z6928" s="500"/>
      <c r="AA6928" s="500"/>
      <c r="AB6928" s="500"/>
      <c r="AC6928" s="500"/>
      <c r="AD6928" s="500"/>
      <c r="AE6928" s="500"/>
      <c r="AF6928" s="500"/>
      <c r="AG6928" s="500"/>
      <c r="AH6928" s="500"/>
      <c r="AI6928" s="500"/>
      <c r="AJ6928" s="500"/>
      <c r="AK6928" s="500"/>
      <c r="AL6928" s="500"/>
      <c r="AM6928" s="500"/>
      <c r="AN6928" s="500"/>
      <c r="AO6928" s="500"/>
      <c r="AP6928" s="500"/>
    </row>
    <row r="6929" spans="1:42" ht="16.5" customHeight="1">
      <c r="A6929" s="439"/>
      <c r="B6929" s="439"/>
      <c r="C6929" s="439"/>
      <c r="D6929" s="439"/>
      <c r="E6929" s="439"/>
      <c r="F6929" s="439"/>
      <c r="G6929" s="451" t="s">
        <v>3406</v>
      </c>
      <c r="Z6929" s="500"/>
      <c r="AA6929" s="500"/>
      <c r="AB6929" s="500"/>
      <c r="AC6929" s="500"/>
      <c r="AD6929" s="500"/>
      <c r="AE6929" s="500"/>
      <c r="AF6929" s="500"/>
      <c r="AG6929" s="500"/>
      <c r="AH6929" s="500"/>
      <c r="AI6929" s="500"/>
      <c r="AJ6929" s="500"/>
      <c r="AK6929" s="500"/>
      <c r="AL6929" s="500"/>
      <c r="AM6929" s="500"/>
      <c r="AN6929" s="500"/>
      <c r="AO6929" s="500"/>
      <c r="AP6929" s="500"/>
    </row>
    <row r="6930" spans="1:42" ht="16.5" customHeight="1">
      <c r="A6930" s="434"/>
      <c r="B6930" s="437" t="str">
        <f>" k = "&amp;Z6930&amp;" kg /Q"</f>
        <v xml:space="preserve"> k = 1000 kg /Q</v>
      </c>
      <c r="C6930" s="439"/>
      <c r="D6930" s="439"/>
      <c r="E6930" s="439"/>
      <c r="F6930" s="439"/>
      <c r="G6930" s="451" t="s">
        <v>3991</v>
      </c>
      <c r="Z6930" s="515">
        <v>1000</v>
      </c>
      <c r="AA6930" s="501" t="s">
        <v>3428</v>
      </c>
      <c r="AB6930" s="512" t="str">
        <f>AD6926</f>
        <v>249.00</v>
      </c>
      <c r="AC6930" s="501" t="s">
        <v>3418</v>
      </c>
      <c r="AD6930" s="512">
        <f>ROUND(Z6930/AD6926,13)</f>
        <v>4.0160642570281002</v>
      </c>
      <c r="AE6930" s="500"/>
      <c r="AF6930" s="500"/>
      <c r="AG6930" s="500"/>
      <c r="AH6930" s="500"/>
      <c r="AI6930" s="500"/>
      <c r="AJ6930" s="500"/>
      <c r="AK6930" s="500"/>
      <c r="AL6930" s="500"/>
      <c r="AM6930" s="500"/>
      <c r="AN6930" s="500"/>
      <c r="AO6930" s="500"/>
      <c r="AP6930" s="500"/>
    </row>
    <row r="6931" spans="1:42" ht="16.5" customHeight="1">
      <c r="A6931" s="439"/>
      <c r="B6931" s="439"/>
      <c r="C6931" s="439"/>
      <c r="D6931" s="439"/>
      <c r="E6931" s="439"/>
      <c r="F6931" s="439"/>
      <c r="G6931" s="451" t="s">
        <v>3406</v>
      </c>
      <c r="Z6931" s="500"/>
      <c r="AA6931" s="500"/>
      <c r="AB6931" s="500"/>
      <c r="AC6931" s="500"/>
      <c r="AD6931" s="500"/>
      <c r="AE6931" s="500"/>
      <c r="AF6931" s="500"/>
      <c r="AG6931" s="500"/>
      <c r="AH6931" s="500"/>
      <c r="AI6931" s="500"/>
      <c r="AJ6931" s="500"/>
      <c r="AK6931" s="500"/>
      <c r="AL6931" s="500"/>
      <c r="AM6931" s="500"/>
      <c r="AN6931" s="500"/>
      <c r="AO6931" s="500"/>
      <c r="AP6931" s="500"/>
    </row>
    <row r="6932" spans="1:42" ht="16.5" customHeight="1">
      <c r="A6932" s="439"/>
      <c r="B6932" s="439"/>
      <c r="C6932" s="439"/>
      <c r="D6932" s="439"/>
      <c r="E6932" s="439"/>
      <c r="F6932" s="439"/>
      <c r="G6932" s="451" t="s">
        <v>3406</v>
      </c>
      <c r="Z6932" s="500"/>
      <c r="AA6932" s="500"/>
      <c r="AB6932" s="500"/>
      <c r="AC6932" s="500"/>
      <c r="AD6932" s="500"/>
      <c r="AE6932" s="500"/>
      <c r="AF6932" s="500"/>
      <c r="AG6932" s="500"/>
      <c r="AH6932" s="500"/>
      <c r="AI6932" s="500"/>
      <c r="AJ6932" s="500"/>
      <c r="AK6932" s="500"/>
      <c r="AL6932" s="500"/>
      <c r="AM6932" s="500"/>
      <c r="AN6932" s="500"/>
      <c r="AO6932" s="500"/>
      <c r="AP6932" s="500"/>
    </row>
    <row r="6933" spans="1:42" ht="16.5" customHeight="1">
      <c r="A6933" s="439"/>
      <c r="B6933" s="439"/>
      <c r="C6933" s="439"/>
      <c r="D6933" s="439"/>
      <c r="E6933" s="439"/>
      <c r="F6933" s="439"/>
      <c r="G6933" s="451" t="s">
        <v>3406</v>
      </c>
      <c r="Z6933" s="500"/>
      <c r="AA6933" s="500"/>
      <c r="AB6933" s="500"/>
      <c r="AC6933" s="500"/>
      <c r="AD6933" s="500"/>
      <c r="AE6933" s="500"/>
      <c r="AF6933" s="500"/>
      <c r="AG6933" s="500"/>
      <c r="AH6933" s="500"/>
      <c r="AI6933" s="500"/>
      <c r="AJ6933" s="500"/>
      <c r="AK6933" s="500"/>
      <c r="AL6933" s="500"/>
      <c r="AM6933" s="500"/>
      <c r="AN6933" s="500"/>
      <c r="AO6933" s="500"/>
      <c r="AP6933" s="500"/>
    </row>
    <row r="6934" spans="1:42" ht="16.5" customHeight="1">
      <c r="A6934" s="434" t="s">
        <v>3992</v>
      </c>
      <c r="B6934" s="505" t="str">
        <f>" 인    부: "&amp;TEXT(I6934,"#,##0"&amp;IF(I6934&lt;&gt;INT(I6934),".###",""))&amp;"*k = "&amp;TEXT(C6934,"#,##0.0")&amp;" 원 "</f>
        <v xml:space="preserve"> 인    부: 172,068*k = 691,036.1 원 </v>
      </c>
      <c r="C6934" s="506">
        <f>E6934+D6934+F6934</f>
        <v>691036.1</v>
      </c>
      <c r="D6934" s="506">
        <f>IF(H6934=0,0,ROUNDDOWN(J6934*H6934,1))</f>
        <v>691036.1</v>
      </c>
      <c r="E6934" s="506">
        <f>IF(H6934=0,0,ROUNDDOWN(K6934*H6934,1))</f>
        <v>0</v>
      </c>
      <c r="F6934" s="506">
        <f>IF(H6934=0,0,ROUNDDOWN(L6934*H6934,1))</f>
        <v>0</v>
      </c>
      <c r="G6934" s="451" t="s">
        <v>3993</v>
      </c>
      <c r="H6934" s="507">
        <f>ROUNDUP(AC6934,14-LEN(ABS(INT(AC6934))))</f>
        <v>4.0160642570281002</v>
      </c>
      <c r="I6934" s="508">
        <f>K6934+J6934+L6934</f>
        <v>172068</v>
      </c>
      <c r="J6934" s="509">
        <f>노무비목록표!E10</f>
        <v>172068</v>
      </c>
      <c r="M6934" s="501" t="s">
        <v>2363</v>
      </c>
      <c r="N6934" s="501" t="s">
        <v>3994</v>
      </c>
      <c r="X6934" s="510" t="str">
        <f>노무비목록표!B10&amp;" / "&amp;노무비목록표!C10</f>
        <v xml:space="preserve">보통인부 / </v>
      </c>
      <c r="Y6934" s="433" t="str">
        <f ca="1">HYPERLINK("#"&amp;노무비목록표!G2&amp;"!A"&amp;ROW(노무비목록표!A10),"L00017 →")</f>
        <v>L00017 →</v>
      </c>
      <c r="Z6934" s="501" t="s">
        <v>3500</v>
      </c>
      <c r="AA6934" s="512">
        <f>AD6930</f>
        <v>4.0160642570281002</v>
      </c>
      <c r="AB6934" s="501" t="s">
        <v>3418</v>
      </c>
      <c r="AC6934" s="512">
        <f>1*AD6930</f>
        <v>4.0160642570281002</v>
      </c>
      <c r="AD6934" s="500"/>
      <c r="AE6934" s="500"/>
      <c r="AF6934" s="500"/>
      <c r="AG6934" s="500"/>
      <c r="AH6934" s="500"/>
      <c r="AI6934" s="500"/>
      <c r="AJ6934" s="500"/>
      <c r="AK6934" s="500"/>
      <c r="AL6934" s="500"/>
      <c r="AM6934" s="500"/>
      <c r="AN6934" s="500"/>
      <c r="AO6934" s="500"/>
      <c r="AP6934" s="500"/>
    </row>
    <row r="6935" spans="1:42" ht="16.5" customHeight="1">
      <c r="A6935" s="439"/>
      <c r="B6935" s="439"/>
      <c r="C6935" s="439"/>
      <c r="D6935" s="439"/>
      <c r="E6935" s="439"/>
      <c r="F6935" s="439"/>
      <c r="G6935" s="451" t="s">
        <v>3406</v>
      </c>
      <c r="Z6935" s="500"/>
      <c r="AA6935" s="500"/>
      <c r="AB6935" s="500"/>
      <c r="AC6935" s="500"/>
      <c r="AD6935" s="500"/>
      <c r="AE6935" s="500"/>
      <c r="AF6935" s="500"/>
      <c r="AG6935" s="500"/>
      <c r="AH6935" s="500"/>
      <c r="AI6935" s="500"/>
      <c r="AJ6935" s="500"/>
      <c r="AK6935" s="500"/>
      <c r="AL6935" s="500"/>
      <c r="AM6935" s="500"/>
      <c r="AN6935" s="500"/>
      <c r="AO6935" s="500"/>
      <c r="AP6935" s="500"/>
    </row>
    <row r="6936" spans="1:42" ht="16.5" customHeight="1">
      <c r="A6936" s="439"/>
      <c r="B6936" s="439"/>
      <c r="C6936" s="439"/>
      <c r="D6936" s="439"/>
      <c r="E6936" s="439"/>
      <c r="F6936" s="439"/>
      <c r="G6936" s="451" t="s">
        <v>3406</v>
      </c>
      <c r="Z6936" s="500"/>
      <c r="AA6936" s="500"/>
      <c r="AB6936" s="500"/>
      <c r="AC6936" s="500"/>
      <c r="AD6936" s="500"/>
      <c r="AE6936" s="500"/>
      <c r="AF6936" s="500"/>
      <c r="AG6936" s="500"/>
      <c r="AH6936" s="500"/>
      <c r="AI6936" s="500"/>
      <c r="AJ6936" s="500"/>
      <c r="AK6936" s="500"/>
      <c r="AL6936" s="500"/>
      <c r="AM6936" s="500"/>
      <c r="AN6936" s="500"/>
      <c r="AO6936" s="500"/>
      <c r="AP6936" s="500"/>
    </row>
    <row r="6937" spans="1:42" ht="16.5" customHeight="1">
      <c r="A6937" s="439"/>
      <c r="B6937" s="439"/>
      <c r="C6937" s="439"/>
      <c r="D6937" s="439"/>
      <c r="E6937" s="439"/>
      <c r="F6937" s="439"/>
      <c r="G6937" s="451" t="s">
        <v>3406</v>
      </c>
      <c r="Z6937" s="500"/>
      <c r="AA6937" s="500"/>
      <c r="AB6937" s="500"/>
      <c r="AC6937" s="500"/>
      <c r="AD6937" s="500"/>
      <c r="AE6937" s="500"/>
      <c r="AF6937" s="500"/>
      <c r="AG6937" s="500"/>
      <c r="AH6937" s="500"/>
      <c r="AI6937" s="500"/>
      <c r="AJ6937" s="500"/>
      <c r="AK6937" s="500"/>
      <c r="AL6937" s="500"/>
      <c r="AM6937" s="500"/>
      <c r="AN6937" s="500"/>
      <c r="AO6937" s="500"/>
      <c r="AP6937" s="500"/>
    </row>
    <row r="6938" spans="1:42" ht="16.5" customHeight="1">
      <c r="A6938" s="439"/>
      <c r="B6938" s="439"/>
      <c r="C6938" s="439"/>
      <c r="D6938" s="439"/>
      <c r="E6938" s="439"/>
      <c r="F6938" s="439"/>
      <c r="G6938" s="451" t="s">
        <v>3406</v>
      </c>
      <c r="Z6938" s="500"/>
      <c r="AA6938" s="500"/>
      <c r="AB6938" s="500"/>
      <c r="AC6938" s="500"/>
      <c r="AD6938" s="500"/>
      <c r="AE6938" s="500"/>
      <c r="AF6938" s="500"/>
      <c r="AG6938" s="500"/>
      <c r="AH6938" s="500"/>
      <c r="AI6938" s="500"/>
      <c r="AJ6938" s="500"/>
      <c r="AK6938" s="500"/>
      <c r="AL6938" s="500"/>
      <c r="AM6938" s="500"/>
      <c r="AN6938" s="500"/>
      <c r="AO6938" s="500"/>
      <c r="AP6938" s="500"/>
    </row>
    <row r="6939" spans="1:42" ht="16.5" customHeight="1">
      <c r="A6939" s="434"/>
      <c r="B6939" s="437" t="s">
        <v>3995</v>
      </c>
      <c r="C6939" s="516">
        <f>E6939+D6939+F6939</f>
        <v>691036.1</v>
      </c>
      <c r="D6939" s="516">
        <f>SUMIF(N6907:N6938,M6939,D6907:D6938)</f>
        <v>691036.1</v>
      </c>
      <c r="E6939" s="516">
        <f>SUMIF(N6907:N6938,M6939,E6907:E6938)</f>
        <v>0</v>
      </c>
      <c r="F6939" s="516">
        <f>SUMIF(N6907:N6938,M6939,F6907:F6938)</f>
        <v>0</v>
      </c>
      <c r="G6939" s="451" t="s">
        <v>3996</v>
      </c>
      <c r="M6939" s="501" t="s">
        <v>3994</v>
      </c>
      <c r="Z6939" s="500"/>
      <c r="AA6939" s="500"/>
      <c r="AB6939" s="500"/>
      <c r="AC6939" s="500"/>
      <c r="AD6939" s="500"/>
      <c r="AE6939" s="500"/>
      <c r="AF6939" s="500"/>
      <c r="AG6939" s="500"/>
      <c r="AH6939" s="500"/>
      <c r="AI6939" s="500"/>
      <c r="AJ6939" s="500"/>
      <c r="AK6939" s="500"/>
      <c r="AL6939" s="500"/>
      <c r="AM6939" s="500"/>
      <c r="AN6939" s="500"/>
      <c r="AO6939" s="500"/>
      <c r="AP6939" s="500"/>
    </row>
    <row r="6940" spans="1:42" ht="16.5" customHeight="1">
      <c r="A6940" s="439"/>
      <c r="B6940" s="439"/>
      <c r="C6940" s="517"/>
      <c r="D6940" s="517"/>
      <c r="E6940" s="517"/>
      <c r="F6940" s="517"/>
      <c r="G6940" s="451" t="s">
        <v>3406</v>
      </c>
      <c r="Z6940" s="500"/>
      <c r="AA6940" s="500"/>
      <c r="AB6940" s="500"/>
      <c r="AC6940" s="500"/>
      <c r="AD6940" s="500"/>
      <c r="AE6940" s="500"/>
      <c r="AF6940" s="500"/>
      <c r="AG6940" s="500"/>
      <c r="AH6940" s="500"/>
      <c r="AI6940" s="500"/>
      <c r="AJ6940" s="500"/>
      <c r="AK6940" s="500"/>
      <c r="AL6940" s="500"/>
      <c r="AM6940" s="500"/>
      <c r="AN6940" s="500"/>
      <c r="AO6940" s="500"/>
      <c r="AP6940" s="500"/>
    </row>
    <row r="6941" spans="1:42" ht="16.5" customHeight="1">
      <c r="A6941" s="439"/>
      <c r="B6941" s="439"/>
      <c r="C6941" s="439"/>
      <c r="D6941" s="439"/>
      <c r="E6941" s="439"/>
      <c r="F6941" s="439"/>
      <c r="G6941" s="451" t="s">
        <v>3406</v>
      </c>
      <c r="Z6941" s="500"/>
      <c r="AA6941" s="500"/>
      <c r="AB6941" s="500"/>
      <c r="AC6941" s="500"/>
      <c r="AD6941" s="500"/>
      <c r="AE6941" s="500"/>
      <c r="AF6941" s="500"/>
      <c r="AG6941" s="500"/>
      <c r="AH6941" s="500"/>
      <c r="AI6941" s="500"/>
      <c r="AJ6941" s="500"/>
      <c r="AK6941" s="500"/>
      <c r="AL6941" s="500"/>
      <c r="AM6941" s="500"/>
      <c r="AN6941" s="500"/>
      <c r="AO6941" s="500"/>
      <c r="AP6941" s="500"/>
    </row>
    <row r="6942" spans="1:42" ht="16.5" customHeight="1">
      <c r="A6942" s="434" t="s">
        <v>3997</v>
      </c>
      <c r="B6942" s="505" t="str">
        <f>" 경비로 적용 : "&amp;TEXT(I6942,"#,##0"&amp;IF(I6942&lt;&gt;INT(I6942),".###",""))&amp;"  = "&amp;TEXT(C6942,"#,##0.0")&amp;""</f>
        <v xml:space="preserve"> 경비로 적용 : 691,036.1  = 691,036.1</v>
      </c>
      <c r="C6942" s="506">
        <f>E6942+D6942+F6942</f>
        <v>691036.1</v>
      </c>
      <c r="D6942" s="506">
        <f>IF(H6942=0,0,ROUNDDOWN(J6942*H6942,1))</f>
        <v>0</v>
      </c>
      <c r="E6942" s="506">
        <f>IF(H6942=0,0,ROUNDDOWN(K6942*H6942,1))</f>
        <v>0</v>
      </c>
      <c r="F6942" s="506">
        <f>IF(H6942=0,0,ROUNDDOWN(L6942*H6942,1))</f>
        <v>691036.1</v>
      </c>
      <c r="G6942" s="451" t="s">
        <v>3998</v>
      </c>
      <c r="H6942" s="507">
        <f>ROUNDUP(AB6942,14-LEN(ABS(INT(AB6942))))</f>
        <v>1</v>
      </c>
      <c r="I6942" s="508">
        <f>K6942+J6942+L6942</f>
        <v>691036.1</v>
      </c>
      <c r="J6942" s="456">
        <v>0</v>
      </c>
      <c r="K6942" s="456">
        <v>0</v>
      </c>
      <c r="L6942" s="518">
        <v>691036.1</v>
      </c>
      <c r="M6942" s="501" t="s">
        <v>3999</v>
      </c>
      <c r="N6942" s="501" t="s">
        <v>2354</v>
      </c>
      <c r="Z6942" s="501" t="s">
        <v>4000</v>
      </c>
      <c r="AA6942" s="501" t="s">
        <v>3418</v>
      </c>
      <c r="AB6942" s="512">
        <f>1</f>
        <v>1</v>
      </c>
      <c r="AC6942" s="500"/>
      <c r="AD6942" s="500"/>
      <c r="AE6942" s="500"/>
      <c r="AF6942" s="500"/>
      <c r="AG6942" s="500"/>
      <c r="AH6942" s="500"/>
      <c r="AI6942" s="500"/>
      <c r="AJ6942" s="500"/>
      <c r="AK6942" s="500"/>
      <c r="AL6942" s="500"/>
      <c r="AM6942" s="500"/>
      <c r="AN6942" s="500"/>
      <c r="AO6942" s="500"/>
      <c r="AP6942" s="500"/>
    </row>
    <row r="6943" spans="1:42" ht="16.5" customHeight="1">
      <c r="A6943" s="439"/>
      <c r="B6943" s="439"/>
      <c r="C6943" s="439"/>
      <c r="D6943" s="439"/>
      <c r="E6943" s="439"/>
      <c r="F6943" s="439"/>
      <c r="Z6943" s="500"/>
      <c r="AA6943" s="500"/>
      <c r="AB6943" s="500"/>
      <c r="AC6943" s="500"/>
      <c r="AD6943" s="500"/>
      <c r="AE6943" s="500"/>
      <c r="AF6943" s="500"/>
      <c r="AG6943" s="500"/>
      <c r="AH6943" s="500"/>
      <c r="AI6943" s="500"/>
      <c r="AJ6943" s="500"/>
      <c r="AK6943" s="500"/>
      <c r="AL6943" s="500"/>
      <c r="AM6943" s="500"/>
      <c r="AN6943" s="500"/>
      <c r="AO6943" s="500"/>
      <c r="AP6943" s="500"/>
    </row>
    <row r="6944" spans="1:42" ht="16.5" customHeight="1">
      <c r="A6944" s="439"/>
      <c r="B6944" s="439"/>
      <c r="C6944" s="439"/>
      <c r="D6944" s="439"/>
      <c r="E6944" s="439"/>
      <c r="F6944" s="439"/>
      <c r="Z6944" s="500"/>
      <c r="AA6944" s="500"/>
      <c r="AB6944" s="500"/>
      <c r="AC6944" s="500"/>
      <c r="AD6944" s="500"/>
      <c r="AE6944" s="500"/>
      <c r="AF6944" s="500"/>
      <c r="AG6944" s="500"/>
      <c r="AH6944" s="500"/>
      <c r="AI6944" s="500"/>
      <c r="AJ6944" s="500"/>
      <c r="AK6944" s="500"/>
      <c r="AL6944" s="500"/>
      <c r="AM6944" s="500"/>
      <c r="AN6944" s="500"/>
      <c r="AO6944" s="500"/>
      <c r="AP6944" s="500"/>
    </row>
    <row r="6945" spans="1:42" ht="16.5" customHeight="1">
      <c r="A6945" s="439"/>
      <c r="B6945" s="439"/>
      <c r="C6945" s="439"/>
      <c r="D6945" s="439"/>
      <c r="E6945" s="439"/>
      <c r="F6945" s="439"/>
      <c r="Z6945" s="500"/>
      <c r="AA6945" s="500"/>
      <c r="AB6945" s="500"/>
      <c r="AC6945" s="500"/>
      <c r="AD6945" s="500"/>
      <c r="AE6945" s="500"/>
      <c r="AF6945" s="500"/>
      <c r="AG6945" s="500"/>
      <c r="AH6945" s="500"/>
      <c r="AI6945" s="500"/>
      <c r="AJ6945" s="500"/>
      <c r="AK6945" s="500"/>
      <c r="AL6945" s="500"/>
      <c r="AM6945" s="500"/>
      <c r="AN6945" s="500"/>
      <c r="AO6945" s="500"/>
      <c r="AP6945" s="500"/>
    </row>
    <row r="6946" spans="1:42" ht="16.5" customHeight="1">
      <c r="A6946" s="439"/>
      <c r="B6946" s="439"/>
      <c r="C6946" s="439"/>
      <c r="D6946" s="439"/>
      <c r="E6946" s="439"/>
      <c r="F6946" s="439"/>
      <c r="Z6946" s="500"/>
      <c r="AA6946" s="500"/>
      <c r="AB6946" s="500"/>
      <c r="AC6946" s="500"/>
      <c r="AD6946" s="500"/>
      <c r="AE6946" s="500"/>
      <c r="AF6946" s="500"/>
      <c r="AG6946" s="500"/>
      <c r="AH6946" s="500"/>
      <c r="AI6946" s="500"/>
      <c r="AJ6946" s="500"/>
      <c r="AK6946" s="500"/>
      <c r="AL6946" s="500"/>
      <c r="AM6946" s="500"/>
      <c r="AN6946" s="500"/>
      <c r="AO6946" s="500"/>
      <c r="AP6946" s="500"/>
    </row>
    <row r="6947" spans="1:42" ht="16.5" customHeight="1">
      <c r="A6947" s="439"/>
      <c r="B6947" s="439"/>
      <c r="C6947" s="439"/>
      <c r="D6947" s="439"/>
      <c r="E6947" s="439"/>
      <c r="F6947" s="439"/>
      <c r="Z6947" s="500"/>
      <c r="AA6947" s="500"/>
      <c r="AB6947" s="500"/>
      <c r="AC6947" s="500"/>
      <c r="AD6947" s="500"/>
      <c r="AE6947" s="500"/>
      <c r="AF6947" s="500"/>
      <c r="AG6947" s="500"/>
      <c r="AH6947" s="500"/>
      <c r="AI6947" s="500"/>
      <c r="AJ6947" s="500"/>
      <c r="AK6947" s="500"/>
      <c r="AL6947" s="500"/>
      <c r="AM6947" s="500"/>
      <c r="AN6947" s="500"/>
      <c r="AO6947" s="500"/>
      <c r="AP6947" s="500"/>
    </row>
    <row r="6948" spans="1:42" ht="16.5" customHeight="1">
      <c r="A6948" s="439"/>
      <c r="B6948" s="439"/>
      <c r="C6948" s="439"/>
      <c r="D6948" s="439"/>
      <c r="E6948" s="439"/>
      <c r="F6948" s="439"/>
      <c r="Z6948" s="500"/>
      <c r="AA6948" s="500"/>
      <c r="AB6948" s="500"/>
      <c r="AC6948" s="500"/>
      <c r="AD6948" s="500"/>
      <c r="AE6948" s="500"/>
      <c r="AF6948" s="500"/>
      <c r="AG6948" s="500"/>
      <c r="AH6948" s="500"/>
      <c r="AI6948" s="500"/>
      <c r="AJ6948" s="500"/>
      <c r="AK6948" s="500"/>
      <c r="AL6948" s="500"/>
      <c r="AM6948" s="500"/>
      <c r="AN6948" s="500"/>
      <c r="AO6948" s="500"/>
      <c r="AP6948" s="500"/>
    </row>
    <row r="6949" spans="1:42" ht="16.5" customHeight="1">
      <c r="A6949" s="439"/>
      <c r="B6949" s="439"/>
      <c r="C6949" s="439"/>
      <c r="D6949" s="439"/>
      <c r="E6949" s="439"/>
      <c r="F6949" s="439"/>
      <c r="Z6949" s="500"/>
      <c r="AA6949" s="500"/>
      <c r="AB6949" s="500"/>
      <c r="AC6949" s="500"/>
      <c r="AD6949" s="500"/>
      <c r="AE6949" s="500"/>
      <c r="AF6949" s="500"/>
      <c r="AG6949" s="500"/>
      <c r="AH6949" s="500"/>
      <c r="AI6949" s="500"/>
      <c r="AJ6949" s="500"/>
      <c r="AK6949" s="500"/>
      <c r="AL6949" s="500"/>
      <c r="AM6949" s="500"/>
      <c r="AN6949" s="500"/>
      <c r="AO6949" s="500"/>
      <c r="AP6949" s="500"/>
    </row>
    <row r="6950" spans="1:42" ht="16.5" customHeight="1">
      <c r="A6950" s="439"/>
      <c r="B6950" s="439"/>
      <c r="C6950" s="439"/>
      <c r="D6950" s="439"/>
      <c r="E6950" s="439"/>
      <c r="F6950" s="439"/>
      <c r="Z6950" s="500"/>
      <c r="AA6950" s="500"/>
      <c r="AB6950" s="500"/>
      <c r="AC6950" s="500"/>
      <c r="AD6950" s="500"/>
      <c r="AE6950" s="500"/>
      <c r="AF6950" s="500"/>
      <c r="AG6950" s="500"/>
      <c r="AH6950" s="500"/>
      <c r="AI6950" s="500"/>
      <c r="AJ6950" s="500"/>
      <c r="AK6950" s="500"/>
      <c r="AL6950" s="500"/>
      <c r="AM6950" s="500"/>
      <c r="AN6950" s="500"/>
      <c r="AO6950" s="500"/>
      <c r="AP6950" s="500"/>
    </row>
    <row r="6951" spans="1:42" ht="16.5" customHeight="1">
      <c r="A6951" s="439"/>
      <c r="B6951" s="439"/>
      <c r="C6951" s="439"/>
      <c r="D6951" s="439"/>
      <c r="E6951" s="439"/>
      <c r="F6951" s="439"/>
      <c r="Z6951" s="500"/>
      <c r="AA6951" s="500"/>
      <c r="AB6951" s="500"/>
      <c r="AC6951" s="500"/>
      <c r="AD6951" s="500"/>
      <c r="AE6951" s="500"/>
      <c r="AF6951" s="500"/>
      <c r="AG6951" s="500"/>
      <c r="AH6951" s="500"/>
      <c r="AI6951" s="500"/>
      <c r="AJ6951" s="500"/>
      <c r="AK6951" s="500"/>
      <c r="AL6951" s="500"/>
      <c r="AM6951" s="500"/>
      <c r="AN6951" s="500"/>
      <c r="AO6951" s="500"/>
      <c r="AP6951" s="500"/>
    </row>
    <row r="6952" spans="1:42" ht="16.5" customHeight="1">
      <c r="A6952" s="439"/>
      <c r="B6952" s="439"/>
      <c r="C6952" s="439"/>
      <c r="D6952" s="439"/>
      <c r="E6952" s="439"/>
      <c r="F6952" s="439"/>
      <c r="Z6952" s="500"/>
      <c r="AA6952" s="500"/>
      <c r="AB6952" s="500"/>
      <c r="AC6952" s="500"/>
      <c r="AD6952" s="500"/>
      <c r="AE6952" s="500"/>
      <c r="AF6952" s="500"/>
      <c r="AG6952" s="500"/>
      <c r="AH6952" s="500"/>
      <c r="AI6952" s="500"/>
      <c r="AJ6952" s="500"/>
      <c r="AK6952" s="500"/>
      <c r="AL6952" s="500"/>
      <c r="AM6952" s="500"/>
      <c r="AN6952" s="500"/>
      <c r="AO6952" s="500"/>
      <c r="AP6952" s="500"/>
    </row>
    <row r="6953" spans="1:42" ht="16.5" customHeight="1">
      <c r="A6953" s="497"/>
      <c r="B6953" s="497"/>
      <c r="C6953" s="497"/>
      <c r="D6953" s="497"/>
      <c r="E6953" s="497"/>
      <c r="F6953" s="497"/>
      <c r="Z6953" s="500"/>
      <c r="AA6953" s="500"/>
      <c r="AB6953" s="500"/>
      <c r="AC6953" s="500"/>
      <c r="AD6953" s="500"/>
      <c r="AE6953" s="500"/>
      <c r="AF6953" s="500"/>
      <c r="AG6953" s="500"/>
      <c r="AH6953" s="500"/>
      <c r="AI6953" s="500"/>
      <c r="AJ6953" s="500"/>
      <c r="AK6953" s="500"/>
      <c r="AL6953" s="500"/>
      <c r="AM6953" s="500"/>
      <c r="AN6953" s="500"/>
      <c r="AO6953" s="500"/>
      <c r="AP6953" s="500"/>
    </row>
    <row r="6954" spans="1:42" ht="16.5" customHeight="1">
      <c r="A6954" s="616" t="s">
        <v>3487</v>
      </c>
      <c r="B6954" s="605"/>
      <c r="C6954" s="446">
        <f>E6954+D6954+F6954</f>
        <v>691036</v>
      </c>
      <c r="D6954" s="453">
        <f>ROUNDDOWN(SUMIF(N6907:N6942,M6954,D6907:D6942),0)</f>
        <v>0</v>
      </c>
      <c r="E6954" s="454">
        <f>ROUNDDOWN(SUMIF(N6907:N6942,M6954,E6907:E6942),0)</f>
        <v>0</v>
      </c>
      <c r="F6954" s="446">
        <f>ROUNDDOWN(SUMIF(N6907:N6942,M6954,F6907:F6942),0)</f>
        <v>691036</v>
      </c>
      <c r="M6954" s="501" t="s">
        <v>2354</v>
      </c>
      <c r="Z6954" s="500"/>
      <c r="AA6954" s="500"/>
      <c r="AB6954" s="500"/>
      <c r="AC6954" s="500"/>
      <c r="AD6954" s="500"/>
      <c r="AE6954" s="500"/>
      <c r="AF6954" s="500"/>
      <c r="AG6954" s="500"/>
      <c r="AH6954" s="500"/>
      <c r="AI6954" s="500"/>
      <c r="AJ6954" s="500"/>
      <c r="AK6954" s="500"/>
      <c r="AL6954" s="500"/>
      <c r="AM6954" s="500"/>
      <c r="AN6954" s="500"/>
      <c r="AO6954" s="500"/>
      <c r="AP6954" s="500"/>
    </row>
    <row r="6955" spans="1:42" ht="16.5" customHeight="1">
      <c r="A6955" s="502"/>
      <c r="B6955" s="503" t="s">
        <v>2201</v>
      </c>
      <c r="C6955" s="615">
        <f>C7004</f>
        <v>728330</v>
      </c>
      <c r="D6955" s="615">
        <f>D7004</f>
        <v>0</v>
      </c>
      <c r="E6955" s="615">
        <f>E7004</f>
        <v>0</v>
      </c>
      <c r="F6955" s="615">
        <f>F7004</f>
        <v>728330</v>
      </c>
      <c r="G6955" s="486" t="str">
        <f>HYPERLINK("#G"&amp;ROW(G6992),"_x0005_`BDCOD|D01196_x0007_`POSS|"&amp;ROW(G6957)&amp;"_x0007_`POSE|"&amp;ROW(G6992)&amp;"_x0007_`")</f>
        <v>_x0005_`BDCOD|D01196_x0007_`POSS|6957_x0007_`POSE|6992_x0007_`</v>
      </c>
      <c r="Z6955" s="500"/>
      <c r="AA6955" s="500"/>
      <c r="AB6955" s="500"/>
      <c r="AC6955" s="500"/>
      <c r="AD6955" s="500"/>
      <c r="AE6955" s="500"/>
      <c r="AF6955" s="500"/>
      <c r="AG6955" s="500"/>
      <c r="AH6955" s="500"/>
      <c r="AI6955" s="500"/>
      <c r="AJ6955" s="500"/>
      <c r="AK6955" s="500"/>
      <c r="AL6955" s="500"/>
      <c r="AM6955" s="500"/>
      <c r="AN6955" s="500"/>
      <c r="AO6955" s="500"/>
      <c r="AP6955" s="500"/>
    </row>
    <row r="6956" spans="1:42" ht="16.5" customHeight="1">
      <c r="A6956" s="485"/>
      <c r="B6956" s="503" t="s">
        <v>4105</v>
      </c>
      <c r="C6956" s="593"/>
      <c r="D6956" s="593"/>
      <c r="E6956" s="593"/>
      <c r="F6956" s="593"/>
      <c r="M6956" s="501" t="s">
        <v>2201</v>
      </c>
      <c r="Z6956" s="500"/>
      <c r="AA6956" s="500"/>
      <c r="AB6956" s="500"/>
      <c r="AC6956" s="500"/>
      <c r="AD6956" s="500"/>
      <c r="AE6956" s="500"/>
      <c r="AF6956" s="500"/>
      <c r="AG6956" s="500"/>
      <c r="AH6956" s="500"/>
      <c r="AI6956" s="500"/>
      <c r="AJ6956" s="500"/>
      <c r="AK6956" s="500"/>
      <c r="AL6956" s="500"/>
      <c r="AM6956" s="500"/>
      <c r="AN6956" s="500"/>
      <c r="AO6956" s="500"/>
      <c r="AP6956" s="500"/>
    </row>
    <row r="6957" spans="1:42" ht="16.5" customHeight="1">
      <c r="A6957" s="434"/>
      <c r="B6957" s="437" t="s">
        <v>3980</v>
      </c>
      <c r="C6957" s="504"/>
      <c r="D6957" s="504"/>
      <c r="E6957" s="504"/>
      <c r="F6957" s="504"/>
      <c r="G6957" s="451" t="s">
        <v>3981</v>
      </c>
      <c r="Z6957" s="500"/>
      <c r="AA6957" s="500"/>
      <c r="AB6957" s="500"/>
      <c r="AC6957" s="500"/>
      <c r="AD6957" s="500"/>
      <c r="AE6957" s="500"/>
      <c r="AF6957" s="500"/>
      <c r="AG6957" s="500"/>
      <c r="AH6957" s="500"/>
      <c r="AI6957" s="500"/>
      <c r="AJ6957" s="500"/>
      <c r="AK6957" s="500"/>
      <c r="AL6957" s="500"/>
      <c r="AM6957" s="500"/>
      <c r="AN6957" s="500"/>
      <c r="AO6957" s="500"/>
      <c r="AP6957" s="500"/>
    </row>
    <row r="6958" spans="1:42" ht="16.5" customHeight="1">
      <c r="A6958" s="439"/>
      <c r="B6958" s="439"/>
      <c r="C6958" s="439"/>
      <c r="D6958" s="439"/>
      <c r="E6958" s="439"/>
      <c r="F6958" s="439"/>
      <c r="G6958" s="451" t="s">
        <v>3406</v>
      </c>
      <c r="Z6958" s="500"/>
      <c r="AA6958" s="500"/>
      <c r="AB6958" s="500"/>
      <c r="AC6958" s="500"/>
      <c r="AD6958" s="500"/>
      <c r="AE6958" s="500"/>
      <c r="AF6958" s="500"/>
      <c r="AG6958" s="500"/>
      <c r="AH6958" s="500"/>
      <c r="AI6958" s="500"/>
      <c r="AJ6958" s="500"/>
      <c r="AK6958" s="500"/>
      <c r="AL6958" s="500"/>
      <c r="AM6958" s="500"/>
      <c r="AN6958" s="500"/>
      <c r="AO6958" s="500"/>
      <c r="AP6958" s="500"/>
    </row>
    <row r="6959" spans="1:42" ht="16.5" customHeight="1">
      <c r="A6959" s="434"/>
      <c r="B6959" s="437" t="s">
        <v>4106</v>
      </c>
      <c r="C6959" s="439"/>
      <c r="D6959" s="439"/>
      <c r="E6959" s="439"/>
      <c r="F6959" s="439"/>
      <c r="G6959" s="451" t="s">
        <v>4107</v>
      </c>
      <c r="Z6959" s="500"/>
      <c r="AA6959" s="500"/>
      <c r="AB6959" s="500"/>
      <c r="AC6959" s="500"/>
      <c r="AD6959" s="500"/>
      <c r="AE6959" s="500"/>
      <c r="AF6959" s="500"/>
      <c r="AG6959" s="500"/>
      <c r="AH6959" s="500"/>
      <c r="AI6959" s="500"/>
      <c r="AJ6959" s="500"/>
      <c r="AK6959" s="500"/>
      <c r="AL6959" s="500"/>
      <c r="AM6959" s="500"/>
      <c r="AN6959" s="500"/>
      <c r="AO6959" s="500"/>
      <c r="AP6959" s="500"/>
    </row>
    <row r="6960" spans="1:42" ht="16.5" customHeight="1">
      <c r="A6960" s="439"/>
      <c r="B6960" s="439"/>
      <c r="C6960" s="439"/>
      <c r="D6960" s="439"/>
      <c r="E6960" s="439"/>
      <c r="F6960" s="439"/>
      <c r="G6960" s="451" t="s">
        <v>3406</v>
      </c>
      <c r="Z6960" s="500"/>
      <c r="AA6960" s="500"/>
      <c r="AB6960" s="500"/>
      <c r="AC6960" s="500"/>
      <c r="AD6960" s="500"/>
      <c r="AE6960" s="500"/>
      <c r="AF6960" s="500"/>
      <c r="AG6960" s="500"/>
      <c r="AH6960" s="500"/>
      <c r="AI6960" s="500"/>
      <c r="AJ6960" s="500"/>
      <c r="AK6960" s="500"/>
      <c r="AL6960" s="500"/>
      <c r="AM6960" s="500"/>
      <c r="AN6960" s="500"/>
      <c r="AO6960" s="500"/>
      <c r="AP6960" s="500"/>
    </row>
    <row r="6961" spans="1:42" ht="16.5" customHeight="1">
      <c r="A6961" s="439"/>
      <c r="B6961" s="439"/>
      <c r="C6961" s="439"/>
      <c r="D6961" s="439"/>
      <c r="E6961" s="439"/>
      <c r="F6961" s="439"/>
      <c r="G6961" s="451" t="s">
        <v>3406</v>
      </c>
      <c r="Z6961" s="500"/>
      <c r="AA6961" s="500"/>
      <c r="AB6961" s="500"/>
      <c r="AC6961" s="500"/>
      <c r="AD6961" s="500"/>
      <c r="AE6961" s="500"/>
      <c r="AF6961" s="500"/>
      <c r="AG6961" s="500"/>
      <c r="AH6961" s="500"/>
      <c r="AI6961" s="500"/>
      <c r="AJ6961" s="500"/>
      <c r="AK6961" s="500"/>
      <c r="AL6961" s="500"/>
      <c r="AM6961" s="500"/>
      <c r="AN6961" s="500"/>
      <c r="AO6961" s="500"/>
      <c r="AP6961" s="500"/>
    </row>
    <row r="6962" spans="1:42" ht="16.5" customHeight="1">
      <c r="A6962" s="434"/>
      <c r="B6962" s="437" t="s">
        <v>3984</v>
      </c>
      <c r="C6962" s="439"/>
      <c r="D6962" s="439"/>
      <c r="E6962" s="439"/>
      <c r="F6962" s="439"/>
      <c r="G6962" s="451" t="s">
        <v>3985</v>
      </c>
      <c r="Z6962" s="500"/>
      <c r="AA6962" s="500"/>
      <c r="AB6962" s="500"/>
      <c r="AC6962" s="500"/>
      <c r="AD6962" s="500"/>
      <c r="AE6962" s="500"/>
      <c r="AF6962" s="500"/>
      <c r="AG6962" s="500"/>
      <c r="AH6962" s="500"/>
      <c r="AI6962" s="500"/>
      <c r="AJ6962" s="500"/>
      <c r="AK6962" s="500"/>
      <c r="AL6962" s="500"/>
      <c r="AM6962" s="500"/>
      <c r="AN6962" s="500"/>
      <c r="AO6962" s="500"/>
      <c r="AP6962" s="500"/>
    </row>
    <row r="6963" spans="1:42" ht="16.5" customHeight="1">
      <c r="A6963" s="439"/>
      <c r="B6963" s="439"/>
      <c r="C6963" s="439"/>
      <c r="D6963" s="439"/>
      <c r="E6963" s="439"/>
      <c r="F6963" s="439"/>
      <c r="G6963" s="451" t="s">
        <v>3406</v>
      </c>
      <c r="Z6963" s="500"/>
      <c r="AA6963" s="500"/>
      <c r="AB6963" s="500"/>
      <c r="AC6963" s="500"/>
      <c r="AD6963" s="500"/>
      <c r="AE6963" s="500"/>
      <c r="AF6963" s="500"/>
      <c r="AG6963" s="500"/>
      <c r="AH6963" s="500"/>
      <c r="AI6963" s="500"/>
      <c r="AJ6963" s="500"/>
      <c r="AK6963" s="500"/>
      <c r="AL6963" s="500"/>
      <c r="AM6963" s="500"/>
      <c r="AN6963" s="500"/>
      <c r="AO6963" s="500"/>
      <c r="AP6963" s="500"/>
    </row>
    <row r="6964" spans="1:42" ht="16.5" customHeight="1">
      <c r="A6964" s="439"/>
      <c r="B6964" s="439"/>
      <c r="C6964" s="439"/>
      <c r="D6964" s="439"/>
      <c r="E6964" s="439"/>
      <c r="F6964" s="439"/>
      <c r="G6964" s="451" t="s">
        <v>3406</v>
      </c>
      <c r="Z6964" s="500"/>
      <c r="AA6964" s="500"/>
      <c r="AB6964" s="500"/>
      <c r="AC6964" s="500"/>
      <c r="AD6964" s="500"/>
      <c r="AE6964" s="500"/>
      <c r="AF6964" s="500"/>
      <c r="AG6964" s="500"/>
      <c r="AH6964" s="500"/>
      <c r="AI6964" s="500"/>
      <c r="AJ6964" s="500"/>
      <c r="AK6964" s="500"/>
      <c r="AL6964" s="500"/>
      <c r="AM6964" s="500"/>
      <c r="AN6964" s="500"/>
      <c r="AO6964" s="500"/>
      <c r="AP6964" s="500"/>
    </row>
    <row r="6965" spans="1:42" ht="16.5" customHeight="1">
      <c r="A6965" s="434"/>
      <c r="B6965" s="437" t="s">
        <v>3986</v>
      </c>
      <c r="C6965" s="439"/>
      <c r="D6965" s="439"/>
      <c r="E6965" s="439"/>
      <c r="F6965" s="439"/>
      <c r="G6965" s="451" t="s">
        <v>3987</v>
      </c>
      <c r="Z6965" s="500"/>
      <c r="AA6965" s="500"/>
      <c r="AB6965" s="500"/>
      <c r="AC6965" s="500"/>
      <c r="AD6965" s="500"/>
      <c r="AE6965" s="500"/>
      <c r="AF6965" s="500"/>
      <c r="AG6965" s="500"/>
      <c r="AH6965" s="500"/>
      <c r="AI6965" s="500"/>
      <c r="AJ6965" s="500"/>
      <c r="AK6965" s="500"/>
      <c r="AL6965" s="500"/>
      <c r="AM6965" s="500"/>
      <c r="AN6965" s="500"/>
      <c r="AO6965" s="500"/>
      <c r="AP6965" s="500"/>
    </row>
    <row r="6966" spans="1:42" ht="16.5" customHeight="1">
      <c r="A6966" s="439"/>
      <c r="B6966" s="439"/>
      <c r="C6966" s="439"/>
      <c r="D6966" s="439"/>
      <c r="E6966" s="439"/>
      <c r="F6966" s="439"/>
      <c r="G6966" s="451" t="s">
        <v>3406</v>
      </c>
      <c r="Z6966" s="500"/>
      <c r="AA6966" s="500"/>
      <c r="AB6966" s="500"/>
      <c r="AC6966" s="500"/>
      <c r="AD6966" s="500"/>
      <c r="AE6966" s="500"/>
      <c r="AF6966" s="500"/>
      <c r="AG6966" s="500"/>
      <c r="AH6966" s="500"/>
      <c r="AI6966" s="500"/>
      <c r="AJ6966" s="500"/>
      <c r="AK6966" s="500"/>
      <c r="AL6966" s="500"/>
      <c r="AM6966" s="500"/>
      <c r="AN6966" s="500"/>
      <c r="AO6966" s="500"/>
      <c r="AP6966" s="500"/>
    </row>
    <row r="6967" spans="1:42" ht="16.5" customHeight="1">
      <c r="A6967" s="439"/>
      <c r="B6967" s="439"/>
      <c r="C6967" s="439"/>
      <c r="D6967" s="439"/>
      <c r="E6967" s="439"/>
      <c r="F6967" s="439"/>
      <c r="G6967" s="451" t="s">
        <v>3406</v>
      </c>
      <c r="Z6967" s="500"/>
      <c r="AA6967" s="500"/>
      <c r="AB6967" s="500"/>
      <c r="AC6967" s="500"/>
      <c r="AD6967" s="500"/>
      <c r="AE6967" s="500"/>
      <c r="AF6967" s="500"/>
      <c r="AG6967" s="500"/>
      <c r="AH6967" s="500"/>
      <c r="AI6967" s="500"/>
      <c r="AJ6967" s="500"/>
      <c r="AK6967" s="500"/>
      <c r="AL6967" s="500"/>
      <c r="AM6967" s="500"/>
      <c r="AN6967" s="500"/>
      <c r="AO6967" s="500"/>
      <c r="AP6967" s="500"/>
    </row>
    <row r="6968" spans="1:42" ht="16.5" customHeight="1">
      <c r="A6968" s="434"/>
      <c r="B6968" s="437" t="str">
        <f>" L = "&amp;Z6968&amp;" , V = "&amp;AD6968&amp;" , t = "&amp;AH6968&amp;"  , T = "&amp;AL6968&amp;"-"&amp;AN6968&amp;""</f>
        <v xml:space="preserve"> L = 950 , V = 2500 , t = 2  , T = 480-30</v>
      </c>
      <c r="C6968" s="439"/>
      <c r="D6968" s="439"/>
      <c r="E6968" s="439"/>
      <c r="F6968" s="439"/>
      <c r="G6968" s="451" t="s">
        <v>4108</v>
      </c>
      <c r="Z6968" s="515">
        <v>950</v>
      </c>
      <c r="AA6968" s="501" t="s">
        <v>3418</v>
      </c>
      <c r="AB6968" s="512">
        <f>Z6968</f>
        <v>950</v>
      </c>
      <c r="AC6968" s="514" t="s">
        <v>3427</v>
      </c>
      <c r="AD6968" s="515">
        <v>2500</v>
      </c>
      <c r="AE6968" s="501" t="s">
        <v>3418</v>
      </c>
      <c r="AF6968" s="512">
        <f>AD6968</f>
        <v>2500</v>
      </c>
      <c r="AG6968" s="514" t="s">
        <v>3427</v>
      </c>
      <c r="AH6968" s="515">
        <v>2</v>
      </c>
      <c r="AI6968" s="501" t="s">
        <v>3418</v>
      </c>
      <c r="AJ6968" s="512">
        <f>AH6968</f>
        <v>2</v>
      </c>
      <c r="AK6968" s="514" t="s">
        <v>3427</v>
      </c>
      <c r="AL6968" s="515">
        <v>480</v>
      </c>
      <c r="AM6968" s="501" t="s">
        <v>3474</v>
      </c>
      <c r="AN6968" s="515">
        <v>30</v>
      </c>
      <c r="AO6968" s="501" t="s">
        <v>3418</v>
      </c>
      <c r="AP6968" s="512">
        <f>AL6968-AN6968</f>
        <v>450</v>
      </c>
    </row>
    <row r="6969" spans="1:42" ht="16.5" customHeight="1">
      <c r="A6969" s="439"/>
      <c r="B6969" s="439"/>
      <c r="C6969" s="439"/>
      <c r="D6969" s="439"/>
      <c r="E6969" s="439"/>
      <c r="F6969" s="439"/>
      <c r="G6969" s="451" t="s">
        <v>3406</v>
      </c>
      <c r="Z6969" s="500"/>
      <c r="AA6969" s="500"/>
      <c r="AB6969" s="500"/>
      <c r="AC6969" s="500"/>
      <c r="AD6969" s="500"/>
      <c r="AE6969" s="500"/>
      <c r="AF6969" s="500"/>
      <c r="AG6969" s="500"/>
      <c r="AH6969" s="500"/>
      <c r="AI6969" s="500"/>
      <c r="AJ6969" s="500"/>
      <c r="AK6969" s="500"/>
      <c r="AL6969" s="500"/>
      <c r="AM6969" s="500"/>
      <c r="AN6969" s="500"/>
      <c r="AO6969" s="500"/>
      <c r="AP6969" s="500"/>
    </row>
    <row r="6970" spans="1:42" ht="16.5" customHeight="1">
      <c r="A6970" s="439"/>
      <c r="B6970" s="439"/>
      <c r="C6970" s="439"/>
      <c r="D6970" s="439"/>
      <c r="E6970" s="439"/>
      <c r="F6970" s="439"/>
      <c r="G6970" s="451" t="s">
        <v>3406</v>
      </c>
      <c r="Z6970" s="500"/>
      <c r="AA6970" s="500"/>
      <c r="AB6970" s="500"/>
      <c r="AC6970" s="500"/>
      <c r="AD6970" s="500"/>
      <c r="AE6970" s="500"/>
      <c r="AF6970" s="500"/>
      <c r="AG6970" s="500"/>
      <c r="AH6970" s="500"/>
      <c r="AI6970" s="500"/>
      <c r="AJ6970" s="500"/>
      <c r="AK6970" s="500"/>
      <c r="AL6970" s="500"/>
      <c r="AM6970" s="500"/>
      <c r="AN6970" s="500"/>
      <c r="AO6970" s="500"/>
      <c r="AP6970" s="500"/>
    </row>
    <row r="6971" spans="1:42" ht="16.5" customHeight="1">
      <c r="A6971" s="439"/>
      <c r="B6971" s="439"/>
      <c r="C6971" s="439"/>
      <c r="D6971" s="439"/>
      <c r="E6971" s="439"/>
      <c r="F6971" s="439"/>
      <c r="G6971" s="451" t="s">
        <v>3406</v>
      </c>
      <c r="Z6971" s="500"/>
      <c r="AA6971" s="500"/>
      <c r="AB6971" s="500"/>
      <c r="AC6971" s="500"/>
      <c r="AD6971" s="500"/>
      <c r="AE6971" s="500"/>
      <c r="AF6971" s="500"/>
      <c r="AG6971" s="500"/>
      <c r="AH6971" s="500"/>
      <c r="AI6971" s="500"/>
      <c r="AJ6971" s="500"/>
      <c r="AK6971" s="500"/>
      <c r="AL6971" s="500"/>
      <c r="AM6971" s="500"/>
      <c r="AN6971" s="500"/>
      <c r="AO6971" s="500"/>
      <c r="AP6971" s="500"/>
    </row>
    <row r="6972" spans="1:42" ht="16.5" customHeight="1">
      <c r="A6972" s="434"/>
      <c r="B6972" s="437" t="str">
        <f>" N = V*T /( "&amp;AD6972&amp;"*L+V*"&amp;AJ6972&amp;" ) = "&amp;AM6972&amp;" 회/일 "</f>
        <v xml:space="preserve"> N = V*T /( 120*L+V*2 ) = 9.45 회/일 </v>
      </c>
      <c r="C6972" s="439"/>
      <c r="D6972" s="439"/>
      <c r="E6972" s="439"/>
      <c r="F6972" s="439"/>
      <c r="G6972" s="451" t="s">
        <v>3989</v>
      </c>
      <c r="Z6972" s="512">
        <f>AF6968</f>
        <v>2500</v>
      </c>
      <c r="AA6972" s="501" t="s">
        <v>3368</v>
      </c>
      <c r="AB6972" s="512">
        <f>AP6968</f>
        <v>450</v>
      </c>
      <c r="AC6972" s="501" t="s">
        <v>3463</v>
      </c>
      <c r="AD6972" s="515">
        <v>120</v>
      </c>
      <c r="AE6972" s="501" t="s">
        <v>3368</v>
      </c>
      <c r="AF6972" s="512">
        <f>AB6968</f>
        <v>950</v>
      </c>
      <c r="AG6972" s="501" t="s">
        <v>3468</v>
      </c>
      <c r="AH6972" s="512">
        <f>AF6968</f>
        <v>2500</v>
      </c>
      <c r="AI6972" s="501" t="s">
        <v>3368</v>
      </c>
      <c r="AJ6972" s="515">
        <v>2</v>
      </c>
      <c r="AK6972" s="501" t="s">
        <v>3464</v>
      </c>
      <c r="AL6972" s="501" t="s">
        <v>3418</v>
      </c>
      <c r="AM6972" s="512" t="str">
        <f>TEXT(ROUND(AF6968*AP6968/(AD6972*AB6968+AF6968*AJ6972),2),"#,0.00")</f>
        <v>9.45</v>
      </c>
      <c r="AN6972" s="500"/>
      <c r="AO6972" s="500"/>
      <c r="AP6972" s="500"/>
    </row>
    <row r="6973" spans="1:42" ht="16.5" customHeight="1">
      <c r="A6973" s="439"/>
      <c r="B6973" s="439"/>
      <c r="C6973" s="439"/>
      <c r="D6973" s="439"/>
      <c r="E6973" s="439"/>
      <c r="F6973" s="439"/>
      <c r="G6973" s="451" t="s">
        <v>3406</v>
      </c>
      <c r="Z6973" s="500"/>
      <c r="AA6973" s="500"/>
      <c r="AB6973" s="500"/>
      <c r="AC6973" s="500"/>
      <c r="AD6973" s="500"/>
      <c r="AE6973" s="500"/>
      <c r="AF6973" s="500"/>
      <c r="AG6973" s="500"/>
      <c r="AH6973" s="500"/>
      <c r="AI6973" s="500"/>
      <c r="AJ6973" s="500"/>
      <c r="AK6973" s="500"/>
      <c r="AL6973" s="500"/>
      <c r="AM6973" s="500"/>
      <c r="AN6973" s="500"/>
      <c r="AO6973" s="500"/>
      <c r="AP6973" s="500"/>
    </row>
    <row r="6974" spans="1:42" ht="16.5" customHeight="1">
      <c r="A6974" s="439"/>
      <c r="B6974" s="439"/>
      <c r="C6974" s="439"/>
      <c r="D6974" s="439"/>
      <c r="E6974" s="439"/>
      <c r="F6974" s="439"/>
      <c r="G6974" s="451" t="s">
        <v>3406</v>
      </c>
      <c r="Z6974" s="500"/>
      <c r="AA6974" s="500"/>
      <c r="AB6974" s="500"/>
      <c r="AC6974" s="500"/>
      <c r="AD6974" s="500"/>
      <c r="AE6974" s="500"/>
      <c r="AF6974" s="500"/>
      <c r="AG6974" s="500"/>
      <c r="AH6974" s="500"/>
      <c r="AI6974" s="500"/>
      <c r="AJ6974" s="500"/>
      <c r="AK6974" s="500"/>
      <c r="AL6974" s="500"/>
      <c r="AM6974" s="500"/>
      <c r="AN6974" s="500"/>
      <c r="AO6974" s="500"/>
      <c r="AP6974" s="500"/>
    </row>
    <row r="6975" spans="1:42" ht="16.5" customHeight="1">
      <c r="A6975" s="439"/>
      <c r="B6975" s="439"/>
      <c r="C6975" s="439"/>
      <c r="D6975" s="439"/>
      <c r="E6975" s="439"/>
      <c r="F6975" s="439"/>
      <c r="G6975" s="451" t="s">
        <v>3406</v>
      </c>
      <c r="Z6975" s="500"/>
      <c r="AA6975" s="500"/>
      <c r="AB6975" s="500"/>
      <c r="AC6975" s="500"/>
      <c r="AD6975" s="500"/>
      <c r="AE6975" s="500"/>
      <c r="AF6975" s="500"/>
      <c r="AG6975" s="500"/>
      <c r="AH6975" s="500"/>
      <c r="AI6975" s="500"/>
      <c r="AJ6975" s="500"/>
      <c r="AK6975" s="500"/>
      <c r="AL6975" s="500"/>
      <c r="AM6975" s="500"/>
      <c r="AN6975" s="500"/>
      <c r="AO6975" s="500"/>
      <c r="AP6975" s="500"/>
    </row>
    <row r="6976" spans="1:42" ht="16.5" customHeight="1">
      <c r="A6976" s="434"/>
      <c r="B6976" s="437" t="str">
        <f>" Q = N*"&amp;AB6976&amp;" ㎏ = "&amp;AD6976&amp;"  kg/일 "</f>
        <v xml:space="preserve"> Q = N*25 ㎏ = 236.25  kg/일 </v>
      </c>
      <c r="C6976" s="439"/>
      <c r="D6976" s="439"/>
      <c r="E6976" s="439"/>
      <c r="F6976" s="439"/>
      <c r="G6976" s="451" t="s">
        <v>3990</v>
      </c>
      <c r="Z6976" s="512" t="str">
        <f>AM6972</f>
        <v>9.45</v>
      </c>
      <c r="AA6976" s="501" t="s">
        <v>3368</v>
      </c>
      <c r="AB6976" s="515">
        <v>25</v>
      </c>
      <c r="AC6976" s="501" t="s">
        <v>3418</v>
      </c>
      <c r="AD6976" s="512" t="str">
        <f>TEXT(ROUND(AM6972*AB6976,2),"#,0.00")</f>
        <v>236.25</v>
      </c>
      <c r="AE6976" s="500"/>
      <c r="AF6976" s="500"/>
      <c r="AG6976" s="500"/>
      <c r="AH6976" s="500"/>
      <c r="AI6976" s="500"/>
      <c r="AJ6976" s="500"/>
      <c r="AK6976" s="500"/>
      <c r="AL6976" s="500"/>
      <c r="AM6976" s="500"/>
      <c r="AN6976" s="500"/>
      <c r="AO6976" s="500"/>
      <c r="AP6976" s="500"/>
    </row>
    <row r="6977" spans="1:42" ht="16.5" customHeight="1">
      <c r="A6977" s="439"/>
      <c r="B6977" s="439"/>
      <c r="C6977" s="439"/>
      <c r="D6977" s="439"/>
      <c r="E6977" s="439"/>
      <c r="F6977" s="439"/>
      <c r="G6977" s="451" t="s">
        <v>3406</v>
      </c>
      <c r="Z6977" s="500"/>
      <c r="AA6977" s="500"/>
      <c r="AB6977" s="500"/>
      <c r="AC6977" s="500"/>
      <c r="AD6977" s="500"/>
      <c r="AE6977" s="500"/>
      <c r="AF6977" s="500"/>
      <c r="AG6977" s="500"/>
      <c r="AH6977" s="500"/>
      <c r="AI6977" s="500"/>
      <c r="AJ6977" s="500"/>
      <c r="AK6977" s="500"/>
      <c r="AL6977" s="500"/>
      <c r="AM6977" s="500"/>
      <c r="AN6977" s="500"/>
      <c r="AO6977" s="500"/>
      <c r="AP6977" s="500"/>
    </row>
    <row r="6978" spans="1:42" ht="16.5" customHeight="1">
      <c r="A6978" s="439"/>
      <c r="B6978" s="439"/>
      <c r="C6978" s="439"/>
      <c r="D6978" s="439"/>
      <c r="E6978" s="439"/>
      <c r="F6978" s="439"/>
      <c r="G6978" s="451" t="s">
        <v>3406</v>
      </c>
      <c r="Z6978" s="500"/>
      <c r="AA6978" s="500"/>
      <c r="AB6978" s="500"/>
      <c r="AC6978" s="500"/>
      <c r="AD6978" s="500"/>
      <c r="AE6978" s="500"/>
      <c r="AF6978" s="500"/>
      <c r="AG6978" s="500"/>
      <c r="AH6978" s="500"/>
      <c r="AI6978" s="500"/>
      <c r="AJ6978" s="500"/>
      <c r="AK6978" s="500"/>
      <c r="AL6978" s="500"/>
      <c r="AM6978" s="500"/>
      <c r="AN6978" s="500"/>
      <c r="AO6978" s="500"/>
      <c r="AP6978" s="500"/>
    </row>
    <row r="6979" spans="1:42" ht="16.5" customHeight="1">
      <c r="A6979" s="439"/>
      <c r="B6979" s="439"/>
      <c r="C6979" s="439"/>
      <c r="D6979" s="439"/>
      <c r="E6979" s="439"/>
      <c r="F6979" s="439"/>
      <c r="G6979" s="451" t="s">
        <v>3406</v>
      </c>
      <c r="Z6979" s="500"/>
      <c r="AA6979" s="500"/>
      <c r="AB6979" s="500"/>
      <c r="AC6979" s="500"/>
      <c r="AD6979" s="500"/>
      <c r="AE6979" s="500"/>
      <c r="AF6979" s="500"/>
      <c r="AG6979" s="500"/>
      <c r="AH6979" s="500"/>
      <c r="AI6979" s="500"/>
      <c r="AJ6979" s="500"/>
      <c r="AK6979" s="500"/>
      <c r="AL6979" s="500"/>
      <c r="AM6979" s="500"/>
      <c r="AN6979" s="500"/>
      <c r="AO6979" s="500"/>
      <c r="AP6979" s="500"/>
    </row>
    <row r="6980" spans="1:42" ht="16.5" customHeight="1">
      <c r="A6980" s="434"/>
      <c r="B6980" s="437" t="str">
        <f>" k = "&amp;Z6980&amp;" kg /Q"</f>
        <v xml:space="preserve"> k = 1000 kg /Q</v>
      </c>
      <c r="C6980" s="439"/>
      <c r="D6980" s="439"/>
      <c r="E6980" s="439"/>
      <c r="F6980" s="439"/>
      <c r="G6980" s="451" t="s">
        <v>3991</v>
      </c>
      <c r="Z6980" s="515">
        <v>1000</v>
      </c>
      <c r="AA6980" s="501" t="s">
        <v>3428</v>
      </c>
      <c r="AB6980" s="512" t="str">
        <f>AD6976</f>
        <v>236.25</v>
      </c>
      <c r="AC6980" s="501" t="s">
        <v>3418</v>
      </c>
      <c r="AD6980" s="512">
        <f>ROUND(Z6980/AD6976,13)</f>
        <v>4.2328042328041997</v>
      </c>
      <c r="AE6980" s="500"/>
      <c r="AF6980" s="500"/>
      <c r="AG6980" s="500"/>
      <c r="AH6980" s="500"/>
      <c r="AI6980" s="500"/>
      <c r="AJ6980" s="500"/>
      <c r="AK6980" s="500"/>
      <c r="AL6980" s="500"/>
      <c r="AM6980" s="500"/>
      <c r="AN6980" s="500"/>
      <c r="AO6980" s="500"/>
      <c r="AP6980" s="500"/>
    </row>
    <row r="6981" spans="1:42" ht="16.5" customHeight="1">
      <c r="A6981" s="439"/>
      <c r="B6981" s="439"/>
      <c r="C6981" s="439"/>
      <c r="D6981" s="439"/>
      <c r="E6981" s="439"/>
      <c r="F6981" s="439"/>
      <c r="G6981" s="451" t="s">
        <v>3406</v>
      </c>
      <c r="Z6981" s="500"/>
      <c r="AA6981" s="500"/>
      <c r="AB6981" s="500"/>
      <c r="AC6981" s="500"/>
      <c r="AD6981" s="500"/>
      <c r="AE6981" s="500"/>
      <c r="AF6981" s="500"/>
      <c r="AG6981" s="500"/>
      <c r="AH6981" s="500"/>
      <c r="AI6981" s="500"/>
      <c r="AJ6981" s="500"/>
      <c r="AK6981" s="500"/>
      <c r="AL6981" s="500"/>
      <c r="AM6981" s="500"/>
      <c r="AN6981" s="500"/>
      <c r="AO6981" s="500"/>
      <c r="AP6981" s="500"/>
    </row>
    <row r="6982" spans="1:42" ht="16.5" customHeight="1">
      <c r="A6982" s="439"/>
      <c r="B6982" s="439"/>
      <c r="C6982" s="439"/>
      <c r="D6982" s="439"/>
      <c r="E6982" s="439"/>
      <c r="F6982" s="439"/>
      <c r="G6982" s="451" t="s">
        <v>3406</v>
      </c>
      <c r="Z6982" s="500"/>
      <c r="AA6982" s="500"/>
      <c r="AB6982" s="500"/>
      <c r="AC6982" s="500"/>
      <c r="AD6982" s="500"/>
      <c r="AE6982" s="500"/>
      <c r="AF6982" s="500"/>
      <c r="AG6982" s="500"/>
      <c r="AH6982" s="500"/>
      <c r="AI6982" s="500"/>
      <c r="AJ6982" s="500"/>
      <c r="AK6982" s="500"/>
      <c r="AL6982" s="500"/>
      <c r="AM6982" s="500"/>
      <c r="AN6982" s="500"/>
      <c r="AO6982" s="500"/>
      <c r="AP6982" s="500"/>
    </row>
    <row r="6983" spans="1:42" ht="16.5" customHeight="1">
      <c r="A6983" s="439"/>
      <c r="B6983" s="439"/>
      <c r="C6983" s="439"/>
      <c r="D6983" s="439"/>
      <c r="E6983" s="439"/>
      <c r="F6983" s="439"/>
      <c r="G6983" s="451" t="s">
        <v>3406</v>
      </c>
      <c r="Z6983" s="500"/>
      <c r="AA6983" s="500"/>
      <c r="AB6983" s="500"/>
      <c r="AC6983" s="500"/>
      <c r="AD6983" s="500"/>
      <c r="AE6983" s="500"/>
      <c r="AF6983" s="500"/>
      <c r="AG6983" s="500"/>
      <c r="AH6983" s="500"/>
      <c r="AI6983" s="500"/>
      <c r="AJ6983" s="500"/>
      <c r="AK6983" s="500"/>
      <c r="AL6983" s="500"/>
      <c r="AM6983" s="500"/>
      <c r="AN6983" s="500"/>
      <c r="AO6983" s="500"/>
      <c r="AP6983" s="500"/>
    </row>
    <row r="6984" spans="1:42" ht="16.5" customHeight="1">
      <c r="A6984" s="434" t="s">
        <v>3992</v>
      </c>
      <c r="B6984" s="505" t="str">
        <f>" 인    부: "&amp;TEXT(I6984,"#,##0"&amp;IF(I6984&lt;&gt;INT(I6984),".###",""))&amp;"*k = "&amp;TEXT(C6984,"#,##0.0")&amp;" 원 "</f>
        <v xml:space="preserve"> 인    부: 172,068*k = 728,330.1 원 </v>
      </c>
      <c r="C6984" s="506">
        <f>E6984+D6984+F6984</f>
        <v>728330.1</v>
      </c>
      <c r="D6984" s="506">
        <f>IF(H6984=0,0,ROUNDDOWN(J6984*H6984,1))</f>
        <v>728330.1</v>
      </c>
      <c r="E6984" s="506">
        <f>IF(H6984=0,0,ROUNDDOWN(K6984*H6984,1))</f>
        <v>0</v>
      </c>
      <c r="F6984" s="506">
        <f>IF(H6984=0,0,ROUNDDOWN(L6984*H6984,1))</f>
        <v>0</v>
      </c>
      <c r="G6984" s="451" t="s">
        <v>3993</v>
      </c>
      <c r="H6984" s="507">
        <f>ROUNDUP(AC6984,14-LEN(ABS(INT(AC6984))))</f>
        <v>4.2328042328041997</v>
      </c>
      <c r="I6984" s="508">
        <f>K6984+J6984+L6984</f>
        <v>172068</v>
      </c>
      <c r="J6984" s="509">
        <f>노무비목록표!E10</f>
        <v>172068</v>
      </c>
      <c r="M6984" s="501" t="s">
        <v>2363</v>
      </c>
      <c r="N6984" s="501" t="s">
        <v>3994</v>
      </c>
      <c r="X6984" s="510" t="str">
        <f>노무비목록표!B10&amp;" / "&amp;노무비목록표!C10</f>
        <v xml:space="preserve">보통인부 / </v>
      </c>
      <c r="Y6984" s="433" t="str">
        <f ca="1">HYPERLINK("#"&amp;노무비목록표!G2&amp;"!A"&amp;ROW(노무비목록표!A10),"L00017 →")</f>
        <v>L00017 →</v>
      </c>
      <c r="Z6984" s="501" t="s">
        <v>3500</v>
      </c>
      <c r="AA6984" s="512">
        <f>AD6980</f>
        <v>4.2328042328041997</v>
      </c>
      <c r="AB6984" s="501" t="s">
        <v>3418</v>
      </c>
      <c r="AC6984" s="512">
        <f>1*AD6980</f>
        <v>4.2328042328041997</v>
      </c>
      <c r="AD6984" s="500"/>
      <c r="AE6984" s="500"/>
      <c r="AF6984" s="500"/>
      <c r="AG6984" s="500"/>
      <c r="AH6984" s="500"/>
      <c r="AI6984" s="500"/>
      <c r="AJ6984" s="500"/>
      <c r="AK6984" s="500"/>
      <c r="AL6984" s="500"/>
      <c r="AM6984" s="500"/>
      <c r="AN6984" s="500"/>
      <c r="AO6984" s="500"/>
      <c r="AP6984" s="500"/>
    </row>
    <row r="6985" spans="1:42" ht="16.5" customHeight="1">
      <c r="A6985" s="439"/>
      <c r="B6985" s="439"/>
      <c r="C6985" s="439"/>
      <c r="D6985" s="439"/>
      <c r="E6985" s="439"/>
      <c r="F6985" s="439"/>
      <c r="G6985" s="451" t="s">
        <v>3406</v>
      </c>
      <c r="Z6985" s="500"/>
      <c r="AA6985" s="500"/>
      <c r="AB6985" s="500"/>
      <c r="AC6985" s="500"/>
      <c r="AD6985" s="500"/>
      <c r="AE6985" s="500"/>
      <c r="AF6985" s="500"/>
      <c r="AG6985" s="500"/>
      <c r="AH6985" s="500"/>
      <c r="AI6985" s="500"/>
      <c r="AJ6985" s="500"/>
      <c r="AK6985" s="500"/>
      <c r="AL6985" s="500"/>
      <c r="AM6985" s="500"/>
      <c r="AN6985" s="500"/>
      <c r="AO6985" s="500"/>
      <c r="AP6985" s="500"/>
    </row>
    <row r="6986" spans="1:42" ht="16.5" customHeight="1">
      <c r="A6986" s="439"/>
      <c r="B6986" s="439"/>
      <c r="C6986" s="439"/>
      <c r="D6986" s="439"/>
      <c r="E6986" s="439"/>
      <c r="F6986" s="439"/>
      <c r="G6986" s="451" t="s">
        <v>3406</v>
      </c>
      <c r="Z6986" s="500"/>
      <c r="AA6986" s="500"/>
      <c r="AB6986" s="500"/>
      <c r="AC6986" s="500"/>
      <c r="AD6986" s="500"/>
      <c r="AE6986" s="500"/>
      <c r="AF6986" s="500"/>
      <c r="AG6986" s="500"/>
      <c r="AH6986" s="500"/>
      <c r="AI6986" s="500"/>
      <c r="AJ6986" s="500"/>
      <c r="AK6986" s="500"/>
      <c r="AL6986" s="500"/>
      <c r="AM6986" s="500"/>
      <c r="AN6986" s="500"/>
      <c r="AO6986" s="500"/>
      <c r="AP6986" s="500"/>
    </row>
    <row r="6987" spans="1:42" ht="16.5" customHeight="1">
      <c r="A6987" s="439"/>
      <c r="B6987" s="439"/>
      <c r="C6987" s="439"/>
      <c r="D6987" s="439"/>
      <c r="E6987" s="439"/>
      <c r="F6987" s="439"/>
      <c r="G6987" s="451" t="s">
        <v>3406</v>
      </c>
      <c r="Z6987" s="500"/>
      <c r="AA6987" s="500"/>
      <c r="AB6987" s="500"/>
      <c r="AC6987" s="500"/>
      <c r="AD6987" s="500"/>
      <c r="AE6987" s="500"/>
      <c r="AF6987" s="500"/>
      <c r="AG6987" s="500"/>
      <c r="AH6987" s="500"/>
      <c r="AI6987" s="500"/>
      <c r="AJ6987" s="500"/>
      <c r="AK6987" s="500"/>
      <c r="AL6987" s="500"/>
      <c r="AM6987" s="500"/>
      <c r="AN6987" s="500"/>
      <c r="AO6987" s="500"/>
      <c r="AP6987" s="500"/>
    </row>
    <row r="6988" spans="1:42" ht="16.5" customHeight="1">
      <c r="A6988" s="439"/>
      <c r="B6988" s="439"/>
      <c r="C6988" s="439"/>
      <c r="D6988" s="439"/>
      <c r="E6988" s="439"/>
      <c r="F6988" s="439"/>
      <c r="G6988" s="451" t="s">
        <v>3406</v>
      </c>
      <c r="Z6988" s="500"/>
      <c r="AA6988" s="500"/>
      <c r="AB6988" s="500"/>
      <c r="AC6988" s="500"/>
      <c r="AD6988" s="500"/>
      <c r="AE6988" s="500"/>
      <c r="AF6988" s="500"/>
      <c r="AG6988" s="500"/>
      <c r="AH6988" s="500"/>
      <c r="AI6988" s="500"/>
      <c r="AJ6988" s="500"/>
      <c r="AK6988" s="500"/>
      <c r="AL6988" s="500"/>
      <c r="AM6988" s="500"/>
      <c r="AN6988" s="500"/>
      <c r="AO6988" s="500"/>
      <c r="AP6988" s="500"/>
    </row>
    <row r="6989" spans="1:42" ht="16.5" customHeight="1">
      <c r="A6989" s="434"/>
      <c r="B6989" s="437" t="s">
        <v>3995</v>
      </c>
      <c r="C6989" s="516">
        <f>E6989+D6989+F6989</f>
        <v>728330.1</v>
      </c>
      <c r="D6989" s="516">
        <f>SUMIF(N6957:N6988,M6989,D6957:D6988)</f>
        <v>728330.1</v>
      </c>
      <c r="E6989" s="516">
        <f>SUMIF(N6957:N6988,M6989,E6957:E6988)</f>
        <v>0</v>
      </c>
      <c r="F6989" s="516">
        <f>SUMIF(N6957:N6988,M6989,F6957:F6988)</f>
        <v>0</v>
      </c>
      <c r="G6989" s="451" t="s">
        <v>3996</v>
      </c>
      <c r="M6989" s="501" t="s">
        <v>3994</v>
      </c>
      <c r="Z6989" s="500"/>
      <c r="AA6989" s="500"/>
      <c r="AB6989" s="500"/>
      <c r="AC6989" s="500"/>
      <c r="AD6989" s="500"/>
      <c r="AE6989" s="500"/>
      <c r="AF6989" s="500"/>
      <c r="AG6989" s="500"/>
      <c r="AH6989" s="500"/>
      <c r="AI6989" s="500"/>
      <c r="AJ6989" s="500"/>
      <c r="AK6989" s="500"/>
      <c r="AL6989" s="500"/>
      <c r="AM6989" s="500"/>
      <c r="AN6989" s="500"/>
      <c r="AO6989" s="500"/>
      <c r="AP6989" s="500"/>
    </row>
    <row r="6990" spans="1:42" ht="16.5" customHeight="1">
      <c r="A6990" s="439"/>
      <c r="B6990" s="439"/>
      <c r="C6990" s="517"/>
      <c r="D6990" s="517"/>
      <c r="E6990" s="517"/>
      <c r="F6990" s="517"/>
      <c r="G6990" s="451" t="s">
        <v>3406</v>
      </c>
      <c r="Z6990" s="500"/>
      <c r="AA6990" s="500"/>
      <c r="AB6990" s="500"/>
      <c r="AC6990" s="500"/>
      <c r="AD6990" s="500"/>
      <c r="AE6990" s="500"/>
      <c r="AF6990" s="500"/>
      <c r="AG6990" s="500"/>
      <c r="AH6990" s="500"/>
      <c r="AI6990" s="500"/>
      <c r="AJ6990" s="500"/>
      <c r="AK6990" s="500"/>
      <c r="AL6990" s="500"/>
      <c r="AM6990" s="500"/>
      <c r="AN6990" s="500"/>
      <c r="AO6990" s="500"/>
      <c r="AP6990" s="500"/>
    </row>
    <row r="6991" spans="1:42" ht="16.5" customHeight="1">
      <c r="A6991" s="439"/>
      <c r="B6991" s="439"/>
      <c r="C6991" s="439"/>
      <c r="D6991" s="439"/>
      <c r="E6991" s="439"/>
      <c r="F6991" s="439"/>
      <c r="G6991" s="451" t="s">
        <v>3406</v>
      </c>
      <c r="Z6991" s="500"/>
      <c r="AA6991" s="500"/>
      <c r="AB6991" s="500"/>
      <c r="AC6991" s="500"/>
      <c r="AD6991" s="500"/>
      <c r="AE6991" s="500"/>
      <c r="AF6991" s="500"/>
      <c r="AG6991" s="500"/>
      <c r="AH6991" s="500"/>
      <c r="AI6991" s="500"/>
      <c r="AJ6991" s="500"/>
      <c r="AK6991" s="500"/>
      <c r="AL6991" s="500"/>
      <c r="AM6991" s="500"/>
      <c r="AN6991" s="500"/>
      <c r="AO6991" s="500"/>
      <c r="AP6991" s="500"/>
    </row>
    <row r="6992" spans="1:42" ht="16.5" customHeight="1">
      <c r="A6992" s="434" t="s">
        <v>3997</v>
      </c>
      <c r="B6992" s="505" t="str">
        <f>" 경비로 적용 : "&amp;TEXT(I6992,"#,##0"&amp;IF(I6992&lt;&gt;INT(I6992),".###",""))&amp;"  = "&amp;TEXT(C6992,"#,##0.0")&amp;""</f>
        <v xml:space="preserve"> 경비로 적용 : 728,330.1  = 728,330.1</v>
      </c>
      <c r="C6992" s="506">
        <f>E6992+D6992+F6992</f>
        <v>728330.1</v>
      </c>
      <c r="D6992" s="506">
        <f>IF(H6992=0,0,ROUNDDOWN(J6992*H6992,1))</f>
        <v>0</v>
      </c>
      <c r="E6992" s="506">
        <f>IF(H6992=0,0,ROUNDDOWN(K6992*H6992,1))</f>
        <v>0</v>
      </c>
      <c r="F6992" s="506">
        <f>IF(H6992=0,0,ROUNDDOWN(L6992*H6992,1))</f>
        <v>728330.1</v>
      </c>
      <c r="G6992" s="451" t="s">
        <v>3998</v>
      </c>
      <c r="H6992" s="507">
        <f>ROUNDUP(AB6992,14-LEN(ABS(INT(AB6992))))</f>
        <v>1</v>
      </c>
      <c r="I6992" s="508">
        <f>K6992+J6992+L6992</f>
        <v>728330.1</v>
      </c>
      <c r="J6992" s="456">
        <v>0</v>
      </c>
      <c r="K6992" s="456">
        <v>0</v>
      </c>
      <c r="L6992" s="518">
        <v>728330.1</v>
      </c>
      <c r="M6992" s="501" t="s">
        <v>3999</v>
      </c>
      <c r="N6992" s="501" t="s">
        <v>2354</v>
      </c>
      <c r="Z6992" s="501" t="s">
        <v>4000</v>
      </c>
      <c r="AA6992" s="501" t="s">
        <v>3418</v>
      </c>
      <c r="AB6992" s="512">
        <f>1</f>
        <v>1</v>
      </c>
      <c r="AC6992" s="500"/>
      <c r="AD6992" s="500"/>
      <c r="AE6992" s="500"/>
      <c r="AF6992" s="500"/>
      <c r="AG6992" s="500"/>
      <c r="AH6992" s="500"/>
      <c r="AI6992" s="500"/>
      <c r="AJ6992" s="500"/>
      <c r="AK6992" s="500"/>
      <c r="AL6992" s="500"/>
      <c r="AM6992" s="500"/>
      <c r="AN6992" s="500"/>
      <c r="AO6992" s="500"/>
      <c r="AP6992" s="500"/>
    </row>
    <row r="6993" spans="1:42" ht="16.5" customHeight="1">
      <c r="A6993" s="439"/>
      <c r="B6993" s="439"/>
      <c r="C6993" s="439"/>
      <c r="D6993" s="439"/>
      <c r="E6993" s="439"/>
      <c r="F6993" s="439"/>
      <c r="Z6993" s="500"/>
      <c r="AA6993" s="500"/>
      <c r="AB6993" s="500"/>
      <c r="AC6993" s="500"/>
      <c r="AD6993" s="500"/>
      <c r="AE6993" s="500"/>
      <c r="AF6993" s="500"/>
      <c r="AG6993" s="500"/>
      <c r="AH6993" s="500"/>
      <c r="AI6993" s="500"/>
      <c r="AJ6993" s="500"/>
      <c r="AK6993" s="500"/>
      <c r="AL6993" s="500"/>
      <c r="AM6993" s="500"/>
      <c r="AN6993" s="500"/>
      <c r="AO6993" s="500"/>
      <c r="AP6993" s="500"/>
    </row>
    <row r="6994" spans="1:42" ht="16.5" customHeight="1">
      <c r="A6994" s="439"/>
      <c r="B6994" s="439"/>
      <c r="C6994" s="439"/>
      <c r="D6994" s="439"/>
      <c r="E6994" s="439"/>
      <c r="F6994" s="439"/>
      <c r="Z6994" s="500"/>
      <c r="AA6994" s="500"/>
      <c r="AB6994" s="500"/>
      <c r="AC6994" s="500"/>
      <c r="AD6994" s="500"/>
      <c r="AE6994" s="500"/>
      <c r="AF6994" s="500"/>
      <c r="AG6994" s="500"/>
      <c r="AH6994" s="500"/>
      <c r="AI6994" s="500"/>
      <c r="AJ6994" s="500"/>
      <c r="AK6994" s="500"/>
      <c r="AL6994" s="500"/>
      <c r="AM6994" s="500"/>
      <c r="AN6994" s="500"/>
      <c r="AO6994" s="500"/>
      <c r="AP6994" s="500"/>
    </row>
    <row r="6995" spans="1:42" ht="16.5" customHeight="1">
      <c r="A6995" s="439"/>
      <c r="B6995" s="439"/>
      <c r="C6995" s="439"/>
      <c r="D6995" s="439"/>
      <c r="E6995" s="439"/>
      <c r="F6995" s="439"/>
      <c r="Z6995" s="500"/>
      <c r="AA6995" s="500"/>
      <c r="AB6995" s="500"/>
      <c r="AC6995" s="500"/>
      <c r="AD6995" s="500"/>
      <c r="AE6995" s="500"/>
      <c r="AF6995" s="500"/>
      <c r="AG6995" s="500"/>
      <c r="AH6995" s="500"/>
      <c r="AI6995" s="500"/>
      <c r="AJ6995" s="500"/>
      <c r="AK6995" s="500"/>
      <c r="AL6995" s="500"/>
      <c r="AM6995" s="500"/>
      <c r="AN6995" s="500"/>
      <c r="AO6995" s="500"/>
      <c r="AP6995" s="500"/>
    </row>
    <row r="6996" spans="1:42" ht="16.5" customHeight="1">
      <c r="A6996" s="439"/>
      <c r="B6996" s="439"/>
      <c r="C6996" s="439"/>
      <c r="D6996" s="439"/>
      <c r="E6996" s="439"/>
      <c r="F6996" s="439"/>
      <c r="Z6996" s="500"/>
      <c r="AA6996" s="500"/>
      <c r="AB6996" s="500"/>
      <c r="AC6996" s="500"/>
      <c r="AD6996" s="500"/>
      <c r="AE6996" s="500"/>
      <c r="AF6996" s="500"/>
      <c r="AG6996" s="500"/>
      <c r="AH6996" s="500"/>
      <c r="AI6996" s="500"/>
      <c r="AJ6996" s="500"/>
      <c r="AK6996" s="500"/>
      <c r="AL6996" s="500"/>
      <c r="AM6996" s="500"/>
      <c r="AN6996" s="500"/>
      <c r="AO6996" s="500"/>
      <c r="AP6996" s="500"/>
    </row>
    <row r="6997" spans="1:42" ht="16.5" customHeight="1">
      <c r="A6997" s="439"/>
      <c r="B6997" s="439"/>
      <c r="C6997" s="439"/>
      <c r="D6997" s="439"/>
      <c r="E6997" s="439"/>
      <c r="F6997" s="439"/>
      <c r="Z6997" s="500"/>
      <c r="AA6997" s="500"/>
      <c r="AB6997" s="500"/>
      <c r="AC6997" s="500"/>
      <c r="AD6997" s="500"/>
      <c r="AE6997" s="500"/>
      <c r="AF6997" s="500"/>
      <c r="AG6997" s="500"/>
      <c r="AH6997" s="500"/>
      <c r="AI6997" s="500"/>
      <c r="AJ6997" s="500"/>
      <c r="AK6997" s="500"/>
      <c r="AL6997" s="500"/>
      <c r="AM6997" s="500"/>
      <c r="AN6997" s="500"/>
      <c r="AO6997" s="500"/>
      <c r="AP6997" s="500"/>
    </row>
    <row r="6998" spans="1:42" ht="16.5" customHeight="1">
      <c r="A6998" s="439"/>
      <c r="B6998" s="439"/>
      <c r="C6998" s="439"/>
      <c r="D6998" s="439"/>
      <c r="E6998" s="439"/>
      <c r="F6998" s="439"/>
      <c r="Z6998" s="500"/>
      <c r="AA6998" s="500"/>
      <c r="AB6998" s="500"/>
      <c r="AC6998" s="500"/>
      <c r="AD6998" s="500"/>
      <c r="AE6998" s="500"/>
      <c r="AF6998" s="500"/>
      <c r="AG6998" s="500"/>
      <c r="AH6998" s="500"/>
      <c r="AI6998" s="500"/>
      <c r="AJ6998" s="500"/>
      <c r="AK6998" s="500"/>
      <c r="AL6998" s="500"/>
      <c r="AM6998" s="500"/>
      <c r="AN6998" s="500"/>
      <c r="AO6998" s="500"/>
      <c r="AP6998" s="500"/>
    </row>
    <row r="6999" spans="1:42" ht="16.5" customHeight="1">
      <c r="A6999" s="439"/>
      <c r="B6999" s="439"/>
      <c r="C6999" s="439"/>
      <c r="D6999" s="439"/>
      <c r="E6999" s="439"/>
      <c r="F6999" s="439"/>
      <c r="Z6999" s="500"/>
      <c r="AA6999" s="500"/>
      <c r="AB6999" s="500"/>
      <c r="AC6999" s="500"/>
      <c r="AD6999" s="500"/>
      <c r="AE6999" s="500"/>
      <c r="AF6999" s="500"/>
      <c r="AG6999" s="500"/>
      <c r="AH6999" s="500"/>
      <c r="AI6999" s="500"/>
      <c r="AJ6999" s="500"/>
      <c r="AK6999" s="500"/>
      <c r="AL6999" s="500"/>
      <c r="AM6999" s="500"/>
      <c r="AN6999" s="500"/>
      <c r="AO6999" s="500"/>
      <c r="AP6999" s="500"/>
    </row>
    <row r="7000" spans="1:42" ht="16.5" customHeight="1">
      <c r="A7000" s="439"/>
      <c r="B7000" s="439"/>
      <c r="C7000" s="439"/>
      <c r="D7000" s="439"/>
      <c r="E7000" s="439"/>
      <c r="F7000" s="439"/>
      <c r="Z7000" s="500"/>
      <c r="AA7000" s="500"/>
      <c r="AB7000" s="500"/>
      <c r="AC7000" s="500"/>
      <c r="AD7000" s="500"/>
      <c r="AE7000" s="500"/>
      <c r="AF7000" s="500"/>
      <c r="AG7000" s="500"/>
      <c r="AH7000" s="500"/>
      <c r="AI7000" s="500"/>
      <c r="AJ7000" s="500"/>
      <c r="AK7000" s="500"/>
      <c r="AL7000" s="500"/>
      <c r="AM7000" s="500"/>
      <c r="AN7000" s="500"/>
      <c r="AO7000" s="500"/>
      <c r="AP7000" s="500"/>
    </row>
    <row r="7001" spans="1:42" ht="16.5" customHeight="1">
      <c r="A7001" s="439"/>
      <c r="B7001" s="439"/>
      <c r="C7001" s="439"/>
      <c r="D7001" s="439"/>
      <c r="E7001" s="439"/>
      <c r="F7001" s="439"/>
      <c r="Z7001" s="500"/>
      <c r="AA7001" s="500"/>
      <c r="AB7001" s="500"/>
      <c r="AC7001" s="500"/>
      <c r="AD7001" s="500"/>
      <c r="AE7001" s="500"/>
      <c r="AF7001" s="500"/>
      <c r="AG7001" s="500"/>
      <c r="AH7001" s="500"/>
      <c r="AI7001" s="500"/>
      <c r="AJ7001" s="500"/>
      <c r="AK7001" s="500"/>
      <c r="AL7001" s="500"/>
      <c r="AM7001" s="500"/>
      <c r="AN7001" s="500"/>
      <c r="AO7001" s="500"/>
      <c r="AP7001" s="500"/>
    </row>
    <row r="7002" spans="1:42" ht="16.5" customHeight="1">
      <c r="A7002" s="439"/>
      <c r="B7002" s="439"/>
      <c r="C7002" s="439"/>
      <c r="D7002" s="439"/>
      <c r="E7002" s="439"/>
      <c r="F7002" s="439"/>
      <c r="Z7002" s="500"/>
      <c r="AA7002" s="500"/>
      <c r="AB7002" s="500"/>
      <c r="AC7002" s="500"/>
      <c r="AD7002" s="500"/>
      <c r="AE7002" s="500"/>
      <c r="AF7002" s="500"/>
      <c r="AG7002" s="500"/>
      <c r="AH7002" s="500"/>
      <c r="AI7002" s="500"/>
      <c r="AJ7002" s="500"/>
      <c r="AK7002" s="500"/>
      <c r="AL7002" s="500"/>
      <c r="AM7002" s="500"/>
      <c r="AN7002" s="500"/>
      <c r="AO7002" s="500"/>
      <c r="AP7002" s="500"/>
    </row>
    <row r="7003" spans="1:42" ht="16.5" customHeight="1">
      <c r="A7003" s="497"/>
      <c r="B7003" s="497"/>
      <c r="C7003" s="497"/>
      <c r="D7003" s="497"/>
      <c r="E7003" s="497"/>
      <c r="F7003" s="497"/>
      <c r="Z7003" s="500"/>
      <c r="AA7003" s="500"/>
      <c r="AB7003" s="500"/>
      <c r="AC7003" s="500"/>
      <c r="AD7003" s="500"/>
      <c r="AE7003" s="500"/>
      <c r="AF7003" s="500"/>
      <c r="AG7003" s="500"/>
      <c r="AH7003" s="500"/>
      <c r="AI7003" s="500"/>
      <c r="AJ7003" s="500"/>
      <c r="AK7003" s="500"/>
      <c r="AL7003" s="500"/>
      <c r="AM7003" s="500"/>
      <c r="AN7003" s="500"/>
      <c r="AO7003" s="500"/>
      <c r="AP7003" s="500"/>
    </row>
    <row r="7004" spans="1:42" ht="16.5" customHeight="1">
      <c r="A7004" s="616" t="s">
        <v>3487</v>
      </c>
      <c r="B7004" s="605"/>
      <c r="C7004" s="446">
        <f>E7004+D7004+F7004</f>
        <v>728330</v>
      </c>
      <c r="D7004" s="453">
        <f>ROUNDDOWN(SUMIF(N6957:N6992,M7004,D6957:D6992),0)</f>
        <v>0</v>
      </c>
      <c r="E7004" s="454">
        <f>ROUNDDOWN(SUMIF(N6957:N6992,M7004,E6957:E6992),0)</f>
        <v>0</v>
      </c>
      <c r="F7004" s="446">
        <f>ROUNDDOWN(SUMIF(N6957:N6992,M7004,F6957:F6992),0)</f>
        <v>728330</v>
      </c>
      <c r="M7004" s="501" t="s">
        <v>2354</v>
      </c>
      <c r="Z7004" s="500"/>
      <c r="AA7004" s="500"/>
      <c r="AB7004" s="500"/>
      <c r="AC7004" s="500"/>
      <c r="AD7004" s="500"/>
      <c r="AE7004" s="500"/>
      <c r="AF7004" s="500"/>
      <c r="AG7004" s="500"/>
      <c r="AH7004" s="500"/>
      <c r="AI7004" s="500"/>
      <c r="AJ7004" s="500"/>
      <c r="AK7004" s="500"/>
      <c r="AL7004" s="500"/>
      <c r="AM7004" s="500"/>
      <c r="AN7004" s="500"/>
      <c r="AO7004" s="500"/>
      <c r="AP7004" s="500"/>
    </row>
    <row r="7005" spans="1:42" ht="16.5" customHeight="1">
      <c r="A7005" s="502" t="s">
        <v>3372</v>
      </c>
      <c r="B7005" s="503" t="s">
        <v>1547</v>
      </c>
      <c r="C7005" s="615">
        <f>C7054</f>
        <v>2662</v>
      </c>
      <c r="D7005" s="615">
        <f>D7054</f>
        <v>2585</v>
      </c>
      <c r="E7005" s="615">
        <f>E7054</f>
        <v>0</v>
      </c>
      <c r="F7005" s="615">
        <f>F7054</f>
        <v>77</v>
      </c>
      <c r="G7005" s="486" t="str">
        <f>HYPERLINK("#G"&amp;ROW(G7033),"_x0005_`BDCOD|D01276_x0007_`POSS|"&amp;ROW(G7007)&amp;"_x0007_`POSE|"&amp;ROW(G7033)&amp;"_x0007_`")</f>
        <v>_x0005_`BDCOD|D01276_x0007_`POSS|7007_x0007_`POSE|7033_x0007_`</v>
      </c>
      <c r="Z7005" s="500"/>
      <c r="AA7005" s="500"/>
      <c r="AB7005" s="500"/>
      <c r="AC7005" s="500"/>
      <c r="AD7005" s="500"/>
      <c r="AE7005" s="500"/>
      <c r="AF7005" s="500"/>
      <c r="AG7005" s="500"/>
      <c r="AH7005" s="500"/>
      <c r="AI7005" s="500"/>
      <c r="AJ7005" s="500"/>
      <c r="AK7005" s="500"/>
      <c r="AL7005" s="500"/>
      <c r="AM7005" s="500"/>
      <c r="AN7005" s="500"/>
      <c r="AO7005" s="500"/>
      <c r="AP7005" s="500"/>
    </row>
    <row r="7006" spans="1:42" ht="16.5" customHeight="1">
      <c r="A7006" s="485"/>
      <c r="B7006" s="503" t="s">
        <v>4109</v>
      </c>
      <c r="C7006" s="593"/>
      <c r="D7006" s="593"/>
      <c r="E7006" s="593"/>
      <c r="F7006" s="593"/>
      <c r="M7006" s="501" t="s">
        <v>1547</v>
      </c>
      <c r="Z7006" s="500"/>
      <c r="AA7006" s="500"/>
      <c r="AB7006" s="500"/>
      <c r="AC7006" s="500"/>
      <c r="AD7006" s="500"/>
      <c r="AE7006" s="500"/>
      <c r="AF7006" s="500"/>
      <c r="AG7006" s="500"/>
      <c r="AH7006" s="500"/>
      <c r="AI7006" s="500"/>
      <c r="AJ7006" s="500"/>
      <c r="AK7006" s="500"/>
      <c r="AL7006" s="500"/>
      <c r="AM7006" s="500"/>
      <c r="AN7006" s="500"/>
      <c r="AO7006" s="500"/>
      <c r="AP7006" s="500"/>
    </row>
    <row r="7007" spans="1:42" ht="16.5" customHeight="1">
      <c r="A7007" s="439"/>
      <c r="B7007" s="439"/>
      <c r="C7007" s="504"/>
      <c r="D7007" s="504"/>
      <c r="E7007" s="504"/>
      <c r="F7007" s="504"/>
      <c r="G7007" s="451" t="s">
        <v>3406</v>
      </c>
      <c r="Z7007" s="500"/>
      <c r="AA7007" s="500"/>
      <c r="AB7007" s="500"/>
      <c r="AC7007" s="500"/>
      <c r="AD7007" s="500"/>
      <c r="AE7007" s="500"/>
      <c r="AF7007" s="500"/>
      <c r="AG7007" s="500"/>
      <c r="AH7007" s="500"/>
      <c r="AI7007" s="500"/>
      <c r="AJ7007" s="500"/>
      <c r="AK7007" s="500"/>
      <c r="AL7007" s="500"/>
      <c r="AM7007" s="500"/>
      <c r="AN7007" s="500"/>
      <c r="AO7007" s="500"/>
      <c r="AP7007" s="500"/>
    </row>
    <row r="7008" spans="1:42" ht="16.5" customHeight="1">
      <c r="A7008" s="434"/>
      <c r="B7008" s="437" t="s">
        <v>4110</v>
      </c>
      <c r="C7008" s="439"/>
      <c r="D7008" s="439"/>
      <c r="E7008" s="439"/>
      <c r="F7008" s="439"/>
      <c r="G7008" s="451" t="s">
        <v>4111</v>
      </c>
      <c r="Z7008" s="500"/>
      <c r="AA7008" s="500"/>
      <c r="AB7008" s="500"/>
      <c r="AC7008" s="500"/>
      <c r="AD7008" s="500"/>
      <c r="AE7008" s="500"/>
      <c r="AF7008" s="500"/>
      <c r="AG7008" s="500"/>
      <c r="AH7008" s="500"/>
      <c r="AI7008" s="500"/>
      <c r="AJ7008" s="500"/>
      <c r="AK7008" s="500"/>
      <c r="AL7008" s="500"/>
      <c r="AM7008" s="500"/>
      <c r="AN7008" s="500"/>
      <c r="AO7008" s="500"/>
      <c r="AP7008" s="500"/>
    </row>
    <row r="7009" spans="1:42" ht="16.5" customHeight="1">
      <c r="A7009" s="439"/>
      <c r="B7009" s="439"/>
      <c r="C7009" s="439"/>
      <c r="D7009" s="439"/>
      <c r="E7009" s="439"/>
      <c r="F7009" s="439"/>
      <c r="G7009" s="451" t="s">
        <v>3406</v>
      </c>
      <c r="Z7009" s="500"/>
      <c r="AA7009" s="500"/>
      <c r="AB7009" s="500"/>
      <c r="AC7009" s="500"/>
      <c r="AD7009" s="500"/>
      <c r="AE7009" s="500"/>
      <c r="AF7009" s="500"/>
      <c r="AG7009" s="500"/>
      <c r="AH7009" s="500"/>
      <c r="AI7009" s="500"/>
      <c r="AJ7009" s="500"/>
      <c r="AK7009" s="500"/>
      <c r="AL7009" s="500"/>
      <c r="AM7009" s="500"/>
      <c r="AN7009" s="500"/>
      <c r="AO7009" s="500"/>
      <c r="AP7009" s="500"/>
    </row>
    <row r="7010" spans="1:42" ht="16.5" customHeight="1">
      <c r="A7010" s="434"/>
      <c r="B7010" s="437" t="s">
        <v>4112</v>
      </c>
      <c r="C7010" s="439"/>
      <c r="D7010" s="439"/>
      <c r="E7010" s="439"/>
      <c r="F7010" s="439"/>
      <c r="G7010" s="451" t="s">
        <v>4113</v>
      </c>
      <c r="Z7010" s="500"/>
      <c r="AA7010" s="500"/>
      <c r="AB7010" s="500"/>
      <c r="AC7010" s="500"/>
      <c r="AD7010" s="500"/>
      <c r="AE7010" s="500"/>
      <c r="AF7010" s="500"/>
      <c r="AG7010" s="500"/>
      <c r="AH7010" s="500"/>
      <c r="AI7010" s="500"/>
      <c r="AJ7010" s="500"/>
      <c r="AK7010" s="500"/>
      <c r="AL7010" s="500"/>
      <c r="AM7010" s="500"/>
      <c r="AN7010" s="500"/>
      <c r="AO7010" s="500"/>
      <c r="AP7010" s="500"/>
    </row>
    <row r="7011" spans="1:42" ht="16.5" customHeight="1">
      <c r="A7011" s="439"/>
      <c r="B7011" s="439"/>
      <c r="C7011" s="439"/>
      <c r="D7011" s="439"/>
      <c r="E7011" s="439"/>
      <c r="F7011" s="439"/>
      <c r="G7011" s="451" t="s">
        <v>3406</v>
      </c>
      <c r="Z7011" s="500"/>
      <c r="AA7011" s="500"/>
      <c r="AB7011" s="500"/>
      <c r="AC7011" s="500"/>
      <c r="AD7011" s="500"/>
      <c r="AE7011" s="500"/>
      <c r="AF7011" s="500"/>
      <c r="AG7011" s="500"/>
      <c r="AH7011" s="500"/>
      <c r="AI7011" s="500"/>
      <c r="AJ7011" s="500"/>
      <c r="AK7011" s="500"/>
      <c r="AL7011" s="500"/>
      <c r="AM7011" s="500"/>
      <c r="AN7011" s="500"/>
      <c r="AO7011" s="500"/>
      <c r="AP7011" s="500"/>
    </row>
    <row r="7012" spans="1:42" ht="16.5" customHeight="1">
      <c r="A7012" s="439"/>
      <c r="B7012" s="439"/>
      <c r="C7012" s="439"/>
      <c r="D7012" s="439"/>
      <c r="E7012" s="439"/>
      <c r="F7012" s="439"/>
      <c r="G7012" s="451" t="s">
        <v>3406</v>
      </c>
      <c r="Z7012" s="500"/>
      <c r="AA7012" s="500"/>
      <c r="AB7012" s="500"/>
      <c r="AC7012" s="500"/>
      <c r="AD7012" s="500"/>
      <c r="AE7012" s="500"/>
      <c r="AF7012" s="500"/>
      <c r="AG7012" s="500"/>
      <c r="AH7012" s="500"/>
      <c r="AI7012" s="500"/>
      <c r="AJ7012" s="500"/>
      <c r="AK7012" s="500"/>
      <c r="AL7012" s="500"/>
      <c r="AM7012" s="500"/>
      <c r="AN7012" s="500"/>
      <c r="AO7012" s="500"/>
      <c r="AP7012" s="500"/>
    </row>
    <row r="7013" spans="1:42" ht="16.5" customHeight="1">
      <c r="A7013" s="439"/>
      <c r="B7013" s="439"/>
      <c r="C7013" s="439"/>
      <c r="D7013" s="439"/>
      <c r="E7013" s="439"/>
      <c r="F7013" s="439"/>
      <c r="G7013" s="451" t="s">
        <v>3406</v>
      </c>
      <c r="Z7013" s="500"/>
      <c r="AA7013" s="500"/>
      <c r="AB7013" s="500"/>
      <c r="AC7013" s="500"/>
      <c r="AD7013" s="500"/>
      <c r="AE7013" s="500"/>
      <c r="AF7013" s="500"/>
      <c r="AG7013" s="500"/>
      <c r="AH7013" s="500"/>
      <c r="AI7013" s="500"/>
      <c r="AJ7013" s="500"/>
      <c r="AK7013" s="500"/>
      <c r="AL7013" s="500"/>
      <c r="AM7013" s="500"/>
      <c r="AN7013" s="500"/>
      <c r="AO7013" s="500"/>
      <c r="AP7013" s="500"/>
    </row>
    <row r="7014" spans="1:42" ht="16.5" customHeight="1">
      <c r="A7014" s="434"/>
      <c r="B7014" s="437" t="str">
        <f>" 일당 작업량 :  Q1 = "&amp;Z7014&amp;" ㎡ "</f>
        <v xml:space="preserve"> 일당 작업량 :  Q1 = 270 ㎡ </v>
      </c>
      <c r="C7014" s="439"/>
      <c r="D7014" s="439"/>
      <c r="E7014" s="439"/>
      <c r="F7014" s="439"/>
      <c r="G7014" s="451" t="s">
        <v>4114</v>
      </c>
      <c r="Z7014" s="515">
        <v>270</v>
      </c>
      <c r="AA7014" s="501" t="s">
        <v>3418</v>
      </c>
      <c r="AB7014" s="512">
        <f>Z7014</f>
        <v>270</v>
      </c>
      <c r="AC7014" s="500"/>
      <c r="AD7014" s="500"/>
      <c r="AE7014" s="500"/>
      <c r="AF7014" s="500"/>
      <c r="AG7014" s="500"/>
      <c r="AH7014" s="500"/>
      <c r="AI7014" s="500"/>
      <c r="AJ7014" s="500"/>
      <c r="AK7014" s="500"/>
      <c r="AL7014" s="500"/>
      <c r="AM7014" s="500"/>
      <c r="AN7014" s="500"/>
      <c r="AO7014" s="500"/>
      <c r="AP7014" s="500"/>
    </row>
    <row r="7015" spans="1:42" ht="16.5" customHeight="1">
      <c r="A7015" s="439"/>
      <c r="B7015" s="439"/>
      <c r="C7015" s="439"/>
      <c r="D7015" s="439"/>
      <c r="E7015" s="439"/>
      <c r="F7015" s="439"/>
      <c r="G7015" s="451" t="s">
        <v>3406</v>
      </c>
      <c r="Z7015" s="500"/>
      <c r="AA7015" s="500"/>
      <c r="AB7015" s="500"/>
      <c r="AC7015" s="500"/>
      <c r="AD7015" s="500"/>
      <c r="AE7015" s="500"/>
      <c r="AF7015" s="500"/>
      <c r="AG7015" s="500"/>
      <c r="AH7015" s="500"/>
      <c r="AI7015" s="500"/>
      <c r="AJ7015" s="500"/>
      <c r="AK7015" s="500"/>
      <c r="AL7015" s="500"/>
      <c r="AM7015" s="500"/>
      <c r="AN7015" s="500"/>
      <c r="AO7015" s="500"/>
      <c r="AP7015" s="500"/>
    </row>
    <row r="7016" spans="1:42" ht="16.5" customHeight="1">
      <c r="A7016" s="434"/>
      <c r="B7016" s="437" t="s">
        <v>4115</v>
      </c>
      <c r="C7016" s="439"/>
      <c r="D7016" s="439"/>
      <c r="E7016" s="439"/>
      <c r="F7016" s="439"/>
      <c r="G7016" s="451" t="s">
        <v>4116</v>
      </c>
      <c r="Z7016" s="500"/>
      <c r="AA7016" s="500"/>
      <c r="AB7016" s="500"/>
      <c r="AC7016" s="500"/>
      <c r="AD7016" s="500"/>
      <c r="AE7016" s="500"/>
      <c r="AF7016" s="500"/>
      <c r="AG7016" s="500"/>
      <c r="AH7016" s="500"/>
      <c r="AI7016" s="500"/>
      <c r="AJ7016" s="500"/>
      <c r="AK7016" s="500"/>
      <c r="AL7016" s="500"/>
      <c r="AM7016" s="500"/>
      <c r="AN7016" s="500"/>
      <c r="AO7016" s="500"/>
      <c r="AP7016" s="500"/>
    </row>
    <row r="7017" spans="1:42" ht="16.5" customHeight="1">
      <c r="A7017" s="439"/>
      <c r="B7017" s="439"/>
      <c r="C7017" s="439"/>
      <c r="D7017" s="439"/>
      <c r="E7017" s="439"/>
      <c r="F7017" s="439"/>
      <c r="G7017" s="451" t="s">
        <v>3406</v>
      </c>
      <c r="Z7017" s="500"/>
      <c r="AA7017" s="500"/>
      <c r="AB7017" s="500"/>
      <c r="AC7017" s="500"/>
      <c r="AD7017" s="500"/>
      <c r="AE7017" s="500"/>
      <c r="AF7017" s="500"/>
      <c r="AG7017" s="500"/>
      <c r="AH7017" s="500"/>
      <c r="AI7017" s="500"/>
      <c r="AJ7017" s="500"/>
      <c r="AK7017" s="500"/>
      <c r="AL7017" s="500"/>
      <c r="AM7017" s="500"/>
      <c r="AN7017" s="500"/>
      <c r="AO7017" s="500"/>
      <c r="AP7017" s="500"/>
    </row>
    <row r="7018" spans="1:42" ht="16.5" customHeight="1">
      <c r="A7018" s="439"/>
      <c r="B7018" s="439"/>
      <c r="C7018" s="439"/>
      <c r="D7018" s="439"/>
      <c r="E7018" s="439"/>
      <c r="F7018" s="439"/>
      <c r="G7018" s="451" t="s">
        <v>3406</v>
      </c>
      <c r="Z7018" s="500"/>
      <c r="AA7018" s="500"/>
      <c r="AB7018" s="500"/>
      <c r="AC7018" s="500"/>
      <c r="AD7018" s="500"/>
      <c r="AE7018" s="500"/>
      <c r="AF7018" s="500"/>
      <c r="AG7018" s="500"/>
      <c r="AH7018" s="500"/>
      <c r="AI7018" s="500"/>
      <c r="AJ7018" s="500"/>
      <c r="AK7018" s="500"/>
      <c r="AL7018" s="500"/>
      <c r="AM7018" s="500"/>
      <c r="AN7018" s="500"/>
      <c r="AO7018" s="500"/>
      <c r="AP7018" s="500"/>
    </row>
    <row r="7019" spans="1:42" ht="16.5" customHeight="1">
      <c r="A7019" s="434"/>
      <c r="B7019" s="437" t="s">
        <v>3496</v>
      </c>
      <c r="C7019" s="439"/>
      <c r="D7019" s="439"/>
      <c r="E7019" s="439"/>
      <c r="F7019" s="439"/>
      <c r="G7019" s="451" t="s">
        <v>3497</v>
      </c>
      <c r="Z7019" s="500"/>
      <c r="AA7019" s="500"/>
      <c r="AB7019" s="500"/>
      <c r="AC7019" s="500"/>
      <c r="AD7019" s="500"/>
      <c r="AE7019" s="500"/>
      <c r="AF7019" s="500"/>
      <c r="AG7019" s="500"/>
      <c r="AH7019" s="500"/>
      <c r="AI7019" s="500"/>
      <c r="AJ7019" s="500"/>
      <c r="AK7019" s="500"/>
      <c r="AL7019" s="500"/>
      <c r="AM7019" s="500"/>
      <c r="AN7019" s="500"/>
      <c r="AO7019" s="500"/>
      <c r="AP7019" s="500"/>
    </row>
    <row r="7020" spans="1:42" ht="16.5" customHeight="1">
      <c r="A7020" s="439"/>
      <c r="B7020" s="439"/>
      <c r="C7020" s="439"/>
      <c r="D7020" s="439"/>
      <c r="E7020" s="439"/>
      <c r="F7020" s="439"/>
      <c r="G7020" s="451" t="s">
        <v>3406</v>
      </c>
      <c r="Z7020" s="500"/>
      <c r="AA7020" s="500"/>
      <c r="AB7020" s="500"/>
      <c r="AC7020" s="500"/>
      <c r="AD7020" s="500"/>
      <c r="AE7020" s="500"/>
      <c r="AF7020" s="500"/>
      <c r="AG7020" s="500"/>
      <c r="AH7020" s="500"/>
      <c r="AI7020" s="500"/>
      <c r="AJ7020" s="500"/>
      <c r="AK7020" s="500"/>
      <c r="AL7020" s="500"/>
      <c r="AM7020" s="500"/>
      <c r="AN7020" s="500"/>
      <c r="AO7020" s="500"/>
      <c r="AP7020" s="500"/>
    </row>
    <row r="7021" spans="1:42" ht="16.5" customHeight="1">
      <c r="A7021" s="434" t="s">
        <v>4117</v>
      </c>
      <c r="B7021" s="505" t="str">
        <f>" 도 장 공 : "&amp;TEXT(I7021,"#,##0"&amp;IF(I7021&lt;&gt;INT(I7021),".###",""))&amp;" * "&amp;AA7021&amp;" 인  / Q1 = "&amp;TEXT(C7021,"#,##0.0")&amp;" "</f>
        <v xml:space="preserve"> 도 장 공 : 263,017 * 2 인  / Q1 = 1,948.2 </v>
      </c>
      <c r="C7021" s="506">
        <f>E7021+D7021+F7021</f>
        <v>1948.2</v>
      </c>
      <c r="D7021" s="506">
        <f>IF(H7021=0,0,ROUNDDOWN(J7021*H7021,1))</f>
        <v>1948.2</v>
      </c>
      <c r="E7021" s="506">
        <f>IF(H7021=0,0,ROUNDDOWN(K7021*H7021,1))</f>
        <v>0</v>
      </c>
      <c r="F7021" s="506">
        <f>IF(H7021=0,0,ROUNDDOWN(L7021*H7021,1))</f>
        <v>0</v>
      </c>
      <c r="G7021" s="451" t="s">
        <v>4118</v>
      </c>
      <c r="H7021" s="507">
        <f>ROUNDUP(AE7021,14-LEN(ABS(INT(AE7021))))</f>
        <v>7.4074074075000003E-3</v>
      </c>
      <c r="I7021" s="508">
        <f>K7021+J7021+L7021</f>
        <v>263017</v>
      </c>
      <c r="J7021" s="509">
        <f>노무비목록표!E7</f>
        <v>263017</v>
      </c>
      <c r="M7021" s="501" t="s">
        <v>2427</v>
      </c>
      <c r="N7021" s="501" t="s">
        <v>3416</v>
      </c>
      <c r="O7021" s="501" t="s">
        <v>2355</v>
      </c>
      <c r="X7021" s="510" t="str">
        <f>노무비목록표!B7&amp;" / "&amp;노무비목록표!C7</f>
        <v xml:space="preserve">도장공 / </v>
      </c>
      <c r="Y7021" s="433" t="str">
        <f ca="1">HYPERLINK("#"&amp;노무비목록표!G2&amp;"!A"&amp;ROW(노무비목록표!A7),"L00010 →")</f>
        <v>L00010 →</v>
      </c>
      <c r="Z7021" s="501" t="s">
        <v>3500</v>
      </c>
      <c r="AA7021" s="515">
        <v>2</v>
      </c>
      <c r="AB7021" s="501" t="s">
        <v>3428</v>
      </c>
      <c r="AC7021" s="512">
        <f>AB7014</f>
        <v>270</v>
      </c>
      <c r="AD7021" s="501" t="s">
        <v>3418</v>
      </c>
      <c r="AE7021" s="512">
        <f>1*AA7021/AB7014</f>
        <v>7.4074074074074077E-3</v>
      </c>
      <c r="AF7021" s="500"/>
      <c r="AG7021" s="500"/>
      <c r="AH7021" s="500"/>
      <c r="AI7021" s="500"/>
      <c r="AJ7021" s="500"/>
      <c r="AK7021" s="500"/>
      <c r="AL7021" s="500"/>
      <c r="AM7021" s="500"/>
      <c r="AN7021" s="500"/>
      <c r="AO7021" s="500"/>
      <c r="AP7021" s="500"/>
    </row>
    <row r="7022" spans="1:42" ht="16.5" customHeight="1">
      <c r="A7022" s="439"/>
      <c r="B7022" s="439"/>
      <c r="C7022" s="439"/>
      <c r="D7022" s="439"/>
      <c r="E7022" s="439"/>
      <c r="F7022" s="439"/>
      <c r="G7022" s="451" t="s">
        <v>3406</v>
      </c>
      <c r="Z7022" s="500"/>
      <c r="AA7022" s="500"/>
      <c r="AB7022" s="500"/>
      <c r="AC7022" s="500"/>
      <c r="AD7022" s="500"/>
      <c r="AE7022" s="500"/>
      <c r="AF7022" s="500"/>
      <c r="AG7022" s="500"/>
      <c r="AH7022" s="500"/>
      <c r="AI7022" s="500"/>
      <c r="AJ7022" s="500"/>
      <c r="AK7022" s="500"/>
      <c r="AL7022" s="500"/>
      <c r="AM7022" s="500"/>
      <c r="AN7022" s="500"/>
      <c r="AO7022" s="500"/>
      <c r="AP7022" s="500"/>
    </row>
    <row r="7023" spans="1:42" ht="16.5" customHeight="1">
      <c r="A7023" s="434" t="s">
        <v>3414</v>
      </c>
      <c r="B7023" s="505" t="str">
        <f>" 보통인부 : "&amp;TEXT(I7023,"#,##0"&amp;IF(I7023&lt;&gt;INT(I7023),".###",""))&amp;" * "&amp;AA7023&amp;" 인  / Q1 = "&amp;TEXT(C7023,"#,##0.0")&amp;" "</f>
        <v xml:space="preserve"> 보통인부 : 172,068 * 1 인  / Q1 = 637.2 </v>
      </c>
      <c r="C7023" s="506">
        <f>E7023+D7023+F7023</f>
        <v>637.20000000000005</v>
      </c>
      <c r="D7023" s="506">
        <f>IF(H7023=0,0,ROUNDDOWN(J7023*H7023,1))</f>
        <v>637.20000000000005</v>
      </c>
      <c r="E7023" s="506">
        <f>IF(H7023=0,0,ROUNDDOWN(K7023*H7023,1))</f>
        <v>0</v>
      </c>
      <c r="F7023" s="506">
        <f>IF(H7023=0,0,ROUNDDOWN(L7023*H7023,1))</f>
        <v>0</v>
      </c>
      <c r="G7023" s="451" t="s">
        <v>3894</v>
      </c>
      <c r="H7023" s="507">
        <f>ROUNDUP(AE7023,14-LEN(ABS(INT(AE7023))))</f>
        <v>3.7037037038000001E-3</v>
      </c>
      <c r="I7023" s="508">
        <f>K7023+J7023+L7023</f>
        <v>172068</v>
      </c>
      <c r="J7023" s="509">
        <f>노무비목록표!E10</f>
        <v>172068</v>
      </c>
      <c r="M7023" s="501" t="s">
        <v>2363</v>
      </c>
      <c r="N7023" s="501" t="s">
        <v>3416</v>
      </c>
      <c r="O7023" s="501" t="s">
        <v>2355</v>
      </c>
      <c r="X7023" s="510" t="str">
        <f>노무비목록표!B10&amp;" / "&amp;노무비목록표!C10</f>
        <v xml:space="preserve">보통인부 / </v>
      </c>
      <c r="Y7023" s="433" t="str">
        <f ca="1">HYPERLINK("#"&amp;노무비목록표!G2&amp;"!A"&amp;ROW(노무비목록표!A10),"L00017 →")</f>
        <v>L00017 →</v>
      </c>
      <c r="Z7023" s="501" t="s">
        <v>3500</v>
      </c>
      <c r="AA7023" s="515">
        <v>1</v>
      </c>
      <c r="AB7023" s="501" t="s">
        <v>3428</v>
      </c>
      <c r="AC7023" s="512">
        <f>AB7014</f>
        <v>270</v>
      </c>
      <c r="AD7023" s="501" t="s">
        <v>3418</v>
      </c>
      <c r="AE7023" s="512">
        <f>1*AA7023/AB7014</f>
        <v>3.7037037037037038E-3</v>
      </c>
      <c r="AF7023" s="500"/>
      <c r="AG7023" s="500"/>
      <c r="AH7023" s="500"/>
      <c r="AI7023" s="500"/>
      <c r="AJ7023" s="500"/>
      <c r="AK7023" s="500"/>
      <c r="AL7023" s="500"/>
      <c r="AM7023" s="500"/>
      <c r="AN7023" s="500"/>
      <c r="AO7023" s="500"/>
      <c r="AP7023" s="500"/>
    </row>
    <row r="7024" spans="1:42" ht="16.5" customHeight="1">
      <c r="A7024" s="439"/>
      <c r="B7024" s="439"/>
      <c r="C7024" s="439"/>
      <c r="D7024" s="439"/>
      <c r="E7024" s="439"/>
      <c r="F7024" s="439"/>
      <c r="G7024" s="451" t="s">
        <v>3406</v>
      </c>
      <c r="Z7024" s="500"/>
      <c r="AA7024" s="500"/>
      <c r="AB7024" s="500"/>
      <c r="AC7024" s="500"/>
      <c r="AD7024" s="500"/>
      <c r="AE7024" s="500"/>
      <c r="AF7024" s="500"/>
      <c r="AG7024" s="500"/>
      <c r="AH7024" s="500"/>
      <c r="AI7024" s="500"/>
      <c r="AJ7024" s="500"/>
      <c r="AK7024" s="500"/>
      <c r="AL7024" s="500"/>
      <c r="AM7024" s="500"/>
      <c r="AN7024" s="500"/>
      <c r="AO7024" s="500"/>
      <c r="AP7024" s="500"/>
    </row>
    <row r="7025" spans="1:42" ht="16.5" customHeight="1">
      <c r="A7025" s="434"/>
      <c r="B7025" s="437" t="s">
        <v>3419</v>
      </c>
      <c r="C7025" s="513">
        <f>E7025+D7025+F7025</f>
        <v>2585.4</v>
      </c>
      <c r="D7025" s="513">
        <f>SUMIF(N7007:N7024,M7025,D7007:D7024)</f>
        <v>2585.4</v>
      </c>
      <c r="E7025" s="513">
        <f>SUMIF(N7007:N7024,M7025,E7007:E7024)</f>
        <v>0</v>
      </c>
      <c r="F7025" s="513">
        <f>SUMIF(N7007:N7024,M7025,F7007:F7024)</f>
        <v>0</v>
      </c>
      <c r="G7025" s="451" t="s">
        <v>3420</v>
      </c>
      <c r="M7025" s="501" t="s">
        <v>3416</v>
      </c>
      <c r="N7025" s="501" t="s">
        <v>3421</v>
      </c>
      <c r="Z7025" s="500"/>
      <c r="AA7025" s="500"/>
      <c r="AB7025" s="500"/>
      <c r="AC7025" s="500"/>
      <c r="AD7025" s="500"/>
      <c r="AE7025" s="500"/>
      <c r="AF7025" s="500"/>
      <c r="AG7025" s="500"/>
      <c r="AH7025" s="500"/>
      <c r="AI7025" s="500"/>
      <c r="AJ7025" s="500"/>
      <c r="AK7025" s="500"/>
      <c r="AL7025" s="500"/>
      <c r="AM7025" s="500"/>
      <c r="AN7025" s="500"/>
      <c r="AO7025" s="500"/>
      <c r="AP7025" s="500"/>
    </row>
    <row r="7026" spans="1:42" ht="16.5" customHeight="1">
      <c r="A7026" s="439"/>
      <c r="B7026" s="439"/>
      <c r="C7026" s="504"/>
      <c r="D7026" s="504"/>
      <c r="E7026" s="504"/>
      <c r="F7026" s="504"/>
      <c r="G7026" s="451" t="s">
        <v>3406</v>
      </c>
      <c r="Z7026" s="500"/>
      <c r="AA7026" s="500"/>
      <c r="AB7026" s="500"/>
      <c r="AC7026" s="500"/>
      <c r="AD7026" s="500"/>
      <c r="AE7026" s="500"/>
      <c r="AF7026" s="500"/>
      <c r="AG7026" s="500"/>
      <c r="AH7026" s="500"/>
      <c r="AI7026" s="500"/>
      <c r="AJ7026" s="500"/>
      <c r="AK7026" s="500"/>
      <c r="AL7026" s="500"/>
      <c r="AM7026" s="500"/>
      <c r="AN7026" s="500"/>
      <c r="AO7026" s="500"/>
      <c r="AP7026" s="500"/>
    </row>
    <row r="7027" spans="1:42" ht="16.5" customHeight="1">
      <c r="A7027" s="439"/>
      <c r="B7027" s="439"/>
      <c r="C7027" s="439"/>
      <c r="D7027" s="439"/>
      <c r="E7027" s="439"/>
      <c r="F7027" s="439"/>
      <c r="G7027" s="451" t="s">
        <v>3406</v>
      </c>
      <c r="Z7027" s="500"/>
      <c r="AA7027" s="500"/>
      <c r="AB7027" s="500"/>
      <c r="AC7027" s="500"/>
      <c r="AD7027" s="500"/>
      <c r="AE7027" s="500"/>
      <c r="AF7027" s="500"/>
      <c r="AG7027" s="500"/>
      <c r="AH7027" s="500"/>
      <c r="AI7027" s="500"/>
      <c r="AJ7027" s="500"/>
      <c r="AK7027" s="500"/>
      <c r="AL7027" s="500"/>
      <c r="AM7027" s="500"/>
      <c r="AN7027" s="500"/>
      <c r="AO7027" s="500"/>
      <c r="AP7027" s="500"/>
    </row>
    <row r="7028" spans="1:42" ht="16.5" customHeight="1">
      <c r="A7028" s="434"/>
      <c r="B7028" s="505" t="str">
        <f>" 2. 공구손료 및 잡재료비(인력품의 3%) : "&amp;TEXT(I7028,"#,##0.0")&amp;" * "&amp;AA7028&amp;" %  = "&amp;TEXT(C7028,"#,##0.0")&amp;""</f>
        <v xml:space="preserve"> 2. 공구손료 및 잡재료비(인력품의 3%) : 2,585.4 * 3 %  = 77.5</v>
      </c>
      <c r="C7028" s="506">
        <f>E7028+D7028+F7028</f>
        <v>77.5</v>
      </c>
      <c r="D7028" s="506">
        <f>IF(H7028=0,0,ROUNDDOWN(J7028*H7028/100,1))</f>
        <v>0</v>
      </c>
      <c r="E7028" s="506">
        <f>IF(H7028=0,0,ROUNDDOWN(K7028*H7028/100,1))</f>
        <v>0</v>
      </c>
      <c r="F7028" s="506">
        <f>IF(H7028=0,0,ROUNDDOWN(L7028*H7028/100,1))</f>
        <v>77.5</v>
      </c>
      <c r="G7028" s="451" t="s">
        <v>4119</v>
      </c>
      <c r="H7028" s="507">
        <f>ROUNDUP(AC7028,14-LEN(ABS(INT(AC7028))))</f>
        <v>3</v>
      </c>
      <c r="I7028" s="508">
        <f>K7028+J7028+L7028</f>
        <v>2585.4</v>
      </c>
      <c r="J7028" s="456">
        <v>0</v>
      </c>
      <c r="K7028" s="456">
        <v>0</v>
      </c>
      <c r="L7028" s="509">
        <f>D7021+D7023</f>
        <v>2585.4</v>
      </c>
      <c r="M7028" s="501" t="s">
        <v>3743</v>
      </c>
      <c r="N7028" s="501" t="s">
        <v>3416</v>
      </c>
      <c r="Z7028" s="501" t="s">
        <v>3500</v>
      </c>
      <c r="AA7028" s="515">
        <v>3</v>
      </c>
      <c r="AB7028" s="501" t="s">
        <v>3418</v>
      </c>
      <c r="AC7028" s="512">
        <f>1*AA7028</f>
        <v>3</v>
      </c>
      <c r="AD7028" s="500"/>
      <c r="AE7028" s="500"/>
      <c r="AF7028" s="500"/>
      <c r="AG7028" s="500"/>
      <c r="AH7028" s="500"/>
      <c r="AI7028" s="500"/>
      <c r="AJ7028" s="500"/>
      <c r="AK7028" s="500"/>
      <c r="AL7028" s="500"/>
      <c r="AM7028" s="500"/>
      <c r="AN7028" s="500"/>
      <c r="AO7028" s="500"/>
      <c r="AP7028" s="500"/>
    </row>
    <row r="7029" spans="1:42" ht="16.5" customHeight="1">
      <c r="A7029" s="439"/>
      <c r="B7029" s="439"/>
      <c r="C7029" s="439"/>
      <c r="D7029" s="439"/>
      <c r="E7029" s="439"/>
      <c r="F7029" s="439"/>
      <c r="G7029" s="451" t="s">
        <v>3406</v>
      </c>
      <c r="Z7029" s="500"/>
      <c r="AA7029" s="500"/>
      <c r="AB7029" s="500"/>
      <c r="AC7029" s="500"/>
      <c r="AD7029" s="500"/>
      <c r="AE7029" s="500"/>
      <c r="AF7029" s="500"/>
      <c r="AG7029" s="500"/>
      <c r="AH7029" s="500"/>
      <c r="AI7029" s="500"/>
      <c r="AJ7029" s="500"/>
      <c r="AK7029" s="500"/>
      <c r="AL7029" s="500"/>
      <c r="AM7029" s="500"/>
      <c r="AN7029" s="500"/>
      <c r="AO7029" s="500"/>
      <c r="AP7029" s="500"/>
    </row>
    <row r="7030" spans="1:42" ht="16.5" customHeight="1">
      <c r="A7030" s="434"/>
      <c r="B7030" s="437" t="s">
        <v>3419</v>
      </c>
      <c r="C7030" s="513">
        <f>E7030+D7030+F7030</f>
        <v>77.5</v>
      </c>
      <c r="D7030" s="513">
        <f>SUMIF(N7026:N7029,M7030,D7026:D7029)</f>
        <v>0</v>
      </c>
      <c r="E7030" s="513">
        <f>SUMIF(N7026:N7029,M7030,E7026:E7029)</f>
        <v>0</v>
      </c>
      <c r="F7030" s="513">
        <f>SUMIF(N7026:N7029,M7030,F7026:F7029)</f>
        <v>77.5</v>
      </c>
      <c r="G7030" s="451" t="s">
        <v>3420</v>
      </c>
      <c r="M7030" s="501" t="s">
        <v>3416</v>
      </c>
      <c r="N7030" s="501" t="s">
        <v>3421</v>
      </c>
      <c r="Z7030" s="500"/>
      <c r="AA7030" s="500"/>
      <c r="AB7030" s="500"/>
      <c r="AC7030" s="500"/>
      <c r="AD7030" s="500"/>
      <c r="AE7030" s="500"/>
      <c r="AF7030" s="500"/>
      <c r="AG7030" s="500"/>
      <c r="AH7030" s="500"/>
      <c r="AI7030" s="500"/>
      <c r="AJ7030" s="500"/>
      <c r="AK7030" s="500"/>
      <c r="AL7030" s="500"/>
      <c r="AM7030" s="500"/>
      <c r="AN7030" s="500"/>
      <c r="AO7030" s="500"/>
      <c r="AP7030" s="500"/>
    </row>
    <row r="7031" spans="1:42" ht="16.5" customHeight="1">
      <c r="A7031" s="439"/>
      <c r="B7031" s="439"/>
      <c r="C7031" s="504"/>
      <c r="D7031" s="504"/>
      <c r="E7031" s="504"/>
      <c r="F7031" s="504"/>
      <c r="G7031" s="451" t="s">
        <v>3406</v>
      </c>
      <c r="Z7031" s="500"/>
      <c r="AA7031" s="500"/>
      <c r="AB7031" s="500"/>
      <c r="AC7031" s="500"/>
      <c r="AD7031" s="500"/>
      <c r="AE7031" s="500"/>
      <c r="AF7031" s="500"/>
      <c r="AG7031" s="500"/>
      <c r="AH7031" s="500"/>
      <c r="AI7031" s="500"/>
      <c r="AJ7031" s="500"/>
      <c r="AK7031" s="500"/>
      <c r="AL7031" s="500"/>
      <c r="AM7031" s="500"/>
      <c r="AN7031" s="500"/>
      <c r="AO7031" s="500"/>
      <c r="AP7031" s="500"/>
    </row>
    <row r="7032" spans="1:42" ht="16.5" customHeight="1">
      <c r="A7032" s="439"/>
      <c r="B7032" s="439"/>
      <c r="C7032" s="439"/>
      <c r="D7032" s="439"/>
      <c r="E7032" s="439"/>
      <c r="F7032" s="439"/>
      <c r="G7032" s="451" t="s">
        <v>3406</v>
      </c>
      <c r="Z7032" s="500"/>
      <c r="AA7032" s="500"/>
      <c r="AB7032" s="500"/>
      <c r="AC7032" s="500"/>
      <c r="AD7032" s="500"/>
      <c r="AE7032" s="500"/>
      <c r="AF7032" s="500"/>
      <c r="AG7032" s="500"/>
      <c r="AH7032" s="500"/>
      <c r="AI7032" s="500"/>
      <c r="AJ7032" s="500"/>
      <c r="AK7032" s="500"/>
      <c r="AL7032" s="500"/>
      <c r="AM7032" s="500"/>
      <c r="AN7032" s="500"/>
      <c r="AO7032" s="500"/>
      <c r="AP7032" s="500"/>
    </row>
    <row r="7033" spans="1:42" ht="16.5" customHeight="1">
      <c r="A7033" s="434"/>
      <c r="B7033" s="437" t="s">
        <v>3440</v>
      </c>
      <c r="C7033" s="513">
        <f>E7033+D7033+F7033</f>
        <v>2662.9</v>
      </c>
      <c r="D7033" s="513">
        <f>SUMIF(N7007:N7032,M7033,D7007:D7032)</f>
        <v>2585.4</v>
      </c>
      <c r="E7033" s="513">
        <f>SUMIF(N7007:N7032,M7033,E7007:E7032)</f>
        <v>0</v>
      </c>
      <c r="F7033" s="513">
        <f>SUMIF(N7007:N7032,M7033,F7007:F7032)</f>
        <v>77.5</v>
      </c>
      <c r="G7033" s="451" t="s">
        <v>3484</v>
      </c>
      <c r="M7033" s="501" t="s">
        <v>3421</v>
      </c>
      <c r="N7033" s="501" t="s">
        <v>2354</v>
      </c>
      <c r="Z7033" s="500"/>
      <c r="AA7033" s="500"/>
      <c r="AB7033" s="500"/>
      <c r="AC7033" s="500"/>
      <c r="AD7033" s="500"/>
      <c r="AE7033" s="500"/>
      <c r="AF7033" s="500"/>
      <c r="AG7033" s="500"/>
      <c r="AH7033" s="500"/>
      <c r="AI7033" s="500"/>
      <c r="AJ7033" s="500"/>
      <c r="AK7033" s="500"/>
      <c r="AL7033" s="500"/>
      <c r="AM7033" s="500"/>
      <c r="AN7033" s="500"/>
      <c r="AO7033" s="500"/>
      <c r="AP7033" s="500"/>
    </row>
    <row r="7034" spans="1:42" ht="16.5" customHeight="1">
      <c r="A7034" s="439"/>
      <c r="B7034" s="439"/>
      <c r="C7034" s="504"/>
      <c r="D7034" s="504"/>
      <c r="E7034" s="504"/>
      <c r="F7034" s="504"/>
      <c r="Z7034" s="500"/>
      <c r="AA7034" s="500"/>
      <c r="AB7034" s="500"/>
      <c r="AC7034" s="500"/>
      <c r="AD7034" s="500"/>
      <c r="AE7034" s="500"/>
      <c r="AF7034" s="500"/>
      <c r="AG7034" s="500"/>
      <c r="AH7034" s="500"/>
      <c r="AI7034" s="500"/>
      <c r="AJ7034" s="500"/>
      <c r="AK7034" s="500"/>
      <c r="AL7034" s="500"/>
      <c r="AM7034" s="500"/>
      <c r="AN7034" s="500"/>
      <c r="AO7034" s="500"/>
      <c r="AP7034" s="500"/>
    </row>
    <row r="7035" spans="1:42" ht="16.5" customHeight="1">
      <c r="A7035" s="439"/>
      <c r="B7035" s="439"/>
      <c r="C7035" s="439"/>
      <c r="D7035" s="439"/>
      <c r="E7035" s="439"/>
      <c r="F7035" s="439"/>
      <c r="Z7035" s="500"/>
      <c r="AA7035" s="500"/>
      <c r="AB7035" s="500"/>
      <c r="AC7035" s="500"/>
      <c r="AD7035" s="500"/>
      <c r="AE7035" s="500"/>
      <c r="AF7035" s="500"/>
      <c r="AG7035" s="500"/>
      <c r="AH7035" s="500"/>
      <c r="AI7035" s="500"/>
      <c r="AJ7035" s="500"/>
      <c r="AK7035" s="500"/>
      <c r="AL7035" s="500"/>
      <c r="AM7035" s="500"/>
      <c r="AN7035" s="500"/>
      <c r="AO7035" s="500"/>
      <c r="AP7035" s="500"/>
    </row>
    <row r="7036" spans="1:42" ht="16.5" customHeight="1">
      <c r="A7036" s="439"/>
      <c r="B7036" s="439"/>
      <c r="C7036" s="439"/>
      <c r="D7036" s="439"/>
      <c r="E7036" s="439"/>
      <c r="F7036" s="439"/>
      <c r="Z7036" s="500"/>
      <c r="AA7036" s="500"/>
      <c r="AB7036" s="500"/>
      <c r="AC7036" s="500"/>
      <c r="AD7036" s="500"/>
      <c r="AE7036" s="500"/>
      <c r="AF7036" s="500"/>
      <c r="AG7036" s="500"/>
      <c r="AH7036" s="500"/>
      <c r="AI7036" s="500"/>
      <c r="AJ7036" s="500"/>
      <c r="AK7036" s="500"/>
      <c r="AL7036" s="500"/>
      <c r="AM7036" s="500"/>
      <c r="AN7036" s="500"/>
      <c r="AO7036" s="500"/>
      <c r="AP7036" s="500"/>
    </row>
    <row r="7037" spans="1:42" ht="16.5" customHeight="1">
      <c r="A7037" s="439"/>
      <c r="B7037" s="439"/>
      <c r="C7037" s="439"/>
      <c r="D7037" s="439"/>
      <c r="E7037" s="439"/>
      <c r="F7037" s="439"/>
      <c r="Z7037" s="500"/>
      <c r="AA7037" s="500"/>
      <c r="AB7037" s="500"/>
      <c r="AC7037" s="500"/>
      <c r="AD7037" s="500"/>
      <c r="AE7037" s="500"/>
      <c r="AF7037" s="500"/>
      <c r="AG7037" s="500"/>
      <c r="AH7037" s="500"/>
      <c r="AI7037" s="500"/>
      <c r="AJ7037" s="500"/>
      <c r="AK7037" s="500"/>
      <c r="AL7037" s="500"/>
      <c r="AM7037" s="500"/>
      <c r="AN7037" s="500"/>
      <c r="AO7037" s="500"/>
      <c r="AP7037" s="500"/>
    </row>
    <row r="7038" spans="1:42" ht="16.5" customHeight="1">
      <c r="A7038" s="439"/>
      <c r="B7038" s="439"/>
      <c r="C7038" s="439"/>
      <c r="D7038" s="439"/>
      <c r="E7038" s="439"/>
      <c r="F7038" s="439"/>
      <c r="Z7038" s="500"/>
      <c r="AA7038" s="500"/>
      <c r="AB7038" s="500"/>
      <c r="AC7038" s="500"/>
      <c r="AD7038" s="500"/>
      <c r="AE7038" s="500"/>
      <c r="AF7038" s="500"/>
      <c r="AG7038" s="500"/>
      <c r="AH7038" s="500"/>
      <c r="AI7038" s="500"/>
      <c r="AJ7038" s="500"/>
      <c r="AK7038" s="500"/>
      <c r="AL7038" s="500"/>
      <c r="AM7038" s="500"/>
      <c r="AN7038" s="500"/>
      <c r="AO7038" s="500"/>
      <c r="AP7038" s="500"/>
    </row>
    <row r="7039" spans="1:42" ht="16.5" customHeight="1">
      <c r="A7039" s="439"/>
      <c r="B7039" s="439"/>
      <c r="C7039" s="439"/>
      <c r="D7039" s="439"/>
      <c r="E7039" s="439"/>
      <c r="F7039" s="439"/>
      <c r="Z7039" s="500"/>
      <c r="AA7039" s="500"/>
      <c r="AB7039" s="500"/>
      <c r="AC7039" s="500"/>
      <c r="AD7039" s="500"/>
      <c r="AE7039" s="500"/>
      <c r="AF7039" s="500"/>
      <c r="AG7039" s="500"/>
      <c r="AH7039" s="500"/>
      <c r="AI7039" s="500"/>
      <c r="AJ7039" s="500"/>
      <c r="AK7039" s="500"/>
      <c r="AL7039" s="500"/>
      <c r="AM7039" s="500"/>
      <c r="AN7039" s="500"/>
      <c r="AO7039" s="500"/>
      <c r="AP7039" s="500"/>
    </row>
    <row r="7040" spans="1:42" ht="16.5" customHeight="1">
      <c r="A7040" s="439"/>
      <c r="B7040" s="439"/>
      <c r="C7040" s="439"/>
      <c r="D7040" s="439"/>
      <c r="E7040" s="439"/>
      <c r="F7040" s="439"/>
      <c r="Z7040" s="500"/>
      <c r="AA7040" s="500"/>
      <c r="AB7040" s="500"/>
      <c r="AC7040" s="500"/>
      <c r="AD7040" s="500"/>
      <c r="AE7040" s="500"/>
      <c r="AF7040" s="500"/>
      <c r="AG7040" s="500"/>
      <c r="AH7040" s="500"/>
      <c r="AI7040" s="500"/>
      <c r="AJ7040" s="500"/>
      <c r="AK7040" s="500"/>
      <c r="AL7040" s="500"/>
      <c r="AM7040" s="500"/>
      <c r="AN7040" s="500"/>
      <c r="AO7040" s="500"/>
      <c r="AP7040" s="500"/>
    </row>
    <row r="7041" spans="1:42" ht="16.5" customHeight="1">
      <c r="A7041" s="439"/>
      <c r="B7041" s="439"/>
      <c r="C7041" s="439"/>
      <c r="D7041" s="439"/>
      <c r="E7041" s="439"/>
      <c r="F7041" s="439"/>
      <c r="Z7041" s="500"/>
      <c r="AA7041" s="500"/>
      <c r="AB7041" s="500"/>
      <c r="AC7041" s="500"/>
      <c r="AD7041" s="500"/>
      <c r="AE7041" s="500"/>
      <c r="AF7041" s="500"/>
      <c r="AG7041" s="500"/>
      <c r="AH7041" s="500"/>
      <c r="AI7041" s="500"/>
      <c r="AJ7041" s="500"/>
      <c r="AK7041" s="500"/>
      <c r="AL7041" s="500"/>
      <c r="AM7041" s="500"/>
      <c r="AN7041" s="500"/>
      <c r="AO7041" s="500"/>
      <c r="AP7041" s="500"/>
    </row>
    <row r="7042" spans="1:42" ht="16.5" customHeight="1">
      <c r="A7042" s="439"/>
      <c r="B7042" s="439"/>
      <c r="C7042" s="439"/>
      <c r="D7042" s="439"/>
      <c r="E7042" s="439"/>
      <c r="F7042" s="439"/>
      <c r="Z7042" s="500"/>
      <c r="AA7042" s="500"/>
      <c r="AB7042" s="500"/>
      <c r="AC7042" s="500"/>
      <c r="AD7042" s="500"/>
      <c r="AE7042" s="500"/>
      <c r="AF7042" s="500"/>
      <c r="AG7042" s="500"/>
      <c r="AH7042" s="500"/>
      <c r="AI7042" s="500"/>
      <c r="AJ7042" s="500"/>
      <c r="AK7042" s="500"/>
      <c r="AL7042" s="500"/>
      <c r="AM7042" s="500"/>
      <c r="AN7042" s="500"/>
      <c r="AO7042" s="500"/>
      <c r="AP7042" s="500"/>
    </row>
    <row r="7043" spans="1:42" ht="16.5" customHeight="1">
      <c r="A7043" s="439"/>
      <c r="B7043" s="439"/>
      <c r="C7043" s="439"/>
      <c r="D7043" s="439"/>
      <c r="E7043" s="439"/>
      <c r="F7043" s="439"/>
      <c r="Z7043" s="500"/>
      <c r="AA7043" s="500"/>
      <c r="AB7043" s="500"/>
      <c r="AC7043" s="500"/>
      <c r="AD7043" s="500"/>
      <c r="AE7043" s="500"/>
      <c r="AF7043" s="500"/>
      <c r="AG7043" s="500"/>
      <c r="AH7043" s="500"/>
      <c r="AI7043" s="500"/>
      <c r="AJ7043" s="500"/>
      <c r="AK7043" s="500"/>
      <c r="AL7043" s="500"/>
      <c r="AM7043" s="500"/>
      <c r="AN7043" s="500"/>
      <c r="AO7043" s="500"/>
      <c r="AP7043" s="500"/>
    </row>
    <row r="7044" spans="1:42" ht="16.5" customHeight="1">
      <c r="A7044" s="439"/>
      <c r="B7044" s="439"/>
      <c r="C7044" s="439"/>
      <c r="D7044" s="439"/>
      <c r="E7044" s="439"/>
      <c r="F7044" s="439"/>
      <c r="Z7044" s="500"/>
      <c r="AA7044" s="500"/>
      <c r="AB7044" s="500"/>
      <c r="AC7044" s="500"/>
      <c r="AD7044" s="500"/>
      <c r="AE7044" s="500"/>
      <c r="AF7044" s="500"/>
      <c r="AG7044" s="500"/>
      <c r="AH7044" s="500"/>
      <c r="AI7044" s="500"/>
      <c r="AJ7044" s="500"/>
      <c r="AK7044" s="500"/>
      <c r="AL7044" s="500"/>
      <c r="AM7044" s="500"/>
      <c r="AN7044" s="500"/>
      <c r="AO7044" s="500"/>
      <c r="AP7044" s="500"/>
    </row>
    <row r="7045" spans="1:42" ht="16.5" customHeight="1">
      <c r="A7045" s="439"/>
      <c r="B7045" s="439"/>
      <c r="C7045" s="439"/>
      <c r="D7045" s="439"/>
      <c r="E7045" s="439"/>
      <c r="F7045" s="439"/>
      <c r="Z7045" s="500"/>
      <c r="AA7045" s="500"/>
      <c r="AB7045" s="500"/>
      <c r="AC7045" s="500"/>
      <c r="AD7045" s="500"/>
      <c r="AE7045" s="500"/>
      <c r="AF7045" s="500"/>
      <c r="AG7045" s="500"/>
      <c r="AH7045" s="500"/>
      <c r="AI7045" s="500"/>
      <c r="AJ7045" s="500"/>
      <c r="AK7045" s="500"/>
      <c r="AL7045" s="500"/>
      <c r="AM7045" s="500"/>
      <c r="AN7045" s="500"/>
      <c r="AO7045" s="500"/>
      <c r="AP7045" s="500"/>
    </row>
    <row r="7046" spans="1:42" ht="16.5" customHeight="1">
      <c r="A7046" s="439"/>
      <c r="B7046" s="439"/>
      <c r="C7046" s="439"/>
      <c r="D7046" s="439"/>
      <c r="E7046" s="439"/>
      <c r="F7046" s="439"/>
      <c r="Z7046" s="500"/>
      <c r="AA7046" s="500"/>
      <c r="AB7046" s="500"/>
      <c r="AC7046" s="500"/>
      <c r="AD7046" s="500"/>
      <c r="AE7046" s="500"/>
      <c r="AF7046" s="500"/>
      <c r="AG7046" s="500"/>
      <c r="AH7046" s="500"/>
      <c r="AI7046" s="500"/>
      <c r="AJ7046" s="500"/>
      <c r="AK7046" s="500"/>
      <c r="AL7046" s="500"/>
      <c r="AM7046" s="500"/>
      <c r="AN7046" s="500"/>
      <c r="AO7046" s="500"/>
      <c r="AP7046" s="500"/>
    </row>
    <row r="7047" spans="1:42" ht="16.5" customHeight="1">
      <c r="A7047" s="439"/>
      <c r="B7047" s="439"/>
      <c r="C7047" s="439"/>
      <c r="D7047" s="439"/>
      <c r="E7047" s="439"/>
      <c r="F7047" s="439"/>
      <c r="Z7047" s="500"/>
      <c r="AA7047" s="500"/>
      <c r="AB7047" s="500"/>
      <c r="AC7047" s="500"/>
      <c r="AD7047" s="500"/>
      <c r="AE7047" s="500"/>
      <c r="AF7047" s="500"/>
      <c r="AG7047" s="500"/>
      <c r="AH7047" s="500"/>
      <c r="AI7047" s="500"/>
      <c r="AJ7047" s="500"/>
      <c r="AK7047" s="500"/>
      <c r="AL7047" s="500"/>
      <c r="AM7047" s="500"/>
      <c r="AN7047" s="500"/>
      <c r="AO7047" s="500"/>
      <c r="AP7047" s="500"/>
    </row>
    <row r="7048" spans="1:42" ht="16.5" customHeight="1">
      <c r="A7048" s="439"/>
      <c r="B7048" s="439"/>
      <c r="C7048" s="439"/>
      <c r="D7048" s="439"/>
      <c r="E7048" s="439"/>
      <c r="F7048" s="439"/>
      <c r="Z7048" s="500"/>
      <c r="AA7048" s="500"/>
      <c r="AB7048" s="500"/>
      <c r="AC7048" s="500"/>
      <c r="AD7048" s="500"/>
      <c r="AE7048" s="500"/>
      <c r="AF7048" s="500"/>
      <c r="AG7048" s="500"/>
      <c r="AH7048" s="500"/>
      <c r="AI7048" s="500"/>
      <c r="AJ7048" s="500"/>
      <c r="AK7048" s="500"/>
      <c r="AL7048" s="500"/>
      <c r="AM7048" s="500"/>
      <c r="AN7048" s="500"/>
      <c r="AO7048" s="500"/>
      <c r="AP7048" s="500"/>
    </row>
    <row r="7049" spans="1:42" ht="16.5" customHeight="1">
      <c r="A7049" s="439"/>
      <c r="B7049" s="439"/>
      <c r="C7049" s="439"/>
      <c r="D7049" s="439"/>
      <c r="E7049" s="439"/>
      <c r="F7049" s="439"/>
      <c r="Z7049" s="500"/>
      <c r="AA7049" s="500"/>
      <c r="AB7049" s="500"/>
      <c r="AC7049" s="500"/>
      <c r="AD7049" s="500"/>
      <c r="AE7049" s="500"/>
      <c r="AF7049" s="500"/>
      <c r="AG7049" s="500"/>
      <c r="AH7049" s="500"/>
      <c r="AI7049" s="500"/>
      <c r="AJ7049" s="500"/>
      <c r="AK7049" s="500"/>
      <c r="AL7049" s="500"/>
      <c r="AM7049" s="500"/>
      <c r="AN7049" s="500"/>
      <c r="AO7049" s="500"/>
      <c r="AP7049" s="500"/>
    </row>
    <row r="7050" spans="1:42" ht="16.5" customHeight="1">
      <c r="A7050" s="439"/>
      <c r="B7050" s="439"/>
      <c r="C7050" s="439"/>
      <c r="D7050" s="439"/>
      <c r="E7050" s="439"/>
      <c r="F7050" s="439"/>
      <c r="Z7050" s="500"/>
      <c r="AA7050" s="500"/>
      <c r="AB7050" s="500"/>
      <c r="AC7050" s="500"/>
      <c r="AD7050" s="500"/>
      <c r="AE7050" s="500"/>
      <c r="AF7050" s="500"/>
      <c r="AG7050" s="500"/>
      <c r="AH7050" s="500"/>
      <c r="AI7050" s="500"/>
      <c r="AJ7050" s="500"/>
      <c r="AK7050" s="500"/>
      <c r="AL7050" s="500"/>
      <c r="AM7050" s="500"/>
      <c r="AN7050" s="500"/>
      <c r="AO7050" s="500"/>
      <c r="AP7050" s="500"/>
    </row>
    <row r="7051" spans="1:42" ht="16.5" customHeight="1">
      <c r="A7051" s="439"/>
      <c r="B7051" s="439"/>
      <c r="C7051" s="439"/>
      <c r="D7051" s="439"/>
      <c r="E7051" s="439"/>
      <c r="F7051" s="439"/>
      <c r="Z7051" s="500"/>
      <c r="AA7051" s="500"/>
      <c r="AB7051" s="500"/>
      <c r="AC7051" s="500"/>
      <c r="AD7051" s="500"/>
      <c r="AE7051" s="500"/>
      <c r="AF7051" s="500"/>
      <c r="AG7051" s="500"/>
      <c r="AH7051" s="500"/>
      <c r="AI7051" s="500"/>
      <c r="AJ7051" s="500"/>
      <c r="AK7051" s="500"/>
      <c r="AL7051" s="500"/>
      <c r="AM7051" s="500"/>
      <c r="AN7051" s="500"/>
      <c r="AO7051" s="500"/>
      <c r="AP7051" s="500"/>
    </row>
    <row r="7052" spans="1:42" ht="16.5" customHeight="1">
      <c r="A7052" s="439"/>
      <c r="B7052" s="439"/>
      <c r="C7052" s="439"/>
      <c r="D7052" s="439"/>
      <c r="E7052" s="439"/>
      <c r="F7052" s="439"/>
      <c r="Z7052" s="500"/>
      <c r="AA7052" s="500"/>
      <c r="AB7052" s="500"/>
      <c r="AC7052" s="500"/>
      <c r="AD7052" s="500"/>
      <c r="AE7052" s="500"/>
      <c r="AF7052" s="500"/>
      <c r="AG7052" s="500"/>
      <c r="AH7052" s="500"/>
      <c r="AI7052" s="500"/>
      <c r="AJ7052" s="500"/>
      <c r="AK7052" s="500"/>
      <c r="AL7052" s="500"/>
      <c r="AM7052" s="500"/>
      <c r="AN7052" s="500"/>
      <c r="AO7052" s="500"/>
      <c r="AP7052" s="500"/>
    </row>
    <row r="7053" spans="1:42" ht="16.5" customHeight="1">
      <c r="A7053" s="497"/>
      <c r="B7053" s="497"/>
      <c r="C7053" s="497"/>
      <c r="D7053" s="497"/>
      <c r="E7053" s="497"/>
      <c r="F7053" s="497"/>
      <c r="Z7053" s="500"/>
      <c r="AA7053" s="500"/>
      <c r="AB7053" s="500"/>
      <c r="AC7053" s="500"/>
      <c r="AD7053" s="500"/>
      <c r="AE7053" s="500"/>
      <c r="AF7053" s="500"/>
      <c r="AG7053" s="500"/>
      <c r="AH7053" s="500"/>
      <c r="AI7053" s="500"/>
      <c r="AJ7053" s="500"/>
      <c r="AK7053" s="500"/>
      <c r="AL7053" s="500"/>
      <c r="AM7053" s="500"/>
      <c r="AN7053" s="500"/>
      <c r="AO7053" s="500"/>
      <c r="AP7053" s="500"/>
    </row>
    <row r="7054" spans="1:42" ht="16.5" customHeight="1">
      <c r="A7054" s="616" t="s">
        <v>3487</v>
      </c>
      <c r="B7054" s="605"/>
      <c r="C7054" s="446">
        <f>E7054+D7054+F7054</f>
        <v>2662</v>
      </c>
      <c r="D7054" s="453">
        <f>ROUNDDOWN(SUMIF(N7007:N7033,M7054,D7007:D7033),0)</f>
        <v>2585</v>
      </c>
      <c r="E7054" s="454">
        <f>ROUNDDOWN(SUMIF(N7007:N7033,M7054,E7007:E7033),0)</f>
        <v>0</v>
      </c>
      <c r="F7054" s="446">
        <f>ROUNDDOWN(SUMIF(N7007:N7033,M7054,F7007:F7033),0)</f>
        <v>77</v>
      </c>
      <c r="M7054" s="501" t="s">
        <v>2354</v>
      </c>
      <c r="Z7054" s="500"/>
      <c r="AA7054" s="500"/>
      <c r="AB7054" s="500"/>
      <c r="AC7054" s="500"/>
      <c r="AD7054" s="500"/>
      <c r="AE7054" s="500"/>
      <c r="AF7054" s="500"/>
      <c r="AG7054" s="500"/>
      <c r="AH7054" s="500"/>
      <c r="AI7054" s="500"/>
      <c r="AJ7054" s="500"/>
      <c r="AK7054" s="500"/>
      <c r="AL7054" s="500"/>
      <c r="AM7054" s="500"/>
      <c r="AN7054" s="500"/>
      <c r="AO7054" s="500"/>
      <c r="AP7054" s="500"/>
    </row>
    <row r="7055" spans="1:42" ht="16.5" customHeight="1">
      <c r="A7055" s="502" t="s">
        <v>3373</v>
      </c>
      <c r="B7055" s="503" t="s">
        <v>1543</v>
      </c>
      <c r="C7055" s="615">
        <f>C7104</f>
        <v>11984</v>
      </c>
      <c r="D7055" s="615">
        <f>D7104</f>
        <v>11635</v>
      </c>
      <c r="E7055" s="615">
        <f>E7104</f>
        <v>0</v>
      </c>
      <c r="F7055" s="615">
        <f>F7104</f>
        <v>349</v>
      </c>
      <c r="G7055" s="486" t="str">
        <f>HYPERLINK("#G"&amp;ROW(G7083),"_x0005_`BDCOD|D01275_x0007_`POSS|"&amp;ROW(G7057)&amp;"_x0007_`POSE|"&amp;ROW(G7083)&amp;"_x0007_`")</f>
        <v>_x0005_`BDCOD|D01275_x0007_`POSS|7057_x0007_`POSE|7083_x0007_`</v>
      </c>
      <c r="Z7055" s="500"/>
      <c r="AA7055" s="500"/>
      <c r="AB7055" s="500"/>
      <c r="AC7055" s="500"/>
      <c r="AD7055" s="500"/>
      <c r="AE7055" s="500"/>
      <c r="AF7055" s="500"/>
      <c r="AG7055" s="500"/>
      <c r="AH7055" s="500"/>
      <c r="AI7055" s="500"/>
      <c r="AJ7055" s="500"/>
      <c r="AK7055" s="500"/>
      <c r="AL7055" s="500"/>
      <c r="AM7055" s="500"/>
      <c r="AN7055" s="500"/>
      <c r="AO7055" s="500"/>
      <c r="AP7055" s="500"/>
    </row>
    <row r="7056" spans="1:42" ht="16.5" customHeight="1">
      <c r="A7056" s="485"/>
      <c r="B7056" s="503" t="s">
        <v>4120</v>
      </c>
      <c r="C7056" s="593"/>
      <c r="D7056" s="593"/>
      <c r="E7056" s="593"/>
      <c r="F7056" s="593"/>
      <c r="M7056" s="501" t="s">
        <v>1543</v>
      </c>
      <c r="Z7056" s="500"/>
      <c r="AA7056" s="500"/>
      <c r="AB7056" s="500"/>
      <c r="AC7056" s="500"/>
      <c r="AD7056" s="500"/>
      <c r="AE7056" s="500"/>
      <c r="AF7056" s="500"/>
      <c r="AG7056" s="500"/>
      <c r="AH7056" s="500"/>
      <c r="AI7056" s="500"/>
      <c r="AJ7056" s="500"/>
      <c r="AK7056" s="500"/>
      <c r="AL7056" s="500"/>
      <c r="AM7056" s="500"/>
      <c r="AN7056" s="500"/>
      <c r="AO7056" s="500"/>
      <c r="AP7056" s="500"/>
    </row>
    <row r="7057" spans="1:42" ht="16.5" customHeight="1">
      <c r="A7057" s="439"/>
      <c r="B7057" s="439"/>
      <c r="C7057" s="504"/>
      <c r="D7057" s="504"/>
      <c r="E7057" s="504"/>
      <c r="F7057" s="504"/>
      <c r="G7057" s="451" t="s">
        <v>3406</v>
      </c>
      <c r="Z7057" s="500"/>
      <c r="AA7057" s="500"/>
      <c r="AB7057" s="500"/>
      <c r="AC7057" s="500"/>
      <c r="AD7057" s="500"/>
      <c r="AE7057" s="500"/>
      <c r="AF7057" s="500"/>
      <c r="AG7057" s="500"/>
      <c r="AH7057" s="500"/>
      <c r="AI7057" s="500"/>
      <c r="AJ7057" s="500"/>
      <c r="AK7057" s="500"/>
      <c r="AL7057" s="500"/>
      <c r="AM7057" s="500"/>
      <c r="AN7057" s="500"/>
      <c r="AO7057" s="500"/>
      <c r="AP7057" s="500"/>
    </row>
    <row r="7058" spans="1:42" ht="16.5" customHeight="1">
      <c r="A7058" s="434"/>
      <c r="B7058" s="437" t="s">
        <v>4121</v>
      </c>
      <c r="C7058" s="439"/>
      <c r="D7058" s="439"/>
      <c r="E7058" s="439"/>
      <c r="F7058" s="439"/>
      <c r="G7058" s="451" t="s">
        <v>4122</v>
      </c>
      <c r="Z7058" s="500"/>
      <c r="AA7058" s="500"/>
      <c r="AB7058" s="500"/>
      <c r="AC7058" s="500"/>
      <c r="AD7058" s="500"/>
      <c r="AE7058" s="500"/>
      <c r="AF7058" s="500"/>
      <c r="AG7058" s="500"/>
      <c r="AH7058" s="500"/>
      <c r="AI7058" s="500"/>
      <c r="AJ7058" s="500"/>
      <c r="AK7058" s="500"/>
      <c r="AL7058" s="500"/>
      <c r="AM7058" s="500"/>
      <c r="AN7058" s="500"/>
      <c r="AO7058" s="500"/>
      <c r="AP7058" s="500"/>
    </row>
    <row r="7059" spans="1:42" ht="16.5" customHeight="1">
      <c r="A7059" s="439"/>
      <c r="B7059" s="439"/>
      <c r="C7059" s="439"/>
      <c r="D7059" s="439"/>
      <c r="E7059" s="439"/>
      <c r="F7059" s="439"/>
      <c r="G7059" s="451" t="s">
        <v>3406</v>
      </c>
      <c r="Z7059" s="500"/>
      <c r="AA7059" s="500"/>
      <c r="AB7059" s="500"/>
      <c r="AC7059" s="500"/>
      <c r="AD7059" s="500"/>
      <c r="AE7059" s="500"/>
      <c r="AF7059" s="500"/>
      <c r="AG7059" s="500"/>
      <c r="AH7059" s="500"/>
      <c r="AI7059" s="500"/>
      <c r="AJ7059" s="500"/>
      <c r="AK7059" s="500"/>
      <c r="AL7059" s="500"/>
      <c r="AM7059" s="500"/>
      <c r="AN7059" s="500"/>
      <c r="AO7059" s="500"/>
      <c r="AP7059" s="500"/>
    </row>
    <row r="7060" spans="1:42" ht="16.5" customHeight="1">
      <c r="A7060" s="434"/>
      <c r="B7060" s="437" t="s">
        <v>4123</v>
      </c>
      <c r="C7060" s="439"/>
      <c r="D7060" s="439"/>
      <c r="E7060" s="439"/>
      <c r="F7060" s="439"/>
      <c r="G7060" s="451" t="s">
        <v>4124</v>
      </c>
      <c r="Z7060" s="500"/>
      <c r="AA7060" s="500"/>
      <c r="AB7060" s="500"/>
      <c r="AC7060" s="500"/>
      <c r="AD7060" s="500"/>
      <c r="AE7060" s="500"/>
      <c r="AF7060" s="500"/>
      <c r="AG7060" s="500"/>
      <c r="AH7060" s="500"/>
      <c r="AI7060" s="500"/>
      <c r="AJ7060" s="500"/>
      <c r="AK7060" s="500"/>
      <c r="AL7060" s="500"/>
      <c r="AM7060" s="500"/>
      <c r="AN7060" s="500"/>
      <c r="AO7060" s="500"/>
      <c r="AP7060" s="500"/>
    </row>
    <row r="7061" spans="1:42" ht="16.5" customHeight="1">
      <c r="A7061" s="439"/>
      <c r="B7061" s="439"/>
      <c r="C7061" s="439"/>
      <c r="D7061" s="439"/>
      <c r="E7061" s="439"/>
      <c r="F7061" s="439"/>
      <c r="G7061" s="451" t="s">
        <v>3406</v>
      </c>
      <c r="Z7061" s="500"/>
      <c r="AA7061" s="500"/>
      <c r="AB7061" s="500"/>
      <c r="AC7061" s="500"/>
      <c r="AD7061" s="500"/>
      <c r="AE7061" s="500"/>
      <c r="AF7061" s="500"/>
      <c r="AG7061" s="500"/>
      <c r="AH7061" s="500"/>
      <c r="AI7061" s="500"/>
      <c r="AJ7061" s="500"/>
      <c r="AK7061" s="500"/>
      <c r="AL7061" s="500"/>
      <c r="AM7061" s="500"/>
      <c r="AN7061" s="500"/>
      <c r="AO7061" s="500"/>
      <c r="AP7061" s="500"/>
    </row>
    <row r="7062" spans="1:42" ht="16.5" customHeight="1">
      <c r="A7062" s="439"/>
      <c r="B7062" s="439"/>
      <c r="C7062" s="439"/>
      <c r="D7062" s="439"/>
      <c r="E7062" s="439"/>
      <c r="F7062" s="439"/>
      <c r="G7062" s="451" t="s">
        <v>3406</v>
      </c>
      <c r="Z7062" s="500"/>
      <c r="AA7062" s="500"/>
      <c r="AB7062" s="500"/>
      <c r="AC7062" s="500"/>
      <c r="AD7062" s="500"/>
      <c r="AE7062" s="500"/>
      <c r="AF7062" s="500"/>
      <c r="AG7062" s="500"/>
      <c r="AH7062" s="500"/>
      <c r="AI7062" s="500"/>
      <c r="AJ7062" s="500"/>
      <c r="AK7062" s="500"/>
      <c r="AL7062" s="500"/>
      <c r="AM7062" s="500"/>
      <c r="AN7062" s="500"/>
      <c r="AO7062" s="500"/>
      <c r="AP7062" s="500"/>
    </row>
    <row r="7063" spans="1:42" ht="16.5" customHeight="1">
      <c r="A7063" s="439"/>
      <c r="B7063" s="439"/>
      <c r="C7063" s="439"/>
      <c r="D7063" s="439"/>
      <c r="E7063" s="439"/>
      <c r="F7063" s="439"/>
      <c r="G7063" s="451" t="s">
        <v>3406</v>
      </c>
      <c r="Z7063" s="500"/>
      <c r="AA7063" s="500"/>
      <c r="AB7063" s="500"/>
      <c r="AC7063" s="500"/>
      <c r="AD7063" s="500"/>
      <c r="AE7063" s="500"/>
      <c r="AF7063" s="500"/>
      <c r="AG7063" s="500"/>
      <c r="AH7063" s="500"/>
      <c r="AI7063" s="500"/>
      <c r="AJ7063" s="500"/>
      <c r="AK7063" s="500"/>
      <c r="AL7063" s="500"/>
      <c r="AM7063" s="500"/>
      <c r="AN7063" s="500"/>
      <c r="AO7063" s="500"/>
      <c r="AP7063" s="500"/>
    </row>
    <row r="7064" spans="1:42" ht="16.5" customHeight="1">
      <c r="A7064" s="434"/>
      <c r="B7064" s="437" t="str">
        <f>" 일당 작업량 :  Q1 = "&amp;Z7064&amp;" ㎡ "</f>
        <v xml:space="preserve"> 일당 작업량 :  Q1 = 60 ㎡ </v>
      </c>
      <c r="C7064" s="439"/>
      <c r="D7064" s="439"/>
      <c r="E7064" s="439"/>
      <c r="F7064" s="439"/>
      <c r="G7064" s="451" t="s">
        <v>4125</v>
      </c>
      <c r="Z7064" s="515">
        <v>60</v>
      </c>
      <c r="AA7064" s="501" t="s">
        <v>3418</v>
      </c>
      <c r="AB7064" s="512">
        <f>Z7064</f>
        <v>60</v>
      </c>
      <c r="AC7064" s="500"/>
      <c r="AD7064" s="500"/>
      <c r="AE7064" s="500"/>
      <c r="AF7064" s="500"/>
      <c r="AG7064" s="500"/>
      <c r="AH7064" s="500"/>
      <c r="AI7064" s="500"/>
      <c r="AJ7064" s="500"/>
      <c r="AK7064" s="500"/>
      <c r="AL7064" s="500"/>
      <c r="AM7064" s="500"/>
      <c r="AN7064" s="500"/>
      <c r="AO7064" s="500"/>
      <c r="AP7064" s="500"/>
    </row>
    <row r="7065" spans="1:42" ht="16.5" customHeight="1">
      <c r="A7065" s="439"/>
      <c r="B7065" s="439"/>
      <c r="C7065" s="439"/>
      <c r="D7065" s="439"/>
      <c r="E7065" s="439"/>
      <c r="F7065" s="439"/>
      <c r="G7065" s="451" t="s">
        <v>3406</v>
      </c>
      <c r="Z7065" s="500"/>
      <c r="AA7065" s="500"/>
      <c r="AB7065" s="500"/>
      <c r="AC7065" s="500"/>
      <c r="AD7065" s="500"/>
      <c r="AE7065" s="500"/>
      <c r="AF7065" s="500"/>
      <c r="AG7065" s="500"/>
      <c r="AH7065" s="500"/>
      <c r="AI7065" s="500"/>
      <c r="AJ7065" s="500"/>
      <c r="AK7065" s="500"/>
      <c r="AL7065" s="500"/>
      <c r="AM7065" s="500"/>
      <c r="AN7065" s="500"/>
      <c r="AO7065" s="500"/>
      <c r="AP7065" s="500"/>
    </row>
    <row r="7066" spans="1:42" ht="16.5" customHeight="1">
      <c r="A7066" s="434"/>
      <c r="B7066" s="437" t="s">
        <v>4115</v>
      </c>
      <c r="C7066" s="439"/>
      <c r="D7066" s="439"/>
      <c r="E7066" s="439"/>
      <c r="F7066" s="439"/>
      <c r="G7066" s="451" t="s">
        <v>4116</v>
      </c>
      <c r="Z7066" s="500"/>
      <c r="AA7066" s="500"/>
      <c r="AB7066" s="500"/>
      <c r="AC7066" s="500"/>
      <c r="AD7066" s="500"/>
      <c r="AE7066" s="500"/>
      <c r="AF7066" s="500"/>
      <c r="AG7066" s="500"/>
      <c r="AH7066" s="500"/>
      <c r="AI7066" s="500"/>
      <c r="AJ7066" s="500"/>
      <c r="AK7066" s="500"/>
      <c r="AL7066" s="500"/>
      <c r="AM7066" s="500"/>
      <c r="AN7066" s="500"/>
      <c r="AO7066" s="500"/>
      <c r="AP7066" s="500"/>
    </row>
    <row r="7067" spans="1:42" ht="16.5" customHeight="1">
      <c r="A7067" s="439"/>
      <c r="B7067" s="439"/>
      <c r="C7067" s="439"/>
      <c r="D7067" s="439"/>
      <c r="E7067" s="439"/>
      <c r="F7067" s="439"/>
      <c r="G7067" s="451" t="s">
        <v>3406</v>
      </c>
      <c r="Z7067" s="500"/>
      <c r="AA7067" s="500"/>
      <c r="AB7067" s="500"/>
      <c r="AC7067" s="500"/>
      <c r="AD7067" s="500"/>
      <c r="AE7067" s="500"/>
      <c r="AF7067" s="500"/>
      <c r="AG7067" s="500"/>
      <c r="AH7067" s="500"/>
      <c r="AI7067" s="500"/>
      <c r="AJ7067" s="500"/>
      <c r="AK7067" s="500"/>
      <c r="AL7067" s="500"/>
      <c r="AM7067" s="500"/>
      <c r="AN7067" s="500"/>
      <c r="AO7067" s="500"/>
      <c r="AP7067" s="500"/>
    </row>
    <row r="7068" spans="1:42" ht="16.5" customHeight="1">
      <c r="A7068" s="439"/>
      <c r="B7068" s="439"/>
      <c r="C7068" s="439"/>
      <c r="D7068" s="439"/>
      <c r="E7068" s="439"/>
      <c r="F7068" s="439"/>
      <c r="G7068" s="451" t="s">
        <v>3406</v>
      </c>
      <c r="Z7068" s="500"/>
      <c r="AA7068" s="500"/>
      <c r="AB7068" s="500"/>
      <c r="AC7068" s="500"/>
      <c r="AD7068" s="500"/>
      <c r="AE7068" s="500"/>
      <c r="AF7068" s="500"/>
      <c r="AG7068" s="500"/>
      <c r="AH7068" s="500"/>
      <c r="AI7068" s="500"/>
      <c r="AJ7068" s="500"/>
      <c r="AK7068" s="500"/>
      <c r="AL7068" s="500"/>
      <c r="AM7068" s="500"/>
      <c r="AN7068" s="500"/>
      <c r="AO7068" s="500"/>
      <c r="AP7068" s="500"/>
    </row>
    <row r="7069" spans="1:42" ht="16.5" customHeight="1">
      <c r="A7069" s="434"/>
      <c r="B7069" s="437" t="s">
        <v>3496</v>
      </c>
      <c r="C7069" s="439"/>
      <c r="D7069" s="439"/>
      <c r="E7069" s="439"/>
      <c r="F7069" s="439"/>
      <c r="G7069" s="451" t="s">
        <v>3497</v>
      </c>
      <c r="Z7069" s="500"/>
      <c r="AA7069" s="500"/>
      <c r="AB7069" s="500"/>
      <c r="AC7069" s="500"/>
      <c r="AD7069" s="500"/>
      <c r="AE7069" s="500"/>
      <c r="AF7069" s="500"/>
      <c r="AG7069" s="500"/>
      <c r="AH7069" s="500"/>
      <c r="AI7069" s="500"/>
      <c r="AJ7069" s="500"/>
      <c r="AK7069" s="500"/>
      <c r="AL7069" s="500"/>
      <c r="AM7069" s="500"/>
      <c r="AN7069" s="500"/>
      <c r="AO7069" s="500"/>
      <c r="AP7069" s="500"/>
    </row>
    <row r="7070" spans="1:42" ht="16.5" customHeight="1">
      <c r="A7070" s="439"/>
      <c r="B7070" s="439"/>
      <c r="C7070" s="439"/>
      <c r="D7070" s="439"/>
      <c r="E7070" s="439"/>
      <c r="F7070" s="439"/>
      <c r="G7070" s="451" t="s">
        <v>3406</v>
      </c>
      <c r="Z7070" s="500"/>
      <c r="AA7070" s="500"/>
      <c r="AB7070" s="500"/>
      <c r="AC7070" s="500"/>
      <c r="AD7070" s="500"/>
      <c r="AE7070" s="500"/>
      <c r="AF7070" s="500"/>
      <c r="AG7070" s="500"/>
      <c r="AH7070" s="500"/>
      <c r="AI7070" s="500"/>
      <c r="AJ7070" s="500"/>
      <c r="AK7070" s="500"/>
      <c r="AL7070" s="500"/>
      <c r="AM7070" s="500"/>
      <c r="AN7070" s="500"/>
      <c r="AO7070" s="500"/>
      <c r="AP7070" s="500"/>
    </row>
    <row r="7071" spans="1:42" ht="16.5" customHeight="1">
      <c r="A7071" s="434" t="s">
        <v>4117</v>
      </c>
      <c r="B7071" s="505" t="str">
        <f>" 도 장 공 : "&amp;TEXT(I7071,"#,##0"&amp;IF(I7071&lt;&gt;INT(I7071),".###",""))&amp;" * "&amp;AA7071&amp;" 인  / Q1 = "&amp;TEXT(C7071,"#,##0.0")&amp;" "</f>
        <v xml:space="preserve"> 도 장 공 : 263,017 * 2 인  / Q1 = 8,767.2 </v>
      </c>
      <c r="C7071" s="506">
        <f>E7071+D7071+F7071</f>
        <v>8767.2000000000007</v>
      </c>
      <c r="D7071" s="506">
        <f>IF(H7071=0,0,ROUNDDOWN(J7071*H7071,1))</f>
        <v>8767.2000000000007</v>
      </c>
      <c r="E7071" s="506">
        <f>IF(H7071=0,0,ROUNDDOWN(K7071*H7071,1))</f>
        <v>0</v>
      </c>
      <c r="F7071" s="506">
        <f>IF(H7071=0,0,ROUNDDOWN(L7071*H7071,1))</f>
        <v>0</v>
      </c>
      <c r="G7071" s="451" t="s">
        <v>4118</v>
      </c>
      <c r="H7071" s="507">
        <f>ROUNDUP(AE7071,14-LEN(ABS(INT(AE7071))))</f>
        <v>3.3333333333400002E-2</v>
      </c>
      <c r="I7071" s="508">
        <f>K7071+J7071+L7071</f>
        <v>263017</v>
      </c>
      <c r="J7071" s="509">
        <f>노무비목록표!E7</f>
        <v>263017</v>
      </c>
      <c r="M7071" s="501" t="s">
        <v>2427</v>
      </c>
      <c r="N7071" s="501" t="s">
        <v>3416</v>
      </c>
      <c r="O7071" s="501" t="s">
        <v>2355</v>
      </c>
      <c r="X7071" s="510" t="str">
        <f>노무비목록표!B7&amp;" / "&amp;노무비목록표!C7</f>
        <v xml:space="preserve">도장공 / </v>
      </c>
      <c r="Y7071" s="433" t="str">
        <f ca="1">HYPERLINK("#"&amp;노무비목록표!G2&amp;"!A"&amp;ROW(노무비목록표!A7),"L00010 →")</f>
        <v>L00010 →</v>
      </c>
      <c r="Z7071" s="501" t="s">
        <v>3500</v>
      </c>
      <c r="AA7071" s="515">
        <v>2</v>
      </c>
      <c r="AB7071" s="501" t="s">
        <v>3428</v>
      </c>
      <c r="AC7071" s="512">
        <f>AB7064</f>
        <v>60</v>
      </c>
      <c r="AD7071" s="501" t="s">
        <v>3418</v>
      </c>
      <c r="AE7071" s="512">
        <f>1*AA7071/AB7064</f>
        <v>3.3333333333333333E-2</v>
      </c>
      <c r="AF7071" s="500"/>
      <c r="AG7071" s="500"/>
      <c r="AH7071" s="500"/>
      <c r="AI7071" s="500"/>
      <c r="AJ7071" s="500"/>
      <c r="AK7071" s="500"/>
      <c r="AL7071" s="500"/>
      <c r="AM7071" s="500"/>
      <c r="AN7071" s="500"/>
      <c r="AO7071" s="500"/>
      <c r="AP7071" s="500"/>
    </row>
    <row r="7072" spans="1:42" ht="16.5" customHeight="1">
      <c r="A7072" s="439"/>
      <c r="B7072" s="439"/>
      <c r="C7072" s="439"/>
      <c r="D7072" s="439"/>
      <c r="E7072" s="439"/>
      <c r="F7072" s="439"/>
      <c r="G7072" s="451" t="s">
        <v>3406</v>
      </c>
      <c r="Z7072" s="500"/>
      <c r="AA7072" s="500"/>
      <c r="AB7072" s="500"/>
      <c r="AC7072" s="500"/>
      <c r="AD7072" s="500"/>
      <c r="AE7072" s="500"/>
      <c r="AF7072" s="500"/>
      <c r="AG7072" s="500"/>
      <c r="AH7072" s="500"/>
      <c r="AI7072" s="500"/>
      <c r="AJ7072" s="500"/>
      <c r="AK7072" s="500"/>
      <c r="AL7072" s="500"/>
      <c r="AM7072" s="500"/>
      <c r="AN7072" s="500"/>
      <c r="AO7072" s="500"/>
      <c r="AP7072" s="500"/>
    </row>
    <row r="7073" spans="1:42" ht="16.5" customHeight="1">
      <c r="A7073" s="434" t="s">
        <v>3414</v>
      </c>
      <c r="B7073" s="505" t="str">
        <f>" 보통인부 : "&amp;TEXT(I7073,"#,##0"&amp;IF(I7073&lt;&gt;INT(I7073),".###",""))&amp;" * "&amp;AA7073&amp;" 인  / Q1 = "&amp;TEXT(C7073,"#,##0.0")&amp;" "</f>
        <v xml:space="preserve"> 보통인부 : 172,068 * 1 인  / Q1 = 2,867.8 </v>
      </c>
      <c r="C7073" s="506">
        <f>E7073+D7073+F7073</f>
        <v>2867.8</v>
      </c>
      <c r="D7073" s="506">
        <f>IF(H7073=0,0,ROUNDDOWN(J7073*H7073,1))</f>
        <v>2867.8</v>
      </c>
      <c r="E7073" s="506">
        <f>IF(H7073=0,0,ROUNDDOWN(K7073*H7073,1))</f>
        <v>0</v>
      </c>
      <c r="F7073" s="506">
        <f>IF(H7073=0,0,ROUNDDOWN(L7073*H7073,1))</f>
        <v>0</v>
      </c>
      <c r="G7073" s="451" t="s">
        <v>3894</v>
      </c>
      <c r="H7073" s="507">
        <f>ROUNDUP(AE7073,14-LEN(ABS(INT(AE7073))))</f>
        <v>1.6666666666700001E-2</v>
      </c>
      <c r="I7073" s="508">
        <f>K7073+J7073+L7073</f>
        <v>172068</v>
      </c>
      <c r="J7073" s="509">
        <f>노무비목록표!E10</f>
        <v>172068</v>
      </c>
      <c r="M7073" s="501" t="s">
        <v>2363</v>
      </c>
      <c r="N7073" s="501" t="s">
        <v>3416</v>
      </c>
      <c r="O7073" s="501" t="s">
        <v>2355</v>
      </c>
      <c r="X7073" s="510" t="str">
        <f>노무비목록표!B10&amp;" / "&amp;노무비목록표!C10</f>
        <v xml:space="preserve">보통인부 / </v>
      </c>
      <c r="Y7073" s="433" t="str">
        <f ca="1">HYPERLINK("#"&amp;노무비목록표!G2&amp;"!A"&amp;ROW(노무비목록표!A10),"L00017 →")</f>
        <v>L00017 →</v>
      </c>
      <c r="Z7073" s="501" t="s">
        <v>3500</v>
      </c>
      <c r="AA7073" s="515">
        <v>1</v>
      </c>
      <c r="AB7073" s="501" t="s">
        <v>3428</v>
      </c>
      <c r="AC7073" s="512">
        <f>AB7064</f>
        <v>60</v>
      </c>
      <c r="AD7073" s="501" t="s">
        <v>3418</v>
      </c>
      <c r="AE7073" s="512">
        <f>1*AA7073/AB7064</f>
        <v>1.6666666666666666E-2</v>
      </c>
      <c r="AF7073" s="500"/>
      <c r="AG7073" s="500"/>
      <c r="AH7073" s="500"/>
      <c r="AI7073" s="500"/>
      <c r="AJ7073" s="500"/>
      <c r="AK7073" s="500"/>
      <c r="AL7073" s="500"/>
      <c r="AM7073" s="500"/>
      <c r="AN7073" s="500"/>
      <c r="AO7073" s="500"/>
      <c r="AP7073" s="500"/>
    </row>
    <row r="7074" spans="1:42" ht="16.5" customHeight="1">
      <c r="A7074" s="439"/>
      <c r="B7074" s="439"/>
      <c r="C7074" s="439"/>
      <c r="D7074" s="439"/>
      <c r="E7074" s="439"/>
      <c r="F7074" s="439"/>
      <c r="G7074" s="451" t="s">
        <v>3406</v>
      </c>
      <c r="Z7074" s="500"/>
      <c r="AA7074" s="500"/>
      <c r="AB7074" s="500"/>
      <c r="AC7074" s="500"/>
      <c r="AD7074" s="500"/>
      <c r="AE7074" s="500"/>
      <c r="AF7074" s="500"/>
      <c r="AG7074" s="500"/>
      <c r="AH7074" s="500"/>
      <c r="AI7074" s="500"/>
      <c r="AJ7074" s="500"/>
      <c r="AK7074" s="500"/>
      <c r="AL7074" s="500"/>
      <c r="AM7074" s="500"/>
      <c r="AN7074" s="500"/>
      <c r="AO7074" s="500"/>
      <c r="AP7074" s="500"/>
    </row>
    <row r="7075" spans="1:42" ht="16.5" customHeight="1">
      <c r="A7075" s="434"/>
      <c r="B7075" s="437" t="s">
        <v>3419</v>
      </c>
      <c r="C7075" s="513">
        <f>E7075+D7075+F7075</f>
        <v>11635</v>
      </c>
      <c r="D7075" s="513">
        <f>SUMIF(N7057:N7074,M7075,D7057:D7074)</f>
        <v>11635</v>
      </c>
      <c r="E7075" s="513">
        <f>SUMIF(N7057:N7074,M7075,E7057:E7074)</f>
        <v>0</v>
      </c>
      <c r="F7075" s="513">
        <f>SUMIF(N7057:N7074,M7075,F7057:F7074)</f>
        <v>0</v>
      </c>
      <c r="G7075" s="451" t="s">
        <v>3420</v>
      </c>
      <c r="M7075" s="501" t="s">
        <v>3416</v>
      </c>
      <c r="N7075" s="501" t="s">
        <v>3421</v>
      </c>
      <c r="Z7075" s="500"/>
      <c r="AA7075" s="500"/>
      <c r="AB7075" s="500"/>
      <c r="AC7075" s="500"/>
      <c r="AD7075" s="500"/>
      <c r="AE7075" s="500"/>
      <c r="AF7075" s="500"/>
      <c r="AG7075" s="500"/>
      <c r="AH7075" s="500"/>
      <c r="AI7075" s="500"/>
      <c r="AJ7075" s="500"/>
      <c r="AK7075" s="500"/>
      <c r="AL7075" s="500"/>
      <c r="AM7075" s="500"/>
      <c r="AN7075" s="500"/>
      <c r="AO7075" s="500"/>
      <c r="AP7075" s="500"/>
    </row>
    <row r="7076" spans="1:42" ht="16.5" customHeight="1">
      <c r="A7076" s="439"/>
      <c r="B7076" s="439"/>
      <c r="C7076" s="504"/>
      <c r="D7076" s="504"/>
      <c r="E7076" s="504"/>
      <c r="F7076" s="504"/>
      <c r="G7076" s="451" t="s">
        <v>3406</v>
      </c>
      <c r="Z7076" s="500"/>
      <c r="AA7076" s="500"/>
      <c r="AB7076" s="500"/>
      <c r="AC7076" s="500"/>
      <c r="AD7076" s="500"/>
      <c r="AE7076" s="500"/>
      <c r="AF7076" s="500"/>
      <c r="AG7076" s="500"/>
      <c r="AH7076" s="500"/>
      <c r="AI7076" s="500"/>
      <c r="AJ7076" s="500"/>
      <c r="AK7076" s="500"/>
      <c r="AL7076" s="500"/>
      <c r="AM7076" s="500"/>
      <c r="AN7076" s="500"/>
      <c r="AO7076" s="500"/>
      <c r="AP7076" s="500"/>
    </row>
    <row r="7077" spans="1:42" ht="16.5" customHeight="1">
      <c r="A7077" s="439"/>
      <c r="B7077" s="439"/>
      <c r="C7077" s="439"/>
      <c r="D7077" s="439"/>
      <c r="E7077" s="439"/>
      <c r="F7077" s="439"/>
      <c r="G7077" s="451" t="s">
        <v>3406</v>
      </c>
      <c r="Z7077" s="500"/>
      <c r="AA7077" s="500"/>
      <c r="AB7077" s="500"/>
      <c r="AC7077" s="500"/>
      <c r="AD7077" s="500"/>
      <c r="AE7077" s="500"/>
      <c r="AF7077" s="500"/>
      <c r="AG7077" s="500"/>
      <c r="AH7077" s="500"/>
      <c r="AI7077" s="500"/>
      <c r="AJ7077" s="500"/>
      <c r="AK7077" s="500"/>
      <c r="AL7077" s="500"/>
      <c r="AM7077" s="500"/>
      <c r="AN7077" s="500"/>
      <c r="AO7077" s="500"/>
      <c r="AP7077" s="500"/>
    </row>
    <row r="7078" spans="1:42" ht="16.5" customHeight="1">
      <c r="A7078" s="434"/>
      <c r="B7078" s="505" t="str">
        <f>" 2. 공구손료 및 잡재료비(인력품의 3%) : "&amp;TEXT(I7078,"#,##0.0")&amp;" * "&amp;AA7078&amp;" %  = "&amp;TEXT(C7078,"#,##0.0")&amp;""</f>
        <v xml:space="preserve"> 2. 공구손료 및 잡재료비(인력품의 3%) : 11,635.0 * 3 %  = 349.0</v>
      </c>
      <c r="C7078" s="506">
        <f>E7078+D7078+F7078</f>
        <v>349</v>
      </c>
      <c r="D7078" s="506">
        <f>IF(H7078=0,0,ROUNDDOWN(J7078*H7078/100,1))</f>
        <v>0</v>
      </c>
      <c r="E7078" s="506">
        <f>IF(H7078=0,0,ROUNDDOWN(K7078*H7078/100,1))</f>
        <v>0</v>
      </c>
      <c r="F7078" s="506">
        <f>IF(H7078=0,0,ROUNDDOWN(L7078*H7078/100,1))</f>
        <v>349</v>
      </c>
      <c r="G7078" s="451" t="s">
        <v>4119</v>
      </c>
      <c r="H7078" s="507">
        <f>ROUNDUP(AC7078,14-LEN(ABS(INT(AC7078))))</f>
        <v>3</v>
      </c>
      <c r="I7078" s="508">
        <f>K7078+J7078+L7078</f>
        <v>11635</v>
      </c>
      <c r="J7078" s="456">
        <v>0</v>
      </c>
      <c r="K7078" s="456">
        <v>0</v>
      </c>
      <c r="L7078" s="509">
        <f>D7071+D7073</f>
        <v>11635</v>
      </c>
      <c r="M7078" s="501" t="s">
        <v>3743</v>
      </c>
      <c r="N7078" s="501" t="s">
        <v>3416</v>
      </c>
      <c r="Z7078" s="501" t="s">
        <v>3500</v>
      </c>
      <c r="AA7078" s="515">
        <v>3</v>
      </c>
      <c r="AB7078" s="501" t="s">
        <v>3418</v>
      </c>
      <c r="AC7078" s="512">
        <f>1*AA7078</f>
        <v>3</v>
      </c>
      <c r="AD7078" s="500"/>
      <c r="AE7078" s="500"/>
      <c r="AF7078" s="500"/>
      <c r="AG7078" s="500"/>
      <c r="AH7078" s="500"/>
      <c r="AI7078" s="500"/>
      <c r="AJ7078" s="500"/>
      <c r="AK7078" s="500"/>
      <c r="AL7078" s="500"/>
      <c r="AM7078" s="500"/>
      <c r="AN7078" s="500"/>
      <c r="AO7078" s="500"/>
      <c r="AP7078" s="500"/>
    </row>
    <row r="7079" spans="1:42" ht="16.5" customHeight="1">
      <c r="A7079" s="439"/>
      <c r="B7079" s="439"/>
      <c r="C7079" s="439"/>
      <c r="D7079" s="439"/>
      <c r="E7079" s="439"/>
      <c r="F7079" s="439"/>
      <c r="G7079" s="451" t="s">
        <v>3406</v>
      </c>
      <c r="Z7079" s="500"/>
      <c r="AA7079" s="500"/>
      <c r="AB7079" s="500"/>
      <c r="AC7079" s="500"/>
      <c r="AD7079" s="500"/>
      <c r="AE7079" s="500"/>
      <c r="AF7079" s="500"/>
      <c r="AG7079" s="500"/>
      <c r="AH7079" s="500"/>
      <c r="AI7079" s="500"/>
      <c r="AJ7079" s="500"/>
      <c r="AK7079" s="500"/>
      <c r="AL7079" s="500"/>
      <c r="AM7079" s="500"/>
      <c r="AN7079" s="500"/>
      <c r="AO7079" s="500"/>
      <c r="AP7079" s="500"/>
    </row>
    <row r="7080" spans="1:42" ht="16.5" customHeight="1">
      <c r="A7080" s="434"/>
      <c r="B7080" s="437" t="s">
        <v>3419</v>
      </c>
      <c r="C7080" s="513">
        <f>E7080+D7080+F7080</f>
        <v>349</v>
      </c>
      <c r="D7080" s="513">
        <f>SUMIF(N7076:N7079,M7080,D7076:D7079)</f>
        <v>0</v>
      </c>
      <c r="E7080" s="513">
        <f>SUMIF(N7076:N7079,M7080,E7076:E7079)</f>
        <v>0</v>
      </c>
      <c r="F7080" s="513">
        <f>SUMIF(N7076:N7079,M7080,F7076:F7079)</f>
        <v>349</v>
      </c>
      <c r="G7080" s="451" t="s">
        <v>3420</v>
      </c>
      <c r="M7080" s="501" t="s">
        <v>3416</v>
      </c>
      <c r="N7080" s="501" t="s">
        <v>3421</v>
      </c>
      <c r="Z7080" s="500"/>
      <c r="AA7080" s="500"/>
      <c r="AB7080" s="500"/>
      <c r="AC7080" s="500"/>
      <c r="AD7080" s="500"/>
      <c r="AE7080" s="500"/>
      <c r="AF7080" s="500"/>
      <c r="AG7080" s="500"/>
      <c r="AH7080" s="500"/>
      <c r="AI7080" s="500"/>
      <c r="AJ7080" s="500"/>
      <c r="AK7080" s="500"/>
      <c r="AL7080" s="500"/>
      <c r="AM7080" s="500"/>
      <c r="AN7080" s="500"/>
      <c r="AO7080" s="500"/>
      <c r="AP7080" s="500"/>
    </row>
    <row r="7081" spans="1:42" ht="16.5" customHeight="1">
      <c r="A7081" s="439"/>
      <c r="B7081" s="439"/>
      <c r="C7081" s="504"/>
      <c r="D7081" s="504"/>
      <c r="E7081" s="504"/>
      <c r="F7081" s="504"/>
      <c r="G7081" s="451" t="s">
        <v>3406</v>
      </c>
      <c r="Z7081" s="500"/>
      <c r="AA7081" s="500"/>
      <c r="AB7081" s="500"/>
      <c r="AC7081" s="500"/>
      <c r="AD7081" s="500"/>
      <c r="AE7081" s="500"/>
      <c r="AF7081" s="500"/>
      <c r="AG7081" s="500"/>
      <c r="AH7081" s="500"/>
      <c r="AI7081" s="500"/>
      <c r="AJ7081" s="500"/>
      <c r="AK7081" s="500"/>
      <c r="AL7081" s="500"/>
      <c r="AM7081" s="500"/>
      <c r="AN7081" s="500"/>
      <c r="AO7081" s="500"/>
      <c r="AP7081" s="500"/>
    </row>
    <row r="7082" spans="1:42" ht="16.5" customHeight="1">
      <c r="A7082" s="439"/>
      <c r="B7082" s="439"/>
      <c r="C7082" s="439"/>
      <c r="D7082" s="439"/>
      <c r="E7082" s="439"/>
      <c r="F7082" s="439"/>
      <c r="G7082" s="451" t="s">
        <v>3406</v>
      </c>
      <c r="Z7082" s="500"/>
      <c r="AA7082" s="500"/>
      <c r="AB7082" s="500"/>
      <c r="AC7082" s="500"/>
      <c r="AD7082" s="500"/>
      <c r="AE7082" s="500"/>
      <c r="AF7082" s="500"/>
      <c r="AG7082" s="500"/>
      <c r="AH7082" s="500"/>
      <c r="AI7082" s="500"/>
      <c r="AJ7082" s="500"/>
      <c r="AK7082" s="500"/>
      <c r="AL7082" s="500"/>
      <c r="AM7082" s="500"/>
      <c r="AN7082" s="500"/>
      <c r="AO7082" s="500"/>
      <c r="AP7082" s="500"/>
    </row>
    <row r="7083" spans="1:42" ht="16.5" customHeight="1">
      <c r="A7083" s="434"/>
      <c r="B7083" s="437" t="s">
        <v>3440</v>
      </c>
      <c r="C7083" s="513">
        <f>E7083+D7083+F7083</f>
        <v>11984</v>
      </c>
      <c r="D7083" s="513">
        <f>SUMIF(N7057:N7082,M7083,D7057:D7082)</f>
        <v>11635</v>
      </c>
      <c r="E7083" s="513">
        <f>SUMIF(N7057:N7082,M7083,E7057:E7082)</f>
        <v>0</v>
      </c>
      <c r="F7083" s="513">
        <f>SUMIF(N7057:N7082,M7083,F7057:F7082)</f>
        <v>349</v>
      </c>
      <c r="G7083" s="451" t="s">
        <v>3484</v>
      </c>
      <c r="M7083" s="501" t="s">
        <v>3421</v>
      </c>
      <c r="N7083" s="501" t="s">
        <v>2354</v>
      </c>
      <c r="Z7083" s="500"/>
      <c r="AA7083" s="500"/>
      <c r="AB7083" s="500"/>
      <c r="AC7083" s="500"/>
      <c r="AD7083" s="500"/>
      <c r="AE7083" s="500"/>
      <c r="AF7083" s="500"/>
      <c r="AG7083" s="500"/>
      <c r="AH7083" s="500"/>
      <c r="AI7083" s="500"/>
      <c r="AJ7083" s="500"/>
      <c r="AK7083" s="500"/>
      <c r="AL7083" s="500"/>
      <c r="AM7083" s="500"/>
      <c r="AN7083" s="500"/>
      <c r="AO7083" s="500"/>
      <c r="AP7083" s="500"/>
    </row>
    <row r="7084" spans="1:42" ht="16.5" customHeight="1">
      <c r="A7084" s="439"/>
      <c r="B7084" s="439"/>
      <c r="C7084" s="504"/>
      <c r="D7084" s="504"/>
      <c r="E7084" s="504"/>
      <c r="F7084" s="504"/>
      <c r="Z7084" s="500"/>
      <c r="AA7084" s="500"/>
      <c r="AB7084" s="500"/>
      <c r="AC7084" s="500"/>
      <c r="AD7084" s="500"/>
      <c r="AE7084" s="500"/>
      <c r="AF7084" s="500"/>
      <c r="AG7084" s="500"/>
      <c r="AH7084" s="500"/>
      <c r="AI7084" s="500"/>
      <c r="AJ7084" s="500"/>
      <c r="AK7084" s="500"/>
      <c r="AL7084" s="500"/>
      <c r="AM7084" s="500"/>
      <c r="AN7084" s="500"/>
      <c r="AO7084" s="500"/>
      <c r="AP7084" s="500"/>
    </row>
    <row r="7085" spans="1:42" ht="16.5" customHeight="1">
      <c r="A7085" s="439"/>
      <c r="B7085" s="439"/>
      <c r="C7085" s="439"/>
      <c r="D7085" s="439"/>
      <c r="E7085" s="439"/>
      <c r="F7085" s="439"/>
      <c r="Z7085" s="500"/>
      <c r="AA7085" s="500"/>
      <c r="AB7085" s="500"/>
      <c r="AC7085" s="500"/>
      <c r="AD7085" s="500"/>
      <c r="AE7085" s="500"/>
      <c r="AF7085" s="500"/>
      <c r="AG7085" s="500"/>
      <c r="AH7085" s="500"/>
      <c r="AI7085" s="500"/>
      <c r="AJ7085" s="500"/>
      <c r="AK7085" s="500"/>
      <c r="AL7085" s="500"/>
      <c r="AM7085" s="500"/>
      <c r="AN7085" s="500"/>
      <c r="AO7085" s="500"/>
      <c r="AP7085" s="500"/>
    </row>
    <row r="7086" spans="1:42" ht="16.5" customHeight="1">
      <c r="A7086" s="439"/>
      <c r="B7086" s="439"/>
      <c r="C7086" s="439"/>
      <c r="D7086" s="439"/>
      <c r="E7086" s="439"/>
      <c r="F7086" s="439"/>
      <c r="Z7086" s="500"/>
      <c r="AA7086" s="500"/>
      <c r="AB7086" s="500"/>
      <c r="AC7086" s="500"/>
      <c r="AD7086" s="500"/>
      <c r="AE7086" s="500"/>
      <c r="AF7086" s="500"/>
      <c r="AG7086" s="500"/>
      <c r="AH7086" s="500"/>
      <c r="AI7086" s="500"/>
      <c r="AJ7086" s="500"/>
      <c r="AK7086" s="500"/>
      <c r="AL7086" s="500"/>
      <c r="AM7086" s="500"/>
      <c r="AN7086" s="500"/>
      <c r="AO7086" s="500"/>
      <c r="AP7086" s="500"/>
    </row>
    <row r="7087" spans="1:42" ht="16.5" customHeight="1">
      <c r="A7087" s="439"/>
      <c r="B7087" s="439"/>
      <c r="C7087" s="439"/>
      <c r="D7087" s="439"/>
      <c r="E7087" s="439"/>
      <c r="F7087" s="439"/>
      <c r="Z7087" s="500"/>
      <c r="AA7087" s="500"/>
      <c r="AB7087" s="500"/>
      <c r="AC7087" s="500"/>
      <c r="AD7087" s="500"/>
      <c r="AE7087" s="500"/>
      <c r="AF7087" s="500"/>
      <c r="AG7087" s="500"/>
      <c r="AH7087" s="500"/>
      <c r="AI7087" s="500"/>
      <c r="AJ7087" s="500"/>
      <c r="AK7087" s="500"/>
      <c r="AL7087" s="500"/>
      <c r="AM7087" s="500"/>
      <c r="AN7087" s="500"/>
      <c r="AO7087" s="500"/>
      <c r="AP7087" s="500"/>
    </row>
    <row r="7088" spans="1:42" ht="16.5" customHeight="1">
      <c r="A7088" s="439"/>
      <c r="B7088" s="439"/>
      <c r="C7088" s="439"/>
      <c r="D7088" s="439"/>
      <c r="E7088" s="439"/>
      <c r="F7088" s="439"/>
      <c r="Z7088" s="500"/>
      <c r="AA7088" s="500"/>
      <c r="AB7088" s="500"/>
      <c r="AC7088" s="500"/>
      <c r="AD7088" s="500"/>
      <c r="AE7088" s="500"/>
      <c r="AF7088" s="500"/>
      <c r="AG7088" s="500"/>
      <c r="AH7088" s="500"/>
      <c r="AI7088" s="500"/>
      <c r="AJ7088" s="500"/>
      <c r="AK7088" s="500"/>
      <c r="AL7088" s="500"/>
      <c r="AM7088" s="500"/>
      <c r="AN7088" s="500"/>
      <c r="AO7088" s="500"/>
      <c r="AP7088" s="500"/>
    </row>
    <row r="7089" spans="1:42" ht="16.5" customHeight="1">
      <c r="A7089" s="439"/>
      <c r="B7089" s="439"/>
      <c r="C7089" s="439"/>
      <c r="D7089" s="439"/>
      <c r="E7089" s="439"/>
      <c r="F7089" s="439"/>
      <c r="Z7089" s="500"/>
      <c r="AA7089" s="500"/>
      <c r="AB7089" s="500"/>
      <c r="AC7089" s="500"/>
      <c r="AD7089" s="500"/>
      <c r="AE7089" s="500"/>
      <c r="AF7089" s="500"/>
      <c r="AG7089" s="500"/>
      <c r="AH7089" s="500"/>
      <c r="AI7089" s="500"/>
      <c r="AJ7089" s="500"/>
      <c r="AK7089" s="500"/>
      <c r="AL7089" s="500"/>
      <c r="AM7089" s="500"/>
      <c r="AN7089" s="500"/>
      <c r="AO7089" s="500"/>
      <c r="AP7089" s="500"/>
    </row>
    <row r="7090" spans="1:42" ht="16.5" customHeight="1">
      <c r="A7090" s="439"/>
      <c r="B7090" s="439"/>
      <c r="C7090" s="439"/>
      <c r="D7090" s="439"/>
      <c r="E7090" s="439"/>
      <c r="F7090" s="439"/>
      <c r="Z7090" s="500"/>
      <c r="AA7090" s="500"/>
      <c r="AB7090" s="500"/>
      <c r="AC7090" s="500"/>
      <c r="AD7090" s="500"/>
      <c r="AE7090" s="500"/>
      <c r="AF7090" s="500"/>
      <c r="AG7090" s="500"/>
      <c r="AH7090" s="500"/>
      <c r="AI7090" s="500"/>
      <c r="AJ7090" s="500"/>
      <c r="AK7090" s="500"/>
      <c r="AL7090" s="500"/>
      <c r="AM7090" s="500"/>
      <c r="AN7090" s="500"/>
      <c r="AO7090" s="500"/>
      <c r="AP7090" s="500"/>
    </row>
    <row r="7091" spans="1:42" ht="16.5" customHeight="1">
      <c r="A7091" s="439"/>
      <c r="B7091" s="439"/>
      <c r="C7091" s="439"/>
      <c r="D7091" s="439"/>
      <c r="E7091" s="439"/>
      <c r="F7091" s="439"/>
      <c r="Z7091" s="500"/>
      <c r="AA7091" s="500"/>
      <c r="AB7091" s="500"/>
      <c r="AC7091" s="500"/>
      <c r="AD7091" s="500"/>
      <c r="AE7091" s="500"/>
      <c r="AF7091" s="500"/>
      <c r="AG7091" s="500"/>
      <c r="AH7091" s="500"/>
      <c r="AI7091" s="500"/>
      <c r="AJ7091" s="500"/>
      <c r="AK7091" s="500"/>
      <c r="AL7091" s="500"/>
      <c r="AM7091" s="500"/>
      <c r="AN7091" s="500"/>
      <c r="AO7091" s="500"/>
      <c r="AP7091" s="500"/>
    </row>
    <row r="7092" spans="1:42" ht="16.5" customHeight="1">
      <c r="A7092" s="439"/>
      <c r="B7092" s="439"/>
      <c r="C7092" s="439"/>
      <c r="D7092" s="439"/>
      <c r="E7092" s="439"/>
      <c r="F7092" s="439"/>
      <c r="Z7092" s="500"/>
      <c r="AA7092" s="500"/>
      <c r="AB7092" s="500"/>
      <c r="AC7092" s="500"/>
      <c r="AD7092" s="500"/>
      <c r="AE7092" s="500"/>
      <c r="AF7092" s="500"/>
      <c r="AG7092" s="500"/>
      <c r="AH7092" s="500"/>
      <c r="AI7092" s="500"/>
      <c r="AJ7092" s="500"/>
      <c r="AK7092" s="500"/>
      <c r="AL7092" s="500"/>
      <c r="AM7092" s="500"/>
      <c r="AN7092" s="500"/>
      <c r="AO7092" s="500"/>
      <c r="AP7092" s="500"/>
    </row>
    <row r="7093" spans="1:42" ht="16.5" customHeight="1">
      <c r="A7093" s="439"/>
      <c r="B7093" s="439"/>
      <c r="C7093" s="439"/>
      <c r="D7093" s="439"/>
      <c r="E7093" s="439"/>
      <c r="F7093" s="439"/>
      <c r="Z7093" s="500"/>
      <c r="AA7093" s="500"/>
      <c r="AB7093" s="500"/>
      <c r="AC7093" s="500"/>
      <c r="AD7093" s="500"/>
      <c r="AE7093" s="500"/>
      <c r="AF7093" s="500"/>
      <c r="AG7093" s="500"/>
      <c r="AH7093" s="500"/>
      <c r="AI7093" s="500"/>
      <c r="AJ7093" s="500"/>
      <c r="AK7093" s="500"/>
      <c r="AL7093" s="500"/>
      <c r="AM7093" s="500"/>
      <c r="AN7093" s="500"/>
      <c r="AO7093" s="500"/>
      <c r="AP7093" s="500"/>
    </row>
    <row r="7094" spans="1:42" ht="16.5" customHeight="1">
      <c r="A7094" s="439"/>
      <c r="B7094" s="439"/>
      <c r="C7094" s="439"/>
      <c r="D7094" s="439"/>
      <c r="E7094" s="439"/>
      <c r="F7094" s="439"/>
      <c r="Z7094" s="500"/>
      <c r="AA7094" s="500"/>
      <c r="AB7094" s="500"/>
      <c r="AC7094" s="500"/>
      <c r="AD7094" s="500"/>
      <c r="AE7094" s="500"/>
      <c r="AF7094" s="500"/>
      <c r="AG7094" s="500"/>
      <c r="AH7094" s="500"/>
      <c r="AI7094" s="500"/>
      <c r="AJ7094" s="500"/>
      <c r="AK7094" s="500"/>
      <c r="AL7094" s="500"/>
      <c r="AM7094" s="500"/>
      <c r="AN7094" s="500"/>
      <c r="AO7094" s="500"/>
      <c r="AP7094" s="500"/>
    </row>
    <row r="7095" spans="1:42" ht="16.5" customHeight="1">
      <c r="A7095" s="439"/>
      <c r="B7095" s="439"/>
      <c r="C7095" s="439"/>
      <c r="D7095" s="439"/>
      <c r="E7095" s="439"/>
      <c r="F7095" s="439"/>
      <c r="Z7095" s="500"/>
      <c r="AA7095" s="500"/>
      <c r="AB7095" s="500"/>
      <c r="AC7095" s="500"/>
      <c r="AD7095" s="500"/>
      <c r="AE7095" s="500"/>
      <c r="AF7095" s="500"/>
      <c r="AG7095" s="500"/>
      <c r="AH7095" s="500"/>
      <c r="AI7095" s="500"/>
      <c r="AJ7095" s="500"/>
      <c r="AK7095" s="500"/>
      <c r="AL7095" s="500"/>
      <c r="AM7095" s="500"/>
      <c r="AN7095" s="500"/>
      <c r="AO7095" s="500"/>
      <c r="AP7095" s="500"/>
    </row>
    <row r="7096" spans="1:42" ht="16.5" customHeight="1">
      <c r="A7096" s="439"/>
      <c r="B7096" s="439"/>
      <c r="C7096" s="439"/>
      <c r="D7096" s="439"/>
      <c r="E7096" s="439"/>
      <c r="F7096" s="439"/>
      <c r="Z7096" s="500"/>
      <c r="AA7096" s="500"/>
      <c r="AB7096" s="500"/>
      <c r="AC7096" s="500"/>
      <c r="AD7096" s="500"/>
      <c r="AE7096" s="500"/>
      <c r="AF7096" s="500"/>
      <c r="AG7096" s="500"/>
      <c r="AH7096" s="500"/>
      <c r="AI7096" s="500"/>
      <c r="AJ7096" s="500"/>
      <c r="AK7096" s="500"/>
      <c r="AL7096" s="500"/>
      <c r="AM7096" s="500"/>
      <c r="AN7096" s="500"/>
      <c r="AO7096" s="500"/>
      <c r="AP7096" s="500"/>
    </row>
    <row r="7097" spans="1:42" ht="16.5" customHeight="1">
      <c r="A7097" s="439"/>
      <c r="B7097" s="439"/>
      <c r="C7097" s="439"/>
      <c r="D7097" s="439"/>
      <c r="E7097" s="439"/>
      <c r="F7097" s="439"/>
      <c r="Z7097" s="500"/>
      <c r="AA7097" s="500"/>
      <c r="AB7097" s="500"/>
      <c r="AC7097" s="500"/>
      <c r="AD7097" s="500"/>
      <c r="AE7097" s="500"/>
      <c r="AF7097" s="500"/>
      <c r="AG7097" s="500"/>
      <c r="AH7097" s="500"/>
      <c r="AI7097" s="500"/>
      <c r="AJ7097" s="500"/>
      <c r="AK7097" s="500"/>
      <c r="AL7097" s="500"/>
      <c r="AM7097" s="500"/>
      <c r="AN7097" s="500"/>
      <c r="AO7097" s="500"/>
      <c r="AP7097" s="500"/>
    </row>
    <row r="7098" spans="1:42" ht="16.5" customHeight="1">
      <c r="A7098" s="439"/>
      <c r="B7098" s="439"/>
      <c r="C7098" s="439"/>
      <c r="D7098" s="439"/>
      <c r="E7098" s="439"/>
      <c r="F7098" s="439"/>
      <c r="Z7098" s="500"/>
      <c r="AA7098" s="500"/>
      <c r="AB7098" s="500"/>
      <c r="AC7098" s="500"/>
      <c r="AD7098" s="500"/>
      <c r="AE7098" s="500"/>
      <c r="AF7098" s="500"/>
      <c r="AG7098" s="500"/>
      <c r="AH7098" s="500"/>
      <c r="AI7098" s="500"/>
      <c r="AJ7098" s="500"/>
      <c r="AK7098" s="500"/>
      <c r="AL7098" s="500"/>
      <c r="AM7098" s="500"/>
      <c r="AN7098" s="500"/>
      <c r="AO7098" s="500"/>
      <c r="AP7098" s="500"/>
    </row>
    <row r="7099" spans="1:42" ht="16.5" customHeight="1">
      <c r="A7099" s="439"/>
      <c r="B7099" s="439"/>
      <c r="C7099" s="439"/>
      <c r="D7099" s="439"/>
      <c r="E7099" s="439"/>
      <c r="F7099" s="439"/>
      <c r="Z7099" s="500"/>
      <c r="AA7099" s="500"/>
      <c r="AB7099" s="500"/>
      <c r="AC7099" s="500"/>
      <c r="AD7099" s="500"/>
      <c r="AE7099" s="500"/>
      <c r="AF7099" s="500"/>
      <c r="AG7099" s="500"/>
      <c r="AH7099" s="500"/>
      <c r="AI7099" s="500"/>
      <c r="AJ7099" s="500"/>
      <c r="AK7099" s="500"/>
      <c r="AL7099" s="500"/>
      <c r="AM7099" s="500"/>
      <c r="AN7099" s="500"/>
      <c r="AO7099" s="500"/>
      <c r="AP7099" s="500"/>
    </row>
    <row r="7100" spans="1:42" ht="16.5" customHeight="1">
      <c r="A7100" s="439"/>
      <c r="B7100" s="439"/>
      <c r="C7100" s="439"/>
      <c r="D7100" s="439"/>
      <c r="E7100" s="439"/>
      <c r="F7100" s="439"/>
      <c r="Z7100" s="500"/>
      <c r="AA7100" s="500"/>
      <c r="AB7100" s="500"/>
      <c r="AC7100" s="500"/>
      <c r="AD7100" s="500"/>
      <c r="AE7100" s="500"/>
      <c r="AF7100" s="500"/>
      <c r="AG7100" s="500"/>
      <c r="AH7100" s="500"/>
      <c r="AI7100" s="500"/>
      <c r="AJ7100" s="500"/>
      <c r="AK7100" s="500"/>
      <c r="AL7100" s="500"/>
      <c r="AM7100" s="500"/>
      <c r="AN7100" s="500"/>
      <c r="AO7100" s="500"/>
      <c r="AP7100" s="500"/>
    </row>
    <row r="7101" spans="1:42" ht="16.5" customHeight="1">
      <c r="A7101" s="439"/>
      <c r="B7101" s="439"/>
      <c r="C7101" s="439"/>
      <c r="D7101" s="439"/>
      <c r="E7101" s="439"/>
      <c r="F7101" s="439"/>
      <c r="Z7101" s="500"/>
      <c r="AA7101" s="500"/>
      <c r="AB7101" s="500"/>
      <c r="AC7101" s="500"/>
      <c r="AD7101" s="500"/>
      <c r="AE7101" s="500"/>
      <c r="AF7101" s="500"/>
      <c r="AG7101" s="500"/>
      <c r="AH7101" s="500"/>
      <c r="AI7101" s="500"/>
      <c r="AJ7101" s="500"/>
      <c r="AK7101" s="500"/>
      <c r="AL7101" s="500"/>
      <c r="AM7101" s="500"/>
      <c r="AN7101" s="500"/>
      <c r="AO7101" s="500"/>
      <c r="AP7101" s="500"/>
    </row>
    <row r="7102" spans="1:42" ht="16.5" customHeight="1">
      <c r="A7102" s="439"/>
      <c r="B7102" s="439"/>
      <c r="C7102" s="439"/>
      <c r="D7102" s="439"/>
      <c r="E7102" s="439"/>
      <c r="F7102" s="439"/>
      <c r="Z7102" s="500"/>
      <c r="AA7102" s="500"/>
      <c r="AB7102" s="500"/>
      <c r="AC7102" s="500"/>
      <c r="AD7102" s="500"/>
      <c r="AE7102" s="500"/>
      <c r="AF7102" s="500"/>
      <c r="AG7102" s="500"/>
      <c r="AH7102" s="500"/>
      <c r="AI7102" s="500"/>
      <c r="AJ7102" s="500"/>
      <c r="AK7102" s="500"/>
      <c r="AL7102" s="500"/>
      <c r="AM7102" s="500"/>
      <c r="AN7102" s="500"/>
      <c r="AO7102" s="500"/>
      <c r="AP7102" s="500"/>
    </row>
    <row r="7103" spans="1:42" ht="16.5" customHeight="1">
      <c r="A7103" s="497"/>
      <c r="B7103" s="497"/>
      <c r="C7103" s="497"/>
      <c r="D7103" s="497"/>
      <c r="E7103" s="497"/>
      <c r="F7103" s="497"/>
      <c r="Z7103" s="500"/>
      <c r="AA7103" s="500"/>
      <c r="AB7103" s="500"/>
      <c r="AC7103" s="500"/>
      <c r="AD7103" s="500"/>
      <c r="AE7103" s="500"/>
      <c r="AF7103" s="500"/>
      <c r="AG7103" s="500"/>
      <c r="AH7103" s="500"/>
      <c r="AI7103" s="500"/>
      <c r="AJ7103" s="500"/>
      <c r="AK7103" s="500"/>
      <c r="AL7103" s="500"/>
      <c r="AM7103" s="500"/>
      <c r="AN7103" s="500"/>
      <c r="AO7103" s="500"/>
      <c r="AP7103" s="500"/>
    </row>
    <row r="7104" spans="1:42" ht="16.5" customHeight="1">
      <c r="A7104" s="616" t="s">
        <v>3487</v>
      </c>
      <c r="B7104" s="605"/>
      <c r="C7104" s="446">
        <f>E7104+D7104+F7104</f>
        <v>11984</v>
      </c>
      <c r="D7104" s="453">
        <f>ROUNDDOWN(SUMIF(N7057:N7083,M7104,D7057:D7083),0)</f>
        <v>11635</v>
      </c>
      <c r="E7104" s="454">
        <f>ROUNDDOWN(SUMIF(N7057:N7083,M7104,E7057:E7083),0)</f>
        <v>0</v>
      </c>
      <c r="F7104" s="446">
        <f>ROUNDDOWN(SUMIF(N7057:N7083,M7104,F7057:F7083),0)</f>
        <v>349</v>
      </c>
      <c r="M7104" s="501" t="s">
        <v>2354</v>
      </c>
      <c r="Z7104" s="500"/>
      <c r="AA7104" s="500"/>
      <c r="AB7104" s="500"/>
      <c r="AC7104" s="500"/>
      <c r="AD7104" s="500"/>
      <c r="AE7104" s="500"/>
      <c r="AF7104" s="500"/>
      <c r="AG7104" s="500"/>
      <c r="AH7104" s="500"/>
      <c r="AI7104" s="500"/>
      <c r="AJ7104" s="500"/>
      <c r="AK7104" s="500"/>
      <c r="AL7104" s="500"/>
      <c r="AM7104" s="500"/>
      <c r="AN7104" s="500"/>
      <c r="AO7104" s="500"/>
      <c r="AP7104" s="500"/>
    </row>
    <row r="7105" spans="1:42" ht="16.5" customHeight="1">
      <c r="A7105" s="502"/>
      <c r="B7105" s="503" t="s">
        <v>1923</v>
      </c>
      <c r="C7105" s="615">
        <f>C7154</f>
        <v>1095</v>
      </c>
      <c r="D7105" s="615">
        <f>D7154</f>
        <v>1095</v>
      </c>
      <c r="E7105" s="615">
        <f>E7154</f>
        <v>0</v>
      </c>
      <c r="F7105" s="615">
        <f>F7154</f>
        <v>0</v>
      </c>
      <c r="G7105" s="486" t="str">
        <f>HYPERLINK("#G"&amp;ROW(G7119),"_x0005_`BDCOD|D01210_x0007_`POSS|"&amp;ROW(G7107)&amp;"_x0007_`POSE|"&amp;ROW(G7119)&amp;"_x0007_`")</f>
        <v>_x0005_`BDCOD|D01210_x0007_`POSS|7107_x0007_`POSE|7119_x0007_`</v>
      </c>
      <c r="Z7105" s="500"/>
      <c r="AA7105" s="500"/>
      <c r="AB7105" s="500"/>
      <c r="AC7105" s="500"/>
      <c r="AD7105" s="500"/>
      <c r="AE7105" s="500"/>
      <c r="AF7105" s="500"/>
      <c r="AG7105" s="500"/>
      <c r="AH7105" s="500"/>
      <c r="AI7105" s="500"/>
      <c r="AJ7105" s="500"/>
      <c r="AK7105" s="500"/>
      <c r="AL7105" s="500"/>
      <c r="AM7105" s="500"/>
      <c r="AN7105" s="500"/>
      <c r="AO7105" s="500"/>
      <c r="AP7105" s="500"/>
    </row>
    <row r="7106" spans="1:42" ht="16.5" customHeight="1">
      <c r="A7106" s="485"/>
      <c r="B7106" s="503" t="s">
        <v>4126</v>
      </c>
      <c r="C7106" s="593"/>
      <c r="D7106" s="593"/>
      <c r="E7106" s="593"/>
      <c r="F7106" s="593"/>
      <c r="M7106" s="501" t="s">
        <v>1923</v>
      </c>
      <c r="Z7106" s="500"/>
      <c r="AA7106" s="500"/>
      <c r="AB7106" s="500"/>
      <c r="AC7106" s="500"/>
      <c r="AD7106" s="500"/>
      <c r="AE7106" s="500"/>
      <c r="AF7106" s="500"/>
      <c r="AG7106" s="500"/>
      <c r="AH7106" s="500"/>
      <c r="AI7106" s="500"/>
      <c r="AJ7106" s="500"/>
      <c r="AK7106" s="500"/>
      <c r="AL7106" s="500"/>
      <c r="AM7106" s="500"/>
      <c r="AN7106" s="500"/>
      <c r="AO7106" s="500"/>
      <c r="AP7106" s="500"/>
    </row>
    <row r="7107" spans="1:42" ht="16.5" customHeight="1">
      <c r="A7107" s="439"/>
      <c r="B7107" s="439"/>
      <c r="C7107" s="504"/>
      <c r="D7107" s="504"/>
      <c r="E7107" s="504"/>
      <c r="F7107" s="504"/>
      <c r="G7107" s="451" t="s">
        <v>3406</v>
      </c>
      <c r="Z7107" s="500"/>
      <c r="AA7107" s="500"/>
      <c r="AB7107" s="500"/>
      <c r="AC7107" s="500"/>
      <c r="AD7107" s="500"/>
      <c r="AE7107" s="500"/>
      <c r="AF7107" s="500"/>
      <c r="AG7107" s="500"/>
      <c r="AH7107" s="500"/>
      <c r="AI7107" s="500"/>
      <c r="AJ7107" s="500"/>
      <c r="AK7107" s="500"/>
      <c r="AL7107" s="500"/>
      <c r="AM7107" s="500"/>
      <c r="AN7107" s="500"/>
      <c r="AO7107" s="500"/>
      <c r="AP7107" s="500"/>
    </row>
    <row r="7108" spans="1:42" ht="16.5" customHeight="1">
      <c r="A7108" s="439"/>
      <c r="B7108" s="439"/>
      <c r="C7108" s="439"/>
      <c r="D7108" s="439"/>
      <c r="E7108" s="439"/>
      <c r="F7108" s="439"/>
      <c r="G7108" s="451" t="s">
        <v>3406</v>
      </c>
      <c r="Z7108" s="500"/>
      <c r="AA7108" s="500"/>
      <c r="AB7108" s="500"/>
      <c r="AC7108" s="500"/>
      <c r="AD7108" s="500"/>
      <c r="AE7108" s="500"/>
      <c r="AF7108" s="500"/>
      <c r="AG7108" s="500"/>
      <c r="AH7108" s="500"/>
      <c r="AI7108" s="500"/>
      <c r="AJ7108" s="500"/>
      <c r="AK7108" s="500"/>
      <c r="AL7108" s="500"/>
      <c r="AM7108" s="500"/>
      <c r="AN7108" s="500"/>
      <c r="AO7108" s="500"/>
      <c r="AP7108" s="500"/>
    </row>
    <row r="7109" spans="1:42" ht="16.5" customHeight="1">
      <c r="A7109" s="434"/>
      <c r="B7109" s="437" t="s">
        <v>4127</v>
      </c>
      <c r="C7109" s="439"/>
      <c r="D7109" s="439"/>
      <c r="E7109" s="439"/>
      <c r="F7109" s="439"/>
      <c r="G7109" s="451" t="s">
        <v>4128</v>
      </c>
      <c r="Z7109" s="500"/>
      <c r="AA7109" s="500"/>
      <c r="AB7109" s="500"/>
      <c r="AC7109" s="500"/>
      <c r="AD7109" s="500"/>
      <c r="AE7109" s="500"/>
      <c r="AF7109" s="500"/>
      <c r="AG7109" s="500"/>
      <c r="AH7109" s="500"/>
      <c r="AI7109" s="500"/>
      <c r="AJ7109" s="500"/>
      <c r="AK7109" s="500"/>
      <c r="AL7109" s="500"/>
      <c r="AM7109" s="500"/>
      <c r="AN7109" s="500"/>
      <c r="AO7109" s="500"/>
      <c r="AP7109" s="500"/>
    </row>
    <row r="7110" spans="1:42" ht="16.5" customHeight="1">
      <c r="A7110" s="439"/>
      <c r="B7110" s="439"/>
      <c r="C7110" s="439"/>
      <c r="D7110" s="439"/>
      <c r="E7110" s="439"/>
      <c r="F7110" s="439"/>
      <c r="G7110" s="451" t="s">
        <v>3406</v>
      </c>
      <c r="Z7110" s="500"/>
      <c r="AA7110" s="500"/>
      <c r="AB7110" s="500"/>
      <c r="AC7110" s="500"/>
      <c r="AD7110" s="500"/>
      <c r="AE7110" s="500"/>
      <c r="AF7110" s="500"/>
      <c r="AG7110" s="500"/>
      <c r="AH7110" s="500"/>
      <c r="AI7110" s="500"/>
      <c r="AJ7110" s="500"/>
      <c r="AK7110" s="500"/>
      <c r="AL7110" s="500"/>
      <c r="AM7110" s="500"/>
      <c r="AN7110" s="500"/>
      <c r="AO7110" s="500"/>
      <c r="AP7110" s="500"/>
    </row>
    <row r="7111" spans="1:42" ht="16.5" customHeight="1">
      <c r="A7111" s="434"/>
      <c r="B7111" s="437" t="s">
        <v>4129</v>
      </c>
      <c r="C7111" s="439"/>
      <c r="D7111" s="439"/>
      <c r="E7111" s="439"/>
      <c r="F7111" s="439"/>
      <c r="G7111" s="451" t="s">
        <v>4130</v>
      </c>
      <c r="Z7111" s="500"/>
      <c r="AA7111" s="500"/>
      <c r="AB7111" s="500"/>
      <c r="AC7111" s="500"/>
      <c r="AD7111" s="500"/>
      <c r="AE7111" s="500"/>
      <c r="AF7111" s="500"/>
      <c r="AG7111" s="500"/>
      <c r="AH7111" s="500"/>
      <c r="AI7111" s="500"/>
      <c r="AJ7111" s="500"/>
      <c r="AK7111" s="500"/>
      <c r="AL7111" s="500"/>
      <c r="AM7111" s="500"/>
      <c r="AN7111" s="500"/>
      <c r="AO7111" s="500"/>
      <c r="AP7111" s="500"/>
    </row>
    <row r="7112" spans="1:42" ht="16.5" customHeight="1">
      <c r="A7112" s="439"/>
      <c r="B7112" s="439"/>
      <c r="C7112" s="439"/>
      <c r="D7112" s="439"/>
      <c r="E7112" s="439"/>
      <c r="F7112" s="439"/>
      <c r="G7112" s="451" t="s">
        <v>3406</v>
      </c>
      <c r="Z7112" s="500"/>
      <c r="AA7112" s="500"/>
      <c r="AB7112" s="500"/>
      <c r="AC7112" s="500"/>
      <c r="AD7112" s="500"/>
      <c r="AE7112" s="500"/>
      <c r="AF7112" s="500"/>
      <c r="AG7112" s="500"/>
      <c r="AH7112" s="500"/>
      <c r="AI7112" s="500"/>
      <c r="AJ7112" s="500"/>
      <c r="AK7112" s="500"/>
      <c r="AL7112" s="500"/>
      <c r="AM7112" s="500"/>
      <c r="AN7112" s="500"/>
      <c r="AO7112" s="500"/>
      <c r="AP7112" s="500"/>
    </row>
    <row r="7113" spans="1:42" ht="16.5" customHeight="1">
      <c r="A7113" s="434"/>
      <c r="B7113" s="437" t="str">
        <f>" P = "&amp;Z7113&amp;"  ㎡ "</f>
        <v xml:space="preserve"> P = 1000  ㎡ </v>
      </c>
      <c r="C7113" s="439"/>
      <c r="D7113" s="439"/>
      <c r="E7113" s="439"/>
      <c r="F7113" s="439"/>
      <c r="G7113" s="451" t="s">
        <v>4131</v>
      </c>
      <c r="Z7113" s="515">
        <v>1000</v>
      </c>
      <c r="AA7113" s="501" t="s">
        <v>3418</v>
      </c>
      <c r="AB7113" s="512">
        <f>Z7113</f>
        <v>1000</v>
      </c>
      <c r="AC7113" s="500"/>
      <c r="AD7113" s="500"/>
      <c r="AE7113" s="500"/>
      <c r="AF7113" s="500"/>
      <c r="AG7113" s="500"/>
      <c r="AH7113" s="500"/>
      <c r="AI7113" s="500"/>
      <c r="AJ7113" s="500"/>
      <c r="AK7113" s="500"/>
      <c r="AL7113" s="500"/>
      <c r="AM7113" s="500"/>
      <c r="AN7113" s="500"/>
      <c r="AO7113" s="500"/>
      <c r="AP7113" s="500"/>
    </row>
    <row r="7114" spans="1:42" ht="16.5" customHeight="1">
      <c r="A7114" s="439"/>
      <c r="B7114" s="439"/>
      <c r="C7114" s="439"/>
      <c r="D7114" s="439"/>
      <c r="E7114" s="439"/>
      <c r="F7114" s="439"/>
      <c r="G7114" s="451" t="s">
        <v>3406</v>
      </c>
      <c r="Z7114" s="500"/>
      <c r="AA7114" s="500"/>
      <c r="AB7114" s="500"/>
      <c r="AC7114" s="500"/>
      <c r="AD7114" s="500"/>
      <c r="AE7114" s="500"/>
      <c r="AF7114" s="500"/>
      <c r="AG7114" s="500"/>
      <c r="AH7114" s="500"/>
      <c r="AI7114" s="500"/>
      <c r="AJ7114" s="500"/>
      <c r="AK7114" s="500"/>
      <c r="AL7114" s="500"/>
      <c r="AM7114" s="500"/>
      <c r="AN7114" s="500"/>
      <c r="AO7114" s="500"/>
      <c r="AP7114" s="500"/>
    </row>
    <row r="7115" spans="1:42" ht="16.5" customHeight="1">
      <c r="A7115" s="434" t="s">
        <v>3498</v>
      </c>
      <c r="B7115" s="505" t="str">
        <f>" 조경공 : "&amp;TEXT(I7115,"#,##0"&amp;IF(I7115&lt;&gt;INT(I7115),".###",""))&amp;" * "&amp;AA7115&amp;" 인  / P = "&amp;TEXT(C7115,"#,##0.0")&amp;""</f>
        <v xml:space="preserve"> 조경공 : 235,204 * 1 인  / P = 235.2</v>
      </c>
      <c r="C7115" s="506">
        <f>E7115+D7115+F7115</f>
        <v>235.2</v>
      </c>
      <c r="D7115" s="506">
        <f>IF(H7115=0,0,ROUNDDOWN(J7115*H7115,1))</f>
        <v>235.2</v>
      </c>
      <c r="E7115" s="506">
        <f>IF(H7115=0,0,ROUNDDOWN(K7115*H7115,1))</f>
        <v>0</v>
      </c>
      <c r="F7115" s="506">
        <f>IF(H7115=0,0,ROUNDDOWN(L7115*H7115,1))</f>
        <v>0</v>
      </c>
      <c r="G7115" s="451" t="s">
        <v>4132</v>
      </c>
      <c r="H7115" s="507">
        <f>ROUNDUP(AE7115,14-LEN(ABS(INT(AE7115))))</f>
        <v>1E-3</v>
      </c>
      <c r="I7115" s="508">
        <f>K7115+J7115+L7115</f>
        <v>235204</v>
      </c>
      <c r="J7115" s="509">
        <f>노무비목록표!E15</f>
        <v>235204</v>
      </c>
      <c r="M7115" s="501" t="s">
        <v>2359</v>
      </c>
      <c r="N7115" s="501" t="s">
        <v>3421</v>
      </c>
      <c r="X7115" s="510" t="str">
        <f>노무비목록표!B15&amp;" / "&amp;노무비목록표!C15</f>
        <v xml:space="preserve">조경공 / </v>
      </c>
      <c r="Y7115" s="433" t="str">
        <f ca="1">HYPERLINK("#"&amp;노무비목록표!G2&amp;"!A"&amp;ROW(노무비목록표!A15),"L00184 →")</f>
        <v>L00184 →</v>
      </c>
      <c r="Z7115" s="501" t="s">
        <v>3500</v>
      </c>
      <c r="AA7115" s="515">
        <v>1</v>
      </c>
      <c r="AB7115" s="501" t="s">
        <v>3428</v>
      </c>
      <c r="AC7115" s="512">
        <f>AB7113</f>
        <v>1000</v>
      </c>
      <c r="AD7115" s="501" t="s">
        <v>3418</v>
      </c>
      <c r="AE7115" s="512">
        <f>1*AA7115/AB7113</f>
        <v>1E-3</v>
      </c>
      <c r="AF7115" s="500"/>
      <c r="AG7115" s="500"/>
      <c r="AH7115" s="500"/>
      <c r="AI7115" s="500"/>
      <c r="AJ7115" s="500"/>
      <c r="AK7115" s="500"/>
      <c r="AL7115" s="500"/>
      <c r="AM7115" s="500"/>
      <c r="AN7115" s="500"/>
      <c r="AO7115" s="500"/>
      <c r="AP7115" s="500"/>
    </row>
    <row r="7116" spans="1:42" ht="16.5" customHeight="1">
      <c r="A7116" s="439"/>
      <c r="B7116" s="439"/>
      <c r="C7116" s="439"/>
      <c r="D7116" s="439"/>
      <c r="E7116" s="439"/>
      <c r="F7116" s="439"/>
      <c r="G7116" s="451" t="s">
        <v>3406</v>
      </c>
      <c r="Z7116" s="500"/>
      <c r="AA7116" s="500"/>
      <c r="AB7116" s="500"/>
      <c r="AC7116" s="500"/>
      <c r="AD7116" s="500"/>
      <c r="AE7116" s="500"/>
      <c r="AF7116" s="500"/>
      <c r="AG7116" s="500"/>
      <c r="AH7116" s="500"/>
      <c r="AI7116" s="500"/>
      <c r="AJ7116" s="500"/>
      <c r="AK7116" s="500"/>
      <c r="AL7116" s="500"/>
      <c r="AM7116" s="500"/>
      <c r="AN7116" s="500"/>
      <c r="AO7116" s="500"/>
      <c r="AP7116" s="500"/>
    </row>
    <row r="7117" spans="1:42" ht="16.5" customHeight="1">
      <c r="A7117" s="434" t="s">
        <v>3414</v>
      </c>
      <c r="B7117" s="505" t="str">
        <f>" 보통인부 : "&amp;TEXT(I7117,"#,##0"&amp;IF(I7117&lt;&gt;INT(I7117),".###",""))&amp;" * "&amp;AA7117&amp;" 인  / P = "&amp;TEXT(C7117,"#,##0.0")&amp;""</f>
        <v xml:space="preserve"> 보통인부 : 172,068 * 5 인  / P = 860.3</v>
      </c>
      <c r="C7117" s="506">
        <f>E7117+D7117+F7117</f>
        <v>860.3</v>
      </c>
      <c r="D7117" s="506">
        <f>IF(H7117=0,0,ROUNDDOWN(J7117*H7117,1))</f>
        <v>860.3</v>
      </c>
      <c r="E7117" s="506">
        <f>IF(H7117=0,0,ROUNDDOWN(K7117*H7117,1))</f>
        <v>0</v>
      </c>
      <c r="F7117" s="506">
        <f>IF(H7117=0,0,ROUNDDOWN(L7117*H7117,1))</f>
        <v>0</v>
      </c>
      <c r="G7117" s="451" t="s">
        <v>4133</v>
      </c>
      <c r="H7117" s="507">
        <f>ROUNDUP(AE7117,14-LEN(ABS(INT(AE7117))))</f>
        <v>5.0000000000000001E-3</v>
      </c>
      <c r="I7117" s="508">
        <f>K7117+J7117+L7117</f>
        <v>172068</v>
      </c>
      <c r="J7117" s="509">
        <f>노무비목록표!E10</f>
        <v>172068</v>
      </c>
      <c r="M7117" s="501" t="s">
        <v>2363</v>
      </c>
      <c r="N7117" s="501" t="s">
        <v>3421</v>
      </c>
      <c r="X7117" s="510" t="str">
        <f>노무비목록표!B10&amp;" / "&amp;노무비목록표!C10</f>
        <v xml:space="preserve">보통인부 / </v>
      </c>
      <c r="Y7117" s="433" t="str">
        <f ca="1">HYPERLINK("#"&amp;노무비목록표!G2&amp;"!A"&amp;ROW(노무비목록표!A10),"L00017 →")</f>
        <v>L00017 →</v>
      </c>
      <c r="Z7117" s="501" t="s">
        <v>3500</v>
      </c>
      <c r="AA7117" s="515">
        <v>5</v>
      </c>
      <c r="AB7117" s="501" t="s">
        <v>3428</v>
      </c>
      <c r="AC7117" s="512">
        <f>AB7113</f>
        <v>1000</v>
      </c>
      <c r="AD7117" s="501" t="s">
        <v>3418</v>
      </c>
      <c r="AE7117" s="512">
        <f>1*AA7117/AB7113</f>
        <v>5.0000000000000001E-3</v>
      </c>
      <c r="AF7117" s="500"/>
      <c r="AG7117" s="500"/>
      <c r="AH7117" s="500"/>
      <c r="AI7117" s="500"/>
      <c r="AJ7117" s="500"/>
      <c r="AK7117" s="500"/>
      <c r="AL7117" s="500"/>
      <c r="AM7117" s="500"/>
      <c r="AN7117" s="500"/>
      <c r="AO7117" s="500"/>
      <c r="AP7117" s="500"/>
    </row>
    <row r="7118" spans="1:42" ht="16.5" customHeight="1">
      <c r="A7118" s="439"/>
      <c r="B7118" s="439"/>
      <c r="C7118" s="439"/>
      <c r="D7118" s="439"/>
      <c r="E7118" s="439"/>
      <c r="F7118" s="439"/>
      <c r="G7118" s="451" t="s">
        <v>3406</v>
      </c>
      <c r="Z7118" s="500"/>
      <c r="AA7118" s="500"/>
      <c r="AB7118" s="500"/>
      <c r="AC7118" s="500"/>
      <c r="AD7118" s="500"/>
      <c r="AE7118" s="500"/>
      <c r="AF7118" s="500"/>
      <c r="AG7118" s="500"/>
      <c r="AH7118" s="500"/>
      <c r="AI7118" s="500"/>
      <c r="AJ7118" s="500"/>
      <c r="AK7118" s="500"/>
      <c r="AL7118" s="500"/>
      <c r="AM7118" s="500"/>
      <c r="AN7118" s="500"/>
      <c r="AO7118" s="500"/>
      <c r="AP7118" s="500"/>
    </row>
    <row r="7119" spans="1:42" ht="16.5" customHeight="1">
      <c r="A7119" s="434"/>
      <c r="B7119" s="437" t="s">
        <v>3440</v>
      </c>
      <c r="C7119" s="513">
        <f>E7119+D7119+F7119</f>
        <v>1095.5</v>
      </c>
      <c r="D7119" s="513">
        <f>SUMIF(N7107:N7118,M7119,D7107:D7118)</f>
        <v>1095.5</v>
      </c>
      <c r="E7119" s="513">
        <f>SUMIF(N7107:N7118,M7119,E7107:E7118)</f>
        <v>0</v>
      </c>
      <c r="F7119" s="513">
        <f>SUMIF(N7107:N7118,M7119,F7107:F7118)</f>
        <v>0</v>
      </c>
      <c r="G7119" s="451" t="s">
        <v>3441</v>
      </c>
      <c r="M7119" s="501" t="s">
        <v>3421</v>
      </c>
      <c r="N7119" s="501" t="s">
        <v>2354</v>
      </c>
      <c r="Z7119" s="500"/>
      <c r="AA7119" s="500"/>
      <c r="AB7119" s="500"/>
      <c r="AC7119" s="500"/>
      <c r="AD7119" s="500"/>
      <c r="AE7119" s="500"/>
      <c r="AF7119" s="500"/>
      <c r="AG7119" s="500"/>
      <c r="AH7119" s="500"/>
      <c r="AI7119" s="500"/>
      <c r="AJ7119" s="500"/>
      <c r="AK7119" s="500"/>
      <c r="AL7119" s="500"/>
      <c r="AM7119" s="500"/>
      <c r="AN7119" s="500"/>
      <c r="AO7119" s="500"/>
      <c r="AP7119" s="500"/>
    </row>
    <row r="7120" spans="1:42" ht="16.5" customHeight="1">
      <c r="A7120" s="439"/>
      <c r="B7120" s="439"/>
      <c r="C7120" s="504"/>
      <c r="D7120" s="504"/>
      <c r="E7120" s="504"/>
      <c r="F7120" s="504"/>
      <c r="Z7120" s="500"/>
      <c r="AA7120" s="500"/>
      <c r="AB7120" s="500"/>
      <c r="AC7120" s="500"/>
      <c r="AD7120" s="500"/>
      <c r="AE7120" s="500"/>
      <c r="AF7120" s="500"/>
      <c r="AG7120" s="500"/>
      <c r="AH7120" s="500"/>
      <c r="AI7120" s="500"/>
      <c r="AJ7120" s="500"/>
      <c r="AK7120" s="500"/>
      <c r="AL7120" s="500"/>
      <c r="AM7120" s="500"/>
      <c r="AN7120" s="500"/>
      <c r="AO7120" s="500"/>
      <c r="AP7120" s="500"/>
    </row>
    <row r="7121" spans="1:42" ht="16.5" customHeight="1">
      <c r="A7121" s="439"/>
      <c r="B7121" s="439"/>
      <c r="C7121" s="439"/>
      <c r="D7121" s="439"/>
      <c r="E7121" s="439"/>
      <c r="F7121" s="439"/>
      <c r="Z7121" s="500"/>
      <c r="AA7121" s="500"/>
      <c r="AB7121" s="500"/>
      <c r="AC7121" s="500"/>
      <c r="AD7121" s="500"/>
      <c r="AE7121" s="500"/>
      <c r="AF7121" s="500"/>
      <c r="AG7121" s="500"/>
      <c r="AH7121" s="500"/>
      <c r="AI7121" s="500"/>
      <c r="AJ7121" s="500"/>
      <c r="AK7121" s="500"/>
      <c r="AL7121" s="500"/>
      <c r="AM7121" s="500"/>
      <c r="AN7121" s="500"/>
      <c r="AO7121" s="500"/>
      <c r="AP7121" s="500"/>
    </row>
    <row r="7122" spans="1:42" ht="16.5" customHeight="1">
      <c r="A7122" s="439"/>
      <c r="B7122" s="439"/>
      <c r="C7122" s="439"/>
      <c r="D7122" s="439"/>
      <c r="E7122" s="439"/>
      <c r="F7122" s="439"/>
      <c r="Z7122" s="500"/>
      <c r="AA7122" s="500"/>
      <c r="AB7122" s="500"/>
      <c r="AC7122" s="500"/>
      <c r="AD7122" s="500"/>
      <c r="AE7122" s="500"/>
      <c r="AF7122" s="500"/>
      <c r="AG7122" s="500"/>
      <c r="AH7122" s="500"/>
      <c r="AI7122" s="500"/>
      <c r="AJ7122" s="500"/>
      <c r="AK7122" s="500"/>
      <c r="AL7122" s="500"/>
      <c r="AM7122" s="500"/>
      <c r="AN7122" s="500"/>
      <c r="AO7122" s="500"/>
      <c r="AP7122" s="500"/>
    </row>
    <row r="7123" spans="1:42" ht="16.5" customHeight="1">
      <c r="A7123" s="439"/>
      <c r="B7123" s="439"/>
      <c r="C7123" s="439"/>
      <c r="D7123" s="439"/>
      <c r="E7123" s="439"/>
      <c r="F7123" s="439"/>
      <c r="Z7123" s="500"/>
      <c r="AA7123" s="500"/>
      <c r="AB7123" s="500"/>
      <c r="AC7123" s="500"/>
      <c r="AD7123" s="500"/>
      <c r="AE7123" s="500"/>
      <c r="AF7123" s="500"/>
      <c r="AG7123" s="500"/>
      <c r="AH7123" s="500"/>
      <c r="AI7123" s="500"/>
      <c r="AJ7123" s="500"/>
      <c r="AK7123" s="500"/>
      <c r="AL7123" s="500"/>
      <c r="AM7123" s="500"/>
      <c r="AN7123" s="500"/>
      <c r="AO7123" s="500"/>
      <c r="AP7123" s="500"/>
    </row>
    <row r="7124" spans="1:42" ht="16.5" customHeight="1">
      <c r="A7124" s="439"/>
      <c r="B7124" s="439"/>
      <c r="C7124" s="439"/>
      <c r="D7124" s="439"/>
      <c r="E7124" s="439"/>
      <c r="F7124" s="439"/>
      <c r="Z7124" s="500"/>
      <c r="AA7124" s="500"/>
      <c r="AB7124" s="500"/>
      <c r="AC7124" s="500"/>
      <c r="AD7124" s="500"/>
      <c r="AE7124" s="500"/>
      <c r="AF7124" s="500"/>
      <c r="AG7124" s="500"/>
      <c r="AH7124" s="500"/>
      <c r="AI7124" s="500"/>
      <c r="AJ7124" s="500"/>
      <c r="AK7124" s="500"/>
      <c r="AL7124" s="500"/>
      <c r="AM7124" s="500"/>
      <c r="AN7124" s="500"/>
      <c r="AO7124" s="500"/>
      <c r="AP7124" s="500"/>
    </row>
    <row r="7125" spans="1:42" ht="16.5" customHeight="1">
      <c r="A7125" s="439"/>
      <c r="B7125" s="439"/>
      <c r="C7125" s="439"/>
      <c r="D7125" s="439"/>
      <c r="E7125" s="439"/>
      <c r="F7125" s="439"/>
      <c r="Z7125" s="500"/>
      <c r="AA7125" s="500"/>
      <c r="AB7125" s="500"/>
      <c r="AC7125" s="500"/>
      <c r="AD7125" s="500"/>
      <c r="AE7125" s="500"/>
      <c r="AF7125" s="500"/>
      <c r="AG7125" s="500"/>
      <c r="AH7125" s="500"/>
      <c r="AI7125" s="500"/>
      <c r="AJ7125" s="500"/>
      <c r="AK7125" s="500"/>
      <c r="AL7125" s="500"/>
      <c r="AM7125" s="500"/>
      <c r="AN7125" s="500"/>
      <c r="AO7125" s="500"/>
      <c r="AP7125" s="500"/>
    </row>
    <row r="7126" spans="1:42" ht="16.5" customHeight="1">
      <c r="A7126" s="439"/>
      <c r="B7126" s="439"/>
      <c r="C7126" s="439"/>
      <c r="D7126" s="439"/>
      <c r="E7126" s="439"/>
      <c r="F7126" s="439"/>
      <c r="Z7126" s="500"/>
      <c r="AA7126" s="500"/>
      <c r="AB7126" s="500"/>
      <c r="AC7126" s="500"/>
      <c r="AD7126" s="500"/>
      <c r="AE7126" s="500"/>
      <c r="AF7126" s="500"/>
      <c r="AG7126" s="500"/>
      <c r="AH7126" s="500"/>
      <c r="AI7126" s="500"/>
      <c r="AJ7126" s="500"/>
      <c r="AK7126" s="500"/>
      <c r="AL7126" s="500"/>
      <c r="AM7126" s="500"/>
      <c r="AN7126" s="500"/>
      <c r="AO7126" s="500"/>
      <c r="AP7126" s="500"/>
    </row>
    <row r="7127" spans="1:42" ht="16.5" customHeight="1">
      <c r="A7127" s="439"/>
      <c r="B7127" s="439"/>
      <c r="C7127" s="439"/>
      <c r="D7127" s="439"/>
      <c r="E7127" s="439"/>
      <c r="F7127" s="439"/>
      <c r="Z7127" s="500"/>
      <c r="AA7127" s="500"/>
      <c r="AB7127" s="500"/>
      <c r="AC7127" s="500"/>
      <c r="AD7127" s="500"/>
      <c r="AE7127" s="500"/>
      <c r="AF7127" s="500"/>
      <c r="AG7127" s="500"/>
      <c r="AH7127" s="500"/>
      <c r="AI7127" s="500"/>
      <c r="AJ7127" s="500"/>
      <c r="AK7127" s="500"/>
      <c r="AL7127" s="500"/>
      <c r="AM7127" s="500"/>
      <c r="AN7127" s="500"/>
      <c r="AO7127" s="500"/>
      <c r="AP7127" s="500"/>
    </row>
    <row r="7128" spans="1:42" ht="16.5" customHeight="1">
      <c r="A7128" s="439"/>
      <c r="B7128" s="439"/>
      <c r="C7128" s="439"/>
      <c r="D7128" s="439"/>
      <c r="E7128" s="439"/>
      <c r="F7128" s="439"/>
      <c r="Z7128" s="500"/>
      <c r="AA7128" s="500"/>
      <c r="AB7128" s="500"/>
      <c r="AC7128" s="500"/>
      <c r="AD7128" s="500"/>
      <c r="AE7128" s="500"/>
      <c r="AF7128" s="500"/>
      <c r="AG7128" s="500"/>
      <c r="AH7128" s="500"/>
      <c r="AI7128" s="500"/>
      <c r="AJ7128" s="500"/>
      <c r="AK7128" s="500"/>
      <c r="AL7128" s="500"/>
      <c r="AM7128" s="500"/>
      <c r="AN7128" s="500"/>
      <c r="AO7128" s="500"/>
      <c r="AP7128" s="500"/>
    </row>
    <row r="7129" spans="1:42" ht="16.5" customHeight="1">
      <c r="A7129" s="439"/>
      <c r="B7129" s="439"/>
      <c r="C7129" s="439"/>
      <c r="D7129" s="439"/>
      <c r="E7129" s="439"/>
      <c r="F7129" s="439"/>
      <c r="Z7129" s="500"/>
      <c r="AA7129" s="500"/>
      <c r="AB7129" s="500"/>
      <c r="AC7129" s="500"/>
      <c r="AD7129" s="500"/>
      <c r="AE7129" s="500"/>
      <c r="AF7129" s="500"/>
      <c r="AG7129" s="500"/>
      <c r="AH7129" s="500"/>
      <c r="AI7129" s="500"/>
      <c r="AJ7129" s="500"/>
      <c r="AK7129" s="500"/>
      <c r="AL7129" s="500"/>
      <c r="AM7129" s="500"/>
      <c r="AN7129" s="500"/>
      <c r="AO7129" s="500"/>
      <c r="AP7129" s="500"/>
    </row>
    <row r="7130" spans="1:42" ht="16.5" customHeight="1">
      <c r="A7130" s="439"/>
      <c r="B7130" s="439"/>
      <c r="C7130" s="439"/>
      <c r="D7130" s="439"/>
      <c r="E7130" s="439"/>
      <c r="F7130" s="439"/>
      <c r="Z7130" s="500"/>
      <c r="AA7130" s="500"/>
      <c r="AB7130" s="500"/>
      <c r="AC7130" s="500"/>
      <c r="AD7130" s="500"/>
      <c r="AE7130" s="500"/>
      <c r="AF7130" s="500"/>
      <c r="AG7130" s="500"/>
      <c r="AH7130" s="500"/>
      <c r="AI7130" s="500"/>
      <c r="AJ7130" s="500"/>
      <c r="AK7130" s="500"/>
      <c r="AL7130" s="500"/>
      <c r="AM7130" s="500"/>
      <c r="AN7130" s="500"/>
      <c r="AO7130" s="500"/>
      <c r="AP7130" s="500"/>
    </row>
    <row r="7131" spans="1:42" ht="16.5" customHeight="1">
      <c r="A7131" s="439"/>
      <c r="B7131" s="439"/>
      <c r="C7131" s="439"/>
      <c r="D7131" s="439"/>
      <c r="E7131" s="439"/>
      <c r="F7131" s="439"/>
      <c r="Z7131" s="500"/>
      <c r="AA7131" s="500"/>
      <c r="AB7131" s="500"/>
      <c r="AC7131" s="500"/>
      <c r="AD7131" s="500"/>
      <c r="AE7131" s="500"/>
      <c r="AF7131" s="500"/>
      <c r="AG7131" s="500"/>
      <c r="AH7131" s="500"/>
      <c r="AI7131" s="500"/>
      <c r="AJ7131" s="500"/>
      <c r="AK7131" s="500"/>
      <c r="AL7131" s="500"/>
      <c r="AM7131" s="500"/>
      <c r="AN7131" s="500"/>
      <c r="AO7131" s="500"/>
      <c r="AP7131" s="500"/>
    </row>
    <row r="7132" spans="1:42" ht="16.5" customHeight="1">
      <c r="A7132" s="439"/>
      <c r="B7132" s="439"/>
      <c r="C7132" s="439"/>
      <c r="D7132" s="439"/>
      <c r="E7132" s="439"/>
      <c r="F7132" s="439"/>
      <c r="Z7132" s="500"/>
      <c r="AA7132" s="500"/>
      <c r="AB7132" s="500"/>
      <c r="AC7132" s="500"/>
      <c r="AD7132" s="500"/>
      <c r="AE7132" s="500"/>
      <c r="AF7132" s="500"/>
      <c r="AG7132" s="500"/>
      <c r="AH7132" s="500"/>
      <c r="AI7132" s="500"/>
      <c r="AJ7132" s="500"/>
      <c r="AK7132" s="500"/>
      <c r="AL7132" s="500"/>
      <c r="AM7132" s="500"/>
      <c r="AN7132" s="500"/>
      <c r="AO7132" s="500"/>
      <c r="AP7132" s="500"/>
    </row>
    <row r="7133" spans="1:42" ht="16.5" customHeight="1">
      <c r="A7133" s="439"/>
      <c r="B7133" s="439"/>
      <c r="C7133" s="439"/>
      <c r="D7133" s="439"/>
      <c r="E7133" s="439"/>
      <c r="F7133" s="439"/>
      <c r="Z7133" s="500"/>
      <c r="AA7133" s="500"/>
      <c r="AB7133" s="500"/>
      <c r="AC7133" s="500"/>
      <c r="AD7133" s="500"/>
      <c r="AE7133" s="500"/>
      <c r="AF7133" s="500"/>
      <c r="AG7133" s="500"/>
      <c r="AH7133" s="500"/>
      <c r="AI7133" s="500"/>
      <c r="AJ7133" s="500"/>
      <c r="AK7133" s="500"/>
      <c r="AL7133" s="500"/>
      <c r="AM7133" s="500"/>
      <c r="AN7133" s="500"/>
      <c r="AO7133" s="500"/>
      <c r="AP7133" s="500"/>
    </row>
    <row r="7134" spans="1:42" ht="16.5" customHeight="1">
      <c r="A7134" s="439"/>
      <c r="B7134" s="439"/>
      <c r="C7134" s="439"/>
      <c r="D7134" s="439"/>
      <c r="E7134" s="439"/>
      <c r="F7134" s="439"/>
      <c r="Z7134" s="500"/>
      <c r="AA7134" s="500"/>
      <c r="AB7134" s="500"/>
      <c r="AC7134" s="500"/>
      <c r="AD7134" s="500"/>
      <c r="AE7134" s="500"/>
      <c r="AF7134" s="500"/>
      <c r="AG7134" s="500"/>
      <c r="AH7134" s="500"/>
      <c r="AI7134" s="500"/>
      <c r="AJ7134" s="500"/>
      <c r="AK7134" s="500"/>
      <c r="AL7134" s="500"/>
      <c r="AM7134" s="500"/>
      <c r="AN7134" s="500"/>
      <c r="AO7134" s="500"/>
      <c r="AP7134" s="500"/>
    </row>
    <row r="7135" spans="1:42" ht="16.5" customHeight="1">
      <c r="A7135" s="439"/>
      <c r="B7135" s="439"/>
      <c r="C7135" s="439"/>
      <c r="D7135" s="439"/>
      <c r="E7135" s="439"/>
      <c r="F7135" s="439"/>
      <c r="Z7135" s="500"/>
      <c r="AA7135" s="500"/>
      <c r="AB7135" s="500"/>
      <c r="AC7135" s="500"/>
      <c r="AD7135" s="500"/>
      <c r="AE7135" s="500"/>
      <c r="AF7135" s="500"/>
      <c r="AG7135" s="500"/>
      <c r="AH7135" s="500"/>
      <c r="AI7135" s="500"/>
      <c r="AJ7135" s="500"/>
      <c r="AK7135" s="500"/>
      <c r="AL7135" s="500"/>
      <c r="AM7135" s="500"/>
      <c r="AN7135" s="500"/>
      <c r="AO7135" s="500"/>
      <c r="AP7135" s="500"/>
    </row>
    <row r="7136" spans="1:42" ht="16.5" customHeight="1">
      <c r="A7136" s="439"/>
      <c r="B7136" s="439"/>
      <c r="C7136" s="439"/>
      <c r="D7136" s="439"/>
      <c r="E7136" s="439"/>
      <c r="F7136" s="439"/>
      <c r="Z7136" s="500"/>
      <c r="AA7136" s="500"/>
      <c r="AB7136" s="500"/>
      <c r="AC7136" s="500"/>
      <c r="AD7136" s="500"/>
      <c r="AE7136" s="500"/>
      <c r="AF7136" s="500"/>
      <c r="AG7136" s="500"/>
      <c r="AH7136" s="500"/>
      <c r="AI7136" s="500"/>
      <c r="AJ7136" s="500"/>
      <c r="AK7136" s="500"/>
      <c r="AL7136" s="500"/>
      <c r="AM7136" s="500"/>
      <c r="AN7136" s="500"/>
      <c r="AO7136" s="500"/>
      <c r="AP7136" s="500"/>
    </row>
    <row r="7137" spans="1:42" ht="16.5" customHeight="1">
      <c r="A7137" s="439"/>
      <c r="B7137" s="439"/>
      <c r="C7137" s="439"/>
      <c r="D7137" s="439"/>
      <c r="E7137" s="439"/>
      <c r="F7137" s="439"/>
      <c r="Z7137" s="500"/>
      <c r="AA7137" s="500"/>
      <c r="AB7137" s="500"/>
      <c r="AC7137" s="500"/>
      <c r="AD7137" s="500"/>
      <c r="AE7137" s="500"/>
      <c r="AF7137" s="500"/>
      <c r="AG7137" s="500"/>
      <c r="AH7137" s="500"/>
      <c r="AI7137" s="500"/>
      <c r="AJ7137" s="500"/>
      <c r="AK7137" s="500"/>
      <c r="AL7137" s="500"/>
      <c r="AM7137" s="500"/>
      <c r="AN7137" s="500"/>
      <c r="AO7137" s="500"/>
      <c r="AP7137" s="500"/>
    </row>
    <row r="7138" spans="1:42" ht="16.5" customHeight="1">
      <c r="A7138" s="439"/>
      <c r="B7138" s="439"/>
      <c r="C7138" s="439"/>
      <c r="D7138" s="439"/>
      <c r="E7138" s="439"/>
      <c r="F7138" s="439"/>
      <c r="Z7138" s="500"/>
      <c r="AA7138" s="500"/>
      <c r="AB7138" s="500"/>
      <c r="AC7138" s="500"/>
      <c r="AD7138" s="500"/>
      <c r="AE7138" s="500"/>
      <c r="AF7138" s="500"/>
      <c r="AG7138" s="500"/>
      <c r="AH7138" s="500"/>
      <c r="AI7138" s="500"/>
      <c r="AJ7138" s="500"/>
      <c r="AK7138" s="500"/>
      <c r="AL7138" s="500"/>
      <c r="AM7138" s="500"/>
      <c r="AN7138" s="500"/>
      <c r="AO7138" s="500"/>
      <c r="AP7138" s="500"/>
    </row>
    <row r="7139" spans="1:42" ht="16.5" customHeight="1">
      <c r="A7139" s="439"/>
      <c r="B7139" s="439"/>
      <c r="C7139" s="439"/>
      <c r="D7139" s="439"/>
      <c r="E7139" s="439"/>
      <c r="F7139" s="439"/>
      <c r="Z7139" s="500"/>
      <c r="AA7139" s="500"/>
      <c r="AB7139" s="500"/>
      <c r="AC7139" s="500"/>
      <c r="AD7139" s="500"/>
      <c r="AE7139" s="500"/>
      <c r="AF7139" s="500"/>
      <c r="AG7139" s="500"/>
      <c r="AH7139" s="500"/>
      <c r="AI7139" s="500"/>
      <c r="AJ7139" s="500"/>
      <c r="AK7139" s="500"/>
      <c r="AL7139" s="500"/>
      <c r="AM7139" s="500"/>
      <c r="AN7139" s="500"/>
      <c r="AO7139" s="500"/>
      <c r="AP7139" s="500"/>
    </row>
    <row r="7140" spans="1:42" ht="16.5" customHeight="1">
      <c r="A7140" s="439"/>
      <c r="B7140" s="439"/>
      <c r="C7140" s="439"/>
      <c r="D7140" s="439"/>
      <c r="E7140" s="439"/>
      <c r="F7140" s="439"/>
      <c r="Z7140" s="500"/>
      <c r="AA7140" s="500"/>
      <c r="AB7140" s="500"/>
      <c r="AC7140" s="500"/>
      <c r="AD7140" s="500"/>
      <c r="AE7140" s="500"/>
      <c r="AF7140" s="500"/>
      <c r="AG7140" s="500"/>
      <c r="AH7140" s="500"/>
      <c r="AI7140" s="500"/>
      <c r="AJ7140" s="500"/>
      <c r="AK7140" s="500"/>
      <c r="AL7140" s="500"/>
      <c r="AM7140" s="500"/>
      <c r="AN7140" s="500"/>
      <c r="AO7140" s="500"/>
      <c r="AP7140" s="500"/>
    </row>
    <row r="7141" spans="1:42" ht="16.5" customHeight="1">
      <c r="A7141" s="439"/>
      <c r="B7141" s="439"/>
      <c r="C7141" s="439"/>
      <c r="D7141" s="439"/>
      <c r="E7141" s="439"/>
      <c r="F7141" s="439"/>
      <c r="Z7141" s="500"/>
      <c r="AA7141" s="500"/>
      <c r="AB7141" s="500"/>
      <c r="AC7141" s="500"/>
      <c r="AD7141" s="500"/>
      <c r="AE7141" s="500"/>
      <c r="AF7141" s="500"/>
      <c r="AG7141" s="500"/>
      <c r="AH7141" s="500"/>
      <c r="AI7141" s="500"/>
      <c r="AJ7141" s="500"/>
      <c r="AK7141" s="500"/>
      <c r="AL7141" s="500"/>
      <c r="AM7141" s="500"/>
      <c r="AN7141" s="500"/>
      <c r="AO7141" s="500"/>
      <c r="AP7141" s="500"/>
    </row>
    <row r="7142" spans="1:42" ht="16.5" customHeight="1">
      <c r="A7142" s="439"/>
      <c r="B7142" s="439"/>
      <c r="C7142" s="439"/>
      <c r="D7142" s="439"/>
      <c r="E7142" s="439"/>
      <c r="F7142" s="439"/>
      <c r="Z7142" s="500"/>
      <c r="AA7142" s="500"/>
      <c r="AB7142" s="500"/>
      <c r="AC7142" s="500"/>
      <c r="AD7142" s="500"/>
      <c r="AE7142" s="500"/>
      <c r="AF7142" s="500"/>
      <c r="AG7142" s="500"/>
      <c r="AH7142" s="500"/>
      <c r="AI7142" s="500"/>
      <c r="AJ7142" s="500"/>
      <c r="AK7142" s="500"/>
      <c r="AL7142" s="500"/>
      <c r="AM7142" s="500"/>
      <c r="AN7142" s="500"/>
      <c r="AO7142" s="500"/>
      <c r="AP7142" s="500"/>
    </row>
    <row r="7143" spans="1:42" ht="16.5" customHeight="1">
      <c r="A7143" s="439"/>
      <c r="B7143" s="439"/>
      <c r="C7143" s="439"/>
      <c r="D7143" s="439"/>
      <c r="E7143" s="439"/>
      <c r="F7143" s="439"/>
      <c r="Z7143" s="500"/>
      <c r="AA7143" s="500"/>
      <c r="AB7143" s="500"/>
      <c r="AC7143" s="500"/>
      <c r="AD7143" s="500"/>
      <c r="AE7143" s="500"/>
      <c r="AF7143" s="500"/>
      <c r="AG7143" s="500"/>
      <c r="AH7143" s="500"/>
      <c r="AI7143" s="500"/>
      <c r="AJ7143" s="500"/>
      <c r="AK7143" s="500"/>
      <c r="AL7143" s="500"/>
      <c r="AM7143" s="500"/>
      <c r="AN7143" s="500"/>
      <c r="AO7143" s="500"/>
      <c r="AP7143" s="500"/>
    </row>
    <row r="7144" spans="1:42" ht="16.5" customHeight="1">
      <c r="A7144" s="439"/>
      <c r="B7144" s="439"/>
      <c r="C7144" s="439"/>
      <c r="D7144" s="439"/>
      <c r="E7144" s="439"/>
      <c r="F7144" s="439"/>
      <c r="Z7144" s="500"/>
      <c r="AA7144" s="500"/>
      <c r="AB7144" s="500"/>
      <c r="AC7144" s="500"/>
      <c r="AD7144" s="500"/>
      <c r="AE7144" s="500"/>
      <c r="AF7144" s="500"/>
      <c r="AG7144" s="500"/>
      <c r="AH7144" s="500"/>
      <c r="AI7144" s="500"/>
      <c r="AJ7144" s="500"/>
      <c r="AK7144" s="500"/>
      <c r="AL7144" s="500"/>
      <c r="AM7144" s="500"/>
      <c r="AN7144" s="500"/>
      <c r="AO7144" s="500"/>
      <c r="AP7144" s="500"/>
    </row>
    <row r="7145" spans="1:42" ht="16.5" customHeight="1">
      <c r="A7145" s="439"/>
      <c r="B7145" s="439"/>
      <c r="C7145" s="439"/>
      <c r="D7145" s="439"/>
      <c r="E7145" s="439"/>
      <c r="F7145" s="439"/>
      <c r="Z7145" s="500"/>
      <c r="AA7145" s="500"/>
      <c r="AB7145" s="500"/>
      <c r="AC7145" s="500"/>
      <c r="AD7145" s="500"/>
      <c r="AE7145" s="500"/>
      <c r="AF7145" s="500"/>
      <c r="AG7145" s="500"/>
      <c r="AH7145" s="500"/>
      <c r="AI7145" s="500"/>
      <c r="AJ7145" s="500"/>
      <c r="AK7145" s="500"/>
      <c r="AL7145" s="500"/>
      <c r="AM7145" s="500"/>
      <c r="AN7145" s="500"/>
      <c r="AO7145" s="500"/>
      <c r="AP7145" s="500"/>
    </row>
    <row r="7146" spans="1:42" ht="16.5" customHeight="1">
      <c r="A7146" s="439"/>
      <c r="B7146" s="439"/>
      <c r="C7146" s="439"/>
      <c r="D7146" s="439"/>
      <c r="E7146" s="439"/>
      <c r="F7146" s="439"/>
      <c r="Z7146" s="500"/>
      <c r="AA7146" s="500"/>
      <c r="AB7146" s="500"/>
      <c r="AC7146" s="500"/>
      <c r="AD7146" s="500"/>
      <c r="AE7146" s="500"/>
      <c r="AF7146" s="500"/>
      <c r="AG7146" s="500"/>
      <c r="AH7146" s="500"/>
      <c r="AI7146" s="500"/>
      <c r="AJ7146" s="500"/>
      <c r="AK7146" s="500"/>
      <c r="AL7146" s="500"/>
      <c r="AM7146" s="500"/>
      <c r="AN7146" s="500"/>
      <c r="AO7146" s="500"/>
      <c r="AP7146" s="500"/>
    </row>
    <row r="7147" spans="1:42" ht="16.5" customHeight="1">
      <c r="A7147" s="439"/>
      <c r="B7147" s="439"/>
      <c r="C7147" s="439"/>
      <c r="D7147" s="439"/>
      <c r="E7147" s="439"/>
      <c r="F7147" s="439"/>
      <c r="Z7147" s="500"/>
      <c r="AA7147" s="500"/>
      <c r="AB7147" s="500"/>
      <c r="AC7147" s="500"/>
      <c r="AD7147" s="500"/>
      <c r="AE7147" s="500"/>
      <c r="AF7147" s="500"/>
      <c r="AG7147" s="500"/>
      <c r="AH7147" s="500"/>
      <c r="AI7147" s="500"/>
      <c r="AJ7147" s="500"/>
      <c r="AK7147" s="500"/>
      <c r="AL7147" s="500"/>
      <c r="AM7147" s="500"/>
      <c r="AN7147" s="500"/>
      <c r="AO7147" s="500"/>
      <c r="AP7147" s="500"/>
    </row>
    <row r="7148" spans="1:42" ht="16.5" customHeight="1">
      <c r="A7148" s="439"/>
      <c r="B7148" s="439"/>
      <c r="C7148" s="439"/>
      <c r="D7148" s="439"/>
      <c r="E7148" s="439"/>
      <c r="F7148" s="439"/>
      <c r="Z7148" s="500"/>
      <c r="AA7148" s="500"/>
      <c r="AB7148" s="500"/>
      <c r="AC7148" s="500"/>
      <c r="AD7148" s="500"/>
      <c r="AE7148" s="500"/>
      <c r="AF7148" s="500"/>
      <c r="AG7148" s="500"/>
      <c r="AH7148" s="500"/>
      <c r="AI7148" s="500"/>
      <c r="AJ7148" s="500"/>
      <c r="AK7148" s="500"/>
      <c r="AL7148" s="500"/>
      <c r="AM7148" s="500"/>
      <c r="AN7148" s="500"/>
      <c r="AO7148" s="500"/>
      <c r="AP7148" s="500"/>
    </row>
    <row r="7149" spans="1:42" ht="16.5" customHeight="1">
      <c r="A7149" s="439"/>
      <c r="B7149" s="439"/>
      <c r="C7149" s="439"/>
      <c r="D7149" s="439"/>
      <c r="E7149" s="439"/>
      <c r="F7149" s="439"/>
      <c r="Z7149" s="500"/>
      <c r="AA7149" s="500"/>
      <c r="AB7149" s="500"/>
      <c r="AC7149" s="500"/>
      <c r="AD7149" s="500"/>
      <c r="AE7149" s="500"/>
      <c r="AF7149" s="500"/>
      <c r="AG7149" s="500"/>
      <c r="AH7149" s="500"/>
      <c r="AI7149" s="500"/>
      <c r="AJ7149" s="500"/>
      <c r="AK7149" s="500"/>
      <c r="AL7149" s="500"/>
      <c r="AM7149" s="500"/>
      <c r="AN7149" s="500"/>
      <c r="AO7149" s="500"/>
      <c r="AP7149" s="500"/>
    </row>
    <row r="7150" spans="1:42" ht="16.5" customHeight="1">
      <c r="A7150" s="439"/>
      <c r="B7150" s="439"/>
      <c r="C7150" s="439"/>
      <c r="D7150" s="439"/>
      <c r="E7150" s="439"/>
      <c r="F7150" s="439"/>
      <c r="Z7150" s="500"/>
      <c r="AA7150" s="500"/>
      <c r="AB7150" s="500"/>
      <c r="AC7150" s="500"/>
      <c r="AD7150" s="500"/>
      <c r="AE7150" s="500"/>
      <c r="AF7150" s="500"/>
      <c r="AG7150" s="500"/>
      <c r="AH7150" s="500"/>
      <c r="AI7150" s="500"/>
      <c r="AJ7150" s="500"/>
      <c r="AK7150" s="500"/>
      <c r="AL7150" s="500"/>
      <c r="AM7150" s="500"/>
      <c r="AN7150" s="500"/>
      <c r="AO7150" s="500"/>
      <c r="AP7150" s="500"/>
    </row>
    <row r="7151" spans="1:42" ht="16.5" customHeight="1">
      <c r="A7151" s="439"/>
      <c r="B7151" s="439"/>
      <c r="C7151" s="439"/>
      <c r="D7151" s="439"/>
      <c r="E7151" s="439"/>
      <c r="F7151" s="439"/>
      <c r="Z7151" s="500"/>
      <c r="AA7151" s="500"/>
      <c r="AB7151" s="500"/>
      <c r="AC7151" s="500"/>
      <c r="AD7151" s="500"/>
      <c r="AE7151" s="500"/>
      <c r="AF7151" s="500"/>
      <c r="AG7151" s="500"/>
      <c r="AH7151" s="500"/>
      <c r="AI7151" s="500"/>
      <c r="AJ7151" s="500"/>
      <c r="AK7151" s="500"/>
      <c r="AL7151" s="500"/>
      <c r="AM7151" s="500"/>
      <c r="AN7151" s="500"/>
      <c r="AO7151" s="500"/>
      <c r="AP7151" s="500"/>
    </row>
    <row r="7152" spans="1:42" ht="16.5" customHeight="1">
      <c r="A7152" s="439"/>
      <c r="B7152" s="439"/>
      <c r="C7152" s="439"/>
      <c r="D7152" s="439"/>
      <c r="E7152" s="439"/>
      <c r="F7152" s="439"/>
      <c r="Z7152" s="500"/>
      <c r="AA7152" s="500"/>
      <c r="AB7152" s="500"/>
      <c r="AC7152" s="500"/>
      <c r="AD7152" s="500"/>
      <c r="AE7152" s="500"/>
      <c r="AF7152" s="500"/>
      <c r="AG7152" s="500"/>
      <c r="AH7152" s="500"/>
      <c r="AI7152" s="500"/>
      <c r="AJ7152" s="500"/>
      <c r="AK7152" s="500"/>
      <c r="AL7152" s="500"/>
      <c r="AM7152" s="500"/>
      <c r="AN7152" s="500"/>
      <c r="AO7152" s="500"/>
      <c r="AP7152" s="500"/>
    </row>
    <row r="7153" spans="1:42" ht="16.5" customHeight="1">
      <c r="A7153" s="497"/>
      <c r="B7153" s="497"/>
      <c r="C7153" s="497"/>
      <c r="D7153" s="497"/>
      <c r="E7153" s="497"/>
      <c r="F7153" s="497"/>
      <c r="Z7153" s="500"/>
      <c r="AA7153" s="500"/>
      <c r="AB7153" s="500"/>
      <c r="AC7153" s="500"/>
      <c r="AD7153" s="500"/>
      <c r="AE7153" s="500"/>
      <c r="AF7153" s="500"/>
      <c r="AG7153" s="500"/>
      <c r="AH7153" s="500"/>
      <c r="AI7153" s="500"/>
      <c r="AJ7153" s="500"/>
      <c r="AK7153" s="500"/>
      <c r="AL7153" s="500"/>
      <c r="AM7153" s="500"/>
      <c r="AN7153" s="500"/>
      <c r="AO7153" s="500"/>
      <c r="AP7153" s="500"/>
    </row>
    <row r="7154" spans="1:42" ht="16.5" customHeight="1">
      <c r="A7154" s="616" t="s">
        <v>3487</v>
      </c>
      <c r="B7154" s="605"/>
      <c r="C7154" s="446">
        <f>E7154+D7154+F7154</f>
        <v>1095</v>
      </c>
      <c r="D7154" s="453">
        <f>ROUNDDOWN(SUMIF(N7107:N7119,M7154,D7107:D7119),0)</f>
        <v>1095</v>
      </c>
      <c r="E7154" s="454">
        <f>ROUNDDOWN(SUMIF(N7107:N7119,M7154,E7107:E7119),0)</f>
        <v>0</v>
      </c>
      <c r="F7154" s="446">
        <f>ROUNDDOWN(SUMIF(N7107:N7119,M7154,F7107:F7119),0)</f>
        <v>0</v>
      </c>
      <c r="M7154" s="501" t="s">
        <v>2354</v>
      </c>
      <c r="Z7154" s="500"/>
      <c r="AA7154" s="500"/>
      <c r="AB7154" s="500"/>
      <c r="AC7154" s="500"/>
      <c r="AD7154" s="500"/>
      <c r="AE7154" s="500"/>
      <c r="AF7154" s="500"/>
      <c r="AG7154" s="500"/>
      <c r="AH7154" s="500"/>
      <c r="AI7154" s="500"/>
      <c r="AJ7154" s="500"/>
      <c r="AK7154" s="500"/>
      <c r="AL7154" s="500"/>
      <c r="AM7154" s="500"/>
      <c r="AN7154" s="500"/>
      <c r="AO7154" s="500"/>
      <c r="AP7154" s="500"/>
    </row>
    <row r="7155" spans="1:42" ht="16.5" customHeight="1">
      <c r="A7155" s="502"/>
      <c r="B7155" s="503" t="s">
        <v>3374</v>
      </c>
      <c r="C7155" s="615">
        <f>C7204</f>
        <v>144802</v>
      </c>
      <c r="D7155" s="615">
        <f>D7204</f>
        <v>116356</v>
      </c>
      <c r="E7155" s="615">
        <f>E7204</f>
        <v>10527</v>
      </c>
      <c r="F7155" s="615">
        <f>F7204</f>
        <v>17919</v>
      </c>
      <c r="G7155" s="486" t="str">
        <f>HYPERLINK("#G"&amp;ROW(G7194),"_x0005_`BDCOD|D01300_x0007_`POSS|"&amp;ROW(G7157)&amp;"_x0007_`POSE|"&amp;ROW(G7194)&amp;"_x0007_`")</f>
        <v>_x0005_`BDCOD|D01300_x0007_`POSS|7157_x0007_`POSE|7194_x0007_`</v>
      </c>
      <c r="Z7155" s="500"/>
      <c r="AA7155" s="500"/>
      <c r="AB7155" s="500"/>
      <c r="AC7155" s="500"/>
      <c r="AD7155" s="500"/>
      <c r="AE7155" s="500"/>
      <c r="AF7155" s="500"/>
      <c r="AG7155" s="500"/>
      <c r="AH7155" s="500"/>
      <c r="AI7155" s="500"/>
      <c r="AJ7155" s="500"/>
      <c r="AK7155" s="500"/>
      <c r="AL7155" s="500"/>
      <c r="AM7155" s="500"/>
      <c r="AN7155" s="500"/>
      <c r="AO7155" s="500"/>
      <c r="AP7155" s="500"/>
    </row>
    <row r="7156" spans="1:42" ht="16.5" customHeight="1">
      <c r="A7156" s="485"/>
      <c r="B7156" s="503" t="s">
        <v>4134</v>
      </c>
      <c r="C7156" s="593"/>
      <c r="D7156" s="593"/>
      <c r="E7156" s="593"/>
      <c r="F7156" s="593"/>
      <c r="M7156" s="501" t="s">
        <v>3374</v>
      </c>
      <c r="Z7156" s="500"/>
      <c r="AA7156" s="500"/>
      <c r="AB7156" s="500"/>
      <c r="AC7156" s="500"/>
      <c r="AD7156" s="500"/>
      <c r="AE7156" s="500"/>
      <c r="AF7156" s="500"/>
      <c r="AG7156" s="500"/>
      <c r="AH7156" s="500"/>
      <c r="AI7156" s="500"/>
      <c r="AJ7156" s="500"/>
      <c r="AK7156" s="500"/>
      <c r="AL7156" s="500"/>
      <c r="AM7156" s="500"/>
      <c r="AN7156" s="500"/>
      <c r="AO7156" s="500"/>
      <c r="AP7156" s="500"/>
    </row>
    <row r="7157" spans="1:42" ht="16.5" customHeight="1">
      <c r="A7157" s="439"/>
      <c r="B7157" s="439"/>
      <c r="C7157" s="504"/>
      <c r="D7157" s="504"/>
      <c r="E7157" s="504"/>
      <c r="F7157" s="504"/>
      <c r="G7157" s="451" t="s">
        <v>3406</v>
      </c>
      <c r="Z7157" s="500"/>
      <c r="AA7157" s="500"/>
      <c r="AB7157" s="500"/>
      <c r="AC7157" s="500"/>
      <c r="AD7157" s="500"/>
      <c r="AE7157" s="500"/>
      <c r="AF7157" s="500"/>
      <c r="AG7157" s="500"/>
      <c r="AH7157" s="500"/>
      <c r="AI7157" s="500"/>
      <c r="AJ7157" s="500"/>
      <c r="AK7157" s="500"/>
      <c r="AL7157" s="500"/>
      <c r="AM7157" s="500"/>
      <c r="AN7157" s="500"/>
      <c r="AO7157" s="500"/>
      <c r="AP7157" s="500"/>
    </row>
    <row r="7158" spans="1:42" ht="16.5" customHeight="1">
      <c r="A7158" s="434"/>
      <c r="B7158" s="437" t="s">
        <v>4135</v>
      </c>
      <c r="C7158" s="439"/>
      <c r="D7158" s="439"/>
      <c r="E7158" s="439"/>
      <c r="F7158" s="439"/>
      <c r="G7158" s="451" t="s">
        <v>4136</v>
      </c>
      <c r="Z7158" s="500"/>
      <c r="AA7158" s="500"/>
      <c r="AB7158" s="500"/>
      <c r="AC7158" s="500"/>
      <c r="AD7158" s="500"/>
      <c r="AE7158" s="500"/>
      <c r="AF7158" s="500"/>
      <c r="AG7158" s="500"/>
      <c r="AH7158" s="500"/>
      <c r="AI7158" s="500"/>
      <c r="AJ7158" s="500"/>
      <c r="AK7158" s="500"/>
      <c r="AL7158" s="500"/>
      <c r="AM7158" s="500"/>
      <c r="AN7158" s="500"/>
      <c r="AO7158" s="500"/>
      <c r="AP7158" s="500"/>
    </row>
    <row r="7159" spans="1:42" ht="16.5" customHeight="1">
      <c r="A7159" s="439"/>
      <c r="B7159" s="439"/>
      <c r="C7159" s="439"/>
      <c r="D7159" s="439"/>
      <c r="E7159" s="439"/>
      <c r="F7159" s="439"/>
      <c r="G7159" s="451" t="s">
        <v>3406</v>
      </c>
      <c r="Z7159" s="500"/>
      <c r="AA7159" s="500"/>
      <c r="AB7159" s="500"/>
      <c r="AC7159" s="500"/>
      <c r="AD7159" s="500"/>
      <c r="AE7159" s="500"/>
      <c r="AF7159" s="500"/>
      <c r="AG7159" s="500"/>
      <c r="AH7159" s="500"/>
      <c r="AI7159" s="500"/>
      <c r="AJ7159" s="500"/>
      <c r="AK7159" s="500"/>
      <c r="AL7159" s="500"/>
      <c r="AM7159" s="500"/>
      <c r="AN7159" s="500"/>
      <c r="AO7159" s="500"/>
      <c r="AP7159" s="500"/>
    </row>
    <row r="7160" spans="1:42" ht="16.5" customHeight="1">
      <c r="A7160" s="434"/>
      <c r="B7160" s="437" t="s">
        <v>4137</v>
      </c>
      <c r="C7160" s="439"/>
      <c r="D7160" s="439"/>
      <c r="E7160" s="439"/>
      <c r="F7160" s="439"/>
      <c r="G7160" s="451" t="s">
        <v>4138</v>
      </c>
      <c r="Z7160" s="500"/>
      <c r="AA7160" s="500"/>
      <c r="AB7160" s="500"/>
      <c r="AC7160" s="500"/>
      <c r="AD7160" s="500"/>
      <c r="AE7160" s="500"/>
      <c r="AF7160" s="500"/>
      <c r="AG7160" s="500"/>
      <c r="AH7160" s="500"/>
      <c r="AI7160" s="500"/>
      <c r="AJ7160" s="500"/>
      <c r="AK7160" s="500"/>
      <c r="AL7160" s="500"/>
      <c r="AM7160" s="500"/>
      <c r="AN7160" s="500"/>
      <c r="AO7160" s="500"/>
      <c r="AP7160" s="500"/>
    </row>
    <row r="7161" spans="1:42" ht="16.5" customHeight="1">
      <c r="A7161" s="439"/>
      <c r="B7161" s="439"/>
      <c r="C7161" s="439"/>
      <c r="D7161" s="439"/>
      <c r="E7161" s="439"/>
      <c r="F7161" s="439"/>
      <c r="G7161" s="451" t="s">
        <v>3406</v>
      </c>
      <c r="Z7161" s="500"/>
      <c r="AA7161" s="500"/>
      <c r="AB7161" s="500"/>
      <c r="AC7161" s="500"/>
      <c r="AD7161" s="500"/>
      <c r="AE7161" s="500"/>
      <c r="AF7161" s="500"/>
      <c r="AG7161" s="500"/>
      <c r="AH7161" s="500"/>
      <c r="AI7161" s="500"/>
      <c r="AJ7161" s="500"/>
      <c r="AK7161" s="500"/>
      <c r="AL7161" s="500"/>
      <c r="AM7161" s="500"/>
      <c r="AN7161" s="500"/>
      <c r="AO7161" s="500"/>
      <c r="AP7161" s="500"/>
    </row>
    <row r="7162" spans="1:42" ht="16.5" customHeight="1">
      <c r="A7162" s="434"/>
      <c r="B7162" s="437" t="s">
        <v>4139</v>
      </c>
      <c r="C7162" s="439"/>
      <c r="D7162" s="439"/>
      <c r="E7162" s="439"/>
      <c r="F7162" s="439"/>
      <c r="G7162" s="451" t="s">
        <v>4140</v>
      </c>
      <c r="Z7162" s="500"/>
      <c r="AA7162" s="500"/>
      <c r="AB7162" s="500"/>
      <c r="AC7162" s="500"/>
      <c r="AD7162" s="500"/>
      <c r="AE7162" s="500"/>
      <c r="AF7162" s="500"/>
      <c r="AG7162" s="500"/>
      <c r="AH7162" s="500"/>
      <c r="AI7162" s="500"/>
      <c r="AJ7162" s="500"/>
      <c r="AK7162" s="500"/>
      <c r="AL7162" s="500"/>
      <c r="AM7162" s="500"/>
      <c r="AN7162" s="500"/>
      <c r="AO7162" s="500"/>
      <c r="AP7162" s="500"/>
    </row>
    <row r="7163" spans="1:42" ht="16.5" customHeight="1">
      <c r="A7163" s="439"/>
      <c r="B7163" s="439"/>
      <c r="C7163" s="439"/>
      <c r="D7163" s="439"/>
      <c r="E7163" s="439"/>
      <c r="F7163" s="439"/>
      <c r="G7163" s="451" t="s">
        <v>3413</v>
      </c>
      <c r="Z7163" s="500"/>
      <c r="AA7163" s="500"/>
      <c r="AB7163" s="500"/>
      <c r="AC7163" s="500"/>
      <c r="AD7163" s="500"/>
      <c r="AE7163" s="500"/>
      <c r="AF7163" s="500"/>
      <c r="AG7163" s="500"/>
      <c r="AH7163" s="500"/>
      <c r="AI7163" s="500"/>
      <c r="AJ7163" s="500"/>
      <c r="AK7163" s="500"/>
      <c r="AL7163" s="500"/>
      <c r="AM7163" s="500"/>
      <c r="AN7163" s="500"/>
      <c r="AO7163" s="500"/>
      <c r="AP7163" s="500"/>
    </row>
    <row r="7164" spans="1:42" ht="16.5" customHeight="1">
      <c r="A7164" s="439"/>
      <c r="B7164" s="439"/>
      <c r="C7164" s="439"/>
      <c r="D7164" s="439"/>
      <c r="E7164" s="439"/>
      <c r="F7164" s="439"/>
      <c r="G7164" s="451" t="s">
        <v>3406</v>
      </c>
      <c r="Z7164" s="500"/>
      <c r="AA7164" s="500"/>
      <c r="AB7164" s="500"/>
      <c r="AC7164" s="500"/>
      <c r="AD7164" s="500"/>
      <c r="AE7164" s="500"/>
      <c r="AF7164" s="500"/>
      <c r="AG7164" s="500"/>
      <c r="AH7164" s="500"/>
      <c r="AI7164" s="500"/>
      <c r="AJ7164" s="500"/>
      <c r="AK7164" s="500"/>
      <c r="AL7164" s="500"/>
      <c r="AM7164" s="500"/>
      <c r="AN7164" s="500"/>
      <c r="AO7164" s="500"/>
      <c r="AP7164" s="500"/>
    </row>
    <row r="7165" spans="1:42" ht="16.5" customHeight="1">
      <c r="A7165" s="434"/>
      <c r="B7165" s="437" t="s">
        <v>4141</v>
      </c>
      <c r="C7165" s="439"/>
      <c r="D7165" s="439"/>
      <c r="E7165" s="439"/>
      <c r="F7165" s="439"/>
      <c r="G7165" s="451" t="s">
        <v>4142</v>
      </c>
      <c r="Z7165" s="500"/>
      <c r="AA7165" s="500"/>
      <c r="AB7165" s="500"/>
      <c r="AC7165" s="500"/>
      <c r="AD7165" s="500"/>
      <c r="AE7165" s="500"/>
      <c r="AF7165" s="500"/>
      <c r="AG7165" s="500"/>
      <c r="AH7165" s="500"/>
      <c r="AI7165" s="500"/>
      <c r="AJ7165" s="500"/>
      <c r="AK7165" s="500"/>
      <c r="AL7165" s="500"/>
      <c r="AM7165" s="500"/>
      <c r="AN7165" s="500"/>
      <c r="AO7165" s="500"/>
      <c r="AP7165" s="500"/>
    </row>
    <row r="7166" spans="1:42" ht="16.5" customHeight="1">
      <c r="A7166" s="439"/>
      <c r="B7166" s="439"/>
      <c r="C7166" s="439"/>
      <c r="D7166" s="439"/>
      <c r="E7166" s="439"/>
      <c r="F7166" s="439"/>
      <c r="G7166" s="451" t="s">
        <v>3406</v>
      </c>
      <c r="Z7166" s="500"/>
      <c r="AA7166" s="500"/>
      <c r="AB7166" s="500"/>
      <c r="AC7166" s="500"/>
      <c r="AD7166" s="500"/>
      <c r="AE7166" s="500"/>
      <c r="AF7166" s="500"/>
      <c r="AG7166" s="500"/>
      <c r="AH7166" s="500"/>
      <c r="AI7166" s="500"/>
      <c r="AJ7166" s="500"/>
      <c r="AK7166" s="500"/>
      <c r="AL7166" s="500"/>
      <c r="AM7166" s="500"/>
      <c r="AN7166" s="500"/>
      <c r="AO7166" s="500"/>
      <c r="AP7166" s="500"/>
    </row>
    <row r="7167" spans="1:42" ht="16.5" customHeight="1">
      <c r="A7167" s="434"/>
      <c r="B7167" s="437" t="s">
        <v>4143</v>
      </c>
      <c r="C7167" s="439"/>
      <c r="D7167" s="439"/>
      <c r="E7167" s="439"/>
      <c r="F7167" s="439"/>
      <c r="G7167" s="451" t="s">
        <v>4144</v>
      </c>
      <c r="Z7167" s="500"/>
      <c r="AA7167" s="500"/>
      <c r="AB7167" s="500"/>
      <c r="AC7167" s="500"/>
      <c r="AD7167" s="500"/>
      <c r="AE7167" s="500"/>
      <c r="AF7167" s="500"/>
      <c r="AG7167" s="500"/>
      <c r="AH7167" s="500"/>
      <c r="AI7167" s="500"/>
      <c r="AJ7167" s="500"/>
      <c r="AK7167" s="500"/>
      <c r="AL7167" s="500"/>
      <c r="AM7167" s="500"/>
      <c r="AN7167" s="500"/>
      <c r="AO7167" s="500"/>
      <c r="AP7167" s="500"/>
    </row>
    <row r="7168" spans="1:42" ht="16.5" customHeight="1">
      <c r="A7168" s="439"/>
      <c r="B7168" s="439"/>
      <c r="C7168" s="439"/>
      <c r="D7168" s="439"/>
      <c r="E7168" s="439"/>
      <c r="F7168" s="439"/>
      <c r="G7168" s="451" t="s">
        <v>3783</v>
      </c>
      <c r="Z7168" s="500"/>
      <c r="AA7168" s="500"/>
      <c r="AB7168" s="500"/>
      <c r="AC7168" s="500"/>
      <c r="AD7168" s="500"/>
      <c r="AE7168" s="500"/>
      <c r="AF7168" s="500"/>
      <c r="AG7168" s="500"/>
      <c r="AH7168" s="500"/>
      <c r="AI7168" s="500"/>
      <c r="AJ7168" s="500"/>
      <c r="AK7168" s="500"/>
      <c r="AL7168" s="500"/>
      <c r="AM7168" s="500"/>
      <c r="AN7168" s="500"/>
      <c r="AO7168" s="500"/>
      <c r="AP7168" s="500"/>
    </row>
    <row r="7169" spans="1:42" ht="16.5" customHeight="1">
      <c r="A7169" s="434" t="s">
        <v>3498</v>
      </c>
      <c r="B7169" s="505" t="str">
        <f>"   "&amp;Z7169&amp;" 인  / "&amp;AB7169&amp;" ton  *  조경공 : "&amp;TEXT(I7169,"#,##0"&amp;IF(I7169&lt;&gt;INT(I7169),".###",""))&amp;" = "&amp;TEXT(C7169,"#,##0.0")&amp;""</f>
        <v xml:space="preserve">   1 인  / 13 ton  *  조경공 : 235,204 = 18,092.6</v>
      </c>
      <c r="C7169" s="506">
        <f>E7169+D7169+F7169</f>
        <v>18092.599999999999</v>
      </c>
      <c r="D7169" s="506">
        <f>IF(H7169=0,0,ROUNDDOWN(J7169*H7169,1))</f>
        <v>18092.599999999999</v>
      </c>
      <c r="E7169" s="506">
        <f>IF(H7169=0,0,ROUNDDOWN(K7169*H7169,1))</f>
        <v>0</v>
      </c>
      <c r="F7169" s="506">
        <f>IF(H7169=0,0,ROUNDDOWN(L7169*H7169,1))</f>
        <v>0</v>
      </c>
      <c r="G7169" s="451" t="s">
        <v>4145</v>
      </c>
      <c r="H7169" s="507">
        <f>ROUNDUP(AE7169,14-LEN(ABS(INT(AE7169))))</f>
        <v>7.6923076923100006E-2</v>
      </c>
      <c r="I7169" s="508">
        <f>K7169+J7169+L7169</f>
        <v>235204</v>
      </c>
      <c r="J7169" s="509">
        <f>노무비목록표!E15</f>
        <v>235204</v>
      </c>
      <c r="M7169" s="501" t="s">
        <v>2359</v>
      </c>
      <c r="N7169" s="501" t="s">
        <v>3416</v>
      </c>
      <c r="X7169" s="510" t="str">
        <f>노무비목록표!B15&amp;" / "&amp;노무비목록표!C15</f>
        <v xml:space="preserve">조경공 / </v>
      </c>
      <c r="Y7169" s="433" t="str">
        <f ca="1">HYPERLINK("#"&amp;노무비목록표!G2&amp;"!A"&amp;ROW(노무비목록표!A15),"L00184 →")</f>
        <v>L00184 →</v>
      </c>
      <c r="Z7169" s="515">
        <v>1</v>
      </c>
      <c r="AA7169" s="501" t="s">
        <v>3428</v>
      </c>
      <c r="AB7169" s="515">
        <v>13</v>
      </c>
      <c r="AC7169" s="501" t="s">
        <v>3753</v>
      </c>
      <c r="AD7169" s="501" t="s">
        <v>3418</v>
      </c>
      <c r="AE7169" s="512">
        <f>Z7169/AB7169*1</f>
        <v>7.6923076923076927E-2</v>
      </c>
      <c r="AF7169" s="500"/>
      <c r="AG7169" s="500"/>
      <c r="AH7169" s="500"/>
      <c r="AI7169" s="500"/>
      <c r="AJ7169" s="500"/>
      <c r="AK7169" s="500"/>
      <c r="AL7169" s="500"/>
      <c r="AM7169" s="500"/>
      <c r="AN7169" s="500"/>
      <c r="AO7169" s="500"/>
      <c r="AP7169" s="500"/>
    </row>
    <row r="7170" spans="1:42" ht="16.5" customHeight="1">
      <c r="A7170" s="439"/>
      <c r="B7170" s="439"/>
      <c r="C7170" s="439"/>
      <c r="D7170" s="439"/>
      <c r="E7170" s="439"/>
      <c r="F7170" s="439"/>
      <c r="G7170" s="451" t="s">
        <v>3406</v>
      </c>
      <c r="Z7170" s="500"/>
      <c r="AA7170" s="500"/>
      <c r="AB7170" s="500"/>
      <c r="AC7170" s="500"/>
      <c r="AD7170" s="500"/>
      <c r="AE7170" s="500"/>
      <c r="AF7170" s="500"/>
      <c r="AG7170" s="500"/>
      <c r="AH7170" s="500"/>
      <c r="AI7170" s="500"/>
      <c r="AJ7170" s="500"/>
      <c r="AK7170" s="500"/>
      <c r="AL7170" s="500"/>
      <c r="AM7170" s="500"/>
      <c r="AN7170" s="500"/>
      <c r="AO7170" s="500"/>
      <c r="AP7170" s="500"/>
    </row>
    <row r="7171" spans="1:42" ht="16.5" customHeight="1">
      <c r="A7171" s="439"/>
      <c r="B7171" s="439"/>
      <c r="C7171" s="439"/>
      <c r="D7171" s="439"/>
      <c r="E7171" s="439"/>
      <c r="F7171" s="439"/>
      <c r="G7171" s="451" t="s">
        <v>3406</v>
      </c>
      <c r="Z7171" s="500"/>
      <c r="AA7171" s="500"/>
      <c r="AB7171" s="500"/>
      <c r="AC7171" s="500"/>
      <c r="AD7171" s="500"/>
      <c r="AE7171" s="500"/>
      <c r="AF7171" s="500"/>
      <c r="AG7171" s="500"/>
      <c r="AH7171" s="500"/>
      <c r="AI7171" s="500"/>
      <c r="AJ7171" s="500"/>
      <c r="AK7171" s="500"/>
      <c r="AL7171" s="500"/>
      <c r="AM7171" s="500"/>
      <c r="AN7171" s="500"/>
      <c r="AO7171" s="500"/>
      <c r="AP7171" s="500"/>
    </row>
    <row r="7172" spans="1:42" ht="16.5" customHeight="1">
      <c r="A7172" s="434"/>
      <c r="B7172" s="437" t="s">
        <v>4146</v>
      </c>
      <c r="C7172" s="439"/>
      <c r="D7172" s="439"/>
      <c r="E7172" s="439"/>
      <c r="F7172" s="439"/>
      <c r="G7172" s="451" t="s">
        <v>4147</v>
      </c>
      <c r="Z7172" s="500"/>
      <c r="AA7172" s="500"/>
      <c r="AB7172" s="500"/>
      <c r="AC7172" s="500"/>
      <c r="AD7172" s="500"/>
      <c r="AE7172" s="500"/>
      <c r="AF7172" s="500"/>
      <c r="AG7172" s="500"/>
      <c r="AH7172" s="500"/>
      <c r="AI7172" s="500"/>
      <c r="AJ7172" s="500"/>
      <c r="AK7172" s="500"/>
      <c r="AL7172" s="500"/>
      <c r="AM7172" s="500"/>
      <c r="AN7172" s="500"/>
      <c r="AO7172" s="500"/>
      <c r="AP7172" s="500"/>
    </row>
    <row r="7173" spans="1:42" ht="16.5" customHeight="1">
      <c r="A7173" s="439"/>
      <c r="B7173" s="439"/>
      <c r="C7173" s="439"/>
      <c r="D7173" s="439"/>
      <c r="E7173" s="439"/>
      <c r="F7173" s="439"/>
      <c r="G7173" s="451" t="s">
        <v>3406</v>
      </c>
      <c r="Z7173" s="500"/>
      <c r="AA7173" s="500"/>
      <c r="AB7173" s="500"/>
      <c r="AC7173" s="500"/>
      <c r="AD7173" s="500"/>
      <c r="AE7173" s="500"/>
      <c r="AF7173" s="500"/>
      <c r="AG7173" s="500"/>
      <c r="AH7173" s="500"/>
      <c r="AI7173" s="500"/>
      <c r="AJ7173" s="500"/>
      <c r="AK7173" s="500"/>
      <c r="AL7173" s="500"/>
      <c r="AM7173" s="500"/>
      <c r="AN7173" s="500"/>
      <c r="AO7173" s="500"/>
      <c r="AP7173" s="500"/>
    </row>
    <row r="7174" spans="1:42" ht="16.5" customHeight="1">
      <c r="A7174" s="434" t="s">
        <v>4148</v>
      </c>
      <c r="B7174" s="505" t="str">
        <f>"   "&amp;Z7174&amp;" 인  / "&amp;AB7174&amp;" ton  *  석 공 : "&amp;TEXT(I7174,"#,##0"&amp;IF(I7174&lt;&gt;INT(I7174),".###",""))&amp;"  = "&amp;TEXT(C7174,"#,##0.0")&amp;""</f>
        <v xml:space="preserve">   3 인  / 13 ton  *  석 공 : 268,908  = 62,055.6</v>
      </c>
      <c r="C7174" s="506">
        <f>E7174+D7174+F7174</f>
        <v>62055.6</v>
      </c>
      <c r="D7174" s="506">
        <f>IF(H7174=0,0,ROUNDDOWN(J7174*H7174,1))</f>
        <v>62055.6</v>
      </c>
      <c r="E7174" s="506">
        <f>IF(H7174=0,0,ROUNDDOWN(K7174*H7174,1))</f>
        <v>0</v>
      </c>
      <c r="F7174" s="506">
        <f>IF(H7174=0,0,ROUNDDOWN(L7174*H7174,1))</f>
        <v>0</v>
      </c>
      <c r="G7174" s="451" t="s">
        <v>4149</v>
      </c>
      <c r="H7174" s="507">
        <f>ROUNDUP(AE7174,14-LEN(ABS(INT(AE7174))))</f>
        <v>0.2307692307693</v>
      </c>
      <c r="I7174" s="508">
        <f>K7174+J7174+L7174</f>
        <v>268908</v>
      </c>
      <c r="J7174" s="509">
        <f>노무비목록표!E11</f>
        <v>268908</v>
      </c>
      <c r="M7174" s="501" t="s">
        <v>4150</v>
      </c>
      <c r="N7174" s="501" t="s">
        <v>3416</v>
      </c>
      <c r="X7174" s="510" t="str">
        <f>노무비목록표!B11&amp;" / "&amp;노무비목록표!C11</f>
        <v xml:space="preserve">석공 / </v>
      </c>
      <c r="Y7174" s="433" t="str">
        <f ca="1">HYPERLINK("#"&amp;노무비목록표!G2&amp;"!A"&amp;ROW(노무비목록표!A11),"L00189 →")</f>
        <v>L00189 →</v>
      </c>
      <c r="Z7174" s="515">
        <v>3</v>
      </c>
      <c r="AA7174" s="501" t="s">
        <v>3428</v>
      </c>
      <c r="AB7174" s="515">
        <v>13</v>
      </c>
      <c r="AC7174" s="501" t="s">
        <v>3753</v>
      </c>
      <c r="AD7174" s="501" t="s">
        <v>3418</v>
      </c>
      <c r="AE7174" s="512">
        <f>Z7174/AB7174*1</f>
        <v>0.23076923076923078</v>
      </c>
      <c r="AF7174" s="500"/>
      <c r="AG7174" s="500"/>
      <c r="AH7174" s="500"/>
      <c r="AI7174" s="500"/>
      <c r="AJ7174" s="500"/>
      <c r="AK7174" s="500"/>
      <c r="AL7174" s="500"/>
      <c r="AM7174" s="500"/>
      <c r="AN7174" s="500"/>
      <c r="AO7174" s="500"/>
      <c r="AP7174" s="500"/>
    </row>
    <row r="7175" spans="1:42" ht="16.5" customHeight="1">
      <c r="A7175" s="439"/>
      <c r="B7175" s="439"/>
      <c r="C7175" s="439"/>
      <c r="D7175" s="439"/>
      <c r="E7175" s="439"/>
      <c r="F7175" s="439"/>
      <c r="G7175" s="451" t="s">
        <v>3823</v>
      </c>
      <c r="Z7175" s="500"/>
      <c r="AA7175" s="500"/>
      <c r="AB7175" s="500"/>
      <c r="AC7175" s="500"/>
      <c r="AD7175" s="500"/>
      <c r="AE7175" s="500"/>
      <c r="AF7175" s="500"/>
      <c r="AG7175" s="500"/>
      <c r="AH7175" s="500"/>
      <c r="AI7175" s="500"/>
      <c r="AJ7175" s="500"/>
      <c r="AK7175" s="500"/>
      <c r="AL7175" s="500"/>
      <c r="AM7175" s="500"/>
      <c r="AN7175" s="500"/>
      <c r="AO7175" s="500"/>
      <c r="AP7175" s="500"/>
    </row>
    <row r="7176" spans="1:42" ht="16.5" customHeight="1">
      <c r="A7176" s="439"/>
      <c r="B7176" s="439"/>
      <c r="C7176" s="439"/>
      <c r="D7176" s="439"/>
      <c r="E7176" s="439"/>
      <c r="F7176" s="439"/>
      <c r="G7176" s="451" t="s">
        <v>3406</v>
      </c>
      <c r="Z7176" s="500"/>
      <c r="AA7176" s="500"/>
      <c r="AB7176" s="500"/>
      <c r="AC7176" s="500"/>
      <c r="AD7176" s="500"/>
      <c r="AE7176" s="500"/>
      <c r="AF7176" s="500"/>
      <c r="AG7176" s="500"/>
      <c r="AH7176" s="500"/>
      <c r="AI7176" s="500"/>
      <c r="AJ7176" s="500"/>
      <c r="AK7176" s="500"/>
      <c r="AL7176" s="500"/>
      <c r="AM7176" s="500"/>
      <c r="AN7176" s="500"/>
      <c r="AO7176" s="500"/>
      <c r="AP7176" s="500"/>
    </row>
    <row r="7177" spans="1:42" ht="16.5" customHeight="1">
      <c r="A7177" s="434"/>
      <c r="B7177" s="437" t="s">
        <v>3419</v>
      </c>
      <c r="C7177" s="513">
        <f>E7177+D7177+F7177</f>
        <v>80148.2</v>
      </c>
      <c r="D7177" s="513">
        <f>SUMIF(N7157:N7176,M7177,D7157:D7176)</f>
        <v>80148.2</v>
      </c>
      <c r="E7177" s="513">
        <f>SUMIF(N7157:N7176,M7177,E7157:E7176)</f>
        <v>0</v>
      </c>
      <c r="F7177" s="513">
        <f>SUMIF(N7157:N7176,M7177,F7157:F7176)</f>
        <v>0</v>
      </c>
      <c r="G7177" s="451" t="s">
        <v>3420</v>
      </c>
      <c r="M7177" s="501" t="s">
        <v>3416</v>
      </c>
      <c r="N7177" s="501" t="s">
        <v>3421</v>
      </c>
      <c r="Z7177" s="500"/>
      <c r="AA7177" s="500"/>
      <c r="AB7177" s="500"/>
      <c r="AC7177" s="500"/>
      <c r="AD7177" s="500"/>
      <c r="AE7177" s="500"/>
      <c r="AF7177" s="500"/>
      <c r="AG7177" s="500"/>
      <c r="AH7177" s="500"/>
      <c r="AI7177" s="500"/>
      <c r="AJ7177" s="500"/>
      <c r="AK7177" s="500"/>
      <c r="AL7177" s="500"/>
      <c r="AM7177" s="500"/>
      <c r="AN7177" s="500"/>
      <c r="AO7177" s="500"/>
      <c r="AP7177" s="500"/>
    </row>
    <row r="7178" spans="1:42" ht="16.5" customHeight="1">
      <c r="A7178" s="439"/>
      <c r="B7178" s="439"/>
      <c r="C7178" s="504"/>
      <c r="D7178" s="504"/>
      <c r="E7178" s="504"/>
      <c r="F7178" s="504"/>
      <c r="G7178" s="451" t="s">
        <v>3406</v>
      </c>
      <c r="Z7178" s="500"/>
      <c r="AA7178" s="500"/>
      <c r="AB7178" s="500"/>
      <c r="AC7178" s="500"/>
      <c r="AD7178" s="500"/>
      <c r="AE7178" s="500"/>
      <c r="AF7178" s="500"/>
      <c r="AG7178" s="500"/>
      <c r="AH7178" s="500"/>
      <c r="AI7178" s="500"/>
      <c r="AJ7178" s="500"/>
      <c r="AK7178" s="500"/>
      <c r="AL7178" s="500"/>
      <c r="AM7178" s="500"/>
      <c r="AN7178" s="500"/>
      <c r="AO7178" s="500"/>
      <c r="AP7178" s="500"/>
    </row>
    <row r="7179" spans="1:42" ht="16.5" customHeight="1">
      <c r="A7179" s="439"/>
      <c r="B7179" s="439"/>
      <c r="C7179" s="439"/>
      <c r="D7179" s="439"/>
      <c r="E7179" s="439"/>
      <c r="F7179" s="439"/>
      <c r="G7179" s="451" t="s">
        <v>3406</v>
      </c>
      <c r="Z7179" s="500"/>
      <c r="AA7179" s="500"/>
      <c r="AB7179" s="500"/>
      <c r="AC7179" s="500"/>
      <c r="AD7179" s="500"/>
      <c r="AE7179" s="500"/>
      <c r="AF7179" s="500"/>
      <c r="AG7179" s="500"/>
      <c r="AH7179" s="500"/>
      <c r="AI7179" s="500"/>
      <c r="AJ7179" s="500"/>
      <c r="AK7179" s="500"/>
      <c r="AL7179" s="500"/>
      <c r="AM7179" s="500"/>
      <c r="AN7179" s="500"/>
      <c r="AO7179" s="500"/>
      <c r="AP7179" s="500"/>
    </row>
    <row r="7180" spans="1:42" ht="16.5" customHeight="1">
      <c r="A7180" s="434"/>
      <c r="B7180" s="437" t="s">
        <v>4151</v>
      </c>
      <c r="C7180" s="439"/>
      <c r="D7180" s="439"/>
      <c r="E7180" s="439"/>
      <c r="F7180" s="439"/>
      <c r="G7180" s="451" t="s">
        <v>4152</v>
      </c>
      <c r="Z7180" s="500"/>
      <c r="AA7180" s="500"/>
      <c r="AB7180" s="500"/>
      <c r="AC7180" s="500"/>
      <c r="AD7180" s="500"/>
      <c r="AE7180" s="500"/>
      <c r="AF7180" s="500"/>
      <c r="AG7180" s="500"/>
      <c r="AH7180" s="500"/>
      <c r="AI7180" s="500"/>
      <c r="AJ7180" s="500"/>
      <c r="AK7180" s="500"/>
      <c r="AL7180" s="500"/>
      <c r="AM7180" s="500"/>
      <c r="AN7180" s="500"/>
      <c r="AO7180" s="500"/>
      <c r="AP7180" s="500"/>
    </row>
    <row r="7181" spans="1:42" ht="16.5" customHeight="1">
      <c r="A7181" s="439"/>
      <c r="B7181" s="439"/>
      <c r="C7181" s="439"/>
      <c r="D7181" s="439"/>
      <c r="E7181" s="439"/>
      <c r="F7181" s="439"/>
      <c r="G7181" s="451" t="s">
        <v>3406</v>
      </c>
      <c r="Z7181" s="500"/>
      <c r="AA7181" s="500"/>
      <c r="AB7181" s="500"/>
      <c r="AC7181" s="500"/>
      <c r="AD7181" s="500"/>
      <c r="AE7181" s="500"/>
      <c r="AF7181" s="500"/>
      <c r="AG7181" s="500"/>
      <c r="AH7181" s="500"/>
      <c r="AI7181" s="500"/>
      <c r="AJ7181" s="500"/>
      <c r="AK7181" s="500"/>
      <c r="AL7181" s="500"/>
      <c r="AM7181" s="500"/>
      <c r="AN7181" s="500"/>
      <c r="AO7181" s="500"/>
      <c r="AP7181" s="500"/>
    </row>
    <row r="7182" spans="1:42" ht="16.5" customHeight="1">
      <c r="A7182" s="434"/>
      <c r="B7182" s="437" t="str">
        <f>"  (시간당 작업량) Q = "&amp;Z7182&amp;" ton  / "&amp;AB7182&amp;" = "&amp;AD7182&amp;""</f>
        <v xml:space="preserve">  (시간당 작업량) Q = 13 ton  / 8 = 1.63</v>
      </c>
      <c r="C7182" s="439"/>
      <c r="D7182" s="439"/>
      <c r="E7182" s="439"/>
      <c r="F7182" s="439"/>
      <c r="G7182" s="451" t="s">
        <v>4153</v>
      </c>
      <c r="Z7182" s="515">
        <v>13</v>
      </c>
      <c r="AA7182" s="501" t="s">
        <v>3428</v>
      </c>
      <c r="AB7182" s="515">
        <v>8</v>
      </c>
      <c r="AC7182" s="501" t="s">
        <v>3418</v>
      </c>
      <c r="AD7182" s="512" t="str">
        <f>TEXT(ROUND(Z7182/AB7182,2),"#,0.00")</f>
        <v>1.63</v>
      </c>
      <c r="AE7182" s="500"/>
      <c r="AF7182" s="500"/>
      <c r="AG7182" s="500"/>
      <c r="AH7182" s="500"/>
      <c r="AI7182" s="500"/>
      <c r="AJ7182" s="500"/>
      <c r="AK7182" s="500"/>
      <c r="AL7182" s="500"/>
      <c r="AM7182" s="500"/>
      <c r="AN7182" s="500"/>
      <c r="AO7182" s="500"/>
      <c r="AP7182" s="500"/>
    </row>
    <row r="7183" spans="1:42" ht="16.5" customHeight="1">
      <c r="A7183" s="439"/>
      <c r="B7183" s="439"/>
      <c r="C7183" s="439"/>
      <c r="D7183" s="439"/>
      <c r="E7183" s="439"/>
      <c r="F7183" s="439"/>
      <c r="G7183" s="451" t="s">
        <v>3406</v>
      </c>
      <c r="Z7183" s="500"/>
      <c r="AA7183" s="500"/>
      <c r="AB7183" s="500"/>
      <c r="AC7183" s="500"/>
      <c r="AD7183" s="500"/>
      <c r="AE7183" s="500"/>
      <c r="AF7183" s="500"/>
      <c r="AG7183" s="500"/>
      <c r="AH7183" s="500"/>
      <c r="AI7183" s="500"/>
      <c r="AJ7183" s="500"/>
      <c r="AK7183" s="500"/>
      <c r="AL7183" s="500"/>
      <c r="AM7183" s="500"/>
      <c r="AN7183" s="500"/>
      <c r="AO7183" s="500"/>
      <c r="AP7183" s="500"/>
    </row>
    <row r="7184" spans="1:42" ht="16.5" customHeight="1">
      <c r="A7184" s="434" t="s">
        <v>4154</v>
      </c>
      <c r="B7184" s="505" t="str">
        <f>" 노 무 비 :  "&amp;TEXT(I7184,"#,##0"&amp;IF(I7184&lt;&gt;INT(I7184),".###",""))&amp;" / Q = "&amp;TEXT(C7184,"#,##0.0")&amp;""</f>
        <v xml:space="preserve"> 노 무 비 :  59,020 / Q = 36,208.5</v>
      </c>
      <c r="C7184" s="506">
        <f>E7184+D7184+F7184</f>
        <v>36208.5</v>
      </c>
      <c r="D7184" s="506">
        <f>IF(H7184=0,0,ROUNDDOWN(J7184*H7184,1))</f>
        <v>36208.5</v>
      </c>
      <c r="E7184" s="506">
        <f>IF(H7184=0,0,ROUNDDOWN(K7184*H7184,1))</f>
        <v>0</v>
      </c>
      <c r="F7184" s="506">
        <f>IF(H7184=0,0,ROUNDDOWN(L7184*H7184,1))</f>
        <v>0</v>
      </c>
      <c r="G7184" s="451" t="s">
        <v>4155</v>
      </c>
      <c r="H7184" s="507">
        <f>ROUNDUP(AC7184,14-LEN(ABS(INT(AC7184))))</f>
        <v>0.61349693251540005</v>
      </c>
      <c r="I7184" s="508">
        <f>K7184+J7184+L7184</f>
        <v>59020</v>
      </c>
      <c r="J7184" s="509">
        <f>중기목록표!F9</f>
        <v>59020</v>
      </c>
      <c r="M7184" s="501" t="s">
        <v>4156</v>
      </c>
      <c r="N7184" s="501" t="s">
        <v>3416</v>
      </c>
      <c r="X7184" s="510" t="str">
        <f>중기목록표!B9&amp;" / "&amp;중기목록표!C9</f>
        <v>굴착기(무한궤도) / 0.6㎥,(부착용집게)</v>
      </c>
      <c r="Y7184" s="433" t="str">
        <f ca="1">HYPERLINK("#"&amp;중기목록표!J2&amp;"!A"&amp;ROW(중기목록표!A9),"X00329 →")</f>
        <v>X00329 →</v>
      </c>
      <c r="Z7184" s="501" t="s">
        <v>3434</v>
      </c>
      <c r="AA7184" s="512" t="str">
        <f>AD7182</f>
        <v>1.63</v>
      </c>
      <c r="AB7184" s="501" t="s">
        <v>3418</v>
      </c>
      <c r="AC7184" s="512">
        <f>1/AD7182</f>
        <v>0.61349693251533743</v>
      </c>
      <c r="AD7184" s="500"/>
      <c r="AE7184" s="500"/>
      <c r="AF7184" s="500"/>
      <c r="AG7184" s="500"/>
      <c r="AH7184" s="500"/>
      <c r="AI7184" s="500"/>
      <c r="AJ7184" s="500"/>
      <c r="AK7184" s="500"/>
      <c r="AL7184" s="500"/>
      <c r="AM7184" s="500"/>
      <c r="AN7184" s="500"/>
      <c r="AO7184" s="500"/>
      <c r="AP7184" s="500"/>
    </row>
    <row r="7185" spans="1:42" ht="16.5" customHeight="1">
      <c r="A7185" s="439"/>
      <c r="B7185" s="439"/>
      <c r="C7185" s="439"/>
      <c r="D7185" s="439"/>
      <c r="E7185" s="439"/>
      <c r="F7185" s="439"/>
      <c r="G7185" s="451" t="s">
        <v>3406</v>
      </c>
      <c r="Z7185" s="500"/>
      <c r="AA7185" s="500"/>
      <c r="AB7185" s="500"/>
      <c r="AC7185" s="500"/>
      <c r="AD7185" s="500"/>
      <c r="AE7185" s="500"/>
      <c r="AF7185" s="500"/>
      <c r="AG7185" s="500"/>
      <c r="AH7185" s="500"/>
      <c r="AI7185" s="500"/>
      <c r="AJ7185" s="500"/>
      <c r="AK7185" s="500"/>
      <c r="AL7185" s="500"/>
      <c r="AM7185" s="500"/>
      <c r="AN7185" s="500"/>
      <c r="AO7185" s="500"/>
      <c r="AP7185" s="500"/>
    </row>
    <row r="7186" spans="1:42" ht="16.5" customHeight="1">
      <c r="A7186" s="434" t="s">
        <v>4157</v>
      </c>
      <c r="B7186" s="505" t="str">
        <f>" 재 료 비 :  "&amp;TEXT(I7186,"#,##0"&amp;IF(I7186&lt;&gt;INT(I7186),".###",""))&amp;" / Q = "&amp;TEXT(C7186,"#,##0.0")&amp;""</f>
        <v xml:space="preserve"> 재 료 비 :  17,160 / Q = 10,527.6</v>
      </c>
      <c r="C7186" s="506">
        <f>E7186+D7186+F7186</f>
        <v>10527.6</v>
      </c>
      <c r="D7186" s="506">
        <f>IF(H7186=0,0,ROUNDDOWN(J7186*H7186,1))</f>
        <v>0</v>
      </c>
      <c r="E7186" s="506">
        <f>IF(H7186=0,0,ROUNDDOWN(K7186*H7186,1))</f>
        <v>10527.6</v>
      </c>
      <c r="F7186" s="506">
        <f>IF(H7186=0,0,ROUNDDOWN(L7186*H7186,1))</f>
        <v>0</v>
      </c>
      <c r="G7186" s="451" t="s">
        <v>4158</v>
      </c>
      <c r="H7186" s="507">
        <f>ROUNDUP(AC7186,14-LEN(ABS(INT(AC7186))))</f>
        <v>0.61349693251540005</v>
      </c>
      <c r="I7186" s="508">
        <f>K7186+J7186+L7186</f>
        <v>17160</v>
      </c>
      <c r="K7186" s="509">
        <f>중기목록표!G9</f>
        <v>17160</v>
      </c>
      <c r="M7186" s="501" t="s">
        <v>4156</v>
      </c>
      <c r="N7186" s="501" t="s">
        <v>3416</v>
      </c>
      <c r="X7186" s="510" t="str">
        <f>중기목록표!B9&amp;" / "&amp;중기목록표!C9</f>
        <v>굴착기(무한궤도) / 0.6㎥,(부착용집게)</v>
      </c>
      <c r="Y7186" s="433" t="str">
        <f ca="1">HYPERLINK("#"&amp;중기목록표!J2&amp;"!A"&amp;ROW(중기목록표!A9),"X00329 →")</f>
        <v>X00329 →</v>
      </c>
      <c r="Z7186" s="501" t="s">
        <v>3434</v>
      </c>
      <c r="AA7186" s="512" t="str">
        <f>AD7182</f>
        <v>1.63</v>
      </c>
      <c r="AB7186" s="501" t="s">
        <v>3418</v>
      </c>
      <c r="AC7186" s="512">
        <f>1/AD7182</f>
        <v>0.61349693251533743</v>
      </c>
      <c r="AD7186" s="500"/>
      <c r="AE7186" s="500"/>
      <c r="AF7186" s="500"/>
      <c r="AG7186" s="500"/>
      <c r="AH7186" s="500"/>
      <c r="AI7186" s="500"/>
      <c r="AJ7186" s="500"/>
      <c r="AK7186" s="500"/>
      <c r="AL7186" s="500"/>
      <c r="AM7186" s="500"/>
      <c r="AN7186" s="500"/>
      <c r="AO7186" s="500"/>
      <c r="AP7186" s="500"/>
    </row>
    <row r="7187" spans="1:42" ht="16.5" customHeight="1">
      <c r="A7187" s="439"/>
      <c r="B7187" s="439"/>
      <c r="C7187" s="439"/>
      <c r="D7187" s="439"/>
      <c r="E7187" s="439"/>
      <c r="F7187" s="439"/>
      <c r="G7187" s="451" t="s">
        <v>3406</v>
      </c>
      <c r="Z7187" s="500"/>
      <c r="AA7187" s="500"/>
      <c r="AB7187" s="500"/>
      <c r="AC7187" s="500"/>
      <c r="AD7187" s="500"/>
      <c r="AE7187" s="500"/>
      <c r="AF7187" s="500"/>
      <c r="AG7187" s="500"/>
      <c r="AH7187" s="500"/>
      <c r="AI7187" s="500"/>
      <c r="AJ7187" s="500"/>
      <c r="AK7187" s="500"/>
      <c r="AL7187" s="500"/>
      <c r="AM7187" s="500"/>
      <c r="AN7187" s="500"/>
      <c r="AO7187" s="500"/>
      <c r="AP7187" s="500"/>
    </row>
    <row r="7188" spans="1:42" ht="16.5" customHeight="1">
      <c r="A7188" s="434" t="s">
        <v>4159</v>
      </c>
      <c r="B7188" s="505" t="str">
        <f>" 경    비 :  "&amp;TEXT(I7188,"#,##0"&amp;IF(I7188&lt;&gt;INT(I7188),".###",""))&amp;" / Q = "&amp;TEXT(C7188,"#,##0.0")&amp;""</f>
        <v xml:space="preserve"> 경    비 :  29,209 / Q = 17,919.6</v>
      </c>
      <c r="C7188" s="506">
        <f>E7188+D7188+F7188</f>
        <v>17919.599999999999</v>
      </c>
      <c r="D7188" s="506">
        <f>IF(H7188=0,0,ROUNDDOWN(J7188*H7188,1))</f>
        <v>0</v>
      </c>
      <c r="E7188" s="506">
        <f>IF(H7188=0,0,ROUNDDOWN(K7188*H7188,1))</f>
        <v>0</v>
      </c>
      <c r="F7188" s="506">
        <f>IF(H7188=0,0,ROUNDDOWN(L7188*H7188,1))</f>
        <v>17919.599999999999</v>
      </c>
      <c r="G7188" s="451" t="s">
        <v>4160</v>
      </c>
      <c r="H7188" s="507">
        <f>ROUNDUP(AC7188,14-LEN(ABS(INT(AC7188))))</f>
        <v>0.61349693251540005</v>
      </c>
      <c r="I7188" s="508">
        <f>K7188+J7188+L7188</f>
        <v>29209</v>
      </c>
      <c r="L7188" s="509">
        <f>중기목록표!H9</f>
        <v>29209</v>
      </c>
      <c r="M7188" s="501" t="s">
        <v>4156</v>
      </c>
      <c r="N7188" s="501" t="s">
        <v>3416</v>
      </c>
      <c r="X7188" s="510" t="str">
        <f>중기목록표!B9&amp;" / "&amp;중기목록표!C9</f>
        <v>굴착기(무한궤도) / 0.6㎥,(부착용집게)</v>
      </c>
      <c r="Y7188" s="433" t="str">
        <f ca="1">HYPERLINK("#"&amp;중기목록표!J2&amp;"!A"&amp;ROW(중기목록표!A9),"X00329 →")</f>
        <v>X00329 →</v>
      </c>
      <c r="Z7188" s="501" t="s">
        <v>3434</v>
      </c>
      <c r="AA7188" s="512" t="str">
        <f>AD7182</f>
        <v>1.63</v>
      </c>
      <c r="AB7188" s="501" t="s">
        <v>3418</v>
      </c>
      <c r="AC7188" s="512">
        <f>1/AD7182</f>
        <v>0.61349693251533743</v>
      </c>
      <c r="AD7188" s="500"/>
      <c r="AE7188" s="500"/>
      <c r="AF7188" s="500"/>
      <c r="AG7188" s="500"/>
      <c r="AH7188" s="500"/>
      <c r="AI7188" s="500"/>
      <c r="AJ7188" s="500"/>
      <c r="AK7188" s="500"/>
      <c r="AL7188" s="500"/>
      <c r="AM7188" s="500"/>
      <c r="AN7188" s="500"/>
      <c r="AO7188" s="500"/>
      <c r="AP7188" s="500"/>
    </row>
    <row r="7189" spans="1:42" ht="16.5" customHeight="1">
      <c r="A7189" s="439"/>
      <c r="B7189" s="439"/>
      <c r="C7189" s="439"/>
      <c r="D7189" s="439"/>
      <c r="E7189" s="439"/>
      <c r="F7189" s="439"/>
      <c r="G7189" s="451" t="s">
        <v>3406</v>
      </c>
      <c r="Z7189" s="500"/>
      <c r="AA7189" s="500"/>
      <c r="AB7189" s="500"/>
      <c r="AC7189" s="500"/>
      <c r="AD7189" s="500"/>
      <c r="AE7189" s="500"/>
      <c r="AF7189" s="500"/>
      <c r="AG7189" s="500"/>
      <c r="AH7189" s="500"/>
      <c r="AI7189" s="500"/>
      <c r="AJ7189" s="500"/>
      <c r="AK7189" s="500"/>
      <c r="AL7189" s="500"/>
      <c r="AM7189" s="500"/>
      <c r="AN7189" s="500"/>
      <c r="AO7189" s="500"/>
      <c r="AP7189" s="500"/>
    </row>
    <row r="7190" spans="1:42" ht="16.5" customHeight="1">
      <c r="A7190" s="439"/>
      <c r="B7190" s="439"/>
      <c r="C7190" s="439"/>
      <c r="D7190" s="439"/>
      <c r="E7190" s="439"/>
      <c r="F7190" s="439"/>
      <c r="G7190" s="451" t="s">
        <v>3406</v>
      </c>
      <c r="Z7190" s="500"/>
      <c r="AA7190" s="500"/>
      <c r="AB7190" s="500"/>
      <c r="AC7190" s="500"/>
      <c r="AD7190" s="500"/>
      <c r="AE7190" s="500"/>
      <c r="AF7190" s="500"/>
      <c r="AG7190" s="500"/>
      <c r="AH7190" s="500"/>
      <c r="AI7190" s="500"/>
      <c r="AJ7190" s="500"/>
      <c r="AK7190" s="500"/>
      <c r="AL7190" s="500"/>
      <c r="AM7190" s="500"/>
      <c r="AN7190" s="500"/>
      <c r="AO7190" s="500"/>
      <c r="AP7190" s="500"/>
    </row>
    <row r="7191" spans="1:42" ht="16.5" customHeight="1">
      <c r="A7191" s="434"/>
      <c r="B7191" s="437" t="s">
        <v>3419</v>
      </c>
      <c r="C7191" s="513">
        <f>E7191+D7191+F7191</f>
        <v>64655.7</v>
      </c>
      <c r="D7191" s="513">
        <f>SUMIF(N7178:N7190,M7191,D7178:D7190)</f>
        <v>36208.5</v>
      </c>
      <c r="E7191" s="513">
        <f>SUMIF(N7178:N7190,M7191,E7178:E7190)</f>
        <v>10527.6</v>
      </c>
      <c r="F7191" s="513">
        <f>SUMIF(N7178:N7190,M7191,F7178:F7190)</f>
        <v>17919.599999999999</v>
      </c>
      <c r="G7191" s="451" t="s">
        <v>3420</v>
      </c>
      <c r="M7191" s="501" t="s">
        <v>3416</v>
      </c>
      <c r="N7191" s="501" t="s">
        <v>3421</v>
      </c>
      <c r="Z7191" s="500"/>
      <c r="AA7191" s="500"/>
      <c r="AB7191" s="500"/>
      <c r="AC7191" s="500"/>
      <c r="AD7191" s="500"/>
      <c r="AE7191" s="500"/>
      <c r="AF7191" s="500"/>
      <c r="AG7191" s="500"/>
      <c r="AH7191" s="500"/>
      <c r="AI7191" s="500"/>
      <c r="AJ7191" s="500"/>
      <c r="AK7191" s="500"/>
      <c r="AL7191" s="500"/>
      <c r="AM7191" s="500"/>
      <c r="AN7191" s="500"/>
      <c r="AO7191" s="500"/>
      <c r="AP7191" s="500"/>
    </row>
    <row r="7192" spans="1:42" ht="16.5" customHeight="1">
      <c r="A7192" s="439"/>
      <c r="B7192" s="439"/>
      <c r="C7192" s="504"/>
      <c r="D7192" s="504"/>
      <c r="E7192" s="504"/>
      <c r="F7192" s="504"/>
      <c r="G7192" s="451" t="s">
        <v>3406</v>
      </c>
      <c r="Z7192" s="500"/>
      <c r="AA7192" s="500"/>
      <c r="AB7192" s="500"/>
      <c r="AC7192" s="500"/>
      <c r="AD7192" s="500"/>
      <c r="AE7192" s="500"/>
      <c r="AF7192" s="500"/>
      <c r="AG7192" s="500"/>
      <c r="AH7192" s="500"/>
      <c r="AI7192" s="500"/>
      <c r="AJ7192" s="500"/>
      <c r="AK7192" s="500"/>
      <c r="AL7192" s="500"/>
      <c r="AM7192" s="500"/>
      <c r="AN7192" s="500"/>
      <c r="AO7192" s="500"/>
      <c r="AP7192" s="500"/>
    </row>
    <row r="7193" spans="1:42" ht="16.5" customHeight="1">
      <c r="A7193" s="439"/>
      <c r="B7193" s="439"/>
      <c r="C7193" s="439"/>
      <c r="D7193" s="439"/>
      <c r="E7193" s="439"/>
      <c r="F7193" s="439"/>
      <c r="G7193" s="451" t="s">
        <v>3406</v>
      </c>
      <c r="Z7193" s="500"/>
      <c r="AA7193" s="500"/>
      <c r="AB7193" s="500"/>
      <c r="AC7193" s="500"/>
      <c r="AD7193" s="500"/>
      <c r="AE7193" s="500"/>
      <c r="AF7193" s="500"/>
      <c r="AG7193" s="500"/>
      <c r="AH7193" s="500"/>
      <c r="AI7193" s="500"/>
      <c r="AJ7193" s="500"/>
      <c r="AK7193" s="500"/>
      <c r="AL7193" s="500"/>
      <c r="AM7193" s="500"/>
      <c r="AN7193" s="500"/>
      <c r="AO7193" s="500"/>
      <c r="AP7193" s="500"/>
    </row>
    <row r="7194" spans="1:42" ht="16.5" customHeight="1">
      <c r="A7194" s="434"/>
      <c r="B7194" s="437" t="s">
        <v>3440</v>
      </c>
      <c r="C7194" s="513">
        <f>E7194+D7194+F7194</f>
        <v>144803.9</v>
      </c>
      <c r="D7194" s="513">
        <f>SUMIF(N7157:N7193,M7194,D7157:D7193)</f>
        <v>116356.7</v>
      </c>
      <c r="E7194" s="513">
        <f>SUMIF(N7157:N7193,M7194,E7157:E7193)</f>
        <v>10527.6</v>
      </c>
      <c r="F7194" s="513">
        <f>SUMIF(N7157:N7193,M7194,F7157:F7193)</f>
        <v>17919.599999999999</v>
      </c>
      <c r="G7194" s="451" t="s">
        <v>3484</v>
      </c>
      <c r="M7194" s="501" t="s">
        <v>3421</v>
      </c>
      <c r="N7194" s="501" t="s">
        <v>2354</v>
      </c>
      <c r="Z7194" s="500"/>
      <c r="AA7194" s="500"/>
      <c r="AB7194" s="500"/>
      <c r="AC7194" s="500"/>
      <c r="AD7194" s="500"/>
      <c r="AE7194" s="500"/>
      <c r="AF7194" s="500"/>
      <c r="AG7194" s="500"/>
      <c r="AH7194" s="500"/>
      <c r="AI7194" s="500"/>
      <c r="AJ7194" s="500"/>
      <c r="AK7194" s="500"/>
      <c r="AL7194" s="500"/>
      <c r="AM7194" s="500"/>
      <c r="AN7194" s="500"/>
      <c r="AO7194" s="500"/>
      <c r="AP7194" s="500"/>
    </row>
    <row r="7195" spans="1:42" ht="16.5" customHeight="1">
      <c r="A7195" s="439"/>
      <c r="B7195" s="439"/>
      <c r="C7195" s="504"/>
      <c r="D7195" s="504"/>
      <c r="E7195" s="504"/>
      <c r="F7195" s="504"/>
      <c r="Z7195" s="500"/>
      <c r="AA7195" s="500"/>
      <c r="AB7195" s="500"/>
      <c r="AC7195" s="500"/>
      <c r="AD7195" s="500"/>
      <c r="AE7195" s="500"/>
      <c r="AF7195" s="500"/>
      <c r="AG7195" s="500"/>
      <c r="AH7195" s="500"/>
      <c r="AI7195" s="500"/>
      <c r="AJ7195" s="500"/>
      <c r="AK7195" s="500"/>
      <c r="AL7195" s="500"/>
      <c r="AM7195" s="500"/>
      <c r="AN7195" s="500"/>
      <c r="AO7195" s="500"/>
      <c r="AP7195" s="500"/>
    </row>
    <row r="7196" spans="1:42" ht="16.5" customHeight="1">
      <c r="A7196" s="439"/>
      <c r="B7196" s="439"/>
      <c r="C7196" s="439"/>
      <c r="D7196" s="439"/>
      <c r="E7196" s="439"/>
      <c r="F7196" s="439"/>
      <c r="Z7196" s="500"/>
      <c r="AA7196" s="500"/>
      <c r="AB7196" s="500"/>
      <c r="AC7196" s="500"/>
      <c r="AD7196" s="500"/>
      <c r="AE7196" s="500"/>
      <c r="AF7196" s="500"/>
      <c r="AG7196" s="500"/>
      <c r="AH7196" s="500"/>
      <c r="AI7196" s="500"/>
      <c r="AJ7196" s="500"/>
      <c r="AK7196" s="500"/>
      <c r="AL7196" s="500"/>
      <c r="AM7196" s="500"/>
      <c r="AN7196" s="500"/>
      <c r="AO7196" s="500"/>
      <c r="AP7196" s="500"/>
    </row>
    <row r="7197" spans="1:42" ht="16.5" customHeight="1">
      <c r="A7197" s="439"/>
      <c r="B7197" s="439"/>
      <c r="C7197" s="439"/>
      <c r="D7197" s="439"/>
      <c r="E7197" s="439"/>
      <c r="F7197" s="439"/>
      <c r="Z7197" s="500"/>
      <c r="AA7197" s="500"/>
      <c r="AB7197" s="500"/>
      <c r="AC7197" s="500"/>
      <c r="AD7197" s="500"/>
      <c r="AE7197" s="500"/>
      <c r="AF7197" s="500"/>
      <c r="AG7197" s="500"/>
      <c r="AH7197" s="500"/>
      <c r="AI7197" s="500"/>
      <c r="AJ7197" s="500"/>
      <c r="AK7197" s="500"/>
      <c r="AL7197" s="500"/>
      <c r="AM7197" s="500"/>
      <c r="AN7197" s="500"/>
      <c r="AO7197" s="500"/>
      <c r="AP7197" s="500"/>
    </row>
    <row r="7198" spans="1:42" ht="16.5" customHeight="1">
      <c r="A7198" s="439"/>
      <c r="B7198" s="439"/>
      <c r="C7198" s="439"/>
      <c r="D7198" s="439"/>
      <c r="E7198" s="439"/>
      <c r="F7198" s="439"/>
      <c r="Z7198" s="500"/>
      <c r="AA7198" s="500"/>
      <c r="AB7198" s="500"/>
      <c r="AC7198" s="500"/>
      <c r="AD7198" s="500"/>
      <c r="AE7198" s="500"/>
      <c r="AF7198" s="500"/>
      <c r="AG7198" s="500"/>
      <c r="AH7198" s="500"/>
      <c r="AI7198" s="500"/>
      <c r="AJ7198" s="500"/>
      <c r="AK7198" s="500"/>
      <c r="AL7198" s="500"/>
      <c r="AM7198" s="500"/>
      <c r="AN7198" s="500"/>
      <c r="AO7198" s="500"/>
      <c r="AP7198" s="500"/>
    </row>
    <row r="7199" spans="1:42" ht="16.5" customHeight="1">
      <c r="A7199" s="439"/>
      <c r="B7199" s="439"/>
      <c r="C7199" s="439"/>
      <c r="D7199" s="439"/>
      <c r="E7199" s="439"/>
      <c r="F7199" s="439"/>
      <c r="Z7199" s="500"/>
      <c r="AA7199" s="500"/>
      <c r="AB7199" s="500"/>
      <c r="AC7199" s="500"/>
      <c r="AD7199" s="500"/>
      <c r="AE7199" s="500"/>
      <c r="AF7199" s="500"/>
      <c r="AG7199" s="500"/>
      <c r="AH7199" s="500"/>
      <c r="AI7199" s="500"/>
      <c r="AJ7199" s="500"/>
      <c r="AK7199" s="500"/>
      <c r="AL7199" s="500"/>
      <c r="AM7199" s="500"/>
      <c r="AN7199" s="500"/>
      <c r="AO7199" s="500"/>
      <c r="AP7199" s="500"/>
    </row>
    <row r="7200" spans="1:42" ht="16.5" customHeight="1">
      <c r="A7200" s="439"/>
      <c r="B7200" s="439"/>
      <c r="C7200" s="439"/>
      <c r="D7200" s="439"/>
      <c r="E7200" s="439"/>
      <c r="F7200" s="439"/>
      <c r="Z7200" s="500"/>
      <c r="AA7200" s="500"/>
      <c r="AB7200" s="500"/>
      <c r="AC7200" s="500"/>
      <c r="AD7200" s="500"/>
      <c r="AE7200" s="500"/>
      <c r="AF7200" s="500"/>
      <c r="AG7200" s="500"/>
      <c r="AH7200" s="500"/>
      <c r="AI7200" s="500"/>
      <c r="AJ7200" s="500"/>
      <c r="AK7200" s="500"/>
      <c r="AL7200" s="500"/>
      <c r="AM7200" s="500"/>
      <c r="AN7200" s="500"/>
      <c r="AO7200" s="500"/>
      <c r="AP7200" s="500"/>
    </row>
    <row r="7201" spans="1:42" ht="16.5" customHeight="1">
      <c r="A7201" s="439"/>
      <c r="B7201" s="439"/>
      <c r="C7201" s="439"/>
      <c r="D7201" s="439"/>
      <c r="E7201" s="439"/>
      <c r="F7201" s="439"/>
      <c r="Z7201" s="500"/>
      <c r="AA7201" s="500"/>
      <c r="AB7201" s="500"/>
      <c r="AC7201" s="500"/>
      <c r="AD7201" s="500"/>
      <c r="AE7201" s="500"/>
      <c r="AF7201" s="500"/>
      <c r="AG7201" s="500"/>
      <c r="AH7201" s="500"/>
      <c r="AI7201" s="500"/>
      <c r="AJ7201" s="500"/>
      <c r="AK7201" s="500"/>
      <c r="AL7201" s="500"/>
      <c r="AM7201" s="500"/>
      <c r="AN7201" s="500"/>
      <c r="AO7201" s="500"/>
      <c r="AP7201" s="500"/>
    </row>
    <row r="7202" spans="1:42" ht="16.5" customHeight="1">
      <c r="A7202" s="439"/>
      <c r="B7202" s="439"/>
      <c r="C7202" s="439"/>
      <c r="D7202" s="439"/>
      <c r="E7202" s="439"/>
      <c r="F7202" s="439"/>
      <c r="Z7202" s="500"/>
      <c r="AA7202" s="500"/>
      <c r="AB7202" s="500"/>
      <c r="AC7202" s="500"/>
      <c r="AD7202" s="500"/>
      <c r="AE7202" s="500"/>
      <c r="AF7202" s="500"/>
      <c r="AG7202" s="500"/>
      <c r="AH7202" s="500"/>
      <c r="AI7202" s="500"/>
      <c r="AJ7202" s="500"/>
      <c r="AK7202" s="500"/>
      <c r="AL7202" s="500"/>
      <c r="AM7202" s="500"/>
      <c r="AN7202" s="500"/>
      <c r="AO7202" s="500"/>
      <c r="AP7202" s="500"/>
    </row>
    <row r="7203" spans="1:42" ht="16.5" customHeight="1">
      <c r="A7203" s="497"/>
      <c r="B7203" s="497"/>
      <c r="C7203" s="497"/>
      <c r="D7203" s="497"/>
      <c r="E7203" s="497"/>
      <c r="F7203" s="497"/>
      <c r="Z7203" s="500"/>
      <c r="AA7203" s="500"/>
      <c r="AB7203" s="500"/>
      <c r="AC7203" s="500"/>
      <c r="AD7203" s="500"/>
      <c r="AE7203" s="500"/>
      <c r="AF7203" s="500"/>
      <c r="AG7203" s="500"/>
      <c r="AH7203" s="500"/>
      <c r="AI7203" s="500"/>
      <c r="AJ7203" s="500"/>
      <c r="AK7203" s="500"/>
      <c r="AL7203" s="500"/>
      <c r="AM7203" s="500"/>
      <c r="AN7203" s="500"/>
      <c r="AO7203" s="500"/>
      <c r="AP7203" s="500"/>
    </row>
    <row r="7204" spans="1:42" ht="16.5" customHeight="1">
      <c r="A7204" s="616" t="s">
        <v>3487</v>
      </c>
      <c r="B7204" s="605"/>
      <c r="C7204" s="446">
        <f>E7204+D7204+F7204</f>
        <v>144802</v>
      </c>
      <c r="D7204" s="453">
        <f>ROUNDDOWN(SUMIF(N7157:N7194,M7204,D7157:D7194),0)</f>
        <v>116356</v>
      </c>
      <c r="E7204" s="454">
        <f>ROUNDDOWN(SUMIF(N7157:N7194,M7204,E7157:E7194),0)</f>
        <v>10527</v>
      </c>
      <c r="F7204" s="446">
        <f>ROUNDDOWN(SUMIF(N7157:N7194,M7204,F7157:F7194),0)</f>
        <v>17919</v>
      </c>
      <c r="M7204" s="501" t="s">
        <v>2354</v>
      </c>
      <c r="Z7204" s="500"/>
      <c r="AA7204" s="500"/>
      <c r="AB7204" s="500"/>
      <c r="AC7204" s="500"/>
      <c r="AD7204" s="500"/>
      <c r="AE7204" s="500"/>
      <c r="AF7204" s="500"/>
      <c r="AG7204" s="500"/>
      <c r="AH7204" s="500"/>
      <c r="AI7204" s="500"/>
      <c r="AJ7204" s="500"/>
      <c r="AK7204" s="500"/>
      <c r="AL7204" s="500"/>
      <c r="AM7204" s="500"/>
      <c r="AN7204" s="500"/>
      <c r="AO7204" s="500"/>
      <c r="AP7204" s="500"/>
    </row>
    <row r="7205" spans="1:42" ht="16.5" customHeight="1">
      <c r="A7205" s="502"/>
      <c r="B7205" s="503" t="s">
        <v>1643</v>
      </c>
      <c r="C7205" s="615">
        <f>C7254</f>
        <v>29163</v>
      </c>
      <c r="D7205" s="615">
        <f>D7254</f>
        <v>24391</v>
      </c>
      <c r="E7205" s="615">
        <f>E7254</f>
        <v>2018</v>
      </c>
      <c r="F7205" s="615">
        <f>F7254</f>
        <v>2754</v>
      </c>
      <c r="G7205" s="486" t="str">
        <f>HYPERLINK("#G"&amp;ROW(G7235),"_x0005_`BDCOD|D01299_x0007_`POSS|"&amp;ROW(G7207)&amp;"_x0007_`POSE|"&amp;ROW(G7235)&amp;"_x0007_`")</f>
        <v>_x0005_`BDCOD|D01299_x0007_`POSS|7207_x0007_`POSE|7235_x0007_`</v>
      </c>
      <c r="Z7205" s="500"/>
      <c r="AA7205" s="500"/>
      <c r="AB7205" s="500"/>
      <c r="AC7205" s="500"/>
      <c r="AD7205" s="500"/>
      <c r="AE7205" s="500"/>
      <c r="AF7205" s="500"/>
      <c r="AG7205" s="500"/>
      <c r="AH7205" s="500"/>
      <c r="AI7205" s="500"/>
      <c r="AJ7205" s="500"/>
      <c r="AK7205" s="500"/>
      <c r="AL7205" s="500"/>
      <c r="AM7205" s="500"/>
      <c r="AN7205" s="500"/>
      <c r="AO7205" s="500"/>
      <c r="AP7205" s="500"/>
    </row>
    <row r="7206" spans="1:42" ht="16.5" customHeight="1">
      <c r="A7206" s="485"/>
      <c r="B7206" s="503" t="s">
        <v>4161</v>
      </c>
      <c r="C7206" s="593"/>
      <c r="D7206" s="593"/>
      <c r="E7206" s="593"/>
      <c r="F7206" s="593"/>
      <c r="M7206" s="501" t="s">
        <v>1643</v>
      </c>
      <c r="Z7206" s="500"/>
      <c r="AA7206" s="500"/>
      <c r="AB7206" s="500"/>
      <c r="AC7206" s="500"/>
      <c r="AD7206" s="500"/>
      <c r="AE7206" s="500"/>
      <c r="AF7206" s="500"/>
      <c r="AG7206" s="500"/>
      <c r="AH7206" s="500"/>
      <c r="AI7206" s="500"/>
      <c r="AJ7206" s="500"/>
      <c r="AK7206" s="500"/>
      <c r="AL7206" s="500"/>
      <c r="AM7206" s="500"/>
      <c r="AN7206" s="500"/>
      <c r="AO7206" s="500"/>
      <c r="AP7206" s="500"/>
    </row>
    <row r="7207" spans="1:42" ht="16.5" customHeight="1">
      <c r="A7207" s="439"/>
      <c r="B7207" s="439"/>
      <c r="C7207" s="504"/>
      <c r="D7207" s="504"/>
      <c r="E7207" s="504"/>
      <c r="F7207" s="504"/>
      <c r="G7207" s="451" t="s">
        <v>3406</v>
      </c>
      <c r="Z7207" s="500"/>
      <c r="AA7207" s="500"/>
      <c r="AB7207" s="500"/>
      <c r="AC7207" s="500"/>
      <c r="AD7207" s="500"/>
      <c r="AE7207" s="500"/>
      <c r="AF7207" s="500"/>
      <c r="AG7207" s="500"/>
      <c r="AH7207" s="500"/>
      <c r="AI7207" s="500"/>
      <c r="AJ7207" s="500"/>
      <c r="AK7207" s="500"/>
      <c r="AL7207" s="500"/>
      <c r="AM7207" s="500"/>
      <c r="AN7207" s="500"/>
      <c r="AO7207" s="500"/>
      <c r="AP7207" s="500"/>
    </row>
    <row r="7208" spans="1:42" ht="16.5" customHeight="1">
      <c r="A7208" s="434"/>
      <c r="B7208" s="437" t="s">
        <v>4162</v>
      </c>
      <c r="C7208" s="439"/>
      <c r="D7208" s="439"/>
      <c r="E7208" s="439"/>
      <c r="F7208" s="439"/>
      <c r="G7208" s="451" t="s">
        <v>4163</v>
      </c>
      <c r="Z7208" s="500"/>
      <c r="AA7208" s="500"/>
      <c r="AB7208" s="500"/>
      <c r="AC7208" s="500"/>
      <c r="AD7208" s="500"/>
      <c r="AE7208" s="500"/>
      <c r="AF7208" s="500"/>
      <c r="AG7208" s="500"/>
      <c r="AH7208" s="500"/>
      <c r="AI7208" s="500"/>
      <c r="AJ7208" s="500"/>
      <c r="AK7208" s="500"/>
      <c r="AL7208" s="500"/>
      <c r="AM7208" s="500"/>
      <c r="AN7208" s="500"/>
      <c r="AO7208" s="500"/>
      <c r="AP7208" s="500"/>
    </row>
    <row r="7209" spans="1:42" ht="16.5" customHeight="1">
      <c r="A7209" s="439"/>
      <c r="B7209" s="439"/>
      <c r="C7209" s="439"/>
      <c r="D7209" s="439"/>
      <c r="E7209" s="439"/>
      <c r="F7209" s="439"/>
      <c r="G7209" s="451" t="s">
        <v>3406</v>
      </c>
      <c r="Z7209" s="500"/>
      <c r="AA7209" s="500"/>
      <c r="AB7209" s="500"/>
      <c r="AC7209" s="500"/>
      <c r="AD7209" s="500"/>
      <c r="AE7209" s="500"/>
      <c r="AF7209" s="500"/>
      <c r="AG7209" s="500"/>
      <c r="AH7209" s="500"/>
      <c r="AI7209" s="500"/>
      <c r="AJ7209" s="500"/>
      <c r="AK7209" s="500"/>
      <c r="AL7209" s="500"/>
      <c r="AM7209" s="500"/>
      <c r="AN7209" s="500"/>
      <c r="AO7209" s="500"/>
      <c r="AP7209" s="500"/>
    </row>
    <row r="7210" spans="1:42" ht="16.5" customHeight="1">
      <c r="A7210" s="434"/>
      <c r="B7210" s="437" t="s">
        <v>4164</v>
      </c>
      <c r="C7210" s="439"/>
      <c r="D7210" s="439"/>
      <c r="E7210" s="439"/>
      <c r="F7210" s="439"/>
      <c r="G7210" s="451" t="s">
        <v>4165</v>
      </c>
      <c r="Z7210" s="500"/>
      <c r="AA7210" s="500"/>
      <c r="AB7210" s="500"/>
      <c r="AC7210" s="500"/>
      <c r="AD7210" s="500"/>
      <c r="AE7210" s="500"/>
      <c r="AF7210" s="500"/>
      <c r="AG7210" s="500"/>
      <c r="AH7210" s="500"/>
      <c r="AI7210" s="500"/>
      <c r="AJ7210" s="500"/>
      <c r="AK7210" s="500"/>
      <c r="AL7210" s="500"/>
      <c r="AM7210" s="500"/>
      <c r="AN7210" s="500"/>
      <c r="AO7210" s="500"/>
      <c r="AP7210" s="500"/>
    </row>
    <row r="7211" spans="1:42" ht="16.5" customHeight="1">
      <c r="A7211" s="439"/>
      <c r="B7211" s="439"/>
      <c r="C7211" s="439"/>
      <c r="D7211" s="439"/>
      <c r="E7211" s="439"/>
      <c r="F7211" s="439"/>
      <c r="G7211" s="451" t="s">
        <v>3406</v>
      </c>
      <c r="Z7211" s="500"/>
      <c r="AA7211" s="500"/>
      <c r="AB7211" s="500"/>
      <c r="AC7211" s="500"/>
      <c r="AD7211" s="500"/>
      <c r="AE7211" s="500"/>
      <c r="AF7211" s="500"/>
      <c r="AG7211" s="500"/>
      <c r="AH7211" s="500"/>
      <c r="AI7211" s="500"/>
      <c r="AJ7211" s="500"/>
      <c r="AK7211" s="500"/>
      <c r="AL7211" s="500"/>
      <c r="AM7211" s="500"/>
      <c r="AN7211" s="500"/>
      <c r="AO7211" s="500"/>
      <c r="AP7211" s="500"/>
    </row>
    <row r="7212" spans="1:42" ht="16.5" customHeight="1">
      <c r="A7212" s="434"/>
      <c r="B7212" s="437" t="s">
        <v>4166</v>
      </c>
      <c r="C7212" s="439"/>
      <c r="D7212" s="439"/>
      <c r="E7212" s="439"/>
      <c r="F7212" s="439"/>
      <c r="G7212" s="451" t="s">
        <v>4167</v>
      </c>
      <c r="Z7212" s="500"/>
      <c r="AA7212" s="500"/>
      <c r="AB7212" s="500"/>
      <c r="AC7212" s="500"/>
      <c r="AD7212" s="500"/>
      <c r="AE7212" s="500"/>
      <c r="AF7212" s="500"/>
      <c r="AG7212" s="500"/>
      <c r="AH7212" s="500"/>
      <c r="AI7212" s="500"/>
      <c r="AJ7212" s="500"/>
      <c r="AK7212" s="500"/>
      <c r="AL7212" s="500"/>
      <c r="AM7212" s="500"/>
      <c r="AN7212" s="500"/>
      <c r="AO7212" s="500"/>
      <c r="AP7212" s="500"/>
    </row>
    <row r="7213" spans="1:42" ht="16.5" customHeight="1">
      <c r="A7213" s="439"/>
      <c r="B7213" s="439"/>
      <c r="C7213" s="439"/>
      <c r="D7213" s="439"/>
      <c r="E7213" s="439"/>
      <c r="F7213" s="439"/>
      <c r="G7213" s="451" t="s">
        <v>3413</v>
      </c>
      <c r="Z7213" s="500"/>
      <c r="AA7213" s="500"/>
      <c r="AB7213" s="500"/>
      <c r="AC7213" s="500"/>
      <c r="AD7213" s="500"/>
      <c r="AE7213" s="500"/>
      <c r="AF7213" s="500"/>
      <c r="AG7213" s="500"/>
      <c r="AH7213" s="500"/>
      <c r="AI7213" s="500"/>
      <c r="AJ7213" s="500"/>
      <c r="AK7213" s="500"/>
      <c r="AL7213" s="500"/>
      <c r="AM7213" s="500"/>
      <c r="AN7213" s="500"/>
      <c r="AO7213" s="500"/>
      <c r="AP7213" s="500"/>
    </row>
    <row r="7214" spans="1:42" ht="16.5" customHeight="1">
      <c r="A7214" s="434" t="s">
        <v>3498</v>
      </c>
      <c r="B7214" s="505" t="str">
        <f>"   조경공 : "&amp;TEXT(I7214,"#,##0"&amp;IF(I7214&lt;&gt;INT(I7214),".###",""))&amp;" * "&amp;AA7214&amp;" 인  * "&amp;AC7214&amp;" = "&amp;TEXT(C7214,"#,##0.0")&amp;""</f>
        <v xml:space="preserve">   조경공 : 235,204 * 0.084 인  * 0.2 = 3,951.4</v>
      </c>
      <c r="C7214" s="506">
        <f>E7214+D7214+F7214</f>
        <v>3951.4</v>
      </c>
      <c r="D7214" s="506">
        <f>IF(H7214=0,0,ROUNDDOWN(J7214*H7214,1))</f>
        <v>3951.4</v>
      </c>
      <c r="E7214" s="506">
        <f>IF(H7214=0,0,ROUNDDOWN(K7214*H7214,1))</f>
        <v>0</v>
      </c>
      <c r="F7214" s="506">
        <f>IF(H7214=0,0,ROUNDDOWN(L7214*H7214,1))</f>
        <v>0</v>
      </c>
      <c r="G7214" s="451" t="s">
        <v>4168</v>
      </c>
      <c r="H7214" s="507">
        <f>ROUNDUP(AE7214,14-LEN(ABS(INT(AE7214))))</f>
        <v>1.6799999999999999E-2</v>
      </c>
      <c r="I7214" s="508">
        <f>K7214+J7214+L7214</f>
        <v>235204</v>
      </c>
      <c r="J7214" s="509">
        <f>노무비목록표!E15</f>
        <v>235204</v>
      </c>
      <c r="M7214" s="501" t="s">
        <v>2359</v>
      </c>
      <c r="N7214" s="501" t="s">
        <v>3416</v>
      </c>
      <c r="X7214" s="510" t="str">
        <f>노무비목록표!B15&amp;" / "&amp;노무비목록표!C15</f>
        <v xml:space="preserve">조경공 / </v>
      </c>
      <c r="Y7214" s="433" t="str">
        <f ca="1">HYPERLINK("#"&amp;노무비목록표!G2&amp;"!A"&amp;ROW(노무비목록표!A15),"L00184 →")</f>
        <v>L00184 →</v>
      </c>
      <c r="Z7214" s="501" t="s">
        <v>3500</v>
      </c>
      <c r="AA7214" s="511">
        <v>8.4000000000000005E-2</v>
      </c>
      <c r="AB7214" s="501" t="s">
        <v>3368</v>
      </c>
      <c r="AC7214" s="511">
        <v>0.2</v>
      </c>
      <c r="AD7214" s="501" t="s">
        <v>3418</v>
      </c>
      <c r="AE7214" s="512">
        <f>1*AA7214*AC7214</f>
        <v>1.6800000000000002E-2</v>
      </c>
      <c r="AF7214" s="500"/>
      <c r="AG7214" s="500"/>
      <c r="AH7214" s="500"/>
      <c r="AI7214" s="500"/>
      <c r="AJ7214" s="500"/>
      <c r="AK7214" s="500"/>
      <c r="AL7214" s="500"/>
      <c r="AM7214" s="500"/>
      <c r="AN7214" s="500"/>
      <c r="AO7214" s="500"/>
      <c r="AP7214" s="500"/>
    </row>
    <row r="7215" spans="1:42" ht="16.5" customHeight="1">
      <c r="A7215" s="439"/>
      <c r="B7215" s="439"/>
      <c r="C7215" s="439"/>
      <c r="D7215" s="439"/>
      <c r="E7215" s="439"/>
      <c r="F7215" s="439"/>
      <c r="G7215" s="451" t="s">
        <v>3406</v>
      </c>
      <c r="Z7215" s="500"/>
      <c r="AA7215" s="500"/>
      <c r="AB7215" s="500"/>
      <c r="AC7215" s="500"/>
      <c r="AD7215" s="500"/>
      <c r="AE7215" s="500"/>
      <c r="AF7215" s="500"/>
      <c r="AG7215" s="500"/>
      <c r="AH7215" s="500"/>
      <c r="AI7215" s="500"/>
      <c r="AJ7215" s="500"/>
      <c r="AK7215" s="500"/>
      <c r="AL7215" s="500"/>
      <c r="AM7215" s="500"/>
      <c r="AN7215" s="500"/>
      <c r="AO7215" s="500"/>
      <c r="AP7215" s="500"/>
    </row>
    <row r="7216" spans="1:42" ht="16.5" customHeight="1">
      <c r="A7216" s="434" t="s">
        <v>4148</v>
      </c>
      <c r="B7216" s="505" t="str">
        <f>"   석공 : "&amp;TEXT(I7216,"#,##0"&amp;IF(I7216&lt;&gt;INT(I7216),".###",""))&amp;" * "&amp;AA7216&amp;" 인  * "&amp;AC7216&amp;" = "&amp;TEXT(C7216,"#,##0.0")&amp;""</f>
        <v xml:space="preserve">   석공 : 268,908 * 0.251 인  * 0.2 = 13,499.1</v>
      </c>
      <c r="C7216" s="506">
        <f>E7216+D7216+F7216</f>
        <v>13499.1</v>
      </c>
      <c r="D7216" s="506">
        <f>IF(H7216=0,0,ROUNDDOWN(J7216*H7216,1))</f>
        <v>13499.1</v>
      </c>
      <c r="E7216" s="506">
        <f>IF(H7216=0,0,ROUNDDOWN(K7216*H7216,1))</f>
        <v>0</v>
      </c>
      <c r="F7216" s="506">
        <f>IF(H7216=0,0,ROUNDDOWN(L7216*H7216,1))</f>
        <v>0</v>
      </c>
      <c r="G7216" s="451" t="s">
        <v>4169</v>
      </c>
      <c r="H7216" s="507">
        <f>ROUNDUP(AE7216,14-LEN(ABS(INT(AE7216))))</f>
        <v>5.0200000000000002E-2</v>
      </c>
      <c r="I7216" s="508">
        <f>K7216+J7216+L7216</f>
        <v>268908</v>
      </c>
      <c r="J7216" s="509">
        <f>노무비목록표!E11</f>
        <v>268908</v>
      </c>
      <c r="M7216" s="501" t="s">
        <v>4150</v>
      </c>
      <c r="N7216" s="501" t="s">
        <v>3416</v>
      </c>
      <c r="X7216" s="510" t="str">
        <f>노무비목록표!B11&amp;" / "&amp;노무비목록표!C11</f>
        <v xml:space="preserve">석공 / </v>
      </c>
      <c r="Y7216" s="433" t="str">
        <f ca="1">HYPERLINK("#"&amp;노무비목록표!G2&amp;"!A"&amp;ROW(노무비목록표!A11),"L00189 →")</f>
        <v>L00189 →</v>
      </c>
      <c r="Z7216" s="501" t="s">
        <v>3500</v>
      </c>
      <c r="AA7216" s="511">
        <v>0.251</v>
      </c>
      <c r="AB7216" s="501" t="s">
        <v>3368</v>
      </c>
      <c r="AC7216" s="511">
        <v>0.2</v>
      </c>
      <c r="AD7216" s="501" t="s">
        <v>3418</v>
      </c>
      <c r="AE7216" s="512">
        <f>1*AA7216*AC7216</f>
        <v>5.0200000000000002E-2</v>
      </c>
      <c r="AF7216" s="500"/>
      <c r="AG7216" s="500"/>
      <c r="AH7216" s="500"/>
      <c r="AI7216" s="500"/>
      <c r="AJ7216" s="500"/>
      <c r="AK7216" s="500"/>
      <c r="AL7216" s="500"/>
      <c r="AM7216" s="500"/>
      <c r="AN7216" s="500"/>
      <c r="AO7216" s="500"/>
      <c r="AP7216" s="500"/>
    </row>
    <row r="7217" spans="1:42" ht="16.5" customHeight="1">
      <c r="A7217" s="439"/>
      <c r="B7217" s="439"/>
      <c r="C7217" s="439"/>
      <c r="D7217" s="439"/>
      <c r="E7217" s="439"/>
      <c r="F7217" s="439"/>
      <c r="G7217" s="451" t="s">
        <v>3406</v>
      </c>
      <c r="Z7217" s="500"/>
      <c r="AA7217" s="500"/>
      <c r="AB7217" s="500"/>
      <c r="AC7217" s="500"/>
      <c r="AD7217" s="500"/>
      <c r="AE7217" s="500"/>
      <c r="AF7217" s="500"/>
      <c r="AG7217" s="500"/>
      <c r="AH7217" s="500"/>
      <c r="AI7217" s="500"/>
      <c r="AJ7217" s="500"/>
      <c r="AK7217" s="500"/>
      <c r="AL7217" s="500"/>
      <c r="AM7217" s="500"/>
      <c r="AN7217" s="500"/>
      <c r="AO7217" s="500"/>
      <c r="AP7217" s="500"/>
    </row>
    <row r="7218" spans="1:42" ht="16.5" customHeight="1">
      <c r="A7218" s="439"/>
      <c r="B7218" s="439"/>
      <c r="C7218" s="439"/>
      <c r="D7218" s="439"/>
      <c r="E7218" s="439"/>
      <c r="F7218" s="439"/>
      <c r="G7218" s="451" t="s">
        <v>3406</v>
      </c>
      <c r="Z7218" s="500"/>
      <c r="AA7218" s="500"/>
      <c r="AB7218" s="500"/>
      <c r="AC7218" s="500"/>
      <c r="AD7218" s="500"/>
      <c r="AE7218" s="500"/>
      <c r="AF7218" s="500"/>
      <c r="AG7218" s="500"/>
      <c r="AH7218" s="500"/>
      <c r="AI7218" s="500"/>
      <c r="AJ7218" s="500"/>
      <c r="AK7218" s="500"/>
      <c r="AL7218" s="500"/>
      <c r="AM7218" s="500"/>
      <c r="AN7218" s="500"/>
      <c r="AO7218" s="500"/>
      <c r="AP7218" s="500"/>
    </row>
    <row r="7219" spans="1:42" ht="16.5" customHeight="1">
      <c r="A7219" s="434"/>
      <c r="B7219" s="437" t="s">
        <v>3419</v>
      </c>
      <c r="C7219" s="513">
        <f>E7219+D7219+F7219</f>
        <v>17450.5</v>
      </c>
      <c r="D7219" s="513">
        <f>SUMIF(N7207:N7218,M7219,D7207:D7218)</f>
        <v>17450.5</v>
      </c>
      <c r="E7219" s="513">
        <f>SUMIF(N7207:N7218,M7219,E7207:E7218)</f>
        <v>0</v>
      </c>
      <c r="F7219" s="513">
        <f>SUMIF(N7207:N7218,M7219,F7207:F7218)</f>
        <v>0</v>
      </c>
      <c r="G7219" s="451" t="s">
        <v>3420</v>
      </c>
      <c r="M7219" s="501" t="s">
        <v>3416</v>
      </c>
      <c r="N7219" s="501" t="s">
        <v>3421</v>
      </c>
      <c r="Z7219" s="500"/>
      <c r="AA7219" s="500"/>
      <c r="AB7219" s="500"/>
      <c r="AC7219" s="500"/>
      <c r="AD7219" s="500"/>
      <c r="AE7219" s="500"/>
      <c r="AF7219" s="500"/>
      <c r="AG7219" s="500"/>
      <c r="AH7219" s="500"/>
      <c r="AI7219" s="500"/>
      <c r="AJ7219" s="500"/>
      <c r="AK7219" s="500"/>
      <c r="AL7219" s="500"/>
      <c r="AM7219" s="500"/>
      <c r="AN7219" s="500"/>
      <c r="AO7219" s="500"/>
      <c r="AP7219" s="500"/>
    </row>
    <row r="7220" spans="1:42" ht="16.5" customHeight="1">
      <c r="A7220" s="439"/>
      <c r="B7220" s="439"/>
      <c r="C7220" s="504"/>
      <c r="D7220" s="504"/>
      <c r="E7220" s="504"/>
      <c r="F7220" s="504"/>
      <c r="G7220" s="451" t="s">
        <v>3406</v>
      </c>
      <c r="Z7220" s="500"/>
      <c r="AA7220" s="500"/>
      <c r="AB7220" s="500"/>
      <c r="AC7220" s="500"/>
      <c r="AD7220" s="500"/>
      <c r="AE7220" s="500"/>
      <c r="AF7220" s="500"/>
      <c r="AG7220" s="500"/>
      <c r="AH7220" s="500"/>
      <c r="AI7220" s="500"/>
      <c r="AJ7220" s="500"/>
      <c r="AK7220" s="500"/>
      <c r="AL7220" s="500"/>
      <c r="AM7220" s="500"/>
      <c r="AN7220" s="500"/>
      <c r="AO7220" s="500"/>
      <c r="AP7220" s="500"/>
    </row>
    <row r="7221" spans="1:42" ht="16.5" customHeight="1">
      <c r="A7221" s="439"/>
      <c r="B7221" s="439"/>
      <c r="C7221" s="439"/>
      <c r="D7221" s="439"/>
      <c r="E7221" s="439"/>
      <c r="F7221" s="439"/>
      <c r="G7221" s="451" t="s">
        <v>3406</v>
      </c>
      <c r="Z7221" s="500"/>
      <c r="AA7221" s="500"/>
      <c r="AB7221" s="500"/>
      <c r="AC7221" s="500"/>
      <c r="AD7221" s="500"/>
      <c r="AE7221" s="500"/>
      <c r="AF7221" s="500"/>
      <c r="AG7221" s="500"/>
      <c r="AH7221" s="500"/>
      <c r="AI7221" s="500"/>
      <c r="AJ7221" s="500"/>
      <c r="AK7221" s="500"/>
      <c r="AL7221" s="500"/>
      <c r="AM7221" s="500"/>
      <c r="AN7221" s="500"/>
      <c r="AO7221" s="500"/>
      <c r="AP7221" s="500"/>
    </row>
    <row r="7222" spans="1:42" ht="16.5" customHeight="1">
      <c r="A7222" s="434"/>
      <c r="B7222" s="437" t="s">
        <v>4170</v>
      </c>
      <c r="C7222" s="439"/>
      <c r="D7222" s="439"/>
      <c r="E7222" s="439"/>
      <c r="F7222" s="439"/>
      <c r="G7222" s="451" t="s">
        <v>4171</v>
      </c>
      <c r="Z7222" s="500"/>
      <c r="AA7222" s="500"/>
      <c r="AB7222" s="500"/>
      <c r="AC7222" s="500"/>
      <c r="AD7222" s="500"/>
      <c r="AE7222" s="500"/>
      <c r="AF7222" s="500"/>
      <c r="AG7222" s="500"/>
      <c r="AH7222" s="500"/>
      <c r="AI7222" s="500"/>
      <c r="AJ7222" s="500"/>
      <c r="AK7222" s="500"/>
      <c r="AL7222" s="500"/>
      <c r="AM7222" s="500"/>
      <c r="AN7222" s="500"/>
      <c r="AO7222" s="500"/>
      <c r="AP7222" s="500"/>
    </row>
    <row r="7223" spans="1:42" ht="16.5" customHeight="1">
      <c r="A7223" s="439"/>
      <c r="B7223" s="439"/>
      <c r="C7223" s="439"/>
      <c r="D7223" s="439"/>
      <c r="E7223" s="439"/>
      <c r="F7223" s="439"/>
      <c r="G7223" s="451" t="s">
        <v>3406</v>
      </c>
      <c r="Z7223" s="500"/>
      <c r="AA7223" s="500"/>
      <c r="AB7223" s="500"/>
      <c r="AC7223" s="500"/>
      <c r="AD7223" s="500"/>
      <c r="AE7223" s="500"/>
      <c r="AF7223" s="500"/>
      <c r="AG7223" s="500"/>
      <c r="AH7223" s="500"/>
      <c r="AI7223" s="500"/>
      <c r="AJ7223" s="500"/>
      <c r="AK7223" s="500"/>
      <c r="AL7223" s="500"/>
      <c r="AM7223" s="500"/>
      <c r="AN7223" s="500"/>
      <c r="AO7223" s="500"/>
      <c r="AP7223" s="500"/>
    </row>
    <row r="7224" spans="1:42" ht="16.5" customHeight="1">
      <c r="A7224" s="439"/>
      <c r="B7224" s="439"/>
      <c r="C7224" s="439"/>
      <c r="D7224" s="439"/>
      <c r="E7224" s="439"/>
      <c r="F7224" s="439"/>
      <c r="G7224" s="451" t="s">
        <v>3406</v>
      </c>
      <c r="Z7224" s="500"/>
      <c r="AA7224" s="500"/>
      <c r="AB7224" s="500"/>
      <c r="AC7224" s="500"/>
      <c r="AD7224" s="500"/>
      <c r="AE7224" s="500"/>
      <c r="AF7224" s="500"/>
      <c r="AG7224" s="500"/>
      <c r="AH7224" s="500"/>
      <c r="AI7224" s="500"/>
      <c r="AJ7224" s="500"/>
      <c r="AK7224" s="500"/>
      <c r="AL7224" s="500"/>
      <c r="AM7224" s="500"/>
      <c r="AN7224" s="500"/>
      <c r="AO7224" s="500"/>
      <c r="AP7224" s="500"/>
    </row>
    <row r="7225" spans="1:42" ht="16.5" customHeight="1">
      <c r="A7225" s="434" t="s">
        <v>3576</v>
      </c>
      <c r="B7225" s="505" t="str">
        <f>"   노 무 비 :  "&amp;TEXT(I7225,"#,##0"&amp;IF(I7225&lt;&gt;INT(I7225),".###",""))&amp;" * "&amp;AA7225&amp;" HR  *"&amp;AC7225&amp;" = "&amp;TEXT(C7225,"#,##0.0")&amp;""</f>
        <v xml:space="preserve">   노 무 비 :  59,020 * 0.588 HR  *0.2 = 6,940.7</v>
      </c>
      <c r="C7225" s="506">
        <f>E7225+D7225+F7225</f>
        <v>6940.7</v>
      </c>
      <c r="D7225" s="506">
        <f>IF(H7225=0,0,ROUNDDOWN(J7225*H7225,1))</f>
        <v>6940.7</v>
      </c>
      <c r="E7225" s="506">
        <f>IF(H7225=0,0,ROUNDDOWN(K7225*H7225,1))</f>
        <v>0</v>
      </c>
      <c r="F7225" s="506">
        <f>IF(H7225=0,0,ROUNDDOWN(L7225*H7225,1))</f>
        <v>0</v>
      </c>
      <c r="G7225" s="451" t="s">
        <v>4172</v>
      </c>
      <c r="H7225" s="507">
        <f>ROUNDUP(AE7225,14-LEN(ABS(INT(AE7225))))</f>
        <v>0.1176</v>
      </c>
      <c r="I7225" s="508">
        <f>K7225+J7225+L7225</f>
        <v>59020</v>
      </c>
      <c r="J7225" s="509">
        <f>중기목록표!F8</f>
        <v>59020</v>
      </c>
      <c r="M7225" s="501" t="s">
        <v>3159</v>
      </c>
      <c r="N7225" s="501" t="s">
        <v>3416</v>
      </c>
      <c r="X7225" s="510" t="str">
        <f>중기목록표!B8&amp;" / "&amp;중기목록표!C8</f>
        <v>굴착기(무한궤도) / 0.6㎥</v>
      </c>
      <c r="Y7225" s="433" t="str">
        <f ca="1">HYPERLINK("#"&amp;중기목록표!J2&amp;"!A"&amp;ROW(중기목록표!A8),"X00269 →")</f>
        <v>X00269 →</v>
      </c>
      <c r="Z7225" s="501" t="s">
        <v>3500</v>
      </c>
      <c r="AA7225" s="511">
        <v>0.58799999999999997</v>
      </c>
      <c r="AB7225" s="501" t="s">
        <v>3368</v>
      </c>
      <c r="AC7225" s="511">
        <v>0.2</v>
      </c>
      <c r="AD7225" s="501" t="s">
        <v>3418</v>
      </c>
      <c r="AE7225" s="512">
        <f>1*AA7225*AC7225</f>
        <v>0.1176</v>
      </c>
      <c r="AF7225" s="500"/>
      <c r="AG7225" s="500"/>
      <c r="AH7225" s="500"/>
      <c r="AI7225" s="500"/>
      <c r="AJ7225" s="500"/>
      <c r="AK7225" s="500"/>
      <c r="AL7225" s="500"/>
      <c r="AM7225" s="500"/>
      <c r="AN7225" s="500"/>
      <c r="AO7225" s="500"/>
      <c r="AP7225" s="500"/>
    </row>
    <row r="7226" spans="1:42" ht="16.5" customHeight="1">
      <c r="A7226" s="439"/>
      <c r="B7226" s="439"/>
      <c r="C7226" s="439"/>
      <c r="D7226" s="439"/>
      <c r="E7226" s="439"/>
      <c r="F7226" s="439"/>
      <c r="G7226" s="451" t="s">
        <v>3406</v>
      </c>
      <c r="Z7226" s="500"/>
      <c r="AA7226" s="500"/>
      <c r="AB7226" s="500"/>
      <c r="AC7226" s="500"/>
      <c r="AD7226" s="500"/>
      <c r="AE7226" s="500"/>
      <c r="AF7226" s="500"/>
      <c r="AG7226" s="500"/>
      <c r="AH7226" s="500"/>
      <c r="AI7226" s="500"/>
      <c r="AJ7226" s="500"/>
      <c r="AK7226" s="500"/>
      <c r="AL7226" s="500"/>
      <c r="AM7226" s="500"/>
      <c r="AN7226" s="500"/>
      <c r="AO7226" s="500"/>
      <c r="AP7226" s="500"/>
    </row>
    <row r="7227" spans="1:42" ht="16.5" customHeight="1">
      <c r="A7227" s="434" t="s">
        <v>3578</v>
      </c>
      <c r="B7227" s="505" t="str">
        <f>"   재 료 비 :  "&amp;TEXT(I7227,"#,##0"&amp;IF(I7227&lt;&gt;INT(I7227),".###",""))&amp;" * "&amp;AA7227&amp;" HR  *"&amp;AC7227&amp;" = "&amp;TEXT(C7227,"#,##0.0")&amp;""</f>
        <v xml:space="preserve">   재 료 비 :  17,160 * 0.588 HR  *0.2 = 2,018.0</v>
      </c>
      <c r="C7227" s="506">
        <f>E7227+D7227+F7227</f>
        <v>2018</v>
      </c>
      <c r="D7227" s="506">
        <f>IF(H7227=0,0,ROUNDDOWN(J7227*H7227,1))</f>
        <v>0</v>
      </c>
      <c r="E7227" s="506">
        <f>IF(H7227=0,0,ROUNDDOWN(K7227*H7227,1))</f>
        <v>2018</v>
      </c>
      <c r="F7227" s="506">
        <f>IF(H7227=0,0,ROUNDDOWN(L7227*H7227,1))</f>
        <v>0</v>
      </c>
      <c r="G7227" s="451" t="s">
        <v>4173</v>
      </c>
      <c r="H7227" s="507">
        <f>ROUNDUP(AE7227,14-LEN(ABS(INT(AE7227))))</f>
        <v>0.1176</v>
      </c>
      <c r="I7227" s="508">
        <f>K7227+J7227+L7227</f>
        <v>17160</v>
      </c>
      <c r="K7227" s="509">
        <f>중기목록표!G8</f>
        <v>17160</v>
      </c>
      <c r="M7227" s="501" t="s">
        <v>3159</v>
      </c>
      <c r="N7227" s="501" t="s">
        <v>3416</v>
      </c>
      <c r="X7227" s="510" t="str">
        <f>중기목록표!B8&amp;" / "&amp;중기목록표!C8</f>
        <v>굴착기(무한궤도) / 0.6㎥</v>
      </c>
      <c r="Y7227" s="433" t="str">
        <f ca="1">HYPERLINK("#"&amp;중기목록표!J2&amp;"!A"&amp;ROW(중기목록표!A8),"X00269 →")</f>
        <v>X00269 →</v>
      </c>
      <c r="Z7227" s="501" t="s">
        <v>3500</v>
      </c>
      <c r="AA7227" s="511">
        <v>0.58799999999999997</v>
      </c>
      <c r="AB7227" s="501" t="s">
        <v>3368</v>
      </c>
      <c r="AC7227" s="511">
        <v>0.2</v>
      </c>
      <c r="AD7227" s="501" t="s">
        <v>3418</v>
      </c>
      <c r="AE7227" s="512">
        <f>1*AA7227*AC7227</f>
        <v>0.1176</v>
      </c>
      <c r="AF7227" s="500"/>
      <c r="AG7227" s="500"/>
      <c r="AH7227" s="500"/>
      <c r="AI7227" s="500"/>
      <c r="AJ7227" s="500"/>
      <c r="AK7227" s="500"/>
      <c r="AL7227" s="500"/>
      <c r="AM7227" s="500"/>
      <c r="AN7227" s="500"/>
      <c r="AO7227" s="500"/>
      <c r="AP7227" s="500"/>
    </row>
    <row r="7228" spans="1:42" ht="16.5" customHeight="1">
      <c r="A7228" s="439"/>
      <c r="B7228" s="439"/>
      <c r="C7228" s="439"/>
      <c r="D7228" s="439"/>
      <c r="E7228" s="439"/>
      <c r="F7228" s="439"/>
      <c r="G7228" s="451" t="s">
        <v>3406</v>
      </c>
      <c r="Z7228" s="500"/>
      <c r="AA7228" s="500"/>
      <c r="AB7228" s="500"/>
      <c r="AC7228" s="500"/>
      <c r="AD7228" s="500"/>
      <c r="AE7228" s="500"/>
      <c r="AF7228" s="500"/>
      <c r="AG7228" s="500"/>
      <c r="AH7228" s="500"/>
      <c r="AI7228" s="500"/>
      <c r="AJ7228" s="500"/>
      <c r="AK7228" s="500"/>
      <c r="AL7228" s="500"/>
      <c r="AM7228" s="500"/>
      <c r="AN7228" s="500"/>
      <c r="AO7228" s="500"/>
      <c r="AP7228" s="500"/>
    </row>
    <row r="7229" spans="1:42" ht="16.5" customHeight="1">
      <c r="A7229" s="434" t="s">
        <v>3580</v>
      </c>
      <c r="B7229" s="505" t="str">
        <f>"   경    비 :  "&amp;TEXT(I7229,"#,##0"&amp;IF(I7229&lt;&gt;INT(I7229),".###",""))&amp;" * "&amp;AA7229&amp;" HR  *"&amp;AC7229&amp;" = "&amp;TEXT(C7229,"#,##0.0")&amp;""</f>
        <v xml:space="preserve">   경    비 :  23,423 * 0.588 HR  *0.2 = 2,754.5</v>
      </c>
      <c r="C7229" s="506">
        <f>E7229+D7229+F7229</f>
        <v>2754.5</v>
      </c>
      <c r="D7229" s="506">
        <f>IF(H7229=0,0,ROUNDDOWN(J7229*H7229,1))</f>
        <v>0</v>
      </c>
      <c r="E7229" s="506">
        <f>IF(H7229=0,0,ROUNDDOWN(K7229*H7229,1))</f>
        <v>0</v>
      </c>
      <c r="F7229" s="506">
        <f>IF(H7229=0,0,ROUNDDOWN(L7229*H7229,1))</f>
        <v>2754.5</v>
      </c>
      <c r="G7229" s="451" t="s">
        <v>4174</v>
      </c>
      <c r="H7229" s="507">
        <f>ROUNDUP(AE7229,14-LEN(ABS(INT(AE7229))))</f>
        <v>0.1176</v>
      </c>
      <c r="I7229" s="508">
        <f>K7229+J7229+L7229</f>
        <v>23423</v>
      </c>
      <c r="L7229" s="509">
        <f>중기목록표!H8</f>
        <v>23423</v>
      </c>
      <c r="M7229" s="501" t="s">
        <v>3159</v>
      </c>
      <c r="N7229" s="501" t="s">
        <v>3416</v>
      </c>
      <c r="X7229" s="510" t="str">
        <f>중기목록표!B8&amp;" / "&amp;중기목록표!C8</f>
        <v>굴착기(무한궤도) / 0.6㎥</v>
      </c>
      <c r="Y7229" s="433" t="str">
        <f ca="1">HYPERLINK("#"&amp;중기목록표!J2&amp;"!A"&amp;ROW(중기목록표!A8),"X00269 →")</f>
        <v>X00269 →</v>
      </c>
      <c r="Z7229" s="501" t="s">
        <v>3500</v>
      </c>
      <c r="AA7229" s="511">
        <v>0.58799999999999997</v>
      </c>
      <c r="AB7229" s="501" t="s">
        <v>3368</v>
      </c>
      <c r="AC7229" s="511">
        <v>0.2</v>
      </c>
      <c r="AD7229" s="501" t="s">
        <v>3418</v>
      </c>
      <c r="AE7229" s="512">
        <f>1*AA7229*AC7229</f>
        <v>0.1176</v>
      </c>
      <c r="AF7229" s="500"/>
      <c r="AG7229" s="500"/>
      <c r="AH7229" s="500"/>
      <c r="AI7229" s="500"/>
      <c r="AJ7229" s="500"/>
      <c r="AK7229" s="500"/>
      <c r="AL7229" s="500"/>
      <c r="AM7229" s="500"/>
      <c r="AN7229" s="500"/>
      <c r="AO7229" s="500"/>
      <c r="AP7229" s="500"/>
    </row>
    <row r="7230" spans="1:42" ht="16.5" customHeight="1">
      <c r="A7230" s="439"/>
      <c r="B7230" s="439"/>
      <c r="C7230" s="439"/>
      <c r="D7230" s="439"/>
      <c r="E7230" s="439"/>
      <c r="F7230" s="439"/>
      <c r="G7230" s="451" t="s">
        <v>3406</v>
      </c>
      <c r="Z7230" s="500"/>
      <c r="AA7230" s="500"/>
      <c r="AB7230" s="500"/>
      <c r="AC7230" s="500"/>
      <c r="AD7230" s="500"/>
      <c r="AE7230" s="500"/>
      <c r="AF7230" s="500"/>
      <c r="AG7230" s="500"/>
      <c r="AH7230" s="500"/>
      <c r="AI7230" s="500"/>
      <c r="AJ7230" s="500"/>
      <c r="AK7230" s="500"/>
      <c r="AL7230" s="500"/>
      <c r="AM7230" s="500"/>
      <c r="AN7230" s="500"/>
      <c r="AO7230" s="500"/>
      <c r="AP7230" s="500"/>
    </row>
    <row r="7231" spans="1:42" ht="16.5" customHeight="1">
      <c r="A7231" s="439"/>
      <c r="B7231" s="439"/>
      <c r="C7231" s="439"/>
      <c r="D7231" s="439"/>
      <c r="E7231" s="439"/>
      <c r="F7231" s="439"/>
      <c r="G7231" s="451" t="s">
        <v>3406</v>
      </c>
      <c r="Z7231" s="500"/>
      <c r="AA7231" s="500"/>
      <c r="AB7231" s="500"/>
      <c r="AC7231" s="500"/>
      <c r="AD7231" s="500"/>
      <c r="AE7231" s="500"/>
      <c r="AF7231" s="500"/>
      <c r="AG7231" s="500"/>
      <c r="AH7231" s="500"/>
      <c r="AI7231" s="500"/>
      <c r="AJ7231" s="500"/>
      <c r="AK7231" s="500"/>
      <c r="AL7231" s="500"/>
      <c r="AM7231" s="500"/>
      <c r="AN7231" s="500"/>
      <c r="AO7231" s="500"/>
      <c r="AP7231" s="500"/>
    </row>
    <row r="7232" spans="1:42" ht="16.5" customHeight="1">
      <c r="A7232" s="434"/>
      <c r="B7232" s="437" t="s">
        <v>3419</v>
      </c>
      <c r="C7232" s="513">
        <f>E7232+D7232+F7232</f>
        <v>11713.2</v>
      </c>
      <c r="D7232" s="513">
        <f>SUMIF(N7220:N7231,M7232,D7220:D7231)</f>
        <v>6940.7</v>
      </c>
      <c r="E7232" s="513">
        <f>SUMIF(N7220:N7231,M7232,E7220:E7231)</f>
        <v>2018</v>
      </c>
      <c r="F7232" s="513">
        <f>SUMIF(N7220:N7231,M7232,F7220:F7231)</f>
        <v>2754.5</v>
      </c>
      <c r="G7232" s="451" t="s">
        <v>3420</v>
      </c>
      <c r="M7232" s="501" t="s">
        <v>3416</v>
      </c>
      <c r="N7232" s="501" t="s">
        <v>3421</v>
      </c>
      <c r="Z7232" s="500"/>
      <c r="AA7232" s="500"/>
      <c r="AB7232" s="500"/>
      <c r="AC7232" s="500"/>
      <c r="AD7232" s="500"/>
      <c r="AE7232" s="500"/>
      <c r="AF7232" s="500"/>
      <c r="AG7232" s="500"/>
      <c r="AH7232" s="500"/>
      <c r="AI7232" s="500"/>
      <c r="AJ7232" s="500"/>
      <c r="AK7232" s="500"/>
      <c r="AL7232" s="500"/>
      <c r="AM7232" s="500"/>
      <c r="AN7232" s="500"/>
      <c r="AO7232" s="500"/>
      <c r="AP7232" s="500"/>
    </row>
    <row r="7233" spans="1:42" ht="16.5" customHeight="1">
      <c r="A7233" s="439"/>
      <c r="B7233" s="439"/>
      <c r="C7233" s="504"/>
      <c r="D7233" s="504"/>
      <c r="E7233" s="504"/>
      <c r="F7233" s="504"/>
      <c r="G7233" s="451" t="s">
        <v>3406</v>
      </c>
      <c r="Z7233" s="500"/>
      <c r="AA7233" s="500"/>
      <c r="AB7233" s="500"/>
      <c r="AC7233" s="500"/>
      <c r="AD7233" s="500"/>
      <c r="AE7233" s="500"/>
      <c r="AF7233" s="500"/>
      <c r="AG7233" s="500"/>
      <c r="AH7233" s="500"/>
      <c r="AI7233" s="500"/>
      <c r="AJ7233" s="500"/>
      <c r="AK7233" s="500"/>
      <c r="AL7233" s="500"/>
      <c r="AM7233" s="500"/>
      <c r="AN7233" s="500"/>
      <c r="AO7233" s="500"/>
      <c r="AP7233" s="500"/>
    </row>
    <row r="7234" spans="1:42" ht="16.5" customHeight="1">
      <c r="A7234" s="439"/>
      <c r="B7234" s="439"/>
      <c r="C7234" s="439"/>
      <c r="D7234" s="439"/>
      <c r="E7234" s="439"/>
      <c r="F7234" s="439"/>
      <c r="G7234" s="451" t="s">
        <v>3406</v>
      </c>
      <c r="Z7234" s="500"/>
      <c r="AA7234" s="500"/>
      <c r="AB7234" s="500"/>
      <c r="AC7234" s="500"/>
      <c r="AD7234" s="500"/>
      <c r="AE7234" s="500"/>
      <c r="AF7234" s="500"/>
      <c r="AG7234" s="500"/>
      <c r="AH7234" s="500"/>
      <c r="AI7234" s="500"/>
      <c r="AJ7234" s="500"/>
      <c r="AK7234" s="500"/>
      <c r="AL7234" s="500"/>
      <c r="AM7234" s="500"/>
      <c r="AN7234" s="500"/>
      <c r="AO7234" s="500"/>
      <c r="AP7234" s="500"/>
    </row>
    <row r="7235" spans="1:42" ht="16.5" customHeight="1">
      <c r="A7235" s="434"/>
      <c r="B7235" s="437" t="s">
        <v>3440</v>
      </c>
      <c r="C7235" s="513">
        <f>E7235+D7235+F7235</f>
        <v>29163.7</v>
      </c>
      <c r="D7235" s="513">
        <f>SUMIF(N7207:N7234,M7235,D7207:D7234)</f>
        <v>24391.200000000001</v>
      </c>
      <c r="E7235" s="513">
        <f>SUMIF(N7207:N7234,M7235,E7207:E7234)</f>
        <v>2018</v>
      </c>
      <c r="F7235" s="513">
        <f>SUMIF(N7207:N7234,M7235,F7207:F7234)</f>
        <v>2754.5</v>
      </c>
      <c r="G7235" s="451" t="s">
        <v>3484</v>
      </c>
      <c r="M7235" s="501" t="s">
        <v>3421</v>
      </c>
      <c r="N7235" s="501" t="s">
        <v>2354</v>
      </c>
      <c r="Z7235" s="500"/>
      <c r="AA7235" s="500"/>
      <c r="AB7235" s="500"/>
      <c r="AC7235" s="500"/>
      <c r="AD7235" s="500"/>
      <c r="AE7235" s="500"/>
      <c r="AF7235" s="500"/>
      <c r="AG7235" s="500"/>
      <c r="AH7235" s="500"/>
      <c r="AI7235" s="500"/>
      <c r="AJ7235" s="500"/>
      <c r="AK7235" s="500"/>
      <c r="AL7235" s="500"/>
      <c r="AM7235" s="500"/>
      <c r="AN7235" s="500"/>
      <c r="AO7235" s="500"/>
      <c r="AP7235" s="500"/>
    </row>
    <row r="7236" spans="1:42" ht="16.5" customHeight="1">
      <c r="A7236" s="439"/>
      <c r="B7236" s="439"/>
      <c r="C7236" s="504"/>
      <c r="D7236" s="504"/>
      <c r="E7236" s="504"/>
      <c r="F7236" s="504"/>
      <c r="Z7236" s="500"/>
      <c r="AA7236" s="500"/>
      <c r="AB7236" s="500"/>
      <c r="AC7236" s="500"/>
      <c r="AD7236" s="500"/>
      <c r="AE7236" s="500"/>
      <c r="AF7236" s="500"/>
      <c r="AG7236" s="500"/>
      <c r="AH7236" s="500"/>
      <c r="AI7236" s="500"/>
      <c r="AJ7236" s="500"/>
      <c r="AK7236" s="500"/>
      <c r="AL7236" s="500"/>
      <c r="AM7236" s="500"/>
      <c r="AN7236" s="500"/>
      <c r="AO7236" s="500"/>
      <c r="AP7236" s="500"/>
    </row>
    <row r="7237" spans="1:42" ht="16.5" customHeight="1">
      <c r="A7237" s="439"/>
      <c r="B7237" s="439"/>
      <c r="C7237" s="439"/>
      <c r="D7237" s="439"/>
      <c r="E7237" s="439"/>
      <c r="F7237" s="439"/>
      <c r="Z7237" s="500"/>
      <c r="AA7237" s="500"/>
      <c r="AB7237" s="500"/>
      <c r="AC7237" s="500"/>
      <c r="AD7237" s="500"/>
      <c r="AE7237" s="500"/>
      <c r="AF7237" s="500"/>
      <c r="AG7237" s="500"/>
      <c r="AH7237" s="500"/>
      <c r="AI7237" s="500"/>
      <c r="AJ7237" s="500"/>
      <c r="AK7237" s="500"/>
      <c r="AL7237" s="500"/>
      <c r="AM7237" s="500"/>
      <c r="AN7237" s="500"/>
      <c r="AO7237" s="500"/>
      <c r="AP7237" s="500"/>
    </row>
    <row r="7238" spans="1:42" ht="16.5" customHeight="1">
      <c r="A7238" s="439"/>
      <c r="B7238" s="439"/>
      <c r="C7238" s="439"/>
      <c r="D7238" s="439"/>
      <c r="E7238" s="439"/>
      <c r="F7238" s="439"/>
      <c r="Z7238" s="500"/>
      <c r="AA7238" s="500"/>
      <c r="AB7238" s="500"/>
      <c r="AC7238" s="500"/>
      <c r="AD7238" s="500"/>
      <c r="AE7238" s="500"/>
      <c r="AF7238" s="500"/>
      <c r="AG7238" s="500"/>
      <c r="AH7238" s="500"/>
      <c r="AI7238" s="500"/>
      <c r="AJ7238" s="500"/>
      <c r="AK7238" s="500"/>
      <c r="AL7238" s="500"/>
      <c r="AM7238" s="500"/>
      <c r="AN7238" s="500"/>
      <c r="AO7238" s="500"/>
      <c r="AP7238" s="500"/>
    </row>
    <row r="7239" spans="1:42" ht="16.5" customHeight="1">
      <c r="A7239" s="439"/>
      <c r="B7239" s="439"/>
      <c r="C7239" s="439"/>
      <c r="D7239" s="439"/>
      <c r="E7239" s="439"/>
      <c r="F7239" s="439"/>
      <c r="Z7239" s="500"/>
      <c r="AA7239" s="500"/>
      <c r="AB7239" s="500"/>
      <c r="AC7239" s="500"/>
      <c r="AD7239" s="500"/>
      <c r="AE7239" s="500"/>
      <c r="AF7239" s="500"/>
      <c r="AG7239" s="500"/>
      <c r="AH7239" s="500"/>
      <c r="AI7239" s="500"/>
      <c r="AJ7239" s="500"/>
      <c r="AK7239" s="500"/>
      <c r="AL7239" s="500"/>
      <c r="AM7239" s="500"/>
      <c r="AN7239" s="500"/>
      <c r="AO7239" s="500"/>
      <c r="AP7239" s="500"/>
    </row>
    <row r="7240" spans="1:42" ht="16.5" customHeight="1">
      <c r="A7240" s="439"/>
      <c r="B7240" s="439"/>
      <c r="C7240" s="439"/>
      <c r="D7240" s="439"/>
      <c r="E7240" s="439"/>
      <c r="F7240" s="439"/>
      <c r="Z7240" s="500"/>
      <c r="AA7240" s="500"/>
      <c r="AB7240" s="500"/>
      <c r="AC7240" s="500"/>
      <c r="AD7240" s="500"/>
      <c r="AE7240" s="500"/>
      <c r="AF7240" s="500"/>
      <c r="AG7240" s="500"/>
      <c r="AH7240" s="500"/>
      <c r="AI7240" s="500"/>
      <c r="AJ7240" s="500"/>
      <c r="AK7240" s="500"/>
      <c r="AL7240" s="500"/>
      <c r="AM7240" s="500"/>
      <c r="AN7240" s="500"/>
      <c r="AO7240" s="500"/>
      <c r="AP7240" s="500"/>
    </row>
    <row r="7241" spans="1:42" ht="16.5" customHeight="1">
      <c r="A7241" s="439"/>
      <c r="B7241" s="439"/>
      <c r="C7241" s="439"/>
      <c r="D7241" s="439"/>
      <c r="E7241" s="439"/>
      <c r="F7241" s="439"/>
      <c r="Z7241" s="500"/>
      <c r="AA7241" s="500"/>
      <c r="AB7241" s="500"/>
      <c r="AC7241" s="500"/>
      <c r="AD7241" s="500"/>
      <c r="AE7241" s="500"/>
      <c r="AF7241" s="500"/>
      <c r="AG7241" s="500"/>
      <c r="AH7241" s="500"/>
      <c r="AI7241" s="500"/>
      <c r="AJ7241" s="500"/>
      <c r="AK7241" s="500"/>
      <c r="AL7241" s="500"/>
      <c r="AM7241" s="500"/>
      <c r="AN7241" s="500"/>
      <c r="AO7241" s="500"/>
      <c r="AP7241" s="500"/>
    </row>
    <row r="7242" spans="1:42" ht="16.5" customHeight="1">
      <c r="A7242" s="439"/>
      <c r="B7242" s="439"/>
      <c r="C7242" s="439"/>
      <c r="D7242" s="439"/>
      <c r="E7242" s="439"/>
      <c r="F7242" s="439"/>
      <c r="Z7242" s="500"/>
      <c r="AA7242" s="500"/>
      <c r="AB7242" s="500"/>
      <c r="AC7242" s="500"/>
      <c r="AD7242" s="500"/>
      <c r="AE7242" s="500"/>
      <c r="AF7242" s="500"/>
      <c r="AG7242" s="500"/>
      <c r="AH7242" s="500"/>
      <c r="AI7242" s="500"/>
      <c r="AJ7242" s="500"/>
      <c r="AK7242" s="500"/>
      <c r="AL7242" s="500"/>
      <c r="AM7242" s="500"/>
      <c r="AN7242" s="500"/>
      <c r="AO7242" s="500"/>
      <c r="AP7242" s="500"/>
    </row>
    <row r="7243" spans="1:42" ht="16.5" customHeight="1">
      <c r="A7243" s="439"/>
      <c r="B7243" s="439"/>
      <c r="C7243" s="439"/>
      <c r="D7243" s="439"/>
      <c r="E7243" s="439"/>
      <c r="F7243" s="439"/>
      <c r="Z7243" s="500"/>
      <c r="AA7243" s="500"/>
      <c r="AB7243" s="500"/>
      <c r="AC7243" s="500"/>
      <c r="AD7243" s="500"/>
      <c r="AE7243" s="500"/>
      <c r="AF7243" s="500"/>
      <c r="AG7243" s="500"/>
      <c r="AH7243" s="500"/>
      <c r="AI7243" s="500"/>
      <c r="AJ7243" s="500"/>
      <c r="AK7243" s="500"/>
      <c r="AL7243" s="500"/>
      <c r="AM7243" s="500"/>
      <c r="AN7243" s="500"/>
      <c r="AO7243" s="500"/>
      <c r="AP7243" s="500"/>
    </row>
    <row r="7244" spans="1:42" ht="16.5" customHeight="1">
      <c r="A7244" s="439"/>
      <c r="B7244" s="439"/>
      <c r="C7244" s="439"/>
      <c r="D7244" s="439"/>
      <c r="E7244" s="439"/>
      <c r="F7244" s="439"/>
      <c r="Z7244" s="500"/>
      <c r="AA7244" s="500"/>
      <c r="AB7244" s="500"/>
      <c r="AC7244" s="500"/>
      <c r="AD7244" s="500"/>
      <c r="AE7244" s="500"/>
      <c r="AF7244" s="500"/>
      <c r="AG7244" s="500"/>
      <c r="AH7244" s="500"/>
      <c r="AI7244" s="500"/>
      <c r="AJ7244" s="500"/>
      <c r="AK7244" s="500"/>
      <c r="AL7244" s="500"/>
      <c r="AM7244" s="500"/>
      <c r="AN7244" s="500"/>
      <c r="AO7244" s="500"/>
      <c r="AP7244" s="500"/>
    </row>
    <row r="7245" spans="1:42" ht="16.5" customHeight="1">
      <c r="A7245" s="439"/>
      <c r="B7245" s="439"/>
      <c r="C7245" s="439"/>
      <c r="D7245" s="439"/>
      <c r="E7245" s="439"/>
      <c r="F7245" s="439"/>
      <c r="Z7245" s="500"/>
      <c r="AA7245" s="500"/>
      <c r="AB7245" s="500"/>
      <c r="AC7245" s="500"/>
      <c r="AD7245" s="500"/>
      <c r="AE7245" s="500"/>
      <c r="AF7245" s="500"/>
      <c r="AG7245" s="500"/>
      <c r="AH7245" s="500"/>
      <c r="AI7245" s="500"/>
      <c r="AJ7245" s="500"/>
      <c r="AK7245" s="500"/>
      <c r="AL7245" s="500"/>
      <c r="AM7245" s="500"/>
      <c r="AN7245" s="500"/>
      <c r="AO7245" s="500"/>
      <c r="AP7245" s="500"/>
    </row>
    <row r="7246" spans="1:42" ht="16.5" customHeight="1">
      <c r="A7246" s="439"/>
      <c r="B7246" s="439"/>
      <c r="C7246" s="439"/>
      <c r="D7246" s="439"/>
      <c r="E7246" s="439"/>
      <c r="F7246" s="439"/>
      <c r="Z7246" s="500"/>
      <c r="AA7246" s="500"/>
      <c r="AB7246" s="500"/>
      <c r="AC7246" s="500"/>
      <c r="AD7246" s="500"/>
      <c r="AE7246" s="500"/>
      <c r="AF7246" s="500"/>
      <c r="AG7246" s="500"/>
      <c r="AH7246" s="500"/>
      <c r="AI7246" s="500"/>
      <c r="AJ7246" s="500"/>
      <c r="AK7246" s="500"/>
      <c r="AL7246" s="500"/>
      <c r="AM7246" s="500"/>
      <c r="AN7246" s="500"/>
      <c r="AO7246" s="500"/>
      <c r="AP7246" s="500"/>
    </row>
    <row r="7247" spans="1:42" ht="16.5" customHeight="1">
      <c r="A7247" s="439"/>
      <c r="B7247" s="439"/>
      <c r="C7247" s="439"/>
      <c r="D7247" s="439"/>
      <c r="E7247" s="439"/>
      <c r="F7247" s="439"/>
      <c r="Z7247" s="500"/>
      <c r="AA7247" s="500"/>
      <c r="AB7247" s="500"/>
      <c r="AC7247" s="500"/>
      <c r="AD7247" s="500"/>
      <c r="AE7247" s="500"/>
      <c r="AF7247" s="500"/>
      <c r="AG7247" s="500"/>
      <c r="AH7247" s="500"/>
      <c r="AI7247" s="500"/>
      <c r="AJ7247" s="500"/>
      <c r="AK7247" s="500"/>
      <c r="AL7247" s="500"/>
      <c r="AM7247" s="500"/>
      <c r="AN7247" s="500"/>
      <c r="AO7247" s="500"/>
      <c r="AP7247" s="500"/>
    </row>
    <row r="7248" spans="1:42" ht="16.5" customHeight="1">
      <c r="A7248" s="439"/>
      <c r="B7248" s="439"/>
      <c r="C7248" s="439"/>
      <c r="D7248" s="439"/>
      <c r="E7248" s="439"/>
      <c r="F7248" s="439"/>
      <c r="Z7248" s="500"/>
      <c r="AA7248" s="500"/>
      <c r="AB7248" s="500"/>
      <c r="AC7248" s="500"/>
      <c r="AD7248" s="500"/>
      <c r="AE7248" s="500"/>
      <c r="AF7248" s="500"/>
      <c r="AG7248" s="500"/>
      <c r="AH7248" s="500"/>
      <c r="AI7248" s="500"/>
      <c r="AJ7248" s="500"/>
      <c r="AK7248" s="500"/>
      <c r="AL7248" s="500"/>
      <c r="AM7248" s="500"/>
      <c r="AN7248" s="500"/>
      <c r="AO7248" s="500"/>
      <c r="AP7248" s="500"/>
    </row>
    <row r="7249" spans="1:42" ht="16.5" customHeight="1">
      <c r="A7249" s="439"/>
      <c r="B7249" s="439"/>
      <c r="C7249" s="439"/>
      <c r="D7249" s="439"/>
      <c r="E7249" s="439"/>
      <c r="F7249" s="439"/>
      <c r="Z7249" s="500"/>
      <c r="AA7249" s="500"/>
      <c r="AB7249" s="500"/>
      <c r="AC7249" s="500"/>
      <c r="AD7249" s="500"/>
      <c r="AE7249" s="500"/>
      <c r="AF7249" s="500"/>
      <c r="AG7249" s="500"/>
      <c r="AH7249" s="500"/>
      <c r="AI7249" s="500"/>
      <c r="AJ7249" s="500"/>
      <c r="AK7249" s="500"/>
      <c r="AL7249" s="500"/>
      <c r="AM7249" s="500"/>
      <c r="AN7249" s="500"/>
      <c r="AO7249" s="500"/>
      <c r="AP7249" s="500"/>
    </row>
    <row r="7250" spans="1:42" ht="16.5" customHeight="1">
      <c r="A7250" s="439"/>
      <c r="B7250" s="439"/>
      <c r="C7250" s="439"/>
      <c r="D7250" s="439"/>
      <c r="E7250" s="439"/>
      <c r="F7250" s="439"/>
      <c r="Z7250" s="500"/>
      <c r="AA7250" s="500"/>
      <c r="AB7250" s="500"/>
      <c r="AC7250" s="500"/>
      <c r="AD7250" s="500"/>
      <c r="AE7250" s="500"/>
      <c r="AF7250" s="500"/>
      <c r="AG7250" s="500"/>
      <c r="AH7250" s="500"/>
      <c r="AI7250" s="500"/>
      <c r="AJ7250" s="500"/>
      <c r="AK7250" s="500"/>
      <c r="AL7250" s="500"/>
      <c r="AM7250" s="500"/>
      <c r="AN7250" s="500"/>
      <c r="AO7250" s="500"/>
      <c r="AP7250" s="500"/>
    </row>
    <row r="7251" spans="1:42" ht="16.5" customHeight="1">
      <c r="A7251" s="439"/>
      <c r="B7251" s="439"/>
      <c r="C7251" s="439"/>
      <c r="D7251" s="439"/>
      <c r="E7251" s="439"/>
      <c r="F7251" s="439"/>
      <c r="Z7251" s="500"/>
      <c r="AA7251" s="500"/>
      <c r="AB7251" s="500"/>
      <c r="AC7251" s="500"/>
      <c r="AD7251" s="500"/>
      <c r="AE7251" s="500"/>
      <c r="AF7251" s="500"/>
      <c r="AG7251" s="500"/>
      <c r="AH7251" s="500"/>
      <c r="AI7251" s="500"/>
      <c r="AJ7251" s="500"/>
      <c r="AK7251" s="500"/>
      <c r="AL7251" s="500"/>
      <c r="AM7251" s="500"/>
      <c r="AN7251" s="500"/>
      <c r="AO7251" s="500"/>
      <c r="AP7251" s="500"/>
    </row>
    <row r="7252" spans="1:42" ht="16.5" customHeight="1">
      <c r="A7252" s="439"/>
      <c r="B7252" s="439"/>
      <c r="C7252" s="439"/>
      <c r="D7252" s="439"/>
      <c r="E7252" s="439"/>
      <c r="F7252" s="439"/>
      <c r="Z7252" s="500"/>
      <c r="AA7252" s="500"/>
      <c r="AB7252" s="500"/>
      <c r="AC7252" s="500"/>
      <c r="AD7252" s="500"/>
      <c r="AE7252" s="500"/>
      <c r="AF7252" s="500"/>
      <c r="AG7252" s="500"/>
      <c r="AH7252" s="500"/>
      <c r="AI7252" s="500"/>
      <c r="AJ7252" s="500"/>
      <c r="AK7252" s="500"/>
      <c r="AL7252" s="500"/>
      <c r="AM7252" s="500"/>
      <c r="AN7252" s="500"/>
      <c r="AO7252" s="500"/>
      <c r="AP7252" s="500"/>
    </row>
    <row r="7253" spans="1:42" ht="16.5" customHeight="1">
      <c r="A7253" s="497"/>
      <c r="B7253" s="497"/>
      <c r="C7253" s="497"/>
      <c r="D7253" s="497"/>
      <c r="E7253" s="497"/>
      <c r="F7253" s="497"/>
      <c r="Z7253" s="500"/>
      <c r="AA7253" s="500"/>
      <c r="AB7253" s="500"/>
      <c r="AC7253" s="500"/>
      <c r="AD7253" s="500"/>
      <c r="AE7253" s="500"/>
      <c r="AF7253" s="500"/>
      <c r="AG7253" s="500"/>
      <c r="AH7253" s="500"/>
      <c r="AI7253" s="500"/>
      <c r="AJ7253" s="500"/>
      <c r="AK7253" s="500"/>
      <c r="AL7253" s="500"/>
      <c r="AM7253" s="500"/>
      <c r="AN7253" s="500"/>
      <c r="AO7253" s="500"/>
      <c r="AP7253" s="500"/>
    </row>
    <row r="7254" spans="1:42" ht="16.5" customHeight="1">
      <c r="A7254" s="616" t="s">
        <v>3487</v>
      </c>
      <c r="B7254" s="605"/>
      <c r="C7254" s="446">
        <f>E7254+D7254+F7254</f>
        <v>29163</v>
      </c>
      <c r="D7254" s="453">
        <f>ROUNDDOWN(SUMIF(N7207:N7235,M7254,D7207:D7235),0)</f>
        <v>24391</v>
      </c>
      <c r="E7254" s="454">
        <f>ROUNDDOWN(SUMIF(N7207:N7235,M7254,E7207:E7235),0)</f>
        <v>2018</v>
      </c>
      <c r="F7254" s="446">
        <f>ROUNDDOWN(SUMIF(N7207:N7235,M7254,F7207:F7235),0)</f>
        <v>2754</v>
      </c>
      <c r="M7254" s="501" t="s">
        <v>2354</v>
      </c>
      <c r="Z7254" s="500"/>
      <c r="AA7254" s="500"/>
      <c r="AB7254" s="500"/>
      <c r="AC7254" s="500"/>
      <c r="AD7254" s="500"/>
      <c r="AE7254" s="500"/>
      <c r="AF7254" s="500"/>
      <c r="AG7254" s="500"/>
      <c r="AH7254" s="500"/>
      <c r="AI7254" s="500"/>
      <c r="AJ7254" s="500"/>
      <c r="AK7254" s="500"/>
      <c r="AL7254" s="500"/>
      <c r="AM7254" s="500"/>
      <c r="AN7254" s="500"/>
      <c r="AO7254" s="500"/>
      <c r="AP7254" s="500"/>
    </row>
    <row r="7255" spans="1:42" ht="16.5" customHeight="1">
      <c r="A7255" s="502" t="s">
        <v>3376</v>
      </c>
      <c r="B7255" s="503" t="s">
        <v>3375</v>
      </c>
      <c r="C7255" s="615">
        <f>C7304</f>
        <v>5432</v>
      </c>
      <c r="D7255" s="615">
        <f>D7304</f>
        <v>5432</v>
      </c>
      <c r="E7255" s="615">
        <f>E7304</f>
        <v>0</v>
      </c>
      <c r="F7255" s="615">
        <f>F7304</f>
        <v>0</v>
      </c>
      <c r="G7255" s="486" t="str">
        <f>HYPERLINK("#G"&amp;ROW(G7272),"_x0005_`BDCOD|D01216_x0007_`POSS|"&amp;ROW(G7257)&amp;"_x0007_`POSE|"&amp;ROW(G7272)&amp;"_x0007_`")</f>
        <v>_x0005_`BDCOD|D01216_x0007_`POSS|7257_x0007_`POSE|7272_x0007_`</v>
      </c>
      <c r="Z7255" s="500"/>
      <c r="AA7255" s="500"/>
      <c r="AB7255" s="500"/>
      <c r="AC7255" s="500"/>
      <c r="AD7255" s="500"/>
      <c r="AE7255" s="500"/>
      <c r="AF7255" s="500"/>
      <c r="AG7255" s="500"/>
      <c r="AH7255" s="500"/>
      <c r="AI7255" s="500"/>
      <c r="AJ7255" s="500"/>
      <c r="AK7255" s="500"/>
      <c r="AL7255" s="500"/>
      <c r="AM7255" s="500"/>
      <c r="AN7255" s="500"/>
      <c r="AO7255" s="500"/>
      <c r="AP7255" s="500"/>
    </row>
    <row r="7256" spans="1:42" ht="16.5" customHeight="1">
      <c r="A7256" s="485"/>
      <c r="B7256" s="503" t="s">
        <v>4175</v>
      </c>
      <c r="C7256" s="593"/>
      <c r="D7256" s="593"/>
      <c r="E7256" s="593"/>
      <c r="F7256" s="593"/>
      <c r="M7256" s="501" t="s">
        <v>3375</v>
      </c>
      <c r="Z7256" s="500"/>
      <c r="AA7256" s="500"/>
      <c r="AB7256" s="500"/>
      <c r="AC7256" s="500"/>
      <c r="AD7256" s="500"/>
      <c r="AE7256" s="500"/>
      <c r="AF7256" s="500"/>
      <c r="AG7256" s="500"/>
      <c r="AH7256" s="500"/>
      <c r="AI7256" s="500"/>
      <c r="AJ7256" s="500"/>
      <c r="AK7256" s="500"/>
      <c r="AL7256" s="500"/>
      <c r="AM7256" s="500"/>
      <c r="AN7256" s="500"/>
      <c r="AO7256" s="500"/>
      <c r="AP7256" s="500"/>
    </row>
    <row r="7257" spans="1:42" ht="16.5" customHeight="1">
      <c r="A7257" s="439"/>
      <c r="B7257" s="439"/>
      <c r="C7257" s="504"/>
      <c r="D7257" s="504"/>
      <c r="E7257" s="504"/>
      <c r="F7257" s="504"/>
      <c r="G7257" s="451" t="s">
        <v>3406</v>
      </c>
      <c r="Z7257" s="500"/>
      <c r="AA7257" s="500"/>
      <c r="AB7257" s="500"/>
      <c r="AC7257" s="500"/>
      <c r="AD7257" s="500"/>
      <c r="AE7257" s="500"/>
      <c r="AF7257" s="500"/>
      <c r="AG7257" s="500"/>
      <c r="AH7257" s="500"/>
      <c r="AI7257" s="500"/>
      <c r="AJ7257" s="500"/>
      <c r="AK7257" s="500"/>
      <c r="AL7257" s="500"/>
      <c r="AM7257" s="500"/>
      <c r="AN7257" s="500"/>
      <c r="AO7257" s="500"/>
      <c r="AP7257" s="500"/>
    </row>
    <row r="7258" spans="1:42" ht="16.5" customHeight="1">
      <c r="A7258" s="434"/>
      <c r="B7258" s="437" t="s">
        <v>4176</v>
      </c>
      <c r="C7258" s="439"/>
      <c r="D7258" s="439"/>
      <c r="E7258" s="439"/>
      <c r="F7258" s="439"/>
      <c r="G7258" s="451" t="s">
        <v>4177</v>
      </c>
      <c r="Z7258" s="500"/>
      <c r="AA7258" s="500"/>
      <c r="AB7258" s="500"/>
      <c r="AC7258" s="500"/>
      <c r="AD7258" s="500"/>
      <c r="AE7258" s="500"/>
      <c r="AF7258" s="500"/>
      <c r="AG7258" s="500"/>
      <c r="AH7258" s="500"/>
      <c r="AI7258" s="500"/>
      <c r="AJ7258" s="500"/>
      <c r="AK7258" s="500"/>
      <c r="AL7258" s="500"/>
      <c r="AM7258" s="500"/>
      <c r="AN7258" s="500"/>
      <c r="AO7258" s="500"/>
      <c r="AP7258" s="500"/>
    </row>
    <row r="7259" spans="1:42" ht="16.5" customHeight="1">
      <c r="A7259" s="439"/>
      <c r="B7259" s="439"/>
      <c r="C7259" s="439"/>
      <c r="D7259" s="439"/>
      <c r="E7259" s="439"/>
      <c r="F7259" s="439"/>
      <c r="G7259" s="451" t="s">
        <v>3406</v>
      </c>
      <c r="Z7259" s="500"/>
      <c r="AA7259" s="500"/>
      <c r="AB7259" s="500"/>
      <c r="AC7259" s="500"/>
      <c r="AD7259" s="500"/>
      <c r="AE7259" s="500"/>
      <c r="AF7259" s="500"/>
      <c r="AG7259" s="500"/>
      <c r="AH7259" s="500"/>
      <c r="AI7259" s="500"/>
      <c r="AJ7259" s="500"/>
      <c r="AK7259" s="500"/>
      <c r="AL7259" s="500"/>
      <c r="AM7259" s="500"/>
      <c r="AN7259" s="500"/>
      <c r="AO7259" s="500"/>
      <c r="AP7259" s="500"/>
    </row>
    <row r="7260" spans="1:42" ht="16.5" customHeight="1">
      <c r="A7260" s="439"/>
      <c r="B7260" s="439"/>
      <c r="C7260" s="439"/>
      <c r="D7260" s="439"/>
      <c r="E7260" s="439"/>
      <c r="F7260" s="439"/>
      <c r="G7260" s="451" t="s">
        <v>3406</v>
      </c>
      <c r="Z7260" s="500"/>
      <c r="AA7260" s="500"/>
      <c r="AB7260" s="500"/>
      <c r="AC7260" s="500"/>
      <c r="AD7260" s="500"/>
      <c r="AE7260" s="500"/>
      <c r="AF7260" s="500"/>
      <c r="AG7260" s="500"/>
      <c r="AH7260" s="500"/>
      <c r="AI7260" s="500"/>
      <c r="AJ7260" s="500"/>
      <c r="AK7260" s="500"/>
      <c r="AL7260" s="500"/>
      <c r="AM7260" s="500"/>
      <c r="AN7260" s="500"/>
      <c r="AO7260" s="500"/>
      <c r="AP7260" s="500"/>
    </row>
    <row r="7261" spans="1:42" ht="16.5" customHeight="1">
      <c r="A7261" s="434"/>
      <c r="B7261" s="437" t="s">
        <v>4178</v>
      </c>
      <c r="C7261" s="439"/>
      <c r="D7261" s="439"/>
      <c r="E7261" s="439"/>
      <c r="F7261" s="439"/>
      <c r="G7261" s="451" t="s">
        <v>4179</v>
      </c>
      <c r="Z7261" s="500"/>
      <c r="AA7261" s="500"/>
      <c r="AB7261" s="500"/>
      <c r="AC7261" s="500"/>
      <c r="AD7261" s="500"/>
      <c r="AE7261" s="500"/>
      <c r="AF7261" s="500"/>
      <c r="AG7261" s="500"/>
      <c r="AH7261" s="500"/>
      <c r="AI7261" s="500"/>
      <c r="AJ7261" s="500"/>
      <c r="AK7261" s="500"/>
      <c r="AL7261" s="500"/>
      <c r="AM7261" s="500"/>
      <c r="AN7261" s="500"/>
      <c r="AO7261" s="500"/>
      <c r="AP7261" s="500"/>
    </row>
    <row r="7262" spans="1:42" ht="16.5" customHeight="1">
      <c r="A7262" s="439"/>
      <c r="B7262" s="439"/>
      <c r="C7262" s="439"/>
      <c r="D7262" s="439"/>
      <c r="E7262" s="439"/>
      <c r="F7262" s="439"/>
      <c r="G7262" s="451" t="s">
        <v>3406</v>
      </c>
      <c r="Z7262" s="500"/>
      <c r="AA7262" s="500"/>
      <c r="AB7262" s="500"/>
      <c r="AC7262" s="500"/>
      <c r="AD7262" s="500"/>
      <c r="AE7262" s="500"/>
      <c r="AF7262" s="500"/>
      <c r="AG7262" s="500"/>
      <c r="AH7262" s="500"/>
      <c r="AI7262" s="500"/>
      <c r="AJ7262" s="500"/>
      <c r="AK7262" s="500"/>
      <c r="AL7262" s="500"/>
      <c r="AM7262" s="500"/>
      <c r="AN7262" s="500"/>
      <c r="AO7262" s="500"/>
      <c r="AP7262" s="500"/>
    </row>
    <row r="7263" spans="1:42" ht="16.5" customHeight="1">
      <c r="A7263" s="434"/>
      <c r="B7263" s="437" t="str">
        <f>"  조경공 1인, 보통인부 4인, 시공량 :  Q = "&amp;Z7263&amp;" ㎡ "</f>
        <v xml:space="preserve">  조경공 1인, 보통인부 4인, 시공량 :  Q = 170 ㎡ </v>
      </c>
      <c r="C7263" s="439"/>
      <c r="D7263" s="439"/>
      <c r="E7263" s="439"/>
      <c r="F7263" s="439"/>
      <c r="G7263" s="451" t="s">
        <v>4180</v>
      </c>
      <c r="Z7263" s="515">
        <v>170</v>
      </c>
      <c r="AA7263" s="501" t="s">
        <v>3418</v>
      </c>
      <c r="AB7263" s="512">
        <f>Z7263</f>
        <v>170</v>
      </c>
      <c r="AC7263" s="500"/>
      <c r="AD7263" s="500"/>
      <c r="AE7263" s="500"/>
      <c r="AF7263" s="500"/>
      <c r="AG7263" s="500"/>
      <c r="AH7263" s="500"/>
      <c r="AI7263" s="500"/>
      <c r="AJ7263" s="500"/>
      <c r="AK7263" s="500"/>
      <c r="AL7263" s="500"/>
      <c r="AM7263" s="500"/>
      <c r="AN7263" s="500"/>
      <c r="AO7263" s="500"/>
      <c r="AP7263" s="500"/>
    </row>
    <row r="7264" spans="1:42" ht="16.5" customHeight="1">
      <c r="A7264" s="439"/>
      <c r="B7264" s="439"/>
      <c r="C7264" s="439"/>
      <c r="D7264" s="439"/>
      <c r="E7264" s="439"/>
      <c r="F7264" s="439"/>
      <c r="G7264" s="451" t="s">
        <v>3406</v>
      </c>
      <c r="Z7264" s="500"/>
      <c r="AA7264" s="500"/>
      <c r="AB7264" s="500"/>
      <c r="AC7264" s="500"/>
      <c r="AD7264" s="500"/>
      <c r="AE7264" s="500"/>
      <c r="AF7264" s="500"/>
      <c r="AG7264" s="500"/>
      <c r="AH7264" s="500"/>
      <c r="AI7264" s="500"/>
      <c r="AJ7264" s="500"/>
      <c r="AK7264" s="500"/>
      <c r="AL7264" s="500"/>
      <c r="AM7264" s="500"/>
      <c r="AN7264" s="500"/>
      <c r="AO7264" s="500"/>
      <c r="AP7264" s="500"/>
    </row>
    <row r="7265" spans="1:42" ht="16.5" customHeight="1">
      <c r="A7265" s="439"/>
      <c r="B7265" s="439"/>
      <c r="C7265" s="439"/>
      <c r="D7265" s="439"/>
      <c r="E7265" s="439"/>
      <c r="F7265" s="439"/>
      <c r="G7265" s="451" t="s">
        <v>3406</v>
      </c>
      <c r="Z7265" s="500"/>
      <c r="AA7265" s="500"/>
      <c r="AB7265" s="500"/>
      <c r="AC7265" s="500"/>
      <c r="AD7265" s="500"/>
      <c r="AE7265" s="500"/>
      <c r="AF7265" s="500"/>
      <c r="AG7265" s="500"/>
      <c r="AH7265" s="500"/>
      <c r="AI7265" s="500"/>
      <c r="AJ7265" s="500"/>
      <c r="AK7265" s="500"/>
      <c r="AL7265" s="500"/>
      <c r="AM7265" s="500"/>
      <c r="AN7265" s="500"/>
      <c r="AO7265" s="500"/>
      <c r="AP7265" s="500"/>
    </row>
    <row r="7266" spans="1:42" ht="16.5" customHeight="1">
      <c r="A7266" s="434" t="s">
        <v>3498</v>
      </c>
      <c r="B7266" s="505" t="str">
        <f>" 조경공 : "&amp;TEXT(I7266,"#,##0"&amp;IF(I7266&lt;&gt;INT(I7266),".###",""))&amp;" * "&amp;AA7266&amp;" / Q = "&amp;TEXT(C7266,"#,##0.0")&amp;""</f>
        <v xml:space="preserve"> 조경공 : 235,204 * 1 / Q = 1,383.5</v>
      </c>
      <c r="C7266" s="506">
        <f>E7266+D7266+F7266</f>
        <v>1383.5</v>
      </c>
      <c r="D7266" s="506">
        <f>IF(H7266=0,0,ROUNDDOWN(J7266*H7266,1))</f>
        <v>1383.5</v>
      </c>
      <c r="E7266" s="506">
        <f>IF(H7266=0,0,ROUNDDOWN(K7266*H7266,1))</f>
        <v>0</v>
      </c>
      <c r="F7266" s="506">
        <f>IF(H7266=0,0,ROUNDDOWN(L7266*H7266,1))</f>
        <v>0</v>
      </c>
      <c r="G7266" s="451" t="s">
        <v>4181</v>
      </c>
      <c r="H7266" s="507">
        <f>ROUNDUP(AE7266,14-LEN(ABS(INT(AE7266))))</f>
        <v>5.8823529412000003E-3</v>
      </c>
      <c r="I7266" s="508">
        <f>K7266+J7266+L7266</f>
        <v>235204</v>
      </c>
      <c r="J7266" s="509">
        <f>노무비목록표!E15</f>
        <v>235204</v>
      </c>
      <c r="M7266" s="501" t="s">
        <v>2359</v>
      </c>
      <c r="N7266" s="501" t="s">
        <v>3416</v>
      </c>
      <c r="X7266" s="510" t="str">
        <f>노무비목록표!B15&amp;" / "&amp;노무비목록표!C15</f>
        <v xml:space="preserve">조경공 / </v>
      </c>
      <c r="Y7266" s="433" t="str">
        <f ca="1">HYPERLINK("#"&amp;노무비목록표!G2&amp;"!A"&amp;ROW(노무비목록표!A15),"L00184 →")</f>
        <v>L00184 →</v>
      </c>
      <c r="Z7266" s="501" t="s">
        <v>3500</v>
      </c>
      <c r="AA7266" s="515">
        <v>1</v>
      </c>
      <c r="AB7266" s="501" t="s">
        <v>3428</v>
      </c>
      <c r="AC7266" s="512">
        <f>AB7263</f>
        <v>170</v>
      </c>
      <c r="AD7266" s="501" t="s">
        <v>3418</v>
      </c>
      <c r="AE7266" s="512">
        <f>1*AA7266/AB7263</f>
        <v>5.8823529411764705E-3</v>
      </c>
      <c r="AF7266" s="500"/>
      <c r="AG7266" s="500"/>
      <c r="AH7266" s="500"/>
      <c r="AI7266" s="500"/>
      <c r="AJ7266" s="500"/>
      <c r="AK7266" s="500"/>
      <c r="AL7266" s="500"/>
      <c r="AM7266" s="500"/>
      <c r="AN7266" s="500"/>
      <c r="AO7266" s="500"/>
      <c r="AP7266" s="500"/>
    </row>
    <row r="7267" spans="1:42" ht="16.5" customHeight="1">
      <c r="A7267" s="439"/>
      <c r="B7267" s="439"/>
      <c r="C7267" s="439"/>
      <c r="D7267" s="439"/>
      <c r="E7267" s="439"/>
      <c r="F7267" s="439"/>
      <c r="G7267" s="451" t="s">
        <v>3406</v>
      </c>
      <c r="Z7267" s="500"/>
      <c r="AA7267" s="500"/>
      <c r="AB7267" s="500"/>
      <c r="AC7267" s="500"/>
      <c r="AD7267" s="500"/>
      <c r="AE7267" s="500"/>
      <c r="AF7267" s="500"/>
      <c r="AG7267" s="500"/>
      <c r="AH7267" s="500"/>
      <c r="AI7267" s="500"/>
      <c r="AJ7267" s="500"/>
      <c r="AK7267" s="500"/>
      <c r="AL7267" s="500"/>
      <c r="AM7267" s="500"/>
      <c r="AN7267" s="500"/>
      <c r="AO7267" s="500"/>
      <c r="AP7267" s="500"/>
    </row>
    <row r="7268" spans="1:42" ht="16.5" customHeight="1">
      <c r="A7268" s="439"/>
      <c r="B7268" s="439"/>
      <c r="C7268" s="439"/>
      <c r="D7268" s="439"/>
      <c r="E7268" s="439"/>
      <c r="F7268" s="439"/>
      <c r="G7268" s="451" t="s">
        <v>3406</v>
      </c>
      <c r="Z7268" s="500"/>
      <c r="AA7268" s="500"/>
      <c r="AB7268" s="500"/>
      <c r="AC7268" s="500"/>
      <c r="AD7268" s="500"/>
      <c r="AE7268" s="500"/>
      <c r="AF7268" s="500"/>
      <c r="AG7268" s="500"/>
      <c r="AH7268" s="500"/>
      <c r="AI7268" s="500"/>
      <c r="AJ7268" s="500"/>
      <c r="AK7268" s="500"/>
      <c r="AL7268" s="500"/>
      <c r="AM7268" s="500"/>
      <c r="AN7268" s="500"/>
      <c r="AO7268" s="500"/>
      <c r="AP7268" s="500"/>
    </row>
    <row r="7269" spans="1:42" ht="16.5" customHeight="1">
      <c r="A7269" s="434" t="s">
        <v>3414</v>
      </c>
      <c r="B7269" s="505" t="str">
        <f>" 보통인부 : "&amp;TEXT(I7269,"#,##0"&amp;IF(I7269&lt;&gt;INT(I7269),".###",""))&amp;" * "&amp;AA7269&amp;" / Q  = "&amp;TEXT(C7269,"#,##0.0")&amp;""</f>
        <v xml:space="preserve"> 보통인부 : 172,068 * 4 / Q  = 4,048.6</v>
      </c>
      <c r="C7269" s="506">
        <f>E7269+D7269+F7269</f>
        <v>4048.6</v>
      </c>
      <c r="D7269" s="506">
        <f>IF(H7269=0,0,ROUNDDOWN(J7269*H7269,1))</f>
        <v>4048.6</v>
      </c>
      <c r="E7269" s="506">
        <f>IF(H7269=0,0,ROUNDDOWN(K7269*H7269,1))</f>
        <v>0</v>
      </c>
      <c r="F7269" s="506">
        <f>IF(H7269=0,0,ROUNDDOWN(L7269*H7269,1))</f>
        <v>0</v>
      </c>
      <c r="G7269" s="451" t="s">
        <v>4182</v>
      </c>
      <c r="H7269" s="507">
        <f>ROUNDUP(AE7269,14-LEN(ABS(INT(AE7269))))</f>
        <v>2.3529411764800001E-2</v>
      </c>
      <c r="I7269" s="508">
        <f>K7269+J7269+L7269</f>
        <v>172068</v>
      </c>
      <c r="J7269" s="509">
        <f>노무비목록표!E10</f>
        <v>172068</v>
      </c>
      <c r="M7269" s="501" t="s">
        <v>2363</v>
      </c>
      <c r="N7269" s="501" t="s">
        <v>3416</v>
      </c>
      <c r="X7269" s="510" t="str">
        <f>노무비목록표!B10&amp;" / "&amp;노무비목록표!C10</f>
        <v xml:space="preserve">보통인부 / </v>
      </c>
      <c r="Y7269" s="433" t="str">
        <f ca="1">HYPERLINK("#"&amp;노무비목록표!G2&amp;"!A"&amp;ROW(노무비목록표!A10),"L00017 →")</f>
        <v>L00017 →</v>
      </c>
      <c r="Z7269" s="501" t="s">
        <v>3500</v>
      </c>
      <c r="AA7269" s="515">
        <v>4</v>
      </c>
      <c r="AB7269" s="501" t="s">
        <v>3428</v>
      </c>
      <c r="AC7269" s="512">
        <f>AB7263</f>
        <v>170</v>
      </c>
      <c r="AD7269" s="501" t="s">
        <v>3418</v>
      </c>
      <c r="AE7269" s="512">
        <f>1*AA7269/AB7263</f>
        <v>2.3529411764705882E-2</v>
      </c>
      <c r="AF7269" s="500"/>
      <c r="AG7269" s="500"/>
      <c r="AH7269" s="500"/>
      <c r="AI7269" s="500"/>
      <c r="AJ7269" s="500"/>
      <c r="AK7269" s="500"/>
      <c r="AL7269" s="500"/>
      <c r="AM7269" s="500"/>
      <c r="AN7269" s="500"/>
      <c r="AO7269" s="500"/>
      <c r="AP7269" s="500"/>
    </row>
    <row r="7270" spans="1:42" ht="16.5" customHeight="1">
      <c r="A7270" s="439"/>
      <c r="B7270" s="439"/>
      <c r="C7270" s="439"/>
      <c r="D7270" s="439"/>
      <c r="E7270" s="439"/>
      <c r="F7270" s="439"/>
      <c r="G7270" s="451" t="s">
        <v>3406</v>
      </c>
      <c r="Z7270" s="500"/>
      <c r="AA7270" s="500"/>
      <c r="AB7270" s="500"/>
      <c r="AC7270" s="500"/>
      <c r="AD7270" s="500"/>
      <c r="AE7270" s="500"/>
      <c r="AF7270" s="500"/>
      <c r="AG7270" s="500"/>
      <c r="AH7270" s="500"/>
      <c r="AI7270" s="500"/>
      <c r="AJ7270" s="500"/>
      <c r="AK7270" s="500"/>
      <c r="AL7270" s="500"/>
      <c r="AM7270" s="500"/>
      <c r="AN7270" s="500"/>
      <c r="AO7270" s="500"/>
      <c r="AP7270" s="500"/>
    </row>
    <row r="7271" spans="1:42" ht="16.5" customHeight="1">
      <c r="A7271" s="439"/>
      <c r="B7271" s="439"/>
      <c r="C7271" s="439"/>
      <c r="D7271" s="439"/>
      <c r="E7271" s="439"/>
      <c r="F7271" s="439"/>
      <c r="G7271" s="451" t="s">
        <v>3406</v>
      </c>
      <c r="Z7271" s="500"/>
      <c r="AA7271" s="500"/>
      <c r="AB7271" s="500"/>
      <c r="AC7271" s="500"/>
      <c r="AD7271" s="500"/>
      <c r="AE7271" s="500"/>
      <c r="AF7271" s="500"/>
      <c r="AG7271" s="500"/>
      <c r="AH7271" s="500"/>
      <c r="AI7271" s="500"/>
      <c r="AJ7271" s="500"/>
      <c r="AK7271" s="500"/>
      <c r="AL7271" s="500"/>
      <c r="AM7271" s="500"/>
      <c r="AN7271" s="500"/>
      <c r="AO7271" s="500"/>
      <c r="AP7271" s="500"/>
    </row>
    <row r="7272" spans="1:42" ht="16.5" customHeight="1">
      <c r="A7272" s="434"/>
      <c r="B7272" s="437" t="s">
        <v>3419</v>
      </c>
      <c r="C7272" s="513">
        <f>E7272+D7272+F7272</f>
        <v>5432.1</v>
      </c>
      <c r="D7272" s="513">
        <f>SUMIF(N7257:N7271,M7272,D7257:D7271)</f>
        <v>5432.1</v>
      </c>
      <c r="E7272" s="513">
        <f>SUMIF(N7257:N7271,M7272,E7257:E7271)</f>
        <v>0</v>
      </c>
      <c r="F7272" s="513">
        <f>SUMIF(N7257:N7271,M7272,F7257:F7271)</f>
        <v>0</v>
      </c>
      <c r="G7272" s="451" t="s">
        <v>3439</v>
      </c>
      <c r="M7272" s="501" t="s">
        <v>3416</v>
      </c>
      <c r="N7272" s="501" t="s">
        <v>2354</v>
      </c>
      <c r="Z7272" s="500"/>
      <c r="AA7272" s="500"/>
      <c r="AB7272" s="500"/>
      <c r="AC7272" s="500"/>
      <c r="AD7272" s="500"/>
      <c r="AE7272" s="500"/>
      <c r="AF7272" s="500"/>
      <c r="AG7272" s="500"/>
      <c r="AH7272" s="500"/>
      <c r="AI7272" s="500"/>
      <c r="AJ7272" s="500"/>
      <c r="AK7272" s="500"/>
      <c r="AL7272" s="500"/>
      <c r="AM7272" s="500"/>
      <c r="AN7272" s="500"/>
      <c r="AO7272" s="500"/>
      <c r="AP7272" s="500"/>
    </row>
    <row r="7273" spans="1:42" ht="16.5" customHeight="1">
      <c r="A7273" s="439"/>
      <c r="B7273" s="439"/>
      <c r="C7273" s="504"/>
      <c r="D7273" s="504"/>
      <c r="E7273" s="504"/>
      <c r="F7273" s="504"/>
      <c r="Z7273" s="500"/>
      <c r="AA7273" s="500"/>
      <c r="AB7273" s="500"/>
      <c r="AC7273" s="500"/>
      <c r="AD7273" s="500"/>
      <c r="AE7273" s="500"/>
      <c r="AF7273" s="500"/>
      <c r="AG7273" s="500"/>
      <c r="AH7273" s="500"/>
      <c r="AI7273" s="500"/>
      <c r="AJ7273" s="500"/>
      <c r="AK7273" s="500"/>
      <c r="AL7273" s="500"/>
      <c r="AM7273" s="500"/>
      <c r="AN7273" s="500"/>
      <c r="AO7273" s="500"/>
      <c r="AP7273" s="500"/>
    </row>
    <row r="7274" spans="1:42" ht="16.5" customHeight="1">
      <c r="A7274" s="439"/>
      <c r="B7274" s="439"/>
      <c r="C7274" s="439"/>
      <c r="D7274" s="439"/>
      <c r="E7274" s="439"/>
      <c r="F7274" s="439"/>
      <c r="Z7274" s="500"/>
      <c r="AA7274" s="500"/>
      <c r="AB7274" s="500"/>
      <c r="AC7274" s="500"/>
      <c r="AD7274" s="500"/>
      <c r="AE7274" s="500"/>
      <c r="AF7274" s="500"/>
      <c r="AG7274" s="500"/>
      <c r="AH7274" s="500"/>
      <c r="AI7274" s="500"/>
      <c r="AJ7274" s="500"/>
      <c r="AK7274" s="500"/>
      <c r="AL7274" s="500"/>
      <c r="AM7274" s="500"/>
      <c r="AN7274" s="500"/>
      <c r="AO7274" s="500"/>
      <c r="AP7274" s="500"/>
    </row>
    <row r="7275" spans="1:42" ht="16.5" customHeight="1">
      <c r="A7275" s="439"/>
      <c r="B7275" s="439"/>
      <c r="C7275" s="439"/>
      <c r="D7275" s="439"/>
      <c r="E7275" s="439"/>
      <c r="F7275" s="439"/>
      <c r="Z7275" s="500"/>
      <c r="AA7275" s="500"/>
      <c r="AB7275" s="500"/>
      <c r="AC7275" s="500"/>
      <c r="AD7275" s="500"/>
      <c r="AE7275" s="500"/>
      <c r="AF7275" s="500"/>
      <c r="AG7275" s="500"/>
      <c r="AH7275" s="500"/>
      <c r="AI7275" s="500"/>
      <c r="AJ7275" s="500"/>
      <c r="AK7275" s="500"/>
      <c r="AL7275" s="500"/>
      <c r="AM7275" s="500"/>
      <c r="AN7275" s="500"/>
      <c r="AO7275" s="500"/>
      <c r="AP7275" s="500"/>
    </row>
    <row r="7276" spans="1:42" ht="16.5" customHeight="1">
      <c r="A7276" s="439"/>
      <c r="B7276" s="439"/>
      <c r="C7276" s="439"/>
      <c r="D7276" s="439"/>
      <c r="E7276" s="439"/>
      <c r="F7276" s="439"/>
      <c r="Z7276" s="500"/>
      <c r="AA7276" s="500"/>
      <c r="AB7276" s="500"/>
      <c r="AC7276" s="500"/>
      <c r="AD7276" s="500"/>
      <c r="AE7276" s="500"/>
      <c r="AF7276" s="500"/>
      <c r="AG7276" s="500"/>
      <c r="AH7276" s="500"/>
      <c r="AI7276" s="500"/>
      <c r="AJ7276" s="500"/>
      <c r="AK7276" s="500"/>
      <c r="AL7276" s="500"/>
      <c r="AM7276" s="500"/>
      <c r="AN7276" s="500"/>
      <c r="AO7276" s="500"/>
      <c r="AP7276" s="500"/>
    </row>
    <row r="7277" spans="1:42" ht="16.5" customHeight="1">
      <c r="A7277" s="439"/>
      <c r="B7277" s="439"/>
      <c r="C7277" s="439"/>
      <c r="D7277" s="439"/>
      <c r="E7277" s="439"/>
      <c r="F7277" s="439"/>
      <c r="Z7277" s="500"/>
      <c r="AA7277" s="500"/>
      <c r="AB7277" s="500"/>
      <c r="AC7277" s="500"/>
      <c r="AD7277" s="500"/>
      <c r="AE7277" s="500"/>
      <c r="AF7277" s="500"/>
      <c r="AG7277" s="500"/>
      <c r="AH7277" s="500"/>
      <c r="AI7277" s="500"/>
      <c r="AJ7277" s="500"/>
      <c r="AK7277" s="500"/>
      <c r="AL7277" s="500"/>
      <c r="AM7277" s="500"/>
      <c r="AN7277" s="500"/>
      <c r="AO7277" s="500"/>
      <c r="AP7277" s="500"/>
    </row>
    <row r="7278" spans="1:42" ht="16.5" customHeight="1">
      <c r="A7278" s="439"/>
      <c r="B7278" s="439"/>
      <c r="C7278" s="439"/>
      <c r="D7278" s="439"/>
      <c r="E7278" s="439"/>
      <c r="F7278" s="439"/>
      <c r="Z7278" s="500"/>
      <c r="AA7278" s="500"/>
      <c r="AB7278" s="500"/>
      <c r="AC7278" s="500"/>
      <c r="AD7278" s="500"/>
      <c r="AE7278" s="500"/>
      <c r="AF7278" s="500"/>
      <c r="AG7278" s="500"/>
      <c r="AH7278" s="500"/>
      <c r="AI7278" s="500"/>
      <c r="AJ7278" s="500"/>
      <c r="AK7278" s="500"/>
      <c r="AL7278" s="500"/>
      <c r="AM7278" s="500"/>
      <c r="AN7278" s="500"/>
      <c r="AO7278" s="500"/>
      <c r="AP7278" s="500"/>
    </row>
    <row r="7279" spans="1:42" ht="16.5" customHeight="1">
      <c r="A7279" s="439"/>
      <c r="B7279" s="439"/>
      <c r="C7279" s="439"/>
      <c r="D7279" s="439"/>
      <c r="E7279" s="439"/>
      <c r="F7279" s="439"/>
      <c r="Z7279" s="500"/>
      <c r="AA7279" s="500"/>
      <c r="AB7279" s="500"/>
      <c r="AC7279" s="500"/>
      <c r="AD7279" s="500"/>
      <c r="AE7279" s="500"/>
      <c r="AF7279" s="500"/>
      <c r="AG7279" s="500"/>
      <c r="AH7279" s="500"/>
      <c r="AI7279" s="500"/>
      <c r="AJ7279" s="500"/>
      <c r="AK7279" s="500"/>
      <c r="AL7279" s="500"/>
      <c r="AM7279" s="500"/>
      <c r="AN7279" s="500"/>
      <c r="AO7279" s="500"/>
      <c r="AP7279" s="500"/>
    </row>
    <row r="7280" spans="1:42" ht="16.5" customHeight="1">
      <c r="A7280" s="439"/>
      <c r="B7280" s="439"/>
      <c r="C7280" s="439"/>
      <c r="D7280" s="439"/>
      <c r="E7280" s="439"/>
      <c r="F7280" s="439"/>
      <c r="Z7280" s="500"/>
      <c r="AA7280" s="500"/>
      <c r="AB7280" s="500"/>
      <c r="AC7280" s="500"/>
      <c r="AD7280" s="500"/>
      <c r="AE7280" s="500"/>
      <c r="AF7280" s="500"/>
      <c r="AG7280" s="500"/>
      <c r="AH7280" s="500"/>
      <c r="AI7280" s="500"/>
      <c r="AJ7280" s="500"/>
      <c r="AK7280" s="500"/>
      <c r="AL7280" s="500"/>
      <c r="AM7280" s="500"/>
      <c r="AN7280" s="500"/>
      <c r="AO7280" s="500"/>
      <c r="AP7280" s="500"/>
    </row>
    <row r="7281" spans="1:42" ht="16.5" customHeight="1">
      <c r="A7281" s="439"/>
      <c r="B7281" s="439"/>
      <c r="C7281" s="439"/>
      <c r="D7281" s="439"/>
      <c r="E7281" s="439"/>
      <c r="F7281" s="439"/>
      <c r="Z7281" s="500"/>
      <c r="AA7281" s="500"/>
      <c r="AB7281" s="500"/>
      <c r="AC7281" s="500"/>
      <c r="AD7281" s="500"/>
      <c r="AE7281" s="500"/>
      <c r="AF7281" s="500"/>
      <c r="AG7281" s="500"/>
      <c r="AH7281" s="500"/>
      <c r="AI7281" s="500"/>
      <c r="AJ7281" s="500"/>
      <c r="AK7281" s="500"/>
      <c r="AL7281" s="500"/>
      <c r="AM7281" s="500"/>
      <c r="AN7281" s="500"/>
      <c r="AO7281" s="500"/>
      <c r="AP7281" s="500"/>
    </row>
    <row r="7282" spans="1:42" ht="16.5" customHeight="1">
      <c r="A7282" s="439"/>
      <c r="B7282" s="439"/>
      <c r="C7282" s="439"/>
      <c r="D7282" s="439"/>
      <c r="E7282" s="439"/>
      <c r="F7282" s="439"/>
      <c r="Z7282" s="500"/>
      <c r="AA7282" s="500"/>
      <c r="AB7282" s="500"/>
      <c r="AC7282" s="500"/>
      <c r="AD7282" s="500"/>
      <c r="AE7282" s="500"/>
      <c r="AF7282" s="500"/>
      <c r="AG7282" s="500"/>
      <c r="AH7282" s="500"/>
      <c r="AI7282" s="500"/>
      <c r="AJ7282" s="500"/>
      <c r="AK7282" s="500"/>
      <c r="AL7282" s="500"/>
      <c r="AM7282" s="500"/>
      <c r="AN7282" s="500"/>
      <c r="AO7282" s="500"/>
      <c r="AP7282" s="500"/>
    </row>
    <row r="7283" spans="1:42" ht="16.5" customHeight="1">
      <c r="A7283" s="439"/>
      <c r="B7283" s="439"/>
      <c r="C7283" s="439"/>
      <c r="D7283" s="439"/>
      <c r="E7283" s="439"/>
      <c r="F7283" s="439"/>
      <c r="Z7283" s="500"/>
      <c r="AA7283" s="500"/>
      <c r="AB7283" s="500"/>
      <c r="AC7283" s="500"/>
      <c r="AD7283" s="500"/>
      <c r="AE7283" s="500"/>
      <c r="AF7283" s="500"/>
      <c r="AG7283" s="500"/>
      <c r="AH7283" s="500"/>
      <c r="AI7283" s="500"/>
      <c r="AJ7283" s="500"/>
      <c r="AK7283" s="500"/>
      <c r="AL7283" s="500"/>
      <c r="AM7283" s="500"/>
      <c r="AN7283" s="500"/>
      <c r="AO7283" s="500"/>
      <c r="AP7283" s="500"/>
    </row>
    <row r="7284" spans="1:42" ht="16.5" customHeight="1">
      <c r="A7284" s="439"/>
      <c r="B7284" s="439"/>
      <c r="C7284" s="439"/>
      <c r="D7284" s="439"/>
      <c r="E7284" s="439"/>
      <c r="F7284" s="439"/>
      <c r="Z7284" s="500"/>
      <c r="AA7284" s="500"/>
      <c r="AB7284" s="500"/>
      <c r="AC7284" s="500"/>
      <c r="AD7284" s="500"/>
      <c r="AE7284" s="500"/>
      <c r="AF7284" s="500"/>
      <c r="AG7284" s="500"/>
      <c r="AH7284" s="500"/>
      <c r="AI7284" s="500"/>
      <c r="AJ7284" s="500"/>
      <c r="AK7284" s="500"/>
      <c r="AL7284" s="500"/>
      <c r="AM7284" s="500"/>
      <c r="AN7284" s="500"/>
      <c r="AO7284" s="500"/>
      <c r="AP7284" s="500"/>
    </row>
    <row r="7285" spans="1:42" ht="16.5" customHeight="1">
      <c r="A7285" s="439"/>
      <c r="B7285" s="439"/>
      <c r="C7285" s="439"/>
      <c r="D7285" s="439"/>
      <c r="E7285" s="439"/>
      <c r="F7285" s="439"/>
      <c r="Z7285" s="500"/>
      <c r="AA7285" s="500"/>
      <c r="AB7285" s="500"/>
      <c r="AC7285" s="500"/>
      <c r="AD7285" s="500"/>
      <c r="AE7285" s="500"/>
      <c r="AF7285" s="500"/>
      <c r="AG7285" s="500"/>
      <c r="AH7285" s="500"/>
      <c r="AI7285" s="500"/>
      <c r="AJ7285" s="500"/>
      <c r="AK7285" s="500"/>
      <c r="AL7285" s="500"/>
      <c r="AM7285" s="500"/>
      <c r="AN7285" s="500"/>
      <c r="AO7285" s="500"/>
      <c r="AP7285" s="500"/>
    </row>
    <row r="7286" spans="1:42" ht="16.5" customHeight="1">
      <c r="A7286" s="439"/>
      <c r="B7286" s="439"/>
      <c r="C7286" s="439"/>
      <c r="D7286" s="439"/>
      <c r="E7286" s="439"/>
      <c r="F7286" s="439"/>
      <c r="Z7286" s="500"/>
      <c r="AA7286" s="500"/>
      <c r="AB7286" s="500"/>
      <c r="AC7286" s="500"/>
      <c r="AD7286" s="500"/>
      <c r="AE7286" s="500"/>
      <c r="AF7286" s="500"/>
      <c r="AG7286" s="500"/>
      <c r="AH7286" s="500"/>
      <c r="AI7286" s="500"/>
      <c r="AJ7286" s="500"/>
      <c r="AK7286" s="500"/>
      <c r="AL7286" s="500"/>
      <c r="AM7286" s="500"/>
      <c r="AN7286" s="500"/>
      <c r="AO7286" s="500"/>
      <c r="AP7286" s="500"/>
    </row>
    <row r="7287" spans="1:42" ht="16.5" customHeight="1">
      <c r="A7287" s="439"/>
      <c r="B7287" s="439"/>
      <c r="C7287" s="439"/>
      <c r="D7287" s="439"/>
      <c r="E7287" s="439"/>
      <c r="F7287" s="439"/>
      <c r="Z7287" s="500"/>
      <c r="AA7287" s="500"/>
      <c r="AB7287" s="500"/>
      <c r="AC7287" s="500"/>
      <c r="AD7287" s="500"/>
      <c r="AE7287" s="500"/>
      <c r="AF7287" s="500"/>
      <c r="AG7287" s="500"/>
      <c r="AH7287" s="500"/>
      <c r="AI7287" s="500"/>
      <c r="AJ7287" s="500"/>
      <c r="AK7287" s="500"/>
      <c r="AL7287" s="500"/>
      <c r="AM7287" s="500"/>
      <c r="AN7287" s="500"/>
      <c r="AO7287" s="500"/>
      <c r="AP7287" s="500"/>
    </row>
    <row r="7288" spans="1:42" ht="16.5" customHeight="1">
      <c r="A7288" s="439"/>
      <c r="B7288" s="439"/>
      <c r="C7288" s="439"/>
      <c r="D7288" s="439"/>
      <c r="E7288" s="439"/>
      <c r="F7288" s="439"/>
      <c r="Z7288" s="500"/>
      <c r="AA7288" s="500"/>
      <c r="AB7288" s="500"/>
      <c r="AC7288" s="500"/>
      <c r="AD7288" s="500"/>
      <c r="AE7288" s="500"/>
      <c r="AF7288" s="500"/>
      <c r="AG7288" s="500"/>
      <c r="AH7288" s="500"/>
      <c r="AI7288" s="500"/>
      <c r="AJ7288" s="500"/>
      <c r="AK7288" s="500"/>
      <c r="AL7288" s="500"/>
      <c r="AM7288" s="500"/>
      <c r="AN7288" s="500"/>
      <c r="AO7288" s="500"/>
      <c r="AP7288" s="500"/>
    </row>
    <row r="7289" spans="1:42" ht="16.5" customHeight="1">
      <c r="A7289" s="439"/>
      <c r="B7289" s="439"/>
      <c r="C7289" s="439"/>
      <c r="D7289" s="439"/>
      <c r="E7289" s="439"/>
      <c r="F7289" s="439"/>
      <c r="Z7289" s="500"/>
      <c r="AA7289" s="500"/>
      <c r="AB7289" s="500"/>
      <c r="AC7289" s="500"/>
      <c r="AD7289" s="500"/>
      <c r="AE7289" s="500"/>
      <c r="AF7289" s="500"/>
      <c r="AG7289" s="500"/>
      <c r="AH7289" s="500"/>
      <c r="AI7289" s="500"/>
      <c r="AJ7289" s="500"/>
      <c r="AK7289" s="500"/>
      <c r="AL7289" s="500"/>
      <c r="AM7289" s="500"/>
      <c r="AN7289" s="500"/>
      <c r="AO7289" s="500"/>
      <c r="AP7289" s="500"/>
    </row>
    <row r="7290" spans="1:42" ht="16.5" customHeight="1">
      <c r="A7290" s="439"/>
      <c r="B7290" s="439"/>
      <c r="C7290" s="439"/>
      <c r="D7290" s="439"/>
      <c r="E7290" s="439"/>
      <c r="F7290" s="439"/>
      <c r="Z7290" s="500"/>
      <c r="AA7290" s="500"/>
      <c r="AB7290" s="500"/>
      <c r="AC7290" s="500"/>
      <c r="AD7290" s="500"/>
      <c r="AE7290" s="500"/>
      <c r="AF7290" s="500"/>
      <c r="AG7290" s="500"/>
      <c r="AH7290" s="500"/>
      <c r="AI7290" s="500"/>
      <c r="AJ7290" s="500"/>
      <c r="AK7290" s="500"/>
      <c r="AL7290" s="500"/>
      <c r="AM7290" s="500"/>
      <c r="AN7290" s="500"/>
      <c r="AO7290" s="500"/>
      <c r="AP7290" s="500"/>
    </row>
    <row r="7291" spans="1:42" ht="16.5" customHeight="1">
      <c r="A7291" s="439"/>
      <c r="B7291" s="439"/>
      <c r="C7291" s="439"/>
      <c r="D7291" s="439"/>
      <c r="E7291" s="439"/>
      <c r="F7291" s="439"/>
      <c r="Z7291" s="500"/>
      <c r="AA7291" s="500"/>
      <c r="AB7291" s="500"/>
      <c r="AC7291" s="500"/>
      <c r="AD7291" s="500"/>
      <c r="AE7291" s="500"/>
      <c r="AF7291" s="500"/>
      <c r="AG7291" s="500"/>
      <c r="AH7291" s="500"/>
      <c r="AI7291" s="500"/>
      <c r="AJ7291" s="500"/>
      <c r="AK7291" s="500"/>
      <c r="AL7291" s="500"/>
      <c r="AM7291" s="500"/>
      <c r="AN7291" s="500"/>
      <c r="AO7291" s="500"/>
      <c r="AP7291" s="500"/>
    </row>
    <row r="7292" spans="1:42" ht="16.5" customHeight="1">
      <c r="A7292" s="439"/>
      <c r="B7292" s="439"/>
      <c r="C7292" s="439"/>
      <c r="D7292" s="439"/>
      <c r="E7292" s="439"/>
      <c r="F7292" s="439"/>
      <c r="Z7292" s="500"/>
      <c r="AA7292" s="500"/>
      <c r="AB7292" s="500"/>
      <c r="AC7292" s="500"/>
      <c r="AD7292" s="500"/>
      <c r="AE7292" s="500"/>
      <c r="AF7292" s="500"/>
      <c r="AG7292" s="500"/>
      <c r="AH7292" s="500"/>
      <c r="AI7292" s="500"/>
      <c r="AJ7292" s="500"/>
      <c r="AK7292" s="500"/>
      <c r="AL7292" s="500"/>
      <c r="AM7292" s="500"/>
      <c r="AN7292" s="500"/>
      <c r="AO7292" s="500"/>
      <c r="AP7292" s="500"/>
    </row>
    <row r="7293" spans="1:42" ht="16.5" customHeight="1">
      <c r="A7293" s="439"/>
      <c r="B7293" s="439"/>
      <c r="C7293" s="439"/>
      <c r="D7293" s="439"/>
      <c r="E7293" s="439"/>
      <c r="F7293" s="439"/>
      <c r="Z7293" s="500"/>
      <c r="AA7293" s="500"/>
      <c r="AB7293" s="500"/>
      <c r="AC7293" s="500"/>
      <c r="AD7293" s="500"/>
      <c r="AE7293" s="500"/>
      <c r="AF7293" s="500"/>
      <c r="AG7293" s="500"/>
      <c r="AH7293" s="500"/>
      <c r="AI7293" s="500"/>
      <c r="AJ7293" s="500"/>
      <c r="AK7293" s="500"/>
      <c r="AL7293" s="500"/>
      <c r="AM7293" s="500"/>
      <c r="AN7293" s="500"/>
      <c r="AO7293" s="500"/>
      <c r="AP7293" s="500"/>
    </row>
    <row r="7294" spans="1:42" ht="16.5" customHeight="1">
      <c r="A7294" s="439"/>
      <c r="B7294" s="439"/>
      <c r="C7294" s="439"/>
      <c r="D7294" s="439"/>
      <c r="E7294" s="439"/>
      <c r="F7294" s="439"/>
      <c r="Z7294" s="500"/>
      <c r="AA7294" s="500"/>
      <c r="AB7294" s="500"/>
      <c r="AC7294" s="500"/>
      <c r="AD7294" s="500"/>
      <c r="AE7294" s="500"/>
      <c r="AF7294" s="500"/>
      <c r="AG7294" s="500"/>
      <c r="AH7294" s="500"/>
      <c r="AI7294" s="500"/>
      <c r="AJ7294" s="500"/>
      <c r="AK7294" s="500"/>
      <c r="AL7294" s="500"/>
      <c r="AM7294" s="500"/>
      <c r="AN7294" s="500"/>
      <c r="AO7294" s="500"/>
      <c r="AP7294" s="500"/>
    </row>
    <row r="7295" spans="1:42" ht="16.5" customHeight="1">
      <c r="A7295" s="439"/>
      <c r="B7295" s="439"/>
      <c r="C7295" s="439"/>
      <c r="D7295" s="439"/>
      <c r="E7295" s="439"/>
      <c r="F7295" s="439"/>
      <c r="Z7295" s="500"/>
      <c r="AA7295" s="500"/>
      <c r="AB7295" s="500"/>
      <c r="AC7295" s="500"/>
      <c r="AD7295" s="500"/>
      <c r="AE7295" s="500"/>
      <c r="AF7295" s="500"/>
      <c r="AG7295" s="500"/>
      <c r="AH7295" s="500"/>
      <c r="AI7295" s="500"/>
      <c r="AJ7295" s="500"/>
      <c r="AK7295" s="500"/>
      <c r="AL7295" s="500"/>
      <c r="AM7295" s="500"/>
      <c r="AN7295" s="500"/>
      <c r="AO7295" s="500"/>
      <c r="AP7295" s="500"/>
    </row>
    <row r="7296" spans="1:42" ht="16.5" customHeight="1">
      <c r="A7296" s="439"/>
      <c r="B7296" s="439"/>
      <c r="C7296" s="439"/>
      <c r="D7296" s="439"/>
      <c r="E7296" s="439"/>
      <c r="F7296" s="439"/>
      <c r="Z7296" s="500"/>
      <c r="AA7296" s="500"/>
      <c r="AB7296" s="500"/>
      <c r="AC7296" s="500"/>
      <c r="AD7296" s="500"/>
      <c r="AE7296" s="500"/>
      <c r="AF7296" s="500"/>
      <c r="AG7296" s="500"/>
      <c r="AH7296" s="500"/>
      <c r="AI7296" s="500"/>
      <c r="AJ7296" s="500"/>
      <c r="AK7296" s="500"/>
      <c r="AL7296" s="500"/>
      <c r="AM7296" s="500"/>
      <c r="AN7296" s="500"/>
      <c r="AO7296" s="500"/>
      <c r="AP7296" s="500"/>
    </row>
    <row r="7297" spans="1:42" ht="16.5" customHeight="1">
      <c r="A7297" s="439"/>
      <c r="B7297" s="439"/>
      <c r="C7297" s="439"/>
      <c r="D7297" s="439"/>
      <c r="E7297" s="439"/>
      <c r="F7297" s="439"/>
      <c r="Z7297" s="500"/>
      <c r="AA7297" s="500"/>
      <c r="AB7297" s="500"/>
      <c r="AC7297" s="500"/>
      <c r="AD7297" s="500"/>
      <c r="AE7297" s="500"/>
      <c r="AF7297" s="500"/>
      <c r="AG7297" s="500"/>
      <c r="AH7297" s="500"/>
      <c r="AI7297" s="500"/>
      <c r="AJ7297" s="500"/>
      <c r="AK7297" s="500"/>
      <c r="AL7297" s="500"/>
      <c r="AM7297" s="500"/>
      <c r="AN7297" s="500"/>
      <c r="AO7297" s="500"/>
      <c r="AP7297" s="500"/>
    </row>
    <row r="7298" spans="1:42" ht="16.5" customHeight="1">
      <c r="A7298" s="439"/>
      <c r="B7298" s="439"/>
      <c r="C7298" s="439"/>
      <c r="D7298" s="439"/>
      <c r="E7298" s="439"/>
      <c r="F7298" s="439"/>
      <c r="Z7298" s="500"/>
      <c r="AA7298" s="500"/>
      <c r="AB7298" s="500"/>
      <c r="AC7298" s="500"/>
      <c r="AD7298" s="500"/>
      <c r="AE7298" s="500"/>
      <c r="AF7298" s="500"/>
      <c r="AG7298" s="500"/>
      <c r="AH7298" s="500"/>
      <c r="AI7298" s="500"/>
      <c r="AJ7298" s="500"/>
      <c r="AK7298" s="500"/>
      <c r="AL7298" s="500"/>
      <c r="AM7298" s="500"/>
      <c r="AN7298" s="500"/>
      <c r="AO7298" s="500"/>
      <c r="AP7298" s="500"/>
    </row>
    <row r="7299" spans="1:42" ht="16.5" customHeight="1">
      <c r="A7299" s="439"/>
      <c r="B7299" s="439"/>
      <c r="C7299" s="439"/>
      <c r="D7299" s="439"/>
      <c r="E7299" s="439"/>
      <c r="F7299" s="439"/>
      <c r="Z7299" s="500"/>
      <c r="AA7299" s="500"/>
      <c r="AB7299" s="500"/>
      <c r="AC7299" s="500"/>
      <c r="AD7299" s="500"/>
      <c r="AE7299" s="500"/>
      <c r="AF7299" s="500"/>
      <c r="AG7299" s="500"/>
      <c r="AH7299" s="500"/>
      <c r="AI7299" s="500"/>
      <c r="AJ7299" s="500"/>
      <c r="AK7299" s="500"/>
      <c r="AL7299" s="500"/>
      <c r="AM7299" s="500"/>
      <c r="AN7299" s="500"/>
      <c r="AO7299" s="500"/>
      <c r="AP7299" s="500"/>
    </row>
    <row r="7300" spans="1:42" ht="16.5" customHeight="1">
      <c r="A7300" s="439"/>
      <c r="B7300" s="439"/>
      <c r="C7300" s="439"/>
      <c r="D7300" s="439"/>
      <c r="E7300" s="439"/>
      <c r="F7300" s="439"/>
      <c r="Z7300" s="500"/>
      <c r="AA7300" s="500"/>
      <c r="AB7300" s="500"/>
      <c r="AC7300" s="500"/>
      <c r="AD7300" s="500"/>
      <c r="AE7300" s="500"/>
      <c r="AF7300" s="500"/>
      <c r="AG7300" s="500"/>
      <c r="AH7300" s="500"/>
      <c r="AI7300" s="500"/>
      <c r="AJ7300" s="500"/>
      <c r="AK7300" s="500"/>
      <c r="AL7300" s="500"/>
      <c r="AM7300" s="500"/>
      <c r="AN7300" s="500"/>
      <c r="AO7300" s="500"/>
      <c r="AP7300" s="500"/>
    </row>
    <row r="7301" spans="1:42" ht="16.5" customHeight="1">
      <c r="A7301" s="439"/>
      <c r="B7301" s="439"/>
      <c r="C7301" s="439"/>
      <c r="D7301" s="439"/>
      <c r="E7301" s="439"/>
      <c r="F7301" s="439"/>
      <c r="Z7301" s="500"/>
      <c r="AA7301" s="500"/>
      <c r="AB7301" s="500"/>
      <c r="AC7301" s="500"/>
      <c r="AD7301" s="500"/>
      <c r="AE7301" s="500"/>
      <c r="AF7301" s="500"/>
      <c r="AG7301" s="500"/>
      <c r="AH7301" s="500"/>
      <c r="AI7301" s="500"/>
      <c r="AJ7301" s="500"/>
      <c r="AK7301" s="500"/>
      <c r="AL7301" s="500"/>
      <c r="AM7301" s="500"/>
      <c r="AN7301" s="500"/>
      <c r="AO7301" s="500"/>
      <c r="AP7301" s="500"/>
    </row>
    <row r="7302" spans="1:42" ht="16.5" customHeight="1">
      <c r="A7302" s="439"/>
      <c r="B7302" s="439"/>
      <c r="C7302" s="439"/>
      <c r="D7302" s="439"/>
      <c r="E7302" s="439"/>
      <c r="F7302" s="439"/>
      <c r="Z7302" s="500"/>
      <c r="AA7302" s="500"/>
      <c r="AB7302" s="500"/>
      <c r="AC7302" s="500"/>
      <c r="AD7302" s="500"/>
      <c r="AE7302" s="500"/>
      <c r="AF7302" s="500"/>
      <c r="AG7302" s="500"/>
      <c r="AH7302" s="500"/>
      <c r="AI7302" s="500"/>
      <c r="AJ7302" s="500"/>
      <c r="AK7302" s="500"/>
      <c r="AL7302" s="500"/>
      <c r="AM7302" s="500"/>
      <c r="AN7302" s="500"/>
      <c r="AO7302" s="500"/>
      <c r="AP7302" s="500"/>
    </row>
    <row r="7303" spans="1:42" ht="16.5" customHeight="1">
      <c r="A7303" s="497"/>
      <c r="B7303" s="497"/>
      <c r="C7303" s="497"/>
      <c r="D7303" s="497"/>
      <c r="E7303" s="497"/>
      <c r="F7303" s="497"/>
      <c r="Z7303" s="500"/>
      <c r="AA7303" s="500"/>
      <c r="AB7303" s="500"/>
      <c r="AC7303" s="500"/>
      <c r="AD7303" s="500"/>
      <c r="AE7303" s="500"/>
      <c r="AF7303" s="500"/>
      <c r="AG7303" s="500"/>
      <c r="AH7303" s="500"/>
      <c r="AI7303" s="500"/>
      <c r="AJ7303" s="500"/>
      <c r="AK7303" s="500"/>
      <c r="AL7303" s="500"/>
      <c r="AM7303" s="500"/>
      <c r="AN7303" s="500"/>
      <c r="AO7303" s="500"/>
      <c r="AP7303" s="500"/>
    </row>
    <row r="7304" spans="1:42" ht="16.5" customHeight="1">
      <c r="A7304" s="616" t="s">
        <v>3487</v>
      </c>
      <c r="B7304" s="605"/>
      <c r="C7304" s="446">
        <f>E7304+D7304+F7304</f>
        <v>5432</v>
      </c>
      <c r="D7304" s="453">
        <f>ROUNDDOWN(SUMIF(N7257:N7272,M7304,D7257:D7272),0)</f>
        <v>5432</v>
      </c>
      <c r="E7304" s="454">
        <f>ROUNDDOWN(SUMIF(N7257:N7272,M7304,E7257:E7272),0)</f>
        <v>0</v>
      </c>
      <c r="F7304" s="446">
        <f>ROUNDDOWN(SUMIF(N7257:N7272,M7304,F7257:F7272),0)</f>
        <v>0</v>
      </c>
      <c r="M7304" s="501" t="s">
        <v>2354</v>
      </c>
      <c r="Z7304" s="500"/>
      <c r="AA7304" s="500"/>
      <c r="AB7304" s="500"/>
      <c r="AC7304" s="500"/>
      <c r="AD7304" s="500"/>
      <c r="AE7304" s="500"/>
      <c r="AF7304" s="500"/>
      <c r="AG7304" s="500"/>
      <c r="AH7304" s="500"/>
      <c r="AI7304" s="500"/>
      <c r="AJ7304" s="500"/>
      <c r="AK7304" s="500"/>
      <c r="AL7304" s="500"/>
      <c r="AM7304" s="500"/>
      <c r="AN7304" s="500"/>
      <c r="AO7304" s="500"/>
      <c r="AP7304" s="500"/>
    </row>
    <row r="7305" spans="1:42" ht="16.5" customHeight="1">
      <c r="A7305" s="502" t="s">
        <v>3377</v>
      </c>
      <c r="B7305" s="503" t="s">
        <v>1999</v>
      </c>
      <c r="C7305" s="615">
        <f>C7354</f>
        <v>949</v>
      </c>
      <c r="D7305" s="615">
        <f>D7354</f>
        <v>857</v>
      </c>
      <c r="E7305" s="615">
        <f>E7354</f>
        <v>2</v>
      </c>
      <c r="F7305" s="615">
        <f>F7354</f>
        <v>90</v>
      </c>
      <c r="G7305" s="486" t="str">
        <f>HYPERLINK("#G"&amp;ROW(G7349),"_x0005_`BDCOD|D01177_x0007_`POSS|"&amp;ROW(G7307)&amp;"_x0007_`POSE|"&amp;ROW(G7349)&amp;"_x0007_`")</f>
        <v>_x0005_`BDCOD|D01177_x0007_`POSS|7307_x0007_`POSE|7349_x0007_`</v>
      </c>
      <c r="Z7305" s="500"/>
      <c r="AA7305" s="500"/>
      <c r="AB7305" s="500"/>
      <c r="AC7305" s="500"/>
      <c r="AD7305" s="500"/>
      <c r="AE7305" s="500"/>
      <c r="AF7305" s="500"/>
      <c r="AG7305" s="500"/>
      <c r="AH7305" s="500"/>
      <c r="AI7305" s="500"/>
      <c r="AJ7305" s="500"/>
      <c r="AK7305" s="500"/>
      <c r="AL7305" s="500"/>
      <c r="AM7305" s="500"/>
      <c r="AN7305" s="500"/>
      <c r="AO7305" s="500"/>
      <c r="AP7305" s="500"/>
    </row>
    <row r="7306" spans="1:42" ht="16.5" customHeight="1">
      <c r="A7306" s="485"/>
      <c r="B7306" s="503" t="s">
        <v>4183</v>
      </c>
      <c r="C7306" s="593"/>
      <c r="D7306" s="593"/>
      <c r="E7306" s="593"/>
      <c r="F7306" s="593"/>
      <c r="M7306" s="501" t="s">
        <v>1999</v>
      </c>
      <c r="Z7306" s="500"/>
      <c r="AA7306" s="500"/>
      <c r="AB7306" s="500"/>
      <c r="AC7306" s="500"/>
      <c r="AD7306" s="500"/>
      <c r="AE7306" s="500"/>
      <c r="AF7306" s="500"/>
      <c r="AG7306" s="500"/>
      <c r="AH7306" s="500"/>
      <c r="AI7306" s="500"/>
      <c r="AJ7306" s="500"/>
      <c r="AK7306" s="500"/>
      <c r="AL7306" s="500"/>
      <c r="AM7306" s="500"/>
      <c r="AN7306" s="500"/>
      <c r="AO7306" s="500"/>
      <c r="AP7306" s="500"/>
    </row>
    <row r="7307" spans="1:42" ht="16.5" customHeight="1">
      <c r="A7307" s="439"/>
      <c r="B7307" s="439"/>
      <c r="C7307" s="504"/>
      <c r="D7307" s="504"/>
      <c r="E7307" s="504"/>
      <c r="F7307" s="504"/>
      <c r="G7307" s="451" t="s">
        <v>3406</v>
      </c>
      <c r="Z7307" s="500"/>
      <c r="AA7307" s="500"/>
      <c r="AB7307" s="500"/>
      <c r="AC7307" s="500"/>
      <c r="AD7307" s="500"/>
      <c r="AE7307" s="500"/>
      <c r="AF7307" s="500"/>
      <c r="AG7307" s="500"/>
      <c r="AH7307" s="500"/>
      <c r="AI7307" s="500"/>
      <c r="AJ7307" s="500"/>
      <c r="AK7307" s="500"/>
      <c r="AL7307" s="500"/>
      <c r="AM7307" s="500"/>
      <c r="AN7307" s="500"/>
      <c r="AO7307" s="500"/>
      <c r="AP7307" s="500"/>
    </row>
    <row r="7308" spans="1:42" ht="16.5" customHeight="1">
      <c r="A7308" s="439"/>
      <c r="B7308" s="439"/>
      <c r="C7308" s="439"/>
      <c r="D7308" s="439"/>
      <c r="E7308" s="439"/>
      <c r="F7308" s="439"/>
      <c r="G7308" s="451" t="s">
        <v>3406</v>
      </c>
      <c r="Z7308" s="500"/>
      <c r="AA7308" s="500"/>
      <c r="AB7308" s="500"/>
      <c r="AC7308" s="500"/>
      <c r="AD7308" s="500"/>
      <c r="AE7308" s="500"/>
      <c r="AF7308" s="500"/>
      <c r="AG7308" s="500"/>
      <c r="AH7308" s="500"/>
      <c r="AI7308" s="500"/>
      <c r="AJ7308" s="500"/>
      <c r="AK7308" s="500"/>
      <c r="AL7308" s="500"/>
      <c r="AM7308" s="500"/>
      <c r="AN7308" s="500"/>
      <c r="AO7308" s="500"/>
      <c r="AP7308" s="500"/>
    </row>
    <row r="7309" spans="1:42" ht="16.5" customHeight="1">
      <c r="A7309" s="434"/>
      <c r="B7309" s="437" t="s">
        <v>4184</v>
      </c>
      <c r="C7309" s="439"/>
      <c r="D7309" s="439"/>
      <c r="E7309" s="439"/>
      <c r="F7309" s="439"/>
      <c r="G7309" s="451" t="s">
        <v>4185</v>
      </c>
      <c r="Z7309" s="500"/>
      <c r="AA7309" s="500"/>
      <c r="AB7309" s="500"/>
      <c r="AC7309" s="500"/>
      <c r="AD7309" s="500"/>
      <c r="AE7309" s="500"/>
      <c r="AF7309" s="500"/>
      <c r="AG7309" s="500"/>
      <c r="AH7309" s="500"/>
      <c r="AI7309" s="500"/>
      <c r="AJ7309" s="500"/>
      <c r="AK7309" s="500"/>
      <c r="AL7309" s="500"/>
      <c r="AM7309" s="500"/>
      <c r="AN7309" s="500"/>
      <c r="AO7309" s="500"/>
      <c r="AP7309" s="500"/>
    </row>
    <row r="7310" spans="1:42" ht="16.5" customHeight="1">
      <c r="A7310" s="439"/>
      <c r="B7310" s="439"/>
      <c r="C7310" s="439"/>
      <c r="D7310" s="439"/>
      <c r="E7310" s="439"/>
      <c r="F7310" s="439"/>
      <c r="G7310" s="451" t="s">
        <v>3406</v>
      </c>
      <c r="Z7310" s="500"/>
      <c r="AA7310" s="500"/>
      <c r="AB7310" s="500"/>
      <c r="AC7310" s="500"/>
      <c r="AD7310" s="500"/>
      <c r="AE7310" s="500"/>
      <c r="AF7310" s="500"/>
      <c r="AG7310" s="500"/>
      <c r="AH7310" s="500"/>
      <c r="AI7310" s="500"/>
      <c r="AJ7310" s="500"/>
      <c r="AK7310" s="500"/>
      <c r="AL7310" s="500"/>
      <c r="AM7310" s="500"/>
      <c r="AN7310" s="500"/>
      <c r="AO7310" s="500"/>
      <c r="AP7310" s="500"/>
    </row>
    <row r="7311" spans="1:42" ht="16.5" customHeight="1">
      <c r="A7311" s="439"/>
      <c r="B7311" s="439"/>
      <c r="C7311" s="439"/>
      <c r="D7311" s="439"/>
      <c r="E7311" s="439"/>
      <c r="F7311" s="439"/>
      <c r="G7311" s="451" t="s">
        <v>3406</v>
      </c>
      <c r="Z7311" s="500"/>
      <c r="AA7311" s="500"/>
      <c r="AB7311" s="500"/>
      <c r="AC7311" s="500"/>
      <c r="AD7311" s="500"/>
      <c r="AE7311" s="500"/>
      <c r="AF7311" s="500"/>
      <c r="AG7311" s="500"/>
      <c r="AH7311" s="500"/>
      <c r="AI7311" s="500"/>
      <c r="AJ7311" s="500"/>
      <c r="AK7311" s="500"/>
      <c r="AL7311" s="500"/>
      <c r="AM7311" s="500"/>
      <c r="AN7311" s="500"/>
      <c r="AO7311" s="500"/>
      <c r="AP7311" s="500"/>
    </row>
    <row r="7312" spans="1:42" ht="16.5" customHeight="1">
      <c r="A7312" s="434"/>
      <c r="B7312" s="437" t="s">
        <v>4186</v>
      </c>
      <c r="C7312" s="439"/>
      <c r="D7312" s="439"/>
      <c r="E7312" s="439"/>
      <c r="F7312" s="439"/>
      <c r="G7312" s="451" t="s">
        <v>4187</v>
      </c>
      <c r="Z7312" s="500"/>
      <c r="AA7312" s="500"/>
      <c r="AB7312" s="500"/>
      <c r="AC7312" s="500"/>
      <c r="AD7312" s="500"/>
      <c r="AE7312" s="500"/>
      <c r="AF7312" s="500"/>
      <c r="AG7312" s="500"/>
      <c r="AH7312" s="500"/>
      <c r="AI7312" s="500"/>
      <c r="AJ7312" s="500"/>
      <c r="AK7312" s="500"/>
      <c r="AL7312" s="500"/>
      <c r="AM7312" s="500"/>
      <c r="AN7312" s="500"/>
      <c r="AO7312" s="500"/>
      <c r="AP7312" s="500"/>
    </row>
    <row r="7313" spans="1:42" ht="16.5" customHeight="1">
      <c r="A7313" s="439"/>
      <c r="B7313" s="439"/>
      <c r="C7313" s="439"/>
      <c r="D7313" s="439"/>
      <c r="E7313" s="439"/>
      <c r="F7313" s="439"/>
      <c r="G7313" s="451" t="s">
        <v>3406</v>
      </c>
      <c r="Z7313" s="500"/>
      <c r="AA7313" s="500"/>
      <c r="AB7313" s="500"/>
      <c r="AC7313" s="500"/>
      <c r="AD7313" s="500"/>
      <c r="AE7313" s="500"/>
      <c r="AF7313" s="500"/>
      <c r="AG7313" s="500"/>
      <c r="AH7313" s="500"/>
      <c r="AI7313" s="500"/>
      <c r="AJ7313" s="500"/>
      <c r="AK7313" s="500"/>
      <c r="AL7313" s="500"/>
      <c r="AM7313" s="500"/>
      <c r="AN7313" s="500"/>
      <c r="AO7313" s="500"/>
      <c r="AP7313" s="500"/>
    </row>
    <row r="7314" spans="1:42" ht="16.5" customHeight="1">
      <c r="A7314" s="439"/>
      <c r="B7314" s="439"/>
      <c r="C7314" s="439"/>
      <c r="D7314" s="439"/>
      <c r="E7314" s="439"/>
      <c r="F7314" s="439"/>
      <c r="G7314" s="451" t="s">
        <v>3406</v>
      </c>
      <c r="Z7314" s="500"/>
      <c r="AA7314" s="500"/>
      <c r="AB7314" s="500"/>
      <c r="AC7314" s="500"/>
      <c r="AD7314" s="500"/>
      <c r="AE7314" s="500"/>
      <c r="AF7314" s="500"/>
      <c r="AG7314" s="500"/>
      <c r="AH7314" s="500"/>
      <c r="AI7314" s="500"/>
      <c r="AJ7314" s="500"/>
      <c r="AK7314" s="500"/>
      <c r="AL7314" s="500"/>
      <c r="AM7314" s="500"/>
      <c r="AN7314" s="500"/>
      <c r="AO7314" s="500"/>
      <c r="AP7314" s="500"/>
    </row>
    <row r="7315" spans="1:42" ht="16.5" customHeight="1">
      <c r="A7315" s="434"/>
      <c r="B7315" s="437" t="s">
        <v>4188</v>
      </c>
      <c r="C7315" s="439"/>
      <c r="D7315" s="439"/>
      <c r="E7315" s="439"/>
      <c r="F7315" s="439"/>
      <c r="G7315" s="451" t="s">
        <v>4189</v>
      </c>
      <c r="Z7315" s="500"/>
      <c r="AA7315" s="500"/>
      <c r="AB7315" s="500"/>
      <c r="AC7315" s="500"/>
      <c r="AD7315" s="500"/>
      <c r="AE7315" s="500"/>
      <c r="AF7315" s="500"/>
      <c r="AG7315" s="500"/>
      <c r="AH7315" s="500"/>
      <c r="AI7315" s="500"/>
      <c r="AJ7315" s="500"/>
      <c r="AK7315" s="500"/>
      <c r="AL7315" s="500"/>
      <c r="AM7315" s="500"/>
      <c r="AN7315" s="500"/>
      <c r="AO7315" s="500"/>
      <c r="AP7315" s="500"/>
    </row>
    <row r="7316" spans="1:42" ht="16.5" customHeight="1">
      <c r="A7316" s="439"/>
      <c r="B7316" s="439"/>
      <c r="C7316" s="439"/>
      <c r="D7316" s="439"/>
      <c r="E7316" s="439"/>
      <c r="F7316" s="439"/>
      <c r="G7316" s="451" t="s">
        <v>3406</v>
      </c>
      <c r="Z7316" s="500"/>
      <c r="AA7316" s="500"/>
      <c r="AB7316" s="500"/>
      <c r="AC7316" s="500"/>
      <c r="AD7316" s="500"/>
      <c r="AE7316" s="500"/>
      <c r="AF7316" s="500"/>
      <c r="AG7316" s="500"/>
      <c r="AH7316" s="500"/>
      <c r="AI7316" s="500"/>
      <c r="AJ7316" s="500"/>
      <c r="AK7316" s="500"/>
      <c r="AL7316" s="500"/>
      <c r="AM7316" s="500"/>
      <c r="AN7316" s="500"/>
      <c r="AO7316" s="500"/>
      <c r="AP7316" s="500"/>
    </row>
    <row r="7317" spans="1:42" ht="16.5" customHeight="1">
      <c r="A7317" s="434"/>
      <c r="B7317" s="437" t="str">
        <f>" P = ("&amp;AA7317&amp;"+"&amp;AC7317&amp;"+"&amp;AE7317&amp;")/"&amp;AG7317&amp;" = "&amp;AI7317&amp;"  인 "</f>
        <v xml:space="preserve"> P = (2.14+2.8+3.65)/3 = 2.86  인 </v>
      </c>
      <c r="C7317" s="439"/>
      <c r="D7317" s="439"/>
      <c r="E7317" s="439"/>
      <c r="F7317" s="439"/>
      <c r="G7317" s="451" t="s">
        <v>4190</v>
      </c>
      <c r="Z7317" s="501" t="s">
        <v>3467</v>
      </c>
      <c r="AA7317" s="511">
        <v>2.14</v>
      </c>
      <c r="AB7317" s="501" t="s">
        <v>3468</v>
      </c>
      <c r="AC7317" s="511">
        <v>2.8</v>
      </c>
      <c r="AD7317" s="501" t="s">
        <v>3468</v>
      </c>
      <c r="AE7317" s="511">
        <v>3.65</v>
      </c>
      <c r="AF7317" s="501" t="s">
        <v>3475</v>
      </c>
      <c r="AG7317" s="515">
        <v>3</v>
      </c>
      <c r="AH7317" s="501" t="s">
        <v>3418</v>
      </c>
      <c r="AI7317" s="512" t="str">
        <f>TEXT(ROUND((AA7317+AC7317+AE7317)/AG7317,2),"#,0.00")</f>
        <v>2.86</v>
      </c>
      <c r="AJ7317" s="500"/>
      <c r="AK7317" s="500"/>
      <c r="AL7317" s="500"/>
      <c r="AM7317" s="500"/>
      <c r="AN7317" s="500"/>
      <c r="AO7317" s="500"/>
      <c r="AP7317" s="500"/>
    </row>
    <row r="7318" spans="1:42" ht="16.5" customHeight="1">
      <c r="A7318" s="439"/>
      <c r="B7318" s="439"/>
      <c r="C7318" s="439"/>
      <c r="D7318" s="439"/>
      <c r="E7318" s="439"/>
      <c r="F7318" s="439"/>
      <c r="G7318" s="451" t="s">
        <v>3406</v>
      </c>
      <c r="Z7318" s="500"/>
      <c r="AA7318" s="500"/>
      <c r="AB7318" s="500"/>
      <c r="AC7318" s="500"/>
      <c r="AD7318" s="500"/>
      <c r="AE7318" s="500"/>
      <c r="AF7318" s="500"/>
      <c r="AG7318" s="500"/>
      <c r="AH7318" s="500"/>
      <c r="AI7318" s="500"/>
      <c r="AJ7318" s="500"/>
      <c r="AK7318" s="500"/>
      <c r="AL7318" s="500"/>
      <c r="AM7318" s="500"/>
      <c r="AN7318" s="500"/>
      <c r="AO7318" s="500"/>
      <c r="AP7318" s="500"/>
    </row>
    <row r="7319" spans="1:42" ht="16.5" customHeight="1">
      <c r="A7319" s="434" t="s">
        <v>4191</v>
      </c>
      <c r="B7319" s="505" t="str">
        <f>" 노 무 비  :  P*"&amp;TEXT(I7319,"#,##0"&amp;IF(I7319&lt;&gt;INT(I7319),".###",""))&amp;"/"&amp;AB7319&amp;" = "&amp;TEXT(C7319,"#,##0.0")&amp;""</f>
        <v xml:space="preserve"> 노 무 비  :  P*253,243/1000 = 724.2</v>
      </c>
      <c r="C7319" s="506">
        <f>E7319+D7319+F7319</f>
        <v>724.2</v>
      </c>
      <c r="D7319" s="506">
        <f>IF(H7319=0,0,ROUNDDOWN(J7319*H7319,1))</f>
        <v>724.2</v>
      </c>
      <c r="E7319" s="506">
        <f>IF(H7319=0,0,ROUNDDOWN(K7319*H7319,1))</f>
        <v>0</v>
      </c>
      <c r="F7319" s="506">
        <f>IF(H7319=0,0,ROUNDDOWN(L7319*H7319,1))</f>
        <v>0</v>
      </c>
      <c r="G7319" s="451" t="s">
        <v>4192</v>
      </c>
      <c r="H7319" s="507">
        <f>ROUNDUP(AD7319,14-LEN(ABS(INT(AD7319))))</f>
        <v>2.8600000000000001E-3</v>
      </c>
      <c r="I7319" s="508">
        <f>K7319+J7319+L7319</f>
        <v>253243</v>
      </c>
      <c r="J7319" s="509">
        <f>노무비목록표!E9</f>
        <v>253243</v>
      </c>
      <c r="M7319" s="501" t="s">
        <v>2832</v>
      </c>
      <c r="N7319" s="501" t="s">
        <v>3416</v>
      </c>
      <c r="X7319" s="510" t="str">
        <f>노무비목록표!B9&amp;" / "&amp;노무비목록표!C9</f>
        <v xml:space="preserve">벌목부 / </v>
      </c>
      <c r="Y7319" s="433" t="str">
        <f ca="1">HYPERLINK("#"&amp;노무비목록표!G2&amp;"!A"&amp;ROW(노무비목록표!A9),"L00188 →")</f>
        <v>L00188 →</v>
      </c>
      <c r="Z7319" s="512" t="str">
        <f>AI7317</f>
        <v>2.86</v>
      </c>
      <c r="AA7319" s="501" t="s">
        <v>3777</v>
      </c>
      <c r="AB7319" s="515">
        <v>1000</v>
      </c>
      <c r="AC7319" s="501" t="s">
        <v>3418</v>
      </c>
      <c r="AD7319" s="512">
        <f>AI7317*1/AB7319</f>
        <v>2.8599999999999997E-3</v>
      </c>
      <c r="AE7319" s="500"/>
      <c r="AF7319" s="500"/>
      <c r="AG7319" s="500"/>
      <c r="AH7319" s="500"/>
      <c r="AI7319" s="500"/>
      <c r="AJ7319" s="500"/>
      <c r="AK7319" s="500"/>
      <c r="AL7319" s="500"/>
      <c r="AM7319" s="500"/>
      <c r="AN7319" s="500"/>
      <c r="AO7319" s="500"/>
      <c r="AP7319" s="500"/>
    </row>
    <row r="7320" spans="1:42" ht="16.5" customHeight="1">
      <c r="A7320" s="439"/>
      <c r="B7320" s="439"/>
      <c r="C7320" s="439"/>
      <c r="D7320" s="439"/>
      <c r="E7320" s="439"/>
      <c r="F7320" s="439"/>
      <c r="G7320" s="451" t="s">
        <v>3406</v>
      </c>
      <c r="Z7320" s="500"/>
      <c r="AA7320" s="500"/>
      <c r="AB7320" s="500"/>
      <c r="AC7320" s="500"/>
      <c r="AD7320" s="500"/>
      <c r="AE7320" s="500"/>
      <c r="AF7320" s="500"/>
      <c r="AG7320" s="500"/>
      <c r="AH7320" s="500"/>
      <c r="AI7320" s="500"/>
      <c r="AJ7320" s="500"/>
      <c r="AK7320" s="500"/>
      <c r="AL7320" s="500"/>
      <c r="AM7320" s="500"/>
      <c r="AN7320" s="500"/>
      <c r="AO7320" s="500"/>
      <c r="AP7320" s="500"/>
    </row>
    <row r="7321" spans="1:42" ht="16.5" customHeight="1">
      <c r="A7321" s="439"/>
      <c r="B7321" s="439"/>
      <c r="C7321" s="439"/>
      <c r="D7321" s="439"/>
      <c r="E7321" s="439"/>
      <c r="F7321" s="439"/>
      <c r="G7321" s="451" t="s">
        <v>3406</v>
      </c>
      <c r="Z7321" s="500"/>
      <c r="AA7321" s="500"/>
      <c r="AB7321" s="500"/>
      <c r="AC7321" s="500"/>
      <c r="AD7321" s="500"/>
      <c r="AE7321" s="500"/>
      <c r="AF7321" s="500"/>
      <c r="AG7321" s="500"/>
      <c r="AH7321" s="500"/>
      <c r="AI7321" s="500"/>
      <c r="AJ7321" s="500"/>
      <c r="AK7321" s="500"/>
      <c r="AL7321" s="500"/>
      <c r="AM7321" s="500"/>
      <c r="AN7321" s="500"/>
      <c r="AO7321" s="500"/>
      <c r="AP7321" s="500"/>
    </row>
    <row r="7322" spans="1:42" ht="16.5" customHeight="1">
      <c r="A7322" s="434"/>
      <c r="B7322" s="437" t="s">
        <v>3773</v>
      </c>
      <c r="C7322" s="439"/>
      <c r="D7322" s="439"/>
      <c r="E7322" s="439"/>
      <c r="F7322" s="439"/>
      <c r="G7322" s="451" t="s">
        <v>3774</v>
      </c>
      <c r="Z7322" s="500"/>
      <c r="AA7322" s="500"/>
      <c r="AB7322" s="500"/>
      <c r="AC7322" s="500"/>
      <c r="AD7322" s="500"/>
      <c r="AE7322" s="500"/>
      <c r="AF7322" s="500"/>
      <c r="AG7322" s="500"/>
      <c r="AH7322" s="500"/>
      <c r="AI7322" s="500"/>
      <c r="AJ7322" s="500"/>
      <c r="AK7322" s="500"/>
      <c r="AL7322" s="500"/>
      <c r="AM7322" s="500"/>
      <c r="AN7322" s="500"/>
      <c r="AO7322" s="500"/>
      <c r="AP7322" s="500"/>
    </row>
    <row r="7323" spans="1:42" ht="16.5" customHeight="1">
      <c r="A7323" s="439"/>
      <c r="B7323" s="439"/>
      <c r="C7323" s="439"/>
      <c r="D7323" s="439"/>
      <c r="E7323" s="439"/>
      <c r="F7323" s="439"/>
      <c r="G7323" s="451" t="s">
        <v>3406</v>
      </c>
      <c r="Z7323" s="500"/>
      <c r="AA7323" s="500"/>
      <c r="AB7323" s="500"/>
      <c r="AC7323" s="500"/>
      <c r="AD7323" s="500"/>
      <c r="AE7323" s="500"/>
      <c r="AF7323" s="500"/>
      <c r="AG7323" s="500"/>
      <c r="AH7323" s="500"/>
      <c r="AI7323" s="500"/>
      <c r="AJ7323" s="500"/>
      <c r="AK7323" s="500"/>
      <c r="AL7323" s="500"/>
      <c r="AM7323" s="500"/>
      <c r="AN7323" s="500"/>
      <c r="AO7323" s="500"/>
      <c r="AP7323" s="500"/>
    </row>
    <row r="7324" spans="1:42" ht="16.5" customHeight="1">
      <c r="A7324" s="434"/>
      <c r="B7324" s="437" t="str">
        <f>" Q = ("&amp;AA7324&amp;"+"&amp;AC7324&amp;"+"&amp;AE7324&amp;")/"&amp;AG7324&amp;" = "&amp;AI7324&amp;"   인 "</f>
        <v xml:space="preserve"> Q = (0.51+0.66+0.87)/3 = 0.68   인 </v>
      </c>
      <c r="C7324" s="439"/>
      <c r="D7324" s="439"/>
      <c r="E7324" s="439"/>
      <c r="F7324" s="439"/>
      <c r="G7324" s="451" t="s">
        <v>4193</v>
      </c>
      <c r="Z7324" s="501" t="s">
        <v>3467</v>
      </c>
      <c r="AA7324" s="511">
        <v>0.51</v>
      </c>
      <c r="AB7324" s="501" t="s">
        <v>3468</v>
      </c>
      <c r="AC7324" s="511">
        <v>0.66</v>
      </c>
      <c r="AD7324" s="501" t="s">
        <v>3468</v>
      </c>
      <c r="AE7324" s="511">
        <v>0.87</v>
      </c>
      <c r="AF7324" s="501" t="s">
        <v>3475</v>
      </c>
      <c r="AG7324" s="515">
        <v>3</v>
      </c>
      <c r="AH7324" s="501" t="s">
        <v>3418</v>
      </c>
      <c r="AI7324" s="512" t="str">
        <f>TEXT(ROUND((AA7324+AC7324+AE7324)/AG7324,2),"#,0.00")</f>
        <v>0.68</v>
      </c>
      <c r="AJ7324" s="500"/>
      <c r="AK7324" s="500"/>
      <c r="AL7324" s="500"/>
      <c r="AM7324" s="500"/>
      <c r="AN7324" s="500"/>
      <c r="AO7324" s="500"/>
      <c r="AP7324" s="500"/>
    </row>
    <row r="7325" spans="1:42" ht="16.5" customHeight="1">
      <c r="A7325" s="439"/>
      <c r="B7325" s="439"/>
      <c r="C7325" s="439"/>
      <c r="D7325" s="439"/>
      <c r="E7325" s="439"/>
      <c r="F7325" s="439"/>
      <c r="G7325" s="451" t="s">
        <v>3406</v>
      </c>
      <c r="Z7325" s="500"/>
      <c r="AA7325" s="500"/>
      <c r="AB7325" s="500"/>
      <c r="AC7325" s="500"/>
      <c r="AD7325" s="500"/>
      <c r="AE7325" s="500"/>
      <c r="AF7325" s="500"/>
      <c r="AG7325" s="500"/>
      <c r="AH7325" s="500"/>
      <c r="AI7325" s="500"/>
      <c r="AJ7325" s="500"/>
      <c r="AK7325" s="500"/>
      <c r="AL7325" s="500"/>
      <c r="AM7325" s="500"/>
      <c r="AN7325" s="500"/>
      <c r="AO7325" s="500"/>
      <c r="AP7325" s="500"/>
    </row>
    <row r="7326" spans="1:42" ht="16.5" customHeight="1">
      <c r="A7326" s="434" t="s">
        <v>3414</v>
      </c>
      <c r="B7326" s="505" t="str">
        <f>" 노 무 비  :  Q*"&amp;TEXT(I7326,"#,##0"&amp;IF(I7326&lt;&gt;INT(I7326),".###",""))&amp;"/"&amp;AB7326&amp;" = "&amp;TEXT(C7326,"#,##0.0")&amp;""</f>
        <v xml:space="preserve"> 노 무 비  :  Q*172,068/1000 = 117.0</v>
      </c>
      <c r="C7326" s="506">
        <f>E7326+D7326+F7326</f>
        <v>117</v>
      </c>
      <c r="D7326" s="506">
        <f>IF(H7326=0,0,ROUNDDOWN(J7326*H7326,1))</f>
        <v>117</v>
      </c>
      <c r="E7326" s="506">
        <f>IF(H7326=0,0,ROUNDDOWN(K7326*H7326,1))</f>
        <v>0</v>
      </c>
      <c r="F7326" s="506">
        <f>IF(H7326=0,0,ROUNDDOWN(L7326*H7326,1))</f>
        <v>0</v>
      </c>
      <c r="G7326" s="451" t="s">
        <v>4194</v>
      </c>
      <c r="H7326" s="507">
        <f>ROUNDUP(AD7326,14-LEN(ABS(INT(AD7326))))</f>
        <v>6.8000000000000005E-4</v>
      </c>
      <c r="I7326" s="508">
        <f>K7326+J7326+L7326</f>
        <v>172068</v>
      </c>
      <c r="J7326" s="509">
        <f>노무비목록표!E10</f>
        <v>172068</v>
      </c>
      <c r="M7326" s="501" t="s">
        <v>2363</v>
      </c>
      <c r="N7326" s="501" t="s">
        <v>3416</v>
      </c>
      <c r="X7326" s="510" t="str">
        <f>노무비목록표!B10&amp;" / "&amp;노무비목록표!C10</f>
        <v xml:space="preserve">보통인부 / </v>
      </c>
      <c r="Y7326" s="433" t="str">
        <f ca="1">HYPERLINK("#"&amp;노무비목록표!G2&amp;"!A"&amp;ROW(노무비목록표!A10),"L00017 →")</f>
        <v>L00017 →</v>
      </c>
      <c r="Z7326" s="512" t="str">
        <f>AI7324</f>
        <v>0.68</v>
      </c>
      <c r="AA7326" s="501" t="s">
        <v>3777</v>
      </c>
      <c r="AB7326" s="515">
        <v>1000</v>
      </c>
      <c r="AC7326" s="501" t="s">
        <v>3418</v>
      </c>
      <c r="AD7326" s="512">
        <f>AI7324*1/AB7326</f>
        <v>6.8000000000000005E-4</v>
      </c>
      <c r="AE7326" s="500"/>
      <c r="AF7326" s="500"/>
      <c r="AG7326" s="500"/>
      <c r="AH7326" s="500"/>
      <c r="AI7326" s="500"/>
      <c r="AJ7326" s="500"/>
      <c r="AK7326" s="500"/>
      <c r="AL7326" s="500"/>
      <c r="AM7326" s="500"/>
      <c r="AN7326" s="500"/>
      <c r="AO7326" s="500"/>
      <c r="AP7326" s="500"/>
    </row>
    <row r="7327" spans="1:42" ht="16.5" customHeight="1">
      <c r="A7327" s="439"/>
      <c r="B7327" s="439"/>
      <c r="C7327" s="439"/>
      <c r="D7327" s="439"/>
      <c r="E7327" s="439"/>
      <c r="F7327" s="439"/>
      <c r="G7327" s="451" t="s">
        <v>3406</v>
      </c>
      <c r="Z7327" s="500"/>
      <c r="AA7327" s="500"/>
      <c r="AB7327" s="500"/>
      <c r="AC7327" s="500"/>
      <c r="AD7327" s="500"/>
      <c r="AE7327" s="500"/>
      <c r="AF7327" s="500"/>
      <c r="AG7327" s="500"/>
      <c r="AH7327" s="500"/>
      <c r="AI7327" s="500"/>
      <c r="AJ7327" s="500"/>
      <c r="AK7327" s="500"/>
      <c r="AL7327" s="500"/>
      <c r="AM7327" s="500"/>
      <c r="AN7327" s="500"/>
      <c r="AO7327" s="500"/>
      <c r="AP7327" s="500"/>
    </row>
    <row r="7328" spans="1:42" ht="16.5" customHeight="1">
      <c r="A7328" s="439"/>
      <c r="B7328" s="439"/>
      <c r="C7328" s="439"/>
      <c r="D7328" s="439"/>
      <c r="E7328" s="439"/>
      <c r="F7328" s="439"/>
      <c r="G7328" s="451" t="s">
        <v>3406</v>
      </c>
      <c r="Z7328" s="500"/>
      <c r="AA7328" s="500"/>
      <c r="AB7328" s="500"/>
      <c r="AC7328" s="500"/>
      <c r="AD7328" s="500"/>
      <c r="AE7328" s="500"/>
      <c r="AF7328" s="500"/>
      <c r="AG7328" s="500"/>
      <c r="AH7328" s="500"/>
      <c r="AI7328" s="500"/>
      <c r="AJ7328" s="500"/>
      <c r="AK7328" s="500"/>
      <c r="AL7328" s="500"/>
      <c r="AM7328" s="500"/>
      <c r="AN7328" s="500"/>
      <c r="AO7328" s="500"/>
      <c r="AP7328" s="500"/>
    </row>
    <row r="7329" spans="1:42" ht="16.5" customHeight="1">
      <c r="A7329" s="434"/>
      <c r="B7329" s="437" t="s">
        <v>4195</v>
      </c>
      <c r="C7329" s="439"/>
      <c r="D7329" s="439"/>
      <c r="E7329" s="439"/>
      <c r="F7329" s="439"/>
      <c r="G7329" s="451" t="s">
        <v>4196</v>
      </c>
      <c r="Z7329" s="500"/>
      <c r="AA7329" s="500"/>
      <c r="AB7329" s="500"/>
      <c r="AC7329" s="500"/>
      <c r="AD7329" s="500"/>
      <c r="AE7329" s="500"/>
      <c r="AF7329" s="500"/>
      <c r="AG7329" s="500"/>
      <c r="AH7329" s="500"/>
      <c r="AI7329" s="500"/>
      <c r="AJ7329" s="500"/>
      <c r="AK7329" s="500"/>
      <c r="AL7329" s="500"/>
      <c r="AM7329" s="500"/>
      <c r="AN7329" s="500"/>
      <c r="AO7329" s="500"/>
      <c r="AP7329" s="500"/>
    </row>
    <row r="7330" spans="1:42" ht="16.5" customHeight="1">
      <c r="A7330" s="439"/>
      <c r="B7330" s="439"/>
      <c r="C7330" s="439"/>
      <c r="D7330" s="439"/>
      <c r="E7330" s="439"/>
      <c r="F7330" s="439"/>
      <c r="G7330" s="451" t="s">
        <v>3406</v>
      </c>
      <c r="Z7330" s="500"/>
      <c r="AA7330" s="500"/>
      <c r="AB7330" s="500"/>
      <c r="AC7330" s="500"/>
      <c r="AD7330" s="500"/>
      <c r="AE7330" s="500"/>
      <c r="AF7330" s="500"/>
      <c r="AG7330" s="500"/>
      <c r="AH7330" s="500"/>
      <c r="AI7330" s="500"/>
      <c r="AJ7330" s="500"/>
      <c r="AK7330" s="500"/>
      <c r="AL7330" s="500"/>
      <c r="AM7330" s="500"/>
      <c r="AN7330" s="500"/>
      <c r="AO7330" s="500"/>
      <c r="AP7330" s="500"/>
    </row>
    <row r="7331" spans="1:42" ht="16.5" customHeight="1">
      <c r="A7331" s="434"/>
      <c r="B7331" s="437" t="str">
        <f>" Q = ("&amp;AA7331&amp;"+"&amp;AC7331&amp;"+"&amp;AE7331&amp;")/"&amp;AG7331&amp;" = "&amp;AI7331&amp;"   Hr "</f>
        <v xml:space="preserve"> Q = (2.71+3.54+4.61)/3 = 3.62   Hr </v>
      </c>
      <c r="C7331" s="439"/>
      <c r="D7331" s="439"/>
      <c r="E7331" s="439"/>
      <c r="F7331" s="439"/>
      <c r="G7331" s="451" t="s">
        <v>4197</v>
      </c>
      <c r="Z7331" s="501" t="s">
        <v>3467</v>
      </c>
      <c r="AA7331" s="511">
        <v>2.71</v>
      </c>
      <c r="AB7331" s="501" t="s">
        <v>3468</v>
      </c>
      <c r="AC7331" s="511">
        <v>3.54</v>
      </c>
      <c r="AD7331" s="501" t="s">
        <v>3468</v>
      </c>
      <c r="AE7331" s="511">
        <v>4.6100000000000003</v>
      </c>
      <c r="AF7331" s="501" t="s">
        <v>3475</v>
      </c>
      <c r="AG7331" s="515">
        <v>3</v>
      </c>
      <c r="AH7331" s="501" t="s">
        <v>3418</v>
      </c>
      <c r="AI7331" s="512" t="str">
        <f>TEXT(ROUND((AA7331+AC7331+AE7331)/AG7331,2),"#,0.00")</f>
        <v>3.62</v>
      </c>
      <c r="AJ7331" s="500"/>
      <c r="AK7331" s="500"/>
      <c r="AL7331" s="500"/>
      <c r="AM7331" s="500"/>
      <c r="AN7331" s="500"/>
      <c r="AO7331" s="500"/>
      <c r="AP7331" s="500"/>
    </row>
    <row r="7332" spans="1:42" ht="16.5" customHeight="1">
      <c r="A7332" s="439"/>
      <c r="B7332" s="439"/>
      <c r="C7332" s="439"/>
      <c r="D7332" s="439"/>
      <c r="E7332" s="439"/>
      <c r="F7332" s="439"/>
      <c r="G7332" s="451" t="s">
        <v>3406</v>
      </c>
      <c r="Z7332" s="500"/>
      <c r="AA7332" s="500"/>
      <c r="AB7332" s="500"/>
      <c r="AC7332" s="500"/>
      <c r="AD7332" s="500"/>
      <c r="AE7332" s="500"/>
      <c r="AF7332" s="500"/>
      <c r="AG7332" s="500"/>
      <c r="AH7332" s="500"/>
      <c r="AI7332" s="500"/>
      <c r="AJ7332" s="500"/>
      <c r="AK7332" s="500"/>
      <c r="AL7332" s="500"/>
      <c r="AM7332" s="500"/>
      <c r="AN7332" s="500"/>
      <c r="AO7332" s="500"/>
      <c r="AP7332" s="500"/>
    </row>
    <row r="7333" spans="1:42" ht="16.5" customHeight="1">
      <c r="A7333" s="434" t="s">
        <v>4198</v>
      </c>
      <c r="B7333" s="505" t="str">
        <f>"  노 무 비 :  "&amp;TEXT(I7333,"#,##0"&amp;IF(I7333&lt;&gt;INT(I7333),".###",""))&amp;" / Q / "&amp;AC7333&amp;" = "&amp;TEXT(C7333,"#,##0.0")&amp;""</f>
        <v xml:space="preserve">  노 무 비 :  59,020 / Q / 1000 = 16.3</v>
      </c>
      <c r="C7333" s="506">
        <f>E7333+D7333+F7333</f>
        <v>16.3</v>
      </c>
      <c r="D7333" s="506">
        <f>IF(H7333=0,0,ROUNDDOWN(J7333*H7333,1))</f>
        <v>16.3</v>
      </c>
      <c r="E7333" s="506">
        <f>IF(H7333=0,0,ROUNDDOWN(K7333*H7333,1))</f>
        <v>0</v>
      </c>
      <c r="F7333" s="506">
        <f>IF(H7333=0,0,ROUNDDOWN(L7333*H7333,1))</f>
        <v>0</v>
      </c>
      <c r="G7333" s="451" t="s">
        <v>4199</v>
      </c>
      <c r="H7333" s="507">
        <f>ROUNDUP(AE7333,14-LEN(ABS(INT(AE7333))))</f>
        <v>2.7624309399999997E-4</v>
      </c>
      <c r="I7333" s="508">
        <f>K7333+J7333+L7333</f>
        <v>59020</v>
      </c>
      <c r="J7333" s="509">
        <f>중기목록표!F6</f>
        <v>59020</v>
      </c>
      <c r="M7333" s="501" t="s">
        <v>4200</v>
      </c>
      <c r="N7333" s="501" t="s">
        <v>3416</v>
      </c>
      <c r="X7333" s="510" t="str">
        <f>중기목록표!B6&amp;" / "&amp;중기목록표!C6</f>
        <v>굴착기(무한궤도) / 0.2㎥,(부착용집게)</v>
      </c>
      <c r="Y7333" s="433" t="str">
        <f ca="1">HYPERLINK("#"&amp;중기목록표!J2&amp;"!A"&amp;ROW(중기목록표!A6),"X00323 →")</f>
        <v>X00323 →</v>
      </c>
      <c r="Z7333" s="501" t="s">
        <v>3434</v>
      </c>
      <c r="AA7333" s="512" t="str">
        <f>AI7331</f>
        <v>3.62</v>
      </c>
      <c r="AB7333" s="501" t="s">
        <v>3428</v>
      </c>
      <c r="AC7333" s="515">
        <v>1000</v>
      </c>
      <c r="AD7333" s="501" t="s">
        <v>3418</v>
      </c>
      <c r="AE7333" s="512">
        <f>1/AI7331/AC7333</f>
        <v>2.7624309392265195E-4</v>
      </c>
      <c r="AF7333" s="500"/>
      <c r="AG7333" s="500"/>
      <c r="AH7333" s="500"/>
      <c r="AI7333" s="500"/>
      <c r="AJ7333" s="500"/>
      <c r="AK7333" s="500"/>
      <c r="AL7333" s="500"/>
      <c r="AM7333" s="500"/>
      <c r="AN7333" s="500"/>
      <c r="AO7333" s="500"/>
      <c r="AP7333" s="500"/>
    </row>
    <row r="7334" spans="1:42" ht="16.5" customHeight="1">
      <c r="A7334" s="439"/>
      <c r="B7334" s="439"/>
      <c r="C7334" s="439"/>
      <c r="D7334" s="439"/>
      <c r="E7334" s="439"/>
      <c r="F7334" s="439"/>
      <c r="G7334" s="451" t="s">
        <v>3406</v>
      </c>
      <c r="Z7334" s="500"/>
      <c r="AA7334" s="500"/>
      <c r="AB7334" s="500"/>
      <c r="AC7334" s="500"/>
      <c r="AD7334" s="500"/>
      <c r="AE7334" s="500"/>
      <c r="AF7334" s="500"/>
      <c r="AG7334" s="500"/>
      <c r="AH7334" s="500"/>
      <c r="AI7334" s="500"/>
      <c r="AJ7334" s="500"/>
      <c r="AK7334" s="500"/>
      <c r="AL7334" s="500"/>
      <c r="AM7334" s="500"/>
      <c r="AN7334" s="500"/>
      <c r="AO7334" s="500"/>
      <c r="AP7334" s="500"/>
    </row>
    <row r="7335" spans="1:42" ht="16.5" customHeight="1">
      <c r="A7335" s="434" t="s">
        <v>4201</v>
      </c>
      <c r="B7335" s="505" t="str">
        <f>"  재 료 비 :  "&amp;TEXT(I7335,"#,##0"&amp;IF(I7335&lt;&gt;INT(I7335),".###",""))&amp;" / Q / "&amp;AC7335&amp;" = "&amp;TEXT(C7335,"#,##0.0")&amp;""</f>
        <v xml:space="preserve">  재 료 비 :  8,342 / Q / 1000 = 2.3</v>
      </c>
      <c r="C7335" s="506">
        <f>E7335+D7335+F7335</f>
        <v>2.2999999999999998</v>
      </c>
      <c r="D7335" s="506">
        <f>IF(H7335=0,0,ROUNDDOWN(J7335*H7335,1))</f>
        <v>0</v>
      </c>
      <c r="E7335" s="506">
        <f>IF(H7335=0,0,ROUNDDOWN(K7335*H7335,1))</f>
        <v>2.2999999999999998</v>
      </c>
      <c r="F7335" s="506">
        <f>IF(H7335=0,0,ROUNDDOWN(L7335*H7335,1))</f>
        <v>0</v>
      </c>
      <c r="G7335" s="451" t="s">
        <v>4202</v>
      </c>
      <c r="H7335" s="507">
        <f>ROUNDUP(AE7335,14-LEN(ABS(INT(AE7335))))</f>
        <v>2.7624309399999997E-4</v>
      </c>
      <c r="I7335" s="508">
        <f>K7335+J7335+L7335</f>
        <v>8342</v>
      </c>
      <c r="K7335" s="509">
        <f>중기목록표!G6</f>
        <v>8342</v>
      </c>
      <c r="M7335" s="501" t="s">
        <v>4200</v>
      </c>
      <c r="N7335" s="501" t="s">
        <v>3416</v>
      </c>
      <c r="X7335" s="510" t="str">
        <f>중기목록표!B6&amp;" / "&amp;중기목록표!C6</f>
        <v>굴착기(무한궤도) / 0.2㎥,(부착용집게)</v>
      </c>
      <c r="Y7335" s="433" t="str">
        <f ca="1">HYPERLINK("#"&amp;중기목록표!J2&amp;"!A"&amp;ROW(중기목록표!A6),"X00323 →")</f>
        <v>X00323 →</v>
      </c>
      <c r="Z7335" s="501" t="s">
        <v>3434</v>
      </c>
      <c r="AA7335" s="512" t="str">
        <f>AI7331</f>
        <v>3.62</v>
      </c>
      <c r="AB7335" s="501" t="s">
        <v>3428</v>
      </c>
      <c r="AC7335" s="515">
        <v>1000</v>
      </c>
      <c r="AD7335" s="501" t="s">
        <v>3418</v>
      </c>
      <c r="AE7335" s="512">
        <f>1/AI7331/AC7335</f>
        <v>2.7624309392265195E-4</v>
      </c>
      <c r="AF7335" s="500"/>
      <c r="AG7335" s="500"/>
      <c r="AH7335" s="500"/>
      <c r="AI7335" s="500"/>
      <c r="AJ7335" s="500"/>
      <c r="AK7335" s="500"/>
      <c r="AL7335" s="500"/>
      <c r="AM7335" s="500"/>
      <c r="AN7335" s="500"/>
      <c r="AO7335" s="500"/>
      <c r="AP7335" s="500"/>
    </row>
    <row r="7336" spans="1:42" ht="16.5" customHeight="1">
      <c r="A7336" s="439"/>
      <c r="B7336" s="439"/>
      <c r="C7336" s="439"/>
      <c r="D7336" s="439"/>
      <c r="E7336" s="439"/>
      <c r="F7336" s="439"/>
      <c r="G7336" s="451" t="s">
        <v>3406</v>
      </c>
      <c r="Z7336" s="500"/>
      <c r="AA7336" s="500"/>
      <c r="AB7336" s="500"/>
      <c r="AC7336" s="500"/>
      <c r="AD7336" s="500"/>
      <c r="AE7336" s="500"/>
      <c r="AF7336" s="500"/>
      <c r="AG7336" s="500"/>
      <c r="AH7336" s="500"/>
      <c r="AI7336" s="500"/>
      <c r="AJ7336" s="500"/>
      <c r="AK7336" s="500"/>
      <c r="AL7336" s="500"/>
      <c r="AM7336" s="500"/>
      <c r="AN7336" s="500"/>
      <c r="AO7336" s="500"/>
      <c r="AP7336" s="500"/>
    </row>
    <row r="7337" spans="1:42" ht="16.5" customHeight="1">
      <c r="A7337" s="434" t="s">
        <v>4203</v>
      </c>
      <c r="B7337" s="505" t="str">
        <f>"  경    비 :  "&amp;TEXT(I7337,"#,##0"&amp;IF(I7337&lt;&gt;INT(I7337),".###",""))&amp;" / Q / "&amp;AC7337&amp;" = "&amp;TEXT(C7337,"#,##0.0")&amp;""</f>
        <v xml:space="preserve">  경    비 :  17,547 / Q / 1000 = 4.8</v>
      </c>
      <c r="C7337" s="506">
        <f>E7337+D7337+F7337</f>
        <v>4.8</v>
      </c>
      <c r="D7337" s="506">
        <f>IF(H7337=0,0,ROUNDDOWN(J7337*H7337,1))</f>
        <v>0</v>
      </c>
      <c r="E7337" s="506">
        <f>IF(H7337=0,0,ROUNDDOWN(K7337*H7337,1))</f>
        <v>0</v>
      </c>
      <c r="F7337" s="506">
        <f>IF(H7337=0,0,ROUNDDOWN(L7337*H7337,1))</f>
        <v>4.8</v>
      </c>
      <c r="G7337" s="451" t="s">
        <v>4204</v>
      </c>
      <c r="H7337" s="507">
        <f>ROUNDUP(AE7337,14-LEN(ABS(INT(AE7337))))</f>
        <v>2.7624309399999997E-4</v>
      </c>
      <c r="I7337" s="508">
        <f>K7337+J7337+L7337</f>
        <v>17547</v>
      </c>
      <c r="L7337" s="509">
        <f>중기목록표!H6</f>
        <v>17547</v>
      </c>
      <c r="M7337" s="501" t="s">
        <v>4200</v>
      </c>
      <c r="N7337" s="501" t="s">
        <v>3416</v>
      </c>
      <c r="X7337" s="510" t="str">
        <f>중기목록표!B6&amp;" / "&amp;중기목록표!C6</f>
        <v>굴착기(무한궤도) / 0.2㎥,(부착용집게)</v>
      </c>
      <c r="Y7337" s="433" t="str">
        <f ca="1">HYPERLINK("#"&amp;중기목록표!J2&amp;"!A"&amp;ROW(중기목록표!A6),"X00323 →")</f>
        <v>X00323 →</v>
      </c>
      <c r="Z7337" s="501" t="s">
        <v>3434</v>
      </c>
      <c r="AA7337" s="512" t="str">
        <f>AI7331</f>
        <v>3.62</v>
      </c>
      <c r="AB7337" s="501" t="s">
        <v>3428</v>
      </c>
      <c r="AC7337" s="515">
        <v>1000</v>
      </c>
      <c r="AD7337" s="501" t="s">
        <v>3418</v>
      </c>
      <c r="AE7337" s="512">
        <f>1/AI7331/AC7337</f>
        <v>2.7624309392265195E-4</v>
      </c>
      <c r="AF7337" s="500"/>
      <c r="AG7337" s="500"/>
      <c r="AH7337" s="500"/>
      <c r="AI7337" s="500"/>
      <c r="AJ7337" s="500"/>
      <c r="AK7337" s="500"/>
      <c r="AL7337" s="500"/>
      <c r="AM7337" s="500"/>
      <c r="AN7337" s="500"/>
      <c r="AO7337" s="500"/>
      <c r="AP7337" s="500"/>
    </row>
    <row r="7338" spans="1:42" ht="16.5" customHeight="1">
      <c r="A7338" s="439"/>
      <c r="B7338" s="439"/>
      <c r="C7338" s="439"/>
      <c r="D7338" s="439"/>
      <c r="E7338" s="439"/>
      <c r="F7338" s="439"/>
      <c r="G7338" s="451" t="s">
        <v>3413</v>
      </c>
      <c r="Z7338" s="500"/>
      <c r="AA7338" s="500"/>
      <c r="AB7338" s="500"/>
      <c r="AC7338" s="500"/>
      <c r="AD7338" s="500"/>
      <c r="AE7338" s="500"/>
      <c r="AF7338" s="500"/>
      <c r="AG7338" s="500"/>
      <c r="AH7338" s="500"/>
      <c r="AI7338" s="500"/>
      <c r="AJ7338" s="500"/>
      <c r="AK7338" s="500"/>
      <c r="AL7338" s="500"/>
      <c r="AM7338" s="500"/>
      <c r="AN7338" s="500"/>
      <c r="AO7338" s="500"/>
      <c r="AP7338" s="500"/>
    </row>
    <row r="7339" spans="1:42" ht="16.5" customHeight="1">
      <c r="A7339" s="439"/>
      <c r="B7339" s="439"/>
      <c r="C7339" s="439"/>
      <c r="D7339" s="439"/>
      <c r="E7339" s="439"/>
      <c r="F7339" s="439"/>
      <c r="G7339" s="451" t="s">
        <v>3406</v>
      </c>
      <c r="Z7339" s="500"/>
      <c r="AA7339" s="500"/>
      <c r="AB7339" s="500"/>
      <c r="AC7339" s="500"/>
      <c r="AD7339" s="500"/>
      <c r="AE7339" s="500"/>
      <c r="AF7339" s="500"/>
      <c r="AG7339" s="500"/>
      <c r="AH7339" s="500"/>
      <c r="AI7339" s="500"/>
      <c r="AJ7339" s="500"/>
      <c r="AK7339" s="500"/>
      <c r="AL7339" s="500"/>
      <c r="AM7339" s="500"/>
      <c r="AN7339" s="500"/>
      <c r="AO7339" s="500"/>
      <c r="AP7339" s="500"/>
    </row>
    <row r="7340" spans="1:42" ht="16.5" customHeight="1">
      <c r="A7340" s="434"/>
      <c r="B7340" s="437" t="s">
        <v>4205</v>
      </c>
      <c r="C7340" s="439"/>
      <c r="D7340" s="439"/>
      <c r="E7340" s="439"/>
      <c r="F7340" s="439"/>
      <c r="G7340" s="451" t="s">
        <v>4206</v>
      </c>
      <c r="Z7340" s="500"/>
      <c r="AA7340" s="500"/>
      <c r="AB7340" s="500"/>
      <c r="AC7340" s="500"/>
      <c r="AD7340" s="500"/>
      <c r="AE7340" s="500"/>
      <c r="AF7340" s="500"/>
      <c r="AG7340" s="500"/>
      <c r="AH7340" s="500"/>
      <c r="AI7340" s="500"/>
      <c r="AJ7340" s="500"/>
      <c r="AK7340" s="500"/>
      <c r="AL7340" s="500"/>
      <c r="AM7340" s="500"/>
      <c r="AN7340" s="500"/>
      <c r="AO7340" s="500"/>
      <c r="AP7340" s="500"/>
    </row>
    <row r="7341" spans="1:42" ht="16.5" customHeight="1">
      <c r="A7341" s="439"/>
      <c r="B7341" s="439"/>
      <c r="C7341" s="439"/>
      <c r="D7341" s="439"/>
      <c r="E7341" s="439"/>
      <c r="F7341" s="439"/>
      <c r="G7341" s="451" t="s">
        <v>3413</v>
      </c>
      <c r="Z7341" s="500"/>
      <c r="AA7341" s="500"/>
      <c r="AB7341" s="500"/>
      <c r="AC7341" s="500"/>
      <c r="AD7341" s="500"/>
      <c r="AE7341" s="500"/>
      <c r="AF7341" s="500"/>
      <c r="AG7341" s="500"/>
      <c r="AH7341" s="500"/>
      <c r="AI7341" s="500"/>
      <c r="AJ7341" s="500"/>
      <c r="AK7341" s="500"/>
      <c r="AL7341" s="500"/>
      <c r="AM7341" s="500"/>
      <c r="AN7341" s="500"/>
      <c r="AO7341" s="500"/>
      <c r="AP7341" s="500"/>
    </row>
    <row r="7342" spans="1:42" ht="16.5" customHeight="1">
      <c r="A7342" s="434"/>
      <c r="B7342" s="505" t="str">
        <f>"  손료계산 : "&amp;TEXT(I7342,"#,##0.0")&amp;" * "&amp;AA7342&amp;" %  = "&amp;TEXT(C7342,"#,##0.0")&amp;""</f>
        <v xml:space="preserve">  손료계산 : 857.5 * 10 %  = 85.7</v>
      </c>
      <c r="C7342" s="506">
        <f>E7342+D7342+F7342</f>
        <v>85.7</v>
      </c>
      <c r="D7342" s="506">
        <f>IF(H7342=0,0,ROUNDDOWN(J7342*H7342/100,1))</f>
        <v>0</v>
      </c>
      <c r="E7342" s="506">
        <f>IF(H7342=0,0,ROUNDDOWN(K7342*H7342/100,1))</f>
        <v>0</v>
      </c>
      <c r="F7342" s="506">
        <f>IF(H7342=0,0,ROUNDDOWN(L7342*H7342/100,1))</f>
        <v>85.7</v>
      </c>
      <c r="G7342" s="451" t="s">
        <v>4207</v>
      </c>
      <c r="H7342" s="507">
        <f>ROUNDUP(AC7342,14-LEN(ABS(INT(AC7342))))</f>
        <v>10</v>
      </c>
      <c r="I7342" s="508">
        <f>K7342+J7342+L7342</f>
        <v>857.5</v>
      </c>
      <c r="J7342" s="456">
        <v>0</v>
      </c>
      <c r="K7342" s="456">
        <v>0</v>
      </c>
      <c r="L7342" s="508">
        <f>SUMIF(N7307:N7341,N7342,D7307:D7341)</f>
        <v>857.5</v>
      </c>
      <c r="M7342" s="501" t="s">
        <v>4208</v>
      </c>
      <c r="N7342" s="501" t="s">
        <v>3416</v>
      </c>
      <c r="Z7342" s="501" t="s">
        <v>3500</v>
      </c>
      <c r="AA7342" s="515">
        <v>10</v>
      </c>
      <c r="AB7342" s="501" t="s">
        <v>3418</v>
      </c>
      <c r="AC7342" s="512">
        <f>1*AA7342</f>
        <v>10</v>
      </c>
      <c r="AD7342" s="500"/>
      <c r="AE7342" s="500"/>
      <c r="AF7342" s="500"/>
      <c r="AG7342" s="500"/>
      <c r="AH7342" s="500"/>
      <c r="AI7342" s="500"/>
      <c r="AJ7342" s="500"/>
      <c r="AK7342" s="500"/>
      <c r="AL7342" s="500"/>
      <c r="AM7342" s="500"/>
      <c r="AN7342" s="500"/>
      <c r="AO7342" s="500"/>
      <c r="AP7342" s="500"/>
    </row>
    <row r="7343" spans="1:42" ht="16.5" customHeight="1">
      <c r="A7343" s="439"/>
      <c r="B7343" s="439"/>
      <c r="C7343" s="439"/>
      <c r="D7343" s="439"/>
      <c r="E7343" s="439"/>
      <c r="F7343" s="439"/>
      <c r="G7343" s="451" t="s">
        <v>3406</v>
      </c>
      <c r="Z7343" s="500"/>
      <c r="AA7343" s="500"/>
      <c r="AB7343" s="500"/>
      <c r="AC7343" s="500"/>
      <c r="AD7343" s="500"/>
      <c r="AE7343" s="500"/>
      <c r="AF7343" s="500"/>
      <c r="AG7343" s="500"/>
      <c r="AH7343" s="500"/>
      <c r="AI7343" s="500"/>
      <c r="AJ7343" s="500"/>
      <c r="AK7343" s="500"/>
      <c r="AL7343" s="500"/>
      <c r="AM7343" s="500"/>
      <c r="AN7343" s="500"/>
      <c r="AO7343" s="500"/>
      <c r="AP7343" s="500"/>
    </row>
    <row r="7344" spans="1:42" ht="16.5" customHeight="1">
      <c r="A7344" s="439"/>
      <c r="B7344" s="439"/>
      <c r="C7344" s="439"/>
      <c r="D7344" s="439"/>
      <c r="E7344" s="439"/>
      <c r="F7344" s="439"/>
      <c r="G7344" s="451" t="s">
        <v>3406</v>
      </c>
      <c r="Z7344" s="500"/>
      <c r="AA7344" s="500"/>
      <c r="AB7344" s="500"/>
      <c r="AC7344" s="500"/>
      <c r="AD7344" s="500"/>
      <c r="AE7344" s="500"/>
      <c r="AF7344" s="500"/>
      <c r="AG7344" s="500"/>
      <c r="AH7344" s="500"/>
      <c r="AI7344" s="500"/>
      <c r="AJ7344" s="500"/>
      <c r="AK7344" s="500"/>
      <c r="AL7344" s="500"/>
      <c r="AM7344" s="500"/>
      <c r="AN7344" s="500"/>
      <c r="AO7344" s="500"/>
      <c r="AP7344" s="500"/>
    </row>
    <row r="7345" spans="1:42" ht="16.5" customHeight="1">
      <c r="A7345" s="434"/>
      <c r="B7345" s="437" t="s">
        <v>3419</v>
      </c>
      <c r="C7345" s="513">
        <f>E7345+D7345+F7345</f>
        <v>950.3</v>
      </c>
      <c r="D7345" s="513">
        <f>SUMIF(N7307:N7344,M7345,D7307:D7344)</f>
        <v>857.5</v>
      </c>
      <c r="E7345" s="513">
        <f>SUMIF(N7307:N7344,M7345,E7307:E7344)</f>
        <v>2.2999999999999998</v>
      </c>
      <c r="F7345" s="513">
        <f>SUMIF(N7307:N7344,M7345,F7307:F7344)</f>
        <v>90.5</v>
      </c>
      <c r="G7345" s="451" t="s">
        <v>3439</v>
      </c>
      <c r="M7345" s="501" t="s">
        <v>3416</v>
      </c>
      <c r="N7345" s="501" t="s">
        <v>2354</v>
      </c>
      <c r="Z7345" s="500"/>
      <c r="AA7345" s="500"/>
      <c r="AB7345" s="500"/>
      <c r="AC7345" s="500"/>
      <c r="AD7345" s="500"/>
      <c r="AE7345" s="500"/>
      <c r="AF7345" s="500"/>
      <c r="AG7345" s="500"/>
      <c r="AH7345" s="500"/>
      <c r="AI7345" s="500"/>
      <c r="AJ7345" s="500"/>
      <c r="AK7345" s="500"/>
      <c r="AL7345" s="500"/>
      <c r="AM7345" s="500"/>
      <c r="AN7345" s="500"/>
      <c r="AO7345" s="500"/>
      <c r="AP7345" s="500"/>
    </row>
    <row r="7346" spans="1:42" ht="16.5" customHeight="1">
      <c r="A7346" s="439"/>
      <c r="B7346" s="439"/>
      <c r="C7346" s="504"/>
      <c r="D7346" s="504"/>
      <c r="E7346" s="504"/>
      <c r="F7346" s="504"/>
      <c r="G7346" s="451" t="s">
        <v>3413</v>
      </c>
      <c r="Z7346" s="500"/>
      <c r="AA7346" s="500"/>
      <c r="AB7346" s="500"/>
      <c r="AC7346" s="500"/>
      <c r="AD7346" s="500"/>
      <c r="AE7346" s="500"/>
      <c r="AF7346" s="500"/>
      <c r="AG7346" s="500"/>
      <c r="AH7346" s="500"/>
      <c r="AI7346" s="500"/>
      <c r="AJ7346" s="500"/>
      <c r="AK7346" s="500"/>
      <c r="AL7346" s="500"/>
      <c r="AM7346" s="500"/>
      <c r="AN7346" s="500"/>
      <c r="AO7346" s="500"/>
      <c r="AP7346" s="500"/>
    </row>
    <row r="7347" spans="1:42" ht="16.5" customHeight="1">
      <c r="A7347" s="439"/>
      <c r="B7347" s="439"/>
      <c r="C7347" s="439"/>
      <c r="D7347" s="439"/>
      <c r="E7347" s="439"/>
      <c r="F7347" s="439"/>
      <c r="G7347" s="451" t="s">
        <v>3406</v>
      </c>
      <c r="Z7347" s="500"/>
      <c r="AA7347" s="500"/>
      <c r="AB7347" s="500"/>
      <c r="AC7347" s="500"/>
      <c r="AD7347" s="500"/>
      <c r="AE7347" s="500"/>
      <c r="AF7347" s="500"/>
      <c r="AG7347" s="500"/>
      <c r="AH7347" s="500"/>
      <c r="AI7347" s="500"/>
      <c r="AJ7347" s="500"/>
      <c r="AK7347" s="500"/>
      <c r="AL7347" s="500"/>
      <c r="AM7347" s="500"/>
      <c r="AN7347" s="500"/>
      <c r="AO7347" s="500"/>
      <c r="AP7347" s="500"/>
    </row>
    <row r="7348" spans="1:42" ht="16.5" customHeight="1">
      <c r="A7348" s="439"/>
      <c r="B7348" s="439"/>
      <c r="C7348" s="439"/>
      <c r="D7348" s="439"/>
      <c r="E7348" s="439"/>
      <c r="F7348" s="439"/>
      <c r="G7348" s="451" t="s">
        <v>3413</v>
      </c>
      <c r="Z7348" s="500"/>
      <c r="AA7348" s="500"/>
      <c r="AB7348" s="500"/>
      <c r="AC7348" s="500"/>
      <c r="AD7348" s="500"/>
      <c r="AE7348" s="500"/>
      <c r="AF7348" s="500"/>
      <c r="AG7348" s="500"/>
      <c r="AH7348" s="500"/>
      <c r="AI7348" s="500"/>
      <c r="AJ7348" s="500"/>
      <c r="AK7348" s="500"/>
      <c r="AL7348" s="500"/>
      <c r="AM7348" s="500"/>
      <c r="AN7348" s="500"/>
      <c r="AO7348" s="500"/>
      <c r="AP7348" s="500"/>
    </row>
    <row r="7349" spans="1:42" ht="16.5" customHeight="1">
      <c r="A7349" s="439"/>
      <c r="B7349" s="439"/>
      <c r="C7349" s="439"/>
      <c r="D7349" s="439"/>
      <c r="E7349" s="439"/>
      <c r="F7349" s="439"/>
      <c r="G7349" s="451" t="s">
        <v>3413</v>
      </c>
      <c r="Z7349" s="500"/>
      <c r="AA7349" s="500"/>
      <c r="AB7349" s="500"/>
      <c r="AC7349" s="500"/>
      <c r="AD7349" s="500"/>
      <c r="AE7349" s="500"/>
      <c r="AF7349" s="500"/>
      <c r="AG7349" s="500"/>
      <c r="AH7349" s="500"/>
      <c r="AI7349" s="500"/>
      <c r="AJ7349" s="500"/>
      <c r="AK7349" s="500"/>
      <c r="AL7349" s="500"/>
      <c r="AM7349" s="500"/>
      <c r="AN7349" s="500"/>
      <c r="AO7349" s="500"/>
      <c r="AP7349" s="500"/>
    </row>
    <row r="7350" spans="1:42" ht="16.5" customHeight="1">
      <c r="A7350" s="439"/>
      <c r="B7350" s="439"/>
      <c r="C7350" s="439"/>
      <c r="D7350" s="439"/>
      <c r="E7350" s="439"/>
      <c r="F7350" s="439"/>
      <c r="Z7350" s="500"/>
      <c r="AA7350" s="500"/>
      <c r="AB7350" s="500"/>
      <c r="AC7350" s="500"/>
      <c r="AD7350" s="500"/>
      <c r="AE7350" s="500"/>
      <c r="AF7350" s="500"/>
      <c r="AG7350" s="500"/>
      <c r="AH7350" s="500"/>
      <c r="AI7350" s="500"/>
      <c r="AJ7350" s="500"/>
      <c r="AK7350" s="500"/>
      <c r="AL7350" s="500"/>
      <c r="AM7350" s="500"/>
      <c r="AN7350" s="500"/>
      <c r="AO7350" s="500"/>
      <c r="AP7350" s="500"/>
    </row>
    <row r="7351" spans="1:42" ht="16.5" customHeight="1">
      <c r="A7351" s="439"/>
      <c r="B7351" s="439"/>
      <c r="C7351" s="439"/>
      <c r="D7351" s="439"/>
      <c r="E7351" s="439"/>
      <c r="F7351" s="439"/>
      <c r="Z7351" s="500"/>
      <c r="AA7351" s="500"/>
      <c r="AB7351" s="500"/>
      <c r="AC7351" s="500"/>
      <c r="AD7351" s="500"/>
      <c r="AE7351" s="500"/>
      <c r="AF7351" s="500"/>
      <c r="AG7351" s="500"/>
      <c r="AH7351" s="500"/>
      <c r="AI7351" s="500"/>
      <c r="AJ7351" s="500"/>
      <c r="AK7351" s="500"/>
      <c r="AL7351" s="500"/>
      <c r="AM7351" s="500"/>
      <c r="AN7351" s="500"/>
      <c r="AO7351" s="500"/>
      <c r="AP7351" s="500"/>
    </row>
    <row r="7352" spans="1:42" ht="16.5" customHeight="1">
      <c r="A7352" s="439"/>
      <c r="B7352" s="439"/>
      <c r="C7352" s="439"/>
      <c r="D7352" s="439"/>
      <c r="E7352" s="439"/>
      <c r="F7352" s="439"/>
      <c r="Z7352" s="500"/>
      <c r="AA7352" s="500"/>
      <c r="AB7352" s="500"/>
      <c r="AC7352" s="500"/>
      <c r="AD7352" s="500"/>
      <c r="AE7352" s="500"/>
      <c r="AF7352" s="500"/>
      <c r="AG7352" s="500"/>
      <c r="AH7352" s="500"/>
      <c r="AI7352" s="500"/>
      <c r="AJ7352" s="500"/>
      <c r="AK7352" s="500"/>
      <c r="AL7352" s="500"/>
      <c r="AM7352" s="500"/>
      <c r="AN7352" s="500"/>
      <c r="AO7352" s="500"/>
      <c r="AP7352" s="500"/>
    </row>
    <row r="7353" spans="1:42" ht="16.5" customHeight="1">
      <c r="A7353" s="497"/>
      <c r="B7353" s="497"/>
      <c r="C7353" s="497"/>
      <c r="D7353" s="497"/>
      <c r="E7353" s="497"/>
      <c r="F7353" s="497"/>
      <c r="Z7353" s="500"/>
      <c r="AA7353" s="500"/>
      <c r="AB7353" s="500"/>
      <c r="AC7353" s="500"/>
      <c r="AD7353" s="500"/>
      <c r="AE7353" s="500"/>
      <c r="AF7353" s="500"/>
      <c r="AG7353" s="500"/>
      <c r="AH7353" s="500"/>
      <c r="AI7353" s="500"/>
      <c r="AJ7353" s="500"/>
      <c r="AK7353" s="500"/>
      <c r="AL7353" s="500"/>
      <c r="AM7353" s="500"/>
      <c r="AN7353" s="500"/>
      <c r="AO7353" s="500"/>
      <c r="AP7353" s="500"/>
    </row>
    <row r="7354" spans="1:42" ht="16.5" customHeight="1">
      <c r="A7354" s="616" t="s">
        <v>3487</v>
      </c>
      <c r="B7354" s="605"/>
      <c r="C7354" s="446">
        <f>E7354+D7354+F7354</f>
        <v>949</v>
      </c>
      <c r="D7354" s="453">
        <f>ROUNDDOWN(SUMIF(N7307:N7349,M7354,D7307:D7349),0)</f>
        <v>857</v>
      </c>
      <c r="E7354" s="454">
        <f>ROUNDDOWN(SUMIF(N7307:N7349,M7354,E7307:E7349),0)</f>
        <v>2</v>
      </c>
      <c r="F7354" s="446">
        <f>ROUNDDOWN(SUMIF(N7307:N7349,M7354,F7307:F7349),0)</f>
        <v>90</v>
      </c>
      <c r="M7354" s="501" t="s">
        <v>2354</v>
      </c>
      <c r="Z7354" s="500"/>
      <c r="AA7354" s="500"/>
      <c r="AB7354" s="500"/>
      <c r="AC7354" s="500"/>
      <c r="AD7354" s="500"/>
      <c r="AE7354" s="500"/>
      <c r="AF7354" s="500"/>
      <c r="AG7354" s="500"/>
      <c r="AH7354" s="500"/>
      <c r="AI7354" s="500"/>
      <c r="AJ7354" s="500"/>
      <c r="AK7354" s="500"/>
      <c r="AL7354" s="500"/>
      <c r="AM7354" s="500"/>
      <c r="AN7354" s="500"/>
      <c r="AO7354" s="500"/>
      <c r="AP7354" s="500"/>
    </row>
    <row r="7355" spans="1:42" ht="16.5" customHeight="1">
      <c r="A7355" s="502" t="s">
        <v>3377</v>
      </c>
      <c r="B7355" s="503" t="s">
        <v>2003</v>
      </c>
      <c r="C7355" s="615">
        <f>C7454</f>
        <v>1721</v>
      </c>
      <c r="D7355" s="615">
        <f>D7454</f>
        <v>1534</v>
      </c>
      <c r="E7355" s="615">
        <f>E7454</f>
        <v>60</v>
      </c>
      <c r="F7355" s="615">
        <f>F7454</f>
        <v>127</v>
      </c>
      <c r="G7355" s="486" t="str">
        <f>HYPERLINK("#G"&amp;ROW(G7422),"_x0005_`BDCOD|D01175_x0007_`POSS|"&amp;ROW(G7357)&amp;"_x0007_`POSE|"&amp;ROW(G7422)&amp;"_x0007_`")</f>
        <v>_x0005_`BDCOD|D01175_x0007_`POSS|7357_x0007_`POSE|7422_x0007_`</v>
      </c>
      <c r="Z7355" s="500"/>
      <c r="AA7355" s="500"/>
      <c r="AB7355" s="500"/>
      <c r="AC7355" s="500"/>
      <c r="AD7355" s="500"/>
      <c r="AE7355" s="500"/>
      <c r="AF7355" s="500"/>
      <c r="AG7355" s="500"/>
      <c r="AH7355" s="500"/>
      <c r="AI7355" s="500"/>
      <c r="AJ7355" s="500"/>
      <c r="AK7355" s="500"/>
      <c r="AL7355" s="500"/>
      <c r="AM7355" s="500"/>
      <c r="AN7355" s="500"/>
      <c r="AO7355" s="500"/>
      <c r="AP7355" s="500"/>
    </row>
    <row r="7356" spans="1:42" ht="16.5" customHeight="1">
      <c r="A7356" s="485"/>
      <c r="B7356" s="503" t="s">
        <v>4209</v>
      </c>
      <c r="C7356" s="593"/>
      <c r="D7356" s="593"/>
      <c r="E7356" s="593"/>
      <c r="F7356" s="593"/>
      <c r="M7356" s="501" t="s">
        <v>2003</v>
      </c>
      <c r="Z7356" s="500"/>
      <c r="AA7356" s="500"/>
      <c r="AB7356" s="500"/>
      <c r="AC7356" s="500"/>
      <c r="AD7356" s="500"/>
      <c r="AE7356" s="500"/>
      <c r="AF7356" s="500"/>
      <c r="AG7356" s="500"/>
      <c r="AH7356" s="500"/>
      <c r="AI7356" s="500"/>
      <c r="AJ7356" s="500"/>
      <c r="AK7356" s="500"/>
      <c r="AL7356" s="500"/>
      <c r="AM7356" s="500"/>
      <c r="AN7356" s="500"/>
      <c r="AO7356" s="500"/>
      <c r="AP7356" s="500"/>
    </row>
    <row r="7357" spans="1:42" ht="16.5" customHeight="1">
      <c r="A7357" s="439"/>
      <c r="B7357" s="439"/>
      <c r="C7357" s="504"/>
      <c r="D7357" s="504"/>
      <c r="E7357" s="504"/>
      <c r="F7357" s="504"/>
      <c r="G7357" s="451" t="s">
        <v>3406</v>
      </c>
      <c r="Z7357" s="500"/>
      <c r="AA7357" s="500"/>
      <c r="AB7357" s="500"/>
      <c r="AC7357" s="500"/>
      <c r="AD7357" s="500"/>
      <c r="AE7357" s="500"/>
      <c r="AF7357" s="500"/>
      <c r="AG7357" s="500"/>
      <c r="AH7357" s="500"/>
      <c r="AI7357" s="500"/>
      <c r="AJ7357" s="500"/>
      <c r="AK7357" s="500"/>
      <c r="AL7357" s="500"/>
      <c r="AM7357" s="500"/>
      <c r="AN7357" s="500"/>
      <c r="AO7357" s="500"/>
      <c r="AP7357" s="500"/>
    </row>
    <row r="7358" spans="1:42" ht="16.5" customHeight="1">
      <c r="A7358" s="439"/>
      <c r="B7358" s="439"/>
      <c r="C7358" s="439"/>
      <c r="D7358" s="439"/>
      <c r="E7358" s="439"/>
      <c r="F7358" s="439"/>
      <c r="G7358" s="451" t="s">
        <v>3406</v>
      </c>
      <c r="Z7358" s="500"/>
      <c r="AA7358" s="500"/>
      <c r="AB7358" s="500"/>
      <c r="AC7358" s="500"/>
      <c r="AD7358" s="500"/>
      <c r="AE7358" s="500"/>
      <c r="AF7358" s="500"/>
      <c r="AG7358" s="500"/>
      <c r="AH7358" s="500"/>
      <c r="AI7358" s="500"/>
      <c r="AJ7358" s="500"/>
      <c r="AK7358" s="500"/>
      <c r="AL7358" s="500"/>
      <c r="AM7358" s="500"/>
      <c r="AN7358" s="500"/>
      <c r="AO7358" s="500"/>
      <c r="AP7358" s="500"/>
    </row>
    <row r="7359" spans="1:42" ht="16.5" customHeight="1">
      <c r="A7359" s="439"/>
      <c r="B7359" s="439"/>
      <c r="C7359" s="439"/>
      <c r="D7359" s="439"/>
      <c r="E7359" s="439"/>
      <c r="F7359" s="439"/>
      <c r="G7359" s="451" t="s">
        <v>3406</v>
      </c>
      <c r="Z7359" s="500"/>
      <c r="AA7359" s="500"/>
      <c r="AB7359" s="500"/>
      <c r="AC7359" s="500"/>
      <c r="AD7359" s="500"/>
      <c r="AE7359" s="500"/>
      <c r="AF7359" s="500"/>
      <c r="AG7359" s="500"/>
      <c r="AH7359" s="500"/>
      <c r="AI7359" s="500"/>
      <c r="AJ7359" s="500"/>
      <c r="AK7359" s="500"/>
      <c r="AL7359" s="500"/>
      <c r="AM7359" s="500"/>
      <c r="AN7359" s="500"/>
      <c r="AO7359" s="500"/>
      <c r="AP7359" s="500"/>
    </row>
    <row r="7360" spans="1:42" ht="16.5" customHeight="1">
      <c r="A7360" s="434"/>
      <c r="B7360" s="437" t="s">
        <v>4210</v>
      </c>
      <c r="C7360" s="439"/>
      <c r="D7360" s="439"/>
      <c r="E7360" s="439"/>
      <c r="F7360" s="439"/>
      <c r="G7360" s="451" t="s">
        <v>4211</v>
      </c>
      <c r="Z7360" s="500"/>
      <c r="AA7360" s="500"/>
      <c r="AB7360" s="500"/>
      <c r="AC7360" s="500"/>
      <c r="AD7360" s="500"/>
      <c r="AE7360" s="500"/>
      <c r="AF7360" s="500"/>
      <c r="AG7360" s="500"/>
      <c r="AH7360" s="500"/>
      <c r="AI7360" s="500"/>
      <c r="AJ7360" s="500"/>
      <c r="AK7360" s="500"/>
      <c r="AL7360" s="500"/>
      <c r="AM7360" s="500"/>
      <c r="AN7360" s="500"/>
      <c r="AO7360" s="500"/>
      <c r="AP7360" s="500"/>
    </row>
    <row r="7361" spans="1:42" ht="16.5" customHeight="1">
      <c r="A7361" s="439"/>
      <c r="B7361" s="439"/>
      <c r="C7361" s="439"/>
      <c r="D7361" s="439"/>
      <c r="E7361" s="439"/>
      <c r="F7361" s="439"/>
      <c r="G7361" s="451" t="s">
        <v>3406</v>
      </c>
      <c r="Z7361" s="500"/>
      <c r="AA7361" s="500"/>
      <c r="AB7361" s="500"/>
      <c r="AC7361" s="500"/>
      <c r="AD7361" s="500"/>
      <c r="AE7361" s="500"/>
      <c r="AF7361" s="500"/>
      <c r="AG7361" s="500"/>
      <c r="AH7361" s="500"/>
      <c r="AI7361" s="500"/>
      <c r="AJ7361" s="500"/>
      <c r="AK7361" s="500"/>
      <c r="AL7361" s="500"/>
      <c r="AM7361" s="500"/>
      <c r="AN7361" s="500"/>
      <c r="AO7361" s="500"/>
      <c r="AP7361" s="500"/>
    </row>
    <row r="7362" spans="1:42" ht="16.5" customHeight="1">
      <c r="A7362" s="439"/>
      <c r="B7362" s="439"/>
      <c r="C7362" s="439"/>
      <c r="D7362" s="439"/>
      <c r="E7362" s="439"/>
      <c r="F7362" s="439"/>
      <c r="G7362" s="451" t="s">
        <v>3406</v>
      </c>
      <c r="Z7362" s="500"/>
      <c r="AA7362" s="500"/>
      <c r="AB7362" s="500"/>
      <c r="AC7362" s="500"/>
      <c r="AD7362" s="500"/>
      <c r="AE7362" s="500"/>
      <c r="AF7362" s="500"/>
      <c r="AG7362" s="500"/>
      <c r="AH7362" s="500"/>
      <c r="AI7362" s="500"/>
      <c r="AJ7362" s="500"/>
      <c r="AK7362" s="500"/>
      <c r="AL7362" s="500"/>
      <c r="AM7362" s="500"/>
      <c r="AN7362" s="500"/>
      <c r="AO7362" s="500"/>
      <c r="AP7362" s="500"/>
    </row>
    <row r="7363" spans="1:42" ht="16.5" customHeight="1">
      <c r="A7363" s="434"/>
      <c r="B7363" s="437" t="s">
        <v>4212</v>
      </c>
      <c r="C7363" s="439"/>
      <c r="D7363" s="439"/>
      <c r="E7363" s="439"/>
      <c r="F7363" s="439"/>
      <c r="G7363" s="451" t="s">
        <v>4213</v>
      </c>
      <c r="Z7363" s="500"/>
      <c r="AA7363" s="500"/>
      <c r="AB7363" s="500"/>
      <c r="AC7363" s="500"/>
      <c r="AD7363" s="500"/>
      <c r="AE7363" s="500"/>
      <c r="AF7363" s="500"/>
      <c r="AG7363" s="500"/>
      <c r="AH7363" s="500"/>
      <c r="AI7363" s="500"/>
      <c r="AJ7363" s="500"/>
      <c r="AK7363" s="500"/>
      <c r="AL7363" s="500"/>
      <c r="AM7363" s="500"/>
      <c r="AN7363" s="500"/>
      <c r="AO7363" s="500"/>
      <c r="AP7363" s="500"/>
    </row>
    <row r="7364" spans="1:42" ht="16.5" customHeight="1">
      <c r="A7364" s="439"/>
      <c r="B7364" s="439"/>
      <c r="C7364" s="439"/>
      <c r="D7364" s="439"/>
      <c r="E7364" s="439"/>
      <c r="F7364" s="439"/>
      <c r="G7364" s="451" t="s">
        <v>3406</v>
      </c>
      <c r="Z7364" s="500"/>
      <c r="AA7364" s="500"/>
      <c r="AB7364" s="500"/>
      <c r="AC7364" s="500"/>
      <c r="AD7364" s="500"/>
      <c r="AE7364" s="500"/>
      <c r="AF7364" s="500"/>
      <c r="AG7364" s="500"/>
      <c r="AH7364" s="500"/>
      <c r="AI7364" s="500"/>
      <c r="AJ7364" s="500"/>
      <c r="AK7364" s="500"/>
      <c r="AL7364" s="500"/>
      <c r="AM7364" s="500"/>
      <c r="AN7364" s="500"/>
      <c r="AO7364" s="500"/>
      <c r="AP7364" s="500"/>
    </row>
    <row r="7365" spans="1:42" ht="16.5" customHeight="1">
      <c r="A7365" s="434"/>
      <c r="B7365" s="437" t="s">
        <v>4188</v>
      </c>
      <c r="C7365" s="439"/>
      <c r="D7365" s="439"/>
      <c r="E7365" s="439"/>
      <c r="F7365" s="439"/>
      <c r="G7365" s="451" t="s">
        <v>4189</v>
      </c>
      <c r="Z7365" s="500"/>
      <c r="AA7365" s="500"/>
      <c r="AB7365" s="500"/>
      <c r="AC7365" s="500"/>
      <c r="AD7365" s="500"/>
      <c r="AE7365" s="500"/>
      <c r="AF7365" s="500"/>
      <c r="AG7365" s="500"/>
      <c r="AH7365" s="500"/>
      <c r="AI7365" s="500"/>
      <c r="AJ7365" s="500"/>
      <c r="AK7365" s="500"/>
      <c r="AL7365" s="500"/>
      <c r="AM7365" s="500"/>
      <c r="AN7365" s="500"/>
      <c r="AO7365" s="500"/>
      <c r="AP7365" s="500"/>
    </row>
    <row r="7366" spans="1:42" ht="16.5" customHeight="1">
      <c r="A7366" s="439"/>
      <c r="B7366" s="439"/>
      <c r="C7366" s="439"/>
      <c r="D7366" s="439"/>
      <c r="E7366" s="439"/>
      <c r="F7366" s="439"/>
      <c r="G7366" s="451" t="s">
        <v>3406</v>
      </c>
      <c r="Z7366" s="500"/>
      <c r="AA7366" s="500"/>
      <c r="AB7366" s="500"/>
      <c r="AC7366" s="500"/>
      <c r="AD7366" s="500"/>
      <c r="AE7366" s="500"/>
      <c r="AF7366" s="500"/>
      <c r="AG7366" s="500"/>
      <c r="AH7366" s="500"/>
      <c r="AI7366" s="500"/>
      <c r="AJ7366" s="500"/>
      <c r="AK7366" s="500"/>
      <c r="AL7366" s="500"/>
      <c r="AM7366" s="500"/>
      <c r="AN7366" s="500"/>
      <c r="AO7366" s="500"/>
      <c r="AP7366" s="500"/>
    </row>
    <row r="7367" spans="1:42" ht="16.5" customHeight="1">
      <c r="A7367" s="434"/>
      <c r="B7367" s="437" t="str">
        <f>" P = ("&amp;AA7367&amp;"+"&amp;AC7367&amp;"+"&amp;AE7367&amp;")/"&amp;AG7367&amp;" = "&amp;AI7367&amp;"  인 "</f>
        <v xml:space="preserve"> P = (2.14+2.8+3.65)/3 = 2.86  인 </v>
      </c>
      <c r="C7367" s="439"/>
      <c r="D7367" s="439"/>
      <c r="E7367" s="439"/>
      <c r="F7367" s="439"/>
      <c r="G7367" s="451" t="s">
        <v>4190</v>
      </c>
      <c r="Z7367" s="501" t="s">
        <v>3467</v>
      </c>
      <c r="AA7367" s="511">
        <v>2.14</v>
      </c>
      <c r="AB7367" s="501" t="s">
        <v>3468</v>
      </c>
      <c r="AC7367" s="511">
        <v>2.8</v>
      </c>
      <c r="AD7367" s="501" t="s">
        <v>3468</v>
      </c>
      <c r="AE7367" s="511">
        <v>3.65</v>
      </c>
      <c r="AF7367" s="501" t="s">
        <v>3475</v>
      </c>
      <c r="AG7367" s="515">
        <v>3</v>
      </c>
      <c r="AH7367" s="501" t="s">
        <v>3418</v>
      </c>
      <c r="AI7367" s="512" t="str">
        <f>TEXT(ROUND((AA7367+AC7367+AE7367)/AG7367,2),"#,0.00")</f>
        <v>2.86</v>
      </c>
      <c r="AJ7367" s="500"/>
      <c r="AK7367" s="500"/>
      <c r="AL7367" s="500"/>
      <c r="AM7367" s="500"/>
      <c r="AN7367" s="500"/>
      <c r="AO7367" s="500"/>
      <c r="AP7367" s="500"/>
    </row>
    <row r="7368" spans="1:42" ht="16.5" customHeight="1">
      <c r="A7368" s="439"/>
      <c r="B7368" s="439"/>
      <c r="C7368" s="439"/>
      <c r="D7368" s="439"/>
      <c r="E7368" s="439"/>
      <c r="F7368" s="439"/>
      <c r="G7368" s="451" t="s">
        <v>3406</v>
      </c>
      <c r="Z7368" s="500"/>
      <c r="AA7368" s="500"/>
      <c r="AB7368" s="500"/>
      <c r="AC7368" s="500"/>
      <c r="AD7368" s="500"/>
      <c r="AE7368" s="500"/>
      <c r="AF7368" s="500"/>
      <c r="AG7368" s="500"/>
      <c r="AH7368" s="500"/>
      <c r="AI7368" s="500"/>
      <c r="AJ7368" s="500"/>
      <c r="AK7368" s="500"/>
      <c r="AL7368" s="500"/>
      <c r="AM7368" s="500"/>
      <c r="AN7368" s="500"/>
      <c r="AO7368" s="500"/>
      <c r="AP7368" s="500"/>
    </row>
    <row r="7369" spans="1:42" ht="16.5" customHeight="1">
      <c r="A7369" s="434" t="s">
        <v>4191</v>
      </c>
      <c r="B7369" s="505" t="str">
        <f>" 노 무 비  :  P*"&amp;TEXT(I7369,"#,##0"&amp;IF(I7369&lt;&gt;INT(I7369),".###",""))&amp;"/"&amp;AB7369&amp;" = "&amp;TEXT(C7369,"#,##0.0")&amp;""</f>
        <v xml:space="preserve"> 노 무 비  :  P*253,243/1000 = 724.2</v>
      </c>
      <c r="C7369" s="506">
        <f>E7369+D7369+F7369</f>
        <v>724.2</v>
      </c>
      <c r="D7369" s="506">
        <f>IF(H7369=0,0,ROUNDDOWN(J7369*H7369,1))</f>
        <v>724.2</v>
      </c>
      <c r="E7369" s="506">
        <f>IF(H7369=0,0,ROUNDDOWN(K7369*H7369,1))</f>
        <v>0</v>
      </c>
      <c r="F7369" s="506">
        <f>IF(H7369=0,0,ROUNDDOWN(L7369*H7369,1))</f>
        <v>0</v>
      </c>
      <c r="G7369" s="451" t="s">
        <v>4192</v>
      </c>
      <c r="H7369" s="507">
        <f>ROUNDUP(AD7369,14-LEN(ABS(INT(AD7369))))</f>
        <v>2.8600000000000001E-3</v>
      </c>
      <c r="I7369" s="508">
        <f>K7369+J7369+L7369</f>
        <v>253243</v>
      </c>
      <c r="J7369" s="509">
        <f>노무비목록표!E9</f>
        <v>253243</v>
      </c>
      <c r="M7369" s="501" t="s">
        <v>2832</v>
      </c>
      <c r="N7369" s="501" t="s">
        <v>3416</v>
      </c>
      <c r="X7369" s="510" t="str">
        <f>노무비목록표!B9&amp;" / "&amp;노무비목록표!C9</f>
        <v xml:space="preserve">벌목부 / </v>
      </c>
      <c r="Y7369" s="433" t="str">
        <f ca="1">HYPERLINK("#"&amp;노무비목록표!G2&amp;"!A"&amp;ROW(노무비목록표!A9),"L00188 →")</f>
        <v>L00188 →</v>
      </c>
      <c r="Z7369" s="512" t="str">
        <f>AI7367</f>
        <v>2.86</v>
      </c>
      <c r="AA7369" s="501" t="s">
        <v>3777</v>
      </c>
      <c r="AB7369" s="515">
        <v>1000</v>
      </c>
      <c r="AC7369" s="501" t="s">
        <v>3418</v>
      </c>
      <c r="AD7369" s="512">
        <f>AI7367*1/AB7369</f>
        <v>2.8599999999999997E-3</v>
      </c>
      <c r="AE7369" s="500"/>
      <c r="AF7369" s="500"/>
      <c r="AG7369" s="500"/>
      <c r="AH7369" s="500"/>
      <c r="AI7369" s="500"/>
      <c r="AJ7369" s="500"/>
      <c r="AK7369" s="500"/>
      <c r="AL7369" s="500"/>
      <c r="AM7369" s="500"/>
      <c r="AN7369" s="500"/>
      <c r="AO7369" s="500"/>
      <c r="AP7369" s="500"/>
    </row>
    <row r="7370" spans="1:42" ht="16.5" customHeight="1">
      <c r="A7370" s="439"/>
      <c r="B7370" s="439"/>
      <c r="C7370" s="439"/>
      <c r="D7370" s="439"/>
      <c r="E7370" s="439"/>
      <c r="F7370" s="439"/>
      <c r="G7370" s="451" t="s">
        <v>3406</v>
      </c>
      <c r="Z7370" s="500"/>
      <c r="AA7370" s="500"/>
      <c r="AB7370" s="500"/>
      <c r="AC7370" s="500"/>
      <c r="AD7370" s="500"/>
      <c r="AE7370" s="500"/>
      <c r="AF7370" s="500"/>
      <c r="AG7370" s="500"/>
      <c r="AH7370" s="500"/>
      <c r="AI7370" s="500"/>
      <c r="AJ7370" s="500"/>
      <c r="AK7370" s="500"/>
      <c r="AL7370" s="500"/>
      <c r="AM7370" s="500"/>
      <c r="AN7370" s="500"/>
      <c r="AO7370" s="500"/>
      <c r="AP7370" s="500"/>
    </row>
    <row r="7371" spans="1:42" ht="16.5" customHeight="1">
      <c r="A7371" s="434"/>
      <c r="B7371" s="437" t="s">
        <v>3773</v>
      </c>
      <c r="C7371" s="439"/>
      <c r="D7371" s="439"/>
      <c r="E7371" s="439"/>
      <c r="F7371" s="439"/>
      <c r="G7371" s="451" t="s">
        <v>3774</v>
      </c>
      <c r="Z7371" s="500"/>
      <c r="AA7371" s="500"/>
      <c r="AB7371" s="500"/>
      <c r="AC7371" s="500"/>
      <c r="AD7371" s="500"/>
      <c r="AE7371" s="500"/>
      <c r="AF7371" s="500"/>
      <c r="AG7371" s="500"/>
      <c r="AH7371" s="500"/>
      <c r="AI7371" s="500"/>
      <c r="AJ7371" s="500"/>
      <c r="AK7371" s="500"/>
      <c r="AL7371" s="500"/>
      <c r="AM7371" s="500"/>
      <c r="AN7371" s="500"/>
      <c r="AO7371" s="500"/>
      <c r="AP7371" s="500"/>
    </row>
    <row r="7372" spans="1:42" ht="16.5" customHeight="1">
      <c r="A7372" s="439"/>
      <c r="B7372" s="439"/>
      <c r="C7372" s="439"/>
      <c r="D7372" s="439"/>
      <c r="E7372" s="439"/>
      <c r="F7372" s="439"/>
      <c r="G7372" s="451" t="s">
        <v>3406</v>
      </c>
      <c r="Z7372" s="500"/>
      <c r="AA7372" s="500"/>
      <c r="AB7372" s="500"/>
      <c r="AC7372" s="500"/>
      <c r="AD7372" s="500"/>
      <c r="AE7372" s="500"/>
      <c r="AF7372" s="500"/>
      <c r="AG7372" s="500"/>
      <c r="AH7372" s="500"/>
      <c r="AI7372" s="500"/>
      <c r="AJ7372" s="500"/>
      <c r="AK7372" s="500"/>
      <c r="AL7372" s="500"/>
      <c r="AM7372" s="500"/>
      <c r="AN7372" s="500"/>
      <c r="AO7372" s="500"/>
      <c r="AP7372" s="500"/>
    </row>
    <row r="7373" spans="1:42" ht="16.5" customHeight="1">
      <c r="A7373" s="434"/>
      <c r="B7373" s="437" t="str">
        <f>" Q = ("&amp;AA7373&amp;"+"&amp;AC7373&amp;"+"&amp;AE7373&amp;")/"&amp;AG7373&amp;" = "&amp;AI7373&amp;"   인 "</f>
        <v xml:space="preserve"> Q = (0.51+0.66+0.87)/3 = 0.68   인 </v>
      </c>
      <c r="C7373" s="439"/>
      <c r="D7373" s="439"/>
      <c r="E7373" s="439"/>
      <c r="F7373" s="439"/>
      <c r="G7373" s="451" t="s">
        <v>4193</v>
      </c>
      <c r="Z7373" s="501" t="s">
        <v>3467</v>
      </c>
      <c r="AA7373" s="511">
        <v>0.51</v>
      </c>
      <c r="AB7373" s="501" t="s">
        <v>3468</v>
      </c>
      <c r="AC7373" s="511">
        <v>0.66</v>
      </c>
      <c r="AD7373" s="501" t="s">
        <v>3468</v>
      </c>
      <c r="AE7373" s="511">
        <v>0.87</v>
      </c>
      <c r="AF7373" s="501" t="s">
        <v>3475</v>
      </c>
      <c r="AG7373" s="515">
        <v>3</v>
      </c>
      <c r="AH7373" s="501" t="s">
        <v>3418</v>
      </c>
      <c r="AI7373" s="512" t="str">
        <f>TEXT(ROUND((AA7373+AC7373+AE7373)/AG7373,2),"#,0.00")</f>
        <v>0.68</v>
      </c>
      <c r="AJ7373" s="500"/>
      <c r="AK7373" s="500"/>
      <c r="AL7373" s="500"/>
      <c r="AM7373" s="500"/>
      <c r="AN7373" s="500"/>
      <c r="AO7373" s="500"/>
      <c r="AP7373" s="500"/>
    </row>
    <row r="7374" spans="1:42" ht="16.5" customHeight="1">
      <c r="A7374" s="439"/>
      <c r="B7374" s="439"/>
      <c r="C7374" s="439"/>
      <c r="D7374" s="439"/>
      <c r="E7374" s="439"/>
      <c r="F7374" s="439"/>
      <c r="G7374" s="451" t="s">
        <v>3406</v>
      </c>
      <c r="Z7374" s="500"/>
      <c r="AA7374" s="500"/>
      <c r="AB7374" s="500"/>
      <c r="AC7374" s="500"/>
      <c r="AD7374" s="500"/>
      <c r="AE7374" s="500"/>
      <c r="AF7374" s="500"/>
      <c r="AG7374" s="500"/>
      <c r="AH7374" s="500"/>
      <c r="AI7374" s="500"/>
      <c r="AJ7374" s="500"/>
      <c r="AK7374" s="500"/>
      <c r="AL7374" s="500"/>
      <c r="AM7374" s="500"/>
      <c r="AN7374" s="500"/>
      <c r="AO7374" s="500"/>
      <c r="AP7374" s="500"/>
    </row>
    <row r="7375" spans="1:42" ht="16.5" customHeight="1">
      <c r="A7375" s="434" t="s">
        <v>3414</v>
      </c>
      <c r="B7375" s="505" t="str">
        <f>" 노 무 비  :  Q*"&amp;TEXT(I7375,"#,##0"&amp;IF(I7375&lt;&gt;INT(I7375),".###",""))&amp;"/"&amp;AB7375&amp;" = "&amp;TEXT(C7375,"#,##0.0")&amp;""</f>
        <v xml:space="preserve"> 노 무 비  :  Q*172,068/1000 = 117.0</v>
      </c>
      <c r="C7375" s="506">
        <f>E7375+D7375+F7375</f>
        <v>117</v>
      </c>
      <c r="D7375" s="506">
        <f>IF(H7375=0,0,ROUNDDOWN(J7375*H7375,1))</f>
        <v>117</v>
      </c>
      <c r="E7375" s="506">
        <f>IF(H7375=0,0,ROUNDDOWN(K7375*H7375,1))</f>
        <v>0</v>
      </c>
      <c r="F7375" s="506">
        <f>IF(H7375=0,0,ROUNDDOWN(L7375*H7375,1))</f>
        <v>0</v>
      </c>
      <c r="G7375" s="451" t="s">
        <v>4194</v>
      </c>
      <c r="H7375" s="507">
        <f>ROUNDUP(AD7375,14-LEN(ABS(INT(AD7375))))</f>
        <v>6.8000000000000005E-4</v>
      </c>
      <c r="I7375" s="508">
        <f>K7375+J7375+L7375</f>
        <v>172068</v>
      </c>
      <c r="J7375" s="509">
        <f>노무비목록표!E10</f>
        <v>172068</v>
      </c>
      <c r="M7375" s="501" t="s">
        <v>2363</v>
      </c>
      <c r="N7375" s="501" t="s">
        <v>3416</v>
      </c>
      <c r="X7375" s="510" t="str">
        <f>노무비목록표!B10&amp;" / "&amp;노무비목록표!C10</f>
        <v xml:space="preserve">보통인부 / </v>
      </c>
      <c r="Y7375" s="433" t="str">
        <f ca="1">HYPERLINK("#"&amp;노무비목록표!G2&amp;"!A"&amp;ROW(노무비목록표!A10),"L00017 →")</f>
        <v>L00017 →</v>
      </c>
      <c r="Z7375" s="512" t="str">
        <f>AI7373</f>
        <v>0.68</v>
      </c>
      <c r="AA7375" s="501" t="s">
        <v>3777</v>
      </c>
      <c r="AB7375" s="515">
        <v>1000</v>
      </c>
      <c r="AC7375" s="501" t="s">
        <v>3418</v>
      </c>
      <c r="AD7375" s="512">
        <f>AI7373*1/AB7375</f>
        <v>6.8000000000000005E-4</v>
      </c>
      <c r="AE7375" s="500"/>
      <c r="AF7375" s="500"/>
      <c r="AG7375" s="500"/>
      <c r="AH7375" s="500"/>
      <c r="AI7375" s="500"/>
      <c r="AJ7375" s="500"/>
      <c r="AK7375" s="500"/>
      <c r="AL7375" s="500"/>
      <c r="AM7375" s="500"/>
      <c r="AN7375" s="500"/>
      <c r="AO7375" s="500"/>
      <c r="AP7375" s="500"/>
    </row>
    <row r="7376" spans="1:42" ht="16.5" customHeight="1">
      <c r="A7376" s="439"/>
      <c r="B7376" s="439"/>
      <c r="C7376" s="439"/>
      <c r="D7376" s="439"/>
      <c r="E7376" s="439"/>
      <c r="F7376" s="439"/>
      <c r="G7376" s="451" t="s">
        <v>3406</v>
      </c>
      <c r="Z7376" s="500"/>
      <c r="AA7376" s="500"/>
      <c r="AB7376" s="500"/>
      <c r="AC7376" s="500"/>
      <c r="AD7376" s="500"/>
      <c r="AE7376" s="500"/>
      <c r="AF7376" s="500"/>
      <c r="AG7376" s="500"/>
      <c r="AH7376" s="500"/>
      <c r="AI7376" s="500"/>
      <c r="AJ7376" s="500"/>
      <c r="AK7376" s="500"/>
      <c r="AL7376" s="500"/>
      <c r="AM7376" s="500"/>
      <c r="AN7376" s="500"/>
      <c r="AO7376" s="500"/>
      <c r="AP7376" s="500"/>
    </row>
    <row r="7377" spans="1:42" ht="16.5" customHeight="1">
      <c r="A7377" s="434"/>
      <c r="B7377" s="437" t="s">
        <v>4214</v>
      </c>
      <c r="C7377" s="439"/>
      <c r="D7377" s="439"/>
      <c r="E7377" s="439"/>
      <c r="F7377" s="439"/>
      <c r="G7377" s="451" t="s">
        <v>4215</v>
      </c>
      <c r="Z7377" s="500"/>
      <c r="AA7377" s="500"/>
      <c r="AB7377" s="500"/>
      <c r="AC7377" s="500"/>
      <c r="AD7377" s="500"/>
      <c r="AE7377" s="500"/>
      <c r="AF7377" s="500"/>
      <c r="AG7377" s="500"/>
      <c r="AH7377" s="500"/>
      <c r="AI7377" s="500"/>
      <c r="AJ7377" s="500"/>
      <c r="AK7377" s="500"/>
      <c r="AL7377" s="500"/>
      <c r="AM7377" s="500"/>
      <c r="AN7377" s="500"/>
      <c r="AO7377" s="500"/>
      <c r="AP7377" s="500"/>
    </row>
    <row r="7378" spans="1:42" ht="16.5" customHeight="1">
      <c r="A7378" s="439"/>
      <c r="B7378" s="439"/>
      <c r="C7378" s="439"/>
      <c r="D7378" s="439"/>
      <c r="E7378" s="439"/>
      <c r="F7378" s="439"/>
      <c r="G7378" s="451" t="s">
        <v>3406</v>
      </c>
      <c r="Z7378" s="500"/>
      <c r="AA7378" s="500"/>
      <c r="AB7378" s="500"/>
      <c r="AC7378" s="500"/>
      <c r="AD7378" s="500"/>
      <c r="AE7378" s="500"/>
      <c r="AF7378" s="500"/>
      <c r="AG7378" s="500"/>
      <c r="AH7378" s="500"/>
      <c r="AI7378" s="500"/>
      <c r="AJ7378" s="500"/>
      <c r="AK7378" s="500"/>
      <c r="AL7378" s="500"/>
      <c r="AM7378" s="500"/>
      <c r="AN7378" s="500"/>
      <c r="AO7378" s="500"/>
      <c r="AP7378" s="500"/>
    </row>
    <row r="7379" spans="1:42" ht="16.5" customHeight="1">
      <c r="A7379" s="434" t="s">
        <v>4216</v>
      </c>
      <c r="B7379" s="505" t="str">
        <f>"  기구손료 : "&amp;TEXT(I7379,"#,##0"&amp;IF(I7379&lt;&gt;INT(I7379),".###",""))&amp;" * "&amp;AA7379&amp;" %  = "&amp;TEXT(C7379,"#,##0.0")&amp;""</f>
        <v xml:space="preserve">  기구손료 : 841.2 * 10 %  = 84.1</v>
      </c>
      <c r="C7379" s="506">
        <f>E7379+D7379+F7379</f>
        <v>84.1</v>
      </c>
      <c r="D7379" s="506">
        <f>IF(H7379=0,0,ROUNDDOWN(J7379*H7379/100,1))</f>
        <v>84.1</v>
      </c>
      <c r="E7379" s="506">
        <f>IF(H7379=0,0,ROUNDDOWN(K7379*H7379/100,1))</f>
        <v>0</v>
      </c>
      <c r="F7379" s="506">
        <f>IF(H7379=0,0,ROUNDDOWN(L7379*H7379/100,1))</f>
        <v>0</v>
      </c>
      <c r="G7379" s="451" t="s">
        <v>4217</v>
      </c>
      <c r="H7379" s="507">
        <f>ROUNDUP(AC7379,14-LEN(ABS(INT(AC7379))))</f>
        <v>10</v>
      </c>
      <c r="I7379" s="508">
        <f>K7379+J7379+L7379</f>
        <v>841.2</v>
      </c>
      <c r="J7379" s="518">
        <v>841.2</v>
      </c>
      <c r="K7379" s="456">
        <v>0</v>
      </c>
      <c r="L7379" s="456">
        <v>0</v>
      </c>
      <c r="M7379" s="501" t="s">
        <v>4218</v>
      </c>
      <c r="N7379" s="501" t="s">
        <v>3416</v>
      </c>
      <c r="Z7379" s="501" t="s">
        <v>3500</v>
      </c>
      <c r="AA7379" s="515">
        <v>10</v>
      </c>
      <c r="AB7379" s="501" t="s">
        <v>3418</v>
      </c>
      <c r="AC7379" s="512">
        <f>1*AA7379</f>
        <v>10</v>
      </c>
      <c r="AD7379" s="500"/>
      <c r="AE7379" s="500"/>
      <c r="AF7379" s="500"/>
      <c r="AG7379" s="500"/>
      <c r="AH7379" s="500"/>
      <c r="AI7379" s="500"/>
      <c r="AJ7379" s="500"/>
      <c r="AK7379" s="500"/>
      <c r="AL7379" s="500"/>
      <c r="AM7379" s="500"/>
      <c r="AN7379" s="500"/>
      <c r="AO7379" s="500"/>
      <c r="AP7379" s="500"/>
    </row>
    <row r="7380" spans="1:42" ht="16.5" customHeight="1">
      <c r="A7380" s="439"/>
      <c r="B7380" s="439"/>
      <c r="C7380" s="439"/>
      <c r="D7380" s="439"/>
      <c r="E7380" s="439"/>
      <c r="F7380" s="439"/>
      <c r="G7380" s="451" t="s">
        <v>3406</v>
      </c>
      <c r="Z7380" s="500"/>
      <c r="AA7380" s="500"/>
      <c r="AB7380" s="500"/>
      <c r="AC7380" s="500"/>
      <c r="AD7380" s="500"/>
      <c r="AE7380" s="500"/>
      <c r="AF7380" s="500"/>
      <c r="AG7380" s="500"/>
      <c r="AH7380" s="500"/>
      <c r="AI7380" s="500"/>
      <c r="AJ7380" s="500"/>
      <c r="AK7380" s="500"/>
      <c r="AL7380" s="500"/>
      <c r="AM7380" s="500"/>
      <c r="AN7380" s="500"/>
      <c r="AO7380" s="500"/>
      <c r="AP7380" s="500"/>
    </row>
    <row r="7381" spans="1:42" ht="16.5" customHeight="1">
      <c r="A7381" s="434"/>
      <c r="B7381" s="437" t="s">
        <v>3419</v>
      </c>
      <c r="C7381" s="513">
        <f>E7381+D7381+F7381</f>
        <v>925.30000000000007</v>
      </c>
      <c r="D7381" s="513">
        <f>SUMIF(N7357:N7380,M7381,D7357:D7380)</f>
        <v>925.30000000000007</v>
      </c>
      <c r="E7381" s="513">
        <f>SUMIF(N7357:N7380,M7381,E7357:E7380)</f>
        <v>0</v>
      </c>
      <c r="F7381" s="513">
        <f>SUMIF(N7357:N7380,M7381,F7357:F7380)</f>
        <v>0</v>
      </c>
      <c r="G7381" s="451" t="s">
        <v>3439</v>
      </c>
      <c r="M7381" s="501" t="s">
        <v>3416</v>
      </c>
      <c r="N7381" s="501" t="s">
        <v>3421</v>
      </c>
      <c r="Z7381" s="500"/>
      <c r="AA7381" s="500"/>
      <c r="AB7381" s="500"/>
      <c r="AC7381" s="500"/>
      <c r="AD7381" s="500"/>
      <c r="AE7381" s="500"/>
      <c r="AF7381" s="500"/>
      <c r="AG7381" s="500"/>
      <c r="AH7381" s="500"/>
      <c r="AI7381" s="500"/>
      <c r="AJ7381" s="500"/>
      <c r="AK7381" s="500"/>
      <c r="AL7381" s="500"/>
      <c r="AM7381" s="500"/>
      <c r="AN7381" s="500"/>
      <c r="AO7381" s="500"/>
      <c r="AP7381" s="500"/>
    </row>
    <row r="7382" spans="1:42" ht="16.5" customHeight="1">
      <c r="A7382" s="439"/>
      <c r="B7382" s="439"/>
      <c r="C7382" s="504"/>
      <c r="D7382" s="504"/>
      <c r="E7382" s="504"/>
      <c r="F7382" s="504"/>
      <c r="G7382" s="451" t="s">
        <v>3406</v>
      </c>
      <c r="Z7382" s="500"/>
      <c r="AA7382" s="500"/>
      <c r="AB7382" s="500"/>
      <c r="AC7382" s="500"/>
      <c r="AD7382" s="500"/>
      <c r="AE7382" s="500"/>
      <c r="AF7382" s="500"/>
      <c r="AG7382" s="500"/>
      <c r="AH7382" s="500"/>
      <c r="AI7382" s="500"/>
      <c r="AJ7382" s="500"/>
      <c r="AK7382" s="500"/>
      <c r="AL7382" s="500"/>
      <c r="AM7382" s="500"/>
      <c r="AN7382" s="500"/>
      <c r="AO7382" s="500"/>
      <c r="AP7382" s="500"/>
    </row>
    <row r="7383" spans="1:42" ht="16.5" customHeight="1">
      <c r="A7383" s="434"/>
      <c r="B7383" s="437" t="s">
        <v>4219</v>
      </c>
      <c r="C7383" s="439"/>
      <c r="D7383" s="439"/>
      <c r="E7383" s="439"/>
      <c r="F7383" s="439"/>
      <c r="G7383" s="451" t="s">
        <v>4220</v>
      </c>
      <c r="Z7383" s="500"/>
      <c r="AA7383" s="500"/>
      <c r="AB7383" s="500"/>
      <c r="AC7383" s="500"/>
      <c r="AD7383" s="500"/>
      <c r="AE7383" s="500"/>
      <c r="AF7383" s="500"/>
      <c r="AG7383" s="500"/>
      <c r="AH7383" s="500"/>
      <c r="AI7383" s="500"/>
      <c r="AJ7383" s="500"/>
      <c r="AK7383" s="500"/>
      <c r="AL7383" s="500"/>
      <c r="AM7383" s="500"/>
      <c r="AN7383" s="500"/>
      <c r="AO7383" s="500"/>
      <c r="AP7383" s="500"/>
    </row>
    <row r="7384" spans="1:42" ht="16.5" customHeight="1">
      <c r="A7384" s="439"/>
      <c r="B7384" s="439"/>
      <c r="C7384" s="439"/>
      <c r="D7384" s="439"/>
      <c r="E7384" s="439"/>
      <c r="F7384" s="439"/>
      <c r="G7384" s="451" t="s">
        <v>3406</v>
      </c>
      <c r="Z7384" s="500"/>
      <c r="AA7384" s="500"/>
      <c r="AB7384" s="500"/>
      <c r="AC7384" s="500"/>
      <c r="AD7384" s="500"/>
      <c r="AE7384" s="500"/>
      <c r="AF7384" s="500"/>
      <c r="AG7384" s="500"/>
      <c r="AH7384" s="500"/>
      <c r="AI7384" s="500"/>
      <c r="AJ7384" s="500"/>
      <c r="AK7384" s="500"/>
      <c r="AL7384" s="500"/>
      <c r="AM7384" s="500"/>
      <c r="AN7384" s="500"/>
      <c r="AO7384" s="500"/>
      <c r="AP7384" s="500"/>
    </row>
    <row r="7385" spans="1:42" ht="16.5" customHeight="1">
      <c r="A7385" s="434"/>
      <c r="B7385" s="437" t="str">
        <f>" T = ("&amp;AA7385&amp;"+"&amp;AC7385&amp;"+"&amp;AE7385&amp;")/"&amp;AG7385&amp;" = "&amp;AI7385&amp;"   hr "</f>
        <v xml:space="preserve"> T = (2.71+3.54+4.61)/3 = 3.62   hr </v>
      </c>
      <c r="C7385" s="439"/>
      <c r="D7385" s="439"/>
      <c r="E7385" s="439"/>
      <c r="F7385" s="439"/>
      <c r="G7385" s="451" t="s">
        <v>4221</v>
      </c>
      <c r="Z7385" s="501" t="s">
        <v>3467</v>
      </c>
      <c r="AA7385" s="511">
        <v>2.71</v>
      </c>
      <c r="AB7385" s="501" t="s">
        <v>3468</v>
      </c>
      <c r="AC7385" s="511">
        <v>3.54</v>
      </c>
      <c r="AD7385" s="501" t="s">
        <v>3468</v>
      </c>
      <c r="AE7385" s="511">
        <v>4.6100000000000003</v>
      </c>
      <c r="AF7385" s="501" t="s">
        <v>3475</v>
      </c>
      <c r="AG7385" s="515">
        <v>3</v>
      </c>
      <c r="AH7385" s="501" t="s">
        <v>3418</v>
      </c>
      <c r="AI7385" s="512" t="str">
        <f>TEXT(ROUND((AA7385+AC7385+AE7385)/AG7385,2),"#,0.00")</f>
        <v>3.62</v>
      </c>
      <c r="AJ7385" s="500"/>
      <c r="AK7385" s="500"/>
      <c r="AL7385" s="500"/>
      <c r="AM7385" s="500"/>
      <c r="AN7385" s="500"/>
      <c r="AO7385" s="500"/>
      <c r="AP7385" s="500"/>
    </row>
    <row r="7386" spans="1:42" ht="16.5" customHeight="1">
      <c r="A7386" s="439"/>
      <c r="B7386" s="439"/>
      <c r="C7386" s="439"/>
      <c r="D7386" s="439"/>
      <c r="E7386" s="439"/>
      <c r="F7386" s="439"/>
      <c r="G7386" s="451" t="s">
        <v>3406</v>
      </c>
      <c r="Z7386" s="500"/>
      <c r="AA7386" s="500"/>
      <c r="AB7386" s="500"/>
      <c r="AC7386" s="500"/>
      <c r="AD7386" s="500"/>
      <c r="AE7386" s="500"/>
      <c r="AF7386" s="500"/>
      <c r="AG7386" s="500"/>
      <c r="AH7386" s="500"/>
      <c r="AI7386" s="500"/>
      <c r="AJ7386" s="500"/>
      <c r="AK7386" s="500"/>
      <c r="AL7386" s="500"/>
      <c r="AM7386" s="500"/>
      <c r="AN7386" s="500"/>
      <c r="AO7386" s="500"/>
      <c r="AP7386" s="500"/>
    </row>
    <row r="7387" spans="1:42" ht="16.5" customHeight="1">
      <c r="A7387" s="434" t="s">
        <v>4198</v>
      </c>
      <c r="B7387" s="505" t="str">
        <f>"  노 무 비 :  "&amp;TEXT(I7387,"#,##0"&amp;IF(I7387&lt;&gt;INT(I7387),".###",""))&amp;" * T / "&amp;AC7387&amp;" = "&amp;TEXT(C7387,"#,##0.0")&amp;""</f>
        <v xml:space="preserve">  노 무 비 :  59,020 * T / 1000 = 213.6</v>
      </c>
      <c r="C7387" s="506">
        <f>E7387+D7387+F7387</f>
        <v>213.6</v>
      </c>
      <c r="D7387" s="506">
        <f>IF(H7387=0,0,ROUNDDOWN(J7387*H7387,1))</f>
        <v>213.6</v>
      </c>
      <c r="E7387" s="506">
        <f>IF(H7387=0,0,ROUNDDOWN(K7387*H7387,1))</f>
        <v>0</v>
      </c>
      <c r="F7387" s="506">
        <f>IF(H7387=0,0,ROUNDDOWN(L7387*H7387,1))</f>
        <v>0</v>
      </c>
      <c r="G7387" s="451" t="s">
        <v>4222</v>
      </c>
      <c r="H7387" s="507">
        <f>ROUNDUP(AE7387,14-LEN(ABS(INT(AE7387))))</f>
        <v>3.62E-3</v>
      </c>
      <c r="I7387" s="508">
        <f>K7387+J7387+L7387</f>
        <v>59020</v>
      </c>
      <c r="J7387" s="509">
        <f>중기목록표!F6</f>
        <v>59020</v>
      </c>
      <c r="M7387" s="501" t="s">
        <v>4200</v>
      </c>
      <c r="N7387" s="501" t="s">
        <v>3416</v>
      </c>
      <c r="X7387" s="510" t="str">
        <f>중기목록표!B6&amp;" / "&amp;중기목록표!C6</f>
        <v>굴착기(무한궤도) / 0.2㎥,(부착용집게)</v>
      </c>
      <c r="Y7387" s="433" t="str">
        <f ca="1">HYPERLINK("#"&amp;중기목록표!J2&amp;"!A"&amp;ROW(중기목록표!A6),"X00323 →")</f>
        <v>X00323 →</v>
      </c>
      <c r="Z7387" s="501" t="s">
        <v>3500</v>
      </c>
      <c r="AA7387" s="512" t="str">
        <f>AI7385</f>
        <v>3.62</v>
      </c>
      <c r="AB7387" s="501" t="s">
        <v>3428</v>
      </c>
      <c r="AC7387" s="515">
        <v>1000</v>
      </c>
      <c r="AD7387" s="501" t="s">
        <v>3418</v>
      </c>
      <c r="AE7387" s="512">
        <f>1*AI7385/AC7387</f>
        <v>3.62E-3</v>
      </c>
      <c r="AF7387" s="500"/>
      <c r="AG7387" s="500"/>
      <c r="AH7387" s="500"/>
      <c r="AI7387" s="500"/>
      <c r="AJ7387" s="500"/>
      <c r="AK7387" s="500"/>
      <c r="AL7387" s="500"/>
      <c r="AM7387" s="500"/>
      <c r="AN7387" s="500"/>
      <c r="AO7387" s="500"/>
      <c r="AP7387" s="500"/>
    </row>
    <row r="7388" spans="1:42" ht="16.5" customHeight="1">
      <c r="A7388" s="439"/>
      <c r="B7388" s="439"/>
      <c r="C7388" s="439"/>
      <c r="D7388" s="439"/>
      <c r="E7388" s="439"/>
      <c r="F7388" s="439"/>
      <c r="G7388" s="451" t="s">
        <v>3406</v>
      </c>
      <c r="Z7388" s="500"/>
      <c r="AA7388" s="500"/>
      <c r="AB7388" s="500"/>
      <c r="AC7388" s="500"/>
      <c r="AD7388" s="500"/>
      <c r="AE7388" s="500"/>
      <c r="AF7388" s="500"/>
      <c r="AG7388" s="500"/>
      <c r="AH7388" s="500"/>
      <c r="AI7388" s="500"/>
      <c r="AJ7388" s="500"/>
      <c r="AK7388" s="500"/>
      <c r="AL7388" s="500"/>
      <c r="AM7388" s="500"/>
      <c r="AN7388" s="500"/>
      <c r="AO7388" s="500"/>
      <c r="AP7388" s="500"/>
    </row>
    <row r="7389" spans="1:42" ht="16.5" customHeight="1">
      <c r="A7389" s="434" t="s">
        <v>4201</v>
      </c>
      <c r="B7389" s="505" t="str">
        <f>"  재 료 비 :  "&amp;TEXT(I7389,"#,##0"&amp;IF(I7389&lt;&gt;INT(I7389),".###",""))&amp;" * T / "&amp;AC7389&amp;" = "&amp;TEXT(C7389,"#,##0.0")&amp;""</f>
        <v xml:space="preserve">  재 료 비 :  8,342 * T / 1000 = 30.1</v>
      </c>
      <c r="C7389" s="506">
        <f>E7389+D7389+F7389</f>
        <v>30.1</v>
      </c>
      <c r="D7389" s="506">
        <f>IF(H7389=0,0,ROUNDDOWN(J7389*H7389,1))</f>
        <v>0</v>
      </c>
      <c r="E7389" s="506">
        <f>IF(H7389=0,0,ROUNDDOWN(K7389*H7389,1))</f>
        <v>30.1</v>
      </c>
      <c r="F7389" s="506">
        <f>IF(H7389=0,0,ROUNDDOWN(L7389*H7389,1))</f>
        <v>0</v>
      </c>
      <c r="G7389" s="451" t="s">
        <v>4223</v>
      </c>
      <c r="H7389" s="507">
        <f>ROUNDUP(AE7389,14-LEN(ABS(INT(AE7389))))</f>
        <v>3.62E-3</v>
      </c>
      <c r="I7389" s="508">
        <f>K7389+J7389+L7389</f>
        <v>8342</v>
      </c>
      <c r="K7389" s="509">
        <f>중기목록표!G6</f>
        <v>8342</v>
      </c>
      <c r="M7389" s="501" t="s">
        <v>4200</v>
      </c>
      <c r="N7389" s="501" t="s">
        <v>3416</v>
      </c>
      <c r="X7389" s="510" t="str">
        <f>중기목록표!B6&amp;" / "&amp;중기목록표!C6</f>
        <v>굴착기(무한궤도) / 0.2㎥,(부착용집게)</v>
      </c>
      <c r="Y7389" s="433" t="str">
        <f ca="1">HYPERLINK("#"&amp;중기목록표!J2&amp;"!A"&amp;ROW(중기목록표!A6),"X00323 →")</f>
        <v>X00323 →</v>
      </c>
      <c r="Z7389" s="501" t="s">
        <v>3500</v>
      </c>
      <c r="AA7389" s="512" t="str">
        <f>AI7385</f>
        <v>3.62</v>
      </c>
      <c r="AB7389" s="501" t="s">
        <v>3428</v>
      </c>
      <c r="AC7389" s="515">
        <v>1000</v>
      </c>
      <c r="AD7389" s="501" t="s">
        <v>3418</v>
      </c>
      <c r="AE7389" s="512">
        <f>1*AI7385/AC7389</f>
        <v>3.62E-3</v>
      </c>
      <c r="AF7389" s="500"/>
      <c r="AG7389" s="500"/>
      <c r="AH7389" s="500"/>
      <c r="AI7389" s="500"/>
      <c r="AJ7389" s="500"/>
      <c r="AK7389" s="500"/>
      <c r="AL7389" s="500"/>
      <c r="AM7389" s="500"/>
      <c r="AN7389" s="500"/>
      <c r="AO7389" s="500"/>
      <c r="AP7389" s="500"/>
    </row>
    <row r="7390" spans="1:42" ht="16.5" customHeight="1">
      <c r="A7390" s="439"/>
      <c r="B7390" s="439"/>
      <c r="C7390" s="439"/>
      <c r="D7390" s="439"/>
      <c r="E7390" s="439"/>
      <c r="F7390" s="439"/>
      <c r="G7390" s="451" t="s">
        <v>3406</v>
      </c>
      <c r="Z7390" s="500"/>
      <c r="AA7390" s="500"/>
      <c r="AB7390" s="500"/>
      <c r="AC7390" s="500"/>
      <c r="AD7390" s="500"/>
      <c r="AE7390" s="500"/>
      <c r="AF7390" s="500"/>
      <c r="AG7390" s="500"/>
      <c r="AH7390" s="500"/>
      <c r="AI7390" s="500"/>
      <c r="AJ7390" s="500"/>
      <c r="AK7390" s="500"/>
      <c r="AL7390" s="500"/>
      <c r="AM7390" s="500"/>
      <c r="AN7390" s="500"/>
      <c r="AO7390" s="500"/>
      <c r="AP7390" s="500"/>
    </row>
    <row r="7391" spans="1:42" ht="16.5" customHeight="1">
      <c r="A7391" s="434" t="s">
        <v>4203</v>
      </c>
      <c r="B7391" s="505" t="str">
        <f>"  경    비 :  "&amp;TEXT(I7391,"#,##0"&amp;IF(I7391&lt;&gt;INT(I7391),".###",""))&amp;" * T / "&amp;AC7391&amp;" = "&amp;TEXT(C7391,"#,##0.0")&amp;""</f>
        <v xml:space="preserve">  경    비 :  17,547 * T / 1000 = 63.5</v>
      </c>
      <c r="C7391" s="506">
        <f>E7391+D7391+F7391</f>
        <v>63.5</v>
      </c>
      <c r="D7391" s="506">
        <f>IF(H7391=0,0,ROUNDDOWN(J7391*H7391,1))</f>
        <v>0</v>
      </c>
      <c r="E7391" s="506">
        <f>IF(H7391=0,0,ROUNDDOWN(K7391*H7391,1))</f>
        <v>0</v>
      </c>
      <c r="F7391" s="506">
        <f>IF(H7391=0,0,ROUNDDOWN(L7391*H7391,1))</f>
        <v>63.5</v>
      </c>
      <c r="G7391" s="451" t="s">
        <v>4224</v>
      </c>
      <c r="H7391" s="507">
        <f>ROUNDUP(AE7391,14-LEN(ABS(INT(AE7391))))</f>
        <v>3.62E-3</v>
      </c>
      <c r="I7391" s="508">
        <f>K7391+J7391+L7391</f>
        <v>17547</v>
      </c>
      <c r="L7391" s="509">
        <f>중기목록표!H6</f>
        <v>17547</v>
      </c>
      <c r="M7391" s="501" t="s">
        <v>4200</v>
      </c>
      <c r="N7391" s="501" t="s">
        <v>3416</v>
      </c>
      <c r="X7391" s="510" t="str">
        <f>중기목록표!B6&amp;" / "&amp;중기목록표!C6</f>
        <v>굴착기(무한궤도) / 0.2㎥,(부착용집게)</v>
      </c>
      <c r="Y7391" s="433" t="str">
        <f ca="1">HYPERLINK("#"&amp;중기목록표!J2&amp;"!A"&amp;ROW(중기목록표!A6),"X00323 →")</f>
        <v>X00323 →</v>
      </c>
      <c r="Z7391" s="501" t="s">
        <v>3500</v>
      </c>
      <c r="AA7391" s="512" t="str">
        <f>AI7385</f>
        <v>3.62</v>
      </c>
      <c r="AB7391" s="501" t="s">
        <v>3428</v>
      </c>
      <c r="AC7391" s="515">
        <v>1000</v>
      </c>
      <c r="AD7391" s="501" t="s">
        <v>3418</v>
      </c>
      <c r="AE7391" s="512">
        <f>1*AI7385/AC7391</f>
        <v>3.62E-3</v>
      </c>
      <c r="AF7391" s="500"/>
      <c r="AG7391" s="500"/>
      <c r="AH7391" s="500"/>
      <c r="AI7391" s="500"/>
      <c r="AJ7391" s="500"/>
      <c r="AK7391" s="500"/>
      <c r="AL7391" s="500"/>
      <c r="AM7391" s="500"/>
      <c r="AN7391" s="500"/>
      <c r="AO7391" s="500"/>
      <c r="AP7391" s="500"/>
    </row>
    <row r="7392" spans="1:42" ht="16.5" customHeight="1">
      <c r="A7392" s="439"/>
      <c r="B7392" s="439"/>
      <c r="C7392" s="439"/>
      <c r="D7392" s="439"/>
      <c r="E7392" s="439"/>
      <c r="F7392" s="439"/>
      <c r="G7392" s="451" t="s">
        <v>3406</v>
      </c>
      <c r="Z7392" s="500"/>
      <c r="AA7392" s="500"/>
      <c r="AB7392" s="500"/>
      <c r="AC7392" s="500"/>
      <c r="AD7392" s="500"/>
      <c r="AE7392" s="500"/>
      <c r="AF7392" s="500"/>
      <c r="AG7392" s="500"/>
      <c r="AH7392" s="500"/>
      <c r="AI7392" s="500"/>
      <c r="AJ7392" s="500"/>
      <c r="AK7392" s="500"/>
      <c r="AL7392" s="500"/>
      <c r="AM7392" s="500"/>
      <c r="AN7392" s="500"/>
      <c r="AO7392" s="500"/>
      <c r="AP7392" s="500"/>
    </row>
    <row r="7393" spans="1:42" ht="16.5" customHeight="1">
      <c r="A7393" s="434"/>
      <c r="B7393" s="437" t="s">
        <v>3419</v>
      </c>
      <c r="C7393" s="513">
        <f>E7393+D7393+F7393</f>
        <v>307.2</v>
      </c>
      <c r="D7393" s="513">
        <f>SUMIF(N7382:N7392,M7393,D7382:D7392)</f>
        <v>213.6</v>
      </c>
      <c r="E7393" s="513">
        <f>SUMIF(N7382:N7392,M7393,E7382:E7392)</f>
        <v>30.1</v>
      </c>
      <c r="F7393" s="513">
        <f>SUMIF(N7382:N7392,M7393,F7382:F7392)</f>
        <v>63.5</v>
      </c>
      <c r="G7393" s="451" t="s">
        <v>3439</v>
      </c>
      <c r="M7393" s="501" t="s">
        <v>3416</v>
      </c>
      <c r="N7393" s="501" t="s">
        <v>3421</v>
      </c>
      <c r="Z7393" s="500"/>
      <c r="AA7393" s="500"/>
      <c r="AB7393" s="500"/>
      <c r="AC7393" s="500"/>
      <c r="AD7393" s="500"/>
      <c r="AE7393" s="500"/>
      <c r="AF7393" s="500"/>
      <c r="AG7393" s="500"/>
      <c r="AH7393" s="500"/>
      <c r="AI7393" s="500"/>
      <c r="AJ7393" s="500"/>
      <c r="AK7393" s="500"/>
      <c r="AL7393" s="500"/>
      <c r="AM7393" s="500"/>
      <c r="AN7393" s="500"/>
      <c r="AO7393" s="500"/>
      <c r="AP7393" s="500"/>
    </row>
    <row r="7394" spans="1:42" ht="16.5" customHeight="1">
      <c r="A7394" s="439"/>
      <c r="B7394" s="439"/>
      <c r="C7394" s="504"/>
      <c r="D7394" s="504"/>
      <c r="E7394" s="504"/>
      <c r="F7394" s="504"/>
      <c r="G7394" s="451" t="s">
        <v>3406</v>
      </c>
      <c r="Z7394" s="500"/>
      <c r="AA7394" s="500"/>
      <c r="AB7394" s="500"/>
      <c r="AC7394" s="500"/>
      <c r="AD7394" s="500"/>
      <c r="AE7394" s="500"/>
      <c r="AF7394" s="500"/>
      <c r="AG7394" s="500"/>
      <c r="AH7394" s="500"/>
      <c r="AI7394" s="500"/>
      <c r="AJ7394" s="500"/>
      <c r="AK7394" s="500"/>
      <c r="AL7394" s="500"/>
      <c r="AM7394" s="500"/>
      <c r="AN7394" s="500"/>
      <c r="AO7394" s="500"/>
      <c r="AP7394" s="500"/>
    </row>
    <row r="7395" spans="1:42" ht="16.5" customHeight="1">
      <c r="A7395" s="434"/>
      <c r="B7395" s="437" t="s">
        <v>3440</v>
      </c>
      <c r="C7395" s="513">
        <f>E7395+D7395+F7395</f>
        <v>1232.5</v>
      </c>
      <c r="D7395" s="513">
        <f>SUMIF(N7357:N7394,M7395,D7357:D7394)</f>
        <v>1138.9000000000001</v>
      </c>
      <c r="E7395" s="513">
        <f>SUMIF(N7357:N7394,M7395,E7357:E7394)</f>
        <v>30.1</v>
      </c>
      <c r="F7395" s="513">
        <f>SUMIF(N7357:N7394,M7395,F7357:F7394)</f>
        <v>63.5</v>
      </c>
      <c r="G7395" s="451" t="s">
        <v>3441</v>
      </c>
      <c r="M7395" s="501" t="s">
        <v>3421</v>
      </c>
      <c r="N7395" s="501" t="s">
        <v>3442</v>
      </c>
      <c r="Z7395" s="500"/>
      <c r="AA7395" s="500"/>
      <c r="AB7395" s="500"/>
      <c r="AC7395" s="500"/>
      <c r="AD7395" s="500"/>
      <c r="AE7395" s="500"/>
      <c r="AF7395" s="500"/>
      <c r="AG7395" s="500"/>
      <c r="AH7395" s="500"/>
      <c r="AI7395" s="500"/>
      <c r="AJ7395" s="500"/>
      <c r="AK7395" s="500"/>
      <c r="AL7395" s="500"/>
      <c r="AM7395" s="500"/>
      <c r="AN7395" s="500"/>
      <c r="AO7395" s="500"/>
      <c r="AP7395" s="500"/>
    </row>
    <row r="7396" spans="1:42" ht="16.5" customHeight="1">
      <c r="A7396" s="439"/>
      <c r="B7396" s="439"/>
      <c r="C7396" s="504"/>
      <c r="D7396" s="504"/>
      <c r="E7396" s="504"/>
      <c r="F7396" s="504"/>
      <c r="G7396" s="451" t="s">
        <v>3406</v>
      </c>
      <c r="Z7396" s="500"/>
      <c r="AA7396" s="500"/>
      <c r="AB7396" s="500"/>
      <c r="AC7396" s="500"/>
      <c r="AD7396" s="500"/>
      <c r="AE7396" s="500"/>
      <c r="AF7396" s="500"/>
      <c r="AG7396" s="500"/>
      <c r="AH7396" s="500"/>
      <c r="AI7396" s="500"/>
      <c r="AJ7396" s="500"/>
      <c r="AK7396" s="500"/>
      <c r="AL7396" s="500"/>
      <c r="AM7396" s="500"/>
      <c r="AN7396" s="500"/>
      <c r="AO7396" s="500"/>
      <c r="AP7396" s="500"/>
    </row>
    <row r="7397" spans="1:42" ht="16.5" customHeight="1">
      <c r="A7397" s="439"/>
      <c r="B7397" s="439"/>
      <c r="C7397" s="439"/>
      <c r="D7397" s="439"/>
      <c r="E7397" s="439"/>
      <c r="F7397" s="439"/>
      <c r="G7397" s="451" t="s">
        <v>3406</v>
      </c>
      <c r="Z7397" s="500"/>
      <c r="AA7397" s="500"/>
      <c r="AB7397" s="500"/>
      <c r="AC7397" s="500"/>
      <c r="AD7397" s="500"/>
      <c r="AE7397" s="500"/>
      <c r="AF7397" s="500"/>
      <c r="AG7397" s="500"/>
      <c r="AH7397" s="500"/>
      <c r="AI7397" s="500"/>
      <c r="AJ7397" s="500"/>
      <c r="AK7397" s="500"/>
      <c r="AL7397" s="500"/>
      <c r="AM7397" s="500"/>
      <c r="AN7397" s="500"/>
      <c r="AO7397" s="500"/>
      <c r="AP7397" s="500"/>
    </row>
    <row r="7398" spans="1:42" ht="16.5" customHeight="1">
      <c r="A7398" s="434"/>
      <c r="B7398" s="437" t="s">
        <v>4225</v>
      </c>
      <c r="C7398" s="439"/>
      <c r="D7398" s="439"/>
      <c r="E7398" s="439"/>
      <c r="F7398" s="439"/>
      <c r="G7398" s="451" t="s">
        <v>4226</v>
      </c>
      <c r="Z7398" s="500"/>
      <c r="AA7398" s="500"/>
      <c r="AB7398" s="500"/>
      <c r="AC7398" s="500"/>
      <c r="AD7398" s="500"/>
      <c r="AE7398" s="500"/>
      <c r="AF7398" s="500"/>
      <c r="AG7398" s="500"/>
      <c r="AH7398" s="500"/>
      <c r="AI7398" s="500"/>
      <c r="AJ7398" s="500"/>
      <c r="AK7398" s="500"/>
      <c r="AL7398" s="500"/>
      <c r="AM7398" s="500"/>
      <c r="AN7398" s="500"/>
      <c r="AO7398" s="500"/>
      <c r="AP7398" s="500"/>
    </row>
    <row r="7399" spans="1:42" ht="16.5" customHeight="1">
      <c r="A7399" s="439"/>
      <c r="B7399" s="439"/>
      <c r="C7399" s="439"/>
      <c r="D7399" s="439"/>
      <c r="E7399" s="439"/>
      <c r="F7399" s="439"/>
      <c r="G7399" s="451" t="s">
        <v>3406</v>
      </c>
      <c r="Z7399" s="500"/>
      <c r="AA7399" s="500"/>
      <c r="AB7399" s="500"/>
      <c r="AC7399" s="500"/>
      <c r="AD7399" s="500"/>
      <c r="AE7399" s="500"/>
      <c r="AF7399" s="500"/>
      <c r="AG7399" s="500"/>
      <c r="AH7399" s="500"/>
      <c r="AI7399" s="500"/>
      <c r="AJ7399" s="500"/>
      <c r="AK7399" s="500"/>
      <c r="AL7399" s="500"/>
      <c r="AM7399" s="500"/>
      <c r="AN7399" s="500"/>
      <c r="AO7399" s="500"/>
      <c r="AP7399" s="500"/>
    </row>
    <row r="7400" spans="1:42" ht="16.5" customHeight="1">
      <c r="A7400" s="434"/>
      <c r="B7400" s="437" t="s">
        <v>3773</v>
      </c>
      <c r="C7400" s="439"/>
      <c r="D7400" s="439"/>
      <c r="E7400" s="439"/>
      <c r="F7400" s="439"/>
      <c r="G7400" s="451" t="s">
        <v>3774</v>
      </c>
      <c r="Z7400" s="500"/>
      <c r="AA7400" s="500"/>
      <c r="AB7400" s="500"/>
      <c r="AC7400" s="500"/>
      <c r="AD7400" s="500"/>
      <c r="AE7400" s="500"/>
      <c r="AF7400" s="500"/>
      <c r="AG7400" s="500"/>
      <c r="AH7400" s="500"/>
      <c r="AI7400" s="500"/>
      <c r="AJ7400" s="500"/>
      <c r="AK7400" s="500"/>
      <c r="AL7400" s="500"/>
      <c r="AM7400" s="500"/>
      <c r="AN7400" s="500"/>
      <c r="AO7400" s="500"/>
      <c r="AP7400" s="500"/>
    </row>
    <row r="7401" spans="1:42" ht="16.5" customHeight="1">
      <c r="A7401" s="439"/>
      <c r="B7401" s="439"/>
      <c r="C7401" s="439"/>
      <c r="D7401" s="439"/>
      <c r="E7401" s="439"/>
      <c r="F7401" s="439"/>
      <c r="G7401" s="451" t="s">
        <v>3406</v>
      </c>
      <c r="Z7401" s="500"/>
      <c r="AA7401" s="500"/>
      <c r="AB7401" s="500"/>
      <c r="AC7401" s="500"/>
      <c r="AD7401" s="500"/>
      <c r="AE7401" s="500"/>
      <c r="AF7401" s="500"/>
      <c r="AG7401" s="500"/>
      <c r="AH7401" s="500"/>
      <c r="AI7401" s="500"/>
      <c r="AJ7401" s="500"/>
      <c r="AK7401" s="500"/>
      <c r="AL7401" s="500"/>
      <c r="AM7401" s="500"/>
      <c r="AN7401" s="500"/>
      <c r="AO7401" s="500"/>
      <c r="AP7401" s="500"/>
    </row>
    <row r="7402" spans="1:42" ht="16.5" customHeight="1">
      <c r="A7402" s="434"/>
      <c r="B7402" s="437" t="str">
        <f>" P1 = "&amp;Z7402&amp;"  인 "</f>
        <v xml:space="preserve"> P1 = 1.06  인 </v>
      </c>
      <c r="C7402" s="439"/>
      <c r="D7402" s="439"/>
      <c r="E7402" s="439"/>
      <c r="F7402" s="439"/>
      <c r="G7402" s="451" t="s">
        <v>4227</v>
      </c>
      <c r="Z7402" s="511">
        <v>1.06</v>
      </c>
      <c r="AA7402" s="501" t="s">
        <v>3418</v>
      </c>
      <c r="AB7402" s="512">
        <f>Z7402</f>
        <v>1.06</v>
      </c>
      <c r="AC7402" s="500"/>
      <c r="AD7402" s="500"/>
      <c r="AE7402" s="500"/>
      <c r="AF7402" s="500"/>
      <c r="AG7402" s="500"/>
      <c r="AH7402" s="500"/>
      <c r="AI7402" s="500"/>
      <c r="AJ7402" s="500"/>
      <c r="AK7402" s="500"/>
      <c r="AL7402" s="500"/>
      <c r="AM7402" s="500"/>
      <c r="AN7402" s="500"/>
      <c r="AO7402" s="500"/>
      <c r="AP7402" s="500"/>
    </row>
    <row r="7403" spans="1:42" ht="16.5" customHeight="1">
      <c r="A7403" s="439"/>
      <c r="B7403" s="439"/>
      <c r="C7403" s="439"/>
      <c r="D7403" s="439"/>
      <c r="E7403" s="439"/>
      <c r="F7403" s="439"/>
      <c r="G7403" s="451" t="s">
        <v>3406</v>
      </c>
      <c r="Z7403" s="500"/>
      <c r="AA7403" s="500"/>
      <c r="AB7403" s="500"/>
      <c r="AC7403" s="500"/>
      <c r="AD7403" s="500"/>
      <c r="AE7403" s="500"/>
      <c r="AF7403" s="500"/>
      <c r="AG7403" s="500"/>
      <c r="AH7403" s="500"/>
      <c r="AI7403" s="500"/>
      <c r="AJ7403" s="500"/>
      <c r="AK7403" s="500"/>
      <c r="AL7403" s="500"/>
      <c r="AM7403" s="500"/>
      <c r="AN7403" s="500"/>
      <c r="AO7403" s="500"/>
      <c r="AP7403" s="500"/>
    </row>
    <row r="7404" spans="1:42" ht="16.5" customHeight="1">
      <c r="A7404" s="434" t="s">
        <v>3414</v>
      </c>
      <c r="B7404" s="505" t="str">
        <f>" 노 무 비  :  P1 * "&amp;TEXT(I7404,"#,##0"&amp;IF(I7404&lt;&gt;INT(I7404),".###",""))&amp;"/"&amp;AB7404&amp;" = "&amp;TEXT(C7404,"#,##0.0")&amp;""</f>
        <v xml:space="preserve"> 노 무 비  :  P1 * 172,068/1000 = 182.3</v>
      </c>
      <c r="C7404" s="506">
        <f>E7404+D7404+F7404</f>
        <v>182.3</v>
      </c>
      <c r="D7404" s="506">
        <f>IF(H7404=0,0,ROUNDDOWN(J7404*H7404,1))</f>
        <v>182.3</v>
      </c>
      <c r="E7404" s="506">
        <f>IF(H7404=0,0,ROUNDDOWN(K7404*H7404,1))</f>
        <v>0</v>
      </c>
      <c r="F7404" s="506">
        <f>IF(H7404=0,0,ROUNDDOWN(L7404*H7404,1))</f>
        <v>0</v>
      </c>
      <c r="G7404" s="451" t="s">
        <v>4228</v>
      </c>
      <c r="H7404" s="507">
        <f>ROUNDUP(AD7404,14-LEN(ABS(INT(AD7404))))</f>
        <v>1.06E-3</v>
      </c>
      <c r="I7404" s="508">
        <f>K7404+J7404+L7404</f>
        <v>172068</v>
      </c>
      <c r="J7404" s="509">
        <f>노무비목록표!E10</f>
        <v>172068</v>
      </c>
      <c r="M7404" s="501" t="s">
        <v>2363</v>
      </c>
      <c r="N7404" s="501" t="s">
        <v>3416</v>
      </c>
      <c r="X7404" s="510" t="str">
        <f>노무비목록표!B10&amp;" / "&amp;노무비목록표!C10</f>
        <v xml:space="preserve">보통인부 / </v>
      </c>
      <c r="Y7404" s="433" t="str">
        <f ca="1">HYPERLINK("#"&amp;노무비목록표!G2&amp;"!A"&amp;ROW(노무비목록표!A10),"L00017 →")</f>
        <v>L00017 →</v>
      </c>
      <c r="Z7404" s="512">
        <f>AB7402</f>
        <v>1.06</v>
      </c>
      <c r="AA7404" s="501" t="s">
        <v>3777</v>
      </c>
      <c r="AB7404" s="515">
        <v>1000</v>
      </c>
      <c r="AC7404" s="501" t="s">
        <v>3418</v>
      </c>
      <c r="AD7404" s="512">
        <f>AB7402*1/AB7404</f>
        <v>1.06E-3</v>
      </c>
      <c r="AE7404" s="500"/>
      <c r="AF7404" s="500"/>
      <c r="AG7404" s="500"/>
      <c r="AH7404" s="500"/>
      <c r="AI7404" s="500"/>
      <c r="AJ7404" s="500"/>
      <c r="AK7404" s="500"/>
      <c r="AL7404" s="500"/>
      <c r="AM7404" s="500"/>
      <c r="AN7404" s="500"/>
      <c r="AO7404" s="500"/>
      <c r="AP7404" s="500"/>
    </row>
    <row r="7405" spans="1:42" ht="16.5" customHeight="1">
      <c r="A7405" s="439"/>
      <c r="B7405" s="439"/>
      <c r="C7405" s="439"/>
      <c r="D7405" s="439"/>
      <c r="E7405" s="439"/>
      <c r="F7405" s="439"/>
      <c r="G7405" s="451" t="s">
        <v>3406</v>
      </c>
      <c r="Z7405" s="500"/>
      <c r="AA7405" s="500"/>
      <c r="AB7405" s="500"/>
      <c r="AC7405" s="500"/>
      <c r="AD7405" s="500"/>
      <c r="AE7405" s="500"/>
      <c r="AF7405" s="500"/>
      <c r="AG7405" s="500"/>
      <c r="AH7405" s="500"/>
      <c r="AI7405" s="500"/>
      <c r="AJ7405" s="500"/>
      <c r="AK7405" s="500"/>
      <c r="AL7405" s="500"/>
      <c r="AM7405" s="500"/>
      <c r="AN7405" s="500"/>
      <c r="AO7405" s="500"/>
      <c r="AP7405" s="500"/>
    </row>
    <row r="7406" spans="1:42" ht="16.5" customHeight="1">
      <c r="A7406" s="434"/>
      <c r="B7406" s="437" t="s">
        <v>3419</v>
      </c>
      <c r="C7406" s="513">
        <f>E7406+D7406+F7406</f>
        <v>182.3</v>
      </c>
      <c r="D7406" s="513">
        <f>SUMIF(N7396:N7405,M7406,D7396:D7405)</f>
        <v>182.3</v>
      </c>
      <c r="E7406" s="513">
        <f>SUMIF(N7396:N7405,M7406,E7396:E7405)</f>
        <v>0</v>
      </c>
      <c r="F7406" s="513">
        <f>SUMIF(N7396:N7405,M7406,F7396:F7405)</f>
        <v>0</v>
      </c>
      <c r="G7406" s="451" t="s">
        <v>3420</v>
      </c>
      <c r="M7406" s="501" t="s">
        <v>3416</v>
      </c>
      <c r="N7406" s="501" t="s">
        <v>3421</v>
      </c>
      <c r="Z7406" s="500"/>
      <c r="AA7406" s="500"/>
      <c r="AB7406" s="500"/>
      <c r="AC7406" s="500"/>
      <c r="AD7406" s="500"/>
      <c r="AE7406" s="500"/>
      <c r="AF7406" s="500"/>
      <c r="AG7406" s="500"/>
      <c r="AH7406" s="500"/>
      <c r="AI7406" s="500"/>
      <c r="AJ7406" s="500"/>
      <c r="AK7406" s="500"/>
      <c r="AL7406" s="500"/>
      <c r="AM7406" s="500"/>
      <c r="AN7406" s="500"/>
      <c r="AO7406" s="500"/>
      <c r="AP7406" s="500"/>
    </row>
    <row r="7407" spans="1:42" ht="16.5" customHeight="1">
      <c r="A7407" s="439"/>
      <c r="B7407" s="439"/>
      <c r="C7407" s="504"/>
      <c r="D7407" s="504"/>
      <c r="E7407" s="504"/>
      <c r="F7407" s="504"/>
      <c r="G7407" s="451" t="s">
        <v>3406</v>
      </c>
      <c r="Z7407" s="500"/>
      <c r="AA7407" s="500"/>
      <c r="AB7407" s="500"/>
      <c r="AC7407" s="500"/>
      <c r="AD7407" s="500"/>
      <c r="AE7407" s="500"/>
      <c r="AF7407" s="500"/>
      <c r="AG7407" s="500"/>
      <c r="AH7407" s="500"/>
      <c r="AI7407" s="500"/>
      <c r="AJ7407" s="500"/>
      <c r="AK7407" s="500"/>
      <c r="AL7407" s="500"/>
      <c r="AM7407" s="500"/>
      <c r="AN7407" s="500"/>
      <c r="AO7407" s="500"/>
      <c r="AP7407" s="500"/>
    </row>
    <row r="7408" spans="1:42" ht="16.5" customHeight="1">
      <c r="A7408" s="434"/>
      <c r="B7408" s="437" t="s">
        <v>4229</v>
      </c>
      <c r="C7408" s="439"/>
      <c r="D7408" s="439"/>
      <c r="E7408" s="439"/>
      <c r="F7408" s="439"/>
      <c r="G7408" s="451" t="s">
        <v>4230</v>
      </c>
      <c r="Z7408" s="500"/>
      <c r="AA7408" s="500"/>
      <c r="AB7408" s="500"/>
      <c r="AC7408" s="500"/>
      <c r="AD7408" s="500"/>
      <c r="AE7408" s="500"/>
      <c r="AF7408" s="500"/>
      <c r="AG7408" s="500"/>
      <c r="AH7408" s="500"/>
      <c r="AI7408" s="500"/>
      <c r="AJ7408" s="500"/>
      <c r="AK7408" s="500"/>
      <c r="AL7408" s="500"/>
      <c r="AM7408" s="500"/>
      <c r="AN7408" s="500"/>
      <c r="AO7408" s="500"/>
      <c r="AP7408" s="500"/>
    </row>
    <row r="7409" spans="1:42" ht="16.5" customHeight="1">
      <c r="A7409" s="439"/>
      <c r="B7409" s="439"/>
      <c r="C7409" s="439"/>
      <c r="D7409" s="439"/>
      <c r="E7409" s="439"/>
      <c r="F7409" s="439"/>
      <c r="G7409" s="451" t="s">
        <v>3406</v>
      </c>
      <c r="Z7409" s="500"/>
      <c r="AA7409" s="500"/>
      <c r="AB7409" s="500"/>
      <c r="AC7409" s="500"/>
      <c r="AD7409" s="500"/>
      <c r="AE7409" s="500"/>
      <c r="AF7409" s="500"/>
      <c r="AG7409" s="500"/>
      <c r="AH7409" s="500"/>
      <c r="AI7409" s="500"/>
      <c r="AJ7409" s="500"/>
      <c r="AK7409" s="500"/>
      <c r="AL7409" s="500"/>
      <c r="AM7409" s="500"/>
      <c r="AN7409" s="500"/>
      <c r="AO7409" s="500"/>
      <c r="AP7409" s="500"/>
    </row>
    <row r="7410" spans="1:42" ht="16.5" customHeight="1">
      <c r="A7410" s="434"/>
      <c r="B7410" s="437" t="str">
        <f>" T1 = "&amp;Z7410&amp;" hr "</f>
        <v xml:space="preserve"> T1 = 3.76 hr </v>
      </c>
      <c r="C7410" s="439"/>
      <c r="D7410" s="439"/>
      <c r="E7410" s="439"/>
      <c r="F7410" s="439"/>
      <c r="G7410" s="451" t="s">
        <v>4231</v>
      </c>
      <c r="Z7410" s="511">
        <v>3.76</v>
      </c>
      <c r="AA7410" s="501" t="s">
        <v>3418</v>
      </c>
      <c r="AB7410" s="512">
        <f>Z7410</f>
        <v>3.76</v>
      </c>
      <c r="AC7410" s="500"/>
      <c r="AD7410" s="500"/>
      <c r="AE7410" s="500"/>
      <c r="AF7410" s="500"/>
      <c r="AG7410" s="500"/>
      <c r="AH7410" s="500"/>
      <c r="AI7410" s="500"/>
      <c r="AJ7410" s="500"/>
      <c r="AK7410" s="500"/>
      <c r="AL7410" s="500"/>
      <c r="AM7410" s="500"/>
      <c r="AN7410" s="500"/>
      <c r="AO7410" s="500"/>
      <c r="AP7410" s="500"/>
    </row>
    <row r="7411" spans="1:42" ht="16.5" customHeight="1">
      <c r="A7411" s="439"/>
      <c r="B7411" s="439"/>
      <c r="C7411" s="439"/>
      <c r="D7411" s="439"/>
      <c r="E7411" s="439"/>
      <c r="F7411" s="439"/>
      <c r="G7411" s="451" t="s">
        <v>3406</v>
      </c>
      <c r="Z7411" s="500"/>
      <c r="AA7411" s="500"/>
      <c r="AB7411" s="500"/>
      <c r="AC7411" s="500"/>
      <c r="AD7411" s="500"/>
      <c r="AE7411" s="500"/>
      <c r="AF7411" s="500"/>
      <c r="AG7411" s="500"/>
      <c r="AH7411" s="500"/>
      <c r="AI7411" s="500"/>
      <c r="AJ7411" s="500"/>
      <c r="AK7411" s="500"/>
      <c r="AL7411" s="500"/>
      <c r="AM7411" s="500"/>
      <c r="AN7411" s="500"/>
      <c r="AO7411" s="500"/>
      <c r="AP7411" s="500"/>
    </row>
    <row r="7412" spans="1:42" ht="16.5" customHeight="1">
      <c r="A7412" s="434" t="s">
        <v>4198</v>
      </c>
      <c r="B7412" s="505" t="str">
        <f>" 노 무 비 :  "&amp;TEXT(I7412,"#,##0"&amp;IF(I7412&lt;&gt;INT(I7412),".###",""))&amp;" * T / "&amp;AC7412&amp;" = "&amp;TEXT(C7412,"#,##0.0")&amp;""</f>
        <v xml:space="preserve"> 노 무 비 :  59,020 * T / 1000 = 213.6</v>
      </c>
      <c r="C7412" s="506">
        <f>E7412+D7412+F7412</f>
        <v>213.6</v>
      </c>
      <c r="D7412" s="506">
        <f>IF(H7412=0,0,ROUNDDOWN(J7412*H7412,1))</f>
        <v>213.6</v>
      </c>
      <c r="E7412" s="506">
        <f>IF(H7412=0,0,ROUNDDOWN(K7412*H7412,1))</f>
        <v>0</v>
      </c>
      <c r="F7412" s="506">
        <f>IF(H7412=0,0,ROUNDDOWN(L7412*H7412,1))</f>
        <v>0</v>
      </c>
      <c r="G7412" s="451" t="s">
        <v>4232</v>
      </c>
      <c r="H7412" s="507">
        <f>ROUNDUP(AE7412,14-LEN(ABS(INT(AE7412))))</f>
        <v>3.62E-3</v>
      </c>
      <c r="I7412" s="508">
        <f>K7412+J7412+L7412</f>
        <v>59020</v>
      </c>
      <c r="J7412" s="509">
        <f>중기목록표!F6</f>
        <v>59020</v>
      </c>
      <c r="M7412" s="501" t="s">
        <v>4200</v>
      </c>
      <c r="N7412" s="501" t="s">
        <v>3416</v>
      </c>
      <c r="X7412" s="510" t="str">
        <f>중기목록표!B6&amp;" / "&amp;중기목록표!C6</f>
        <v>굴착기(무한궤도) / 0.2㎥,(부착용집게)</v>
      </c>
      <c r="Y7412" s="433" t="str">
        <f ca="1">HYPERLINK("#"&amp;중기목록표!J2&amp;"!A"&amp;ROW(중기목록표!A6),"X00323 →")</f>
        <v>X00323 →</v>
      </c>
      <c r="Z7412" s="501" t="s">
        <v>3500</v>
      </c>
      <c r="AA7412" s="512" t="str">
        <f>AI7385</f>
        <v>3.62</v>
      </c>
      <c r="AB7412" s="501" t="s">
        <v>3428</v>
      </c>
      <c r="AC7412" s="515">
        <v>1000</v>
      </c>
      <c r="AD7412" s="501" t="s">
        <v>3418</v>
      </c>
      <c r="AE7412" s="512">
        <f>1*AI7385/AC7412</f>
        <v>3.62E-3</v>
      </c>
      <c r="AF7412" s="500"/>
      <c r="AG7412" s="500"/>
      <c r="AH7412" s="500"/>
      <c r="AI7412" s="500"/>
      <c r="AJ7412" s="500"/>
      <c r="AK7412" s="500"/>
      <c r="AL7412" s="500"/>
      <c r="AM7412" s="500"/>
      <c r="AN7412" s="500"/>
      <c r="AO7412" s="500"/>
      <c r="AP7412" s="500"/>
    </row>
    <row r="7413" spans="1:42" ht="16.5" customHeight="1">
      <c r="A7413" s="439"/>
      <c r="B7413" s="439"/>
      <c r="C7413" s="439"/>
      <c r="D7413" s="439"/>
      <c r="E7413" s="439"/>
      <c r="F7413" s="439"/>
      <c r="G7413" s="451" t="s">
        <v>3406</v>
      </c>
      <c r="Z7413" s="500"/>
      <c r="AA7413" s="500"/>
      <c r="AB7413" s="500"/>
      <c r="AC7413" s="500"/>
      <c r="AD7413" s="500"/>
      <c r="AE7413" s="500"/>
      <c r="AF7413" s="500"/>
      <c r="AG7413" s="500"/>
      <c r="AH7413" s="500"/>
      <c r="AI7413" s="500"/>
      <c r="AJ7413" s="500"/>
      <c r="AK7413" s="500"/>
      <c r="AL7413" s="500"/>
      <c r="AM7413" s="500"/>
      <c r="AN7413" s="500"/>
      <c r="AO7413" s="500"/>
      <c r="AP7413" s="500"/>
    </row>
    <row r="7414" spans="1:42" ht="16.5" customHeight="1">
      <c r="A7414" s="434" t="s">
        <v>4201</v>
      </c>
      <c r="B7414" s="505" t="str">
        <f>" 재 료 비 :  "&amp;TEXT(I7414,"#,##0"&amp;IF(I7414&lt;&gt;INT(I7414),".###",""))&amp;" * T / "&amp;AC7414&amp;" = "&amp;TEXT(C7414,"#,##0.0")&amp;""</f>
        <v xml:space="preserve"> 재 료 비 :  8,342 * T / 1000 = 30.1</v>
      </c>
      <c r="C7414" s="506">
        <f>E7414+D7414+F7414</f>
        <v>30.1</v>
      </c>
      <c r="D7414" s="506">
        <f>IF(H7414=0,0,ROUNDDOWN(J7414*H7414,1))</f>
        <v>0</v>
      </c>
      <c r="E7414" s="506">
        <f>IF(H7414=0,0,ROUNDDOWN(K7414*H7414,1))</f>
        <v>30.1</v>
      </c>
      <c r="F7414" s="506">
        <f>IF(H7414=0,0,ROUNDDOWN(L7414*H7414,1))</f>
        <v>0</v>
      </c>
      <c r="G7414" s="451" t="s">
        <v>4233</v>
      </c>
      <c r="H7414" s="507">
        <f>ROUNDUP(AE7414,14-LEN(ABS(INT(AE7414))))</f>
        <v>3.62E-3</v>
      </c>
      <c r="I7414" s="508">
        <f>K7414+J7414+L7414</f>
        <v>8342</v>
      </c>
      <c r="K7414" s="509">
        <f>중기목록표!G6</f>
        <v>8342</v>
      </c>
      <c r="M7414" s="501" t="s">
        <v>4200</v>
      </c>
      <c r="N7414" s="501" t="s">
        <v>3416</v>
      </c>
      <c r="X7414" s="510" t="str">
        <f>중기목록표!B6&amp;" / "&amp;중기목록표!C6</f>
        <v>굴착기(무한궤도) / 0.2㎥,(부착용집게)</v>
      </c>
      <c r="Y7414" s="433" t="str">
        <f ca="1">HYPERLINK("#"&amp;중기목록표!J2&amp;"!A"&amp;ROW(중기목록표!A6),"X00323 →")</f>
        <v>X00323 →</v>
      </c>
      <c r="Z7414" s="501" t="s">
        <v>3500</v>
      </c>
      <c r="AA7414" s="512" t="str">
        <f>AI7385</f>
        <v>3.62</v>
      </c>
      <c r="AB7414" s="501" t="s">
        <v>3428</v>
      </c>
      <c r="AC7414" s="515">
        <v>1000</v>
      </c>
      <c r="AD7414" s="501" t="s">
        <v>3418</v>
      </c>
      <c r="AE7414" s="512">
        <f>1*AI7385/AC7414</f>
        <v>3.62E-3</v>
      </c>
      <c r="AF7414" s="500"/>
      <c r="AG7414" s="500"/>
      <c r="AH7414" s="500"/>
      <c r="AI7414" s="500"/>
      <c r="AJ7414" s="500"/>
      <c r="AK7414" s="500"/>
      <c r="AL7414" s="500"/>
      <c r="AM7414" s="500"/>
      <c r="AN7414" s="500"/>
      <c r="AO7414" s="500"/>
      <c r="AP7414" s="500"/>
    </row>
    <row r="7415" spans="1:42" ht="16.5" customHeight="1">
      <c r="A7415" s="439"/>
      <c r="B7415" s="439"/>
      <c r="C7415" s="439"/>
      <c r="D7415" s="439"/>
      <c r="E7415" s="439"/>
      <c r="F7415" s="439"/>
      <c r="G7415" s="451" t="s">
        <v>3406</v>
      </c>
      <c r="Z7415" s="500"/>
      <c r="AA7415" s="500"/>
      <c r="AB7415" s="500"/>
      <c r="AC7415" s="500"/>
      <c r="AD7415" s="500"/>
      <c r="AE7415" s="500"/>
      <c r="AF7415" s="500"/>
      <c r="AG7415" s="500"/>
      <c r="AH7415" s="500"/>
      <c r="AI7415" s="500"/>
      <c r="AJ7415" s="500"/>
      <c r="AK7415" s="500"/>
      <c r="AL7415" s="500"/>
      <c r="AM7415" s="500"/>
      <c r="AN7415" s="500"/>
      <c r="AO7415" s="500"/>
      <c r="AP7415" s="500"/>
    </row>
    <row r="7416" spans="1:42" ht="16.5" customHeight="1">
      <c r="A7416" s="434" t="s">
        <v>4203</v>
      </c>
      <c r="B7416" s="505" t="str">
        <f>" 경    비 :  "&amp;TEXT(I7416,"#,##0"&amp;IF(I7416&lt;&gt;INT(I7416),".###",""))&amp;" * T / "&amp;AC7416&amp;" = "&amp;TEXT(C7416,"#,##0.0")&amp;""</f>
        <v xml:space="preserve"> 경    비 :  17,547 * T / 1000 = 63.5</v>
      </c>
      <c r="C7416" s="506">
        <f>E7416+D7416+F7416</f>
        <v>63.5</v>
      </c>
      <c r="D7416" s="506">
        <f>IF(H7416=0,0,ROUNDDOWN(J7416*H7416,1))</f>
        <v>0</v>
      </c>
      <c r="E7416" s="506">
        <f>IF(H7416=0,0,ROUNDDOWN(K7416*H7416,1))</f>
        <v>0</v>
      </c>
      <c r="F7416" s="506">
        <f>IF(H7416=0,0,ROUNDDOWN(L7416*H7416,1))</f>
        <v>63.5</v>
      </c>
      <c r="G7416" s="451" t="s">
        <v>4234</v>
      </c>
      <c r="H7416" s="507">
        <f>ROUNDUP(AE7416,14-LEN(ABS(INT(AE7416))))</f>
        <v>3.62E-3</v>
      </c>
      <c r="I7416" s="508">
        <f>K7416+J7416+L7416</f>
        <v>17547</v>
      </c>
      <c r="L7416" s="509">
        <f>중기목록표!H6</f>
        <v>17547</v>
      </c>
      <c r="M7416" s="501" t="s">
        <v>4200</v>
      </c>
      <c r="N7416" s="501" t="s">
        <v>3416</v>
      </c>
      <c r="X7416" s="510" t="str">
        <f>중기목록표!B6&amp;" / "&amp;중기목록표!C6</f>
        <v>굴착기(무한궤도) / 0.2㎥,(부착용집게)</v>
      </c>
      <c r="Y7416" s="433" t="str">
        <f ca="1">HYPERLINK("#"&amp;중기목록표!J2&amp;"!A"&amp;ROW(중기목록표!A6),"X00323 →")</f>
        <v>X00323 →</v>
      </c>
      <c r="Z7416" s="501" t="s">
        <v>3500</v>
      </c>
      <c r="AA7416" s="512" t="str">
        <f>AI7385</f>
        <v>3.62</v>
      </c>
      <c r="AB7416" s="501" t="s">
        <v>3428</v>
      </c>
      <c r="AC7416" s="515">
        <v>1000</v>
      </c>
      <c r="AD7416" s="501" t="s">
        <v>3418</v>
      </c>
      <c r="AE7416" s="512">
        <f>1*AI7385/AC7416</f>
        <v>3.62E-3</v>
      </c>
      <c r="AF7416" s="500"/>
      <c r="AG7416" s="500"/>
      <c r="AH7416" s="500"/>
      <c r="AI7416" s="500"/>
      <c r="AJ7416" s="500"/>
      <c r="AK7416" s="500"/>
      <c r="AL7416" s="500"/>
      <c r="AM7416" s="500"/>
      <c r="AN7416" s="500"/>
      <c r="AO7416" s="500"/>
      <c r="AP7416" s="500"/>
    </row>
    <row r="7417" spans="1:42" ht="16.5" customHeight="1">
      <c r="A7417" s="439"/>
      <c r="B7417" s="439"/>
      <c r="C7417" s="439"/>
      <c r="D7417" s="439"/>
      <c r="E7417" s="439"/>
      <c r="F7417" s="439"/>
      <c r="G7417" s="451" t="s">
        <v>3406</v>
      </c>
      <c r="Z7417" s="500"/>
      <c r="AA7417" s="500"/>
      <c r="AB7417" s="500"/>
      <c r="AC7417" s="500"/>
      <c r="AD7417" s="500"/>
      <c r="AE7417" s="500"/>
      <c r="AF7417" s="500"/>
      <c r="AG7417" s="500"/>
      <c r="AH7417" s="500"/>
      <c r="AI7417" s="500"/>
      <c r="AJ7417" s="500"/>
      <c r="AK7417" s="500"/>
      <c r="AL7417" s="500"/>
      <c r="AM7417" s="500"/>
      <c r="AN7417" s="500"/>
      <c r="AO7417" s="500"/>
      <c r="AP7417" s="500"/>
    </row>
    <row r="7418" spans="1:42" ht="16.5" customHeight="1">
      <c r="A7418" s="434"/>
      <c r="B7418" s="437" t="s">
        <v>3419</v>
      </c>
      <c r="C7418" s="513">
        <f>E7418+D7418+F7418</f>
        <v>307.2</v>
      </c>
      <c r="D7418" s="513">
        <f>SUMIF(N7407:N7417,M7418,D7407:D7417)</f>
        <v>213.6</v>
      </c>
      <c r="E7418" s="513">
        <f>SUMIF(N7407:N7417,M7418,E7407:E7417)</f>
        <v>30.1</v>
      </c>
      <c r="F7418" s="513">
        <f>SUMIF(N7407:N7417,M7418,F7407:F7417)</f>
        <v>63.5</v>
      </c>
      <c r="G7418" s="451" t="s">
        <v>3420</v>
      </c>
      <c r="M7418" s="501" t="s">
        <v>3416</v>
      </c>
      <c r="N7418" s="501" t="s">
        <v>3421</v>
      </c>
      <c r="Z7418" s="500"/>
      <c r="AA7418" s="500"/>
      <c r="AB7418" s="500"/>
      <c r="AC7418" s="500"/>
      <c r="AD7418" s="500"/>
      <c r="AE7418" s="500"/>
      <c r="AF7418" s="500"/>
      <c r="AG7418" s="500"/>
      <c r="AH7418" s="500"/>
      <c r="AI7418" s="500"/>
      <c r="AJ7418" s="500"/>
      <c r="AK7418" s="500"/>
      <c r="AL7418" s="500"/>
      <c r="AM7418" s="500"/>
      <c r="AN7418" s="500"/>
      <c r="AO7418" s="500"/>
      <c r="AP7418" s="500"/>
    </row>
    <row r="7419" spans="1:42" ht="16.5" customHeight="1">
      <c r="A7419" s="439"/>
      <c r="B7419" s="439"/>
      <c r="C7419" s="504"/>
      <c r="D7419" s="504"/>
      <c r="E7419" s="504"/>
      <c r="F7419" s="504"/>
      <c r="G7419" s="451" t="s">
        <v>3406</v>
      </c>
      <c r="Z7419" s="500"/>
      <c r="AA7419" s="500"/>
      <c r="AB7419" s="500"/>
      <c r="AC7419" s="500"/>
      <c r="AD7419" s="500"/>
      <c r="AE7419" s="500"/>
      <c r="AF7419" s="500"/>
      <c r="AG7419" s="500"/>
      <c r="AH7419" s="500"/>
      <c r="AI7419" s="500"/>
      <c r="AJ7419" s="500"/>
      <c r="AK7419" s="500"/>
      <c r="AL7419" s="500"/>
      <c r="AM7419" s="500"/>
      <c r="AN7419" s="500"/>
      <c r="AO7419" s="500"/>
      <c r="AP7419" s="500"/>
    </row>
    <row r="7420" spans="1:42" ht="16.5" customHeight="1">
      <c r="A7420" s="434"/>
      <c r="B7420" s="437" t="s">
        <v>3440</v>
      </c>
      <c r="C7420" s="513">
        <f>E7420+D7420+F7420</f>
        <v>489.5</v>
      </c>
      <c r="D7420" s="513">
        <f>SUMIF(N7396:N7419,M7420,D7396:D7419)</f>
        <v>395.9</v>
      </c>
      <c r="E7420" s="513">
        <f>SUMIF(N7396:N7419,M7420,E7396:E7419)</f>
        <v>30.1</v>
      </c>
      <c r="F7420" s="513">
        <f>SUMIF(N7396:N7419,M7420,F7396:F7419)</f>
        <v>63.5</v>
      </c>
      <c r="G7420" s="451" t="s">
        <v>3484</v>
      </c>
      <c r="M7420" s="501" t="s">
        <v>3421</v>
      </c>
      <c r="N7420" s="501" t="s">
        <v>3442</v>
      </c>
      <c r="Z7420" s="500"/>
      <c r="AA7420" s="500"/>
      <c r="AB7420" s="500"/>
      <c r="AC7420" s="500"/>
      <c r="AD7420" s="500"/>
      <c r="AE7420" s="500"/>
      <c r="AF7420" s="500"/>
      <c r="AG7420" s="500"/>
      <c r="AH7420" s="500"/>
      <c r="AI7420" s="500"/>
      <c r="AJ7420" s="500"/>
      <c r="AK7420" s="500"/>
      <c r="AL7420" s="500"/>
      <c r="AM7420" s="500"/>
      <c r="AN7420" s="500"/>
      <c r="AO7420" s="500"/>
      <c r="AP7420" s="500"/>
    </row>
    <row r="7421" spans="1:42" ht="16.5" customHeight="1">
      <c r="A7421" s="439"/>
      <c r="B7421" s="439"/>
      <c r="C7421" s="504"/>
      <c r="D7421" s="504"/>
      <c r="E7421" s="504"/>
      <c r="F7421" s="504"/>
      <c r="G7421" s="451" t="s">
        <v>3406</v>
      </c>
      <c r="Z7421" s="500"/>
      <c r="AA7421" s="500"/>
      <c r="AB7421" s="500"/>
      <c r="AC7421" s="500"/>
      <c r="AD7421" s="500"/>
      <c r="AE7421" s="500"/>
      <c r="AF7421" s="500"/>
      <c r="AG7421" s="500"/>
      <c r="AH7421" s="500"/>
      <c r="AI7421" s="500"/>
      <c r="AJ7421" s="500"/>
      <c r="AK7421" s="500"/>
      <c r="AL7421" s="500"/>
      <c r="AM7421" s="500"/>
      <c r="AN7421" s="500"/>
      <c r="AO7421" s="500"/>
      <c r="AP7421" s="500"/>
    </row>
    <row r="7422" spans="1:42" ht="16.5" customHeight="1">
      <c r="A7422" s="434"/>
      <c r="B7422" s="437" t="s">
        <v>3485</v>
      </c>
      <c r="C7422" s="513">
        <f>E7422+D7422+F7422</f>
        <v>1722.0000000000002</v>
      </c>
      <c r="D7422" s="513">
        <f>SUMIF(N7357:N7421,M7422,D7357:D7421)</f>
        <v>1534.8000000000002</v>
      </c>
      <c r="E7422" s="513">
        <f>SUMIF(N7357:N7421,M7422,E7357:E7421)</f>
        <v>60.2</v>
      </c>
      <c r="F7422" s="513">
        <f>SUMIF(N7357:N7421,M7422,F7357:F7421)</f>
        <v>127</v>
      </c>
      <c r="G7422" s="451" t="s">
        <v>3758</v>
      </c>
      <c r="M7422" s="501" t="s">
        <v>3442</v>
      </c>
      <c r="N7422" s="501" t="s">
        <v>2354</v>
      </c>
      <c r="Z7422" s="500"/>
      <c r="AA7422" s="500"/>
      <c r="AB7422" s="500"/>
      <c r="AC7422" s="500"/>
      <c r="AD7422" s="500"/>
      <c r="AE7422" s="500"/>
      <c r="AF7422" s="500"/>
      <c r="AG7422" s="500"/>
      <c r="AH7422" s="500"/>
      <c r="AI7422" s="500"/>
      <c r="AJ7422" s="500"/>
      <c r="AK7422" s="500"/>
      <c r="AL7422" s="500"/>
      <c r="AM7422" s="500"/>
      <c r="AN7422" s="500"/>
      <c r="AO7422" s="500"/>
      <c r="AP7422" s="500"/>
    </row>
    <row r="7423" spans="1:42" ht="16.5" customHeight="1">
      <c r="A7423" s="439"/>
      <c r="B7423" s="439"/>
      <c r="C7423" s="504"/>
      <c r="D7423" s="504"/>
      <c r="E7423" s="504"/>
      <c r="F7423" s="504"/>
      <c r="Z7423" s="500"/>
      <c r="AA7423" s="500"/>
      <c r="AB7423" s="500"/>
      <c r="AC7423" s="500"/>
      <c r="AD7423" s="500"/>
      <c r="AE7423" s="500"/>
      <c r="AF7423" s="500"/>
      <c r="AG7423" s="500"/>
      <c r="AH7423" s="500"/>
      <c r="AI7423" s="500"/>
      <c r="AJ7423" s="500"/>
      <c r="AK7423" s="500"/>
      <c r="AL7423" s="500"/>
      <c r="AM7423" s="500"/>
      <c r="AN7423" s="500"/>
      <c r="AO7423" s="500"/>
      <c r="AP7423" s="500"/>
    </row>
    <row r="7424" spans="1:42" ht="16.5" customHeight="1">
      <c r="A7424" s="439"/>
      <c r="B7424" s="439"/>
      <c r="C7424" s="439"/>
      <c r="D7424" s="439"/>
      <c r="E7424" s="439"/>
      <c r="F7424" s="439"/>
      <c r="Z7424" s="500"/>
      <c r="AA7424" s="500"/>
      <c r="AB7424" s="500"/>
      <c r="AC7424" s="500"/>
      <c r="AD7424" s="500"/>
      <c r="AE7424" s="500"/>
      <c r="AF7424" s="500"/>
      <c r="AG7424" s="500"/>
      <c r="AH7424" s="500"/>
      <c r="AI7424" s="500"/>
      <c r="AJ7424" s="500"/>
      <c r="AK7424" s="500"/>
      <c r="AL7424" s="500"/>
      <c r="AM7424" s="500"/>
      <c r="AN7424" s="500"/>
      <c r="AO7424" s="500"/>
      <c r="AP7424" s="500"/>
    </row>
    <row r="7425" spans="1:42" ht="16.5" customHeight="1">
      <c r="A7425" s="439"/>
      <c r="B7425" s="439"/>
      <c r="C7425" s="439"/>
      <c r="D7425" s="439"/>
      <c r="E7425" s="439"/>
      <c r="F7425" s="439"/>
      <c r="Z7425" s="500"/>
      <c r="AA7425" s="500"/>
      <c r="AB7425" s="500"/>
      <c r="AC7425" s="500"/>
      <c r="AD7425" s="500"/>
      <c r="AE7425" s="500"/>
      <c r="AF7425" s="500"/>
      <c r="AG7425" s="500"/>
      <c r="AH7425" s="500"/>
      <c r="AI7425" s="500"/>
      <c r="AJ7425" s="500"/>
      <c r="AK7425" s="500"/>
      <c r="AL7425" s="500"/>
      <c r="AM7425" s="500"/>
      <c r="AN7425" s="500"/>
      <c r="AO7425" s="500"/>
      <c r="AP7425" s="500"/>
    </row>
    <row r="7426" spans="1:42" ht="16.5" customHeight="1">
      <c r="A7426" s="439"/>
      <c r="B7426" s="439"/>
      <c r="C7426" s="439"/>
      <c r="D7426" s="439"/>
      <c r="E7426" s="439"/>
      <c r="F7426" s="439"/>
      <c r="Z7426" s="500"/>
      <c r="AA7426" s="500"/>
      <c r="AB7426" s="500"/>
      <c r="AC7426" s="500"/>
      <c r="AD7426" s="500"/>
      <c r="AE7426" s="500"/>
      <c r="AF7426" s="500"/>
      <c r="AG7426" s="500"/>
      <c r="AH7426" s="500"/>
      <c r="AI7426" s="500"/>
      <c r="AJ7426" s="500"/>
      <c r="AK7426" s="500"/>
      <c r="AL7426" s="500"/>
      <c r="AM7426" s="500"/>
      <c r="AN7426" s="500"/>
      <c r="AO7426" s="500"/>
      <c r="AP7426" s="500"/>
    </row>
    <row r="7427" spans="1:42" ht="16.5" customHeight="1">
      <c r="A7427" s="439"/>
      <c r="B7427" s="439"/>
      <c r="C7427" s="439"/>
      <c r="D7427" s="439"/>
      <c r="E7427" s="439"/>
      <c r="F7427" s="439"/>
      <c r="Z7427" s="500"/>
      <c r="AA7427" s="500"/>
      <c r="AB7427" s="500"/>
      <c r="AC7427" s="500"/>
      <c r="AD7427" s="500"/>
      <c r="AE7427" s="500"/>
      <c r="AF7427" s="500"/>
      <c r="AG7427" s="500"/>
      <c r="AH7427" s="500"/>
      <c r="AI7427" s="500"/>
      <c r="AJ7427" s="500"/>
      <c r="AK7427" s="500"/>
      <c r="AL7427" s="500"/>
      <c r="AM7427" s="500"/>
      <c r="AN7427" s="500"/>
      <c r="AO7427" s="500"/>
      <c r="AP7427" s="500"/>
    </row>
    <row r="7428" spans="1:42" ht="16.5" customHeight="1">
      <c r="A7428" s="439"/>
      <c r="B7428" s="439"/>
      <c r="C7428" s="439"/>
      <c r="D7428" s="439"/>
      <c r="E7428" s="439"/>
      <c r="F7428" s="439"/>
      <c r="Z7428" s="500"/>
      <c r="AA7428" s="500"/>
      <c r="AB7428" s="500"/>
      <c r="AC7428" s="500"/>
      <c r="AD7428" s="500"/>
      <c r="AE7428" s="500"/>
      <c r="AF7428" s="500"/>
      <c r="AG7428" s="500"/>
      <c r="AH7428" s="500"/>
      <c r="AI7428" s="500"/>
      <c r="AJ7428" s="500"/>
      <c r="AK7428" s="500"/>
      <c r="AL7428" s="500"/>
      <c r="AM7428" s="500"/>
      <c r="AN7428" s="500"/>
      <c r="AO7428" s="500"/>
      <c r="AP7428" s="500"/>
    </row>
    <row r="7429" spans="1:42" ht="16.5" customHeight="1">
      <c r="A7429" s="439"/>
      <c r="B7429" s="439"/>
      <c r="C7429" s="439"/>
      <c r="D7429" s="439"/>
      <c r="E7429" s="439"/>
      <c r="F7429" s="439"/>
      <c r="Z7429" s="500"/>
      <c r="AA7429" s="500"/>
      <c r="AB7429" s="500"/>
      <c r="AC7429" s="500"/>
      <c r="AD7429" s="500"/>
      <c r="AE7429" s="500"/>
      <c r="AF7429" s="500"/>
      <c r="AG7429" s="500"/>
      <c r="AH7429" s="500"/>
      <c r="AI7429" s="500"/>
      <c r="AJ7429" s="500"/>
      <c r="AK7429" s="500"/>
      <c r="AL7429" s="500"/>
      <c r="AM7429" s="500"/>
      <c r="AN7429" s="500"/>
      <c r="AO7429" s="500"/>
      <c r="AP7429" s="500"/>
    </row>
    <row r="7430" spans="1:42" ht="16.5" customHeight="1">
      <c r="A7430" s="439"/>
      <c r="B7430" s="439"/>
      <c r="C7430" s="439"/>
      <c r="D7430" s="439"/>
      <c r="E7430" s="439"/>
      <c r="F7430" s="439"/>
      <c r="Z7430" s="500"/>
      <c r="AA7430" s="500"/>
      <c r="AB7430" s="500"/>
      <c r="AC7430" s="500"/>
      <c r="AD7430" s="500"/>
      <c r="AE7430" s="500"/>
      <c r="AF7430" s="500"/>
      <c r="AG7430" s="500"/>
      <c r="AH7430" s="500"/>
      <c r="AI7430" s="500"/>
      <c r="AJ7430" s="500"/>
      <c r="AK7430" s="500"/>
      <c r="AL7430" s="500"/>
      <c r="AM7430" s="500"/>
      <c r="AN7430" s="500"/>
      <c r="AO7430" s="500"/>
      <c r="AP7430" s="500"/>
    </row>
    <row r="7431" spans="1:42" ht="16.5" customHeight="1">
      <c r="A7431" s="439"/>
      <c r="B7431" s="439"/>
      <c r="C7431" s="439"/>
      <c r="D7431" s="439"/>
      <c r="E7431" s="439"/>
      <c r="F7431" s="439"/>
      <c r="Z7431" s="500"/>
      <c r="AA7431" s="500"/>
      <c r="AB7431" s="500"/>
      <c r="AC7431" s="500"/>
      <c r="AD7431" s="500"/>
      <c r="AE7431" s="500"/>
      <c r="AF7431" s="500"/>
      <c r="AG7431" s="500"/>
      <c r="AH7431" s="500"/>
      <c r="AI7431" s="500"/>
      <c r="AJ7431" s="500"/>
      <c r="AK7431" s="500"/>
      <c r="AL7431" s="500"/>
      <c r="AM7431" s="500"/>
      <c r="AN7431" s="500"/>
      <c r="AO7431" s="500"/>
      <c r="AP7431" s="500"/>
    </row>
    <row r="7432" spans="1:42" ht="16.5" customHeight="1">
      <c r="A7432" s="439"/>
      <c r="B7432" s="439"/>
      <c r="C7432" s="439"/>
      <c r="D7432" s="439"/>
      <c r="E7432" s="439"/>
      <c r="F7432" s="439"/>
      <c r="Z7432" s="500"/>
      <c r="AA7432" s="500"/>
      <c r="AB7432" s="500"/>
      <c r="AC7432" s="500"/>
      <c r="AD7432" s="500"/>
      <c r="AE7432" s="500"/>
      <c r="AF7432" s="500"/>
      <c r="AG7432" s="500"/>
      <c r="AH7432" s="500"/>
      <c r="AI7432" s="500"/>
      <c r="AJ7432" s="500"/>
      <c r="AK7432" s="500"/>
      <c r="AL7432" s="500"/>
      <c r="AM7432" s="500"/>
      <c r="AN7432" s="500"/>
      <c r="AO7432" s="500"/>
      <c r="AP7432" s="500"/>
    </row>
    <row r="7433" spans="1:42" ht="16.5" customHeight="1">
      <c r="A7433" s="439"/>
      <c r="B7433" s="439"/>
      <c r="C7433" s="439"/>
      <c r="D7433" s="439"/>
      <c r="E7433" s="439"/>
      <c r="F7433" s="439"/>
      <c r="Z7433" s="500"/>
      <c r="AA7433" s="500"/>
      <c r="AB7433" s="500"/>
      <c r="AC7433" s="500"/>
      <c r="AD7433" s="500"/>
      <c r="AE7433" s="500"/>
      <c r="AF7433" s="500"/>
      <c r="AG7433" s="500"/>
      <c r="AH7433" s="500"/>
      <c r="AI7433" s="500"/>
      <c r="AJ7433" s="500"/>
      <c r="AK7433" s="500"/>
      <c r="AL7433" s="500"/>
      <c r="AM7433" s="500"/>
      <c r="AN7433" s="500"/>
      <c r="AO7433" s="500"/>
      <c r="AP7433" s="500"/>
    </row>
    <row r="7434" spans="1:42" ht="16.5" customHeight="1">
      <c r="A7434" s="439"/>
      <c r="B7434" s="439"/>
      <c r="C7434" s="439"/>
      <c r="D7434" s="439"/>
      <c r="E7434" s="439"/>
      <c r="F7434" s="439"/>
      <c r="Z7434" s="500"/>
      <c r="AA7434" s="500"/>
      <c r="AB7434" s="500"/>
      <c r="AC7434" s="500"/>
      <c r="AD7434" s="500"/>
      <c r="AE7434" s="500"/>
      <c r="AF7434" s="500"/>
      <c r="AG7434" s="500"/>
      <c r="AH7434" s="500"/>
      <c r="AI7434" s="500"/>
      <c r="AJ7434" s="500"/>
      <c r="AK7434" s="500"/>
      <c r="AL7434" s="500"/>
      <c r="AM7434" s="500"/>
      <c r="AN7434" s="500"/>
      <c r="AO7434" s="500"/>
      <c r="AP7434" s="500"/>
    </row>
    <row r="7435" spans="1:42" ht="16.5" customHeight="1">
      <c r="A7435" s="439"/>
      <c r="B7435" s="439"/>
      <c r="C7435" s="439"/>
      <c r="D7435" s="439"/>
      <c r="E7435" s="439"/>
      <c r="F7435" s="439"/>
      <c r="Z7435" s="500"/>
      <c r="AA7435" s="500"/>
      <c r="AB7435" s="500"/>
      <c r="AC7435" s="500"/>
      <c r="AD7435" s="500"/>
      <c r="AE7435" s="500"/>
      <c r="AF7435" s="500"/>
      <c r="AG7435" s="500"/>
      <c r="AH7435" s="500"/>
      <c r="AI7435" s="500"/>
      <c r="AJ7435" s="500"/>
      <c r="AK7435" s="500"/>
      <c r="AL7435" s="500"/>
      <c r="AM7435" s="500"/>
      <c r="AN7435" s="500"/>
      <c r="AO7435" s="500"/>
      <c r="AP7435" s="500"/>
    </row>
    <row r="7436" spans="1:42" ht="16.5" customHeight="1">
      <c r="A7436" s="439"/>
      <c r="B7436" s="439"/>
      <c r="C7436" s="439"/>
      <c r="D7436" s="439"/>
      <c r="E7436" s="439"/>
      <c r="F7436" s="439"/>
      <c r="Z7436" s="500"/>
      <c r="AA7436" s="500"/>
      <c r="AB7436" s="500"/>
      <c r="AC7436" s="500"/>
      <c r="AD7436" s="500"/>
      <c r="AE7436" s="500"/>
      <c r="AF7436" s="500"/>
      <c r="AG7436" s="500"/>
      <c r="AH7436" s="500"/>
      <c r="AI7436" s="500"/>
      <c r="AJ7436" s="500"/>
      <c r="AK7436" s="500"/>
      <c r="AL7436" s="500"/>
      <c r="AM7436" s="500"/>
      <c r="AN7436" s="500"/>
      <c r="AO7436" s="500"/>
      <c r="AP7436" s="500"/>
    </row>
    <row r="7437" spans="1:42" ht="16.5" customHeight="1">
      <c r="A7437" s="439"/>
      <c r="B7437" s="439"/>
      <c r="C7437" s="439"/>
      <c r="D7437" s="439"/>
      <c r="E7437" s="439"/>
      <c r="F7437" s="439"/>
      <c r="Z7437" s="500"/>
      <c r="AA7437" s="500"/>
      <c r="AB7437" s="500"/>
      <c r="AC7437" s="500"/>
      <c r="AD7437" s="500"/>
      <c r="AE7437" s="500"/>
      <c r="AF7437" s="500"/>
      <c r="AG7437" s="500"/>
      <c r="AH7437" s="500"/>
      <c r="AI7437" s="500"/>
      <c r="AJ7437" s="500"/>
      <c r="AK7437" s="500"/>
      <c r="AL7437" s="500"/>
      <c r="AM7437" s="500"/>
      <c r="AN7437" s="500"/>
      <c r="AO7437" s="500"/>
      <c r="AP7437" s="500"/>
    </row>
    <row r="7438" spans="1:42" ht="16.5" customHeight="1">
      <c r="A7438" s="439"/>
      <c r="B7438" s="439"/>
      <c r="C7438" s="439"/>
      <c r="D7438" s="439"/>
      <c r="E7438" s="439"/>
      <c r="F7438" s="439"/>
      <c r="Z7438" s="500"/>
      <c r="AA7438" s="500"/>
      <c r="AB7438" s="500"/>
      <c r="AC7438" s="500"/>
      <c r="AD7438" s="500"/>
      <c r="AE7438" s="500"/>
      <c r="AF7438" s="500"/>
      <c r="AG7438" s="500"/>
      <c r="AH7438" s="500"/>
      <c r="AI7438" s="500"/>
      <c r="AJ7438" s="500"/>
      <c r="AK7438" s="500"/>
      <c r="AL7438" s="500"/>
      <c r="AM7438" s="500"/>
      <c r="AN7438" s="500"/>
      <c r="AO7438" s="500"/>
      <c r="AP7438" s="500"/>
    </row>
    <row r="7439" spans="1:42" ht="16.5" customHeight="1">
      <c r="A7439" s="439"/>
      <c r="B7439" s="439"/>
      <c r="C7439" s="439"/>
      <c r="D7439" s="439"/>
      <c r="E7439" s="439"/>
      <c r="F7439" s="439"/>
      <c r="Z7439" s="500"/>
      <c r="AA7439" s="500"/>
      <c r="AB7439" s="500"/>
      <c r="AC7439" s="500"/>
      <c r="AD7439" s="500"/>
      <c r="AE7439" s="500"/>
      <c r="AF7439" s="500"/>
      <c r="AG7439" s="500"/>
      <c r="AH7439" s="500"/>
      <c r="AI7439" s="500"/>
      <c r="AJ7439" s="500"/>
      <c r="AK7439" s="500"/>
      <c r="AL7439" s="500"/>
      <c r="AM7439" s="500"/>
      <c r="AN7439" s="500"/>
      <c r="AO7439" s="500"/>
      <c r="AP7439" s="500"/>
    </row>
    <row r="7440" spans="1:42" ht="16.5" customHeight="1">
      <c r="A7440" s="439"/>
      <c r="B7440" s="439"/>
      <c r="C7440" s="439"/>
      <c r="D7440" s="439"/>
      <c r="E7440" s="439"/>
      <c r="F7440" s="439"/>
      <c r="Z7440" s="500"/>
      <c r="AA7440" s="500"/>
      <c r="AB7440" s="500"/>
      <c r="AC7440" s="500"/>
      <c r="AD7440" s="500"/>
      <c r="AE7440" s="500"/>
      <c r="AF7440" s="500"/>
      <c r="AG7440" s="500"/>
      <c r="AH7440" s="500"/>
      <c r="AI7440" s="500"/>
      <c r="AJ7440" s="500"/>
      <c r="AK7440" s="500"/>
      <c r="AL7440" s="500"/>
      <c r="AM7440" s="500"/>
      <c r="AN7440" s="500"/>
      <c r="AO7440" s="500"/>
      <c r="AP7440" s="500"/>
    </row>
    <row r="7441" spans="1:42" ht="16.5" customHeight="1">
      <c r="A7441" s="439"/>
      <c r="B7441" s="439"/>
      <c r="C7441" s="439"/>
      <c r="D7441" s="439"/>
      <c r="E7441" s="439"/>
      <c r="F7441" s="439"/>
      <c r="Z7441" s="500"/>
      <c r="AA7441" s="500"/>
      <c r="AB7441" s="500"/>
      <c r="AC7441" s="500"/>
      <c r="AD7441" s="500"/>
      <c r="AE7441" s="500"/>
      <c r="AF7441" s="500"/>
      <c r="AG7441" s="500"/>
      <c r="AH7441" s="500"/>
      <c r="AI7441" s="500"/>
      <c r="AJ7441" s="500"/>
      <c r="AK7441" s="500"/>
      <c r="AL7441" s="500"/>
      <c r="AM7441" s="500"/>
      <c r="AN7441" s="500"/>
      <c r="AO7441" s="500"/>
      <c r="AP7441" s="500"/>
    </row>
    <row r="7442" spans="1:42" ht="16.5" customHeight="1">
      <c r="A7442" s="439"/>
      <c r="B7442" s="439"/>
      <c r="C7442" s="439"/>
      <c r="D7442" s="439"/>
      <c r="E7442" s="439"/>
      <c r="F7442" s="439"/>
      <c r="Z7442" s="500"/>
      <c r="AA7442" s="500"/>
      <c r="AB7442" s="500"/>
      <c r="AC7442" s="500"/>
      <c r="AD7442" s="500"/>
      <c r="AE7442" s="500"/>
      <c r="AF7442" s="500"/>
      <c r="AG7442" s="500"/>
      <c r="AH7442" s="500"/>
      <c r="AI7442" s="500"/>
      <c r="AJ7442" s="500"/>
      <c r="AK7442" s="500"/>
      <c r="AL7442" s="500"/>
      <c r="AM7442" s="500"/>
      <c r="AN7442" s="500"/>
      <c r="AO7442" s="500"/>
      <c r="AP7442" s="500"/>
    </row>
    <row r="7443" spans="1:42" ht="16.5" customHeight="1">
      <c r="A7443" s="439"/>
      <c r="B7443" s="439"/>
      <c r="C7443" s="439"/>
      <c r="D7443" s="439"/>
      <c r="E7443" s="439"/>
      <c r="F7443" s="439"/>
      <c r="Z7443" s="500"/>
      <c r="AA7443" s="500"/>
      <c r="AB7443" s="500"/>
      <c r="AC7443" s="500"/>
      <c r="AD7443" s="500"/>
      <c r="AE7443" s="500"/>
      <c r="AF7443" s="500"/>
      <c r="AG7443" s="500"/>
      <c r="AH7443" s="500"/>
      <c r="AI7443" s="500"/>
      <c r="AJ7443" s="500"/>
      <c r="AK7443" s="500"/>
      <c r="AL7443" s="500"/>
      <c r="AM7443" s="500"/>
      <c r="AN7443" s="500"/>
      <c r="AO7443" s="500"/>
      <c r="AP7443" s="500"/>
    </row>
    <row r="7444" spans="1:42" ht="16.5" customHeight="1">
      <c r="A7444" s="439"/>
      <c r="B7444" s="439"/>
      <c r="C7444" s="439"/>
      <c r="D7444" s="439"/>
      <c r="E7444" s="439"/>
      <c r="F7444" s="439"/>
      <c r="Z7444" s="500"/>
      <c r="AA7444" s="500"/>
      <c r="AB7444" s="500"/>
      <c r="AC7444" s="500"/>
      <c r="AD7444" s="500"/>
      <c r="AE7444" s="500"/>
      <c r="AF7444" s="500"/>
      <c r="AG7444" s="500"/>
      <c r="AH7444" s="500"/>
      <c r="AI7444" s="500"/>
      <c r="AJ7444" s="500"/>
      <c r="AK7444" s="500"/>
      <c r="AL7444" s="500"/>
      <c r="AM7444" s="500"/>
      <c r="AN7444" s="500"/>
      <c r="AO7444" s="500"/>
      <c r="AP7444" s="500"/>
    </row>
    <row r="7445" spans="1:42" ht="16.5" customHeight="1">
      <c r="A7445" s="439"/>
      <c r="B7445" s="439"/>
      <c r="C7445" s="439"/>
      <c r="D7445" s="439"/>
      <c r="E7445" s="439"/>
      <c r="F7445" s="439"/>
      <c r="Z7445" s="500"/>
      <c r="AA7445" s="500"/>
      <c r="AB7445" s="500"/>
      <c r="AC7445" s="500"/>
      <c r="AD7445" s="500"/>
      <c r="AE7445" s="500"/>
      <c r="AF7445" s="500"/>
      <c r="AG7445" s="500"/>
      <c r="AH7445" s="500"/>
      <c r="AI7445" s="500"/>
      <c r="AJ7445" s="500"/>
      <c r="AK7445" s="500"/>
      <c r="AL7445" s="500"/>
      <c r="AM7445" s="500"/>
      <c r="AN7445" s="500"/>
      <c r="AO7445" s="500"/>
      <c r="AP7445" s="500"/>
    </row>
    <row r="7446" spans="1:42" ht="16.5" customHeight="1">
      <c r="A7446" s="439"/>
      <c r="B7446" s="439"/>
      <c r="C7446" s="439"/>
      <c r="D7446" s="439"/>
      <c r="E7446" s="439"/>
      <c r="F7446" s="439"/>
      <c r="Z7446" s="500"/>
      <c r="AA7446" s="500"/>
      <c r="AB7446" s="500"/>
      <c r="AC7446" s="500"/>
      <c r="AD7446" s="500"/>
      <c r="AE7446" s="500"/>
      <c r="AF7446" s="500"/>
      <c r="AG7446" s="500"/>
      <c r="AH7446" s="500"/>
      <c r="AI7446" s="500"/>
      <c r="AJ7446" s="500"/>
      <c r="AK7446" s="500"/>
      <c r="AL7446" s="500"/>
      <c r="AM7446" s="500"/>
      <c r="AN7446" s="500"/>
      <c r="AO7446" s="500"/>
      <c r="AP7446" s="500"/>
    </row>
    <row r="7447" spans="1:42" ht="16.5" customHeight="1">
      <c r="A7447" s="439"/>
      <c r="B7447" s="439"/>
      <c r="C7447" s="439"/>
      <c r="D7447" s="439"/>
      <c r="E7447" s="439"/>
      <c r="F7447" s="439"/>
      <c r="Z7447" s="500"/>
      <c r="AA7447" s="500"/>
      <c r="AB7447" s="500"/>
      <c r="AC7447" s="500"/>
      <c r="AD7447" s="500"/>
      <c r="AE7447" s="500"/>
      <c r="AF7447" s="500"/>
      <c r="AG7447" s="500"/>
      <c r="AH7447" s="500"/>
      <c r="AI7447" s="500"/>
      <c r="AJ7447" s="500"/>
      <c r="AK7447" s="500"/>
      <c r="AL7447" s="500"/>
      <c r="AM7447" s="500"/>
      <c r="AN7447" s="500"/>
      <c r="AO7447" s="500"/>
      <c r="AP7447" s="500"/>
    </row>
    <row r="7448" spans="1:42" ht="16.5" customHeight="1">
      <c r="A7448" s="439"/>
      <c r="B7448" s="439"/>
      <c r="C7448" s="439"/>
      <c r="D7448" s="439"/>
      <c r="E7448" s="439"/>
      <c r="F7448" s="439"/>
      <c r="Z7448" s="500"/>
      <c r="AA7448" s="500"/>
      <c r="AB7448" s="500"/>
      <c r="AC7448" s="500"/>
      <c r="AD7448" s="500"/>
      <c r="AE7448" s="500"/>
      <c r="AF7448" s="500"/>
      <c r="AG7448" s="500"/>
      <c r="AH7448" s="500"/>
      <c r="AI7448" s="500"/>
      <c r="AJ7448" s="500"/>
      <c r="AK7448" s="500"/>
      <c r="AL7448" s="500"/>
      <c r="AM7448" s="500"/>
      <c r="AN7448" s="500"/>
      <c r="AO7448" s="500"/>
      <c r="AP7448" s="500"/>
    </row>
    <row r="7449" spans="1:42" ht="16.5" customHeight="1">
      <c r="A7449" s="439"/>
      <c r="B7449" s="439"/>
      <c r="C7449" s="439"/>
      <c r="D7449" s="439"/>
      <c r="E7449" s="439"/>
      <c r="F7449" s="439"/>
      <c r="Z7449" s="500"/>
      <c r="AA7449" s="500"/>
      <c r="AB7449" s="500"/>
      <c r="AC7449" s="500"/>
      <c r="AD7449" s="500"/>
      <c r="AE7449" s="500"/>
      <c r="AF7449" s="500"/>
      <c r="AG7449" s="500"/>
      <c r="AH7449" s="500"/>
      <c r="AI7449" s="500"/>
      <c r="AJ7449" s="500"/>
      <c r="AK7449" s="500"/>
      <c r="AL7449" s="500"/>
      <c r="AM7449" s="500"/>
      <c r="AN7449" s="500"/>
      <c r="AO7449" s="500"/>
      <c r="AP7449" s="500"/>
    </row>
    <row r="7450" spans="1:42" ht="16.5" customHeight="1">
      <c r="A7450" s="439"/>
      <c r="B7450" s="439"/>
      <c r="C7450" s="439"/>
      <c r="D7450" s="439"/>
      <c r="E7450" s="439"/>
      <c r="F7450" s="439"/>
      <c r="Z7450" s="500"/>
      <c r="AA7450" s="500"/>
      <c r="AB7450" s="500"/>
      <c r="AC7450" s="500"/>
      <c r="AD7450" s="500"/>
      <c r="AE7450" s="500"/>
      <c r="AF7450" s="500"/>
      <c r="AG7450" s="500"/>
      <c r="AH7450" s="500"/>
      <c r="AI7450" s="500"/>
      <c r="AJ7450" s="500"/>
      <c r="AK7450" s="500"/>
      <c r="AL7450" s="500"/>
      <c r="AM7450" s="500"/>
      <c r="AN7450" s="500"/>
      <c r="AO7450" s="500"/>
      <c r="AP7450" s="500"/>
    </row>
    <row r="7451" spans="1:42" ht="16.5" customHeight="1">
      <c r="A7451" s="439"/>
      <c r="B7451" s="439"/>
      <c r="C7451" s="439"/>
      <c r="D7451" s="439"/>
      <c r="E7451" s="439"/>
      <c r="F7451" s="439"/>
      <c r="Z7451" s="500"/>
      <c r="AA7451" s="500"/>
      <c r="AB7451" s="500"/>
      <c r="AC7451" s="500"/>
      <c r="AD7451" s="500"/>
      <c r="AE7451" s="500"/>
      <c r="AF7451" s="500"/>
      <c r="AG7451" s="500"/>
      <c r="AH7451" s="500"/>
      <c r="AI7451" s="500"/>
      <c r="AJ7451" s="500"/>
      <c r="AK7451" s="500"/>
      <c r="AL7451" s="500"/>
      <c r="AM7451" s="500"/>
      <c r="AN7451" s="500"/>
      <c r="AO7451" s="500"/>
      <c r="AP7451" s="500"/>
    </row>
    <row r="7452" spans="1:42" ht="16.5" customHeight="1">
      <c r="A7452" s="439"/>
      <c r="B7452" s="439"/>
      <c r="C7452" s="439"/>
      <c r="D7452" s="439"/>
      <c r="E7452" s="439"/>
      <c r="F7452" s="439"/>
      <c r="Z7452" s="500"/>
      <c r="AA7452" s="500"/>
      <c r="AB7452" s="500"/>
      <c r="AC7452" s="500"/>
      <c r="AD7452" s="500"/>
      <c r="AE7452" s="500"/>
      <c r="AF7452" s="500"/>
      <c r="AG7452" s="500"/>
      <c r="AH7452" s="500"/>
      <c r="AI7452" s="500"/>
      <c r="AJ7452" s="500"/>
      <c r="AK7452" s="500"/>
      <c r="AL7452" s="500"/>
      <c r="AM7452" s="500"/>
      <c r="AN7452" s="500"/>
      <c r="AO7452" s="500"/>
      <c r="AP7452" s="500"/>
    </row>
    <row r="7453" spans="1:42" ht="16.5" customHeight="1">
      <c r="A7453" s="497"/>
      <c r="B7453" s="497"/>
      <c r="C7453" s="497"/>
      <c r="D7453" s="497"/>
      <c r="E7453" s="497"/>
      <c r="F7453" s="497"/>
      <c r="Z7453" s="500"/>
      <c r="AA7453" s="500"/>
      <c r="AB7453" s="500"/>
      <c r="AC7453" s="500"/>
      <c r="AD7453" s="500"/>
      <c r="AE7453" s="500"/>
      <c r="AF7453" s="500"/>
      <c r="AG7453" s="500"/>
      <c r="AH7453" s="500"/>
      <c r="AI7453" s="500"/>
      <c r="AJ7453" s="500"/>
      <c r="AK7453" s="500"/>
      <c r="AL7453" s="500"/>
      <c r="AM7453" s="500"/>
      <c r="AN7453" s="500"/>
      <c r="AO7453" s="500"/>
      <c r="AP7453" s="500"/>
    </row>
    <row r="7454" spans="1:42" ht="16.5" customHeight="1">
      <c r="A7454" s="616" t="s">
        <v>3487</v>
      </c>
      <c r="B7454" s="605"/>
      <c r="C7454" s="446">
        <f>E7454+D7454+F7454</f>
        <v>1721</v>
      </c>
      <c r="D7454" s="453">
        <f>ROUNDDOWN(SUMIF(N7357:N7422,M7454,D7357:D7422),0)</f>
        <v>1534</v>
      </c>
      <c r="E7454" s="454">
        <f>ROUNDDOWN(SUMIF(N7357:N7422,M7454,E7357:E7422),0)</f>
        <v>60</v>
      </c>
      <c r="F7454" s="446">
        <f>ROUNDDOWN(SUMIF(N7357:N7422,M7454,F7357:F7422),0)</f>
        <v>127</v>
      </c>
      <c r="M7454" s="501" t="s">
        <v>2354</v>
      </c>
      <c r="Z7454" s="500"/>
      <c r="AA7454" s="500"/>
      <c r="AB7454" s="500"/>
      <c r="AC7454" s="500"/>
      <c r="AD7454" s="500"/>
      <c r="AE7454" s="500"/>
      <c r="AF7454" s="500"/>
      <c r="AG7454" s="500"/>
      <c r="AH7454" s="500"/>
      <c r="AI7454" s="500"/>
      <c r="AJ7454" s="500"/>
      <c r="AK7454" s="500"/>
      <c r="AL7454" s="500"/>
      <c r="AM7454" s="500"/>
      <c r="AN7454" s="500"/>
      <c r="AO7454" s="500"/>
      <c r="AP7454" s="500"/>
    </row>
    <row r="7455" spans="1:42" ht="16.5" customHeight="1">
      <c r="A7455" s="502" t="s">
        <v>3377</v>
      </c>
      <c r="B7455" s="503" t="s">
        <v>3378</v>
      </c>
      <c r="C7455" s="615">
        <f>C7504</f>
        <v>921</v>
      </c>
      <c r="D7455" s="615">
        <f>D7504</f>
        <v>789</v>
      </c>
      <c r="E7455" s="615">
        <f>E7504</f>
        <v>22</v>
      </c>
      <c r="F7455" s="615">
        <f>F7504</f>
        <v>110</v>
      </c>
      <c r="G7455" s="486" t="str">
        <f>HYPERLINK("#G"&amp;ROW(G7495),"_x0005_`BDCOD|D01217_x0007_`POSS|"&amp;ROW(G7457)&amp;"_x0007_`POSE|"&amp;ROW(G7495)&amp;"_x0007_`")</f>
        <v>_x0005_`BDCOD|D01217_x0007_`POSS|7457_x0007_`POSE|7495_x0007_`</v>
      </c>
      <c r="Z7455" s="500"/>
      <c r="AA7455" s="500"/>
      <c r="AB7455" s="500"/>
      <c r="AC7455" s="500"/>
      <c r="AD7455" s="500"/>
      <c r="AE7455" s="500"/>
      <c r="AF7455" s="500"/>
      <c r="AG7455" s="500"/>
      <c r="AH7455" s="500"/>
      <c r="AI7455" s="500"/>
      <c r="AJ7455" s="500"/>
      <c r="AK7455" s="500"/>
      <c r="AL7455" s="500"/>
      <c r="AM7455" s="500"/>
      <c r="AN7455" s="500"/>
      <c r="AO7455" s="500"/>
      <c r="AP7455" s="500"/>
    </row>
    <row r="7456" spans="1:42" ht="16.5" customHeight="1">
      <c r="A7456" s="485"/>
      <c r="B7456" s="503" t="s">
        <v>4235</v>
      </c>
      <c r="C7456" s="593"/>
      <c r="D7456" s="593"/>
      <c r="E7456" s="593"/>
      <c r="F7456" s="593"/>
      <c r="M7456" s="501" t="s">
        <v>3378</v>
      </c>
      <c r="Z7456" s="500"/>
      <c r="AA7456" s="500"/>
      <c r="AB7456" s="500"/>
      <c r="AC7456" s="500"/>
      <c r="AD7456" s="500"/>
      <c r="AE7456" s="500"/>
      <c r="AF7456" s="500"/>
      <c r="AG7456" s="500"/>
      <c r="AH7456" s="500"/>
      <c r="AI7456" s="500"/>
      <c r="AJ7456" s="500"/>
      <c r="AK7456" s="500"/>
      <c r="AL7456" s="500"/>
      <c r="AM7456" s="500"/>
      <c r="AN7456" s="500"/>
      <c r="AO7456" s="500"/>
      <c r="AP7456" s="500"/>
    </row>
    <row r="7457" spans="1:42" ht="16.5" customHeight="1">
      <c r="A7457" s="439"/>
      <c r="B7457" s="439"/>
      <c r="C7457" s="504"/>
      <c r="D7457" s="504"/>
      <c r="E7457" s="504"/>
      <c r="F7457" s="504"/>
      <c r="G7457" s="451" t="s">
        <v>3406</v>
      </c>
      <c r="Z7457" s="500"/>
      <c r="AA7457" s="500"/>
      <c r="AB7457" s="500"/>
      <c r="AC7457" s="500"/>
      <c r="AD7457" s="500"/>
      <c r="AE7457" s="500"/>
      <c r="AF7457" s="500"/>
      <c r="AG7457" s="500"/>
      <c r="AH7457" s="500"/>
      <c r="AI7457" s="500"/>
      <c r="AJ7457" s="500"/>
      <c r="AK7457" s="500"/>
      <c r="AL7457" s="500"/>
      <c r="AM7457" s="500"/>
      <c r="AN7457" s="500"/>
      <c r="AO7457" s="500"/>
      <c r="AP7457" s="500"/>
    </row>
    <row r="7458" spans="1:42" ht="16.5" customHeight="1">
      <c r="A7458" s="439"/>
      <c r="B7458" s="439"/>
      <c r="C7458" s="439"/>
      <c r="D7458" s="439"/>
      <c r="E7458" s="439"/>
      <c r="F7458" s="439"/>
      <c r="G7458" s="451" t="s">
        <v>3406</v>
      </c>
      <c r="Z7458" s="500"/>
      <c r="AA7458" s="500"/>
      <c r="AB7458" s="500"/>
      <c r="AC7458" s="500"/>
      <c r="AD7458" s="500"/>
      <c r="AE7458" s="500"/>
      <c r="AF7458" s="500"/>
      <c r="AG7458" s="500"/>
      <c r="AH7458" s="500"/>
      <c r="AI7458" s="500"/>
      <c r="AJ7458" s="500"/>
      <c r="AK7458" s="500"/>
      <c r="AL7458" s="500"/>
      <c r="AM7458" s="500"/>
      <c r="AN7458" s="500"/>
      <c r="AO7458" s="500"/>
      <c r="AP7458" s="500"/>
    </row>
    <row r="7459" spans="1:42" ht="16.5" customHeight="1">
      <c r="A7459" s="439"/>
      <c r="B7459" s="439"/>
      <c r="C7459" s="439"/>
      <c r="D7459" s="439"/>
      <c r="E7459" s="439"/>
      <c r="F7459" s="439"/>
      <c r="G7459" s="451" t="s">
        <v>3406</v>
      </c>
      <c r="Z7459" s="500"/>
      <c r="AA7459" s="500"/>
      <c r="AB7459" s="500"/>
      <c r="AC7459" s="500"/>
      <c r="AD7459" s="500"/>
      <c r="AE7459" s="500"/>
      <c r="AF7459" s="500"/>
      <c r="AG7459" s="500"/>
      <c r="AH7459" s="500"/>
      <c r="AI7459" s="500"/>
      <c r="AJ7459" s="500"/>
      <c r="AK7459" s="500"/>
      <c r="AL7459" s="500"/>
      <c r="AM7459" s="500"/>
      <c r="AN7459" s="500"/>
      <c r="AO7459" s="500"/>
      <c r="AP7459" s="500"/>
    </row>
    <row r="7460" spans="1:42" ht="16.5" customHeight="1">
      <c r="A7460" s="434"/>
      <c r="B7460" s="437" t="s">
        <v>4184</v>
      </c>
      <c r="C7460" s="439"/>
      <c r="D7460" s="439"/>
      <c r="E7460" s="439"/>
      <c r="F7460" s="439"/>
      <c r="G7460" s="451" t="s">
        <v>4185</v>
      </c>
      <c r="Z7460" s="500"/>
      <c r="AA7460" s="500"/>
      <c r="AB7460" s="500"/>
      <c r="AC7460" s="500"/>
      <c r="AD7460" s="500"/>
      <c r="AE7460" s="500"/>
      <c r="AF7460" s="500"/>
      <c r="AG7460" s="500"/>
      <c r="AH7460" s="500"/>
      <c r="AI7460" s="500"/>
      <c r="AJ7460" s="500"/>
      <c r="AK7460" s="500"/>
      <c r="AL7460" s="500"/>
      <c r="AM7460" s="500"/>
      <c r="AN7460" s="500"/>
      <c r="AO7460" s="500"/>
      <c r="AP7460" s="500"/>
    </row>
    <row r="7461" spans="1:42" ht="16.5" customHeight="1">
      <c r="A7461" s="439"/>
      <c r="B7461" s="439"/>
      <c r="C7461" s="439"/>
      <c r="D7461" s="439"/>
      <c r="E7461" s="439"/>
      <c r="F7461" s="439"/>
      <c r="G7461" s="451" t="s">
        <v>3406</v>
      </c>
      <c r="Z7461" s="500"/>
      <c r="AA7461" s="500"/>
      <c r="AB7461" s="500"/>
      <c r="AC7461" s="500"/>
      <c r="AD7461" s="500"/>
      <c r="AE7461" s="500"/>
      <c r="AF7461" s="500"/>
      <c r="AG7461" s="500"/>
      <c r="AH7461" s="500"/>
      <c r="AI7461" s="500"/>
      <c r="AJ7461" s="500"/>
      <c r="AK7461" s="500"/>
      <c r="AL7461" s="500"/>
      <c r="AM7461" s="500"/>
      <c r="AN7461" s="500"/>
      <c r="AO7461" s="500"/>
      <c r="AP7461" s="500"/>
    </row>
    <row r="7462" spans="1:42" ht="16.5" customHeight="1">
      <c r="A7462" s="439"/>
      <c r="B7462" s="439"/>
      <c r="C7462" s="439"/>
      <c r="D7462" s="439"/>
      <c r="E7462" s="439"/>
      <c r="F7462" s="439"/>
      <c r="G7462" s="451" t="s">
        <v>3406</v>
      </c>
      <c r="Z7462" s="500"/>
      <c r="AA7462" s="500"/>
      <c r="AB7462" s="500"/>
      <c r="AC7462" s="500"/>
      <c r="AD7462" s="500"/>
      <c r="AE7462" s="500"/>
      <c r="AF7462" s="500"/>
      <c r="AG7462" s="500"/>
      <c r="AH7462" s="500"/>
      <c r="AI7462" s="500"/>
      <c r="AJ7462" s="500"/>
      <c r="AK7462" s="500"/>
      <c r="AL7462" s="500"/>
      <c r="AM7462" s="500"/>
      <c r="AN7462" s="500"/>
      <c r="AO7462" s="500"/>
      <c r="AP7462" s="500"/>
    </row>
    <row r="7463" spans="1:42" ht="16.5" customHeight="1">
      <c r="A7463" s="434"/>
      <c r="B7463" s="437" t="s">
        <v>4212</v>
      </c>
      <c r="C7463" s="439"/>
      <c r="D7463" s="439"/>
      <c r="E7463" s="439"/>
      <c r="F7463" s="439"/>
      <c r="G7463" s="451" t="s">
        <v>4213</v>
      </c>
      <c r="Z7463" s="500"/>
      <c r="AA7463" s="500"/>
      <c r="AB7463" s="500"/>
      <c r="AC7463" s="500"/>
      <c r="AD7463" s="500"/>
      <c r="AE7463" s="500"/>
      <c r="AF7463" s="500"/>
      <c r="AG7463" s="500"/>
      <c r="AH7463" s="500"/>
      <c r="AI7463" s="500"/>
      <c r="AJ7463" s="500"/>
      <c r="AK7463" s="500"/>
      <c r="AL7463" s="500"/>
      <c r="AM7463" s="500"/>
      <c r="AN7463" s="500"/>
      <c r="AO7463" s="500"/>
      <c r="AP7463" s="500"/>
    </row>
    <row r="7464" spans="1:42" ht="16.5" customHeight="1">
      <c r="A7464" s="439"/>
      <c r="B7464" s="439"/>
      <c r="C7464" s="439"/>
      <c r="D7464" s="439"/>
      <c r="E7464" s="439"/>
      <c r="F7464" s="439"/>
      <c r="G7464" s="451" t="s">
        <v>3406</v>
      </c>
      <c r="Z7464" s="500"/>
      <c r="AA7464" s="500"/>
      <c r="AB7464" s="500"/>
      <c r="AC7464" s="500"/>
      <c r="AD7464" s="500"/>
      <c r="AE7464" s="500"/>
      <c r="AF7464" s="500"/>
      <c r="AG7464" s="500"/>
      <c r="AH7464" s="500"/>
      <c r="AI7464" s="500"/>
      <c r="AJ7464" s="500"/>
      <c r="AK7464" s="500"/>
      <c r="AL7464" s="500"/>
      <c r="AM7464" s="500"/>
      <c r="AN7464" s="500"/>
      <c r="AO7464" s="500"/>
      <c r="AP7464" s="500"/>
    </row>
    <row r="7465" spans="1:42" ht="16.5" customHeight="1">
      <c r="A7465" s="434"/>
      <c r="B7465" s="437" t="s">
        <v>4188</v>
      </c>
      <c r="C7465" s="439"/>
      <c r="D7465" s="439"/>
      <c r="E7465" s="439"/>
      <c r="F7465" s="439"/>
      <c r="G7465" s="451" t="s">
        <v>4189</v>
      </c>
      <c r="Z7465" s="500"/>
      <c r="AA7465" s="500"/>
      <c r="AB7465" s="500"/>
      <c r="AC7465" s="500"/>
      <c r="AD7465" s="500"/>
      <c r="AE7465" s="500"/>
      <c r="AF7465" s="500"/>
      <c r="AG7465" s="500"/>
      <c r="AH7465" s="500"/>
      <c r="AI7465" s="500"/>
      <c r="AJ7465" s="500"/>
      <c r="AK7465" s="500"/>
      <c r="AL7465" s="500"/>
      <c r="AM7465" s="500"/>
      <c r="AN7465" s="500"/>
      <c r="AO7465" s="500"/>
      <c r="AP7465" s="500"/>
    </row>
    <row r="7466" spans="1:42" ht="16.5" customHeight="1">
      <c r="A7466" s="439"/>
      <c r="B7466" s="439"/>
      <c r="C7466" s="439"/>
      <c r="D7466" s="439"/>
      <c r="E7466" s="439"/>
      <c r="F7466" s="439"/>
      <c r="G7466" s="451" t="s">
        <v>3406</v>
      </c>
      <c r="Z7466" s="500"/>
      <c r="AA7466" s="500"/>
      <c r="AB7466" s="500"/>
      <c r="AC7466" s="500"/>
      <c r="AD7466" s="500"/>
      <c r="AE7466" s="500"/>
      <c r="AF7466" s="500"/>
      <c r="AG7466" s="500"/>
      <c r="AH7466" s="500"/>
      <c r="AI7466" s="500"/>
      <c r="AJ7466" s="500"/>
      <c r="AK7466" s="500"/>
      <c r="AL7466" s="500"/>
      <c r="AM7466" s="500"/>
      <c r="AN7466" s="500"/>
      <c r="AO7466" s="500"/>
      <c r="AP7466" s="500"/>
    </row>
    <row r="7467" spans="1:42" ht="16.5" customHeight="1">
      <c r="A7467" s="434"/>
      <c r="B7467" s="437" t="str">
        <f>" P = "&amp;Z7467&amp;" 인 "</f>
        <v xml:space="preserve"> P = 2.14 인 </v>
      </c>
      <c r="C7467" s="439"/>
      <c r="D7467" s="439"/>
      <c r="E7467" s="439"/>
      <c r="F7467" s="439"/>
      <c r="G7467" s="451" t="s">
        <v>4236</v>
      </c>
      <c r="Z7467" s="511">
        <v>2.14</v>
      </c>
      <c r="AA7467" s="501" t="s">
        <v>3418</v>
      </c>
      <c r="AB7467" s="512">
        <f>Z7467</f>
        <v>2.14</v>
      </c>
      <c r="AC7467" s="500"/>
      <c r="AD7467" s="500"/>
      <c r="AE7467" s="500"/>
      <c r="AF7467" s="500"/>
      <c r="AG7467" s="500"/>
      <c r="AH7467" s="500"/>
      <c r="AI7467" s="500"/>
      <c r="AJ7467" s="500"/>
      <c r="AK7467" s="500"/>
      <c r="AL7467" s="500"/>
      <c r="AM7467" s="500"/>
      <c r="AN7467" s="500"/>
      <c r="AO7467" s="500"/>
      <c r="AP7467" s="500"/>
    </row>
    <row r="7468" spans="1:42" ht="16.5" customHeight="1">
      <c r="A7468" s="439"/>
      <c r="B7468" s="439"/>
      <c r="C7468" s="439"/>
      <c r="D7468" s="439"/>
      <c r="E7468" s="439"/>
      <c r="F7468" s="439"/>
      <c r="G7468" s="451" t="s">
        <v>3406</v>
      </c>
      <c r="Z7468" s="500"/>
      <c r="AA7468" s="500"/>
      <c r="AB7468" s="500"/>
      <c r="AC7468" s="500"/>
      <c r="AD7468" s="500"/>
      <c r="AE7468" s="500"/>
      <c r="AF7468" s="500"/>
      <c r="AG7468" s="500"/>
      <c r="AH7468" s="500"/>
      <c r="AI7468" s="500"/>
      <c r="AJ7468" s="500"/>
      <c r="AK7468" s="500"/>
      <c r="AL7468" s="500"/>
      <c r="AM7468" s="500"/>
      <c r="AN7468" s="500"/>
      <c r="AO7468" s="500"/>
      <c r="AP7468" s="500"/>
    </row>
    <row r="7469" spans="1:42" ht="16.5" customHeight="1">
      <c r="A7469" s="434" t="s">
        <v>4191</v>
      </c>
      <c r="B7469" s="505" t="str">
        <f>" 노 무 비  :  P*"&amp;TEXT(I7469,"#,##0"&amp;IF(I7469&lt;&gt;INT(I7469),".###",""))&amp;"/"&amp;AB7469&amp;" = "&amp;TEXT(C7469,"#,##0.0")&amp;""</f>
        <v xml:space="preserve"> 노 무 비  :  P*253,243/1000 = 541.9</v>
      </c>
      <c r="C7469" s="506">
        <f>E7469+D7469+F7469</f>
        <v>541.9</v>
      </c>
      <c r="D7469" s="506">
        <f>IF(H7469=0,0,ROUNDDOWN(J7469*H7469,1))</f>
        <v>541.9</v>
      </c>
      <c r="E7469" s="506">
        <f>IF(H7469=0,0,ROUNDDOWN(K7469*H7469,1))</f>
        <v>0</v>
      </c>
      <c r="F7469" s="506">
        <f>IF(H7469=0,0,ROUNDDOWN(L7469*H7469,1))</f>
        <v>0</v>
      </c>
      <c r="G7469" s="451" t="s">
        <v>4192</v>
      </c>
      <c r="H7469" s="507">
        <f>ROUNDUP(AD7469,14-LEN(ABS(INT(AD7469))))</f>
        <v>2.14E-3</v>
      </c>
      <c r="I7469" s="508">
        <f>K7469+J7469+L7469</f>
        <v>253243</v>
      </c>
      <c r="J7469" s="509">
        <f>노무비목록표!E9</f>
        <v>253243</v>
      </c>
      <c r="M7469" s="501" t="s">
        <v>2832</v>
      </c>
      <c r="N7469" s="501" t="s">
        <v>3416</v>
      </c>
      <c r="X7469" s="510" t="str">
        <f>노무비목록표!B9&amp;" / "&amp;노무비목록표!C9</f>
        <v xml:space="preserve">벌목부 / </v>
      </c>
      <c r="Y7469" s="433" t="str">
        <f ca="1">HYPERLINK("#"&amp;노무비목록표!G2&amp;"!A"&amp;ROW(노무비목록표!A9),"L00188 →")</f>
        <v>L00188 →</v>
      </c>
      <c r="Z7469" s="512">
        <f>AB7467</f>
        <v>2.14</v>
      </c>
      <c r="AA7469" s="501" t="s">
        <v>3777</v>
      </c>
      <c r="AB7469" s="515">
        <v>1000</v>
      </c>
      <c r="AC7469" s="501" t="s">
        <v>3418</v>
      </c>
      <c r="AD7469" s="512">
        <f>AB7467*1/AB7469</f>
        <v>2.14E-3</v>
      </c>
      <c r="AE7469" s="500"/>
      <c r="AF7469" s="500"/>
      <c r="AG7469" s="500"/>
      <c r="AH7469" s="500"/>
      <c r="AI7469" s="500"/>
      <c r="AJ7469" s="500"/>
      <c r="AK7469" s="500"/>
      <c r="AL7469" s="500"/>
      <c r="AM7469" s="500"/>
      <c r="AN7469" s="500"/>
      <c r="AO7469" s="500"/>
      <c r="AP7469" s="500"/>
    </row>
    <row r="7470" spans="1:42" ht="16.5" customHeight="1">
      <c r="A7470" s="439"/>
      <c r="B7470" s="439"/>
      <c r="C7470" s="439"/>
      <c r="D7470" s="439"/>
      <c r="E7470" s="439"/>
      <c r="F7470" s="439"/>
      <c r="G7470" s="451" t="s">
        <v>3406</v>
      </c>
      <c r="Z7470" s="500"/>
      <c r="AA7470" s="500"/>
      <c r="AB7470" s="500"/>
      <c r="AC7470" s="500"/>
      <c r="AD7470" s="500"/>
      <c r="AE7470" s="500"/>
      <c r="AF7470" s="500"/>
      <c r="AG7470" s="500"/>
      <c r="AH7470" s="500"/>
      <c r="AI7470" s="500"/>
      <c r="AJ7470" s="500"/>
      <c r="AK7470" s="500"/>
      <c r="AL7470" s="500"/>
      <c r="AM7470" s="500"/>
      <c r="AN7470" s="500"/>
      <c r="AO7470" s="500"/>
      <c r="AP7470" s="500"/>
    </row>
    <row r="7471" spans="1:42" ht="16.5" customHeight="1">
      <c r="A7471" s="434"/>
      <c r="B7471" s="437" t="s">
        <v>3773</v>
      </c>
      <c r="C7471" s="439"/>
      <c r="D7471" s="439"/>
      <c r="E7471" s="439"/>
      <c r="F7471" s="439"/>
      <c r="G7471" s="451" t="s">
        <v>3774</v>
      </c>
      <c r="Z7471" s="500"/>
      <c r="AA7471" s="500"/>
      <c r="AB7471" s="500"/>
      <c r="AC7471" s="500"/>
      <c r="AD7471" s="500"/>
      <c r="AE7471" s="500"/>
      <c r="AF7471" s="500"/>
      <c r="AG7471" s="500"/>
      <c r="AH7471" s="500"/>
      <c r="AI7471" s="500"/>
      <c r="AJ7471" s="500"/>
      <c r="AK7471" s="500"/>
      <c r="AL7471" s="500"/>
      <c r="AM7471" s="500"/>
      <c r="AN7471" s="500"/>
      <c r="AO7471" s="500"/>
      <c r="AP7471" s="500"/>
    </row>
    <row r="7472" spans="1:42" ht="16.5" customHeight="1">
      <c r="A7472" s="439"/>
      <c r="B7472" s="439"/>
      <c r="C7472" s="439"/>
      <c r="D7472" s="439"/>
      <c r="E7472" s="439"/>
      <c r="F7472" s="439"/>
      <c r="G7472" s="451" t="s">
        <v>3406</v>
      </c>
      <c r="Z7472" s="500"/>
      <c r="AA7472" s="500"/>
      <c r="AB7472" s="500"/>
      <c r="AC7472" s="500"/>
      <c r="AD7472" s="500"/>
      <c r="AE7472" s="500"/>
      <c r="AF7472" s="500"/>
      <c r="AG7472" s="500"/>
      <c r="AH7472" s="500"/>
      <c r="AI7472" s="500"/>
      <c r="AJ7472" s="500"/>
      <c r="AK7472" s="500"/>
      <c r="AL7472" s="500"/>
      <c r="AM7472" s="500"/>
      <c r="AN7472" s="500"/>
      <c r="AO7472" s="500"/>
      <c r="AP7472" s="500"/>
    </row>
    <row r="7473" spans="1:42" ht="16.5" customHeight="1">
      <c r="A7473" s="434"/>
      <c r="B7473" s="437" t="str">
        <f>" Q = "&amp;Z7473&amp;" 인 "</f>
        <v xml:space="preserve"> Q = 0.51 인 </v>
      </c>
      <c r="C7473" s="439"/>
      <c r="D7473" s="439"/>
      <c r="E7473" s="439"/>
      <c r="F7473" s="439"/>
      <c r="G7473" s="451" t="s">
        <v>4237</v>
      </c>
      <c r="Z7473" s="511">
        <v>0.51</v>
      </c>
      <c r="AA7473" s="501" t="s">
        <v>3418</v>
      </c>
      <c r="AB7473" s="512">
        <f>Z7473</f>
        <v>0.51</v>
      </c>
      <c r="AC7473" s="500"/>
      <c r="AD7473" s="500"/>
      <c r="AE7473" s="500"/>
      <c r="AF7473" s="500"/>
      <c r="AG7473" s="500"/>
      <c r="AH7473" s="500"/>
      <c r="AI7473" s="500"/>
      <c r="AJ7473" s="500"/>
      <c r="AK7473" s="500"/>
      <c r="AL7473" s="500"/>
      <c r="AM7473" s="500"/>
      <c r="AN7473" s="500"/>
      <c r="AO7473" s="500"/>
      <c r="AP7473" s="500"/>
    </row>
    <row r="7474" spans="1:42" ht="16.5" customHeight="1">
      <c r="A7474" s="439"/>
      <c r="B7474" s="439"/>
      <c r="C7474" s="439"/>
      <c r="D7474" s="439"/>
      <c r="E7474" s="439"/>
      <c r="F7474" s="439"/>
      <c r="G7474" s="451" t="s">
        <v>3406</v>
      </c>
      <c r="Z7474" s="500"/>
      <c r="AA7474" s="500"/>
      <c r="AB7474" s="500"/>
      <c r="AC7474" s="500"/>
      <c r="AD7474" s="500"/>
      <c r="AE7474" s="500"/>
      <c r="AF7474" s="500"/>
      <c r="AG7474" s="500"/>
      <c r="AH7474" s="500"/>
      <c r="AI7474" s="500"/>
      <c r="AJ7474" s="500"/>
      <c r="AK7474" s="500"/>
      <c r="AL7474" s="500"/>
      <c r="AM7474" s="500"/>
      <c r="AN7474" s="500"/>
      <c r="AO7474" s="500"/>
      <c r="AP7474" s="500"/>
    </row>
    <row r="7475" spans="1:42" ht="16.5" customHeight="1">
      <c r="A7475" s="434" t="s">
        <v>3414</v>
      </c>
      <c r="B7475" s="505" t="str">
        <f>" 노 무 비  :  Q*"&amp;TEXT(I7475,"#,##0"&amp;IF(I7475&lt;&gt;INT(I7475),".###",""))&amp;"/"&amp;AB7475&amp;" = "&amp;TEXT(C7475,"#,##0.0")&amp;""</f>
        <v xml:space="preserve"> 노 무 비  :  Q*172,068/1000 = 87.7</v>
      </c>
      <c r="C7475" s="506">
        <f>E7475+D7475+F7475</f>
        <v>87.7</v>
      </c>
      <c r="D7475" s="506">
        <f>IF(H7475=0,0,ROUNDDOWN(J7475*H7475,1))</f>
        <v>87.7</v>
      </c>
      <c r="E7475" s="506">
        <f>IF(H7475=0,0,ROUNDDOWN(K7475*H7475,1))</f>
        <v>0</v>
      </c>
      <c r="F7475" s="506">
        <f>IF(H7475=0,0,ROUNDDOWN(L7475*H7475,1))</f>
        <v>0</v>
      </c>
      <c r="G7475" s="451" t="s">
        <v>4194</v>
      </c>
      <c r="H7475" s="507">
        <f>ROUNDUP(AD7475,14-LEN(ABS(INT(AD7475))))</f>
        <v>5.1000000000000004E-4</v>
      </c>
      <c r="I7475" s="508">
        <f>K7475+J7475+L7475</f>
        <v>172068</v>
      </c>
      <c r="J7475" s="509">
        <f>노무비목록표!E10</f>
        <v>172068</v>
      </c>
      <c r="M7475" s="501" t="s">
        <v>2363</v>
      </c>
      <c r="N7475" s="501" t="s">
        <v>3416</v>
      </c>
      <c r="X7475" s="510" t="str">
        <f>노무비목록표!B10&amp;" / "&amp;노무비목록표!C10</f>
        <v xml:space="preserve">보통인부 / </v>
      </c>
      <c r="Y7475" s="433" t="str">
        <f ca="1">HYPERLINK("#"&amp;노무비목록표!G2&amp;"!A"&amp;ROW(노무비목록표!A10),"L00017 →")</f>
        <v>L00017 →</v>
      </c>
      <c r="Z7475" s="512">
        <f>AB7473</f>
        <v>0.51</v>
      </c>
      <c r="AA7475" s="501" t="s">
        <v>3777</v>
      </c>
      <c r="AB7475" s="515">
        <v>1000</v>
      </c>
      <c r="AC7475" s="501" t="s">
        <v>3418</v>
      </c>
      <c r="AD7475" s="512">
        <f>AB7473*1/AB7475</f>
        <v>5.1000000000000004E-4</v>
      </c>
      <c r="AE7475" s="500"/>
      <c r="AF7475" s="500"/>
      <c r="AG7475" s="500"/>
      <c r="AH7475" s="500"/>
      <c r="AI7475" s="500"/>
      <c r="AJ7475" s="500"/>
      <c r="AK7475" s="500"/>
      <c r="AL7475" s="500"/>
      <c r="AM7475" s="500"/>
      <c r="AN7475" s="500"/>
      <c r="AO7475" s="500"/>
      <c r="AP7475" s="500"/>
    </row>
    <row r="7476" spans="1:42" ht="16.5" customHeight="1">
      <c r="A7476" s="439"/>
      <c r="B7476" s="439"/>
      <c r="C7476" s="439"/>
      <c r="D7476" s="439"/>
      <c r="E7476" s="439"/>
      <c r="F7476" s="439"/>
      <c r="G7476" s="451" t="s">
        <v>3406</v>
      </c>
      <c r="Z7476" s="500"/>
      <c r="AA7476" s="500"/>
      <c r="AB7476" s="500"/>
      <c r="AC7476" s="500"/>
      <c r="AD7476" s="500"/>
      <c r="AE7476" s="500"/>
      <c r="AF7476" s="500"/>
      <c r="AG7476" s="500"/>
      <c r="AH7476" s="500"/>
      <c r="AI7476" s="500"/>
      <c r="AJ7476" s="500"/>
      <c r="AK7476" s="500"/>
      <c r="AL7476" s="500"/>
      <c r="AM7476" s="500"/>
      <c r="AN7476" s="500"/>
      <c r="AO7476" s="500"/>
      <c r="AP7476" s="500"/>
    </row>
    <row r="7477" spans="1:42" ht="16.5" customHeight="1">
      <c r="A7477" s="434"/>
      <c r="B7477" s="437" t="s">
        <v>4214</v>
      </c>
      <c r="C7477" s="439"/>
      <c r="D7477" s="439"/>
      <c r="E7477" s="439"/>
      <c r="F7477" s="439"/>
      <c r="G7477" s="451" t="s">
        <v>4215</v>
      </c>
      <c r="Z7477" s="500"/>
      <c r="AA7477" s="500"/>
      <c r="AB7477" s="500"/>
      <c r="AC7477" s="500"/>
      <c r="AD7477" s="500"/>
      <c r="AE7477" s="500"/>
      <c r="AF7477" s="500"/>
      <c r="AG7477" s="500"/>
      <c r="AH7477" s="500"/>
      <c r="AI7477" s="500"/>
      <c r="AJ7477" s="500"/>
      <c r="AK7477" s="500"/>
      <c r="AL7477" s="500"/>
      <c r="AM7477" s="500"/>
      <c r="AN7477" s="500"/>
      <c r="AO7477" s="500"/>
      <c r="AP7477" s="500"/>
    </row>
    <row r="7478" spans="1:42" ht="16.5" customHeight="1">
      <c r="A7478" s="439"/>
      <c r="B7478" s="439"/>
      <c r="C7478" s="439"/>
      <c r="D7478" s="439"/>
      <c r="E7478" s="439"/>
      <c r="F7478" s="439"/>
      <c r="G7478" s="451" t="s">
        <v>3406</v>
      </c>
      <c r="Z7478" s="500"/>
      <c r="AA7478" s="500"/>
      <c r="AB7478" s="500"/>
      <c r="AC7478" s="500"/>
      <c r="AD7478" s="500"/>
      <c r="AE7478" s="500"/>
      <c r="AF7478" s="500"/>
      <c r="AG7478" s="500"/>
      <c r="AH7478" s="500"/>
      <c r="AI7478" s="500"/>
      <c r="AJ7478" s="500"/>
      <c r="AK7478" s="500"/>
      <c r="AL7478" s="500"/>
      <c r="AM7478" s="500"/>
      <c r="AN7478" s="500"/>
      <c r="AO7478" s="500"/>
      <c r="AP7478" s="500"/>
    </row>
    <row r="7479" spans="1:42" ht="16.5" customHeight="1">
      <c r="A7479" s="434" t="s">
        <v>4238</v>
      </c>
      <c r="B7479" s="505" t="str">
        <f>"  기계경비 : "&amp;TEXT(I7479,"#,##0"&amp;IF(I7479&lt;&gt;INT(I7479),".###",""))&amp;" * "&amp;AA7479&amp;" %  = "&amp;TEXT(C7479,"#,##0.0")&amp;""</f>
        <v xml:space="preserve">  기계경비 : 629.6 * 10 %  = 62.9</v>
      </c>
      <c r="C7479" s="506">
        <f>E7479+D7479+F7479</f>
        <v>62.9</v>
      </c>
      <c r="D7479" s="506">
        <f>IF(H7479=0,0,ROUNDDOWN(J7479*H7479/100,1))</f>
        <v>0</v>
      </c>
      <c r="E7479" s="506">
        <f>IF(H7479=0,0,ROUNDDOWN(K7479*H7479/100,1))</f>
        <v>0</v>
      </c>
      <c r="F7479" s="506">
        <f>IF(H7479=0,0,ROUNDDOWN(L7479*H7479/100,1))</f>
        <v>62.9</v>
      </c>
      <c r="G7479" s="451" t="s">
        <v>4239</v>
      </c>
      <c r="H7479" s="507">
        <f>ROUNDUP(AC7479,14-LEN(ABS(INT(AC7479))))</f>
        <v>10</v>
      </c>
      <c r="I7479" s="508">
        <f>K7479+J7479+L7479</f>
        <v>629.6</v>
      </c>
      <c r="J7479" s="456">
        <v>0</v>
      </c>
      <c r="K7479" s="456">
        <v>0</v>
      </c>
      <c r="L7479" s="518">
        <v>629.6</v>
      </c>
      <c r="M7479" s="501" t="s">
        <v>4240</v>
      </c>
      <c r="N7479" s="501" t="s">
        <v>3416</v>
      </c>
      <c r="Z7479" s="501" t="s">
        <v>3500</v>
      </c>
      <c r="AA7479" s="515">
        <v>10</v>
      </c>
      <c r="AB7479" s="501" t="s">
        <v>3418</v>
      </c>
      <c r="AC7479" s="512">
        <f>1*AA7479</f>
        <v>10</v>
      </c>
      <c r="AD7479" s="500"/>
      <c r="AE7479" s="500"/>
      <c r="AF7479" s="500"/>
      <c r="AG7479" s="500"/>
      <c r="AH7479" s="500"/>
      <c r="AI7479" s="500"/>
      <c r="AJ7479" s="500"/>
      <c r="AK7479" s="500"/>
      <c r="AL7479" s="500"/>
      <c r="AM7479" s="500"/>
      <c r="AN7479" s="500"/>
      <c r="AO7479" s="500"/>
      <c r="AP7479" s="500"/>
    </row>
    <row r="7480" spans="1:42" ht="16.5" customHeight="1">
      <c r="A7480" s="439"/>
      <c r="B7480" s="439"/>
      <c r="C7480" s="439"/>
      <c r="D7480" s="439"/>
      <c r="E7480" s="439"/>
      <c r="F7480" s="439"/>
      <c r="G7480" s="451" t="s">
        <v>3406</v>
      </c>
      <c r="Z7480" s="500"/>
      <c r="AA7480" s="500"/>
      <c r="AB7480" s="500"/>
      <c r="AC7480" s="500"/>
      <c r="AD7480" s="500"/>
      <c r="AE7480" s="500"/>
      <c r="AF7480" s="500"/>
      <c r="AG7480" s="500"/>
      <c r="AH7480" s="500"/>
      <c r="AI7480" s="500"/>
      <c r="AJ7480" s="500"/>
      <c r="AK7480" s="500"/>
      <c r="AL7480" s="500"/>
      <c r="AM7480" s="500"/>
      <c r="AN7480" s="500"/>
      <c r="AO7480" s="500"/>
      <c r="AP7480" s="500"/>
    </row>
    <row r="7481" spans="1:42" ht="16.5" customHeight="1">
      <c r="A7481" s="434"/>
      <c r="B7481" s="437" t="s">
        <v>3419</v>
      </c>
      <c r="C7481" s="513">
        <f>E7481+D7481+F7481</f>
        <v>692.5</v>
      </c>
      <c r="D7481" s="513">
        <f>SUMIF(N7457:N7480,M7481,D7457:D7480)</f>
        <v>629.6</v>
      </c>
      <c r="E7481" s="513">
        <f>SUMIF(N7457:N7480,M7481,E7457:E7480)</f>
        <v>0</v>
      </c>
      <c r="F7481" s="513">
        <f>SUMIF(N7457:N7480,M7481,F7457:F7480)</f>
        <v>62.9</v>
      </c>
      <c r="G7481" s="451" t="s">
        <v>3439</v>
      </c>
      <c r="M7481" s="501" t="s">
        <v>3416</v>
      </c>
      <c r="N7481" s="501" t="s">
        <v>3421</v>
      </c>
      <c r="Z7481" s="500"/>
      <c r="AA7481" s="500"/>
      <c r="AB7481" s="500"/>
      <c r="AC7481" s="500"/>
      <c r="AD7481" s="500"/>
      <c r="AE7481" s="500"/>
      <c r="AF7481" s="500"/>
      <c r="AG7481" s="500"/>
      <c r="AH7481" s="500"/>
      <c r="AI7481" s="500"/>
      <c r="AJ7481" s="500"/>
      <c r="AK7481" s="500"/>
      <c r="AL7481" s="500"/>
      <c r="AM7481" s="500"/>
      <c r="AN7481" s="500"/>
      <c r="AO7481" s="500"/>
      <c r="AP7481" s="500"/>
    </row>
    <row r="7482" spans="1:42" ht="16.5" customHeight="1">
      <c r="A7482" s="439"/>
      <c r="B7482" s="439"/>
      <c r="C7482" s="504"/>
      <c r="D7482" s="504"/>
      <c r="E7482" s="504"/>
      <c r="F7482" s="504"/>
      <c r="G7482" s="451" t="s">
        <v>3406</v>
      </c>
      <c r="Z7482" s="500"/>
      <c r="AA7482" s="500"/>
      <c r="AB7482" s="500"/>
      <c r="AC7482" s="500"/>
      <c r="AD7482" s="500"/>
      <c r="AE7482" s="500"/>
      <c r="AF7482" s="500"/>
      <c r="AG7482" s="500"/>
      <c r="AH7482" s="500"/>
      <c r="AI7482" s="500"/>
      <c r="AJ7482" s="500"/>
      <c r="AK7482" s="500"/>
      <c r="AL7482" s="500"/>
      <c r="AM7482" s="500"/>
      <c r="AN7482" s="500"/>
      <c r="AO7482" s="500"/>
      <c r="AP7482" s="500"/>
    </row>
    <row r="7483" spans="1:42" ht="16.5" customHeight="1">
      <c r="A7483" s="434"/>
      <c r="B7483" s="437" t="s">
        <v>4219</v>
      </c>
      <c r="C7483" s="439"/>
      <c r="D7483" s="439"/>
      <c r="E7483" s="439"/>
      <c r="F7483" s="439"/>
      <c r="G7483" s="451" t="s">
        <v>4220</v>
      </c>
      <c r="Z7483" s="500"/>
      <c r="AA7483" s="500"/>
      <c r="AB7483" s="500"/>
      <c r="AC7483" s="500"/>
      <c r="AD7483" s="500"/>
      <c r="AE7483" s="500"/>
      <c r="AF7483" s="500"/>
      <c r="AG7483" s="500"/>
      <c r="AH7483" s="500"/>
      <c r="AI7483" s="500"/>
      <c r="AJ7483" s="500"/>
      <c r="AK7483" s="500"/>
      <c r="AL7483" s="500"/>
      <c r="AM7483" s="500"/>
      <c r="AN7483" s="500"/>
      <c r="AO7483" s="500"/>
      <c r="AP7483" s="500"/>
    </row>
    <row r="7484" spans="1:42" ht="16.5" customHeight="1">
      <c r="A7484" s="439"/>
      <c r="B7484" s="439"/>
      <c r="C7484" s="439"/>
      <c r="D7484" s="439"/>
      <c r="E7484" s="439"/>
      <c r="F7484" s="439"/>
      <c r="G7484" s="451" t="s">
        <v>3406</v>
      </c>
      <c r="Z7484" s="500"/>
      <c r="AA7484" s="500"/>
      <c r="AB7484" s="500"/>
      <c r="AC7484" s="500"/>
      <c r="AD7484" s="500"/>
      <c r="AE7484" s="500"/>
      <c r="AF7484" s="500"/>
      <c r="AG7484" s="500"/>
      <c r="AH7484" s="500"/>
      <c r="AI7484" s="500"/>
      <c r="AJ7484" s="500"/>
      <c r="AK7484" s="500"/>
      <c r="AL7484" s="500"/>
      <c r="AM7484" s="500"/>
      <c r="AN7484" s="500"/>
      <c r="AO7484" s="500"/>
      <c r="AP7484" s="500"/>
    </row>
    <row r="7485" spans="1:42" ht="16.5" customHeight="1">
      <c r="A7485" s="434"/>
      <c r="B7485" s="437" t="str">
        <f>" T = "&amp;Z7485&amp;" hr "</f>
        <v xml:space="preserve"> T = 2.71 hr </v>
      </c>
      <c r="C7485" s="439"/>
      <c r="D7485" s="439"/>
      <c r="E7485" s="439"/>
      <c r="F7485" s="439"/>
      <c r="G7485" s="451" t="s">
        <v>4241</v>
      </c>
      <c r="Z7485" s="511">
        <v>2.71</v>
      </c>
      <c r="AA7485" s="501" t="s">
        <v>3418</v>
      </c>
      <c r="AB7485" s="512">
        <f>Z7485</f>
        <v>2.71</v>
      </c>
      <c r="AC7485" s="500"/>
      <c r="AD7485" s="500"/>
      <c r="AE7485" s="500"/>
      <c r="AF7485" s="500"/>
      <c r="AG7485" s="500"/>
      <c r="AH7485" s="500"/>
      <c r="AI7485" s="500"/>
      <c r="AJ7485" s="500"/>
      <c r="AK7485" s="500"/>
      <c r="AL7485" s="500"/>
      <c r="AM7485" s="500"/>
      <c r="AN7485" s="500"/>
      <c r="AO7485" s="500"/>
      <c r="AP7485" s="500"/>
    </row>
    <row r="7486" spans="1:42" ht="16.5" customHeight="1">
      <c r="A7486" s="439"/>
      <c r="B7486" s="439"/>
      <c r="C7486" s="439"/>
      <c r="D7486" s="439"/>
      <c r="E7486" s="439"/>
      <c r="F7486" s="439"/>
      <c r="G7486" s="451" t="s">
        <v>3406</v>
      </c>
      <c r="Z7486" s="500"/>
      <c r="AA7486" s="500"/>
      <c r="AB7486" s="500"/>
      <c r="AC7486" s="500"/>
      <c r="AD7486" s="500"/>
      <c r="AE7486" s="500"/>
      <c r="AF7486" s="500"/>
      <c r="AG7486" s="500"/>
      <c r="AH7486" s="500"/>
      <c r="AI7486" s="500"/>
      <c r="AJ7486" s="500"/>
      <c r="AK7486" s="500"/>
      <c r="AL7486" s="500"/>
      <c r="AM7486" s="500"/>
      <c r="AN7486" s="500"/>
      <c r="AO7486" s="500"/>
      <c r="AP7486" s="500"/>
    </row>
    <row r="7487" spans="1:42" ht="16.5" customHeight="1">
      <c r="A7487" s="434" t="s">
        <v>4198</v>
      </c>
      <c r="B7487" s="505" t="str">
        <f>"  노 무 비 :  "&amp;TEXT(I7487,"#,##0"&amp;IF(I7487&lt;&gt;INT(I7487),".###",""))&amp;" * T / "&amp;AC7487&amp;" = "&amp;TEXT(C7487,"#,##0.0")&amp;""</f>
        <v xml:space="preserve">  노 무 비 :  59,020 * T / 1000 = 159.9</v>
      </c>
      <c r="C7487" s="506">
        <f>E7487+D7487+F7487</f>
        <v>159.9</v>
      </c>
      <c r="D7487" s="506">
        <f>IF(H7487=0,0,ROUNDDOWN(J7487*H7487,1))</f>
        <v>159.9</v>
      </c>
      <c r="E7487" s="506">
        <f>IF(H7487=0,0,ROUNDDOWN(K7487*H7487,1))</f>
        <v>0</v>
      </c>
      <c r="F7487" s="506">
        <f>IF(H7487=0,0,ROUNDDOWN(L7487*H7487,1))</f>
        <v>0</v>
      </c>
      <c r="G7487" s="451" t="s">
        <v>4222</v>
      </c>
      <c r="H7487" s="507">
        <f>ROUNDUP(AE7487,14-LEN(ABS(INT(AE7487))))</f>
        <v>2.7100000000000002E-3</v>
      </c>
      <c r="I7487" s="508">
        <f>K7487+J7487+L7487</f>
        <v>59020</v>
      </c>
      <c r="J7487" s="509">
        <f>중기목록표!F6</f>
        <v>59020</v>
      </c>
      <c r="M7487" s="501" t="s">
        <v>4200</v>
      </c>
      <c r="N7487" s="501" t="s">
        <v>3416</v>
      </c>
      <c r="X7487" s="510" t="str">
        <f>중기목록표!B6&amp;" / "&amp;중기목록표!C6</f>
        <v>굴착기(무한궤도) / 0.2㎥,(부착용집게)</v>
      </c>
      <c r="Y7487" s="433" t="str">
        <f ca="1">HYPERLINK("#"&amp;중기목록표!J2&amp;"!A"&amp;ROW(중기목록표!A6),"X00323 →")</f>
        <v>X00323 →</v>
      </c>
      <c r="Z7487" s="501" t="s">
        <v>3500</v>
      </c>
      <c r="AA7487" s="512">
        <f>AB7485</f>
        <v>2.71</v>
      </c>
      <c r="AB7487" s="501" t="s">
        <v>3428</v>
      </c>
      <c r="AC7487" s="515">
        <v>1000</v>
      </c>
      <c r="AD7487" s="501" t="s">
        <v>3418</v>
      </c>
      <c r="AE7487" s="512">
        <f>1*AB7485/AC7487</f>
        <v>2.7100000000000002E-3</v>
      </c>
      <c r="AF7487" s="500"/>
      <c r="AG7487" s="500"/>
      <c r="AH7487" s="500"/>
      <c r="AI7487" s="500"/>
      <c r="AJ7487" s="500"/>
      <c r="AK7487" s="500"/>
      <c r="AL7487" s="500"/>
      <c r="AM7487" s="500"/>
      <c r="AN7487" s="500"/>
      <c r="AO7487" s="500"/>
      <c r="AP7487" s="500"/>
    </row>
    <row r="7488" spans="1:42" ht="16.5" customHeight="1">
      <c r="A7488" s="439"/>
      <c r="B7488" s="439"/>
      <c r="C7488" s="439"/>
      <c r="D7488" s="439"/>
      <c r="E7488" s="439"/>
      <c r="F7488" s="439"/>
      <c r="G7488" s="451" t="s">
        <v>3406</v>
      </c>
      <c r="Z7488" s="500"/>
      <c r="AA7488" s="500"/>
      <c r="AB7488" s="500"/>
      <c r="AC7488" s="500"/>
      <c r="AD7488" s="500"/>
      <c r="AE7488" s="500"/>
      <c r="AF7488" s="500"/>
      <c r="AG7488" s="500"/>
      <c r="AH7488" s="500"/>
      <c r="AI7488" s="500"/>
      <c r="AJ7488" s="500"/>
      <c r="AK7488" s="500"/>
      <c r="AL7488" s="500"/>
      <c r="AM7488" s="500"/>
      <c r="AN7488" s="500"/>
      <c r="AO7488" s="500"/>
      <c r="AP7488" s="500"/>
    </row>
    <row r="7489" spans="1:42" ht="16.5" customHeight="1">
      <c r="A7489" s="434" t="s">
        <v>4201</v>
      </c>
      <c r="B7489" s="505" t="str">
        <f>"  재 료 비 :  "&amp;TEXT(I7489,"#,##0"&amp;IF(I7489&lt;&gt;INT(I7489),".###",""))&amp;" * T / "&amp;AC7489&amp;" = "&amp;TEXT(C7489,"#,##0.0")&amp;""</f>
        <v xml:space="preserve">  재 료 비 :  8,342 * T / 1000 = 22.6</v>
      </c>
      <c r="C7489" s="506">
        <f>E7489+D7489+F7489</f>
        <v>22.6</v>
      </c>
      <c r="D7489" s="506">
        <f>IF(H7489=0,0,ROUNDDOWN(J7489*H7489,1))</f>
        <v>0</v>
      </c>
      <c r="E7489" s="506">
        <f>IF(H7489=0,0,ROUNDDOWN(K7489*H7489,1))</f>
        <v>22.6</v>
      </c>
      <c r="F7489" s="506">
        <f>IF(H7489=0,0,ROUNDDOWN(L7489*H7489,1))</f>
        <v>0</v>
      </c>
      <c r="G7489" s="451" t="s">
        <v>4223</v>
      </c>
      <c r="H7489" s="507">
        <f>ROUNDUP(AE7489,14-LEN(ABS(INT(AE7489))))</f>
        <v>2.7100000000000002E-3</v>
      </c>
      <c r="I7489" s="508">
        <f>K7489+J7489+L7489</f>
        <v>8342</v>
      </c>
      <c r="K7489" s="509">
        <f>중기목록표!G6</f>
        <v>8342</v>
      </c>
      <c r="M7489" s="501" t="s">
        <v>4200</v>
      </c>
      <c r="N7489" s="501" t="s">
        <v>3416</v>
      </c>
      <c r="X7489" s="510" t="str">
        <f>중기목록표!B6&amp;" / "&amp;중기목록표!C6</f>
        <v>굴착기(무한궤도) / 0.2㎥,(부착용집게)</v>
      </c>
      <c r="Y7489" s="433" t="str">
        <f ca="1">HYPERLINK("#"&amp;중기목록표!J2&amp;"!A"&amp;ROW(중기목록표!A6),"X00323 →")</f>
        <v>X00323 →</v>
      </c>
      <c r="Z7489" s="501" t="s">
        <v>3500</v>
      </c>
      <c r="AA7489" s="512">
        <f>AB7485</f>
        <v>2.71</v>
      </c>
      <c r="AB7489" s="501" t="s">
        <v>3428</v>
      </c>
      <c r="AC7489" s="515">
        <v>1000</v>
      </c>
      <c r="AD7489" s="501" t="s">
        <v>3418</v>
      </c>
      <c r="AE7489" s="512">
        <f>1*AB7485/AC7489</f>
        <v>2.7100000000000002E-3</v>
      </c>
      <c r="AF7489" s="500"/>
      <c r="AG7489" s="500"/>
      <c r="AH7489" s="500"/>
      <c r="AI7489" s="500"/>
      <c r="AJ7489" s="500"/>
      <c r="AK7489" s="500"/>
      <c r="AL7489" s="500"/>
      <c r="AM7489" s="500"/>
      <c r="AN7489" s="500"/>
      <c r="AO7489" s="500"/>
      <c r="AP7489" s="500"/>
    </row>
    <row r="7490" spans="1:42" ht="16.5" customHeight="1">
      <c r="A7490" s="439"/>
      <c r="B7490" s="439"/>
      <c r="C7490" s="439"/>
      <c r="D7490" s="439"/>
      <c r="E7490" s="439"/>
      <c r="F7490" s="439"/>
      <c r="G7490" s="451" t="s">
        <v>3406</v>
      </c>
      <c r="Z7490" s="500"/>
      <c r="AA7490" s="500"/>
      <c r="AB7490" s="500"/>
      <c r="AC7490" s="500"/>
      <c r="AD7490" s="500"/>
      <c r="AE7490" s="500"/>
      <c r="AF7490" s="500"/>
      <c r="AG7490" s="500"/>
      <c r="AH7490" s="500"/>
      <c r="AI7490" s="500"/>
      <c r="AJ7490" s="500"/>
      <c r="AK7490" s="500"/>
      <c r="AL7490" s="500"/>
      <c r="AM7490" s="500"/>
      <c r="AN7490" s="500"/>
      <c r="AO7490" s="500"/>
      <c r="AP7490" s="500"/>
    </row>
    <row r="7491" spans="1:42" ht="16.5" customHeight="1">
      <c r="A7491" s="434" t="s">
        <v>4203</v>
      </c>
      <c r="B7491" s="505" t="str">
        <f>"  경    비 :  "&amp;TEXT(I7491,"#,##0"&amp;IF(I7491&lt;&gt;INT(I7491),".###",""))&amp;" * T / "&amp;AC7491&amp;" = "&amp;TEXT(C7491,"#,##0.0")&amp;""</f>
        <v xml:space="preserve">  경    비 :  17,547 * T / 1000 = 47.5</v>
      </c>
      <c r="C7491" s="506">
        <f>E7491+D7491+F7491</f>
        <v>47.5</v>
      </c>
      <c r="D7491" s="506">
        <f>IF(H7491=0,0,ROUNDDOWN(J7491*H7491,1))</f>
        <v>0</v>
      </c>
      <c r="E7491" s="506">
        <f>IF(H7491=0,0,ROUNDDOWN(K7491*H7491,1))</f>
        <v>0</v>
      </c>
      <c r="F7491" s="506">
        <f>IF(H7491=0,0,ROUNDDOWN(L7491*H7491,1))</f>
        <v>47.5</v>
      </c>
      <c r="G7491" s="451" t="s">
        <v>4224</v>
      </c>
      <c r="H7491" s="507">
        <f>ROUNDUP(AE7491,14-LEN(ABS(INT(AE7491))))</f>
        <v>2.7100000000000002E-3</v>
      </c>
      <c r="I7491" s="508">
        <f>K7491+J7491+L7491</f>
        <v>17547</v>
      </c>
      <c r="L7491" s="509">
        <f>중기목록표!H6</f>
        <v>17547</v>
      </c>
      <c r="M7491" s="501" t="s">
        <v>4200</v>
      </c>
      <c r="N7491" s="501" t="s">
        <v>3416</v>
      </c>
      <c r="X7491" s="510" t="str">
        <f>중기목록표!B6&amp;" / "&amp;중기목록표!C6</f>
        <v>굴착기(무한궤도) / 0.2㎥,(부착용집게)</v>
      </c>
      <c r="Y7491" s="433" t="str">
        <f ca="1">HYPERLINK("#"&amp;중기목록표!J2&amp;"!A"&amp;ROW(중기목록표!A6),"X00323 →")</f>
        <v>X00323 →</v>
      </c>
      <c r="Z7491" s="501" t="s">
        <v>3500</v>
      </c>
      <c r="AA7491" s="512">
        <f>AB7485</f>
        <v>2.71</v>
      </c>
      <c r="AB7491" s="501" t="s">
        <v>3428</v>
      </c>
      <c r="AC7491" s="515">
        <v>1000</v>
      </c>
      <c r="AD7491" s="501" t="s">
        <v>3418</v>
      </c>
      <c r="AE7491" s="512">
        <f>1*AB7485/AC7491</f>
        <v>2.7100000000000002E-3</v>
      </c>
      <c r="AF7491" s="500"/>
      <c r="AG7491" s="500"/>
      <c r="AH7491" s="500"/>
      <c r="AI7491" s="500"/>
      <c r="AJ7491" s="500"/>
      <c r="AK7491" s="500"/>
      <c r="AL7491" s="500"/>
      <c r="AM7491" s="500"/>
      <c r="AN7491" s="500"/>
      <c r="AO7491" s="500"/>
      <c r="AP7491" s="500"/>
    </row>
    <row r="7492" spans="1:42" ht="16.5" customHeight="1">
      <c r="A7492" s="439"/>
      <c r="B7492" s="439"/>
      <c r="C7492" s="439"/>
      <c r="D7492" s="439"/>
      <c r="E7492" s="439"/>
      <c r="F7492" s="439"/>
      <c r="G7492" s="451" t="s">
        <v>3406</v>
      </c>
      <c r="Z7492" s="500"/>
      <c r="AA7492" s="500"/>
      <c r="AB7492" s="500"/>
      <c r="AC7492" s="500"/>
      <c r="AD7492" s="500"/>
      <c r="AE7492" s="500"/>
      <c r="AF7492" s="500"/>
      <c r="AG7492" s="500"/>
      <c r="AH7492" s="500"/>
      <c r="AI7492" s="500"/>
      <c r="AJ7492" s="500"/>
      <c r="AK7492" s="500"/>
      <c r="AL7492" s="500"/>
      <c r="AM7492" s="500"/>
      <c r="AN7492" s="500"/>
      <c r="AO7492" s="500"/>
      <c r="AP7492" s="500"/>
    </row>
    <row r="7493" spans="1:42" ht="16.5" customHeight="1">
      <c r="A7493" s="434"/>
      <c r="B7493" s="437" t="s">
        <v>3419</v>
      </c>
      <c r="C7493" s="513">
        <f>E7493+D7493+F7493</f>
        <v>230</v>
      </c>
      <c r="D7493" s="513">
        <f>SUMIF(N7482:N7492,M7493,D7482:D7492)</f>
        <v>159.9</v>
      </c>
      <c r="E7493" s="513">
        <f>SUMIF(N7482:N7492,M7493,E7482:E7492)</f>
        <v>22.6</v>
      </c>
      <c r="F7493" s="513">
        <f>SUMIF(N7482:N7492,M7493,F7482:F7492)</f>
        <v>47.5</v>
      </c>
      <c r="G7493" s="451" t="s">
        <v>3439</v>
      </c>
      <c r="M7493" s="501" t="s">
        <v>3416</v>
      </c>
      <c r="N7493" s="501" t="s">
        <v>3421</v>
      </c>
      <c r="Z7493" s="500"/>
      <c r="AA7493" s="500"/>
      <c r="AB7493" s="500"/>
      <c r="AC7493" s="500"/>
      <c r="AD7493" s="500"/>
      <c r="AE7493" s="500"/>
      <c r="AF7493" s="500"/>
      <c r="AG7493" s="500"/>
      <c r="AH7493" s="500"/>
      <c r="AI7493" s="500"/>
      <c r="AJ7493" s="500"/>
      <c r="AK7493" s="500"/>
      <c r="AL7493" s="500"/>
      <c r="AM7493" s="500"/>
      <c r="AN7493" s="500"/>
      <c r="AO7493" s="500"/>
      <c r="AP7493" s="500"/>
    </row>
    <row r="7494" spans="1:42" ht="16.5" customHeight="1">
      <c r="A7494" s="439"/>
      <c r="B7494" s="439"/>
      <c r="C7494" s="504"/>
      <c r="D7494" s="504"/>
      <c r="E7494" s="504"/>
      <c r="F7494" s="504"/>
      <c r="G7494" s="451" t="s">
        <v>3406</v>
      </c>
      <c r="Z7494" s="500"/>
      <c r="AA7494" s="500"/>
      <c r="AB7494" s="500"/>
      <c r="AC7494" s="500"/>
      <c r="AD7494" s="500"/>
      <c r="AE7494" s="500"/>
      <c r="AF7494" s="500"/>
      <c r="AG7494" s="500"/>
      <c r="AH7494" s="500"/>
      <c r="AI7494" s="500"/>
      <c r="AJ7494" s="500"/>
      <c r="AK7494" s="500"/>
      <c r="AL7494" s="500"/>
      <c r="AM7494" s="500"/>
      <c r="AN7494" s="500"/>
      <c r="AO7494" s="500"/>
      <c r="AP7494" s="500"/>
    </row>
    <row r="7495" spans="1:42" ht="16.5" customHeight="1">
      <c r="A7495" s="434"/>
      <c r="B7495" s="437" t="s">
        <v>3440</v>
      </c>
      <c r="C7495" s="513">
        <f>E7495+D7495+F7495</f>
        <v>922.5</v>
      </c>
      <c r="D7495" s="513">
        <f>SUMIF(N7457:N7494,M7495,D7457:D7494)</f>
        <v>789.5</v>
      </c>
      <c r="E7495" s="513">
        <f>SUMIF(N7457:N7494,M7495,E7457:E7494)</f>
        <v>22.6</v>
      </c>
      <c r="F7495" s="513">
        <f>SUMIF(N7457:N7494,M7495,F7457:F7494)</f>
        <v>110.4</v>
      </c>
      <c r="G7495" s="451" t="s">
        <v>3441</v>
      </c>
      <c r="M7495" s="501" t="s">
        <v>3421</v>
      </c>
      <c r="N7495" s="501" t="s">
        <v>2354</v>
      </c>
      <c r="Z7495" s="500"/>
      <c r="AA7495" s="500"/>
      <c r="AB7495" s="500"/>
      <c r="AC7495" s="500"/>
      <c r="AD7495" s="500"/>
      <c r="AE7495" s="500"/>
      <c r="AF7495" s="500"/>
      <c r="AG7495" s="500"/>
      <c r="AH7495" s="500"/>
      <c r="AI7495" s="500"/>
      <c r="AJ7495" s="500"/>
      <c r="AK7495" s="500"/>
      <c r="AL7495" s="500"/>
      <c r="AM7495" s="500"/>
      <c r="AN7495" s="500"/>
      <c r="AO7495" s="500"/>
      <c r="AP7495" s="500"/>
    </row>
    <row r="7496" spans="1:42" ht="16.5" customHeight="1">
      <c r="A7496" s="439"/>
      <c r="B7496" s="439"/>
      <c r="C7496" s="504"/>
      <c r="D7496" s="504"/>
      <c r="E7496" s="504"/>
      <c r="F7496" s="504"/>
      <c r="Z7496" s="500"/>
      <c r="AA7496" s="500"/>
      <c r="AB7496" s="500"/>
      <c r="AC7496" s="500"/>
      <c r="AD7496" s="500"/>
      <c r="AE7496" s="500"/>
      <c r="AF7496" s="500"/>
      <c r="AG7496" s="500"/>
      <c r="AH7496" s="500"/>
      <c r="AI7496" s="500"/>
      <c r="AJ7496" s="500"/>
      <c r="AK7496" s="500"/>
      <c r="AL7496" s="500"/>
      <c r="AM7496" s="500"/>
      <c r="AN7496" s="500"/>
      <c r="AO7496" s="500"/>
      <c r="AP7496" s="500"/>
    </row>
    <row r="7497" spans="1:42" ht="16.5" customHeight="1">
      <c r="A7497" s="439"/>
      <c r="B7497" s="439"/>
      <c r="C7497" s="439"/>
      <c r="D7497" s="439"/>
      <c r="E7497" s="439"/>
      <c r="F7497" s="439"/>
      <c r="Z7497" s="500"/>
      <c r="AA7497" s="500"/>
      <c r="AB7497" s="500"/>
      <c r="AC7497" s="500"/>
      <c r="AD7497" s="500"/>
      <c r="AE7497" s="500"/>
      <c r="AF7497" s="500"/>
      <c r="AG7497" s="500"/>
      <c r="AH7497" s="500"/>
      <c r="AI7497" s="500"/>
      <c r="AJ7497" s="500"/>
      <c r="AK7497" s="500"/>
      <c r="AL7497" s="500"/>
      <c r="AM7497" s="500"/>
      <c r="AN7497" s="500"/>
      <c r="AO7497" s="500"/>
      <c r="AP7497" s="500"/>
    </row>
    <row r="7498" spans="1:42" ht="16.5" customHeight="1">
      <c r="A7498" s="439"/>
      <c r="B7498" s="439"/>
      <c r="C7498" s="439"/>
      <c r="D7498" s="439"/>
      <c r="E7498" s="439"/>
      <c r="F7498" s="439"/>
      <c r="Z7498" s="500"/>
      <c r="AA7498" s="500"/>
      <c r="AB7498" s="500"/>
      <c r="AC7498" s="500"/>
      <c r="AD7498" s="500"/>
      <c r="AE7498" s="500"/>
      <c r="AF7498" s="500"/>
      <c r="AG7498" s="500"/>
      <c r="AH7498" s="500"/>
      <c r="AI7498" s="500"/>
      <c r="AJ7498" s="500"/>
      <c r="AK7498" s="500"/>
      <c r="AL7498" s="500"/>
      <c r="AM7498" s="500"/>
      <c r="AN7498" s="500"/>
      <c r="AO7498" s="500"/>
      <c r="AP7498" s="500"/>
    </row>
    <row r="7499" spans="1:42" ht="16.5" customHeight="1">
      <c r="A7499" s="439"/>
      <c r="B7499" s="439"/>
      <c r="C7499" s="439"/>
      <c r="D7499" s="439"/>
      <c r="E7499" s="439"/>
      <c r="F7499" s="439"/>
      <c r="Z7499" s="500"/>
      <c r="AA7499" s="500"/>
      <c r="AB7499" s="500"/>
      <c r="AC7499" s="500"/>
      <c r="AD7499" s="500"/>
      <c r="AE7499" s="500"/>
      <c r="AF7499" s="500"/>
      <c r="AG7499" s="500"/>
      <c r="AH7499" s="500"/>
      <c r="AI7499" s="500"/>
      <c r="AJ7499" s="500"/>
      <c r="AK7499" s="500"/>
      <c r="AL7499" s="500"/>
      <c r="AM7499" s="500"/>
      <c r="AN7499" s="500"/>
      <c r="AO7499" s="500"/>
      <c r="AP7499" s="500"/>
    </row>
    <row r="7500" spans="1:42" ht="16.5" customHeight="1">
      <c r="A7500" s="439"/>
      <c r="B7500" s="439"/>
      <c r="C7500" s="439"/>
      <c r="D7500" s="439"/>
      <c r="E7500" s="439"/>
      <c r="F7500" s="439"/>
      <c r="Z7500" s="500"/>
      <c r="AA7500" s="500"/>
      <c r="AB7500" s="500"/>
      <c r="AC7500" s="500"/>
      <c r="AD7500" s="500"/>
      <c r="AE7500" s="500"/>
      <c r="AF7500" s="500"/>
      <c r="AG7500" s="500"/>
      <c r="AH7500" s="500"/>
      <c r="AI7500" s="500"/>
      <c r="AJ7500" s="500"/>
      <c r="AK7500" s="500"/>
      <c r="AL7500" s="500"/>
      <c r="AM7500" s="500"/>
      <c r="AN7500" s="500"/>
      <c r="AO7500" s="500"/>
      <c r="AP7500" s="500"/>
    </row>
    <row r="7501" spans="1:42" ht="16.5" customHeight="1">
      <c r="A7501" s="439"/>
      <c r="B7501" s="439"/>
      <c r="C7501" s="439"/>
      <c r="D7501" s="439"/>
      <c r="E7501" s="439"/>
      <c r="F7501" s="439"/>
      <c r="Z7501" s="500"/>
      <c r="AA7501" s="500"/>
      <c r="AB7501" s="500"/>
      <c r="AC7501" s="500"/>
      <c r="AD7501" s="500"/>
      <c r="AE7501" s="500"/>
      <c r="AF7501" s="500"/>
      <c r="AG7501" s="500"/>
      <c r="AH7501" s="500"/>
      <c r="AI7501" s="500"/>
      <c r="AJ7501" s="500"/>
      <c r="AK7501" s="500"/>
      <c r="AL7501" s="500"/>
      <c r="AM7501" s="500"/>
      <c r="AN7501" s="500"/>
      <c r="AO7501" s="500"/>
      <c r="AP7501" s="500"/>
    </row>
    <row r="7502" spans="1:42" ht="16.5" customHeight="1">
      <c r="A7502" s="439"/>
      <c r="B7502" s="439"/>
      <c r="C7502" s="439"/>
      <c r="D7502" s="439"/>
      <c r="E7502" s="439"/>
      <c r="F7502" s="439"/>
      <c r="Z7502" s="500"/>
      <c r="AA7502" s="500"/>
      <c r="AB7502" s="500"/>
      <c r="AC7502" s="500"/>
      <c r="AD7502" s="500"/>
      <c r="AE7502" s="500"/>
      <c r="AF7502" s="500"/>
      <c r="AG7502" s="500"/>
      <c r="AH7502" s="500"/>
      <c r="AI7502" s="500"/>
      <c r="AJ7502" s="500"/>
      <c r="AK7502" s="500"/>
      <c r="AL7502" s="500"/>
      <c r="AM7502" s="500"/>
      <c r="AN7502" s="500"/>
      <c r="AO7502" s="500"/>
      <c r="AP7502" s="500"/>
    </row>
    <row r="7503" spans="1:42" ht="16.5" customHeight="1">
      <c r="A7503" s="497"/>
      <c r="B7503" s="497"/>
      <c r="C7503" s="497"/>
      <c r="D7503" s="497"/>
      <c r="E7503" s="497"/>
      <c r="F7503" s="497"/>
      <c r="Z7503" s="500"/>
      <c r="AA7503" s="500"/>
      <c r="AB7503" s="500"/>
      <c r="AC7503" s="500"/>
      <c r="AD7503" s="500"/>
      <c r="AE7503" s="500"/>
      <c r="AF7503" s="500"/>
      <c r="AG7503" s="500"/>
      <c r="AH7503" s="500"/>
      <c r="AI7503" s="500"/>
      <c r="AJ7503" s="500"/>
      <c r="AK7503" s="500"/>
      <c r="AL7503" s="500"/>
      <c r="AM7503" s="500"/>
      <c r="AN7503" s="500"/>
      <c r="AO7503" s="500"/>
      <c r="AP7503" s="500"/>
    </row>
    <row r="7504" spans="1:42" ht="16.5" customHeight="1">
      <c r="A7504" s="616" t="s">
        <v>3487</v>
      </c>
      <c r="B7504" s="605"/>
      <c r="C7504" s="446">
        <f>E7504+D7504+F7504</f>
        <v>921</v>
      </c>
      <c r="D7504" s="453">
        <f>ROUNDDOWN(SUMIF(N7457:N7495,M7504,D7457:D7495),0)</f>
        <v>789</v>
      </c>
      <c r="E7504" s="454">
        <f>ROUNDDOWN(SUMIF(N7457:N7495,M7504,E7457:E7495),0)</f>
        <v>22</v>
      </c>
      <c r="F7504" s="446">
        <f>ROUNDDOWN(SUMIF(N7457:N7495,M7504,F7457:F7495),0)</f>
        <v>110</v>
      </c>
      <c r="M7504" s="501" t="s">
        <v>2354</v>
      </c>
      <c r="Z7504" s="500"/>
      <c r="AA7504" s="500"/>
      <c r="AB7504" s="500"/>
      <c r="AC7504" s="500"/>
      <c r="AD7504" s="500"/>
      <c r="AE7504" s="500"/>
      <c r="AF7504" s="500"/>
      <c r="AG7504" s="500"/>
      <c r="AH7504" s="500"/>
      <c r="AI7504" s="500"/>
      <c r="AJ7504" s="500"/>
      <c r="AK7504" s="500"/>
      <c r="AL7504" s="500"/>
      <c r="AM7504" s="500"/>
      <c r="AN7504" s="500"/>
      <c r="AO7504" s="500"/>
      <c r="AP7504" s="500"/>
    </row>
    <row r="7505" spans="1:42" ht="16.5" customHeight="1">
      <c r="A7505" s="502" t="s">
        <v>3380</v>
      </c>
      <c r="B7505" s="503" t="s">
        <v>3379</v>
      </c>
      <c r="C7505" s="615">
        <f>C7604</f>
        <v>1386016</v>
      </c>
      <c r="D7505" s="615">
        <f>D7604</f>
        <v>1375031</v>
      </c>
      <c r="E7505" s="615">
        <f>E7604</f>
        <v>10985</v>
      </c>
      <c r="F7505" s="615">
        <f>F7604</f>
        <v>0</v>
      </c>
      <c r="G7505" s="486" t="str">
        <f>HYPERLINK("#G"&amp;ROW(G7566),"_x0005_`BDCOD|D00950_x0007_`POSS|"&amp;ROW(G7507)&amp;"_x0007_`POSE|"&amp;ROW(G7566)&amp;"_x0007_`")</f>
        <v>_x0005_`BDCOD|D00950_x0007_`POSS|7507_x0007_`POSE|7566_x0007_`</v>
      </c>
      <c r="Z7505" s="500"/>
      <c r="AA7505" s="500"/>
      <c r="AB7505" s="500"/>
      <c r="AC7505" s="500"/>
      <c r="AD7505" s="500"/>
      <c r="AE7505" s="500"/>
      <c r="AF7505" s="500"/>
      <c r="AG7505" s="500"/>
      <c r="AH7505" s="500"/>
      <c r="AI7505" s="500"/>
      <c r="AJ7505" s="500"/>
      <c r="AK7505" s="500"/>
      <c r="AL7505" s="500"/>
      <c r="AM7505" s="500"/>
      <c r="AN7505" s="500"/>
      <c r="AO7505" s="500"/>
      <c r="AP7505" s="500"/>
    </row>
    <row r="7506" spans="1:42" ht="16.5" customHeight="1">
      <c r="A7506" s="485"/>
      <c r="B7506" s="503" t="s">
        <v>4242</v>
      </c>
      <c r="C7506" s="593"/>
      <c r="D7506" s="593"/>
      <c r="E7506" s="593"/>
      <c r="F7506" s="593"/>
      <c r="M7506" s="501" t="s">
        <v>3379</v>
      </c>
      <c r="Z7506" s="500"/>
      <c r="AA7506" s="500"/>
      <c r="AB7506" s="500"/>
      <c r="AC7506" s="500"/>
      <c r="AD7506" s="500"/>
      <c r="AE7506" s="500"/>
      <c r="AF7506" s="500"/>
      <c r="AG7506" s="500"/>
      <c r="AH7506" s="500"/>
      <c r="AI7506" s="500"/>
      <c r="AJ7506" s="500"/>
      <c r="AK7506" s="500"/>
      <c r="AL7506" s="500"/>
      <c r="AM7506" s="500"/>
      <c r="AN7506" s="500"/>
      <c r="AO7506" s="500"/>
      <c r="AP7506" s="500"/>
    </row>
    <row r="7507" spans="1:42" ht="16.5" customHeight="1">
      <c r="A7507" s="439"/>
      <c r="B7507" s="439"/>
      <c r="C7507" s="504"/>
      <c r="D7507" s="504"/>
      <c r="E7507" s="504"/>
      <c r="F7507" s="504"/>
      <c r="G7507" s="451" t="s">
        <v>3406</v>
      </c>
      <c r="Z7507" s="500"/>
      <c r="AA7507" s="500"/>
      <c r="AB7507" s="500"/>
      <c r="AC7507" s="500"/>
      <c r="AD7507" s="500"/>
      <c r="AE7507" s="500"/>
      <c r="AF7507" s="500"/>
      <c r="AG7507" s="500"/>
      <c r="AH7507" s="500"/>
      <c r="AI7507" s="500"/>
      <c r="AJ7507" s="500"/>
      <c r="AK7507" s="500"/>
      <c r="AL7507" s="500"/>
      <c r="AM7507" s="500"/>
      <c r="AN7507" s="500"/>
      <c r="AO7507" s="500"/>
      <c r="AP7507" s="500"/>
    </row>
    <row r="7508" spans="1:42" ht="16.5" customHeight="1">
      <c r="A7508" s="439"/>
      <c r="B7508" s="439"/>
      <c r="C7508" s="439"/>
      <c r="D7508" s="439"/>
      <c r="E7508" s="439"/>
      <c r="F7508" s="439"/>
      <c r="G7508" s="451" t="s">
        <v>3406</v>
      </c>
      <c r="Z7508" s="500"/>
      <c r="AA7508" s="500"/>
      <c r="AB7508" s="500"/>
      <c r="AC7508" s="500"/>
      <c r="AD7508" s="500"/>
      <c r="AE7508" s="500"/>
      <c r="AF7508" s="500"/>
      <c r="AG7508" s="500"/>
      <c r="AH7508" s="500"/>
      <c r="AI7508" s="500"/>
      <c r="AJ7508" s="500"/>
      <c r="AK7508" s="500"/>
      <c r="AL7508" s="500"/>
      <c r="AM7508" s="500"/>
      <c r="AN7508" s="500"/>
      <c r="AO7508" s="500"/>
      <c r="AP7508" s="500"/>
    </row>
    <row r="7509" spans="1:42" ht="16.5" customHeight="1">
      <c r="A7509" s="439"/>
      <c r="B7509" s="439"/>
      <c r="C7509" s="439"/>
      <c r="D7509" s="439"/>
      <c r="E7509" s="439"/>
      <c r="F7509" s="439"/>
      <c r="G7509" s="451" t="s">
        <v>3406</v>
      </c>
      <c r="Z7509" s="500"/>
      <c r="AA7509" s="500"/>
      <c r="AB7509" s="500"/>
      <c r="AC7509" s="500"/>
      <c r="AD7509" s="500"/>
      <c r="AE7509" s="500"/>
      <c r="AF7509" s="500"/>
      <c r="AG7509" s="500"/>
      <c r="AH7509" s="500"/>
      <c r="AI7509" s="500"/>
      <c r="AJ7509" s="500"/>
      <c r="AK7509" s="500"/>
      <c r="AL7509" s="500"/>
      <c r="AM7509" s="500"/>
      <c r="AN7509" s="500"/>
      <c r="AO7509" s="500"/>
      <c r="AP7509" s="500"/>
    </row>
    <row r="7510" spans="1:42" ht="16.5" customHeight="1">
      <c r="A7510" s="439"/>
      <c r="B7510" s="439"/>
      <c r="C7510" s="439"/>
      <c r="D7510" s="439"/>
      <c r="E7510" s="439"/>
      <c r="F7510" s="439"/>
      <c r="G7510" s="451" t="s">
        <v>3406</v>
      </c>
      <c r="Z7510" s="500"/>
      <c r="AA7510" s="500"/>
      <c r="AB7510" s="500"/>
      <c r="AC7510" s="500"/>
      <c r="AD7510" s="500"/>
      <c r="AE7510" s="500"/>
      <c r="AF7510" s="500"/>
      <c r="AG7510" s="500"/>
      <c r="AH7510" s="500"/>
      <c r="AI7510" s="500"/>
      <c r="AJ7510" s="500"/>
      <c r="AK7510" s="500"/>
      <c r="AL7510" s="500"/>
      <c r="AM7510" s="500"/>
      <c r="AN7510" s="500"/>
      <c r="AO7510" s="500"/>
      <c r="AP7510" s="500"/>
    </row>
    <row r="7511" spans="1:42" ht="16.5" customHeight="1">
      <c r="A7511" s="439"/>
      <c r="B7511" s="439"/>
      <c r="C7511" s="439"/>
      <c r="D7511" s="439"/>
      <c r="E7511" s="439"/>
      <c r="F7511" s="439"/>
      <c r="G7511" s="451" t="s">
        <v>3406</v>
      </c>
      <c r="Z7511" s="500"/>
      <c r="AA7511" s="500"/>
      <c r="AB7511" s="500"/>
      <c r="AC7511" s="500"/>
      <c r="AD7511" s="500"/>
      <c r="AE7511" s="500"/>
      <c r="AF7511" s="500"/>
      <c r="AG7511" s="500"/>
      <c r="AH7511" s="500"/>
      <c r="AI7511" s="500"/>
      <c r="AJ7511" s="500"/>
      <c r="AK7511" s="500"/>
      <c r="AL7511" s="500"/>
      <c r="AM7511" s="500"/>
      <c r="AN7511" s="500"/>
      <c r="AO7511" s="500"/>
      <c r="AP7511" s="500"/>
    </row>
    <row r="7512" spans="1:42" ht="16.5" customHeight="1">
      <c r="A7512" s="434"/>
      <c r="B7512" s="437" t="s">
        <v>4243</v>
      </c>
      <c r="C7512" s="439"/>
      <c r="D7512" s="439"/>
      <c r="E7512" s="439"/>
      <c r="F7512" s="439"/>
      <c r="G7512" s="451" t="s">
        <v>4244</v>
      </c>
      <c r="Z7512" s="500"/>
      <c r="AA7512" s="500"/>
      <c r="AB7512" s="500"/>
      <c r="AC7512" s="500"/>
      <c r="AD7512" s="500"/>
      <c r="AE7512" s="500"/>
      <c r="AF7512" s="500"/>
      <c r="AG7512" s="500"/>
      <c r="AH7512" s="500"/>
      <c r="AI7512" s="500"/>
      <c r="AJ7512" s="500"/>
      <c r="AK7512" s="500"/>
      <c r="AL7512" s="500"/>
      <c r="AM7512" s="500"/>
      <c r="AN7512" s="500"/>
      <c r="AO7512" s="500"/>
      <c r="AP7512" s="500"/>
    </row>
    <row r="7513" spans="1:42" ht="16.5" customHeight="1">
      <c r="A7513" s="434"/>
      <c r="B7513" s="437" t="s">
        <v>4245</v>
      </c>
      <c r="C7513" s="439"/>
      <c r="D7513" s="439"/>
      <c r="E7513" s="439"/>
      <c r="F7513" s="439"/>
      <c r="G7513" s="451" t="s">
        <v>4246</v>
      </c>
      <c r="Z7513" s="500"/>
      <c r="AA7513" s="500"/>
      <c r="AB7513" s="500"/>
      <c r="AC7513" s="500"/>
      <c r="AD7513" s="500"/>
      <c r="AE7513" s="500"/>
      <c r="AF7513" s="500"/>
      <c r="AG7513" s="500"/>
      <c r="AH7513" s="500"/>
      <c r="AI7513" s="500"/>
      <c r="AJ7513" s="500"/>
      <c r="AK7513" s="500"/>
      <c r="AL7513" s="500"/>
      <c r="AM7513" s="500"/>
      <c r="AN7513" s="500"/>
      <c r="AO7513" s="500"/>
      <c r="AP7513" s="500"/>
    </row>
    <row r="7514" spans="1:42" ht="16.5" customHeight="1">
      <c r="A7514" s="439"/>
      <c r="B7514" s="439"/>
      <c r="C7514" s="439"/>
      <c r="D7514" s="439"/>
      <c r="E7514" s="439"/>
      <c r="F7514" s="439"/>
      <c r="G7514" s="451" t="s">
        <v>3406</v>
      </c>
      <c r="Z7514" s="500"/>
      <c r="AA7514" s="500"/>
      <c r="AB7514" s="500"/>
      <c r="AC7514" s="500"/>
      <c r="AD7514" s="500"/>
      <c r="AE7514" s="500"/>
      <c r="AF7514" s="500"/>
      <c r="AG7514" s="500"/>
      <c r="AH7514" s="500"/>
      <c r="AI7514" s="500"/>
      <c r="AJ7514" s="500"/>
      <c r="AK7514" s="500"/>
      <c r="AL7514" s="500"/>
      <c r="AM7514" s="500"/>
      <c r="AN7514" s="500"/>
      <c r="AO7514" s="500"/>
      <c r="AP7514" s="500"/>
    </row>
    <row r="7515" spans="1:42" ht="16.5" customHeight="1">
      <c r="A7515" s="434"/>
      <c r="B7515" s="437" t="s">
        <v>4247</v>
      </c>
      <c r="C7515" s="439"/>
      <c r="D7515" s="439"/>
      <c r="E7515" s="439"/>
      <c r="F7515" s="439"/>
      <c r="G7515" s="451" t="s">
        <v>4248</v>
      </c>
      <c r="Z7515" s="500"/>
      <c r="AA7515" s="500"/>
      <c r="AB7515" s="500"/>
      <c r="AC7515" s="500"/>
      <c r="AD7515" s="500"/>
      <c r="AE7515" s="500"/>
      <c r="AF7515" s="500"/>
      <c r="AG7515" s="500"/>
      <c r="AH7515" s="500"/>
      <c r="AI7515" s="500"/>
      <c r="AJ7515" s="500"/>
      <c r="AK7515" s="500"/>
      <c r="AL7515" s="500"/>
      <c r="AM7515" s="500"/>
      <c r="AN7515" s="500"/>
      <c r="AO7515" s="500"/>
      <c r="AP7515" s="500"/>
    </row>
    <row r="7516" spans="1:42" ht="16.5" customHeight="1">
      <c r="A7516" s="439"/>
      <c r="B7516" s="439"/>
      <c r="C7516" s="439"/>
      <c r="D7516" s="439"/>
      <c r="E7516" s="439"/>
      <c r="F7516" s="439"/>
      <c r="G7516" s="451" t="s">
        <v>3406</v>
      </c>
      <c r="Z7516" s="500"/>
      <c r="AA7516" s="500"/>
      <c r="AB7516" s="500"/>
      <c r="AC7516" s="500"/>
      <c r="AD7516" s="500"/>
      <c r="AE7516" s="500"/>
      <c r="AF7516" s="500"/>
      <c r="AG7516" s="500"/>
      <c r="AH7516" s="500"/>
      <c r="AI7516" s="500"/>
      <c r="AJ7516" s="500"/>
      <c r="AK7516" s="500"/>
      <c r="AL7516" s="500"/>
      <c r="AM7516" s="500"/>
      <c r="AN7516" s="500"/>
      <c r="AO7516" s="500"/>
      <c r="AP7516" s="500"/>
    </row>
    <row r="7517" spans="1:42" ht="16.5" customHeight="1">
      <c r="A7517" s="434"/>
      <c r="B7517" s="437" t="s">
        <v>4249</v>
      </c>
      <c r="C7517" s="439"/>
      <c r="D7517" s="439"/>
      <c r="E7517" s="439"/>
      <c r="F7517" s="439"/>
      <c r="G7517" s="451" t="s">
        <v>4250</v>
      </c>
      <c r="Z7517" s="500"/>
      <c r="AA7517" s="500"/>
      <c r="AB7517" s="500"/>
      <c r="AC7517" s="500"/>
      <c r="AD7517" s="500"/>
      <c r="AE7517" s="500"/>
      <c r="AF7517" s="500"/>
      <c r="AG7517" s="500"/>
      <c r="AH7517" s="500"/>
      <c r="AI7517" s="500"/>
      <c r="AJ7517" s="500"/>
      <c r="AK7517" s="500"/>
      <c r="AL7517" s="500"/>
      <c r="AM7517" s="500"/>
      <c r="AN7517" s="500"/>
      <c r="AO7517" s="500"/>
      <c r="AP7517" s="500"/>
    </row>
    <row r="7518" spans="1:42" ht="16.5" customHeight="1">
      <c r="A7518" s="439"/>
      <c r="B7518" s="439"/>
      <c r="C7518" s="439"/>
      <c r="D7518" s="439"/>
      <c r="E7518" s="439"/>
      <c r="F7518" s="439"/>
      <c r="G7518" s="451" t="s">
        <v>3406</v>
      </c>
      <c r="Z7518" s="500"/>
      <c r="AA7518" s="500"/>
      <c r="AB7518" s="500"/>
      <c r="AC7518" s="500"/>
      <c r="AD7518" s="500"/>
      <c r="AE7518" s="500"/>
      <c r="AF7518" s="500"/>
      <c r="AG7518" s="500"/>
      <c r="AH7518" s="500"/>
      <c r="AI7518" s="500"/>
      <c r="AJ7518" s="500"/>
      <c r="AK7518" s="500"/>
      <c r="AL7518" s="500"/>
      <c r="AM7518" s="500"/>
      <c r="AN7518" s="500"/>
      <c r="AO7518" s="500"/>
      <c r="AP7518" s="500"/>
    </row>
    <row r="7519" spans="1:42" ht="16.5" customHeight="1">
      <c r="A7519" s="439"/>
      <c r="B7519" s="439"/>
      <c r="C7519" s="439"/>
      <c r="D7519" s="439"/>
      <c r="E7519" s="439"/>
      <c r="F7519" s="439"/>
      <c r="G7519" s="451" t="s">
        <v>3406</v>
      </c>
      <c r="Z7519" s="500"/>
      <c r="AA7519" s="500"/>
      <c r="AB7519" s="500"/>
      <c r="AC7519" s="500"/>
      <c r="AD7519" s="500"/>
      <c r="AE7519" s="500"/>
      <c r="AF7519" s="500"/>
      <c r="AG7519" s="500"/>
      <c r="AH7519" s="500"/>
      <c r="AI7519" s="500"/>
      <c r="AJ7519" s="500"/>
      <c r="AK7519" s="500"/>
      <c r="AL7519" s="500"/>
      <c r="AM7519" s="500"/>
      <c r="AN7519" s="500"/>
      <c r="AO7519" s="500"/>
      <c r="AP7519" s="500"/>
    </row>
    <row r="7520" spans="1:42" ht="16.5" customHeight="1">
      <c r="A7520" s="434"/>
      <c r="B7520" s="437" t="s">
        <v>4251</v>
      </c>
      <c r="C7520" s="439"/>
      <c r="D7520" s="439"/>
      <c r="E7520" s="439"/>
      <c r="F7520" s="439"/>
      <c r="G7520" s="451" t="s">
        <v>4252</v>
      </c>
      <c r="Z7520" s="500"/>
      <c r="AA7520" s="500"/>
      <c r="AB7520" s="500"/>
      <c r="AC7520" s="500"/>
      <c r="AD7520" s="500"/>
      <c r="AE7520" s="500"/>
      <c r="AF7520" s="500"/>
      <c r="AG7520" s="500"/>
      <c r="AH7520" s="500"/>
      <c r="AI7520" s="500"/>
      <c r="AJ7520" s="500"/>
      <c r="AK7520" s="500"/>
      <c r="AL7520" s="500"/>
      <c r="AM7520" s="500"/>
      <c r="AN7520" s="500"/>
      <c r="AO7520" s="500"/>
      <c r="AP7520" s="500"/>
    </row>
    <row r="7521" spans="1:42" ht="16.5" customHeight="1">
      <c r="A7521" s="439"/>
      <c r="B7521" s="439"/>
      <c r="C7521" s="439"/>
      <c r="D7521" s="439"/>
      <c r="E7521" s="439"/>
      <c r="F7521" s="439"/>
      <c r="G7521" s="451" t="s">
        <v>3406</v>
      </c>
      <c r="Z7521" s="500"/>
      <c r="AA7521" s="500"/>
      <c r="AB7521" s="500"/>
      <c r="AC7521" s="500"/>
      <c r="AD7521" s="500"/>
      <c r="AE7521" s="500"/>
      <c r="AF7521" s="500"/>
      <c r="AG7521" s="500"/>
      <c r="AH7521" s="500"/>
      <c r="AI7521" s="500"/>
      <c r="AJ7521" s="500"/>
      <c r="AK7521" s="500"/>
      <c r="AL7521" s="500"/>
      <c r="AM7521" s="500"/>
      <c r="AN7521" s="500"/>
      <c r="AO7521" s="500"/>
      <c r="AP7521" s="500"/>
    </row>
    <row r="7522" spans="1:42" ht="16.5" customHeight="1">
      <c r="A7522" s="439"/>
      <c r="B7522" s="439"/>
      <c r="C7522" s="439"/>
      <c r="D7522" s="439"/>
      <c r="E7522" s="439"/>
      <c r="F7522" s="439"/>
      <c r="G7522" s="451" t="s">
        <v>3406</v>
      </c>
      <c r="Z7522" s="500"/>
      <c r="AA7522" s="500"/>
      <c r="AB7522" s="500"/>
      <c r="AC7522" s="500"/>
      <c r="AD7522" s="500"/>
      <c r="AE7522" s="500"/>
      <c r="AF7522" s="500"/>
      <c r="AG7522" s="500"/>
      <c r="AH7522" s="500"/>
      <c r="AI7522" s="500"/>
      <c r="AJ7522" s="500"/>
      <c r="AK7522" s="500"/>
      <c r="AL7522" s="500"/>
      <c r="AM7522" s="500"/>
      <c r="AN7522" s="500"/>
      <c r="AO7522" s="500"/>
      <c r="AP7522" s="500"/>
    </row>
    <row r="7523" spans="1:42" ht="16.5" customHeight="1">
      <c r="A7523" s="434" t="s">
        <v>4253</v>
      </c>
      <c r="B7523" s="505" t="str">
        <f>"   "&amp;Z7523&amp;" kg  *  (결속선) : "&amp;TEXT(I7523,"#,##0"&amp;IF(I7523&lt;&gt;INT(I7523),".###",""))&amp;" = "&amp;TEXT(C7523,"#,##0.0")&amp;""</f>
        <v xml:space="preserve">   6.5 kg  *  (결속선) : 1,690 = 10,985.0</v>
      </c>
      <c r="C7523" s="506">
        <f>E7523+D7523+F7523</f>
        <v>10985</v>
      </c>
      <c r="D7523" s="506">
        <f>IF(H7523=0,0,ROUNDDOWN(J7523*H7523,1))</f>
        <v>0</v>
      </c>
      <c r="E7523" s="506">
        <f>IF(H7523=0,0,ROUNDDOWN(K7523*H7523,1))</f>
        <v>10985</v>
      </c>
      <c r="F7523" s="506">
        <f>IF(H7523=0,0,ROUNDDOWN(L7523*H7523,1))</f>
        <v>0</v>
      </c>
      <c r="G7523" s="451" t="s">
        <v>4254</v>
      </c>
      <c r="H7523" s="507">
        <f>ROUNDUP(AC7523,14-LEN(ABS(INT(AC7523))))</f>
        <v>6.5</v>
      </c>
      <c r="I7523" s="508">
        <f>K7523+J7523+L7523</f>
        <v>1690</v>
      </c>
      <c r="K7523" s="509">
        <f>재료비목록표!E40</f>
        <v>1690</v>
      </c>
      <c r="M7523" s="501" t="s">
        <v>4255</v>
      </c>
      <c r="N7523" s="501" t="s">
        <v>3416</v>
      </c>
      <c r="X7523" s="510" t="str">
        <f>재료비목록표!B40&amp;" / "&amp;재료비목록표!C40</f>
        <v>보통철선(결속선) / #20 , 0.9mm</v>
      </c>
      <c r="Y7523" s="433" t="str">
        <f ca="1">HYPERLINK("#"&amp;재료비목록표!G2&amp;"!A"&amp;ROW(재료비목록표!A40),"M00875 →")</f>
        <v>M00875 →</v>
      </c>
      <c r="Z7523" s="511">
        <v>6.5</v>
      </c>
      <c r="AA7523" s="501" t="s">
        <v>3753</v>
      </c>
      <c r="AB7523" s="501" t="s">
        <v>3418</v>
      </c>
      <c r="AC7523" s="512">
        <f>Z7523*1</f>
        <v>6.5</v>
      </c>
      <c r="AD7523" s="500"/>
      <c r="AE7523" s="500"/>
      <c r="AF7523" s="500"/>
      <c r="AG7523" s="500"/>
      <c r="AH7523" s="500"/>
      <c r="AI7523" s="500"/>
      <c r="AJ7523" s="500"/>
      <c r="AK7523" s="500"/>
      <c r="AL7523" s="500"/>
      <c r="AM7523" s="500"/>
      <c r="AN7523" s="500"/>
      <c r="AO7523" s="500"/>
      <c r="AP7523" s="500"/>
    </row>
    <row r="7524" spans="1:42" ht="16.5" customHeight="1">
      <c r="A7524" s="439"/>
      <c r="B7524" s="439"/>
      <c r="C7524" s="439"/>
      <c r="D7524" s="439"/>
      <c r="E7524" s="439"/>
      <c r="F7524" s="439"/>
      <c r="G7524" s="451" t="s">
        <v>3406</v>
      </c>
      <c r="Z7524" s="500"/>
      <c r="AA7524" s="500"/>
      <c r="AB7524" s="500"/>
      <c r="AC7524" s="500"/>
      <c r="AD7524" s="500"/>
      <c r="AE7524" s="500"/>
      <c r="AF7524" s="500"/>
      <c r="AG7524" s="500"/>
      <c r="AH7524" s="500"/>
      <c r="AI7524" s="500"/>
      <c r="AJ7524" s="500"/>
      <c r="AK7524" s="500"/>
      <c r="AL7524" s="500"/>
      <c r="AM7524" s="500"/>
      <c r="AN7524" s="500"/>
      <c r="AO7524" s="500"/>
      <c r="AP7524" s="500"/>
    </row>
    <row r="7525" spans="1:42" ht="16.5" customHeight="1">
      <c r="A7525" s="434"/>
      <c r="B7525" s="437" t="s">
        <v>3419</v>
      </c>
      <c r="C7525" s="513">
        <f>E7525+D7525+F7525</f>
        <v>10985</v>
      </c>
      <c r="D7525" s="513">
        <f>SUMIF(N7507:N7524,M7525,D7507:D7524)</f>
        <v>0</v>
      </c>
      <c r="E7525" s="513">
        <f>SUMIF(N7507:N7524,M7525,E7507:E7524)</f>
        <v>10985</v>
      </c>
      <c r="F7525" s="513">
        <f>SUMIF(N7507:N7524,M7525,F7507:F7524)</f>
        <v>0</v>
      </c>
      <c r="G7525" s="451" t="s">
        <v>3420</v>
      </c>
      <c r="M7525" s="501" t="s">
        <v>3416</v>
      </c>
      <c r="N7525" s="501" t="s">
        <v>3421</v>
      </c>
      <c r="Z7525" s="500"/>
      <c r="AA7525" s="500"/>
      <c r="AB7525" s="500"/>
      <c r="AC7525" s="500"/>
      <c r="AD7525" s="500"/>
      <c r="AE7525" s="500"/>
      <c r="AF7525" s="500"/>
      <c r="AG7525" s="500"/>
      <c r="AH7525" s="500"/>
      <c r="AI7525" s="500"/>
      <c r="AJ7525" s="500"/>
      <c r="AK7525" s="500"/>
      <c r="AL7525" s="500"/>
      <c r="AM7525" s="500"/>
      <c r="AN7525" s="500"/>
      <c r="AO7525" s="500"/>
      <c r="AP7525" s="500"/>
    </row>
    <row r="7526" spans="1:42" ht="16.5" customHeight="1">
      <c r="A7526" s="439"/>
      <c r="B7526" s="439"/>
      <c r="C7526" s="504"/>
      <c r="D7526" s="504"/>
      <c r="E7526" s="504"/>
      <c r="F7526" s="504"/>
      <c r="G7526" s="451" t="s">
        <v>3406</v>
      </c>
      <c r="Z7526" s="500"/>
      <c r="AA7526" s="500"/>
      <c r="AB7526" s="500"/>
      <c r="AC7526" s="500"/>
      <c r="AD7526" s="500"/>
      <c r="AE7526" s="500"/>
      <c r="AF7526" s="500"/>
      <c r="AG7526" s="500"/>
      <c r="AH7526" s="500"/>
      <c r="AI7526" s="500"/>
      <c r="AJ7526" s="500"/>
      <c r="AK7526" s="500"/>
      <c r="AL7526" s="500"/>
      <c r="AM7526" s="500"/>
      <c r="AN7526" s="500"/>
      <c r="AO7526" s="500"/>
      <c r="AP7526" s="500"/>
    </row>
    <row r="7527" spans="1:42" ht="16.5" customHeight="1">
      <c r="A7527" s="439"/>
      <c r="B7527" s="439"/>
      <c r="C7527" s="439"/>
      <c r="D7527" s="439"/>
      <c r="E7527" s="439"/>
      <c r="F7527" s="439"/>
      <c r="G7527" s="451" t="s">
        <v>3406</v>
      </c>
      <c r="Z7527" s="500"/>
      <c r="AA7527" s="500"/>
      <c r="AB7527" s="500"/>
      <c r="AC7527" s="500"/>
      <c r="AD7527" s="500"/>
      <c r="AE7527" s="500"/>
      <c r="AF7527" s="500"/>
      <c r="AG7527" s="500"/>
      <c r="AH7527" s="500"/>
      <c r="AI7527" s="500"/>
      <c r="AJ7527" s="500"/>
      <c r="AK7527" s="500"/>
      <c r="AL7527" s="500"/>
      <c r="AM7527" s="500"/>
      <c r="AN7527" s="500"/>
      <c r="AO7527" s="500"/>
      <c r="AP7527" s="500"/>
    </row>
    <row r="7528" spans="1:42" ht="16.5" customHeight="1">
      <c r="A7528" s="434"/>
      <c r="B7528" s="437" t="s">
        <v>4256</v>
      </c>
      <c r="C7528" s="439"/>
      <c r="D7528" s="439"/>
      <c r="E7528" s="439"/>
      <c r="F7528" s="439"/>
      <c r="G7528" s="451" t="s">
        <v>4257</v>
      </c>
      <c r="Z7528" s="500"/>
      <c r="AA7528" s="500"/>
      <c r="AB7528" s="500"/>
      <c r="AC7528" s="500"/>
      <c r="AD7528" s="500"/>
      <c r="AE7528" s="500"/>
      <c r="AF7528" s="500"/>
      <c r="AG7528" s="500"/>
      <c r="AH7528" s="500"/>
      <c r="AI7528" s="500"/>
      <c r="AJ7528" s="500"/>
      <c r="AK7528" s="500"/>
      <c r="AL7528" s="500"/>
      <c r="AM7528" s="500"/>
      <c r="AN7528" s="500"/>
      <c r="AO7528" s="500"/>
      <c r="AP7528" s="500"/>
    </row>
    <row r="7529" spans="1:42" ht="16.5" customHeight="1">
      <c r="A7529" s="439"/>
      <c r="B7529" s="439"/>
      <c r="C7529" s="439"/>
      <c r="D7529" s="439"/>
      <c r="E7529" s="439"/>
      <c r="F7529" s="439"/>
      <c r="G7529" s="451" t="s">
        <v>3406</v>
      </c>
      <c r="Z7529" s="500"/>
      <c r="AA7529" s="500"/>
      <c r="AB7529" s="500"/>
      <c r="AC7529" s="500"/>
      <c r="AD7529" s="500"/>
      <c r="AE7529" s="500"/>
      <c r="AF7529" s="500"/>
      <c r="AG7529" s="500"/>
      <c r="AH7529" s="500"/>
      <c r="AI7529" s="500"/>
      <c r="AJ7529" s="500"/>
      <c r="AK7529" s="500"/>
      <c r="AL7529" s="500"/>
      <c r="AM7529" s="500"/>
      <c r="AN7529" s="500"/>
      <c r="AO7529" s="500"/>
      <c r="AP7529" s="500"/>
    </row>
    <row r="7530" spans="1:42" ht="16.5" customHeight="1">
      <c r="A7530" s="434"/>
      <c r="B7530" s="437" t="s">
        <v>4258</v>
      </c>
      <c r="C7530" s="439"/>
      <c r="D7530" s="439"/>
      <c r="E7530" s="439"/>
      <c r="F7530" s="439"/>
      <c r="G7530" s="451" t="s">
        <v>4259</v>
      </c>
      <c r="Z7530" s="500"/>
      <c r="AA7530" s="500"/>
      <c r="AB7530" s="500"/>
      <c r="AC7530" s="500"/>
      <c r="AD7530" s="500"/>
      <c r="AE7530" s="500"/>
      <c r="AF7530" s="500"/>
      <c r="AG7530" s="500"/>
      <c r="AH7530" s="500"/>
      <c r="AI7530" s="500"/>
      <c r="AJ7530" s="500"/>
      <c r="AK7530" s="500"/>
      <c r="AL7530" s="500"/>
      <c r="AM7530" s="500"/>
      <c r="AN7530" s="500"/>
      <c r="AO7530" s="500"/>
      <c r="AP7530" s="500"/>
    </row>
    <row r="7531" spans="1:42" ht="16.5" customHeight="1">
      <c r="A7531" s="439"/>
      <c r="B7531" s="439"/>
      <c r="C7531" s="439"/>
      <c r="D7531" s="439"/>
      <c r="E7531" s="439"/>
      <c r="F7531" s="439"/>
      <c r="G7531" s="451" t="s">
        <v>3783</v>
      </c>
      <c r="Z7531" s="500"/>
      <c r="AA7531" s="500"/>
      <c r="AB7531" s="500"/>
      <c r="AC7531" s="500"/>
      <c r="AD7531" s="500"/>
      <c r="AE7531" s="500"/>
      <c r="AF7531" s="500"/>
      <c r="AG7531" s="500"/>
      <c r="AH7531" s="500"/>
      <c r="AI7531" s="500"/>
      <c r="AJ7531" s="500"/>
      <c r="AK7531" s="500"/>
      <c r="AL7531" s="500"/>
      <c r="AM7531" s="500"/>
      <c r="AN7531" s="500"/>
      <c r="AO7531" s="500"/>
      <c r="AP7531" s="500"/>
    </row>
    <row r="7532" spans="1:42" ht="16.5" customHeight="1">
      <c r="A7532" s="434" t="s">
        <v>4260</v>
      </c>
      <c r="B7532" s="505" t="str">
        <f>"   "&amp;Z7532&amp;" 인  / "&amp;AB7532&amp;" ton  *  철근공 : "&amp;TEXT(I7532,"#,##0"&amp;IF(I7532&lt;&gt;INT(I7532),".###",""))&amp;" = "&amp;TEXT(C7532,"#,##0.0")&amp;""</f>
        <v xml:space="preserve">   3 인  / 4.5 ton  *  철근공 : 268,187 = 178,791.3</v>
      </c>
      <c r="C7532" s="506">
        <f>E7532+D7532+F7532</f>
        <v>178791.3</v>
      </c>
      <c r="D7532" s="506">
        <f>IF(H7532=0,0,ROUNDDOWN(J7532*H7532,1))</f>
        <v>178791.3</v>
      </c>
      <c r="E7532" s="506">
        <f>IF(H7532=0,0,ROUNDDOWN(K7532*H7532,1))</f>
        <v>0</v>
      </c>
      <c r="F7532" s="506">
        <f>IF(H7532=0,0,ROUNDDOWN(L7532*H7532,1))</f>
        <v>0</v>
      </c>
      <c r="G7532" s="451" t="s">
        <v>4261</v>
      </c>
      <c r="H7532" s="507">
        <f>ROUNDUP(AE7532,14-LEN(ABS(INT(AE7532))))</f>
        <v>0.66666666666670005</v>
      </c>
      <c r="I7532" s="508">
        <f>K7532+J7532+L7532</f>
        <v>268187</v>
      </c>
      <c r="J7532" s="509">
        <f>노무비목록표!E19</f>
        <v>268187</v>
      </c>
      <c r="M7532" s="501" t="s">
        <v>4262</v>
      </c>
      <c r="N7532" s="501" t="s">
        <v>3416</v>
      </c>
      <c r="X7532" s="510" t="str">
        <f>노무비목록표!B19&amp;" / "&amp;노무비목록표!C19</f>
        <v xml:space="preserve">철근공 / </v>
      </c>
      <c r="Y7532" s="433" t="str">
        <f ca="1">HYPERLINK("#"&amp;노무비목록표!G2&amp;"!A"&amp;ROW(노무비목록표!A19),"L00001 →")</f>
        <v>L00001 →</v>
      </c>
      <c r="Z7532" s="515">
        <v>3</v>
      </c>
      <c r="AA7532" s="501" t="s">
        <v>3428</v>
      </c>
      <c r="AB7532" s="511">
        <v>4.5</v>
      </c>
      <c r="AC7532" s="501" t="s">
        <v>3753</v>
      </c>
      <c r="AD7532" s="501" t="s">
        <v>3418</v>
      </c>
      <c r="AE7532" s="512">
        <f>Z7532/AB7532*1</f>
        <v>0.66666666666666663</v>
      </c>
      <c r="AF7532" s="500"/>
      <c r="AG7532" s="500"/>
      <c r="AH7532" s="500"/>
      <c r="AI7532" s="500"/>
      <c r="AJ7532" s="500"/>
      <c r="AK7532" s="500"/>
      <c r="AL7532" s="500"/>
      <c r="AM7532" s="500"/>
      <c r="AN7532" s="500"/>
      <c r="AO7532" s="500"/>
      <c r="AP7532" s="500"/>
    </row>
    <row r="7533" spans="1:42" ht="16.5" customHeight="1">
      <c r="A7533" s="439"/>
      <c r="B7533" s="439"/>
      <c r="C7533" s="439"/>
      <c r="D7533" s="439"/>
      <c r="E7533" s="439"/>
      <c r="F7533" s="439"/>
      <c r="G7533" s="451" t="s">
        <v>3406</v>
      </c>
      <c r="Z7533" s="500"/>
      <c r="AA7533" s="500"/>
      <c r="AB7533" s="500"/>
      <c r="AC7533" s="500"/>
      <c r="AD7533" s="500"/>
      <c r="AE7533" s="500"/>
      <c r="AF7533" s="500"/>
      <c r="AG7533" s="500"/>
      <c r="AH7533" s="500"/>
      <c r="AI7533" s="500"/>
      <c r="AJ7533" s="500"/>
      <c r="AK7533" s="500"/>
      <c r="AL7533" s="500"/>
      <c r="AM7533" s="500"/>
      <c r="AN7533" s="500"/>
      <c r="AO7533" s="500"/>
      <c r="AP7533" s="500"/>
    </row>
    <row r="7534" spans="1:42" ht="16.5" customHeight="1">
      <c r="A7534" s="439"/>
      <c r="B7534" s="439"/>
      <c r="C7534" s="439"/>
      <c r="D7534" s="439"/>
      <c r="E7534" s="439"/>
      <c r="F7534" s="439"/>
      <c r="G7534" s="451" t="s">
        <v>3406</v>
      </c>
      <c r="Z7534" s="500"/>
      <c r="AA7534" s="500"/>
      <c r="AB7534" s="500"/>
      <c r="AC7534" s="500"/>
      <c r="AD7534" s="500"/>
      <c r="AE7534" s="500"/>
      <c r="AF7534" s="500"/>
      <c r="AG7534" s="500"/>
      <c r="AH7534" s="500"/>
      <c r="AI7534" s="500"/>
      <c r="AJ7534" s="500"/>
      <c r="AK7534" s="500"/>
      <c r="AL7534" s="500"/>
      <c r="AM7534" s="500"/>
      <c r="AN7534" s="500"/>
      <c r="AO7534" s="500"/>
      <c r="AP7534" s="500"/>
    </row>
    <row r="7535" spans="1:42" ht="16.5" customHeight="1">
      <c r="A7535" s="434"/>
      <c r="B7535" s="437" t="s">
        <v>4263</v>
      </c>
      <c r="C7535" s="439"/>
      <c r="D7535" s="439"/>
      <c r="E7535" s="439"/>
      <c r="F7535" s="439"/>
      <c r="G7535" s="451" t="s">
        <v>4264</v>
      </c>
      <c r="Z7535" s="500"/>
      <c r="AA7535" s="500"/>
      <c r="AB7535" s="500"/>
      <c r="AC7535" s="500"/>
      <c r="AD7535" s="500"/>
      <c r="AE7535" s="500"/>
      <c r="AF7535" s="500"/>
      <c r="AG7535" s="500"/>
      <c r="AH7535" s="500"/>
      <c r="AI7535" s="500"/>
      <c r="AJ7535" s="500"/>
      <c r="AK7535" s="500"/>
      <c r="AL7535" s="500"/>
      <c r="AM7535" s="500"/>
      <c r="AN7535" s="500"/>
      <c r="AO7535" s="500"/>
      <c r="AP7535" s="500"/>
    </row>
    <row r="7536" spans="1:42" ht="16.5" customHeight="1">
      <c r="A7536" s="439"/>
      <c r="B7536" s="439"/>
      <c r="C7536" s="439"/>
      <c r="D7536" s="439"/>
      <c r="E7536" s="439"/>
      <c r="F7536" s="439"/>
      <c r="G7536" s="451" t="s">
        <v>3406</v>
      </c>
      <c r="Z7536" s="500"/>
      <c r="AA7536" s="500"/>
      <c r="AB7536" s="500"/>
      <c r="AC7536" s="500"/>
      <c r="AD7536" s="500"/>
      <c r="AE7536" s="500"/>
      <c r="AF7536" s="500"/>
      <c r="AG7536" s="500"/>
      <c r="AH7536" s="500"/>
      <c r="AI7536" s="500"/>
      <c r="AJ7536" s="500"/>
      <c r="AK7536" s="500"/>
      <c r="AL7536" s="500"/>
      <c r="AM7536" s="500"/>
      <c r="AN7536" s="500"/>
      <c r="AO7536" s="500"/>
      <c r="AP7536" s="500"/>
    </row>
    <row r="7537" spans="1:42" ht="16.5" customHeight="1">
      <c r="A7537" s="434" t="s">
        <v>3414</v>
      </c>
      <c r="B7537" s="505" t="str">
        <f>"   "&amp;Z7537&amp;" 인  / "&amp;AB7537&amp;" ton  *  보통인부 : "&amp;TEXT(I7537,"#,##0"&amp;IF(I7537&lt;&gt;INT(I7537),".###",""))&amp;" = "&amp;TEXT(C7537,"#,##0.0")&amp;""</f>
        <v xml:space="preserve">   1 인  / 4.5 ton  *  보통인부 : 172,068 = 38,237.3</v>
      </c>
      <c r="C7537" s="506">
        <f>E7537+D7537+F7537</f>
        <v>38237.300000000003</v>
      </c>
      <c r="D7537" s="506">
        <f>IF(H7537=0,0,ROUNDDOWN(J7537*H7537,1))</f>
        <v>38237.300000000003</v>
      </c>
      <c r="E7537" s="506">
        <f>IF(H7537=0,0,ROUNDDOWN(K7537*H7537,1))</f>
        <v>0</v>
      </c>
      <c r="F7537" s="506">
        <f>IF(H7537=0,0,ROUNDDOWN(L7537*H7537,1))</f>
        <v>0</v>
      </c>
      <c r="G7537" s="451" t="s">
        <v>4265</v>
      </c>
      <c r="H7537" s="507">
        <f>ROUNDUP(AE7537,14-LEN(ABS(INT(AE7537))))</f>
        <v>0.22222222222230001</v>
      </c>
      <c r="I7537" s="508">
        <f>K7537+J7537+L7537</f>
        <v>172068</v>
      </c>
      <c r="J7537" s="509">
        <f>노무비목록표!E10</f>
        <v>172068</v>
      </c>
      <c r="M7537" s="501" t="s">
        <v>2363</v>
      </c>
      <c r="N7537" s="501" t="s">
        <v>3416</v>
      </c>
      <c r="X7537" s="510" t="str">
        <f>노무비목록표!B10&amp;" / "&amp;노무비목록표!C10</f>
        <v xml:space="preserve">보통인부 / </v>
      </c>
      <c r="Y7537" s="433" t="str">
        <f ca="1">HYPERLINK("#"&amp;노무비목록표!G2&amp;"!A"&amp;ROW(노무비목록표!A10),"L00017 →")</f>
        <v>L00017 →</v>
      </c>
      <c r="Z7537" s="515">
        <v>1</v>
      </c>
      <c r="AA7537" s="501" t="s">
        <v>3428</v>
      </c>
      <c r="AB7537" s="511">
        <v>4.5</v>
      </c>
      <c r="AC7537" s="501" t="s">
        <v>3753</v>
      </c>
      <c r="AD7537" s="501" t="s">
        <v>3418</v>
      </c>
      <c r="AE7537" s="512">
        <f>Z7537/AB7537*1</f>
        <v>0.22222222222222221</v>
      </c>
      <c r="AF7537" s="500"/>
      <c r="AG7537" s="500"/>
      <c r="AH7537" s="500"/>
      <c r="AI7537" s="500"/>
      <c r="AJ7537" s="500"/>
      <c r="AK7537" s="500"/>
      <c r="AL7537" s="500"/>
      <c r="AM7537" s="500"/>
      <c r="AN7537" s="500"/>
      <c r="AO7537" s="500"/>
      <c r="AP7537" s="500"/>
    </row>
    <row r="7538" spans="1:42" ht="16.5" customHeight="1">
      <c r="A7538" s="439"/>
      <c r="B7538" s="439"/>
      <c r="C7538" s="439"/>
      <c r="D7538" s="439"/>
      <c r="E7538" s="439"/>
      <c r="F7538" s="439"/>
      <c r="G7538" s="451" t="s">
        <v>3783</v>
      </c>
      <c r="Z7538" s="500"/>
      <c r="AA7538" s="500"/>
      <c r="AB7538" s="500"/>
      <c r="AC7538" s="500"/>
      <c r="AD7538" s="500"/>
      <c r="AE7538" s="500"/>
      <c r="AF7538" s="500"/>
      <c r="AG7538" s="500"/>
      <c r="AH7538" s="500"/>
      <c r="AI7538" s="500"/>
      <c r="AJ7538" s="500"/>
      <c r="AK7538" s="500"/>
      <c r="AL7538" s="500"/>
      <c r="AM7538" s="500"/>
      <c r="AN7538" s="500"/>
      <c r="AO7538" s="500"/>
      <c r="AP7538" s="500"/>
    </row>
    <row r="7539" spans="1:42" ht="16.5" customHeight="1">
      <c r="A7539" s="439"/>
      <c r="B7539" s="439"/>
      <c r="C7539" s="439"/>
      <c r="D7539" s="439"/>
      <c r="E7539" s="439"/>
      <c r="F7539" s="439"/>
      <c r="G7539" s="451" t="s">
        <v>3406</v>
      </c>
      <c r="Z7539" s="500"/>
      <c r="AA7539" s="500"/>
      <c r="AB7539" s="500"/>
      <c r="AC7539" s="500"/>
      <c r="AD7539" s="500"/>
      <c r="AE7539" s="500"/>
      <c r="AF7539" s="500"/>
      <c r="AG7539" s="500"/>
      <c r="AH7539" s="500"/>
      <c r="AI7539" s="500"/>
      <c r="AJ7539" s="500"/>
      <c r="AK7539" s="500"/>
      <c r="AL7539" s="500"/>
      <c r="AM7539" s="500"/>
      <c r="AN7539" s="500"/>
      <c r="AO7539" s="500"/>
      <c r="AP7539" s="500"/>
    </row>
    <row r="7540" spans="1:42" ht="16.5" customHeight="1">
      <c r="A7540" s="434"/>
      <c r="B7540" s="437" t="s">
        <v>4266</v>
      </c>
      <c r="C7540" s="439"/>
      <c r="D7540" s="439"/>
      <c r="E7540" s="439"/>
      <c r="F7540" s="439"/>
      <c r="G7540" s="451" t="s">
        <v>4267</v>
      </c>
      <c r="Z7540" s="500"/>
      <c r="AA7540" s="500"/>
      <c r="AB7540" s="500"/>
      <c r="AC7540" s="500"/>
      <c r="AD7540" s="500"/>
      <c r="AE7540" s="500"/>
      <c r="AF7540" s="500"/>
      <c r="AG7540" s="500"/>
      <c r="AH7540" s="500"/>
      <c r="AI7540" s="500"/>
      <c r="AJ7540" s="500"/>
      <c r="AK7540" s="500"/>
      <c r="AL7540" s="500"/>
      <c r="AM7540" s="500"/>
      <c r="AN7540" s="500"/>
      <c r="AO7540" s="500"/>
      <c r="AP7540" s="500"/>
    </row>
    <row r="7541" spans="1:42" ht="16.5" customHeight="1">
      <c r="A7541" s="439"/>
      <c r="B7541" s="439"/>
      <c r="C7541" s="439"/>
      <c r="D7541" s="439"/>
      <c r="E7541" s="439"/>
      <c r="F7541" s="439"/>
      <c r="G7541" s="451" t="s">
        <v>3783</v>
      </c>
      <c r="Z7541" s="500"/>
      <c r="AA7541" s="500"/>
      <c r="AB7541" s="500"/>
      <c r="AC7541" s="500"/>
      <c r="AD7541" s="500"/>
      <c r="AE7541" s="500"/>
      <c r="AF7541" s="500"/>
      <c r="AG7541" s="500"/>
      <c r="AH7541" s="500"/>
      <c r="AI7541" s="500"/>
      <c r="AJ7541" s="500"/>
      <c r="AK7541" s="500"/>
      <c r="AL7541" s="500"/>
      <c r="AM7541" s="500"/>
      <c r="AN7541" s="500"/>
      <c r="AO7541" s="500"/>
      <c r="AP7541" s="500"/>
    </row>
    <row r="7542" spans="1:42" ht="16.5" customHeight="1">
      <c r="A7542" s="434" t="s">
        <v>4216</v>
      </c>
      <c r="B7542" s="505" t="str">
        <f>"   기구손료 : "&amp;TEXT(I7542,"#,##0"&amp;IF(I7542&lt;&gt;INT(I7542),".###",""))&amp;" * "&amp;AA7542&amp;" (%)  = "&amp;TEXT(C7542,"#,##0.0")&amp;""</f>
        <v xml:space="preserve">   기구손료 : 217,028.6 * 9 (%)  = 19,532.5</v>
      </c>
      <c r="C7542" s="506">
        <f>E7542+D7542+F7542</f>
        <v>19532.5</v>
      </c>
      <c r="D7542" s="506">
        <f>IF(H7542=0,0,ROUNDDOWN(J7542*H7542/100,1))</f>
        <v>19532.5</v>
      </c>
      <c r="E7542" s="506">
        <f>IF(H7542=0,0,ROUNDDOWN(K7542*H7542/100,1))</f>
        <v>0</v>
      </c>
      <c r="F7542" s="506">
        <f>IF(H7542=0,0,ROUNDDOWN(L7542*H7542/100,1))</f>
        <v>0</v>
      </c>
      <c r="G7542" s="451" t="s">
        <v>4268</v>
      </c>
      <c r="H7542" s="507">
        <f>ROUNDUP(AC7542,14-LEN(ABS(INT(AC7542))))</f>
        <v>9</v>
      </c>
      <c r="I7542" s="508">
        <f>K7542+J7542+L7542</f>
        <v>217028.6</v>
      </c>
      <c r="J7542" s="518">
        <v>217028.6</v>
      </c>
      <c r="K7542" s="456">
        <v>0</v>
      </c>
      <c r="L7542" s="456">
        <v>0</v>
      </c>
      <c r="M7542" s="501" t="s">
        <v>4218</v>
      </c>
      <c r="N7542" s="501" t="s">
        <v>3416</v>
      </c>
      <c r="Z7542" s="501" t="s">
        <v>3500</v>
      </c>
      <c r="AA7542" s="515">
        <v>9</v>
      </c>
      <c r="AB7542" s="501" t="s">
        <v>3418</v>
      </c>
      <c r="AC7542" s="512">
        <f>1*AA7542</f>
        <v>9</v>
      </c>
      <c r="AD7542" s="500"/>
      <c r="AE7542" s="500"/>
      <c r="AF7542" s="500"/>
      <c r="AG7542" s="500"/>
      <c r="AH7542" s="500"/>
      <c r="AI7542" s="500"/>
      <c r="AJ7542" s="500"/>
      <c r="AK7542" s="500"/>
      <c r="AL7542" s="500"/>
      <c r="AM7542" s="500"/>
      <c r="AN7542" s="500"/>
      <c r="AO7542" s="500"/>
      <c r="AP7542" s="500"/>
    </row>
    <row r="7543" spans="1:42" ht="16.5" customHeight="1">
      <c r="A7543" s="439"/>
      <c r="B7543" s="439"/>
      <c r="C7543" s="439"/>
      <c r="D7543" s="439"/>
      <c r="E7543" s="439"/>
      <c r="F7543" s="439"/>
      <c r="G7543" s="451" t="s">
        <v>3406</v>
      </c>
      <c r="Z7543" s="500"/>
      <c r="AA7543" s="500"/>
      <c r="AB7543" s="500"/>
      <c r="AC7543" s="500"/>
      <c r="AD7543" s="500"/>
      <c r="AE7543" s="500"/>
      <c r="AF7543" s="500"/>
      <c r="AG7543" s="500"/>
      <c r="AH7543" s="500"/>
      <c r="AI7543" s="500"/>
      <c r="AJ7543" s="500"/>
      <c r="AK7543" s="500"/>
      <c r="AL7543" s="500"/>
      <c r="AM7543" s="500"/>
      <c r="AN7543" s="500"/>
      <c r="AO7543" s="500"/>
      <c r="AP7543" s="500"/>
    </row>
    <row r="7544" spans="1:42" ht="16.5" customHeight="1">
      <c r="A7544" s="439"/>
      <c r="B7544" s="439"/>
      <c r="C7544" s="439"/>
      <c r="D7544" s="439"/>
      <c r="E7544" s="439"/>
      <c r="F7544" s="439"/>
      <c r="G7544" s="451" t="s">
        <v>3406</v>
      </c>
      <c r="Z7544" s="500"/>
      <c r="AA7544" s="500"/>
      <c r="AB7544" s="500"/>
      <c r="AC7544" s="500"/>
      <c r="AD7544" s="500"/>
      <c r="AE7544" s="500"/>
      <c r="AF7544" s="500"/>
      <c r="AG7544" s="500"/>
      <c r="AH7544" s="500"/>
      <c r="AI7544" s="500"/>
      <c r="AJ7544" s="500"/>
      <c r="AK7544" s="500"/>
      <c r="AL7544" s="500"/>
      <c r="AM7544" s="500"/>
      <c r="AN7544" s="500"/>
      <c r="AO7544" s="500"/>
      <c r="AP7544" s="500"/>
    </row>
    <row r="7545" spans="1:42" ht="16.5" customHeight="1">
      <c r="A7545" s="434"/>
      <c r="B7545" s="437" t="s">
        <v>3419</v>
      </c>
      <c r="C7545" s="513">
        <f>E7545+D7545+F7545</f>
        <v>236561.09999999998</v>
      </c>
      <c r="D7545" s="513">
        <f>SUMIF(N7526:N7544,M7545,D7526:D7544)</f>
        <v>236561.09999999998</v>
      </c>
      <c r="E7545" s="513">
        <f>SUMIF(N7526:N7544,M7545,E7526:E7544)</f>
        <v>0</v>
      </c>
      <c r="F7545" s="513">
        <f>SUMIF(N7526:N7544,M7545,F7526:F7544)</f>
        <v>0</v>
      </c>
      <c r="G7545" s="451" t="s">
        <v>3420</v>
      </c>
      <c r="M7545" s="501" t="s">
        <v>3416</v>
      </c>
      <c r="N7545" s="501" t="s">
        <v>3421</v>
      </c>
      <c r="Z7545" s="500"/>
      <c r="AA7545" s="500"/>
      <c r="AB7545" s="500"/>
      <c r="AC7545" s="500"/>
      <c r="AD7545" s="500"/>
      <c r="AE7545" s="500"/>
      <c r="AF7545" s="500"/>
      <c r="AG7545" s="500"/>
      <c r="AH7545" s="500"/>
      <c r="AI7545" s="500"/>
      <c r="AJ7545" s="500"/>
      <c r="AK7545" s="500"/>
      <c r="AL7545" s="500"/>
      <c r="AM7545" s="500"/>
      <c r="AN7545" s="500"/>
      <c r="AO7545" s="500"/>
      <c r="AP7545" s="500"/>
    </row>
    <row r="7546" spans="1:42" ht="16.5" customHeight="1">
      <c r="A7546" s="439"/>
      <c r="B7546" s="439"/>
      <c r="C7546" s="504"/>
      <c r="D7546" s="504"/>
      <c r="E7546" s="504"/>
      <c r="F7546" s="504"/>
      <c r="G7546" s="451" t="s">
        <v>3406</v>
      </c>
      <c r="Z7546" s="500"/>
      <c r="AA7546" s="500"/>
      <c r="AB7546" s="500"/>
      <c r="AC7546" s="500"/>
      <c r="AD7546" s="500"/>
      <c r="AE7546" s="500"/>
      <c r="AF7546" s="500"/>
      <c r="AG7546" s="500"/>
      <c r="AH7546" s="500"/>
      <c r="AI7546" s="500"/>
      <c r="AJ7546" s="500"/>
      <c r="AK7546" s="500"/>
      <c r="AL7546" s="500"/>
      <c r="AM7546" s="500"/>
      <c r="AN7546" s="500"/>
      <c r="AO7546" s="500"/>
      <c r="AP7546" s="500"/>
    </row>
    <row r="7547" spans="1:42" ht="16.5" customHeight="1">
      <c r="A7547" s="439"/>
      <c r="B7547" s="439"/>
      <c r="C7547" s="439"/>
      <c r="D7547" s="439"/>
      <c r="E7547" s="439"/>
      <c r="F7547" s="439"/>
      <c r="G7547" s="451" t="s">
        <v>3406</v>
      </c>
      <c r="Z7547" s="500"/>
      <c r="AA7547" s="500"/>
      <c r="AB7547" s="500"/>
      <c r="AC7547" s="500"/>
      <c r="AD7547" s="500"/>
      <c r="AE7547" s="500"/>
      <c r="AF7547" s="500"/>
      <c r="AG7547" s="500"/>
      <c r="AH7547" s="500"/>
      <c r="AI7547" s="500"/>
      <c r="AJ7547" s="500"/>
      <c r="AK7547" s="500"/>
      <c r="AL7547" s="500"/>
      <c r="AM7547" s="500"/>
      <c r="AN7547" s="500"/>
      <c r="AO7547" s="500"/>
      <c r="AP7547" s="500"/>
    </row>
    <row r="7548" spans="1:42" ht="16.5" customHeight="1">
      <c r="A7548" s="434"/>
      <c r="B7548" s="437" t="s">
        <v>4269</v>
      </c>
      <c r="C7548" s="439"/>
      <c r="D7548" s="439"/>
      <c r="E7548" s="439"/>
      <c r="F7548" s="439"/>
      <c r="G7548" s="451" t="s">
        <v>4270</v>
      </c>
      <c r="Z7548" s="500"/>
      <c r="AA7548" s="500"/>
      <c r="AB7548" s="500"/>
      <c r="AC7548" s="500"/>
      <c r="AD7548" s="500"/>
      <c r="AE7548" s="500"/>
      <c r="AF7548" s="500"/>
      <c r="AG7548" s="500"/>
      <c r="AH7548" s="500"/>
      <c r="AI7548" s="500"/>
      <c r="AJ7548" s="500"/>
      <c r="AK7548" s="500"/>
      <c r="AL7548" s="500"/>
      <c r="AM7548" s="500"/>
      <c r="AN7548" s="500"/>
      <c r="AO7548" s="500"/>
      <c r="AP7548" s="500"/>
    </row>
    <row r="7549" spans="1:42" ht="16.5" customHeight="1">
      <c r="A7549" s="439"/>
      <c r="B7549" s="439"/>
      <c r="C7549" s="439"/>
      <c r="D7549" s="439"/>
      <c r="E7549" s="439"/>
      <c r="F7549" s="439"/>
      <c r="G7549" s="451" t="s">
        <v>3406</v>
      </c>
      <c r="Z7549" s="500"/>
      <c r="AA7549" s="500"/>
      <c r="AB7549" s="500"/>
      <c r="AC7549" s="500"/>
      <c r="AD7549" s="500"/>
      <c r="AE7549" s="500"/>
      <c r="AF7549" s="500"/>
      <c r="AG7549" s="500"/>
      <c r="AH7549" s="500"/>
      <c r="AI7549" s="500"/>
      <c r="AJ7549" s="500"/>
      <c r="AK7549" s="500"/>
      <c r="AL7549" s="500"/>
      <c r="AM7549" s="500"/>
      <c r="AN7549" s="500"/>
      <c r="AO7549" s="500"/>
      <c r="AP7549" s="500"/>
    </row>
    <row r="7550" spans="1:42" ht="16.5" customHeight="1">
      <c r="A7550" s="434"/>
      <c r="B7550" s="437" t="s">
        <v>4258</v>
      </c>
      <c r="C7550" s="439"/>
      <c r="D7550" s="439"/>
      <c r="E7550" s="439"/>
      <c r="F7550" s="439"/>
      <c r="G7550" s="451" t="s">
        <v>4259</v>
      </c>
      <c r="Z7550" s="500"/>
      <c r="AA7550" s="500"/>
      <c r="AB7550" s="500"/>
      <c r="AC7550" s="500"/>
      <c r="AD7550" s="500"/>
      <c r="AE7550" s="500"/>
      <c r="AF7550" s="500"/>
      <c r="AG7550" s="500"/>
      <c r="AH7550" s="500"/>
      <c r="AI7550" s="500"/>
      <c r="AJ7550" s="500"/>
      <c r="AK7550" s="500"/>
      <c r="AL7550" s="500"/>
      <c r="AM7550" s="500"/>
      <c r="AN7550" s="500"/>
      <c r="AO7550" s="500"/>
      <c r="AP7550" s="500"/>
    </row>
    <row r="7551" spans="1:42" ht="16.5" customHeight="1">
      <c r="A7551" s="439"/>
      <c r="B7551" s="439"/>
      <c r="C7551" s="439"/>
      <c r="D7551" s="439"/>
      <c r="E7551" s="439"/>
      <c r="F7551" s="439"/>
      <c r="G7551" s="451" t="s">
        <v>3406</v>
      </c>
      <c r="Z7551" s="500"/>
      <c r="AA7551" s="500"/>
      <c r="AB7551" s="500"/>
      <c r="AC7551" s="500"/>
      <c r="AD7551" s="500"/>
      <c r="AE7551" s="500"/>
      <c r="AF7551" s="500"/>
      <c r="AG7551" s="500"/>
      <c r="AH7551" s="500"/>
      <c r="AI7551" s="500"/>
      <c r="AJ7551" s="500"/>
      <c r="AK7551" s="500"/>
      <c r="AL7551" s="500"/>
      <c r="AM7551" s="500"/>
      <c r="AN7551" s="500"/>
      <c r="AO7551" s="500"/>
      <c r="AP7551" s="500"/>
    </row>
    <row r="7552" spans="1:42" ht="16.5" customHeight="1">
      <c r="A7552" s="434" t="s">
        <v>4260</v>
      </c>
      <c r="B7552" s="505" t="str">
        <f>"   "&amp;Z7552&amp;" 인  / ("&amp;AB7552&amp;"*"&amp;AD7552&amp;") ton  *  철근공 : "&amp;TEXT(I7552,"#,##0"&amp;IF(I7552&lt;&gt;INT(I7552),".###",""))&amp;" = "&amp;TEXT(C7552,"#,##0.0")&amp;""</f>
        <v xml:space="preserve">   6 인  / (3.5*0.5) ton  *  철근공 : 268,187 = 919,498.2</v>
      </c>
      <c r="C7552" s="506">
        <f>E7552+D7552+F7552</f>
        <v>919498.2</v>
      </c>
      <c r="D7552" s="506">
        <f>IF(H7552=0,0,ROUNDDOWN(J7552*H7552,1))</f>
        <v>919498.2</v>
      </c>
      <c r="E7552" s="506">
        <f>IF(H7552=0,0,ROUNDDOWN(K7552*H7552,1))</f>
        <v>0</v>
      </c>
      <c r="F7552" s="506">
        <f>IF(H7552=0,0,ROUNDDOWN(L7552*H7552,1))</f>
        <v>0</v>
      </c>
      <c r="G7552" s="451" t="s">
        <v>4271</v>
      </c>
      <c r="H7552" s="507">
        <f>ROUNDUP(AG7552,14-LEN(ABS(INT(AG7552))))</f>
        <v>3.4285714285714999</v>
      </c>
      <c r="I7552" s="508">
        <f>K7552+J7552+L7552</f>
        <v>268187</v>
      </c>
      <c r="J7552" s="509">
        <f>노무비목록표!E19</f>
        <v>268187</v>
      </c>
      <c r="M7552" s="501" t="s">
        <v>4262</v>
      </c>
      <c r="N7552" s="501" t="s">
        <v>3416</v>
      </c>
      <c r="X7552" s="510" t="str">
        <f>노무비목록표!B19&amp;" / "&amp;노무비목록표!C19</f>
        <v xml:space="preserve">철근공 / </v>
      </c>
      <c r="Y7552" s="433" t="str">
        <f ca="1">HYPERLINK("#"&amp;노무비목록표!G2&amp;"!A"&amp;ROW(노무비목록표!A19),"L00001 →")</f>
        <v>L00001 →</v>
      </c>
      <c r="Z7552" s="515">
        <v>6</v>
      </c>
      <c r="AA7552" s="501" t="s">
        <v>3463</v>
      </c>
      <c r="AB7552" s="511">
        <v>3.5</v>
      </c>
      <c r="AC7552" s="501" t="s">
        <v>3368</v>
      </c>
      <c r="AD7552" s="511">
        <v>0.5</v>
      </c>
      <c r="AE7552" s="501" t="s">
        <v>4272</v>
      </c>
      <c r="AF7552" s="501" t="s">
        <v>3418</v>
      </c>
      <c r="AG7552" s="512">
        <f>Z7552/(AB7552*AD7552)*1</f>
        <v>3.4285714285714284</v>
      </c>
      <c r="AH7552" s="500"/>
      <c r="AI7552" s="500"/>
      <c r="AJ7552" s="500"/>
      <c r="AK7552" s="500"/>
      <c r="AL7552" s="500"/>
      <c r="AM7552" s="500"/>
      <c r="AN7552" s="500"/>
      <c r="AO7552" s="500"/>
      <c r="AP7552" s="500"/>
    </row>
    <row r="7553" spans="1:42" ht="16.5" customHeight="1">
      <c r="A7553" s="439"/>
      <c r="B7553" s="439"/>
      <c r="C7553" s="439"/>
      <c r="D7553" s="439"/>
      <c r="E7553" s="439"/>
      <c r="F7553" s="439"/>
      <c r="G7553" s="451" t="s">
        <v>3406</v>
      </c>
      <c r="Z7553" s="500"/>
      <c r="AA7553" s="500"/>
      <c r="AB7553" s="500"/>
      <c r="AC7553" s="500"/>
      <c r="AD7553" s="500"/>
      <c r="AE7553" s="500"/>
      <c r="AF7553" s="500"/>
      <c r="AG7553" s="500"/>
      <c r="AH7553" s="500"/>
      <c r="AI7553" s="500"/>
      <c r="AJ7553" s="500"/>
      <c r="AK7553" s="500"/>
      <c r="AL7553" s="500"/>
      <c r="AM7553" s="500"/>
      <c r="AN7553" s="500"/>
      <c r="AO7553" s="500"/>
      <c r="AP7553" s="500"/>
    </row>
    <row r="7554" spans="1:42" ht="16.5" customHeight="1">
      <c r="A7554" s="439"/>
      <c r="B7554" s="439"/>
      <c r="C7554" s="439"/>
      <c r="D7554" s="439"/>
      <c r="E7554" s="439"/>
      <c r="F7554" s="439"/>
      <c r="G7554" s="451" t="s">
        <v>3406</v>
      </c>
      <c r="Z7554" s="500"/>
      <c r="AA7554" s="500"/>
      <c r="AB7554" s="500"/>
      <c r="AC7554" s="500"/>
      <c r="AD7554" s="500"/>
      <c r="AE7554" s="500"/>
      <c r="AF7554" s="500"/>
      <c r="AG7554" s="500"/>
      <c r="AH7554" s="500"/>
      <c r="AI7554" s="500"/>
      <c r="AJ7554" s="500"/>
      <c r="AK7554" s="500"/>
      <c r="AL7554" s="500"/>
      <c r="AM7554" s="500"/>
      <c r="AN7554" s="500"/>
      <c r="AO7554" s="500"/>
      <c r="AP7554" s="500"/>
    </row>
    <row r="7555" spans="1:42" ht="16.5" customHeight="1">
      <c r="A7555" s="434"/>
      <c r="B7555" s="437" t="s">
        <v>4263</v>
      </c>
      <c r="C7555" s="439"/>
      <c r="D7555" s="439"/>
      <c r="E7555" s="439"/>
      <c r="F7555" s="439"/>
      <c r="G7555" s="451" t="s">
        <v>4264</v>
      </c>
      <c r="Z7555" s="500"/>
      <c r="AA7555" s="500"/>
      <c r="AB7555" s="500"/>
      <c r="AC7555" s="500"/>
      <c r="AD7555" s="500"/>
      <c r="AE7555" s="500"/>
      <c r="AF7555" s="500"/>
      <c r="AG7555" s="500"/>
      <c r="AH7555" s="500"/>
      <c r="AI7555" s="500"/>
      <c r="AJ7555" s="500"/>
      <c r="AK7555" s="500"/>
      <c r="AL7555" s="500"/>
      <c r="AM7555" s="500"/>
      <c r="AN7555" s="500"/>
      <c r="AO7555" s="500"/>
      <c r="AP7555" s="500"/>
    </row>
    <row r="7556" spans="1:42" ht="16.5" customHeight="1">
      <c r="A7556" s="439"/>
      <c r="B7556" s="439"/>
      <c r="C7556" s="439"/>
      <c r="D7556" s="439"/>
      <c r="E7556" s="439"/>
      <c r="F7556" s="439"/>
      <c r="G7556" s="451" t="s">
        <v>3406</v>
      </c>
      <c r="Z7556" s="500"/>
      <c r="AA7556" s="500"/>
      <c r="AB7556" s="500"/>
      <c r="AC7556" s="500"/>
      <c r="AD7556" s="500"/>
      <c r="AE7556" s="500"/>
      <c r="AF7556" s="500"/>
      <c r="AG7556" s="500"/>
      <c r="AH7556" s="500"/>
      <c r="AI7556" s="500"/>
      <c r="AJ7556" s="500"/>
      <c r="AK7556" s="500"/>
      <c r="AL7556" s="500"/>
      <c r="AM7556" s="500"/>
      <c r="AN7556" s="500"/>
      <c r="AO7556" s="500"/>
      <c r="AP7556" s="500"/>
    </row>
    <row r="7557" spans="1:42" ht="16.5" customHeight="1">
      <c r="A7557" s="434" t="s">
        <v>3414</v>
      </c>
      <c r="B7557" s="505" t="str">
        <f>"   "&amp;Z7557&amp;" 인  / ("&amp;AB7557&amp;"*"&amp;AD7557&amp;") ton *  보통인부 : "&amp;TEXT(I7557,"#,##0"&amp;IF(I7557&lt;&gt;INT(I7557),".###",""))&amp;" = "&amp;TEXT(C7557,"#,##0.0")&amp;""</f>
        <v xml:space="preserve">   2 인  / (3.5*0.5) ton *  보통인부 : 172,068 = 196,649.1</v>
      </c>
      <c r="C7557" s="506">
        <f>E7557+D7557+F7557</f>
        <v>196649.1</v>
      </c>
      <c r="D7557" s="506">
        <f>IF(H7557=0,0,ROUNDDOWN(J7557*H7557,1))</f>
        <v>196649.1</v>
      </c>
      <c r="E7557" s="506">
        <f>IF(H7557=0,0,ROUNDDOWN(K7557*H7557,1))</f>
        <v>0</v>
      </c>
      <c r="F7557" s="506">
        <f>IF(H7557=0,0,ROUNDDOWN(L7557*H7557,1))</f>
        <v>0</v>
      </c>
      <c r="G7557" s="451" t="s">
        <v>4273</v>
      </c>
      <c r="H7557" s="507">
        <f>ROUNDUP(AG7557,14-LEN(ABS(INT(AG7557))))</f>
        <v>1.1428571428571999</v>
      </c>
      <c r="I7557" s="508">
        <f>K7557+J7557+L7557</f>
        <v>172068</v>
      </c>
      <c r="J7557" s="509">
        <f>노무비목록표!E10</f>
        <v>172068</v>
      </c>
      <c r="M7557" s="501" t="s">
        <v>2363</v>
      </c>
      <c r="N7557" s="501" t="s">
        <v>3416</v>
      </c>
      <c r="X7557" s="510" t="str">
        <f>노무비목록표!B10&amp;" / "&amp;노무비목록표!C10</f>
        <v xml:space="preserve">보통인부 / </v>
      </c>
      <c r="Y7557" s="433" t="str">
        <f ca="1">HYPERLINK("#"&amp;노무비목록표!G2&amp;"!A"&amp;ROW(노무비목록표!A10),"L00017 →")</f>
        <v>L00017 →</v>
      </c>
      <c r="Z7557" s="515">
        <v>2</v>
      </c>
      <c r="AA7557" s="501" t="s">
        <v>3463</v>
      </c>
      <c r="AB7557" s="511">
        <v>3.5</v>
      </c>
      <c r="AC7557" s="501" t="s">
        <v>3368</v>
      </c>
      <c r="AD7557" s="511">
        <v>0.5</v>
      </c>
      <c r="AE7557" s="501" t="s">
        <v>4272</v>
      </c>
      <c r="AF7557" s="501" t="s">
        <v>3418</v>
      </c>
      <c r="AG7557" s="512">
        <f>Z7557/(AB7557*AD7557)*1</f>
        <v>1.1428571428571428</v>
      </c>
      <c r="AH7557" s="500"/>
      <c r="AI7557" s="500"/>
      <c r="AJ7557" s="500"/>
      <c r="AK7557" s="500"/>
      <c r="AL7557" s="500"/>
      <c r="AM7557" s="500"/>
      <c r="AN7557" s="500"/>
      <c r="AO7557" s="500"/>
      <c r="AP7557" s="500"/>
    </row>
    <row r="7558" spans="1:42" ht="16.5" customHeight="1">
      <c r="A7558" s="439"/>
      <c r="B7558" s="439"/>
      <c r="C7558" s="439"/>
      <c r="D7558" s="439"/>
      <c r="E7558" s="439"/>
      <c r="F7558" s="439"/>
      <c r="G7558" s="451" t="s">
        <v>3406</v>
      </c>
      <c r="Z7558" s="500"/>
      <c r="AA7558" s="500"/>
      <c r="AB7558" s="500"/>
      <c r="AC7558" s="500"/>
      <c r="AD7558" s="500"/>
      <c r="AE7558" s="500"/>
      <c r="AF7558" s="500"/>
      <c r="AG7558" s="500"/>
      <c r="AH7558" s="500"/>
      <c r="AI7558" s="500"/>
      <c r="AJ7558" s="500"/>
      <c r="AK7558" s="500"/>
      <c r="AL7558" s="500"/>
      <c r="AM7558" s="500"/>
      <c r="AN7558" s="500"/>
      <c r="AO7558" s="500"/>
      <c r="AP7558" s="500"/>
    </row>
    <row r="7559" spans="1:42" ht="16.5" customHeight="1">
      <c r="A7559" s="439"/>
      <c r="B7559" s="439"/>
      <c r="C7559" s="439"/>
      <c r="D7559" s="439"/>
      <c r="E7559" s="439"/>
      <c r="F7559" s="439"/>
      <c r="G7559" s="451" t="s">
        <v>3406</v>
      </c>
      <c r="Z7559" s="500"/>
      <c r="AA7559" s="500"/>
      <c r="AB7559" s="500"/>
      <c r="AC7559" s="500"/>
      <c r="AD7559" s="500"/>
      <c r="AE7559" s="500"/>
      <c r="AF7559" s="500"/>
      <c r="AG7559" s="500"/>
      <c r="AH7559" s="500"/>
      <c r="AI7559" s="500"/>
      <c r="AJ7559" s="500"/>
      <c r="AK7559" s="500"/>
      <c r="AL7559" s="500"/>
      <c r="AM7559" s="500"/>
      <c r="AN7559" s="500"/>
      <c r="AO7559" s="500"/>
      <c r="AP7559" s="500"/>
    </row>
    <row r="7560" spans="1:42" ht="16.5" customHeight="1">
      <c r="A7560" s="434"/>
      <c r="B7560" s="437" t="s">
        <v>4274</v>
      </c>
      <c r="C7560" s="439"/>
      <c r="D7560" s="439"/>
      <c r="E7560" s="439"/>
      <c r="F7560" s="439"/>
      <c r="G7560" s="451" t="s">
        <v>4275</v>
      </c>
      <c r="Z7560" s="500"/>
      <c r="AA7560" s="500"/>
      <c r="AB7560" s="500"/>
      <c r="AC7560" s="500"/>
      <c r="AD7560" s="500"/>
      <c r="AE7560" s="500"/>
      <c r="AF7560" s="500"/>
      <c r="AG7560" s="500"/>
      <c r="AH7560" s="500"/>
      <c r="AI7560" s="500"/>
      <c r="AJ7560" s="500"/>
      <c r="AK7560" s="500"/>
      <c r="AL7560" s="500"/>
      <c r="AM7560" s="500"/>
      <c r="AN7560" s="500"/>
      <c r="AO7560" s="500"/>
      <c r="AP7560" s="500"/>
    </row>
    <row r="7561" spans="1:42" ht="16.5" customHeight="1">
      <c r="A7561" s="439"/>
      <c r="B7561" s="439"/>
      <c r="C7561" s="439"/>
      <c r="D7561" s="439"/>
      <c r="E7561" s="439"/>
      <c r="F7561" s="439"/>
      <c r="G7561" s="451" t="s">
        <v>3406</v>
      </c>
      <c r="Z7561" s="500"/>
      <c r="AA7561" s="500"/>
      <c r="AB7561" s="500"/>
      <c r="AC7561" s="500"/>
      <c r="AD7561" s="500"/>
      <c r="AE7561" s="500"/>
      <c r="AF7561" s="500"/>
      <c r="AG7561" s="500"/>
      <c r="AH7561" s="500"/>
      <c r="AI7561" s="500"/>
      <c r="AJ7561" s="500"/>
      <c r="AK7561" s="500"/>
      <c r="AL7561" s="500"/>
      <c r="AM7561" s="500"/>
      <c r="AN7561" s="500"/>
      <c r="AO7561" s="500"/>
      <c r="AP7561" s="500"/>
    </row>
    <row r="7562" spans="1:42" ht="16.5" customHeight="1">
      <c r="A7562" s="434" t="s">
        <v>4216</v>
      </c>
      <c r="B7562" s="505" t="str">
        <f>"   기구손료 : "&amp;TEXT(I7562,"#,##0"&amp;IF(I7562&lt;&gt;INT(I7562),".###",""))&amp;" * "&amp;AA7562&amp;" (%)  = "&amp;TEXT(C7562,"#,##0.0")&amp;""</f>
        <v xml:space="preserve">   기구손료 : 1,116,147.3 * 2 (%)  = 22,322.9</v>
      </c>
      <c r="C7562" s="506">
        <f>E7562+D7562+F7562</f>
        <v>22322.9</v>
      </c>
      <c r="D7562" s="506">
        <f>IF(H7562=0,0,ROUNDDOWN(J7562*H7562/100,1))</f>
        <v>22322.9</v>
      </c>
      <c r="E7562" s="506">
        <f>IF(H7562=0,0,ROUNDDOWN(K7562*H7562/100,1))</f>
        <v>0</v>
      </c>
      <c r="F7562" s="506">
        <f>IF(H7562=0,0,ROUNDDOWN(L7562*H7562/100,1))</f>
        <v>0</v>
      </c>
      <c r="G7562" s="451" t="s">
        <v>4276</v>
      </c>
      <c r="H7562" s="507">
        <f>ROUNDUP(AC7562,14-LEN(ABS(INT(AC7562))))</f>
        <v>2</v>
      </c>
      <c r="I7562" s="508">
        <f>K7562+J7562+L7562</f>
        <v>1116147.3</v>
      </c>
      <c r="J7562" s="518">
        <v>1116147.3</v>
      </c>
      <c r="K7562" s="456">
        <v>0</v>
      </c>
      <c r="L7562" s="456">
        <v>0</v>
      </c>
      <c r="M7562" s="501" t="s">
        <v>4218</v>
      </c>
      <c r="N7562" s="501" t="s">
        <v>3416</v>
      </c>
      <c r="Z7562" s="501" t="s">
        <v>3500</v>
      </c>
      <c r="AA7562" s="515">
        <v>2</v>
      </c>
      <c r="AB7562" s="501" t="s">
        <v>3418</v>
      </c>
      <c r="AC7562" s="512">
        <f>1*AA7562</f>
        <v>2</v>
      </c>
      <c r="AD7562" s="500"/>
      <c r="AE7562" s="500"/>
      <c r="AF7562" s="500"/>
      <c r="AG7562" s="500"/>
      <c r="AH7562" s="500"/>
      <c r="AI7562" s="500"/>
      <c r="AJ7562" s="500"/>
      <c r="AK7562" s="500"/>
      <c r="AL7562" s="500"/>
      <c r="AM7562" s="500"/>
      <c r="AN7562" s="500"/>
      <c r="AO7562" s="500"/>
      <c r="AP7562" s="500"/>
    </row>
    <row r="7563" spans="1:42" ht="16.5" customHeight="1">
      <c r="A7563" s="439"/>
      <c r="B7563" s="439"/>
      <c r="C7563" s="439"/>
      <c r="D7563" s="439"/>
      <c r="E7563" s="439"/>
      <c r="F7563" s="439"/>
      <c r="G7563" s="451" t="s">
        <v>3406</v>
      </c>
      <c r="Z7563" s="500"/>
      <c r="AA7563" s="500"/>
      <c r="AB7563" s="500"/>
      <c r="AC7563" s="500"/>
      <c r="AD7563" s="500"/>
      <c r="AE7563" s="500"/>
      <c r="AF7563" s="500"/>
      <c r="AG7563" s="500"/>
      <c r="AH7563" s="500"/>
      <c r="AI7563" s="500"/>
      <c r="AJ7563" s="500"/>
      <c r="AK7563" s="500"/>
      <c r="AL7563" s="500"/>
      <c r="AM7563" s="500"/>
      <c r="AN7563" s="500"/>
      <c r="AO7563" s="500"/>
      <c r="AP7563" s="500"/>
    </row>
    <row r="7564" spans="1:42" ht="16.5" customHeight="1">
      <c r="A7564" s="434"/>
      <c r="B7564" s="437" t="s">
        <v>3419</v>
      </c>
      <c r="C7564" s="513">
        <f>E7564+D7564+F7564</f>
        <v>1138470.2</v>
      </c>
      <c r="D7564" s="513">
        <f>SUMIF(N7546:N7563,M7564,D7546:D7563)</f>
        <v>1138470.2</v>
      </c>
      <c r="E7564" s="513">
        <f>SUMIF(N7546:N7563,M7564,E7546:E7563)</f>
        <v>0</v>
      </c>
      <c r="F7564" s="513">
        <f>SUMIF(N7546:N7563,M7564,F7546:F7563)</f>
        <v>0</v>
      </c>
      <c r="G7564" s="451" t="s">
        <v>3420</v>
      </c>
      <c r="M7564" s="501" t="s">
        <v>3416</v>
      </c>
      <c r="N7564" s="501" t="s">
        <v>3421</v>
      </c>
      <c r="Z7564" s="500"/>
      <c r="AA7564" s="500"/>
      <c r="AB7564" s="500"/>
      <c r="AC7564" s="500"/>
      <c r="AD7564" s="500"/>
      <c r="AE7564" s="500"/>
      <c r="AF7564" s="500"/>
      <c r="AG7564" s="500"/>
      <c r="AH7564" s="500"/>
      <c r="AI7564" s="500"/>
      <c r="AJ7564" s="500"/>
      <c r="AK7564" s="500"/>
      <c r="AL7564" s="500"/>
      <c r="AM7564" s="500"/>
      <c r="AN7564" s="500"/>
      <c r="AO7564" s="500"/>
      <c r="AP7564" s="500"/>
    </row>
    <row r="7565" spans="1:42" ht="16.5" customHeight="1">
      <c r="A7565" s="439"/>
      <c r="B7565" s="439"/>
      <c r="C7565" s="504"/>
      <c r="D7565" s="504"/>
      <c r="E7565" s="504"/>
      <c r="F7565" s="504"/>
      <c r="G7565" s="451" t="s">
        <v>3406</v>
      </c>
      <c r="Z7565" s="500"/>
      <c r="AA7565" s="500"/>
      <c r="AB7565" s="500"/>
      <c r="AC7565" s="500"/>
      <c r="AD7565" s="500"/>
      <c r="AE7565" s="500"/>
      <c r="AF7565" s="500"/>
      <c r="AG7565" s="500"/>
      <c r="AH7565" s="500"/>
      <c r="AI7565" s="500"/>
      <c r="AJ7565" s="500"/>
      <c r="AK7565" s="500"/>
      <c r="AL7565" s="500"/>
      <c r="AM7565" s="500"/>
      <c r="AN7565" s="500"/>
      <c r="AO7565" s="500"/>
      <c r="AP7565" s="500"/>
    </row>
    <row r="7566" spans="1:42" ht="16.5" customHeight="1">
      <c r="A7566" s="434"/>
      <c r="B7566" s="437" t="s">
        <v>3440</v>
      </c>
      <c r="C7566" s="513">
        <f>E7566+D7566+F7566</f>
        <v>1386016.2999999998</v>
      </c>
      <c r="D7566" s="513">
        <f>SUMIF(N7507:N7565,M7566,D7507:D7565)</f>
        <v>1375031.2999999998</v>
      </c>
      <c r="E7566" s="513">
        <f>SUMIF(N7507:N7565,M7566,E7507:E7565)</f>
        <v>10985</v>
      </c>
      <c r="F7566" s="513">
        <f>SUMIF(N7507:N7565,M7566,F7507:F7565)</f>
        <v>0</v>
      </c>
      <c r="G7566" s="451" t="s">
        <v>3484</v>
      </c>
      <c r="M7566" s="501" t="s">
        <v>3421</v>
      </c>
      <c r="N7566" s="501" t="s">
        <v>2354</v>
      </c>
      <c r="Z7566" s="500"/>
      <c r="AA7566" s="500"/>
      <c r="AB7566" s="500"/>
      <c r="AC7566" s="500"/>
      <c r="AD7566" s="500"/>
      <c r="AE7566" s="500"/>
      <c r="AF7566" s="500"/>
      <c r="AG7566" s="500"/>
      <c r="AH7566" s="500"/>
      <c r="AI7566" s="500"/>
      <c r="AJ7566" s="500"/>
      <c r="AK7566" s="500"/>
      <c r="AL7566" s="500"/>
      <c r="AM7566" s="500"/>
      <c r="AN7566" s="500"/>
      <c r="AO7566" s="500"/>
      <c r="AP7566" s="500"/>
    </row>
    <row r="7567" spans="1:42" ht="16.5" customHeight="1">
      <c r="A7567" s="439"/>
      <c r="B7567" s="439"/>
      <c r="C7567" s="504"/>
      <c r="D7567" s="504"/>
      <c r="E7567" s="504"/>
      <c r="F7567" s="504"/>
      <c r="Z7567" s="500"/>
      <c r="AA7567" s="500"/>
      <c r="AB7567" s="500"/>
      <c r="AC7567" s="500"/>
      <c r="AD7567" s="500"/>
      <c r="AE7567" s="500"/>
      <c r="AF7567" s="500"/>
      <c r="AG7567" s="500"/>
      <c r="AH7567" s="500"/>
      <c r="AI7567" s="500"/>
      <c r="AJ7567" s="500"/>
      <c r="AK7567" s="500"/>
      <c r="AL7567" s="500"/>
      <c r="AM7567" s="500"/>
      <c r="AN7567" s="500"/>
      <c r="AO7567" s="500"/>
      <c r="AP7567" s="500"/>
    </row>
    <row r="7568" spans="1:42" ht="16.5" customHeight="1">
      <c r="A7568" s="439"/>
      <c r="B7568" s="439"/>
      <c r="C7568" s="439"/>
      <c r="D7568" s="439"/>
      <c r="E7568" s="439"/>
      <c r="F7568" s="439"/>
      <c r="Z7568" s="500"/>
      <c r="AA7568" s="500"/>
      <c r="AB7568" s="500"/>
      <c r="AC7568" s="500"/>
      <c r="AD7568" s="500"/>
      <c r="AE7568" s="500"/>
      <c r="AF7568" s="500"/>
      <c r="AG7568" s="500"/>
      <c r="AH7568" s="500"/>
      <c r="AI7568" s="500"/>
      <c r="AJ7568" s="500"/>
      <c r="AK7568" s="500"/>
      <c r="AL7568" s="500"/>
      <c r="AM7568" s="500"/>
      <c r="AN7568" s="500"/>
      <c r="AO7568" s="500"/>
      <c r="AP7568" s="500"/>
    </row>
    <row r="7569" spans="1:42" ht="16.5" customHeight="1">
      <c r="A7569" s="439"/>
      <c r="B7569" s="439"/>
      <c r="C7569" s="439"/>
      <c r="D7569" s="439"/>
      <c r="E7569" s="439"/>
      <c r="F7569" s="439"/>
      <c r="Z7569" s="500"/>
      <c r="AA7569" s="500"/>
      <c r="AB7569" s="500"/>
      <c r="AC7569" s="500"/>
      <c r="AD7569" s="500"/>
      <c r="AE7569" s="500"/>
      <c r="AF7569" s="500"/>
      <c r="AG7569" s="500"/>
      <c r="AH7569" s="500"/>
      <c r="AI7569" s="500"/>
      <c r="AJ7569" s="500"/>
      <c r="AK7569" s="500"/>
      <c r="AL7569" s="500"/>
      <c r="AM7569" s="500"/>
      <c r="AN7569" s="500"/>
      <c r="AO7569" s="500"/>
      <c r="AP7569" s="500"/>
    </row>
    <row r="7570" spans="1:42" ht="16.5" customHeight="1">
      <c r="A7570" s="439"/>
      <c r="B7570" s="439"/>
      <c r="C7570" s="439"/>
      <c r="D7570" s="439"/>
      <c r="E7570" s="439"/>
      <c r="F7570" s="439"/>
      <c r="Z7570" s="500"/>
      <c r="AA7570" s="500"/>
      <c r="AB7570" s="500"/>
      <c r="AC7570" s="500"/>
      <c r="AD7570" s="500"/>
      <c r="AE7570" s="500"/>
      <c r="AF7570" s="500"/>
      <c r="AG7570" s="500"/>
      <c r="AH7570" s="500"/>
      <c r="AI7570" s="500"/>
      <c r="AJ7570" s="500"/>
      <c r="AK7570" s="500"/>
      <c r="AL7570" s="500"/>
      <c r="AM7570" s="500"/>
      <c r="AN7570" s="500"/>
      <c r="AO7570" s="500"/>
      <c r="AP7570" s="500"/>
    </row>
    <row r="7571" spans="1:42" ht="16.5" customHeight="1">
      <c r="A7571" s="439"/>
      <c r="B7571" s="439"/>
      <c r="C7571" s="439"/>
      <c r="D7571" s="439"/>
      <c r="E7571" s="439"/>
      <c r="F7571" s="439"/>
      <c r="Z7571" s="500"/>
      <c r="AA7571" s="500"/>
      <c r="AB7571" s="500"/>
      <c r="AC7571" s="500"/>
      <c r="AD7571" s="500"/>
      <c r="AE7571" s="500"/>
      <c r="AF7571" s="500"/>
      <c r="AG7571" s="500"/>
      <c r="AH7571" s="500"/>
      <c r="AI7571" s="500"/>
      <c r="AJ7571" s="500"/>
      <c r="AK7571" s="500"/>
      <c r="AL7571" s="500"/>
      <c r="AM7571" s="500"/>
      <c r="AN7571" s="500"/>
      <c r="AO7571" s="500"/>
      <c r="AP7571" s="500"/>
    </row>
    <row r="7572" spans="1:42" ht="16.5" customHeight="1">
      <c r="A7572" s="439"/>
      <c r="B7572" s="439"/>
      <c r="C7572" s="439"/>
      <c r="D7572" s="439"/>
      <c r="E7572" s="439"/>
      <c r="F7572" s="439"/>
      <c r="Z7572" s="500"/>
      <c r="AA7572" s="500"/>
      <c r="AB7572" s="500"/>
      <c r="AC7572" s="500"/>
      <c r="AD7572" s="500"/>
      <c r="AE7572" s="500"/>
      <c r="AF7572" s="500"/>
      <c r="AG7572" s="500"/>
      <c r="AH7572" s="500"/>
      <c r="AI7572" s="500"/>
      <c r="AJ7572" s="500"/>
      <c r="AK7572" s="500"/>
      <c r="AL7572" s="500"/>
      <c r="AM7572" s="500"/>
      <c r="AN7572" s="500"/>
      <c r="AO7572" s="500"/>
      <c r="AP7572" s="500"/>
    </row>
    <row r="7573" spans="1:42" ht="16.5" customHeight="1">
      <c r="A7573" s="439"/>
      <c r="B7573" s="439"/>
      <c r="C7573" s="439"/>
      <c r="D7573" s="439"/>
      <c r="E7573" s="439"/>
      <c r="F7573" s="439"/>
      <c r="Z7573" s="500"/>
      <c r="AA7573" s="500"/>
      <c r="AB7573" s="500"/>
      <c r="AC7573" s="500"/>
      <c r="AD7573" s="500"/>
      <c r="AE7573" s="500"/>
      <c r="AF7573" s="500"/>
      <c r="AG7573" s="500"/>
      <c r="AH7573" s="500"/>
      <c r="AI7573" s="500"/>
      <c r="AJ7573" s="500"/>
      <c r="AK7573" s="500"/>
      <c r="AL7573" s="500"/>
      <c r="AM7573" s="500"/>
      <c r="AN7573" s="500"/>
      <c r="AO7573" s="500"/>
      <c r="AP7573" s="500"/>
    </row>
    <row r="7574" spans="1:42" ht="16.5" customHeight="1">
      <c r="A7574" s="439"/>
      <c r="B7574" s="439"/>
      <c r="C7574" s="439"/>
      <c r="D7574" s="439"/>
      <c r="E7574" s="439"/>
      <c r="F7574" s="439"/>
      <c r="Z7574" s="500"/>
      <c r="AA7574" s="500"/>
      <c r="AB7574" s="500"/>
      <c r="AC7574" s="500"/>
      <c r="AD7574" s="500"/>
      <c r="AE7574" s="500"/>
      <c r="AF7574" s="500"/>
      <c r="AG7574" s="500"/>
      <c r="AH7574" s="500"/>
      <c r="AI7574" s="500"/>
      <c r="AJ7574" s="500"/>
      <c r="AK7574" s="500"/>
      <c r="AL7574" s="500"/>
      <c r="AM7574" s="500"/>
      <c r="AN7574" s="500"/>
      <c r="AO7574" s="500"/>
      <c r="AP7574" s="500"/>
    </row>
    <row r="7575" spans="1:42" ht="16.5" customHeight="1">
      <c r="A7575" s="439"/>
      <c r="B7575" s="439"/>
      <c r="C7575" s="439"/>
      <c r="D7575" s="439"/>
      <c r="E7575" s="439"/>
      <c r="F7575" s="439"/>
      <c r="Z7575" s="500"/>
      <c r="AA7575" s="500"/>
      <c r="AB7575" s="500"/>
      <c r="AC7575" s="500"/>
      <c r="AD7575" s="500"/>
      <c r="AE7575" s="500"/>
      <c r="AF7575" s="500"/>
      <c r="AG7575" s="500"/>
      <c r="AH7575" s="500"/>
      <c r="AI7575" s="500"/>
      <c r="AJ7575" s="500"/>
      <c r="AK7575" s="500"/>
      <c r="AL7575" s="500"/>
      <c r="AM7575" s="500"/>
      <c r="AN7575" s="500"/>
      <c r="AO7575" s="500"/>
      <c r="AP7575" s="500"/>
    </row>
    <row r="7576" spans="1:42" ht="16.5" customHeight="1">
      <c r="A7576" s="439"/>
      <c r="B7576" s="439"/>
      <c r="C7576" s="439"/>
      <c r="D7576" s="439"/>
      <c r="E7576" s="439"/>
      <c r="F7576" s="439"/>
      <c r="Z7576" s="500"/>
      <c r="AA7576" s="500"/>
      <c r="AB7576" s="500"/>
      <c r="AC7576" s="500"/>
      <c r="AD7576" s="500"/>
      <c r="AE7576" s="500"/>
      <c r="AF7576" s="500"/>
      <c r="AG7576" s="500"/>
      <c r="AH7576" s="500"/>
      <c r="AI7576" s="500"/>
      <c r="AJ7576" s="500"/>
      <c r="AK7576" s="500"/>
      <c r="AL7576" s="500"/>
      <c r="AM7576" s="500"/>
      <c r="AN7576" s="500"/>
      <c r="AO7576" s="500"/>
      <c r="AP7576" s="500"/>
    </row>
    <row r="7577" spans="1:42" ht="16.5" customHeight="1">
      <c r="A7577" s="439"/>
      <c r="B7577" s="439"/>
      <c r="C7577" s="439"/>
      <c r="D7577" s="439"/>
      <c r="E7577" s="439"/>
      <c r="F7577" s="439"/>
      <c r="Z7577" s="500"/>
      <c r="AA7577" s="500"/>
      <c r="AB7577" s="500"/>
      <c r="AC7577" s="500"/>
      <c r="AD7577" s="500"/>
      <c r="AE7577" s="500"/>
      <c r="AF7577" s="500"/>
      <c r="AG7577" s="500"/>
      <c r="AH7577" s="500"/>
      <c r="AI7577" s="500"/>
      <c r="AJ7577" s="500"/>
      <c r="AK7577" s="500"/>
      <c r="AL7577" s="500"/>
      <c r="AM7577" s="500"/>
      <c r="AN7577" s="500"/>
      <c r="AO7577" s="500"/>
      <c r="AP7577" s="500"/>
    </row>
    <row r="7578" spans="1:42" ht="16.5" customHeight="1">
      <c r="A7578" s="439"/>
      <c r="B7578" s="439"/>
      <c r="C7578" s="439"/>
      <c r="D7578" s="439"/>
      <c r="E7578" s="439"/>
      <c r="F7578" s="439"/>
      <c r="Z7578" s="500"/>
      <c r="AA7578" s="500"/>
      <c r="AB7578" s="500"/>
      <c r="AC7578" s="500"/>
      <c r="AD7578" s="500"/>
      <c r="AE7578" s="500"/>
      <c r="AF7578" s="500"/>
      <c r="AG7578" s="500"/>
      <c r="AH7578" s="500"/>
      <c r="AI7578" s="500"/>
      <c r="AJ7578" s="500"/>
      <c r="AK7578" s="500"/>
      <c r="AL7578" s="500"/>
      <c r="AM7578" s="500"/>
      <c r="AN7578" s="500"/>
      <c r="AO7578" s="500"/>
      <c r="AP7578" s="500"/>
    </row>
    <row r="7579" spans="1:42" ht="16.5" customHeight="1">
      <c r="A7579" s="439"/>
      <c r="B7579" s="439"/>
      <c r="C7579" s="439"/>
      <c r="D7579" s="439"/>
      <c r="E7579" s="439"/>
      <c r="F7579" s="439"/>
      <c r="Z7579" s="500"/>
      <c r="AA7579" s="500"/>
      <c r="AB7579" s="500"/>
      <c r="AC7579" s="500"/>
      <c r="AD7579" s="500"/>
      <c r="AE7579" s="500"/>
      <c r="AF7579" s="500"/>
      <c r="AG7579" s="500"/>
      <c r="AH7579" s="500"/>
      <c r="AI7579" s="500"/>
      <c r="AJ7579" s="500"/>
      <c r="AK7579" s="500"/>
      <c r="AL7579" s="500"/>
      <c r="AM7579" s="500"/>
      <c r="AN7579" s="500"/>
      <c r="AO7579" s="500"/>
      <c r="AP7579" s="500"/>
    </row>
    <row r="7580" spans="1:42" ht="16.5" customHeight="1">
      <c r="A7580" s="439"/>
      <c r="B7580" s="439"/>
      <c r="C7580" s="439"/>
      <c r="D7580" s="439"/>
      <c r="E7580" s="439"/>
      <c r="F7580" s="439"/>
      <c r="Z7580" s="500"/>
      <c r="AA7580" s="500"/>
      <c r="AB7580" s="500"/>
      <c r="AC7580" s="500"/>
      <c r="AD7580" s="500"/>
      <c r="AE7580" s="500"/>
      <c r="AF7580" s="500"/>
      <c r="AG7580" s="500"/>
      <c r="AH7580" s="500"/>
      <c r="AI7580" s="500"/>
      <c r="AJ7580" s="500"/>
      <c r="AK7580" s="500"/>
      <c r="AL7580" s="500"/>
      <c r="AM7580" s="500"/>
      <c r="AN7580" s="500"/>
      <c r="AO7580" s="500"/>
      <c r="AP7580" s="500"/>
    </row>
    <row r="7581" spans="1:42" ht="16.5" customHeight="1">
      <c r="A7581" s="439"/>
      <c r="B7581" s="439"/>
      <c r="C7581" s="439"/>
      <c r="D7581" s="439"/>
      <c r="E7581" s="439"/>
      <c r="F7581" s="439"/>
      <c r="Z7581" s="500"/>
      <c r="AA7581" s="500"/>
      <c r="AB7581" s="500"/>
      <c r="AC7581" s="500"/>
      <c r="AD7581" s="500"/>
      <c r="AE7581" s="500"/>
      <c r="AF7581" s="500"/>
      <c r="AG7581" s="500"/>
      <c r="AH7581" s="500"/>
      <c r="AI7581" s="500"/>
      <c r="AJ7581" s="500"/>
      <c r="AK7581" s="500"/>
      <c r="AL7581" s="500"/>
      <c r="AM7581" s="500"/>
      <c r="AN7581" s="500"/>
      <c r="AO7581" s="500"/>
      <c r="AP7581" s="500"/>
    </row>
    <row r="7582" spans="1:42" ht="16.5" customHeight="1">
      <c r="A7582" s="439"/>
      <c r="B7582" s="439"/>
      <c r="C7582" s="439"/>
      <c r="D7582" s="439"/>
      <c r="E7582" s="439"/>
      <c r="F7582" s="439"/>
      <c r="Z7582" s="500"/>
      <c r="AA7582" s="500"/>
      <c r="AB7582" s="500"/>
      <c r="AC7582" s="500"/>
      <c r="AD7582" s="500"/>
      <c r="AE7582" s="500"/>
      <c r="AF7582" s="500"/>
      <c r="AG7582" s="500"/>
      <c r="AH7582" s="500"/>
      <c r="AI7582" s="500"/>
      <c r="AJ7582" s="500"/>
      <c r="AK7582" s="500"/>
      <c r="AL7582" s="500"/>
      <c r="AM7582" s="500"/>
      <c r="AN7582" s="500"/>
      <c r="AO7582" s="500"/>
      <c r="AP7582" s="500"/>
    </row>
    <row r="7583" spans="1:42" ht="16.5" customHeight="1">
      <c r="A7583" s="439"/>
      <c r="B7583" s="439"/>
      <c r="C7583" s="439"/>
      <c r="D7583" s="439"/>
      <c r="E7583" s="439"/>
      <c r="F7583" s="439"/>
      <c r="Z7583" s="500"/>
      <c r="AA7583" s="500"/>
      <c r="AB7583" s="500"/>
      <c r="AC7583" s="500"/>
      <c r="AD7583" s="500"/>
      <c r="AE7583" s="500"/>
      <c r="AF7583" s="500"/>
      <c r="AG7583" s="500"/>
      <c r="AH7583" s="500"/>
      <c r="AI7583" s="500"/>
      <c r="AJ7583" s="500"/>
      <c r="AK7583" s="500"/>
      <c r="AL7583" s="500"/>
      <c r="AM7583" s="500"/>
      <c r="AN7583" s="500"/>
      <c r="AO7583" s="500"/>
      <c r="AP7583" s="500"/>
    </row>
    <row r="7584" spans="1:42" ht="16.5" customHeight="1">
      <c r="A7584" s="439"/>
      <c r="B7584" s="439"/>
      <c r="C7584" s="439"/>
      <c r="D7584" s="439"/>
      <c r="E7584" s="439"/>
      <c r="F7584" s="439"/>
      <c r="Z7584" s="500"/>
      <c r="AA7584" s="500"/>
      <c r="AB7584" s="500"/>
      <c r="AC7584" s="500"/>
      <c r="AD7584" s="500"/>
      <c r="AE7584" s="500"/>
      <c r="AF7584" s="500"/>
      <c r="AG7584" s="500"/>
      <c r="AH7584" s="500"/>
      <c r="AI7584" s="500"/>
      <c r="AJ7584" s="500"/>
      <c r="AK7584" s="500"/>
      <c r="AL7584" s="500"/>
      <c r="AM7584" s="500"/>
      <c r="AN7584" s="500"/>
      <c r="AO7584" s="500"/>
      <c r="AP7584" s="500"/>
    </row>
    <row r="7585" spans="1:42" ht="16.5" customHeight="1">
      <c r="A7585" s="439"/>
      <c r="B7585" s="439"/>
      <c r="C7585" s="439"/>
      <c r="D7585" s="439"/>
      <c r="E7585" s="439"/>
      <c r="F7585" s="439"/>
      <c r="Z7585" s="500"/>
      <c r="AA7585" s="500"/>
      <c r="AB7585" s="500"/>
      <c r="AC7585" s="500"/>
      <c r="AD7585" s="500"/>
      <c r="AE7585" s="500"/>
      <c r="AF7585" s="500"/>
      <c r="AG7585" s="500"/>
      <c r="AH7585" s="500"/>
      <c r="AI7585" s="500"/>
      <c r="AJ7585" s="500"/>
      <c r="AK7585" s="500"/>
      <c r="AL7585" s="500"/>
      <c r="AM7585" s="500"/>
      <c r="AN7585" s="500"/>
      <c r="AO7585" s="500"/>
      <c r="AP7585" s="500"/>
    </row>
    <row r="7586" spans="1:42" ht="16.5" customHeight="1">
      <c r="A7586" s="439"/>
      <c r="B7586" s="439"/>
      <c r="C7586" s="439"/>
      <c r="D7586" s="439"/>
      <c r="E7586" s="439"/>
      <c r="F7586" s="439"/>
      <c r="Z7586" s="500"/>
      <c r="AA7586" s="500"/>
      <c r="AB7586" s="500"/>
      <c r="AC7586" s="500"/>
      <c r="AD7586" s="500"/>
      <c r="AE7586" s="500"/>
      <c r="AF7586" s="500"/>
      <c r="AG7586" s="500"/>
      <c r="AH7586" s="500"/>
      <c r="AI7586" s="500"/>
      <c r="AJ7586" s="500"/>
      <c r="AK7586" s="500"/>
      <c r="AL7586" s="500"/>
      <c r="AM7586" s="500"/>
      <c r="AN7586" s="500"/>
      <c r="AO7586" s="500"/>
      <c r="AP7586" s="500"/>
    </row>
    <row r="7587" spans="1:42" ht="16.5" customHeight="1">
      <c r="A7587" s="439"/>
      <c r="B7587" s="439"/>
      <c r="C7587" s="439"/>
      <c r="D7587" s="439"/>
      <c r="E7587" s="439"/>
      <c r="F7587" s="439"/>
      <c r="Z7587" s="500"/>
      <c r="AA7587" s="500"/>
      <c r="AB7587" s="500"/>
      <c r="AC7587" s="500"/>
      <c r="AD7587" s="500"/>
      <c r="AE7587" s="500"/>
      <c r="AF7587" s="500"/>
      <c r="AG7587" s="500"/>
      <c r="AH7587" s="500"/>
      <c r="AI7587" s="500"/>
      <c r="AJ7587" s="500"/>
      <c r="AK7587" s="500"/>
      <c r="AL7587" s="500"/>
      <c r="AM7587" s="500"/>
      <c r="AN7587" s="500"/>
      <c r="AO7587" s="500"/>
      <c r="AP7587" s="500"/>
    </row>
    <row r="7588" spans="1:42" ht="16.5" customHeight="1">
      <c r="A7588" s="439"/>
      <c r="B7588" s="439"/>
      <c r="C7588" s="439"/>
      <c r="D7588" s="439"/>
      <c r="E7588" s="439"/>
      <c r="F7588" s="439"/>
      <c r="Z7588" s="500"/>
      <c r="AA7588" s="500"/>
      <c r="AB7588" s="500"/>
      <c r="AC7588" s="500"/>
      <c r="AD7588" s="500"/>
      <c r="AE7588" s="500"/>
      <c r="AF7588" s="500"/>
      <c r="AG7588" s="500"/>
      <c r="AH7588" s="500"/>
      <c r="AI7588" s="500"/>
      <c r="AJ7588" s="500"/>
      <c r="AK7588" s="500"/>
      <c r="AL7588" s="500"/>
      <c r="AM7588" s="500"/>
      <c r="AN7588" s="500"/>
      <c r="AO7588" s="500"/>
      <c r="AP7588" s="500"/>
    </row>
    <row r="7589" spans="1:42" ht="16.5" customHeight="1">
      <c r="A7589" s="439"/>
      <c r="B7589" s="439"/>
      <c r="C7589" s="439"/>
      <c r="D7589" s="439"/>
      <c r="E7589" s="439"/>
      <c r="F7589" s="439"/>
      <c r="Z7589" s="500"/>
      <c r="AA7589" s="500"/>
      <c r="AB7589" s="500"/>
      <c r="AC7589" s="500"/>
      <c r="AD7589" s="500"/>
      <c r="AE7589" s="500"/>
      <c r="AF7589" s="500"/>
      <c r="AG7589" s="500"/>
      <c r="AH7589" s="500"/>
      <c r="AI7589" s="500"/>
      <c r="AJ7589" s="500"/>
      <c r="AK7589" s="500"/>
      <c r="AL7589" s="500"/>
      <c r="AM7589" s="500"/>
      <c r="AN7589" s="500"/>
      <c r="AO7589" s="500"/>
      <c r="AP7589" s="500"/>
    </row>
    <row r="7590" spans="1:42" ht="16.5" customHeight="1">
      <c r="A7590" s="439"/>
      <c r="B7590" s="439"/>
      <c r="C7590" s="439"/>
      <c r="D7590" s="439"/>
      <c r="E7590" s="439"/>
      <c r="F7590" s="439"/>
      <c r="Z7590" s="500"/>
      <c r="AA7590" s="500"/>
      <c r="AB7590" s="500"/>
      <c r="AC7590" s="500"/>
      <c r="AD7590" s="500"/>
      <c r="AE7590" s="500"/>
      <c r="AF7590" s="500"/>
      <c r="AG7590" s="500"/>
      <c r="AH7590" s="500"/>
      <c r="AI7590" s="500"/>
      <c r="AJ7590" s="500"/>
      <c r="AK7590" s="500"/>
      <c r="AL7590" s="500"/>
      <c r="AM7590" s="500"/>
      <c r="AN7590" s="500"/>
      <c r="AO7590" s="500"/>
      <c r="AP7590" s="500"/>
    </row>
    <row r="7591" spans="1:42" ht="16.5" customHeight="1">
      <c r="A7591" s="439"/>
      <c r="B7591" s="439"/>
      <c r="C7591" s="439"/>
      <c r="D7591" s="439"/>
      <c r="E7591" s="439"/>
      <c r="F7591" s="439"/>
      <c r="Z7591" s="500"/>
      <c r="AA7591" s="500"/>
      <c r="AB7591" s="500"/>
      <c r="AC7591" s="500"/>
      <c r="AD7591" s="500"/>
      <c r="AE7591" s="500"/>
      <c r="AF7591" s="500"/>
      <c r="AG7591" s="500"/>
      <c r="AH7591" s="500"/>
      <c r="AI7591" s="500"/>
      <c r="AJ7591" s="500"/>
      <c r="AK7591" s="500"/>
      <c r="AL7591" s="500"/>
      <c r="AM7591" s="500"/>
      <c r="AN7591" s="500"/>
      <c r="AO7591" s="500"/>
      <c r="AP7591" s="500"/>
    </row>
    <row r="7592" spans="1:42" ht="16.5" customHeight="1">
      <c r="A7592" s="439"/>
      <c r="B7592" s="439"/>
      <c r="C7592" s="439"/>
      <c r="D7592" s="439"/>
      <c r="E7592" s="439"/>
      <c r="F7592" s="439"/>
      <c r="Z7592" s="500"/>
      <c r="AA7592" s="500"/>
      <c r="AB7592" s="500"/>
      <c r="AC7592" s="500"/>
      <c r="AD7592" s="500"/>
      <c r="AE7592" s="500"/>
      <c r="AF7592" s="500"/>
      <c r="AG7592" s="500"/>
      <c r="AH7592" s="500"/>
      <c r="AI7592" s="500"/>
      <c r="AJ7592" s="500"/>
      <c r="AK7592" s="500"/>
      <c r="AL7592" s="500"/>
      <c r="AM7592" s="500"/>
      <c r="AN7592" s="500"/>
      <c r="AO7592" s="500"/>
      <c r="AP7592" s="500"/>
    </row>
    <row r="7593" spans="1:42" ht="16.5" customHeight="1">
      <c r="A7593" s="439"/>
      <c r="B7593" s="439"/>
      <c r="C7593" s="439"/>
      <c r="D7593" s="439"/>
      <c r="E7593" s="439"/>
      <c r="F7593" s="439"/>
      <c r="Z7593" s="500"/>
      <c r="AA7593" s="500"/>
      <c r="AB7593" s="500"/>
      <c r="AC7593" s="500"/>
      <c r="AD7593" s="500"/>
      <c r="AE7593" s="500"/>
      <c r="AF7593" s="500"/>
      <c r="AG7593" s="500"/>
      <c r="AH7593" s="500"/>
      <c r="AI7593" s="500"/>
      <c r="AJ7593" s="500"/>
      <c r="AK7593" s="500"/>
      <c r="AL7593" s="500"/>
      <c r="AM7593" s="500"/>
      <c r="AN7593" s="500"/>
      <c r="AO7593" s="500"/>
      <c r="AP7593" s="500"/>
    </row>
    <row r="7594" spans="1:42" ht="16.5" customHeight="1">
      <c r="A7594" s="439"/>
      <c r="B7594" s="439"/>
      <c r="C7594" s="439"/>
      <c r="D7594" s="439"/>
      <c r="E7594" s="439"/>
      <c r="F7594" s="439"/>
      <c r="Z7594" s="500"/>
      <c r="AA7594" s="500"/>
      <c r="AB7594" s="500"/>
      <c r="AC7594" s="500"/>
      <c r="AD7594" s="500"/>
      <c r="AE7594" s="500"/>
      <c r="AF7594" s="500"/>
      <c r="AG7594" s="500"/>
      <c r="AH7594" s="500"/>
      <c r="AI7594" s="500"/>
      <c r="AJ7594" s="500"/>
      <c r="AK7594" s="500"/>
      <c r="AL7594" s="500"/>
      <c r="AM7594" s="500"/>
      <c r="AN7594" s="500"/>
      <c r="AO7594" s="500"/>
      <c r="AP7594" s="500"/>
    </row>
    <row r="7595" spans="1:42" ht="16.5" customHeight="1">
      <c r="A7595" s="439"/>
      <c r="B7595" s="439"/>
      <c r="C7595" s="439"/>
      <c r="D7595" s="439"/>
      <c r="E7595" s="439"/>
      <c r="F7595" s="439"/>
      <c r="Z7595" s="500"/>
      <c r="AA7595" s="500"/>
      <c r="AB7595" s="500"/>
      <c r="AC7595" s="500"/>
      <c r="AD7595" s="500"/>
      <c r="AE7595" s="500"/>
      <c r="AF7595" s="500"/>
      <c r="AG7595" s="500"/>
      <c r="AH7595" s="500"/>
      <c r="AI7595" s="500"/>
      <c r="AJ7595" s="500"/>
      <c r="AK7595" s="500"/>
      <c r="AL7595" s="500"/>
      <c r="AM7595" s="500"/>
      <c r="AN7595" s="500"/>
      <c r="AO7595" s="500"/>
      <c r="AP7595" s="500"/>
    </row>
    <row r="7596" spans="1:42" ht="16.5" customHeight="1">
      <c r="A7596" s="439"/>
      <c r="B7596" s="439"/>
      <c r="C7596" s="439"/>
      <c r="D7596" s="439"/>
      <c r="E7596" s="439"/>
      <c r="F7596" s="439"/>
      <c r="Z7596" s="500"/>
      <c r="AA7596" s="500"/>
      <c r="AB7596" s="500"/>
      <c r="AC7596" s="500"/>
      <c r="AD7596" s="500"/>
      <c r="AE7596" s="500"/>
      <c r="AF7596" s="500"/>
      <c r="AG7596" s="500"/>
      <c r="AH7596" s="500"/>
      <c r="AI7596" s="500"/>
      <c r="AJ7596" s="500"/>
      <c r="AK7596" s="500"/>
      <c r="AL7596" s="500"/>
      <c r="AM7596" s="500"/>
      <c r="AN7596" s="500"/>
      <c r="AO7596" s="500"/>
      <c r="AP7596" s="500"/>
    </row>
    <row r="7597" spans="1:42" ht="16.5" customHeight="1">
      <c r="A7597" s="439"/>
      <c r="B7597" s="439"/>
      <c r="C7597" s="439"/>
      <c r="D7597" s="439"/>
      <c r="E7597" s="439"/>
      <c r="F7597" s="439"/>
      <c r="Z7597" s="500"/>
      <c r="AA7597" s="500"/>
      <c r="AB7597" s="500"/>
      <c r="AC7597" s="500"/>
      <c r="AD7597" s="500"/>
      <c r="AE7597" s="500"/>
      <c r="AF7597" s="500"/>
      <c r="AG7597" s="500"/>
      <c r="AH7597" s="500"/>
      <c r="AI7597" s="500"/>
      <c r="AJ7597" s="500"/>
      <c r="AK7597" s="500"/>
      <c r="AL7597" s="500"/>
      <c r="AM7597" s="500"/>
      <c r="AN7597" s="500"/>
      <c r="AO7597" s="500"/>
      <c r="AP7597" s="500"/>
    </row>
    <row r="7598" spans="1:42" ht="16.5" customHeight="1">
      <c r="A7598" s="439"/>
      <c r="B7598" s="439"/>
      <c r="C7598" s="439"/>
      <c r="D7598" s="439"/>
      <c r="E7598" s="439"/>
      <c r="F7598" s="439"/>
      <c r="Z7598" s="500"/>
      <c r="AA7598" s="500"/>
      <c r="AB7598" s="500"/>
      <c r="AC7598" s="500"/>
      <c r="AD7598" s="500"/>
      <c r="AE7598" s="500"/>
      <c r="AF7598" s="500"/>
      <c r="AG7598" s="500"/>
      <c r="AH7598" s="500"/>
      <c r="AI7598" s="500"/>
      <c r="AJ7598" s="500"/>
      <c r="AK7598" s="500"/>
      <c r="AL7598" s="500"/>
      <c r="AM7598" s="500"/>
      <c r="AN7598" s="500"/>
      <c r="AO7598" s="500"/>
      <c r="AP7598" s="500"/>
    </row>
    <row r="7599" spans="1:42" ht="16.5" customHeight="1">
      <c r="A7599" s="439"/>
      <c r="B7599" s="439"/>
      <c r="C7599" s="439"/>
      <c r="D7599" s="439"/>
      <c r="E7599" s="439"/>
      <c r="F7599" s="439"/>
      <c r="Z7599" s="500"/>
      <c r="AA7599" s="500"/>
      <c r="AB7599" s="500"/>
      <c r="AC7599" s="500"/>
      <c r="AD7599" s="500"/>
      <c r="AE7599" s="500"/>
      <c r="AF7599" s="500"/>
      <c r="AG7599" s="500"/>
      <c r="AH7599" s="500"/>
      <c r="AI7599" s="500"/>
      <c r="AJ7599" s="500"/>
      <c r="AK7599" s="500"/>
      <c r="AL7599" s="500"/>
      <c r="AM7599" s="500"/>
      <c r="AN7599" s="500"/>
      <c r="AO7599" s="500"/>
      <c r="AP7599" s="500"/>
    </row>
    <row r="7600" spans="1:42" ht="16.5" customHeight="1">
      <c r="A7600" s="439"/>
      <c r="B7600" s="439"/>
      <c r="C7600" s="439"/>
      <c r="D7600" s="439"/>
      <c r="E7600" s="439"/>
      <c r="F7600" s="439"/>
      <c r="Z7600" s="500"/>
      <c r="AA7600" s="500"/>
      <c r="AB7600" s="500"/>
      <c r="AC7600" s="500"/>
      <c r="AD7600" s="500"/>
      <c r="AE7600" s="500"/>
      <c r="AF7600" s="500"/>
      <c r="AG7600" s="500"/>
      <c r="AH7600" s="500"/>
      <c r="AI7600" s="500"/>
      <c r="AJ7600" s="500"/>
      <c r="AK7600" s="500"/>
      <c r="AL7600" s="500"/>
      <c r="AM7600" s="500"/>
      <c r="AN7600" s="500"/>
      <c r="AO7600" s="500"/>
      <c r="AP7600" s="500"/>
    </row>
    <row r="7601" spans="1:42" ht="16.5" customHeight="1">
      <c r="A7601" s="439"/>
      <c r="B7601" s="439"/>
      <c r="C7601" s="439"/>
      <c r="D7601" s="439"/>
      <c r="E7601" s="439"/>
      <c r="F7601" s="439"/>
      <c r="Z7601" s="500"/>
      <c r="AA7601" s="500"/>
      <c r="AB7601" s="500"/>
      <c r="AC7601" s="500"/>
      <c r="AD7601" s="500"/>
      <c r="AE7601" s="500"/>
      <c r="AF7601" s="500"/>
      <c r="AG7601" s="500"/>
      <c r="AH7601" s="500"/>
      <c r="AI7601" s="500"/>
      <c r="AJ7601" s="500"/>
      <c r="AK7601" s="500"/>
      <c r="AL7601" s="500"/>
      <c r="AM7601" s="500"/>
      <c r="AN7601" s="500"/>
      <c r="AO7601" s="500"/>
      <c r="AP7601" s="500"/>
    </row>
    <row r="7602" spans="1:42" ht="16.5" customHeight="1">
      <c r="A7602" s="439"/>
      <c r="B7602" s="439"/>
      <c r="C7602" s="439"/>
      <c r="D7602" s="439"/>
      <c r="E7602" s="439"/>
      <c r="F7602" s="439"/>
      <c r="Z7602" s="500"/>
      <c r="AA7602" s="500"/>
      <c r="AB7602" s="500"/>
      <c r="AC7602" s="500"/>
      <c r="AD7602" s="500"/>
      <c r="AE7602" s="500"/>
      <c r="AF7602" s="500"/>
      <c r="AG7602" s="500"/>
      <c r="AH7602" s="500"/>
      <c r="AI7602" s="500"/>
      <c r="AJ7602" s="500"/>
      <c r="AK7602" s="500"/>
      <c r="AL7602" s="500"/>
      <c r="AM7602" s="500"/>
      <c r="AN7602" s="500"/>
      <c r="AO7602" s="500"/>
      <c r="AP7602" s="500"/>
    </row>
    <row r="7603" spans="1:42" ht="16.5" customHeight="1">
      <c r="A7603" s="497"/>
      <c r="B7603" s="497"/>
      <c r="C7603" s="497"/>
      <c r="D7603" s="497"/>
      <c r="E7603" s="497"/>
      <c r="F7603" s="497"/>
      <c r="Z7603" s="500"/>
      <c r="AA7603" s="500"/>
      <c r="AB7603" s="500"/>
      <c r="AC7603" s="500"/>
      <c r="AD7603" s="500"/>
      <c r="AE7603" s="500"/>
      <c r="AF7603" s="500"/>
      <c r="AG7603" s="500"/>
      <c r="AH7603" s="500"/>
      <c r="AI7603" s="500"/>
      <c r="AJ7603" s="500"/>
      <c r="AK7603" s="500"/>
      <c r="AL7603" s="500"/>
      <c r="AM7603" s="500"/>
      <c r="AN7603" s="500"/>
      <c r="AO7603" s="500"/>
      <c r="AP7603" s="500"/>
    </row>
    <row r="7604" spans="1:42" ht="16.5" customHeight="1">
      <c r="A7604" s="616" t="s">
        <v>3487</v>
      </c>
      <c r="B7604" s="605"/>
      <c r="C7604" s="446">
        <f>E7604+D7604+F7604</f>
        <v>1386016</v>
      </c>
      <c r="D7604" s="453">
        <f>ROUNDDOWN(SUMIF(N7507:N7566,M7604,D7507:D7566),0)</f>
        <v>1375031</v>
      </c>
      <c r="E7604" s="454">
        <f>ROUNDDOWN(SUMIF(N7507:N7566,M7604,E7507:E7566),0)</f>
        <v>10985</v>
      </c>
      <c r="F7604" s="446">
        <f>ROUNDDOWN(SUMIF(N7507:N7566,M7604,F7507:F7566),0)</f>
        <v>0</v>
      </c>
      <c r="M7604" s="501" t="s">
        <v>2354</v>
      </c>
      <c r="Z7604" s="500"/>
      <c r="AA7604" s="500"/>
      <c r="AB7604" s="500"/>
      <c r="AC7604" s="500"/>
      <c r="AD7604" s="500"/>
      <c r="AE7604" s="500"/>
      <c r="AF7604" s="500"/>
      <c r="AG7604" s="500"/>
      <c r="AH7604" s="500"/>
      <c r="AI7604" s="500"/>
      <c r="AJ7604" s="500"/>
      <c r="AK7604" s="500"/>
      <c r="AL7604" s="500"/>
      <c r="AM7604" s="500"/>
      <c r="AN7604" s="500"/>
      <c r="AO7604" s="500"/>
      <c r="AP7604" s="500"/>
    </row>
    <row r="7605" spans="1:42" ht="16.5" customHeight="1">
      <c r="A7605" s="502" t="s">
        <v>3382</v>
      </c>
      <c r="B7605" s="503" t="s">
        <v>3381</v>
      </c>
      <c r="C7605" s="615">
        <f>C7654</f>
        <v>585976</v>
      </c>
      <c r="D7605" s="615">
        <f>D7654</f>
        <v>574487</v>
      </c>
      <c r="E7605" s="615">
        <f>E7654</f>
        <v>0</v>
      </c>
      <c r="F7605" s="615">
        <f>F7654</f>
        <v>11489</v>
      </c>
      <c r="G7605" s="486" t="str">
        <f>HYPERLINK("#G"&amp;ROW(G7631),"_x0005_`BDCOD|D01230_x0007_`POSS|"&amp;ROW(G7607)&amp;"_x0007_`POSE|"&amp;ROW(G7631)&amp;"_x0007_`")</f>
        <v>_x0005_`BDCOD|D01230_x0007_`POSS|7607_x0007_`POSE|7631_x0007_`</v>
      </c>
      <c r="Z7605" s="500"/>
      <c r="AA7605" s="500"/>
      <c r="AB7605" s="500"/>
      <c r="AC7605" s="500"/>
      <c r="AD7605" s="500"/>
      <c r="AE7605" s="500"/>
      <c r="AF7605" s="500"/>
      <c r="AG7605" s="500"/>
      <c r="AH7605" s="500"/>
      <c r="AI7605" s="500"/>
      <c r="AJ7605" s="500"/>
      <c r="AK7605" s="500"/>
      <c r="AL7605" s="500"/>
      <c r="AM7605" s="500"/>
      <c r="AN7605" s="500"/>
      <c r="AO7605" s="500"/>
      <c r="AP7605" s="500"/>
    </row>
    <row r="7606" spans="1:42" ht="16.5" customHeight="1">
      <c r="A7606" s="485"/>
      <c r="B7606" s="503" t="s">
        <v>4277</v>
      </c>
      <c r="C7606" s="593"/>
      <c r="D7606" s="593"/>
      <c r="E7606" s="593"/>
      <c r="F7606" s="593"/>
      <c r="M7606" s="501" t="s">
        <v>3381</v>
      </c>
      <c r="Z7606" s="500"/>
      <c r="AA7606" s="500"/>
      <c r="AB7606" s="500"/>
      <c r="AC7606" s="500"/>
      <c r="AD7606" s="500"/>
      <c r="AE7606" s="500"/>
      <c r="AF7606" s="500"/>
      <c r="AG7606" s="500"/>
      <c r="AH7606" s="500"/>
      <c r="AI7606" s="500"/>
      <c r="AJ7606" s="500"/>
      <c r="AK7606" s="500"/>
      <c r="AL7606" s="500"/>
      <c r="AM7606" s="500"/>
      <c r="AN7606" s="500"/>
      <c r="AO7606" s="500"/>
      <c r="AP7606" s="500"/>
    </row>
    <row r="7607" spans="1:42" ht="16.5" customHeight="1">
      <c r="A7607" s="439"/>
      <c r="B7607" s="439"/>
      <c r="C7607" s="504"/>
      <c r="D7607" s="504"/>
      <c r="E7607" s="504"/>
      <c r="F7607" s="504"/>
      <c r="G7607" s="451" t="s">
        <v>3406</v>
      </c>
      <c r="Z7607" s="500"/>
      <c r="AA7607" s="500"/>
      <c r="AB7607" s="500"/>
      <c r="AC7607" s="500"/>
      <c r="AD7607" s="500"/>
      <c r="AE7607" s="500"/>
      <c r="AF7607" s="500"/>
      <c r="AG7607" s="500"/>
      <c r="AH7607" s="500"/>
      <c r="AI7607" s="500"/>
      <c r="AJ7607" s="500"/>
      <c r="AK7607" s="500"/>
      <c r="AL7607" s="500"/>
      <c r="AM7607" s="500"/>
      <c r="AN7607" s="500"/>
      <c r="AO7607" s="500"/>
      <c r="AP7607" s="500"/>
    </row>
    <row r="7608" spans="1:42" ht="16.5" customHeight="1">
      <c r="A7608" s="434"/>
      <c r="B7608" s="437" t="s">
        <v>4278</v>
      </c>
      <c r="C7608" s="439"/>
      <c r="D7608" s="439"/>
      <c r="E7608" s="439"/>
      <c r="F7608" s="439"/>
      <c r="G7608" s="451" t="s">
        <v>4279</v>
      </c>
      <c r="Z7608" s="500"/>
      <c r="AA7608" s="500"/>
      <c r="AB7608" s="500"/>
      <c r="AC7608" s="500"/>
      <c r="AD7608" s="500"/>
      <c r="AE7608" s="500"/>
      <c r="AF7608" s="500"/>
      <c r="AG7608" s="500"/>
      <c r="AH7608" s="500"/>
      <c r="AI7608" s="500"/>
      <c r="AJ7608" s="500"/>
      <c r="AK7608" s="500"/>
      <c r="AL7608" s="500"/>
      <c r="AM7608" s="500"/>
      <c r="AN7608" s="500"/>
      <c r="AO7608" s="500"/>
      <c r="AP7608" s="500"/>
    </row>
    <row r="7609" spans="1:42" ht="16.5" customHeight="1">
      <c r="A7609" s="439"/>
      <c r="B7609" s="439"/>
      <c r="C7609" s="439"/>
      <c r="D7609" s="439"/>
      <c r="E7609" s="439"/>
      <c r="F7609" s="439"/>
      <c r="G7609" s="451" t="s">
        <v>3406</v>
      </c>
      <c r="Z7609" s="500"/>
      <c r="AA7609" s="500"/>
      <c r="AB7609" s="500"/>
      <c r="AC7609" s="500"/>
      <c r="AD7609" s="500"/>
      <c r="AE7609" s="500"/>
      <c r="AF7609" s="500"/>
      <c r="AG7609" s="500"/>
      <c r="AH7609" s="500"/>
      <c r="AI7609" s="500"/>
      <c r="AJ7609" s="500"/>
      <c r="AK7609" s="500"/>
      <c r="AL7609" s="500"/>
      <c r="AM7609" s="500"/>
      <c r="AN7609" s="500"/>
      <c r="AO7609" s="500"/>
      <c r="AP7609" s="500"/>
    </row>
    <row r="7610" spans="1:42" ht="16.5" customHeight="1">
      <c r="A7610" s="434"/>
      <c r="B7610" s="437" t="s">
        <v>4280</v>
      </c>
      <c r="C7610" s="439"/>
      <c r="D7610" s="439"/>
      <c r="E7610" s="439"/>
      <c r="F7610" s="439"/>
      <c r="G7610" s="451" t="s">
        <v>4281</v>
      </c>
      <c r="Z7610" s="500"/>
      <c r="AA7610" s="500"/>
      <c r="AB7610" s="500"/>
      <c r="AC7610" s="500"/>
      <c r="AD7610" s="500"/>
      <c r="AE7610" s="500"/>
      <c r="AF7610" s="500"/>
      <c r="AG7610" s="500"/>
      <c r="AH7610" s="500"/>
      <c r="AI7610" s="500"/>
      <c r="AJ7610" s="500"/>
      <c r="AK7610" s="500"/>
      <c r="AL7610" s="500"/>
      <c r="AM7610" s="500"/>
      <c r="AN7610" s="500"/>
      <c r="AO7610" s="500"/>
      <c r="AP7610" s="500"/>
    </row>
    <row r="7611" spans="1:42" ht="16.5" customHeight="1">
      <c r="A7611" s="439"/>
      <c r="B7611" s="439"/>
      <c r="C7611" s="439"/>
      <c r="D7611" s="439"/>
      <c r="E7611" s="439"/>
      <c r="F7611" s="439"/>
      <c r="G7611" s="451" t="s">
        <v>3406</v>
      </c>
      <c r="Z7611" s="500"/>
      <c r="AA7611" s="500"/>
      <c r="AB7611" s="500"/>
      <c r="AC7611" s="500"/>
      <c r="AD7611" s="500"/>
      <c r="AE7611" s="500"/>
      <c r="AF7611" s="500"/>
      <c r="AG7611" s="500"/>
      <c r="AH7611" s="500"/>
      <c r="AI7611" s="500"/>
      <c r="AJ7611" s="500"/>
      <c r="AK7611" s="500"/>
      <c r="AL7611" s="500"/>
      <c r="AM7611" s="500"/>
      <c r="AN7611" s="500"/>
      <c r="AO7611" s="500"/>
      <c r="AP7611" s="500"/>
    </row>
    <row r="7612" spans="1:42" ht="16.5" customHeight="1">
      <c r="A7612" s="434"/>
      <c r="B7612" s="437" t="s">
        <v>4282</v>
      </c>
      <c r="C7612" s="439"/>
      <c r="D7612" s="439"/>
      <c r="E7612" s="439"/>
      <c r="F7612" s="439"/>
      <c r="G7612" s="451" t="s">
        <v>4283</v>
      </c>
      <c r="Z7612" s="500"/>
      <c r="AA7612" s="500"/>
      <c r="AB7612" s="500"/>
      <c r="AC7612" s="500"/>
      <c r="AD7612" s="500"/>
      <c r="AE7612" s="500"/>
      <c r="AF7612" s="500"/>
      <c r="AG7612" s="500"/>
      <c r="AH7612" s="500"/>
      <c r="AI7612" s="500"/>
      <c r="AJ7612" s="500"/>
      <c r="AK7612" s="500"/>
      <c r="AL7612" s="500"/>
      <c r="AM7612" s="500"/>
      <c r="AN7612" s="500"/>
      <c r="AO7612" s="500"/>
      <c r="AP7612" s="500"/>
    </row>
    <row r="7613" spans="1:42" ht="16.5" customHeight="1">
      <c r="A7613" s="439"/>
      <c r="B7613" s="439"/>
      <c r="C7613" s="439"/>
      <c r="D7613" s="439"/>
      <c r="E7613" s="439"/>
      <c r="F7613" s="439"/>
      <c r="G7613" s="451" t="s">
        <v>3406</v>
      </c>
      <c r="Z7613" s="500"/>
      <c r="AA7613" s="500"/>
      <c r="AB7613" s="500"/>
      <c r="AC7613" s="500"/>
      <c r="AD7613" s="500"/>
      <c r="AE7613" s="500"/>
      <c r="AF7613" s="500"/>
      <c r="AG7613" s="500"/>
      <c r="AH7613" s="500"/>
      <c r="AI7613" s="500"/>
      <c r="AJ7613" s="500"/>
      <c r="AK7613" s="500"/>
      <c r="AL7613" s="500"/>
      <c r="AM7613" s="500"/>
      <c r="AN7613" s="500"/>
      <c r="AO7613" s="500"/>
      <c r="AP7613" s="500"/>
    </row>
    <row r="7614" spans="1:42" ht="16.5" customHeight="1">
      <c r="A7614" s="434"/>
      <c r="B7614" s="437" t="s">
        <v>4284</v>
      </c>
      <c r="C7614" s="439"/>
      <c r="D7614" s="439"/>
      <c r="E7614" s="439"/>
      <c r="F7614" s="439"/>
      <c r="G7614" s="451" t="s">
        <v>4285</v>
      </c>
      <c r="Z7614" s="500"/>
      <c r="AA7614" s="500"/>
      <c r="AB7614" s="500"/>
      <c r="AC7614" s="500"/>
      <c r="AD7614" s="500"/>
      <c r="AE7614" s="500"/>
      <c r="AF7614" s="500"/>
      <c r="AG7614" s="500"/>
      <c r="AH7614" s="500"/>
      <c r="AI7614" s="500"/>
      <c r="AJ7614" s="500"/>
      <c r="AK7614" s="500"/>
      <c r="AL7614" s="500"/>
      <c r="AM7614" s="500"/>
      <c r="AN7614" s="500"/>
      <c r="AO7614" s="500"/>
      <c r="AP7614" s="500"/>
    </row>
    <row r="7615" spans="1:42" ht="16.5" customHeight="1">
      <c r="A7615" s="439"/>
      <c r="B7615" s="439"/>
      <c r="C7615" s="439"/>
      <c r="D7615" s="439"/>
      <c r="E7615" s="439"/>
      <c r="F7615" s="439"/>
      <c r="G7615" s="451" t="s">
        <v>3406</v>
      </c>
      <c r="Z7615" s="500"/>
      <c r="AA7615" s="500"/>
      <c r="AB7615" s="500"/>
      <c r="AC7615" s="500"/>
      <c r="AD7615" s="500"/>
      <c r="AE7615" s="500"/>
      <c r="AF7615" s="500"/>
      <c r="AG7615" s="500"/>
      <c r="AH7615" s="500"/>
      <c r="AI7615" s="500"/>
      <c r="AJ7615" s="500"/>
      <c r="AK7615" s="500"/>
      <c r="AL7615" s="500"/>
      <c r="AM7615" s="500"/>
      <c r="AN7615" s="500"/>
      <c r="AO7615" s="500"/>
      <c r="AP7615" s="500"/>
    </row>
    <row r="7616" spans="1:42" ht="16.5" customHeight="1">
      <c r="A7616" s="434"/>
      <c r="B7616" s="437" t="s">
        <v>4258</v>
      </c>
      <c r="C7616" s="439"/>
      <c r="D7616" s="439"/>
      <c r="E7616" s="439"/>
      <c r="F7616" s="439"/>
      <c r="G7616" s="451" t="s">
        <v>4259</v>
      </c>
      <c r="Z7616" s="500"/>
      <c r="AA7616" s="500"/>
      <c r="AB7616" s="500"/>
      <c r="AC7616" s="500"/>
      <c r="AD7616" s="500"/>
      <c r="AE7616" s="500"/>
      <c r="AF7616" s="500"/>
      <c r="AG7616" s="500"/>
      <c r="AH7616" s="500"/>
      <c r="AI7616" s="500"/>
      <c r="AJ7616" s="500"/>
      <c r="AK7616" s="500"/>
      <c r="AL7616" s="500"/>
      <c r="AM7616" s="500"/>
      <c r="AN7616" s="500"/>
      <c r="AO7616" s="500"/>
      <c r="AP7616" s="500"/>
    </row>
    <row r="7617" spans="1:42" ht="16.5" customHeight="1">
      <c r="A7617" s="439"/>
      <c r="B7617" s="439"/>
      <c r="C7617" s="439"/>
      <c r="D7617" s="439"/>
      <c r="E7617" s="439"/>
      <c r="F7617" s="439"/>
      <c r="G7617" s="451" t="s">
        <v>3406</v>
      </c>
      <c r="Z7617" s="500"/>
      <c r="AA7617" s="500"/>
      <c r="AB7617" s="500"/>
      <c r="AC7617" s="500"/>
      <c r="AD7617" s="500"/>
      <c r="AE7617" s="500"/>
      <c r="AF7617" s="500"/>
      <c r="AG7617" s="500"/>
      <c r="AH7617" s="500"/>
      <c r="AI7617" s="500"/>
      <c r="AJ7617" s="500"/>
      <c r="AK7617" s="500"/>
      <c r="AL7617" s="500"/>
      <c r="AM7617" s="500"/>
      <c r="AN7617" s="500"/>
      <c r="AO7617" s="500"/>
      <c r="AP7617" s="500"/>
    </row>
    <row r="7618" spans="1:42" ht="16.5" customHeight="1">
      <c r="A7618" s="434" t="s">
        <v>4260</v>
      </c>
      <c r="B7618" s="505" t="str">
        <f>"   "&amp;Z7618&amp;" 인  / "&amp;AB7618&amp;" ton  *  철근공 : "&amp;TEXT(I7618,"#,##0"&amp;IF(I7618&lt;&gt;INT(I7618),".###",""))&amp;" = "&amp;TEXT(C7618,"#,##0.0")&amp;" "</f>
        <v xml:space="preserve">   6 인  / 3.4 ton  *  철근공 : 268,187 = 473,271.1 </v>
      </c>
      <c r="C7618" s="506">
        <f>E7618+D7618+F7618</f>
        <v>473271.1</v>
      </c>
      <c r="D7618" s="506">
        <f>IF(H7618=0,0,ROUNDDOWN(J7618*H7618,1))</f>
        <v>473271.1</v>
      </c>
      <c r="E7618" s="506">
        <f>IF(H7618=0,0,ROUNDDOWN(K7618*H7618,1))</f>
        <v>0</v>
      </c>
      <c r="F7618" s="506">
        <f>IF(H7618=0,0,ROUNDDOWN(L7618*H7618,1))</f>
        <v>0</v>
      </c>
      <c r="G7618" s="451" t="s">
        <v>4286</v>
      </c>
      <c r="H7618" s="507">
        <f>ROUNDUP(AE7618,14-LEN(ABS(INT(AE7618))))</f>
        <v>1.764705882353</v>
      </c>
      <c r="I7618" s="508">
        <f>K7618+J7618+L7618</f>
        <v>268187</v>
      </c>
      <c r="J7618" s="509">
        <f>노무비목록표!E19</f>
        <v>268187</v>
      </c>
      <c r="M7618" s="501" t="s">
        <v>4262</v>
      </c>
      <c r="N7618" s="501" t="s">
        <v>3416</v>
      </c>
      <c r="O7618" s="501" t="s">
        <v>2355</v>
      </c>
      <c r="X7618" s="510" t="str">
        <f>노무비목록표!B19&amp;" / "&amp;노무비목록표!C19</f>
        <v xml:space="preserve">철근공 / </v>
      </c>
      <c r="Y7618" s="433" t="str">
        <f ca="1">HYPERLINK("#"&amp;노무비목록표!G2&amp;"!A"&amp;ROW(노무비목록표!A19),"L00001 →")</f>
        <v>L00001 →</v>
      </c>
      <c r="Z7618" s="515">
        <v>6</v>
      </c>
      <c r="AA7618" s="501" t="s">
        <v>3428</v>
      </c>
      <c r="AB7618" s="511">
        <v>3.4</v>
      </c>
      <c r="AC7618" s="501" t="s">
        <v>3753</v>
      </c>
      <c r="AD7618" s="501" t="s">
        <v>3418</v>
      </c>
      <c r="AE7618" s="512">
        <f>Z7618/AB7618*1</f>
        <v>1.7647058823529411</v>
      </c>
      <c r="AF7618" s="500"/>
      <c r="AG7618" s="500"/>
      <c r="AH7618" s="500"/>
      <c r="AI7618" s="500"/>
      <c r="AJ7618" s="500"/>
      <c r="AK7618" s="500"/>
      <c r="AL7618" s="500"/>
      <c r="AM7618" s="500"/>
      <c r="AN7618" s="500"/>
      <c r="AO7618" s="500"/>
      <c r="AP7618" s="500"/>
    </row>
    <row r="7619" spans="1:42" ht="16.5" customHeight="1">
      <c r="A7619" s="439"/>
      <c r="B7619" s="439"/>
      <c r="C7619" s="439"/>
      <c r="D7619" s="439"/>
      <c r="E7619" s="439"/>
      <c r="F7619" s="439"/>
      <c r="G7619" s="451" t="s">
        <v>3406</v>
      </c>
      <c r="Z7619" s="500"/>
      <c r="AA7619" s="500"/>
      <c r="AB7619" s="500"/>
      <c r="AC7619" s="500"/>
      <c r="AD7619" s="500"/>
      <c r="AE7619" s="500"/>
      <c r="AF7619" s="500"/>
      <c r="AG7619" s="500"/>
      <c r="AH7619" s="500"/>
      <c r="AI7619" s="500"/>
      <c r="AJ7619" s="500"/>
      <c r="AK7619" s="500"/>
      <c r="AL7619" s="500"/>
      <c r="AM7619" s="500"/>
      <c r="AN7619" s="500"/>
      <c r="AO7619" s="500"/>
      <c r="AP7619" s="500"/>
    </row>
    <row r="7620" spans="1:42" ht="16.5" customHeight="1">
      <c r="A7620" s="439"/>
      <c r="B7620" s="439"/>
      <c r="C7620" s="439"/>
      <c r="D7620" s="439"/>
      <c r="E7620" s="439"/>
      <c r="F7620" s="439"/>
      <c r="G7620" s="451" t="s">
        <v>3406</v>
      </c>
      <c r="Z7620" s="500"/>
      <c r="AA7620" s="500"/>
      <c r="AB7620" s="500"/>
      <c r="AC7620" s="500"/>
      <c r="AD7620" s="500"/>
      <c r="AE7620" s="500"/>
      <c r="AF7620" s="500"/>
      <c r="AG7620" s="500"/>
      <c r="AH7620" s="500"/>
      <c r="AI7620" s="500"/>
      <c r="AJ7620" s="500"/>
      <c r="AK7620" s="500"/>
      <c r="AL7620" s="500"/>
      <c r="AM7620" s="500"/>
      <c r="AN7620" s="500"/>
      <c r="AO7620" s="500"/>
      <c r="AP7620" s="500"/>
    </row>
    <row r="7621" spans="1:42" ht="16.5" customHeight="1">
      <c r="A7621" s="434"/>
      <c r="B7621" s="437" t="s">
        <v>4263</v>
      </c>
      <c r="C7621" s="439"/>
      <c r="D7621" s="439"/>
      <c r="E7621" s="439"/>
      <c r="F7621" s="439"/>
      <c r="G7621" s="451" t="s">
        <v>4264</v>
      </c>
      <c r="Z7621" s="500"/>
      <c r="AA7621" s="500"/>
      <c r="AB7621" s="500"/>
      <c r="AC7621" s="500"/>
      <c r="AD7621" s="500"/>
      <c r="AE7621" s="500"/>
      <c r="AF7621" s="500"/>
      <c r="AG7621" s="500"/>
      <c r="AH7621" s="500"/>
      <c r="AI7621" s="500"/>
      <c r="AJ7621" s="500"/>
      <c r="AK7621" s="500"/>
      <c r="AL7621" s="500"/>
      <c r="AM7621" s="500"/>
      <c r="AN7621" s="500"/>
      <c r="AO7621" s="500"/>
      <c r="AP7621" s="500"/>
    </row>
    <row r="7622" spans="1:42" ht="16.5" customHeight="1">
      <c r="A7622" s="439"/>
      <c r="B7622" s="439"/>
      <c r="C7622" s="439"/>
      <c r="D7622" s="439"/>
      <c r="E7622" s="439"/>
      <c r="F7622" s="439"/>
      <c r="G7622" s="451" t="s">
        <v>3406</v>
      </c>
      <c r="Z7622" s="500"/>
      <c r="AA7622" s="500"/>
      <c r="AB7622" s="500"/>
      <c r="AC7622" s="500"/>
      <c r="AD7622" s="500"/>
      <c r="AE7622" s="500"/>
      <c r="AF7622" s="500"/>
      <c r="AG7622" s="500"/>
      <c r="AH7622" s="500"/>
      <c r="AI7622" s="500"/>
      <c r="AJ7622" s="500"/>
      <c r="AK7622" s="500"/>
      <c r="AL7622" s="500"/>
      <c r="AM7622" s="500"/>
      <c r="AN7622" s="500"/>
      <c r="AO7622" s="500"/>
      <c r="AP7622" s="500"/>
    </row>
    <row r="7623" spans="1:42" ht="16.5" customHeight="1">
      <c r="A7623" s="434" t="s">
        <v>3414</v>
      </c>
      <c r="B7623" s="505" t="str">
        <f>"   "&amp;Z7623&amp;" 인  / "&amp;AB7623&amp;" ton  *  보통인부 : "&amp;TEXT(I7623,"#,##0"&amp;IF(I7623&lt;&gt;INT(I7623),".###",""))&amp;" = "&amp;TEXT(C7623,"#,##0.0")&amp;" "</f>
        <v xml:space="preserve">   2 인  / 3.4 ton  *  보통인부 : 172,068 = 101,216.4 </v>
      </c>
      <c r="C7623" s="506">
        <f>E7623+D7623+F7623</f>
        <v>101216.4</v>
      </c>
      <c r="D7623" s="506">
        <f>IF(H7623=0,0,ROUNDDOWN(J7623*H7623,1))</f>
        <v>101216.4</v>
      </c>
      <c r="E7623" s="506">
        <f>IF(H7623=0,0,ROUNDDOWN(K7623*H7623,1))</f>
        <v>0</v>
      </c>
      <c r="F7623" s="506">
        <f>IF(H7623=0,0,ROUNDDOWN(L7623*H7623,1))</f>
        <v>0</v>
      </c>
      <c r="G7623" s="451" t="s">
        <v>4287</v>
      </c>
      <c r="H7623" s="507">
        <f>ROUNDUP(AE7623,14-LEN(ABS(INT(AE7623))))</f>
        <v>0.58823529411770004</v>
      </c>
      <c r="I7623" s="508">
        <f>K7623+J7623+L7623</f>
        <v>172068</v>
      </c>
      <c r="J7623" s="509">
        <f>노무비목록표!E10</f>
        <v>172068</v>
      </c>
      <c r="M7623" s="501" t="s">
        <v>2363</v>
      </c>
      <c r="N7623" s="501" t="s">
        <v>3416</v>
      </c>
      <c r="O7623" s="501" t="s">
        <v>2355</v>
      </c>
      <c r="X7623" s="510" t="str">
        <f>노무비목록표!B10&amp;" / "&amp;노무비목록표!C10</f>
        <v xml:space="preserve">보통인부 / </v>
      </c>
      <c r="Y7623" s="433" t="str">
        <f ca="1">HYPERLINK("#"&amp;노무비목록표!G2&amp;"!A"&amp;ROW(노무비목록표!A10),"L00017 →")</f>
        <v>L00017 →</v>
      </c>
      <c r="Z7623" s="515">
        <v>2</v>
      </c>
      <c r="AA7623" s="501" t="s">
        <v>3428</v>
      </c>
      <c r="AB7623" s="511">
        <v>3.4</v>
      </c>
      <c r="AC7623" s="501" t="s">
        <v>3753</v>
      </c>
      <c r="AD7623" s="501" t="s">
        <v>3418</v>
      </c>
      <c r="AE7623" s="512">
        <f>Z7623/AB7623*1</f>
        <v>0.58823529411764708</v>
      </c>
      <c r="AF7623" s="500"/>
      <c r="AG7623" s="500"/>
      <c r="AH7623" s="500"/>
      <c r="AI7623" s="500"/>
      <c r="AJ7623" s="500"/>
      <c r="AK7623" s="500"/>
      <c r="AL7623" s="500"/>
      <c r="AM7623" s="500"/>
      <c r="AN7623" s="500"/>
      <c r="AO7623" s="500"/>
      <c r="AP7623" s="500"/>
    </row>
    <row r="7624" spans="1:42" ht="16.5" customHeight="1">
      <c r="A7624" s="439"/>
      <c r="B7624" s="439"/>
      <c r="C7624" s="439"/>
      <c r="D7624" s="439"/>
      <c r="E7624" s="439"/>
      <c r="F7624" s="439"/>
      <c r="G7624" s="451" t="s">
        <v>3406</v>
      </c>
      <c r="Z7624" s="500"/>
      <c r="AA7624" s="500"/>
      <c r="AB7624" s="500"/>
      <c r="AC7624" s="500"/>
      <c r="AD7624" s="500"/>
      <c r="AE7624" s="500"/>
      <c r="AF7624" s="500"/>
      <c r="AG7624" s="500"/>
      <c r="AH7624" s="500"/>
      <c r="AI7624" s="500"/>
      <c r="AJ7624" s="500"/>
      <c r="AK7624" s="500"/>
      <c r="AL7624" s="500"/>
      <c r="AM7624" s="500"/>
      <c r="AN7624" s="500"/>
      <c r="AO7624" s="500"/>
      <c r="AP7624" s="500"/>
    </row>
    <row r="7625" spans="1:42" ht="16.5" customHeight="1">
      <c r="A7625" s="439"/>
      <c r="B7625" s="439"/>
      <c r="C7625" s="439"/>
      <c r="D7625" s="439"/>
      <c r="E7625" s="439"/>
      <c r="F7625" s="439"/>
      <c r="G7625" s="451" t="s">
        <v>3406</v>
      </c>
      <c r="Z7625" s="500"/>
      <c r="AA7625" s="500"/>
      <c r="AB7625" s="500"/>
      <c r="AC7625" s="500"/>
      <c r="AD7625" s="500"/>
      <c r="AE7625" s="500"/>
      <c r="AF7625" s="500"/>
      <c r="AG7625" s="500"/>
      <c r="AH7625" s="500"/>
      <c r="AI7625" s="500"/>
      <c r="AJ7625" s="500"/>
      <c r="AK7625" s="500"/>
      <c r="AL7625" s="500"/>
      <c r="AM7625" s="500"/>
      <c r="AN7625" s="500"/>
      <c r="AO7625" s="500"/>
      <c r="AP7625" s="500"/>
    </row>
    <row r="7626" spans="1:42" ht="16.5" customHeight="1">
      <c r="A7626" s="434"/>
      <c r="B7626" s="437" t="s">
        <v>4288</v>
      </c>
      <c r="C7626" s="439"/>
      <c r="D7626" s="439"/>
      <c r="E7626" s="439"/>
      <c r="F7626" s="439"/>
      <c r="G7626" s="451" t="s">
        <v>4289</v>
      </c>
      <c r="Z7626" s="500"/>
      <c r="AA7626" s="500"/>
      <c r="AB7626" s="500"/>
      <c r="AC7626" s="500"/>
      <c r="AD7626" s="500"/>
      <c r="AE7626" s="500"/>
      <c r="AF7626" s="500"/>
      <c r="AG7626" s="500"/>
      <c r="AH7626" s="500"/>
      <c r="AI7626" s="500"/>
      <c r="AJ7626" s="500"/>
      <c r="AK7626" s="500"/>
      <c r="AL7626" s="500"/>
      <c r="AM7626" s="500"/>
      <c r="AN7626" s="500"/>
      <c r="AO7626" s="500"/>
      <c r="AP7626" s="500"/>
    </row>
    <row r="7627" spans="1:42" ht="16.5" customHeight="1">
      <c r="A7627" s="439"/>
      <c r="B7627" s="439"/>
      <c r="C7627" s="439"/>
      <c r="D7627" s="439"/>
      <c r="E7627" s="439"/>
      <c r="F7627" s="439"/>
      <c r="G7627" s="451" t="s">
        <v>3406</v>
      </c>
      <c r="Z7627" s="500"/>
      <c r="AA7627" s="500"/>
      <c r="AB7627" s="500"/>
      <c r="AC7627" s="500"/>
      <c r="AD7627" s="500"/>
      <c r="AE7627" s="500"/>
      <c r="AF7627" s="500"/>
      <c r="AG7627" s="500"/>
      <c r="AH7627" s="500"/>
      <c r="AI7627" s="500"/>
      <c r="AJ7627" s="500"/>
      <c r="AK7627" s="500"/>
      <c r="AL7627" s="500"/>
      <c r="AM7627" s="500"/>
      <c r="AN7627" s="500"/>
      <c r="AO7627" s="500"/>
      <c r="AP7627" s="500"/>
    </row>
    <row r="7628" spans="1:42" ht="16.5" customHeight="1">
      <c r="A7628" s="434"/>
      <c r="B7628" s="505" t="str">
        <f>"  기계경비 : "&amp;TEXT(I7628,"#,##0.0")&amp;" * "&amp;AA7628&amp;" %  = "&amp;TEXT(C7628,"#,##0.0")&amp;""</f>
        <v xml:space="preserve">  기계경비 : 574,487.5 * 2 %  = 11,489.7</v>
      </c>
      <c r="C7628" s="506">
        <f>E7628+D7628+F7628</f>
        <v>11489.7</v>
      </c>
      <c r="D7628" s="506">
        <f>IF(H7628=0,0,ROUNDDOWN(J7628*H7628/100,1))</f>
        <v>0</v>
      </c>
      <c r="E7628" s="506">
        <f>IF(H7628=0,0,ROUNDDOWN(K7628*H7628/100,1))</f>
        <v>0</v>
      </c>
      <c r="F7628" s="506">
        <f>IF(H7628=0,0,ROUNDDOWN(L7628*H7628/100,1))</f>
        <v>11489.7</v>
      </c>
      <c r="G7628" s="451" t="s">
        <v>4290</v>
      </c>
      <c r="H7628" s="507">
        <f>ROUNDUP(AC7628,14-LEN(ABS(INT(AC7628))))</f>
        <v>2</v>
      </c>
      <c r="I7628" s="508">
        <f>K7628+J7628+L7628</f>
        <v>574487.5</v>
      </c>
      <c r="J7628" s="456">
        <v>0</v>
      </c>
      <c r="K7628" s="456">
        <v>0</v>
      </c>
      <c r="L7628" s="509">
        <f>D7618+D7623</f>
        <v>574487.5</v>
      </c>
      <c r="M7628" s="501" t="s">
        <v>3743</v>
      </c>
      <c r="N7628" s="501" t="s">
        <v>3416</v>
      </c>
      <c r="Z7628" s="501" t="s">
        <v>3500</v>
      </c>
      <c r="AA7628" s="515">
        <v>2</v>
      </c>
      <c r="AB7628" s="501" t="s">
        <v>3418</v>
      </c>
      <c r="AC7628" s="512">
        <f>1*AA7628</f>
        <v>2</v>
      </c>
      <c r="AD7628" s="500"/>
      <c r="AE7628" s="500"/>
      <c r="AF7628" s="500"/>
      <c r="AG7628" s="500"/>
      <c r="AH7628" s="500"/>
      <c r="AI7628" s="500"/>
      <c r="AJ7628" s="500"/>
      <c r="AK7628" s="500"/>
      <c r="AL7628" s="500"/>
      <c r="AM7628" s="500"/>
      <c r="AN7628" s="500"/>
      <c r="AO7628" s="500"/>
      <c r="AP7628" s="500"/>
    </row>
    <row r="7629" spans="1:42" ht="16.5" customHeight="1">
      <c r="A7629" s="439"/>
      <c r="B7629" s="439"/>
      <c r="C7629" s="439"/>
      <c r="D7629" s="439"/>
      <c r="E7629" s="439"/>
      <c r="F7629" s="439"/>
      <c r="G7629" s="451" t="s">
        <v>3406</v>
      </c>
      <c r="Z7629" s="500"/>
      <c r="AA7629" s="500"/>
      <c r="AB7629" s="500"/>
      <c r="AC7629" s="500"/>
      <c r="AD7629" s="500"/>
      <c r="AE7629" s="500"/>
      <c r="AF7629" s="500"/>
      <c r="AG7629" s="500"/>
      <c r="AH7629" s="500"/>
      <c r="AI7629" s="500"/>
      <c r="AJ7629" s="500"/>
      <c r="AK7629" s="500"/>
      <c r="AL7629" s="500"/>
      <c r="AM7629" s="500"/>
      <c r="AN7629" s="500"/>
      <c r="AO7629" s="500"/>
      <c r="AP7629" s="500"/>
    </row>
    <row r="7630" spans="1:42" ht="16.5" customHeight="1">
      <c r="A7630" s="439"/>
      <c r="B7630" s="439"/>
      <c r="C7630" s="439"/>
      <c r="D7630" s="439"/>
      <c r="E7630" s="439"/>
      <c r="F7630" s="439"/>
      <c r="G7630" s="451" t="s">
        <v>3406</v>
      </c>
      <c r="Z7630" s="500"/>
      <c r="AA7630" s="500"/>
      <c r="AB7630" s="500"/>
      <c r="AC7630" s="500"/>
      <c r="AD7630" s="500"/>
      <c r="AE7630" s="500"/>
      <c r="AF7630" s="500"/>
      <c r="AG7630" s="500"/>
      <c r="AH7630" s="500"/>
      <c r="AI7630" s="500"/>
      <c r="AJ7630" s="500"/>
      <c r="AK7630" s="500"/>
      <c r="AL7630" s="500"/>
      <c r="AM7630" s="500"/>
      <c r="AN7630" s="500"/>
      <c r="AO7630" s="500"/>
      <c r="AP7630" s="500"/>
    </row>
    <row r="7631" spans="1:42" ht="16.5" customHeight="1">
      <c r="A7631" s="434"/>
      <c r="B7631" s="437" t="s">
        <v>3419</v>
      </c>
      <c r="C7631" s="513">
        <f>E7631+D7631+F7631</f>
        <v>585977.19999999995</v>
      </c>
      <c r="D7631" s="513">
        <f>SUMIF(N7607:N7630,M7631,D7607:D7630)</f>
        <v>574487.5</v>
      </c>
      <c r="E7631" s="513">
        <f>SUMIF(N7607:N7630,M7631,E7607:E7630)</f>
        <v>0</v>
      </c>
      <c r="F7631" s="513">
        <f>SUMIF(N7607:N7630,M7631,F7607:F7630)</f>
        <v>11489.7</v>
      </c>
      <c r="G7631" s="451" t="s">
        <v>3420</v>
      </c>
      <c r="M7631" s="501" t="s">
        <v>3416</v>
      </c>
      <c r="N7631" s="501" t="s">
        <v>2354</v>
      </c>
      <c r="Z7631" s="500"/>
      <c r="AA7631" s="500"/>
      <c r="AB7631" s="500"/>
      <c r="AC7631" s="500"/>
      <c r="AD7631" s="500"/>
      <c r="AE7631" s="500"/>
      <c r="AF7631" s="500"/>
      <c r="AG7631" s="500"/>
      <c r="AH7631" s="500"/>
      <c r="AI7631" s="500"/>
      <c r="AJ7631" s="500"/>
      <c r="AK7631" s="500"/>
      <c r="AL7631" s="500"/>
      <c r="AM7631" s="500"/>
      <c r="AN7631" s="500"/>
      <c r="AO7631" s="500"/>
      <c r="AP7631" s="500"/>
    </row>
    <row r="7632" spans="1:42" ht="16.5" customHeight="1">
      <c r="A7632" s="439"/>
      <c r="B7632" s="439"/>
      <c r="C7632" s="504"/>
      <c r="D7632" s="504"/>
      <c r="E7632" s="504"/>
      <c r="F7632" s="504"/>
      <c r="Z7632" s="500"/>
      <c r="AA7632" s="500"/>
      <c r="AB7632" s="500"/>
      <c r="AC7632" s="500"/>
      <c r="AD7632" s="500"/>
      <c r="AE7632" s="500"/>
      <c r="AF7632" s="500"/>
      <c r="AG7632" s="500"/>
      <c r="AH7632" s="500"/>
      <c r="AI7632" s="500"/>
      <c r="AJ7632" s="500"/>
      <c r="AK7632" s="500"/>
      <c r="AL7632" s="500"/>
      <c r="AM7632" s="500"/>
      <c r="AN7632" s="500"/>
      <c r="AO7632" s="500"/>
      <c r="AP7632" s="500"/>
    </row>
    <row r="7633" spans="1:42" ht="16.5" customHeight="1">
      <c r="A7633" s="439"/>
      <c r="B7633" s="439"/>
      <c r="C7633" s="439"/>
      <c r="D7633" s="439"/>
      <c r="E7633" s="439"/>
      <c r="F7633" s="439"/>
      <c r="Z7633" s="500"/>
      <c r="AA7633" s="500"/>
      <c r="AB7633" s="500"/>
      <c r="AC7633" s="500"/>
      <c r="AD7633" s="500"/>
      <c r="AE7633" s="500"/>
      <c r="AF7633" s="500"/>
      <c r="AG7633" s="500"/>
      <c r="AH7633" s="500"/>
      <c r="AI7633" s="500"/>
      <c r="AJ7633" s="500"/>
      <c r="AK7633" s="500"/>
      <c r="AL7633" s="500"/>
      <c r="AM7633" s="500"/>
      <c r="AN7633" s="500"/>
      <c r="AO7633" s="500"/>
      <c r="AP7633" s="500"/>
    </row>
    <row r="7634" spans="1:42" ht="16.5" customHeight="1">
      <c r="A7634" s="439"/>
      <c r="B7634" s="439"/>
      <c r="C7634" s="439"/>
      <c r="D7634" s="439"/>
      <c r="E7634" s="439"/>
      <c r="F7634" s="439"/>
      <c r="Z7634" s="500"/>
      <c r="AA7634" s="500"/>
      <c r="AB7634" s="500"/>
      <c r="AC7634" s="500"/>
      <c r="AD7634" s="500"/>
      <c r="AE7634" s="500"/>
      <c r="AF7634" s="500"/>
      <c r="AG7634" s="500"/>
      <c r="AH7634" s="500"/>
      <c r="AI7634" s="500"/>
      <c r="AJ7634" s="500"/>
      <c r="AK7634" s="500"/>
      <c r="AL7634" s="500"/>
      <c r="AM7634" s="500"/>
      <c r="AN7634" s="500"/>
      <c r="AO7634" s="500"/>
      <c r="AP7634" s="500"/>
    </row>
    <row r="7635" spans="1:42" ht="16.5" customHeight="1">
      <c r="A7635" s="439"/>
      <c r="B7635" s="439"/>
      <c r="C7635" s="439"/>
      <c r="D7635" s="439"/>
      <c r="E7635" s="439"/>
      <c r="F7635" s="439"/>
      <c r="Z7635" s="500"/>
      <c r="AA7635" s="500"/>
      <c r="AB7635" s="500"/>
      <c r="AC7635" s="500"/>
      <c r="AD7635" s="500"/>
      <c r="AE7635" s="500"/>
      <c r="AF7635" s="500"/>
      <c r="AG7635" s="500"/>
      <c r="AH7635" s="500"/>
      <c r="AI7635" s="500"/>
      <c r="AJ7635" s="500"/>
      <c r="AK7635" s="500"/>
      <c r="AL7635" s="500"/>
      <c r="AM7635" s="500"/>
      <c r="AN7635" s="500"/>
      <c r="AO7635" s="500"/>
      <c r="AP7635" s="500"/>
    </row>
    <row r="7636" spans="1:42" ht="16.5" customHeight="1">
      <c r="A7636" s="439"/>
      <c r="B7636" s="439"/>
      <c r="C7636" s="439"/>
      <c r="D7636" s="439"/>
      <c r="E7636" s="439"/>
      <c r="F7636" s="439"/>
      <c r="Z7636" s="500"/>
      <c r="AA7636" s="500"/>
      <c r="AB7636" s="500"/>
      <c r="AC7636" s="500"/>
      <c r="AD7636" s="500"/>
      <c r="AE7636" s="500"/>
      <c r="AF7636" s="500"/>
      <c r="AG7636" s="500"/>
      <c r="AH7636" s="500"/>
      <c r="AI7636" s="500"/>
      <c r="AJ7636" s="500"/>
      <c r="AK7636" s="500"/>
      <c r="AL7636" s="500"/>
      <c r="AM7636" s="500"/>
      <c r="AN7636" s="500"/>
      <c r="AO7636" s="500"/>
      <c r="AP7636" s="500"/>
    </row>
    <row r="7637" spans="1:42" ht="16.5" customHeight="1">
      <c r="A7637" s="439"/>
      <c r="B7637" s="439"/>
      <c r="C7637" s="439"/>
      <c r="D7637" s="439"/>
      <c r="E7637" s="439"/>
      <c r="F7637" s="439"/>
      <c r="Z7637" s="500"/>
      <c r="AA7637" s="500"/>
      <c r="AB7637" s="500"/>
      <c r="AC7637" s="500"/>
      <c r="AD7637" s="500"/>
      <c r="AE7637" s="500"/>
      <c r="AF7637" s="500"/>
      <c r="AG7637" s="500"/>
      <c r="AH7637" s="500"/>
      <c r="AI7637" s="500"/>
      <c r="AJ7637" s="500"/>
      <c r="AK7637" s="500"/>
      <c r="AL7637" s="500"/>
      <c r="AM7637" s="500"/>
      <c r="AN7637" s="500"/>
      <c r="AO7637" s="500"/>
      <c r="AP7637" s="500"/>
    </row>
    <row r="7638" spans="1:42" ht="16.5" customHeight="1">
      <c r="A7638" s="439"/>
      <c r="B7638" s="439"/>
      <c r="C7638" s="439"/>
      <c r="D7638" s="439"/>
      <c r="E7638" s="439"/>
      <c r="F7638" s="439"/>
      <c r="Z7638" s="500"/>
      <c r="AA7638" s="500"/>
      <c r="AB7638" s="500"/>
      <c r="AC7638" s="500"/>
      <c r="AD7638" s="500"/>
      <c r="AE7638" s="500"/>
      <c r="AF7638" s="500"/>
      <c r="AG7638" s="500"/>
      <c r="AH7638" s="500"/>
      <c r="AI7638" s="500"/>
      <c r="AJ7638" s="500"/>
      <c r="AK7638" s="500"/>
      <c r="AL7638" s="500"/>
      <c r="AM7638" s="500"/>
      <c r="AN7638" s="500"/>
      <c r="AO7638" s="500"/>
      <c r="AP7638" s="500"/>
    </row>
    <row r="7639" spans="1:42" ht="16.5" customHeight="1">
      <c r="A7639" s="439"/>
      <c r="B7639" s="439"/>
      <c r="C7639" s="439"/>
      <c r="D7639" s="439"/>
      <c r="E7639" s="439"/>
      <c r="F7639" s="439"/>
      <c r="Z7639" s="500"/>
      <c r="AA7639" s="500"/>
      <c r="AB7639" s="500"/>
      <c r="AC7639" s="500"/>
      <c r="AD7639" s="500"/>
      <c r="AE7639" s="500"/>
      <c r="AF7639" s="500"/>
      <c r="AG7639" s="500"/>
      <c r="AH7639" s="500"/>
      <c r="AI7639" s="500"/>
      <c r="AJ7639" s="500"/>
      <c r="AK7639" s="500"/>
      <c r="AL7639" s="500"/>
      <c r="AM7639" s="500"/>
      <c r="AN7639" s="500"/>
      <c r="AO7639" s="500"/>
      <c r="AP7639" s="500"/>
    </row>
    <row r="7640" spans="1:42" ht="16.5" customHeight="1">
      <c r="A7640" s="439"/>
      <c r="B7640" s="439"/>
      <c r="C7640" s="439"/>
      <c r="D7640" s="439"/>
      <c r="E7640" s="439"/>
      <c r="F7640" s="439"/>
      <c r="Z7640" s="500"/>
      <c r="AA7640" s="500"/>
      <c r="AB7640" s="500"/>
      <c r="AC7640" s="500"/>
      <c r="AD7640" s="500"/>
      <c r="AE7640" s="500"/>
      <c r="AF7640" s="500"/>
      <c r="AG7640" s="500"/>
      <c r="AH7640" s="500"/>
      <c r="AI7640" s="500"/>
      <c r="AJ7640" s="500"/>
      <c r="AK7640" s="500"/>
      <c r="AL7640" s="500"/>
      <c r="AM7640" s="500"/>
      <c r="AN7640" s="500"/>
      <c r="AO7640" s="500"/>
      <c r="AP7640" s="500"/>
    </row>
    <row r="7641" spans="1:42" ht="16.5" customHeight="1">
      <c r="A7641" s="439"/>
      <c r="B7641" s="439"/>
      <c r="C7641" s="439"/>
      <c r="D7641" s="439"/>
      <c r="E7641" s="439"/>
      <c r="F7641" s="439"/>
      <c r="Z7641" s="500"/>
      <c r="AA7641" s="500"/>
      <c r="AB7641" s="500"/>
      <c r="AC7641" s="500"/>
      <c r="AD7641" s="500"/>
      <c r="AE7641" s="500"/>
      <c r="AF7641" s="500"/>
      <c r="AG7641" s="500"/>
      <c r="AH7641" s="500"/>
      <c r="AI7641" s="500"/>
      <c r="AJ7641" s="500"/>
      <c r="AK7641" s="500"/>
      <c r="AL7641" s="500"/>
      <c r="AM7641" s="500"/>
      <c r="AN7641" s="500"/>
      <c r="AO7641" s="500"/>
      <c r="AP7641" s="500"/>
    </row>
    <row r="7642" spans="1:42" ht="16.5" customHeight="1">
      <c r="A7642" s="439"/>
      <c r="B7642" s="439"/>
      <c r="C7642" s="439"/>
      <c r="D7642" s="439"/>
      <c r="E7642" s="439"/>
      <c r="F7642" s="439"/>
      <c r="Z7642" s="500"/>
      <c r="AA7642" s="500"/>
      <c r="AB7642" s="500"/>
      <c r="AC7642" s="500"/>
      <c r="AD7642" s="500"/>
      <c r="AE7642" s="500"/>
      <c r="AF7642" s="500"/>
      <c r="AG7642" s="500"/>
      <c r="AH7642" s="500"/>
      <c r="AI7642" s="500"/>
      <c r="AJ7642" s="500"/>
      <c r="AK7642" s="500"/>
      <c r="AL7642" s="500"/>
      <c r="AM7642" s="500"/>
      <c r="AN7642" s="500"/>
      <c r="AO7642" s="500"/>
      <c r="AP7642" s="500"/>
    </row>
    <row r="7643" spans="1:42" ht="16.5" customHeight="1">
      <c r="A7643" s="439"/>
      <c r="B7643" s="439"/>
      <c r="C7643" s="439"/>
      <c r="D7643" s="439"/>
      <c r="E7643" s="439"/>
      <c r="F7643" s="439"/>
      <c r="Z7643" s="500"/>
      <c r="AA7643" s="500"/>
      <c r="AB7643" s="500"/>
      <c r="AC7643" s="500"/>
      <c r="AD7643" s="500"/>
      <c r="AE7643" s="500"/>
      <c r="AF7643" s="500"/>
      <c r="AG7643" s="500"/>
      <c r="AH7643" s="500"/>
      <c r="AI7643" s="500"/>
      <c r="AJ7643" s="500"/>
      <c r="AK7643" s="500"/>
      <c r="AL7643" s="500"/>
      <c r="AM7643" s="500"/>
      <c r="AN7643" s="500"/>
      <c r="AO7643" s="500"/>
      <c r="AP7643" s="500"/>
    </row>
    <row r="7644" spans="1:42" ht="16.5" customHeight="1">
      <c r="A7644" s="439"/>
      <c r="B7644" s="439"/>
      <c r="C7644" s="439"/>
      <c r="D7644" s="439"/>
      <c r="E7644" s="439"/>
      <c r="F7644" s="439"/>
      <c r="Z7644" s="500"/>
      <c r="AA7644" s="500"/>
      <c r="AB7644" s="500"/>
      <c r="AC7644" s="500"/>
      <c r="AD7644" s="500"/>
      <c r="AE7644" s="500"/>
      <c r="AF7644" s="500"/>
      <c r="AG7644" s="500"/>
      <c r="AH7644" s="500"/>
      <c r="AI7644" s="500"/>
      <c r="AJ7644" s="500"/>
      <c r="AK7644" s="500"/>
      <c r="AL7644" s="500"/>
      <c r="AM7644" s="500"/>
      <c r="AN7644" s="500"/>
      <c r="AO7644" s="500"/>
      <c r="AP7644" s="500"/>
    </row>
    <row r="7645" spans="1:42" ht="16.5" customHeight="1">
      <c r="A7645" s="439"/>
      <c r="B7645" s="439"/>
      <c r="C7645" s="439"/>
      <c r="D7645" s="439"/>
      <c r="E7645" s="439"/>
      <c r="F7645" s="439"/>
      <c r="Z7645" s="500"/>
      <c r="AA7645" s="500"/>
      <c r="AB7645" s="500"/>
      <c r="AC7645" s="500"/>
      <c r="AD7645" s="500"/>
      <c r="AE7645" s="500"/>
      <c r="AF7645" s="500"/>
      <c r="AG7645" s="500"/>
      <c r="AH7645" s="500"/>
      <c r="AI7645" s="500"/>
      <c r="AJ7645" s="500"/>
      <c r="AK7645" s="500"/>
      <c r="AL7645" s="500"/>
      <c r="AM7645" s="500"/>
      <c r="AN7645" s="500"/>
      <c r="AO7645" s="500"/>
      <c r="AP7645" s="500"/>
    </row>
    <row r="7646" spans="1:42" ht="16.5" customHeight="1">
      <c r="A7646" s="439"/>
      <c r="B7646" s="439"/>
      <c r="C7646" s="439"/>
      <c r="D7646" s="439"/>
      <c r="E7646" s="439"/>
      <c r="F7646" s="439"/>
      <c r="Z7646" s="500"/>
      <c r="AA7646" s="500"/>
      <c r="AB7646" s="500"/>
      <c r="AC7646" s="500"/>
      <c r="AD7646" s="500"/>
      <c r="AE7646" s="500"/>
      <c r="AF7646" s="500"/>
      <c r="AG7646" s="500"/>
      <c r="AH7646" s="500"/>
      <c r="AI7646" s="500"/>
      <c r="AJ7646" s="500"/>
      <c r="AK7646" s="500"/>
      <c r="AL7646" s="500"/>
      <c r="AM7646" s="500"/>
      <c r="AN7646" s="500"/>
      <c r="AO7646" s="500"/>
      <c r="AP7646" s="500"/>
    </row>
    <row r="7647" spans="1:42" ht="16.5" customHeight="1">
      <c r="A7647" s="439"/>
      <c r="B7647" s="439"/>
      <c r="C7647" s="439"/>
      <c r="D7647" s="439"/>
      <c r="E7647" s="439"/>
      <c r="F7647" s="439"/>
      <c r="Z7647" s="500"/>
      <c r="AA7647" s="500"/>
      <c r="AB7647" s="500"/>
      <c r="AC7647" s="500"/>
      <c r="AD7647" s="500"/>
      <c r="AE7647" s="500"/>
      <c r="AF7647" s="500"/>
      <c r="AG7647" s="500"/>
      <c r="AH7647" s="500"/>
      <c r="AI7647" s="500"/>
      <c r="AJ7647" s="500"/>
      <c r="AK7647" s="500"/>
      <c r="AL7647" s="500"/>
      <c r="AM7647" s="500"/>
      <c r="AN7647" s="500"/>
      <c r="AO7647" s="500"/>
      <c r="AP7647" s="500"/>
    </row>
    <row r="7648" spans="1:42" ht="16.5" customHeight="1">
      <c r="A7648" s="439"/>
      <c r="B7648" s="439"/>
      <c r="C7648" s="439"/>
      <c r="D7648" s="439"/>
      <c r="E7648" s="439"/>
      <c r="F7648" s="439"/>
      <c r="Z7648" s="500"/>
      <c r="AA7648" s="500"/>
      <c r="AB7648" s="500"/>
      <c r="AC7648" s="500"/>
      <c r="AD7648" s="500"/>
      <c r="AE7648" s="500"/>
      <c r="AF7648" s="500"/>
      <c r="AG7648" s="500"/>
      <c r="AH7648" s="500"/>
      <c r="AI7648" s="500"/>
      <c r="AJ7648" s="500"/>
      <c r="AK7648" s="500"/>
      <c r="AL7648" s="500"/>
      <c r="AM7648" s="500"/>
      <c r="AN7648" s="500"/>
      <c r="AO7648" s="500"/>
      <c r="AP7648" s="500"/>
    </row>
    <row r="7649" spans="1:42" ht="16.5" customHeight="1">
      <c r="A7649" s="439"/>
      <c r="B7649" s="439"/>
      <c r="C7649" s="439"/>
      <c r="D7649" s="439"/>
      <c r="E7649" s="439"/>
      <c r="F7649" s="439"/>
      <c r="Z7649" s="500"/>
      <c r="AA7649" s="500"/>
      <c r="AB7649" s="500"/>
      <c r="AC7649" s="500"/>
      <c r="AD7649" s="500"/>
      <c r="AE7649" s="500"/>
      <c r="AF7649" s="500"/>
      <c r="AG7649" s="500"/>
      <c r="AH7649" s="500"/>
      <c r="AI7649" s="500"/>
      <c r="AJ7649" s="500"/>
      <c r="AK7649" s="500"/>
      <c r="AL7649" s="500"/>
      <c r="AM7649" s="500"/>
      <c r="AN7649" s="500"/>
      <c r="AO7649" s="500"/>
      <c r="AP7649" s="500"/>
    </row>
    <row r="7650" spans="1:42" ht="16.5" customHeight="1">
      <c r="A7650" s="439"/>
      <c r="B7650" s="439"/>
      <c r="C7650" s="439"/>
      <c r="D7650" s="439"/>
      <c r="E7650" s="439"/>
      <c r="F7650" s="439"/>
      <c r="Z7650" s="500"/>
      <c r="AA7650" s="500"/>
      <c r="AB7650" s="500"/>
      <c r="AC7650" s="500"/>
      <c r="AD7650" s="500"/>
      <c r="AE7650" s="500"/>
      <c r="AF7650" s="500"/>
      <c r="AG7650" s="500"/>
      <c r="AH7650" s="500"/>
      <c r="AI7650" s="500"/>
      <c r="AJ7650" s="500"/>
      <c r="AK7650" s="500"/>
      <c r="AL7650" s="500"/>
      <c r="AM7650" s="500"/>
      <c r="AN7650" s="500"/>
      <c r="AO7650" s="500"/>
      <c r="AP7650" s="500"/>
    </row>
    <row r="7651" spans="1:42" ht="16.5" customHeight="1">
      <c r="A7651" s="439"/>
      <c r="B7651" s="439"/>
      <c r="C7651" s="439"/>
      <c r="D7651" s="439"/>
      <c r="E7651" s="439"/>
      <c r="F7651" s="439"/>
      <c r="Z7651" s="500"/>
      <c r="AA7651" s="500"/>
      <c r="AB7651" s="500"/>
      <c r="AC7651" s="500"/>
      <c r="AD7651" s="500"/>
      <c r="AE7651" s="500"/>
      <c r="AF7651" s="500"/>
      <c r="AG7651" s="500"/>
      <c r="AH7651" s="500"/>
      <c r="AI7651" s="500"/>
      <c r="AJ7651" s="500"/>
      <c r="AK7651" s="500"/>
      <c r="AL7651" s="500"/>
      <c r="AM7651" s="500"/>
      <c r="AN7651" s="500"/>
      <c r="AO7651" s="500"/>
      <c r="AP7651" s="500"/>
    </row>
    <row r="7652" spans="1:42" ht="16.5" customHeight="1">
      <c r="A7652" s="439"/>
      <c r="B7652" s="439"/>
      <c r="C7652" s="439"/>
      <c r="D7652" s="439"/>
      <c r="E7652" s="439"/>
      <c r="F7652" s="439"/>
      <c r="Z7652" s="500"/>
      <c r="AA7652" s="500"/>
      <c r="AB7652" s="500"/>
      <c r="AC7652" s="500"/>
      <c r="AD7652" s="500"/>
      <c r="AE7652" s="500"/>
      <c r="AF7652" s="500"/>
      <c r="AG7652" s="500"/>
      <c r="AH7652" s="500"/>
      <c r="AI7652" s="500"/>
      <c r="AJ7652" s="500"/>
      <c r="AK7652" s="500"/>
      <c r="AL7652" s="500"/>
      <c r="AM7652" s="500"/>
      <c r="AN7652" s="500"/>
      <c r="AO7652" s="500"/>
      <c r="AP7652" s="500"/>
    </row>
    <row r="7653" spans="1:42" ht="16.5" customHeight="1">
      <c r="A7653" s="497"/>
      <c r="B7653" s="497"/>
      <c r="C7653" s="497"/>
      <c r="D7653" s="497"/>
      <c r="E7653" s="497"/>
      <c r="F7653" s="497"/>
      <c r="Z7653" s="500"/>
      <c r="AA7653" s="500"/>
      <c r="AB7653" s="500"/>
      <c r="AC7653" s="500"/>
      <c r="AD7653" s="500"/>
      <c r="AE7653" s="500"/>
      <c r="AF7653" s="500"/>
      <c r="AG7653" s="500"/>
      <c r="AH7653" s="500"/>
      <c r="AI7653" s="500"/>
      <c r="AJ7653" s="500"/>
      <c r="AK7653" s="500"/>
      <c r="AL7653" s="500"/>
      <c r="AM7653" s="500"/>
      <c r="AN7653" s="500"/>
      <c r="AO7653" s="500"/>
      <c r="AP7653" s="500"/>
    </row>
    <row r="7654" spans="1:42" ht="16.5" customHeight="1">
      <c r="A7654" s="616" t="s">
        <v>3487</v>
      </c>
      <c r="B7654" s="605"/>
      <c r="C7654" s="446">
        <f>E7654+D7654+F7654</f>
        <v>585976</v>
      </c>
      <c r="D7654" s="453">
        <f>ROUNDDOWN(SUMIF(N7607:N7631,M7654,D7607:D7631),0)</f>
        <v>574487</v>
      </c>
      <c r="E7654" s="454">
        <f>ROUNDDOWN(SUMIF(N7607:N7631,M7654,E7607:E7631),0)</f>
        <v>0</v>
      </c>
      <c r="F7654" s="446">
        <f>ROUNDDOWN(SUMIF(N7607:N7631,M7654,F7607:F7631),0)</f>
        <v>11489</v>
      </c>
      <c r="M7654" s="501" t="s">
        <v>2354</v>
      </c>
      <c r="Z7654" s="500"/>
      <c r="AA7654" s="500"/>
      <c r="AB7654" s="500"/>
      <c r="AC7654" s="500"/>
      <c r="AD7654" s="500"/>
      <c r="AE7654" s="500"/>
      <c r="AF7654" s="500"/>
      <c r="AG7654" s="500"/>
      <c r="AH7654" s="500"/>
      <c r="AI7654" s="500"/>
      <c r="AJ7654" s="500"/>
      <c r="AK7654" s="500"/>
      <c r="AL7654" s="500"/>
      <c r="AM7654" s="500"/>
      <c r="AN7654" s="500"/>
      <c r="AO7654" s="500"/>
      <c r="AP7654" s="500"/>
    </row>
    <row r="7655" spans="1:42" ht="16.5" customHeight="1">
      <c r="A7655" s="502"/>
      <c r="B7655" s="503" t="s">
        <v>1905</v>
      </c>
      <c r="C7655" s="615">
        <f>C7704</f>
        <v>537</v>
      </c>
      <c r="D7655" s="615">
        <f>D7704</f>
        <v>487</v>
      </c>
      <c r="E7655" s="615">
        <f>E7704</f>
        <v>50</v>
      </c>
      <c r="F7655" s="615">
        <f>F7704</f>
        <v>0</v>
      </c>
      <c r="G7655" s="486" t="str">
        <f>HYPERLINK("#G"&amp;ROW(G7686),"_x0005_`BDCOD|D01296_x0007_`POSS|"&amp;ROW(G7657)&amp;"_x0007_`POSE|"&amp;ROW(G7686)&amp;"_x0007_`")</f>
        <v>_x0005_`BDCOD|D01296_x0007_`POSS|7657_x0007_`POSE|7686_x0007_`</v>
      </c>
      <c r="Z7655" s="500"/>
      <c r="AA7655" s="500"/>
      <c r="AB7655" s="500"/>
      <c r="AC7655" s="500"/>
      <c r="AD7655" s="500"/>
      <c r="AE7655" s="500"/>
      <c r="AF7655" s="500"/>
      <c r="AG7655" s="500"/>
      <c r="AH7655" s="500"/>
      <c r="AI7655" s="500"/>
      <c r="AJ7655" s="500"/>
      <c r="AK7655" s="500"/>
      <c r="AL7655" s="500"/>
      <c r="AM7655" s="500"/>
      <c r="AN7655" s="500"/>
      <c r="AO7655" s="500"/>
      <c r="AP7655" s="500"/>
    </row>
    <row r="7656" spans="1:42" ht="16.5" customHeight="1">
      <c r="A7656" s="485"/>
      <c r="B7656" s="503" t="s">
        <v>4291</v>
      </c>
      <c r="C7656" s="593"/>
      <c r="D7656" s="593"/>
      <c r="E7656" s="593"/>
      <c r="F7656" s="593"/>
      <c r="M7656" s="501" t="s">
        <v>1905</v>
      </c>
      <c r="Z7656" s="500"/>
      <c r="AA7656" s="500"/>
      <c r="AB7656" s="500"/>
      <c r="AC7656" s="500"/>
      <c r="AD7656" s="500"/>
      <c r="AE7656" s="500"/>
      <c r="AF7656" s="500"/>
      <c r="AG7656" s="500"/>
      <c r="AH7656" s="500"/>
      <c r="AI7656" s="500"/>
      <c r="AJ7656" s="500"/>
      <c r="AK7656" s="500"/>
      <c r="AL7656" s="500"/>
      <c r="AM7656" s="500"/>
      <c r="AN7656" s="500"/>
      <c r="AO7656" s="500"/>
      <c r="AP7656" s="500"/>
    </row>
    <row r="7657" spans="1:42" ht="16.5" customHeight="1">
      <c r="A7657" s="439"/>
      <c r="B7657" s="439"/>
      <c r="C7657" s="504"/>
      <c r="D7657" s="504"/>
      <c r="E7657" s="504"/>
      <c r="F7657" s="504"/>
      <c r="G7657" s="451" t="s">
        <v>3406</v>
      </c>
      <c r="Z7657" s="500"/>
      <c r="AA7657" s="500"/>
      <c r="AB7657" s="500"/>
      <c r="AC7657" s="500"/>
      <c r="AD7657" s="500"/>
      <c r="AE7657" s="500"/>
      <c r="AF7657" s="500"/>
      <c r="AG7657" s="500"/>
      <c r="AH7657" s="500"/>
      <c r="AI7657" s="500"/>
      <c r="AJ7657" s="500"/>
      <c r="AK7657" s="500"/>
      <c r="AL7657" s="500"/>
      <c r="AM7657" s="500"/>
      <c r="AN7657" s="500"/>
      <c r="AO7657" s="500"/>
      <c r="AP7657" s="500"/>
    </row>
    <row r="7658" spans="1:42" ht="16.5" customHeight="1">
      <c r="A7658" s="434"/>
      <c r="B7658" s="437" t="s">
        <v>4292</v>
      </c>
      <c r="C7658" s="439"/>
      <c r="D7658" s="439"/>
      <c r="E7658" s="439"/>
      <c r="F7658" s="439"/>
      <c r="G7658" s="451" t="s">
        <v>4293</v>
      </c>
      <c r="Z7658" s="500"/>
      <c r="AA7658" s="500"/>
      <c r="AB7658" s="500"/>
      <c r="AC7658" s="500"/>
      <c r="AD7658" s="500"/>
      <c r="AE7658" s="500"/>
      <c r="AF7658" s="500"/>
      <c r="AG7658" s="500"/>
      <c r="AH7658" s="500"/>
      <c r="AI7658" s="500"/>
      <c r="AJ7658" s="500"/>
      <c r="AK7658" s="500"/>
      <c r="AL7658" s="500"/>
      <c r="AM7658" s="500"/>
      <c r="AN7658" s="500"/>
      <c r="AO7658" s="500"/>
      <c r="AP7658" s="500"/>
    </row>
    <row r="7659" spans="1:42" ht="16.5" customHeight="1">
      <c r="A7659" s="439"/>
      <c r="B7659" s="439"/>
      <c r="C7659" s="439"/>
      <c r="D7659" s="439"/>
      <c r="E7659" s="439"/>
      <c r="F7659" s="439"/>
      <c r="G7659" s="451" t="s">
        <v>3406</v>
      </c>
      <c r="Z7659" s="500"/>
      <c r="AA7659" s="500"/>
      <c r="AB7659" s="500"/>
      <c r="AC7659" s="500"/>
      <c r="AD7659" s="500"/>
      <c r="AE7659" s="500"/>
      <c r="AF7659" s="500"/>
      <c r="AG7659" s="500"/>
      <c r="AH7659" s="500"/>
      <c r="AI7659" s="500"/>
      <c r="AJ7659" s="500"/>
      <c r="AK7659" s="500"/>
      <c r="AL7659" s="500"/>
      <c r="AM7659" s="500"/>
      <c r="AN7659" s="500"/>
      <c r="AO7659" s="500"/>
      <c r="AP7659" s="500"/>
    </row>
    <row r="7660" spans="1:42" ht="16.5" customHeight="1">
      <c r="A7660" s="434"/>
      <c r="B7660" s="437" t="s">
        <v>4294</v>
      </c>
      <c r="C7660" s="439"/>
      <c r="D7660" s="439"/>
      <c r="E7660" s="439"/>
      <c r="F7660" s="439"/>
      <c r="G7660" s="451" t="s">
        <v>4295</v>
      </c>
      <c r="Z7660" s="500"/>
      <c r="AA7660" s="500"/>
      <c r="AB7660" s="500"/>
      <c r="AC7660" s="500"/>
      <c r="AD7660" s="500"/>
      <c r="AE7660" s="500"/>
      <c r="AF7660" s="500"/>
      <c r="AG7660" s="500"/>
      <c r="AH7660" s="500"/>
      <c r="AI7660" s="500"/>
      <c r="AJ7660" s="500"/>
      <c r="AK7660" s="500"/>
      <c r="AL7660" s="500"/>
      <c r="AM7660" s="500"/>
      <c r="AN7660" s="500"/>
      <c r="AO7660" s="500"/>
      <c r="AP7660" s="500"/>
    </row>
    <row r="7661" spans="1:42" ht="16.5" customHeight="1">
      <c r="A7661" s="439"/>
      <c r="B7661" s="439"/>
      <c r="C7661" s="439"/>
      <c r="D7661" s="439"/>
      <c r="E7661" s="439"/>
      <c r="F7661" s="439"/>
      <c r="G7661" s="451" t="s">
        <v>3406</v>
      </c>
      <c r="Z7661" s="500"/>
      <c r="AA7661" s="500"/>
      <c r="AB7661" s="500"/>
      <c r="AC7661" s="500"/>
      <c r="AD7661" s="500"/>
      <c r="AE7661" s="500"/>
      <c r="AF7661" s="500"/>
      <c r="AG7661" s="500"/>
      <c r="AH7661" s="500"/>
      <c r="AI7661" s="500"/>
      <c r="AJ7661" s="500"/>
      <c r="AK7661" s="500"/>
      <c r="AL7661" s="500"/>
      <c r="AM7661" s="500"/>
      <c r="AN7661" s="500"/>
      <c r="AO7661" s="500"/>
      <c r="AP7661" s="500"/>
    </row>
    <row r="7662" spans="1:42" ht="16.5" customHeight="1">
      <c r="A7662" s="434"/>
      <c r="B7662" s="437" t="str">
        <f>" 일당 작업량 :   Q = "&amp;Z7662&amp;"  주 "</f>
        <v xml:space="preserve"> 일당 작업량 :   Q = 1800  주 </v>
      </c>
      <c r="C7662" s="439"/>
      <c r="D7662" s="439"/>
      <c r="E7662" s="439"/>
      <c r="F7662" s="439"/>
      <c r="G7662" s="451" t="s">
        <v>4296</v>
      </c>
      <c r="Z7662" s="515">
        <v>1800</v>
      </c>
      <c r="AA7662" s="501" t="s">
        <v>3418</v>
      </c>
      <c r="AB7662" s="512">
        <f>Z7662</f>
        <v>1800</v>
      </c>
      <c r="AC7662" s="500"/>
      <c r="AD7662" s="500"/>
      <c r="AE7662" s="500"/>
      <c r="AF7662" s="500"/>
      <c r="AG7662" s="500"/>
      <c r="AH7662" s="500"/>
      <c r="AI7662" s="500"/>
      <c r="AJ7662" s="500"/>
      <c r="AK7662" s="500"/>
      <c r="AL7662" s="500"/>
      <c r="AM7662" s="500"/>
      <c r="AN7662" s="500"/>
      <c r="AO7662" s="500"/>
      <c r="AP7662" s="500"/>
    </row>
    <row r="7663" spans="1:42" ht="16.5" customHeight="1">
      <c r="A7663" s="439"/>
      <c r="B7663" s="439"/>
      <c r="C7663" s="439"/>
      <c r="D7663" s="439"/>
      <c r="E7663" s="439"/>
      <c r="F7663" s="439"/>
      <c r="G7663" s="451" t="s">
        <v>3406</v>
      </c>
      <c r="Z7663" s="500"/>
      <c r="AA7663" s="500"/>
      <c r="AB7663" s="500"/>
      <c r="AC7663" s="500"/>
      <c r="AD7663" s="500"/>
      <c r="AE7663" s="500"/>
      <c r="AF7663" s="500"/>
      <c r="AG7663" s="500"/>
      <c r="AH7663" s="500"/>
      <c r="AI7663" s="500"/>
      <c r="AJ7663" s="500"/>
      <c r="AK7663" s="500"/>
      <c r="AL7663" s="500"/>
      <c r="AM7663" s="500"/>
      <c r="AN7663" s="500"/>
      <c r="AO7663" s="500"/>
      <c r="AP7663" s="500"/>
    </row>
    <row r="7664" spans="1:42" ht="16.5" customHeight="1">
      <c r="A7664" s="434"/>
      <c r="B7664" s="437" t="s">
        <v>3494</v>
      </c>
      <c r="C7664" s="439"/>
      <c r="D7664" s="439"/>
      <c r="E7664" s="439"/>
      <c r="F7664" s="439"/>
      <c r="G7664" s="451" t="s">
        <v>3495</v>
      </c>
      <c r="Z7664" s="500"/>
      <c r="AA7664" s="500"/>
      <c r="AB7664" s="500"/>
      <c r="AC7664" s="500"/>
      <c r="AD7664" s="500"/>
      <c r="AE7664" s="500"/>
      <c r="AF7664" s="500"/>
      <c r="AG7664" s="500"/>
      <c r="AH7664" s="500"/>
      <c r="AI7664" s="500"/>
      <c r="AJ7664" s="500"/>
      <c r="AK7664" s="500"/>
      <c r="AL7664" s="500"/>
      <c r="AM7664" s="500"/>
      <c r="AN7664" s="500"/>
      <c r="AO7664" s="500"/>
      <c r="AP7664" s="500"/>
    </row>
    <row r="7665" spans="1:42" ht="16.5" customHeight="1">
      <c r="A7665" s="439"/>
      <c r="B7665" s="439"/>
      <c r="C7665" s="439"/>
      <c r="D7665" s="439"/>
      <c r="E7665" s="439"/>
      <c r="F7665" s="439"/>
      <c r="G7665" s="451" t="s">
        <v>3406</v>
      </c>
      <c r="Z7665" s="500"/>
      <c r="AA7665" s="500"/>
      <c r="AB7665" s="500"/>
      <c r="AC7665" s="500"/>
      <c r="AD7665" s="500"/>
      <c r="AE7665" s="500"/>
      <c r="AF7665" s="500"/>
      <c r="AG7665" s="500"/>
      <c r="AH7665" s="500"/>
      <c r="AI7665" s="500"/>
      <c r="AJ7665" s="500"/>
      <c r="AK7665" s="500"/>
      <c r="AL7665" s="500"/>
      <c r="AM7665" s="500"/>
      <c r="AN7665" s="500"/>
      <c r="AO7665" s="500"/>
      <c r="AP7665" s="500"/>
    </row>
    <row r="7666" spans="1:42" ht="16.5" customHeight="1">
      <c r="A7666" s="439"/>
      <c r="B7666" s="439"/>
      <c r="C7666" s="439"/>
      <c r="D7666" s="439"/>
      <c r="E7666" s="439"/>
      <c r="F7666" s="439"/>
      <c r="G7666" s="451" t="s">
        <v>3406</v>
      </c>
      <c r="Z7666" s="500"/>
      <c r="AA7666" s="500"/>
      <c r="AB7666" s="500"/>
      <c r="AC7666" s="500"/>
      <c r="AD7666" s="500"/>
      <c r="AE7666" s="500"/>
      <c r="AF7666" s="500"/>
      <c r="AG7666" s="500"/>
      <c r="AH7666" s="500"/>
      <c r="AI7666" s="500"/>
      <c r="AJ7666" s="500"/>
      <c r="AK7666" s="500"/>
      <c r="AL7666" s="500"/>
      <c r="AM7666" s="500"/>
      <c r="AN7666" s="500"/>
      <c r="AO7666" s="500"/>
      <c r="AP7666" s="500"/>
    </row>
    <row r="7667" spans="1:42" ht="16.5" customHeight="1">
      <c r="A7667" s="439"/>
      <c r="B7667" s="439"/>
      <c r="C7667" s="439"/>
      <c r="D7667" s="439"/>
      <c r="E7667" s="439"/>
      <c r="F7667" s="439"/>
      <c r="G7667" s="451" t="s">
        <v>3406</v>
      </c>
      <c r="Z7667" s="500"/>
      <c r="AA7667" s="500"/>
      <c r="AB7667" s="500"/>
      <c r="AC7667" s="500"/>
      <c r="AD7667" s="500"/>
      <c r="AE7667" s="500"/>
      <c r="AF7667" s="500"/>
      <c r="AG7667" s="500"/>
      <c r="AH7667" s="500"/>
      <c r="AI7667" s="500"/>
      <c r="AJ7667" s="500"/>
      <c r="AK7667" s="500"/>
      <c r="AL7667" s="500"/>
      <c r="AM7667" s="500"/>
      <c r="AN7667" s="500"/>
      <c r="AO7667" s="500"/>
      <c r="AP7667" s="500"/>
    </row>
    <row r="7668" spans="1:42" ht="16.5" customHeight="1">
      <c r="A7668" s="439"/>
      <c r="B7668" s="439"/>
      <c r="C7668" s="439"/>
      <c r="D7668" s="439"/>
      <c r="E7668" s="439"/>
      <c r="F7668" s="439"/>
      <c r="G7668" s="451" t="s">
        <v>3406</v>
      </c>
      <c r="Z7668" s="500"/>
      <c r="AA7668" s="500"/>
      <c r="AB7668" s="500"/>
      <c r="AC7668" s="500"/>
      <c r="AD7668" s="500"/>
      <c r="AE7668" s="500"/>
      <c r="AF7668" s="500"/>
      <c r="AG7668" s="500"/>
      <c r="AH7668" s="500"/>
      <c r="AI7668" s="500"/>
      <c r="AJ7668" s="500"/>
      <c r="AK7668" s="500"/>
      <c r="AL7668" s="500"/>
      <c r="AM7668" s="500"/>
      <c r="AN7668" s="500"/>
      <c r="AO7668" s="500"/>
      <c r="AP7668" s="500"/>
    </row>
    <row r="7669" spans="1:42" ht="16.5" customHeight="1">
      <c r="A7669" s="434"/>
      <c r="B7669" s="437" t="s">
        <v>3496</v>
      </c>
      <c r="C7669" s="439"/>
      <c r="D7669" s="439"/>
      <c r="E7669" s="439"/>
      <c r="F7669" s="439"/>
      <c r="G7669" s="451" t="s">
        <v>3497</v>
      </c>
      <c r="Z7669" s="500"/>
      <c r="AA7669" s="500"/>
      <c r="AB7669" s="500"/>
      <c r="AC7669" s="500"/>
      <c r="AD7669" s="500"/>
      <c r="AE7669" s="500"/>
      <c r="AF7669" s="500"/>
      <c r="AG7669" s="500"/>
      <c r="AH7669" s="500"/>
      <c r="AI7669" s="500"/>
      <c r="AJ7669" s="500"/>
      <c r="AK7669" s="500"/>
      <c r="AL7669" s="500"/>
      <c r="AM7669" s="500"/>
      <c r="AN7669" s="500"/>
      <c r="AO7669" s="500"/>
      <c r="AP7669" s="500"/>
    </row>
    <row r="7670" spans="1:42" ht="16.5" customHeight="1">
      <c r="A7670" s="439"/>
      <c r="B7670" s="439"/>
      <c r="C7670" s="439"/>
      <c r="D7670" s="439"/>
      <c r="E7670" s="439"/>
      <c r="F7670" s="439"/>
      <c r="G7670" s="451" t="s">
        <v>3406</v>
      </c>
      <c r="Z7670" s="500"/>
      <c r="AA7670" s="500"/>
      <c r="AB7670" s="500"/>
      <c r="AC7670" s="500"/>
      <c r="AD7670" s="500"/>
      <c r="AE7670" s="500"/>
      <c r="AF7670" s="500"/>
      <c r="AG7670" s="500"/>
      <c r="AH7670" s="500"/>
      <c r="AI7670" s="500"/>
      <c r="AJ7670" s="500"/>
      <c r="AK7670" s="500"/>
      <c r="AL7670" s="500"/>
      <c r="AM7670" s="500"/>
      <c r="AN7670" s="500"/>
      <c r="AO7670" s="500"/>
      <c r="AP7670" s="500"/>
    </row>
    <row r="7671" spans="1:42" ht="16.5" customHeight="1">
      <c r="A7671" s="434" t="s">
        <v>3498</v>
      </c>
      <c r="B7671" s="505" t="str">
        <f>" 조경공 :  "&amp;TEXT(I7671,"#,##0"&amp;IF(I7671&lt;&gt;INT(I7671),".###",""))&amp;" * "&amp;AA7671&amp;" 인  / Q = "&amp;TEXT(C7671,"#,##0.0")&amp;""</f>
        <v xml:space="preserve"> 조경공 :  235,204 * 3 인  / Q = 392.0</v>
      </c>
      <c r="C7671" s="506">
        <f>E7671+D7671+F7671</f>
        <v>392</v>
      </c>
      <c r="D7671" s="506">
        <f>IF(H7671=0,0,ROUNDDOWN(J7671*H7671,1))</f>
        <v>392</v>
      </c>
      <c r="E7671" s="506">
        <f>IF(H7671=0,0,ROUNDDOWN(K7671*H7671,1))</f>
        <v>0</v>
      </c>
      <c r="F7671" s="506">
        <f>IF(H7671=0,0,ROUNDDOWN(L7671*H7671,1))</f>
        <v>0</v>
      </c>
      <c r="G7671" s="451" t="s">
        <v>3551</v>
      </c>
      <c r="H7671" s="507">
        <f>ROUNDUP(AE7671,14-LEN(ABS(INT(AE7671))))</f>
        <v>1.6666666667000001E-3</v>
      </c>
      <c r="I7671" s="508">
        <f>K7671+J7671+L7671</f>
        <v>235204</v>
      </c>
      <c r="J7671" s="509">
        <f>노무비목록표!E15</f>
        <v>235204</v>
      </c>
      <c r="M7671" s="501" t="s">
        <v>2359</v>
      </c>
      <c r="N7671" s="501" t="s">
        <v>3416</v>
      </c>
      <c r="X7671" s="510" t="str">
        <f>노무비목록표!B15&amp;" / "&amp;노무비목록표!C15</f>
        <v xml:space="preserve">조경공 / </v>
      </c>
      <c r="Y7671" s="433" t="str">
        <f ca="1">HYPERLINK("#"&amp;노무비목록표!G2&amp;"!A"&amp;ROW(노무비목록표!A15),"L00184 →")</f>
        <v>L00184 →</v>
      </c>
      <c r="Z7671" s="501" t="s">
        <v>3500</v>
      </c>
      <c r="AA7671" s="515">
        <v>3</v>
      </c>
      <c r="AB7671" s="501" t="s">
        <v>3428</v>
      </c>
      <c r="AC7671" s="512">
        <f>AB7662</f>
        <v>1800</v>
      </c>
      <c r="AD7671" s="501" t="s">
        <v>3418</v>
      </c>
      <c r="AE7671" s="512">
        <f>1*AA7671/AB7662</f>
        <v>1.6666666666666668E-3</v>
      </c>
      <c r="AF7671" s="500"/>
      <c r="AG7671" s="500"/>
      <c r="AH7671" s="500"/>
      <c r="AI7671" s="500"/>
      <c r="AJ7671" s="500"/>
      <c r="AK7671" s="500"/>
      <c r="AL7671" s="500"/>
      <c r="AM7671" s="500"/>
      <c r="AN7671" s="500"/>
      <c r="AO7671" s="500"/>
      <c r="AP7671" s="500"/>
    </row>
    <row r="7672" spans="1:42" ht="16.5" customHeight="1">
      <c r="A7672" s="439"/>
      <c r="B7672" s="439"/>
      <c r="C7672" s="439"/>
      <c r="D7672" s="439"/>
      <c r="E7672" s="439"/>
      <c r="F7672" s="439"/>
      <c r="G7672" s="451" t="s">
        <v>3406</v>
      </c>
      <c r="Z7672" s="500"/>
      <c r="AA7672" s="500"/>
      <c r="AB7672" s="500"/>
      <c r="AC7672" s="500"/>
      <c r="AD7672" s="500"/>
      <c r="AE7672" s="500"/>
      <c r="AF7672" s="500"/>
      <c r="AG7672" s="500"/>
      <c r="AH7672" s="500"/>
      <c r="AI7672" s="500"/>
      <c r="AJ7672" s="500"/>
      <c r="AK7672" s="500"/>
      <c r="AL7672" s="500"/>
      <c r="AM7672" s="500"/>
      <c r="AN7672" s="500"/>
      <c r="AO7672" s="500"/>
      <c r="AP7672" s="500"/>
    </row>
    <row r="7673" spans="1:42" ht="16.5" customHeight="1">
      <c r="A7673" s="439"/>
      <c r="B7673" s="439"/>
      <c r="C7673" s="439"/>
      <c r="D7673" s="439"/>
      <c r="E7673" s="439"/>
      <c r="F7673" s="439"/>
      <c r="G7673" s="451" t="s">
        <v>3406</v>
      </c>
      <c r="Z7673" s="500"/>
      <c r="AA7673" s="500"/>
      <c r="AB7673" s="500"/>
      <c r="AC7673" s="500"/>
      <c r="AD7673" s="500"/>
      <c r="AE7673" s="500"/>
      <c r="AF7673" s="500"/>
      <c r="AG7673" s="500"/>
      <c r="AH7673" s="500"/>
      <c r="AI7673" s="500"/>
      <c r="AJ7673" s="500"/>
      <c r="AK7673" s="500"/>
      <c r="AL7673" s="500"/>
      <c r="AM7673" s="500"/>
      <c r="AN7673" s="500"/>
      <c r="AO7673" s="500"/>
      <c r="AP7673" s="500"/>
    </row>
    <row r="7674" spans="1:42" ht="16.5" customHeight="1">
      <c r="A7674" s="434" t="s">
        <v>3414</v>
      </c>
      <c r="B7674" s="505" t="str">
        <f>" 보통인부 : "&amp;TEXT(I7674,"#,##0"&amp;IF(I7674&lt;&gt;INT(I7674),".###",""))&amp;" * "&amp;AA7674&amp;" 인  / Q = "&amp;TEXT(C7674,"#,##0.0")&amp;""</f>
        <v xml:space="preserve"> 보통인부 : 172,068 * 1 인  / Q = 95.5</v>
      </c>
      <c r="C7674" s="506">
        <f>E7674+D7674+F7674</f>
        <v>95.5</v>
      </c>
      <c r="D7674" s="506">
        <f>IF(H7674=0,0,ROUNDDOWN(J7674*H7674,1))</f>
        <v>95.5</v>
      </c>
      <c r="E7674" s="506">
        <f>IF(H7674=0,0,ROUNDDOWN(K7674*H7674,1))</f>
        <v>0</v>
      </c>
      <c r="F7674" s="506">
        <f>IF(H7674=0,0,ROUNDDOWN(L7674*H7674,1))</f>
        <v>0</v>
      </c>
      <c r="G7674" s="451" t="s">
        <v>3552</v>
      </c>
      <c r="H7674" s="507">
        <f>ROUNDUP(AE7674,14-LEN(ABS(INT(AE7674))))</f>
        <v>5.5555555559999993E-4</v>
      </c>
      <c r="I7674" s="508">
        <f>K7674+J7674+L7674</f>
        <v>172068</v>
      </c>
      <c r="J7674" s="509">
        <f>노무비목록표!E10</f>
        <v>172068</v>
      </c>
      <c r="M7674" s="501" t="s">
        <v>2363</v>
      </c>
      <c r="N7674" s="501" t="s">
        <v>3416</v>
      </c>
      <c r="X7674" s="510" t="str">
        <f>노무비목록표!B10&amp;" / "&amp;노무비목록표!C10</f>
        <v xml:space="preserve">보통인부 / </v>
      </c>
      <c r="Y7674" s="433" t="str">
        <f ca="1">HYPERLINK("#"&amp;노무비목록표!G2&amp;"!A"&amp;ROW(노무비목록표!A10),"L00017 →")</f>
        <v>L00017 →</v>
      </c>
      <c r="Z7674" s="501" t="s">
        <v>3500</v>
      </c>
      <c r="AA7674" s="515">
        <v>1</v>
      </c>
      <c r="AB7674" s="501" t="s">
        <v>3428</v>
      </c>
      <c r="AC7674" s="512">
        <f>AB7662</f>
        <v>1800</v>
      </c>
      <c r="AD7674" s="501" t="s">
        <v>3418</v>
      </c>
      <c r="AE7674" s="512">
        <f>1*AA7674/AB7662</f>
        <v>5.5555555555555556E-4</v>
      </c>
      <c r="AF7674" s="500"/>
      <c r="AG7674" s="500"/>
      <c r="AH7674" s="500"/>
      <c r="AI7674" s="500"/>
      <c r="AJ7674" s="500"/>
      <c r="AK7674" s="500"/>
      <c r="AL7674" s="500"/>
      <c r="AM7674" s="500"/>
      <c r="AN7674" s="500"/>
      <c r="AO7674" s="500"/>
      <c r="AP7674" s="500"/>
    </row>
    <row r="7675" spans="1:42" ht="16.5" customHeight="1">
      <c r="A7675" s="439"/>
      <c r="B7675" s="439"/>
      <c r="C7675" s="439"/>
      <c r="D7675" s="439"/>
      <c r="E7675" s="439"/>
      <c r="F7675" s="439"/>
      <c r="G7675" s="451" t="s">
        <v>3406</v>
      </c>
      <c r="Z7675" s="500"/>
      <c r="AA7675" s="500"/>
      <c r="AB7675" s="500"/>
      <c r="AC7675" s="500"/>
      <c r="AD7675" s="500"/>
      <c r="AE7675" s="500"/>
      <c r="AF7675" s="500"/>
      <c r="AG7675" s="500"/>
      <c r="AH7675" s="500"/>
      <c r="AI7675" s="500"/>
      <c r="AJ7675" s="500"/>
      <c r="AK7675" s="500"/>
      <c r="AL7675" s="500"/>
      <c r="AM7675" s="500"/>
      <c r="AN7675" s="500"/>
      <c r="AO7675" s="500"/>
      <c r="AP7675" s="500"/>
    </row>
    <row r="7676" spans="1:42" ht="16.5" customHeight="1">
      <c r="A7676" s="434"/>
      <c r="B7676" s="437" t="s">
        <v>3419</v>
      </c>
      <c r="C7676" s="513">
        <f>E7676+D7676+F7676</f>
        <v>487.5</v>
      </c>
      <c r="D7676" s="513">
        <f>SUMIF(N7657:N7675,M7676,D7657:D7675)</f>
        <v>487.5</v>
      </c>
      <c r="E7676" s="513">
        <f>SUMIF(N7657:N7675,M7676,E7657:E7675)</f>
        <v>0</v>
      </c>
      <c r="F7676" s="513">
        <f>SUMIF(N7657:N7675,M7676,F7657:F7675)</f>
        <v>0</v>
      </c>
      <c r="G7676" s="451" t="s">
        <v>3439</v>
      </c>
      <c r="M7676" s="501" t="s">
        <v>3416</v>
      </c>
      <c r="N7676" s="501" t="s">
        <v>3421</v>
      </c>
      <c r="Z7676" s="500"/>
      <c r="AA7676" s="500"/>
      <c r="AB7676" s="500"/>
      <c r="AC7676" s="500"/>
      <c r="AD7676" s="500"/>
      <c r="AE7676" s="500"/>
      <c r="AF7676" s="500"/>
      <c r="AG7676" s="500"/>
      <c r="AH7676" s="500"/>
      <c r="AI7676" s="500"/>
      <c r="AJ7676" s="500"/>
      <c r="AK7676" s="500"/>
      <c r="AL7676" s="500"/>
      <c r="AM7676" s="500"/>
      <c r="AN7676" s="500"/>
      <c r="AO7676" s="500"/>
      <c r="AP7676" s="500"/>
    </row>
    <row r="7677" spans="1:42" ht="16.5" customHeight="1">
      <c r="A7677" s="439"/>
      <c r="B7677" s="439"/>
      <c r="C7677" s="504"/>
      <c r="D7677" s="504"/>
      <c r="E7677" s="504"/>
      <c r="F7677" s="504"/>
      <c r="G7677" s="451" t="s">
        <v>3406</v>
      </c>
      <c r="Z7677" s="500"/>
      <c r="AA7677" s="500"/>
      <c r="AB7677" s="500"/>
      <c r="AC7677" s="500"/>
      <c r="AD7677" s="500"/>
      <c r="AE7677" s="500"/>
      <c r="AF7677" s="500"/>
      <c r="AG7677" s="500"/>
      <c r="AH7677" s="500"/>
      <c r="AI7677" s="500"/>
      <c r="AJ7677" s="500"/>
      <c r="AK7677" s="500"/>
      <c r="AL7677" s="500"/>
      <c r="AM7677" s="500"/>
      <c r="AN7677" s="500"/>
      <c r="AO7677" s="500"/>
      <c r="AP7677" s="500"/>
    </row>
    <row r="7678" spans="1:42" ht="16.5" customHeight="1">
      <c r="A7678" s="439"/>
      <c r="B7678" s="439"/>
      <c r="C7678" s="439"/>
      <c r="D7678" s="439"/>
      <c r="E7678" s="439"/>
      <c r="F7678" s="439"/>
      <c r="G7678" s="451" t="s">
        <v>3406</v>
      </c>
      <c r="Z7678" s="500"/>
      <c r="AA7678" s="500"/>
      <c r="AB7678" s="500"/>
      <c r="AC7678" s="500"/>
      <c r="AD7678" s="500"/>
      <c r="AE7678" s="500"/>
      <c r="AF7678" s="500"/>
      <c r="AG7678" s="500"/>
      <c r="AH7678" s="500"/>
      <c r="AI7678" s="500"/>
      <c r="AJ7678" s="500"/>
      <c r="AK7678" s="500"/>
      <c r="AL7678" s="500"/>
      <c r="AM7678" s="500"/>
      <c r="AN7678" s="500"/>
      <c r="AO7678" s="500"/>
      <c r="AP7678" s="500"/>
    </row>
    <row r="7679" spans="1:42" ht="16.5" customHeight="1">
      <c r="A7679" s="434"/>
      <c r="B7679" s="437" t="s">
        <v>3502</v>
      </c>
      <c r="C7679" s="439"/>
      <c r="D7679" s="439"/>
      <c r="E7679" s="439"/>
      <c r="F7679" s="439"/>
      <c r="G7679" s="451" t="s">
        <v>3503</v>
      </c>
      <c r="Z7679" s="500"/>
      <c r="AA7679" s="500"/>
      <c r="AB7679" s="500"/>
      <c r="AC7679" s="500"/>
      <c r="AD7679" s="500"/>
      <c r="AE7679" s="500"/>
      <c r="AF7679" s="500"/>
      <c r="AG7679" s="500"/>
      <c r="AH7679" s="500"/>
      <c r="AI7679" s="500"/>
      <c r="AJ7679" s="500"/>
      <c r="AK7679" s="500"/>
      <c r="AL7679" s="500"/>
      <c r="AM7679" s="500"/>
      <c r="AN7679" s="500"/>
      <c r="AO7679" s="500"/>
      <c r="AP7679" s="500"/>
    </row>
    <row r="7680" spans="1:42" ht="16.5" customHeight="1">
      <c r="A7680" s="439"/>
      <c r="B7680" s="439"/>
      <c r="C7680" s="439"/>
      <c r="D7680" s="439"/>
      <c r="E7680" s="439"/>
      <c r="F7680" s="439"/>
      <c r="G7680" s="451" t="s">
        <v>3406</v>
      </c>
      <c r="Z7680" s="500"/>
      <c r="AA7680" s="500"/>
      <c r="AB7680" s="500"/>
      <c r="AC7680" s="500"/>
      <c r="AD7680" s="500"/>
      <c r="AE7680" s="500"/>
      <c r="AF7680" s="500"/>
      <c r="AG7680" s="500"/>
      <c r="AH7680" s="500"/>
      <c r="AI7680" s="500"/>
      <c r="AJ7680" s="500"/>
      <c r="AK7680" s="500"/>
      <c r="AL7680" s="500"/>
      <c r="AM7680" s="500"/>
      <c r="AN7680" s="500"/>
      <c r="AO7680" s="500"/>
      <c r="AP7680" s="500"/>
    </row>
    <row r="7681" spans="1:42" ht="16.5" customHeight="1">
      <c r="A7681" s="434" t="s">
        <v>3504</v>
      </c>
      <c r="B7681" s="505" t="str">
        <f>"  유기질비료 수목이식·식재용 : "&amp;TEXT(I7681,"#,##0"&amp;IF(I7681&lt;&gt;INT(I7681),".###",""))&amp;" * "&amp;AA7681&amp;" KG  / Q = "&amp;TEXT(C7681,"#,##0.0")&amp;""</f>
        <v xml:space="preserve">  유기질비료 수목이식·식재용 : 500 * 180 KG  / Q = 50.0</v>
      </c>
      <c r="C7681" s="506">
        <f>E7681+D7681+F7681</f>
        <v>50</v>
      </c>
      <c r="D7681" s="506">
        <f>IF(H7681=0,0,ROUNDDOWN(J7681*H7681,1))</f>
        <v>0</v>
      </c>
      <c r="E7681" s="506">
        <f>IF(H7681=0,0,ROUNDDOWN(K7681*H7681,1))</f>
        <v>50</v>
      </c>
      <c r="F7681" s="506">
        <f>IF(H7681=0,0,ROUNDDOWN(L7681*H7681,1))</f>
        <v>0</v>
      </c>
      <c r="G7681" s="451" t="s">
        <v>4297</v>
      </c>
      <c r="H7681" s="507">
        <f>ROUNDUP(AE7681,14-LEN(ABS(INT(AE7681))))</f>
        <v>0.1</v>
      </c>
      <c r="I7681" s="508">
        <f>K7681+J7681+L7681</f>
        <v>500</v>
      </c>
      <c r="K7681" s="509">
        <f>재료비목록표!E78</f>
        <v>500</v>
      </c>
      <c r="M7681" s="501" t="s">
        <v>3506</v>
      </c>
      <c r="N7681" s="501" t="s">
        <v>3416</v>
      </c>
      <c r="X7681" s="510" t="str">
        <f>재료비목록표!B78&amp;" / "&amp;재료비목록표!C78</f>
        <v>유기질비료 / 수목이식·식재용</v>
      </c>
      <c r="Y7681" s="433" t="str">
        <f ca="1">HYPERLINK("#"&amp;재료비목록표!G2&amp;"!A"&amp;ROW(재료비목록표!A78),"M01159 →")</f>
        <v>M01159 →</v>
      </c>
      <c r="Z7681" s="501" t="s">
        <v>3500</v>
      </c>
      <c r="AA7681" s="515">
        <v>180</v>
      </c>
      <c r="AB7681" s="501" t="s">
        <v>3428</v>
      </c>
      <c r="AC7681" s="512">
        <f>AB7662</f>
        <v>1800</v>
      </c>
      <c r="AD7681" s="501" t="s">
        <v>3418</v>
      </c>
      <c r="AE7681" s="512">
        <f>1*AA7681/AB7662</f>
        <v>0.1</v>
      </c>
      <c r="AF7681" s="500"/>
      <c r="AG7681" s="500"/>
      <c r="AH7681" s="500"/>
      <c r="AI7681" s="500"/>
      <c r="AJ7681" s="500"/>
      <c r="AK7681" s="500"/>
      <c r="AL7681" s="500"/>
      <c r="AM7681" s="500"/>
      <c r="AN7681" s="500"/>
      <c r="AO7681" s="500"/>
      <c r="AP7681" s="500"/>
    </row>
    <row r="7682" spans="1:42" ht="16.5" customHeight="1">
      <c r="A7682" s="439"/>
      <c r="B7682" s="439"/>
      <c r="C7682" s="439"/>
      <c r="D7682" s="439"/>
      <c r="E7682" s="439"/>
      <c r="F7682" s="439"/>
      <c r="G7682" s="451" t="s">
        <v>3406</v>
      </c>
      <c r="Z7682" s="500"/>
      <c r="AA7682" s="500"/>
      <c r="AB7682" s="500"/>
      <c r="AC7682" s="500"/>
      <c r="AD7682" s="500"/>
      <c r="AE7682" s="500"/>
      <c r="AF7682" s="500"/>
      <c r="AG7682" s="500"/>
      <c r="AH7682" s="500"/>
      <c r="AI7682" s="500"/>
      <c r="AJ7682" s="500"/>
      <c r="AK7682" s="500"/>
      <c r="AL7682" s="500"/>
      <c r="AM7682" s="500"/>
      <c r="AN7682" s="500"/>
      <c r="AO7682" s="500"/>
      <c r="AP7682" s="500"/>
    </row>
    <row r="7683" spans="1:42" ht="16.5" customHeight="1">
      <c r="A7683" s="434"/>
      <c r="B7683" s="437" t="s">
        <v>3419</v>
      </c>
      <c r="C7683" s="513">
        <f>E7683+D7683+F7683</f>
        <v>50</v>
      </c>
      <c r="D7683" s="513">
        <f>SUMIF(N7677:N7682,M7683,D7677:D7682)</f>
        <v>0</v>
      </c>
      <c r="E7683" s="513">
        <f>SUMIF(N7677:N7682,M7683,E7677:E7682)</f>
        <v>50</v>
      </c>
      <c r="F7683" s="513">
        <f>SUMIF(N7677:N7682,M7683,F7677:F7682)</f>
        <v>0</v>
      </c>
      <c r="G7683" s="451" t="s">
        <v>3439</v>
      </c>
      <c r="M7683" s="501" t="s">
        <v>3416</v>
      </c>
      <c r="N7683" s="501" t="s">
        <v>3421</v>
      </c>
      <c r="Z7683" s="500"/>
      <c r="AA7683" s="500"/>
      <c r="AB7683" s="500"/>
      <c r="AC7683" s="500"/>
      <c r="AD7683" s="500"/>
      <c r="AE7683" s="500"/>
      <c r="AF7683" s="500"/>
      <c r="AG7683" s="500"/>
      <c r="AH7683" s="500"/>
      <c r="AI7683" s="500"/>
      <c r="AJ7683" s="500"/>
      <c r="AK7683" s="500"/>
      <c r="AL7683" s="500"/>
      <c r="AM7683" s="500"/>
      <c r="AN7683" s="500"/>
      <c r="AO7683" s="500"/>
      <c r="AP7683" s="500"/>
    </row>
    <row r="7684" spans="1:42" ht="16.5" customHeight="1">
      <c r="A7684" s="439"/>
      <c r="B7684" s="439"/>
      <c r="C7684" s="504"/>
      <c r="D7684" s="504"/>
      <c r="E7684" s="504"/>
      <c r="F7684" s="504"/>
      <c r="G7684" s="451" t="s">
        <v>3406</v>
      </c>
      <c r="Z7684" s="500"/>
      <c r="AA7684" s="500"/>
      <c r="AB7684" s="500"/>
      <c r="AC7684" s="500"/>
      <c r="AD7684" s="500"/>
      <c r="AE7684" s="500"/>
      <c r="AF7684" s="500"/>
      <c r="AG7684" s="500"/>
      <c r="AH7684" s="500"/>
      <c r="AI7684" s="500"/>
      <c r="AJ7684" s="500"/>
      <c r="AK7684" s="500"/>
      <c r="AL7684" s="500"/>
      <c r="AM7684" s="500"/>
      <c r="AN7684" s="500"/>
      <c r="AO7684" s="500"/>
      <c r="AP7684" s="500"/>
    </row>
    <row r="7685" spans="1:42" ht="16.5" customHeight="1">
      <c r="A7685" s="434"/>
      <c r="B7685" s="437" t="s">
        <v>3440</v>
      </c>
      <c r="C7685" s="513">
        <f>E7685+D7685+F7685</f>
        <v>537.5</v>
      </c>
      <c r="D7685" s="513">
        <f>SUMIF(N7657:N7684,M7685,D7657:D7684)</f>
        <v>487.5</v>
      </c>
      <c r="E7685" s="513">
        <f>SUMIF(N7657:N7684,M7685,E7657:E7684)</f>
        <v>50</v>
      </c>
      <c r="F7685" s="513">
        <f>SUMIF(N7657:N7684,M7685,F7657:F7684)</f>
        <v>0</v>
      </c>
      <c r="G7685" s="451" t="s">
        <v>3441</v>
      </c>
      <c r="M7685" s="501" t="s">
        <v>3421</v>
      </c>
      <c r="N7685" s="501" t="s">
        <v>2354</v>
      </c>
      <c r="Z7685" s="500"/>
      <c r="AA7685" s="500"/>
      <c r="AB7685" s="500"/>
      <c r="AC7685" s="500"/>
      <c r="AD7685" s="500"/>
      <c r="AE7685" s="500"/>
      <c r="AF7685" s="500"/>
      <c r="AG7685" s="500"/>
      <c r="AH7685" s="500"/>
      <c r="AI7685" s="500"/>
      <c r="AJ7685" s="500"/>
      <c r="AK7685" s="500"/>
      <c r="AL7685" s="500"/>
      <c r="AM7685" s="500"/>
      <c r="AN7685" s="500"/>
      <c r="AO7685" s="500"/>
      <c r="AP7685" s="500"/>
    </row>
    <row r="7686" spans="1:42" ht="16.5" customHeight="1">
      <c r="A7686" s="439"/>
      <c r="B7686" s="439"/>
      <c r="C7686" s="504"/>
      <c r="D7686" s="504"/>
      <c r="E7686" s="504"/>
      <c r="F7686" s="504"/>
      <c r="G7686" s="451" t="s">
        <v>3413</v>
      </c>
      <c r="Z7686" s="500"/>
      <c r="AA7686" s="500"/>
      <c r="AB7686" s="500"/>
      <c r="AC7686" s="500"/>
      <c r="AD7686" s="500"/>
      <c r="AE7686" s="500"/>
      <c r="AF7686" s="500"/>
      <c r="AG7686" s="500"/>
      <c r="AH7686" s="500"/>
      <c r="AI7686" s="500"/>
      <c r="AJ7686" s="500"/>
      <c r="AK7686" s="500"/>
      <c r="AL7686" s="500"/>
      <c r="AM7686" s="500"/>
      <c r="AN7686" s="500"/>
      <c r="AO7686" s="500"/>
      <c r="AP7686" s="500"/>
    </row>
    <row r="7687" spans="1:42" ht="16.5" customHeight="1">
      <c r="A7687" s="439"/>
      <c r="B7687" s="439"/>
      <c r="C7687" s="439"/>
      <c r="D7687" s="439"/>
      <c r="E7687" s="439"/>
      <c r="F7687" s="439"/>
      <c r="Z7687" s="500"/>
      <c r="AA7687" s="500"/>
      <c r="AB7687" s="500"/>
      <c r="AC7687" s="500"/>
      <c r="AD7687" s="500"/>
      <c r="AE7687" s="500"/>
      <c r="AF7687" s="500"/>
      <c r="AG7687" s="500"/>
      <c r="AH7687" s="500"/>
      <c r="AI7687" s="500"/>
      <c r="AJ7687" s="500"/>
      <c r="AK7687" s="500"/>
      <c r="AL7687" s="500"/>
      <c r="AM7687" s="500"/>
      <c r="AN7687" s="500"/>
      <c r="AO7687" s="500"/>
      <c r="AP7687" s="500"/>
    </row>
    <row r="7688" spans="1:42" ht="16.5" customHeight="1">
      <c r="A7688" s="439"/>
      <c r="B7688" s="439"/>
      <c r="C7688" s="439"/>
      <c r="D7688" s="439"/>
      <c r="E7688" s="439"/>
      <c r="F7688" s="439"/>
      <c r="Z7688" s="500"/>
      <c r="AA7688" s="500"/>
      <c r="AB7688" s="500"/>
      <c r="AC7688" s="500"/>
      <c r="AD7688" s="500"/>
      <c r="AE7688" s="500"/>
      <c r="AF7688" s="500"/>
      <c r="AG7688" s="500"/>
      <c r="AH7688" s="500"/>
      <c r="AI7688" s="500"/>
      <c r="AJ7688" s="500"/>
      <c r="AK7688" s="500"/>
      <c r="AL7688" s="500"/>
      <c r="AM7688" s="500"/>
      <c r="AN7688" s="500"/>
      <c r="AO7688" s="500"/>
      <c r="AP7688" s="500"/>
    </row>
    <row r="7689" spans="1:42" ht="16.5" customHeight="1">
      <c r="A7689" s="439"/>
      <c r="B7689" s="439"/>
      <c r="C7689" s="439"/>
      <c r="D7689" s="439"/>
      <c r="E7689" s="439"/>
      <c r="F7689" s="439"/>
      <c r="Z7689" s="500"/>
      <c r="AA7689" s="500"/>
      <c r="AB7689" s="500"/>
      <c r="AC7689" s="500"/>
      <c r="AD7689" s="500"/>
      <c r="AE7689" s="500"/>
      <c r="AF7689" s="500"/>
      <c r="AG7689" s="500"/>
      <c r="AH7689" s="500"/>
      <c r="AI7689" s="500"/>
      <c r="AJ7689" s="500"/>
      <c r="AK7689" s="500"/>
      <c r="AL7689" s="500"/>
      <c r="AM7689" s="500"/>
      <c r="AN7689" s="500"/>
      <c r="AO7689" s="500"/>
      <c r="AP7689" s="500"/>
    </row>
    <row r="7690" spans="1:42" ht="16.5" customHeight="1">
      <c r="A7690" s="439"/>
      <c r="B7690" s="439"/>
      <c r="C7690" s="439"/>
      <c r="D7690" s="439"/>
      <c r="E7690" s="439"/>
      <c r="F7690" s="439"/>
      <c r="Z7690" s="500"/>
      <c r="AA7690" s="500"/>
      <c r="AB7690" s="500"/>
      <c r="AC7690" s="500"/>
      <c r="AD7690" s="500"/>
      <c r="AE7690" s="500"/>
      <c r="AF7690" s="500"/>
      <c r="AG7690" s="500"/>
      <c r="AH7690" s="500"/>
      <c r="AI7690" s="500"/>
      <c r="AJ7690" s="500"/>
      <c r="AK7690" s="500"/>
      <c r="AL7690" s="500"/>
      <c r="AM7690" s="500"/>
      <c r="AN7690" s="500"/>
      <c r="AO7690" s="500"/>
      <c r="AP7690" s="500"/>
    </row>
    <row r="7691" spans="1:42" ht="16.5" customHeight="1">
      <c r="A7691" s="439"/>
      <c r="B7691" s="439"/>
      <c r="C7691" s="439"/>
      <c r="D7691" s="439"/>
      <c r="E7691" s="439"/>
      <c r="F7691" s="439"/>
      <c r="Z7691" s="500"/>
      <c r="AA7691" s="500"/>
      <c r="AB7691" s="500"/>
      <c r="AC7691" s="500"/>
      <c r="AD7691" s="500"/>
      <c r="AE7691" s="500"/>
      <c r="AF7691" s="500"/>
      <c r="AG7691" s="500"/>
      <c r="AH7691" s="500"/>
      <c r="AI7691" s="500"/>
      <c r="AJ7691" s="500"/>
      <c r="AK7691" s="500"/>
      <c r="AL7691" s="500"/>
      <c r="AM7691" s="500"/>
      <c r="AN7691" s="500"/>
      <c r="AO7691" s="500"/>
      <c r="AP7691" s="500"/>
    </row>
    <row r="7692" spans="1:42" ht="16.5" customHeight="1">
      <c r="A7692" s="439"/>
      <c r="B7692" s="439"/>
      <c r="C7692" s="439"/>
      <c r="D7692" s="439"/>
      <c r="E7692" s="439"/>
      <c r="F7692" s="439"/>
      <c r="Z7692" s="500"/>
      <c r="AA7692" s="500"/>
      <c r="AB7692" s="500"/>
      <c r="AC7692" s="500"/>
      <c r="AD7692" s="500"/>
      <c r="AE7692" s="500"/>
      <c r="AF7692" s="500"/>
      <c r="AG7692" s="500"/>
      <c r="AH7692" s="500"/>
      <c r="AI7692" s="500"/>
      <c r="AJ7692" s="500"/>
      <c r="AK7692" s="500"/>
      <c r="AL7692" s="500"/>
      <c r="AM7692" s="500"/>
      <c r="AN7692" s="500"/>
      <c r="AO7692" s="500"/>
      <c r="AP7692" s="500"/>
    </row>
    <row r="7693" spans="1:42" ht="16.5" customHeight="1">
      <c r="A7693" s="439"/>
      <c r="B7693" s="439"/>
      <c r="C7693" s="439"/>
      <c r="D7693" s="439"/>
      <c r="E7693" s="439"/>
      <c r="F7693" s="439"/>
      <c r="Z7693" s="500"/>
      <c r="AA7693" s="500"/>
      <c r="AB7693" s="500"/>
      <c r="AC7693" s="500"/>
      <c r="AD7693" s="500"/>
      <c r="AE7693" s="500"/>
      <c r="AF7693" s="500"/>
      <c r="AG7693" s="500"/>
      <c r="AH7693" s="500"/>
      <c r="AI7693" s="500"/>
      <c r="AJ7693" s="500"/>
      <c r="AK7693" s="500"/>
      <c r="AL7693" s="500"/>
      <c r="AM7693" s="500"/>
      <c r="AN7693" s="500"/>
      <c r="AO7693" s="500"/>
      <c r="AP7693" s="500"/>
    </row>
    <row r="7694" spans="1:42" ht="16.5" customHeight="1">
      <c r="A7694" s="439"/>
      <c r="B7694" s="439"/>
      <c r="C7694" s="439"/>
      <c r="D7694" s="439"/>
      <c r="E7694" s="439"/>
      <c r="F7694" s="439"/>
      <c r="Z7694" s="500"/>
      <c r="AA7694" s="500"/>
      <c r="AB7694" s="500"/>
      <c r="AC7694" s="500"/>
      <c r="AD7694" s="500"/>
      <c r="AE7694" s="500"/>
      <c r="AF7694" s="500"/>
      <c r="AG7694" s="500"/>
      <c r="AH7694" s="500"/>
      <c r="AI7694" s="500"/>
      <c r="AJ7694" s="500"/>
      <c r="AK7694" s="500"/>
      <c r="AL7694" s="500"/>
      <c r="AM7694" s="500"/>
      <c r="AN7694" s="500"/>
      <c r="AO7694" s="500"/>
      <c r="AP7694" s="500"/>
    </row>
    <row r="7695" spans="1:42" ht="16.5" customHeight="1">
      <c r="A7695" s="439"/>
      <c r="B7695" s="439"/>
      <c r="C7695" s="439"/>
      <c r="D7695" s="439"/>
      <c r="E7695" s="439"/>
      <c r="F7695" s="439"/>
      <c r="Z7695" s="500"/>
      <c r="AA7695" s="500"/>
      <c r="AB7695" s="500"/>
      <c r="AC7695" s="500"/>
      <c r="AD7695" s="500"/>
      <c r="AE7695" s="500"/>
      <c r="AF7695" s="500"/>
      <c r="AG7695" s="500"/>
      <c r="AH7695" s="500"/>
      <c r="AI7695" s="500"/>
      <c r="AJ7695" s="500"/>
      <c r="AK7695" s="500"/>
      <c r="AL7695" s="500"/>
      <c r="AM7695" s="500"/>
      <c r="AN7695" s="500"/>
      <c r="AO7695" s="500"/>
      <c r="AP7695" s="500"/>
    </row>
    <row r="7696" spans="1:42" ht="16.5" customHeight="1">
      <c r="A7696" s="439"/>
      <c r="B7696" s="439"/>
      <c r="C7696" s="439"/>
      <c r="D7696" s="439"/>
      <c r="E7696" s="439"/>
      <c r="F7696" s="439"/>
      <c r="Z7696" s="500"/>
      <c r="AA7696" s="500"/>
      <c r="AB7696" s="500"/>
      <c r="AC7696" s="500"/>
      <c r="AD7696" s="500"/>
      <c r="AE7696" s="500"/>
      <c r="AF7696" s="500"/>
      <c r="AG7696" s="500"/>
      <c r="AH7696" s="500"/>
      <c r="AI7696" s="500"/>
      <c r="AJ7696" s="500"/>
      <c r="AK7696" s="500"/>
      <c r="AL7696" s="500"/>
      <c r="AM7696" s="500"/>
      <c r="AN7696" s="500"/>
      <c r="AO7696" s="500"/>
      <c r="AP7696" s="500"/>
    </row>
    <row r="7697" spans="1:42" ht="16.5" customHeight="1">
      <c r="A7697" s="439"/>
      <c r="B7697" s="439"/>
      <c r="C7697" s="439"/>
      <c r="D7697" s="439"/>
      <c r="E7697" s="439"/>
      <c r="F7697" s="439"/>
      <c r="Z7697" s="500"/>
      <c r="AA7697" s="500"/>
      <c r="AB7697" s="500"/>
      <c r="AC7697" s="500"/>
      <c r="AD7697" s="500"/>
      <c r="AE7697" s="500"/>
      <c r="AF7697" s="500"/>
      <c r="AG7697" s="500"/>
      <c r="AH7697" s="500"/>
      <c r="AI7697" s="500"/>
      <c r="AJ7697" s="500"/>
      <c r="AK7697" s="500"/>
      <c r="AL7697" s="500"/>
      <c r="AM7697" s="500"/>
      <c r="AN7697" s="500"/>
      <c r="AO7697" s="500"/>
      <c r="AP7697" s="500"/>
    </row>
    <row r="7698" spans="1:42" ht="16.5" customHeight="1">
      <c r="A7698" s="439"/>
      <c r="B7698" s="439"/>
      <c r="C7698" s="439"/>
      <c r="D7698" s="439"/>
      <c r="E7698" s="439"/>
      <c r="F7698" s="439"/>
      <c r="Z7698" s="500"/>
      <c r="AA7698" s="500"/>
      <c r="AB7698" s="500"/>
      <c r="AC7698" s="500"/>
      <c r="AD7698" s="500"/>
      <c r="AE7698" s="500"/>
      <c r="AF7698" s="500"/>
      <c r="AG7698" s="500"/>
      <c r="AH7698" s="500"/>
      <c r="AI7698" s="500"/>
      <c r="AJ7698" s="500"/>
      <c r="AK7698" s="500"/>
      <c r="AL7698" s="500"/>
      <c r="AM7698" s="500"/>
      <c r="AN7698" s="500"/>
      <c r="AO7698" s="500"/>
      <c r="AP7698" s="500"/>
    </row>
    <row r="7699" spans="1:42" ht="16.5" customHeight="1">
      <c r="A7699" s="439"/>
      <c r="B7699" s="439"/>
      <c r="C7699" s="439"/>
      <c r="D7699" s="439"/>
      <c r="E7699" s="439"/>
      <c r="F7699" s="439"/>
      <c r="Z7699" s="500"/>
      <c r="AA7699" s="500"/>
      <c r="AB7699" s="500"/>
      <c r="AC7699" s="500"/>
      <c r="AD7699" s="500"/>
      <c r="AE7699" s="500"/>
      <c r="AF7699" s="500"/>
      <c r="AG7699" s="500"/>
      <c r="AH7699" s="500"/>
      <c r="AI7699" s="500"/>
      <c r="AJ7699" s="500"/>
      <c r="AK7699" s="500"/>
      <c r="AL7699" s="500"/>
      <c r="AM7699" s="500"/>
      <c r="AN7699" s="500"/>
      <c r="AO7699" s="500"/>
      <c r="AP7699" s="500"/>
    </row>
    <row r="7700" spans="1:42" ht="16.5" customHeight="1">
      <c r="A7700" s="439"/>
      <c r="B7700" s="439"/>
      <c r="C7700" s="439"/>
      <c r="D7700" s="439"/>
      <c r="E7700" s="439"/>
      <c r="F7700" s="439"/>
      <c r="Z7700" s="500"/>
      <c r="AA7700" s="500"/>
      <c r="AB7700" s="500"/>
      <c r="AC7700" s="500"/>
      <c r="AD7700" s="500"/>
      <c r="AE7700" s="500"/>
      <c r="AF7700" s="500"/>
      <c r="AG7700" s="500"/>
      <c r="AH7700" s="500"/>
      <c r="AI7700" s="500"/>
      <c r="AJ7700" s="500"/>
      <c r="AK7700" s="500"/>
      <c r="AL7700" s="500"/>
      <c r="AM7700" s="500"/>
      <c r="AN7700" s="500"/>
      <c r="AO7700" s="500"/>
      <c r="AP7700" s="500"/>
    </row>
    <row r="7701" spans="1:42" ht="16.5" customHeight="1">
      <c r="A7701" s="439"/>
      <c r="B7701" s="439"/>
      <c r="C7701" s="439"/>
      <c r="D7701" s="439"/>
      <c r="E7701" s="439"/>
      <c r="F7701" s="439"/>
      <c r="Z7701" s="500"/>
      <c r="AA7701" s="500"/>
      <c r="AB7701" s="500"/>
      <c r="AC7701" s="500"/>
      <c r="AD7701" s="500"/>
      <c r="AE7701" s="500"/>
      <c r="AF7701" s="500"/>
      <c r="AG7701" s="500"/>
      <c r="AH7701" s="500"/>
      <c r="AI7701" s="500"/>
      <c r="AJ7701" s="500"/>
      <c r="AK7701" s="500"/>
      <c r="AL7701" s="500"/>
      <c r="AM7701" s="500"/>
      <c r="AN7701" s="500"/>
      <c r="AO7701" s="500"/>
      <c r="AP7701" s="500"/>
    </row>
    <row r="7702" spans="1:42" ht="16.5" customHeight="1">
      <c r="A7702" s="439"/>
      <c r="B7702" s="439"/>
      <c r="C7702" s="439"/>
      <c r="D7702" s="439"/>
      <c r="E7702" s="439"/>
      <c r="F7702" s="439"/>
      <c r="Z7702" s="500"/>
      <c r="AA7702" s="500"/>
      <c r="AB7702" s="500"/>
      <c r="AC7702" s="500"/>
      <c r="AD7702" s="500"/>
      <c r="AE7702" s="500"/>
      <c r="AF7702" s="500"/>
      <c r="AG7702" s="500"/>
      <c r="AH7702" s="500"/>
      <c r="AI7702" s="500"/>
      <c r="AJ7702" s="500"/>
      <c r="AK7702" s="500"/>
      <c r="AL7702" s="500"/>
      <c r="AM7702" s="500"/>
      <c r="AN7702" s="500"/>
      <c r="AO7702" s="500"/>
      <c r="AP7702" s="500"/>
    </row>
    <row r="7703" spans="1:42" ht="16.5" customHeight="1">
      <c r="A7703" s="497"/>
      <c r="B7703" s="497"/>
      <c r="C7703" s="497"/>
      <c r="D7703" s="497"/>
      <c r="E7703" s="497"/>
      <c r="F7703" s="497"/>
      <c r="Z7703" s="500"/>
      <c r="AA7703" s="500"/>
      <c r="AB7703" s="500"/>
      <c r="AC7703" s="500"/>
      <c r="AD7703" s="500"/>
      <c r="AE7703" s="500"/>
      <c r="AF7703" s="500"/>
      <c r="AG7703" s="500"/>
      <c r="AH7703" s="500"/>
      <c r="AI7703" s="500"/>
      <c r="AJ7703" s="500"/>
      <c r="AK7703" s="500"/>
      <c r="AL7703" s="500"/>
      <c r="AM7703" s="500"/>
      <c r="AN7703" s="500"/>
      <c r="AO7703" s="500"/>
      <c r="AP7703" s="500"/>
    </row>
    <row r="7704" spans="1:42" ht="16.5" customHeight="1">
      <c r="A7704" s="616" t="s">
        <v>3487</v>
      </c>
      <c r="B7704" s="605"/>
      <c r="C7704" s="446">
        <f>E7704+D7704+F7704</f>
        <v>537</v>
      </c>
      <c r="D7704" s="453">
        <f>ROUNDDOWN(SUMIF(N7657:N7686,M7704,D7657:D7686),0)</f>
        <v>487</v>
      </c>
      <c r="E7704" s="454">
        <f>ROUNDDOWN(SUMIF(N7657:N7686,M7704,E7657:E7686),0)</f>
        <v>50</v>
      </c>
      <c r="F7704" s="446">
        <f>ROUNDDOWN(SUMIF(N7657:N7686,M7704,F7657:F7686),0)</f>
        <v>0</v>
      </c>
      <c r="M7704" s="501" t="s">
        <v>2354</v>
      </c>
      <c r="Z7704" s="500"/>
      <c r="AA7704" s="500"/>
      <c r="AB7704" s="500"/>
      <c r="AC7704" s="500"/>
      <c r="AD7704" s="500"/>
      <c r="AE7704" s="500"/>
      <c r="AF7704" s="500"/>
      <c r="AG7704" s="500"/>
      <c r="AH7704" s="500"/>
      <c r="AI7704" s="500"/>
      <c r="AJ7704" s="500"/>
      <c r="AK7704" s="500"/>
      <c r="AL7704" s="500"/>
      <c r="AM7704" s="500"/>
      <c r="AN7704" s="500"/>
      <c r="AO7704" s="500"/>
      <c r="AP7704" s="500"/>
    </row>
    <row r="7705" spans="1:42" ht="16.5" customHeight="1">
      <c r="A7705" s="502"/>
      <c r="B7705" s="503" t="s">
        <v>1909</v>
      </c>
      <c r="C7705" s="615">
        <f>C7754</f>
        <v>847</v>
      </c>
      <c r="D7705" s="615">
        <f>D7754</f>
        <v>797</v>
      </c>
      <c r="E7705" s="615">
        <f>E7754</f>
        <v>50</v>
      </c>
      <c r="F7705" s="615">
        <f>F7754</f>
        <v>0</v>
      </c>
      <c r="G7705" s="486" t="str">
        <f>HYPERLINK("#G"&amp;ROW(G7736),"_x0005_`BDCOD|D01297_x0007_`POSS|"&amp;ROW(G7707)&amp;"_x0007_`POSE|"&amp;ROW(G7736)&amp;"_x0007_`")</f>
        <v>_x0005_`BDCOD|D01297_x0007_`POSS|7707_x0007_`POSE|7736_x0007_`</v>
      </c>
      <c r="Z7705" s="500"/>
      <c r="AA7705" s="500"/>
      <c r="AB7705" s="500"/>
      <c r="AC7705" s="500"/>
      <c r="AD7705" s="500"/>
      <c r="AE7705" s="500"/>
      <c r="AF7705" s="500"/>
      <c r="AG7705" s="500"/>
      <c r="AH7705" s="500"/>
      <c r="AI7705" s="500"/>
      <c r="AJ7705" s="500"/>
      <c r="AK7705" s="500"/>
      <c r="AL7705" s="500"/>
      <c r="AM7705" s="500"/>
      <c r="AN7705" s="500"/>
      <c r="AO7705" s="500"/>
      <c r="AP7705" s="500"/>
    </row>
    <row r="7706" spans="1:42" ht="16.5" customHeight="1">
      <c r="A7706" s="485"/>
      <c r="B7706" s="503" t="s">
        <v>4298</v>
      </c>
      <c r="C7706" s="593"/>
      <c r="D7706" s="593"/>
      <c r="E7706" s="593"/>
      <c r="F7706" s="593"/>
      <c r="M7706" s="501" t="s">
        <v>1909</v>
      </c>
      <c r="Z7706" s="500"/>
      <c r="AA7706" s="500"/>
      <c r="AB7706" s="500"/>
      <c r="AC7706" s="500"/>
      <c r="AD7706" s="500"/>
      <c r="AE7706" s="500"/>
      <c r="AF7706" s="500"/>
      <c r="AG7706" s="500"/>
      <c r="AH7706" s="500"/>
      <c r="AI7706" s="500"/>
      <c r="AJ7706" s="500"/>
      <c r="AK7706" s="500"/>
      <c r="AL7706" s="500"/>
      <c r="AM7706" s="500"/>
      <c r="AN7706" s="500"/>
      <c r="AO7706" s="500"/>
      <c r="AP7706" s="500"/>
    </row>
    <row r="7707" spans="1:42" ht="16.5" customHeight="1">
      <c r="A7707" s="439"/>
      <c r="B7707" s="439"/>
      <c r="C7707" s="504"/>
      <c r="D7707" s="504"/>
      <c r="E7707" s="504"/>
      <c r="F7707" s="504"/>
      <c r="G7707" s="451" t="s">
        <v>3406</v>
      </c>
      <c r="Z7707" s="500"/>
      <c r="AA7707" s="500"/>
      <c r="AB7707" s="500"/>
      <c r="AC7707" s="500"/>
      <c r="AD7707" s="500"/>
      <c r="AE7707" s="500"/>
      <c r="AF7707" s="500"/>
      <c r="AG7707" s="500"/>
      <c r="AH7707" s="500"/>
      <c r="AI7707" s="500"/>
      <c r="AJ7707" s="500"/>
      <c r="AK7707" s="500"/>
      <c r="AL7707" s="500"/>
      <c r="AM7707" s="500"/>
      <c r="AN7707" s="500"/>
      <c r="AO7707" s="500"/>
      <c r="AP7707" s="500"/>
    </row>
    <row r="7708" spans="1:42" ht="16.5" customHeight="1">
      <c r="A7708" s="434"/>
      <c r="B7708" s="437" t="s">
        <v>4299</v>
      </c>
      <c r="C7708" s="439"/>
      <c r="D7708" s="439"/>
      <c r="E7708" s="439"/>
      <c r="F7708" s="439"/>
      <c r="G7708" s="451" t="s">
        <v>4300</v>
      </c>
      <c r="Z7708" s="500"/>
      <c r="AA7708" s="500"/>
      <c r="AB7708" s="500"/>
      <c r="AC7708" s="500"/>
      <c r="AD7708" s="500"/>
      <c r="AE7708" s="500"/>
      <c r="AF7708" s="500"/>
      <c r="AG7708" s="500"/>
      <c r="AH7708" s="500"/>
      <c r="AI7708" s="500"/>
      <c r="AJ7708" s="500"/>
      <c r="AK7708" s="500"/>
      <c r="AL7708" s="500"/>
      <c r="AM7708" s="500"/>
      <c r="AN7708" s="500"/>
      <c r="AO7708" s="500"/>
      <c r="AP7708" s="500"/>
    </row>
    <row r="7709" spans="1:42" ht="16.5" customHeight="1">
      <c r="A7709" s="439"/>
      <c r="B7709" s="439"/>
      <c r="C7709" s="439"/>
      <c r="D7709" s="439"/>
      <c r="E7709" s="439"/>
      <c r="F7709" s="439"/>
      <c r="G7709" s="451" t="s">
        <v>3406</v>
      </c>
      <c r="Z7709" s="500"/>
      <c r="AA7709" s="500"/>
      <c r="AB7709" s="500"/>
      <c r="AC7709" s="500"/>
      <c r="AD7709" s="500"/>
      <c r="AE7709" s="500"/>
      <c r="AF7709" s="500"/>
      <c r="AG7709" s="500"/>
      <c r="AH7709" s="500"/>
      <c r="AI7709" s="500"/>
      <c r="AJ7709" s="500"/>
      <c r="AK7709" s="500"/>
      <c r="AL7709" s="500"/>
      <c r="AM7709" s="500"/>
      <c r="AN7709" s="500"/>
      <c r="AO7709" s="500"/>
      <c r="AP7709" s="500"/>
    </row>
    <row r="7710" spans="1:42" ht="16.5" customHeight="1">
      <c r="A7710" s="434"/>
      <c r="B7710" s="437" t="s">
        <v>4294</v>
      </c>
      <c r="C7710" s="439"/>
      <c r="D7710" s="439"/>
      <c r="E7710" s="439"/>
      <c r="F7710" s="439"/>
      <c r="G7710" s="451" t="s">
        <v>4295</v>
      </c>
      <c r="Z7710" s="500"/>
      <c r="AA7710" s="500"/>
      <c r="AB7710" s="500"/>
      <c r="AC7710" s="500"/>
      <c r="AD7710" s="500"/>
      <c r="AE7710" s="500"/>
      <c r="AF7710" s="500"/>
      <c r="AG7710" s="500"/>
      <c r="AH7710" s="500"/>
      <c r="AI7710" s="500"/>
      <c r="AJ7710" s="500"/>
      <c r="AK7710" s="500"/>
      <c r="AL7710" s="500"/>
      <c r="AM7710" s="500"/>
      <c r="AN7710" s="500"/>
      <c r="AO7710" s="500"/>
      <c r="AP7710" s="500"/>
    </row>
    <row r="7711" spans="1:42" ht="16.5" customHeight="1">
      <c r="A7711" s="439"/>
      <c r="B7711" s="439"/>
      <c r="C7711" s="439"/>
      <c r="D7711" s="439"/>
      <c r="E7711" s="439"/>
      <c r="F7711" s="439"/>
      <c r="G7711" s="451" t="s">
        <v>3406</v>
      </c>
      <c r="Z7711" s="500"/>
      <c r="AA7711" s="500"/>
      <c r="AB7711" s="500"/>
      <c r="AC7711" s="500"/>
      <c r="AD7711" s="500"/>
      <c r="AE7711" s="500"/>
      <c r="AF7711" s="500"/>
      <c r="AG7711" s="500"/>
      <c r="AH7711" s="500"/>
      <c r="AI7711" s="500"/>
      <c r="AJ7711" s="500"/>
      <c r="AK7711" s="500"/>
      <c r="AL7711" s="500"/>
      <c r="AM7711" s="500"/>
      <c r="AN7711" s="500"/>
      <c r="AO7711" s="500"/>
      <c r="AP7711" s="500"/>
    </row>
    <row r="7712" spans="1:42" ht="16.5" customHeight="1">
      <c r="A7712" s="434"/>
      <c r="B7712" s="437" t="str">
        <f>" 일당 작업량 :   Q = "&amp;Z7712&amp;"  주 "</f>
        <v xml:space="preserve"> 일당 작업량 :   Q = 1100  주 </v>
      </c>
      <c r="C7712" s="439"/>
      <c r="D7712" s="439"/>
      <c r="E7712" s="439"/>
      <c r="F7712" s="439"/>
      <c r="G7712" s="451" t="s">
        <v>4301</v>
      </c>
      <c r="Z7712" s="515">
        <v>1100</v>
      </c>
      <c r="AA7712" s="501" t="s">
        <v>3418</v>
      </c>
      <c r="AB7712" s="512">
        <f>Z7712</f>
        <v>1100</v>
      </c>
      <c r="AC7712" s="500"/>
      <c r="AD7712" s="500"/>
      <c r="AE7712" s="500"/>
      <c r="AF7712" s="500"/>
      <c r="AG7712" s="500"/>
      <c r="AH7712" s="500"/>
      <c r="AI7712" s="500"/>
      <c r="AJ7712" s="500"/>
      <c r="AK7712" s="500"/>
      <c r="AL7712" s="500"/>
      <c r="AM7712" s="500"/>
      <c r="AN7712" s="500"/>
      <c r="AO7712" s="500"/>
      <c r="AP7712" s="500"/>
    </row>
    <row r="7713" spans="1:42" ht="16.5" customHeight="1">
      <c r="A7713" s="439"/>
      <c r="B7713" s="439"/>
      <c r="C7713" s="439"/>
      <c r="D7713" s="439"/>
      <c r="E7713" s="439"/>
      <c r="F7713" s="439"/>
      <c r="G7713" s="451" t="s">
        <v>3406</v>
      </c>
      <c r="Z7713" s="500"/>
      <c r="AA7713" s="500"/>
      <c r="AB7713" s="500"/>
      <c r="AC7713" s="500"/>
      <c r="AD7713" s="500"/>
      <c r="AE7713" s="500"/>
      <c r="AF7713" s="500"/>
      <c r="AG7713" s="500"/>
      <c r="AH7713" s="500"/>
      <c r="AI7713" s="500"/>
      <c r="AJ7713" s="500"/>
      <c r="AK7713" s="500"/>
      <c r="AL7713" s="500"/>
      <c r="AM7713" s="500"/>
      <c r="AN7713" s="500"/>
      <c r="AO7713" s="500"/>
      <c r="AP7713" s="500"/>
    </row>
    <row r="7714" spans="1:42" ht="16.5" customHeight="1">
      <c r="A7714" s="434"/>
      <c r="B7714" s="437" t="s">
        <v>3494</v>
      </c>
      <c r="C7714" s="439"/>
      <c r="D7714" s="439"/>
      <c r="E7714" s="439"/>
      <c r="F7714" s="439"/>
      <c r="G7714" s="451" t="s">
        <v>3495</v>
      </c>
      <c r="Z7714" s="500"/>
      <c r="AA7714" s="500"/>
      <c r="AB7714" s="500"/>
      <c r="AC7714" s="500"/>
      <c r="AD7714" s="500"/>
      <c r="AE7714" s="500"/>
      <c r="AF7714" s="500"/>
      <c r="AG7714" s="500"/>
      <c r="AH7714" s="500"/>
      <c r="AI7714" s="500"/>
      <c r="AJ7714" s="500"/>
      <c r="AK7714" s="500"/>
      <c r="AL7714" s="500"/>
      <c r="AM7714" s="500"/>
      <c r="AN7714" s="500"/>
      <c r="AO7714" s="500"/>
      <c r="AP7714" s="500"/>
    </row>
    <row r="7715" spans="1:42" ht="16.5" customHeight="1">
      <c r="A7715" s="439"/>
      <c r="B7715" s="439"/>
      <c r="C7715" s="439"/>
      <c r="D7715" s="439"/>
      <c r="E7715" s="439"/>
      <c r="F7715" s="439"/>
      <c r="G7715" s="451" t="s">
        <v>3406</v>
      </c>
      <c r="Z7715" s="500"/>
      <c r="AA7715" s="500"/>
      <c r="AB7715" s="500"/>
      <c r="AC7715" s="500"/>
      <c r="AD7715" s="500"/>
      <c r="AE7715" s="500"/>
      <c r="AF7715" s="500"/>
      <c r="AG7715" s="500"/>
      <c r="AH7715" s="500"/>
      <c r="AI7715" s="500"/>
      <c r="AJ7715" s="500"/>
      <c r="AK7715" s="500"/>
      <c r="AL7715" s="500"/>
      <c r="AM7715" s="500"/>
      <c r="AN7715" s="500"/>
      <c r="AO7715" s="500"/>
      <c r="AP7715" s="500"/>
    </row>
    <row r="7716" spans="1:42" ht="16.5" customHeight="1">
      <c r="A7716" s="439"/>
      <c r="B7716" s="439"/>
      <c r="C7716" s="439"/>
      <c r="D7716" s="439"/>
      <c r="E7716" s="439"/>
      <c r="F7716" s="439"/>
      <c r="G7716" s="451" t="s">
        <v>3406</v>
      </c>
      <c r="Z7716" s="500"/>
      <c r="AA7716" s="500"/>
      <c r="AB7716" s="500"/>
      <c r="AC7716" s="500"/>
      <c r="AD7716" s="500"/>
      <c r="AE7716" s="500"/>
      <c r="AF7716" s="500"/>
      <c r="AG7716" s="500"/>
      <c r="AH7716" s="500"/>
      <c r="AI7716" s="500"/>
      <c r="AJ7716" s="500"/>
      <c r="AK7716" s="500"/>
      <c r="AL7716" s="500"/>
      <c r="AM7716" s="500"/>
      <c r="AN7716" s="500"/>
      <c r="AO7716" s="500"/>
      <c r="AP7716" s="500"/>
    </row>
    <row r="7717" spans="1:42" ht="16.5" customHeight="1">
      <c r="A7717" s="439"/>
      <c r="B7717" s="439"/>
      <c r="C7717" s="439"/>
      <c r="D7717" s="439"/>
      <c r="E7717" s="439"/>
      <c r="F7717" s="439"/>
      <c r="G7717" s="451" t="s">
        <v>3406</v>
      </c>
      <c r="Z7717" s="500"/>
      <c r="AA7717" s="500"/>
      <c r="AB7717" s="500"/>
      <c r="AC7717" s="500"/>
      <c r="AD7717" s="500"/>
      <c r="AE7717" s="500"/>
      <c r="AF7717" s="500"/>
      <c r="AG7717" s="500"/>
      <c r="AH7717" s="500"/>
      <c r="AI7717" s="500"/>
      <c r="AJ7717" s="500"/>
      <c r="AK7717" s="500"/>
      <c r="AL7717" s="500"/>
      <c r="AM7717" s="500"/>
      <c r="AN7717" s="500"/>
      <c r="AO7717" s="500"/>
      <c r="AP7717" s="500"/>
    </row>
    <row r="7718" spans="1:42" ht="16.5" customHeight="1">
      <c r="A7718" s="439"/>
      <c r="B7718" s="439"/>
      <c r="C7718" s="439"/>
      <c r="D7718" s="439"/>
      <c r="E7718" s="439"/>
      <c r="F7718" s="439"/>
      <c r="G7718" s="451" t="s">
        <v>3406</v>
      </c>
      <c r="Z7718" s="500"/>
      <c r="AA7718" s="500"/>
      <c r="AB7718" s="500"/>
      <c r="AC7718" s="500"/>
      <c r="AD7718" s="500"/>
      <c r="AE7718" s="500"/>
      <c r="AF7718" s="500"/>
      <c r="AG7718" s="500"/>
      <c r="AH7718" s="500"/>
      <c r="AI7718" s="500"/>
      <c r="AJ7718" s="500"/>
      <c r="AK7718" s="500"/>
      <c r="AL7718" s="500"/>
      <c r="AM7718" s="500"/>
      <c r="AN7718" s="500"/>
      <c r="AO7718" s="500"/>
      <c r="AP7718" s="500"/>
    </row>
    <row r="7719" spans="1:42" ht="16.5" customHeight="1">
      <c r="A7719" s="434"/>
      <c r="B7719" s="437" t="s">
        <v>3496</v>
      </c>
      <c r="C7719" s="439"/>
      <c r="D7719" s="439"/>
      <c r="E7719" s="439"/>
      <c r="F7719" s="439"/>
      <c r="G7719" s="451" t="s">
        <v>3497</v>
      </c>
      <c r="Z7719" s="500"/>
      <c r="AA7719" s="500"/>
      <c r="AB7719" s="500"/>
      <c r="AC7719" s="500"/>
      <c r="AD7719" s="500"/>
      <c r="AE7719" s="500"/>
      <c r="AF7719" s="500"/>
      <c r="AG7719" s="500"/>
      <c r="AH7719" s="500"/>
      <c r="AI7719" s="500"/>
      <c r="AJ7719" s="500"/>
      <c r="AK7719" s="500"/>
      <c r="AL7719" s="500"/>
      <c r="AM7719" s="500"/>
      <c r="AN7719" s="500"/>
      <c r="AO7719" s="500"/>
      <c r="AP7719" s="500"/>
    </row>
    <row r="7720" spans="1:42" ht="16.5" customHeight="1">
      <c r="A7720" s="439"/>
      <c r="B7720" s="439"/>
      <c r="C7720" s="439"/>
      <c r="D7720" s="439"/>
      <c r="E7720" s="439"/>
      <c r="F7720" s="439"/>
      <c r="G7720" s="451" t="s">
        <v>3406</v>
      </c>
      <c r="Z7720" s="500"/>
      <c r="AA7720" s="500"/>
      <c r="AB7720" s="500"/>
      <c r="AC7720" s="500"/>
      <c r="AD7720" s="500"/>
      <c r="AE7720" s="500"/>
      <c r="AF7720" s="500"/>
      <c r="AG7720" s="500"/>
      <c r="AH7720" s="500"/>
      <c r="AI7720" s="500"/>
      <c r="AJ7720" s="500"/>
      <c r="AK7720" s="500"/>
      <c r="AL7720" s="500"/>
      <c r="AM7720" s="500"/>
      <c r="AN7720" s="500"/>
      <c r="AO7720" s="500"/>
      <c r="AP7720" s="500"/>
    </row>
    <row r="7721" spans="1:42" ht="16.5" customHeight="1">
      <c r="A7721" s="434" t="s">
        <v>3498</v>
      </c>
      <c r="B7721" s="505" t="str">
        <f>" 조경공 :  "&amp;TEXT(I7721,"#,##0"&amp;IF(I7721&lt;&gt;INT(I7721),".###",""))&amp;" * "&amp;AA7721&amp;" 인  / Q = "&amp;TEXT(C7721,"#,##0.0")&amp;""</f>
        <v xml:space="preserve"> 조경공 :  235,204 * 3 인  / Q = 641.4</v>
      </c>
      <c r="C7721" s="506">
        <f>E7721+D7721+F7721</f>
        <v>641.4</v>
      </c>
      <c r="D7721" s="506">
        <f>IF(H7721=0,0,ROUNDDOWN(J7721*H7721,1))</f>
        <v>641.4</v>
      </c>
      <c r="E7721" s="506">
        <f>IF(H7721=0,0,ROUNDDOWN(K7721*H7721,1))</f>
        <v>0</v>
      </c>
      <c r="F7721" s="506">
        <f>IF(H7721=0,0,ROUNDDOWN(L7721*H7721,1))</f>
        <v>0</v>
      </c>
      <c r="G7721" s="451" t="s">
        <v>3551</v>
      </c>
      <c r="H7721" s="507">
        <f>ROUNDUP(AE7721,14-LEN(ABS(INT(AE7721))))</f>
        <v>2.7272727272999999E-3</v>
      </c>
      <c r="I7721" s="508">
        <f>K7721+J7721+L7721</f>
        <v>235204</v>
      </c>
      <c r="J7721" s="509">
        <f>노무비목록표!E15</f>
        <v>235204</v>
      </c>
      <c r="M7721" s="501" t="s">
        <v>2359</v>
      </c>
      <c r="N7721" s="501" t="s">
        <v>3416</v>
      </c>
      <c r="X7721" s="510" t="str">
        <f>노무비목록표!B15&amp;" / "&amp;노무비목록표!C15</f>
        <v xml:space="preserve">조경공 / </v>
      </c>
      <c r="Y7721" s="433" t="str">
        <f ca="1">HYPERLINK("#"&amp;노무비목록표!G2&amp;"!A"&amp;ROW(노무비목록표!A15),"L00184 →")</f>
        <v>L00184 →</v>
      </c>
      <c r="Z7721" s="501" t="s">
        <v>3500</v>
      </c>
      <c r="AA7721" s="515">
        <v>3</v>
      </c>
      <c r="AB7721" s="501" t="s">
        <v>3428</v>
      </c>
      <c r="AC7721" s="512">
        <f>AB7712</f>
        <v>1100</v>
      </c>
      <c r="AD7721" s="501" t="s">
        <v>3418</v>
      </c>
      <c r="AE7721" s="512">
        <f>1*AA7721/AB7712</f>
        <v>2.7272727272727275E-3</v>
      </c>
      <c r="AF7721" s="500"/>
      <c r="AG7721" s="500"/>
      <c r="AH7721" s="500"/>
      <c r="AI7721" s="500"/>
      <c r="AJ7721" s="500"/>
      <c r="AK7721" s="500"/>
      <c r="AL7721" s="500"/>
      <c r="AM7721" s="500"/>
      <c r="AN7721" s="500"/>
      <c r="AO7721" s="500"/>
      <c r="AP7721" s="500"/>
    </row>
    <row r="7722" spans="1:42" ht="16.5" customHeight="1">
      <c r="A7722" s="439"/>
      <c r="B7722" s="439"/>
      <c r="C7722" s="439"/>
      <c r="D7722" s="439"/>
      <c r="E7722" s="439"/>
      <c r="F7722" s="439"/>
      <c r="G7722" s="451" t="s">
        <v>3406</v>
      </c>
      <c r="Z7722" s="500"/>
      <c r="AA7722" s="500"/>
      <c r="AB7722" s="500"/>
      <c r="AC7722" s="500"/>
      <c r="AD7722" s="500"/>
      <c r="AE7722" s="500"/>
      <c r="AF7722" s="500"/>
      <c r="AG7722" s="500"/>
      <c r="AH7722" s="500"/>
      <c r="AI7722" s="500"/>
      <c r="AJ7722" s="500"/>
      <c r="AK7722" s="500"/>
      <c r="AL7722" s="500"/>
      <c r="AM7722" s="500"/>
      <c r="AN7722" s="500"/>
      <c r="AO7722" s="500"/>
      <c r="AP7722" s="500"/>
    </row>
    <row r="7723" spans="1:42" ht="16.5" customHeight="1">
      <c r="A7723" s="439"/>
      <c r="B7723" s="439"/>
      <c r="C7723" s="439"/>
      <c r="D7723" s="439"/>
      <c r="E7723" s="439"/>
      <c r="F7723" s="439"/>
      <c r="G7723" s="451" t="s">
        <v>3406</v>
      </c>
      <c r="Z7723" s="500"/>
      <c r="AA7723" s="500"/>
      <c r="AB7723" s="500"/>
      <c r="AC7723" s="500"/>
      <c r="AD7723" s="500"/>
      <c r="AE7723" s="500"/>
      <c r="AF7723" s="500"/>
      <c r="AG7723" s="500"/>
      <c r="AH7723" s="500"/>
      <c r="AI7723" s="500"/>
      <c r="AJ7723" s="500"/>
      <c r="AK7723" s="500"/>
      <c r="AL7723" s="500"/>
      <c r="AM7723" s="500"/>
      <c r="AN7723" s="500"/>
      <c r="AO7723" s="500"/>
      <c r="AP7723" s="500"/>
    </row>
    <row r="7724" spans="1:42" ht="16.5" customHeight="1">
      <c r="A7724" s="434" t="s">
        <v>3414</v>
      </c>
      <c r="B7724" s="505" t="str">
        <f>" 보통인부 : "&amp;TEXT(I7724,"#,##0"&amp;IF(I7724&lt;&gt;INT(I7724),".###",""))&amp;" * "&amp;AA7724&amp;" 인  / Q = "&amp;TEXT(C7724,"#,##0.0")&amp;""</f>
        <v xml:space="preserve"> 보통인부 : 172,068 * 1 인  / Q = 156.4</v>
      </c>
      <c r="C7724" s="506">
        <f>E7724+D7724+F7724</f>
        <v>156.4</v>
      </c>
      <c r="D7724" s="506">
        <f>IF(H7724=0,0,ROUNDDOWN(J7724*H7724,1))</f>
        <v>156.4</v>
      </c>
      <c r="E7724" s="506">
        <f>IF(H7724=0,0,ROUNDDOWN(K7724*H7724,1))</f>
        <v>0</v>
      </c>
      <c r="F7724" s="506">
        <f>IF(H7724=0,0,ROUNDDOWN(L7724*H7724,1))</f>
        <v>0</v>
      </c>
      <c r="G7724" s="451" t="s">
        <v>3552</v>
      </c>
      <c r="H7724" s="507">
        <f>ROUNDUP(AE7724,14-LEN(ABS(INT(AE7724))))</f>
        <v>9.0909090910000002E-4</v>
      </c>
      <c r="I7724" s="508">
        <f>K7724+J7724+L7724</f>
        <v>172068</v>
      </c>
      <c r="J7724" s="509">
        <f>노무비목록표!E10</f>
        <v>172068</v>
      </c>
      <c r="M7724" s="501" t="s">
        <v>2363</v>
      </c>
      <c r="N7724" s="501" t="s">
        <v>3416</v>
      </c>
      <c r="X7724" s="510" t="str">
        <f>노무비목록표!B10&amp;" / "&amp;노무비목록표!C10</f>
        <v xml:space="preserve">보통인부 / </v>
      </c>
      <c r="Y7724" s="433" t="str">
        <f ca="1">HYPERLINK("#"&amp;노무비목록표!G2&amp;"!A"&amp;ROW(노무비목록표!A10),"L00017 →")</f>
        <v>L00017 →</v>
      </c>
      <c r="Z7724" s="501" t="s">
        <v>3500</v>
      </c>
      <c r="AA7724" s="515">
        <v>1</v>
      </c>
      <c r="AB7724" s="501" t="s">
        <v>3428</v>
      </c>
      <c r="AC7724" s="512">
        <f>AB7712</f>
        <v>1100</v>
      </c>
      <c r="AD7724" s="501" t="s">
        <v>3418</v>
      </c>
      <c r="AE7724" s="512">
        <f>1*AA7724/AB7712</f>
        <v>9.0909090909090909E-4</v>
      </c>
      <c r="AF7724" s="500"/>
      <c r="AG7724" s="500"/>
      <c r="AH7724" s="500"/>
      <c r="AI7724" s="500"/>
      <c r="AJ7724" s="500"/>
      <c r="AK7724" s="500"/>
      <c r="AL7724" s="500"/>
      <c r="AM7724" s="500"/>
      <c r="AN7724" s="500"/>
      <c r="AO7724" s="500"/>
      <c r="AP7724" s="500"/>
    </row>
    <row r="7725" spans="1:42" ht="16.5" customHeight="1">
      <c r="A7725" s="439"/>
      <c r="B7725" s="439"/>
      <c r="C7725" s="439"/>
      <c r="D7725" s="439"/>
      <c r="E7725" s="439"/>
      <c r="F7725" s="439"/>
      <c r="G7725" s="451" t="s">
        <v>3406</v>
      </c>
      <c r="Z7725" s="500"/>
      <c r="AA7725" s="500"/>
      <c r="AB7725" s="500"/>
      <c r="AC7725" s="500"/>
      <c r="AD7725" s="500"/>
      <c r="AE7725" s="500"/>
      <c r="AF7725" s="500"/>
      <c r="AG7725" s="500"/>
      <c r="AH7725" s="500"/>
      <c r="AI7725" s="500"/>
      <c r="AJ7725" s="500"/>
      <c r="AK7725" s="500"/>
      <c r="AL7725" s="500"/>
      <c r="AM7725" s="500"/>
      <c r="AN7725" s="500"/>
      <c r="AO7725" s="500"/>
      <c r="AP7725" s="500"/>
    </row>
    <row r="7726" spans="1:42" ht="16.5" customHeight="1">
      <c r="A7726" s="434"/>
      <c r="B7726" s="437" t="s">
        <v>3419</v>
      </c>
      <c r="C7726" s="513">
        <f>E7726+D7726+F7726</f>
        <v>797.8</v>
      </c>
      <c r="D7726" s="513">
        <f>SUMIF(N7707:N7725,M7726,D7707:D7725)</f>
        <v>797.8</v>
      </c>
      <c r="E7726" s="513">
        <f>SUMIF(N7707:N7725,M7726,E7707:E7725)</f>
        <v>0</v>
      </c>
      <c r="F7726" s="513">
        <f>SUMIF(N7707:N7725,M7726,F7707:F7725)</f>
        <v>0</v>
      </c>
      <c r="G7726" s="451" t="s">
        <v>3439</v>
      </c>
      <c r="M7726" s="501" t="s">
        <v>3416</v>
      </c>
      <c r="N7726" s="501" t="s">
        <v>3421</v>
      </c>
      <c r="Z7726" s="500"/>
      <c r="AA7726" s="500"/>
      <c r="AB7726" s="500"/>
      <c r="AC7726" s="500"/>
      <c r="AD7726" s="500"/>
      <c r="AE7726" s="500"/>
      <c r="AF7726" s="500"/>
      <c r="AG7726" s="500"/>
      <c r="AH7726" s="500"/>
      <c r="AI7726" s="500"/>
      <c r="AJ7726" s="500"/>
      <c r="AK7726" s="500"/>
      <c r="AL7726" s="500"/>
      <c r="AM7726" s="500"/>
      <c r="AN7726" s="500"/>
      <c r="AO7726" s="500"/>
      <c r="AP7726" s="500"/>
    </row>
    <row r="7727" spans="1:42" ht="16.5" customHeight="1">
      <c r="A7727" s="439"/>
      <c r="B7727" s="439"/>
      <c r="C7727" s="504"/>
      <c r="D7727" s="504"/>
      <c r="E7727" s="504"/>
      <c r="F7727" s="504"/>
      <c r="G7727" s="451" t="s">
        <v>3406</v>
      </c>
      <c r="Z7727" s="500"/>
      <c r="AA7727" s="500"/>
      <c r="AB7727" s="500"/>
      <c r="AC7727" s="500"/>
      <c r="AD7727" s="500"/>
      <c r="AE7727" s="500"/>
      <c r="AF7727" s="500"/>
      <c r="AG7727" s="500"/>
      <c r="AH7727" s="500"/>
      <c r="AI7727" s="500"/>
      <c r="AJ7727" s="500"/>
      <c r="AK7727" s="500"/>
      <c r="AL7727" s="500"/>
      <c r="AM7727" s="500"/>
      <c r="AN7727" s="500"/>
      <c r="AO7727" s="500"/>
      <c r="AP7727" s="500"/>
    </row>
    <row r="7728" spans="1:42" ht="16.5" customHeight="1">
      <c r="A7728" s="439"/>
      <c r="B7728" s="439"/>
      <c r="C7728" s="439"/>
      <c r="D7728" s="439"/>
      <c r="E7728" s="439"/>
      <c r="F7728" s="439"/>
      <c r="G7728" s="451" t="s">
        <v>3406</v>
      </c>
      <c r="Z7728" s="500"/>
      <c r="AA7728" s="500"/>
      <c r="AB7728" s="500"/>
      <c r="AC7728" s="500"/>
      <c r="AD7728" s="500"/>
      <c r="AE7728" s="500"/>
      <c r="AF7728" s="500"/>
      <c r="AG7728" s="500"/>
      <c r="AH7728" s="500"/>
      <c r="AI7728" s="500"/>
      <c r="AJ7728" s="500"/>
      <c r="AK7728" s="500"/>
      <c r="AL7728" s="500"/>
      <c r="AM7728" s="500"/>
      <c r="AN7728" s="500"/>
      <c r="AO7728" s="500"/>
      <c r="AP7728" s="500"/>
    </row>
    <row r="7729" spans="1:42" ht="16.5" customHeight="1">
      <c r="A7729" s="434"/>
      <c r="B7729" s="437" t="s">
        <v>3502</v>
      </c>
      <c r="C7729" s="439"/>
      <c r="D7729" s="439"/>
      <c r="E7729" s="439"/>
      <c r="F7729" s="439"/>
      <c r="G7729" s="451" t="s">
        <v>3503</v>
      </c>
      <c r="Z7729" s="500"/>
      <c r="AA7729" s="500"/>
      <c r="AB7729" s="500"/>
      <c r="AC7729" s="500"/>
      <c r="AD7729" s="500"/>
      <c r="AE7729" s="500"/>
      <c r="AF7729" s="500"/>
      <c r="AG7729" s="500"/>
      <c r="AH7729" s="500"/>
      <c r="AI7729" s="500"/>
      <c r="AJ7729" s="500"/>
      <c r="AK7729" s="500"/>
      <c r="AL7729" s="500"/>
      <c r="AM7729" s="500"/>
      <c r="AN7729" s="500"/>
      <c r="AO7729" s="500"/>
      <c r="AP7729" s="500"/>
    </row>
    <row r="7730" spans="1:42" ht="16.5" customHeight="1">
      <c r="A7730" s="439"/>
      <c r="B7730" s="439"/>
      <c r="C7730" s="439"/>
      <c r="D7730" s="439"/>
      <c r="E7730" s="439"/>
      <c r="F7730" s="439"/>
      <c r="G7730" s="451" t="s">
        <v>3406</v>
      </c>
      <c r="Z7730" s="500"/>
      <c r="AA7730" s="500"/>
      <c r="AB7730" s="500"/>
      <c r="AC7730" s="500"/>
      <c r="AD7730" s="500"/>
      <c r="AE7730" s="500"/>
      <c r="AF7730" s="500"/>
      <c r="AG7730" s="500"/>
      <c r="AH7730" s="500"/>
      <c r="AI7730" s="500"/>
      <c r="AJ7730" s="500"/>
      <c r="AK7730" s="500"/>
      <c r="AL7730" s="500"/>
      <c r="AM7730" s="500"/>
      <c r="AN7730" s="500"/>
      <c r="AO7730" s="500"/>
      <c r="AP7730" s="500"/>
    </row>
    <row r="7731" spans="1:42" ht="16.5" customHeight="1">
      <c r="A7731" s="434" t="s">
        <v>3504</v>
      </c>
      <c r="B7731" s="505" t="str">
        <f>"  유기질비료 수목이식·식재용 : "&amp;TEXT(I7731,"#,##0"&amp;IF(I7731&lt;&gt;INT(I7731),".###",""))&amp;" * "&amp;AA7731&amp;" KG  / Q = "&amp;TEXT(C7731,"#,##0.0")&amp;""</f>
        <v xml:space="preserve">  유기질비료 수목이식·식재용 : 500 * 110 KG  / Q = 50.0</v>
      </c>
      <c r="C7731" s="506">
        <f>E7731+D7731+F7731</f>
        <v>50</v>
      </c>
      <c r="D7731" s="506">
        <f>IF(H7731=0,0,ROUNDDOWN(J7731*H7731,1))</f>
        <v>0</v>
      </c>
      <c r="E7731" s="506">
        <f>IF(H7731=0,0,ROUNDDOWN(K7731*H7731,1))</f>
        <v>50</v>
      </c>
      <c r="F7731" s="506">
        <f>IF(H7731=0,0,ROUNDDOWN(L7731*H7731,1))</f>
        <v>0</v>
      </c>
      <c r="G7731" s="451" t="s">
        <v>4302</v>
      </c>
      <c r="H7731" s="507">
        <f>ROUNDUP(AE7731,14-LEN(ABS(INT(AE7731))))</f>
        <v>0.1</v>
      </c>
      <c r="I7731" s="508">
        <f>K7731+J7731+L7731</f>
        <v>500</v>
      </c>
      <c r="K7731" s="509">
        <f>재료비목록표!E78</f>
        <v>500</v>
      </c>
      <c r="M7731" s="501" t="s">
        <v>3506</v>
      </c>
      <c r="N7731" s="501" t="s">
        <v>3416</v>
      </c>
      <c r="X7731" s="510" t="str">
        <f>재료비목록표!B78&amp;" / "&amp;재료비목록표!C78</f>
        <v>유기질비료 / 수목이식·식재용</v>
      </c>
      <c r="Y7731" s="433" t="str">
        <f ca="1">HYPERLINK("#"&amp;재료비목록표!G2&amp;"!A"&amp;ROW(재료비목록표!A78),"M01159 →")</f>
        <v>M01159 →</v>
      </c>
      <c r="Z7731" s="501" t="s">
        <v>3500</v>
      </c>
      <c r="AA7731" s="515">
        <v>110</v>
      </c>
      <c r="AB7731" s="501" t="s">
        <v>3428</v>
      </c>
      <c r="AC7731" s="512">
        <f>AB7712</f>
        <v>1100</v>
      </c>
      <c r="AD7731" s="501" t="s">
        <v>3418</v>
      </c>
      <c r="AE7731" s="512">
        <f>1*AA7731/AB7712</f>
        <v>0.1</v>
      </c>
      <c r="AF7731" s="500"/>
      <c r="AG7731" s="500"/>
      <c r="AH7731" s="500"/>
      <c r="AI7731" s="500"/>
      <c r="AJ7731" s="500"/>
      <c r="AK7731" s="500"/>
      <c r="AL7731" s="500"/>
      <c r="AM7731" s="500"/>
      <c r="AN7731" s="500"/>
      <c r="AO7731" s="500"/>
      <c r="AP7731" s="500"/>
    </row>
    <row r="7732" spans="1:42" ht="16.5" customHeight="1">
      <c r="A7732" s="439"/>
      <c r="B7732" s="439"/>
      <c r="C7732" s="439"/>
      <c r="D7732" s="439"/>
      <c r="E7732" s="439"/>
      <c r="F7732" s="439"/>
      <c r="G7732" s="451" t="s">
        <v>3406</v>
      </c>
      <c r="Z7732" s="500"/>
      <c r="AA7732" s="500"/>
      <c r="AB7732" s="500"/>
      <c r="AC7732" s="500"/>
      <c r="AD7732" s="500"/>
      <c r="AE7732" s="500"/>
      <c r="AF7732" s="500"/>
      <c r="AG7732" s="500"/>
      <c r="AH7732" s="500"/>
      <c r="AI7732" s="500"/>
      <c r="AJ7732" s="500"/>
      <c r="AK7732" s="500"/>
      <c r="AL7732" s="500"/>
      <c r="AM7732" s="500"/>
      <c r="AN7732" s="500"/>
      <c r="AO7732" s="500"/>
      <c r="AP7732" s="500"/>
    </row>
    <row r="7733" spans="1:42" ht="16.5" customHeight="1">
      <c r="A7733" s="434"/>
      <c r="B7733" s="437" t="s">
        <v>3419</v>
      </c>
      <c r="C7733" s="513">
        <f>E7733+D7733+F7733</f>
        <v>50</v>
      </c>
      <c r="D7733" s="513">
        <f>SUMIF(N7727:N7732,M7733,D7727:D7732)</f>
        <v>0</v>
      </c>
      <c r="E7733" s="513">
        <f>SUMIF(N7727:N7732,M7733,E7727:E7732)</f>
        <v>50</v>
      </c>
      <c r="F7733" s="513">
        <f>SUMIF(N7727:N7732,M7733,F7727:F7732)</f>
        <v>0</v>
      </c>
      <c r="G7733" s="451" t="s">
        <v>3439</v>
      </c>
      <c r="M7733" s="501" t="s">
        <v>3416</v>
      </c>
      <c r="N7733" s="501" t="s">
        <v>3421</v>
      </c>
      <c r="Z7733" s="500"/>
      <c r="AA7733" s="500"/>
      <c r="AB7733" s="500"/>
      <c r="AC7733" s="500"/>
      <c r="AD7733" s="500"/>
      <c r="AE7733" s="500"/>
      <c r="AF7733" s="500"/>
      <c r="AG7733" s="500"/>
      <c r="AH7733" s="500"/>
      <c r="AI7733" s="500"/>
      <c r="AJ7733" s="500"/>
      <c r="AK7733" s="500"/>
      <c r="AL7733" s="500"/>
      <c r="AM7733" s="500"/>
      <c r="AN7733" s="500"/>
      <c r="AO7733" s="500"/>
      <c r="AP7733" s="500"/>
    </row>
    <row r="7734" spans="1:42" ht="16.5" customHeight="1">
      <c r="A7734" s="439"/>
      <c r="B7734" s="439"/>
      <c r="C7734" s="504"/>
      <c r="D7734" s="504"/>
      <c r="E7734" s="504"/>
      <c r="F7734" s="504"/>
      <c r="G7734" s="451" t="s">
        <v>3406</v>
      </c>
      <c r="Z7734" s="500"/>
      <c r="AA7734" s="500"/>
      <c r="AB7734" s="500"/>
      <c r="AC7734" s="500"/>
      <c r="AD7734" s="500"/>
      <c r="AE7734" s="500"/>
      <c r="AF7734" s="500"/>
      <c r="AG7734" s="500"/>
      <c r="AH7734" s="500"/>
      <c r="AI7734" s="500"/>
      <c r="AJ7734" s="500"/>
      <c r="AK7734" s="500"/>
      <c r="AL7734" s="500"/>
      <c r="AM7734" s="500"/>
      <c r="AN7734" s="500"/>
      <c r="AO7734" s="500"/>
      <c r="AP7734" s="500"/>
    </row>
    <row r="7735" spans="1:42" ht="16.5" customHeight="1">
      <c r="A7735" s="434"/>
      <c r="B7735" s="437" t="s">
        <v>3440</v>
      </c>
      <c r="C7735" s="513">
        <f>E7735+D7735+F7735</f>
        <v>847.8</v>
      </c>
      <c r="D7735" s="513">
        <f>SUMIF(N7707:N7734,M7735,D7707:D7734)</f>
        <v>797.8</v>
      </c>
      <c r="E7735" s="513">
        <f>SUMIF(N7707:N7734,M7735,E7707:E7734)</f>
        <v>50</v>
      </c>
      <c r="F7735" s="513">
        <f>SUMIF(N7707:N7734,M7735,F7707:F7734)</f>
        <v>0</v>
      </c>
      <c r="G7735" s="451" t="s">
        <v>3441</v>
      </c>
      <c r="M7735" s="501" t="s">
        <v>3421</v>
      </c>
      <c r="N7735" s="501" t="s">
        <v>2354</v>
      </c>
      <c r="Z7735" s="500"/>
      <c r="AA7735" s="500"/>
      <c r="AB7735" s="500"/>
      <c r="AC7735" s="500"/>
      <c r="AD7735" s="500"/>
      <c r="AE7735" s="500"/>
      <c r="AF7735" s="500"/>
      <c r="AG7735" s="500"/>
      <c r="AH7735" s="500"/>
      <c r="AI7735" s="500"/>
      <c r="AJ7735" s="500"/>
      <c r="AK7735" s="500"/>
      <c r="AL7735" s="500"/>
      <c r="AM7735" s="500"/>
      <c r="AN7735" s="500"/>
      <c r="AO7735" s="500"/>
      <c r="AP7735" s="500"/>
    </row>
    <row r="7736" spans="1:42" ht="16.5" customHeight="1">
      <c r="A7736" s="439"/>
      <c r="B7736" s="439"/>
      <c r="C7736" s="504"/>
      <c r="D7736" s="504"/>
      <c r="E7736" s="504"/>
      <c r="F7736" s="504"/>
      <c r="G7736" s="451" t="s">
        <v>3413</v>
      </c>
      <c r="Z7736" s="500"/>
      <c r="AA7736" s="500"/>
      <c r="AB7736" s="500"/>
      <c r="AC7736" s="500"/>
      <c r="AD7736" s="500"/>
      <c r="AE7736" s="500"/>
      <c r="AF7736" s="500"/>
      <c r="AG7736" s="500"/>
      <c r="AH7736" s="500"/>
      <c r="AI7736" s="500"/>
      <c r="AJ7736" s="500"/>
      <c r="AK7736" s="500"/>
      <c r="AL7736" s="500"/>
      <c r="AM7736" s="500"/>
      <c r="AN7736" s="500"/>
      <c r="AO7736" s="500"/>
      <c r="AP7736" s="500"/>
    </row>
    <row r="7737" spans="1:42" ht="16.5" customHeight="1">
      <c r="A7737" s="439"/>
      <c r="B7737" s="439"/>
      <c r="C7737" s="439"/>
      <c r="D7737" s="439"/>
      <c r="E7737" s="439"/>
      <c r="F7737" s="439"/>
      <c r="Z7737" s="500"/>
      <c r="AA7737" s="500"/>
      <c r="AB7737" s="500"/>
      <c r="AC7737" s="500"/>
      <c r="AD7737" s="500"/>
      <c r="AE7737" s="500"/>
      <c r="AF7737" s="500"/>
      <c r="AG7737" s="500"/>
      <c r="AH7737" s="500"/>
      <c r="AI7737" s="500"/>
      <c r="AJ7737" s="500"/>
      <c r="AK7737" s="500"/>
      <c r="AL7737" s="500"/>
      <c r="AM7737" s="500"/>
      <c r="AN7737" s="500"/>
      <c r="AO7737" s="500"/>
      <c r="AP7737" s="500"/>
    </row>
    <row r="7738" spans="1:42" ht="16.5" customHeight="1">
      <c r="A7738" s="439"/>
      <c r="B7738" s="439"/>
      <c r="C7738" s="439"/>
      <c r="D7738" s="439"/>
      <c r="E7738" s="439"/>
      <c r="F7738" s="439"/>
      <c r="Z7738" s="500"/>
      <c r="AA7738" s="500"/>
      <c r="AB7738" s="500"/>
      <c r="AC7738" s="500"/>
      <c r="AD7738" s="500"/>
      <c r="AE7738" s="500"/>
      <c r="AF7738" s="500"/>
      <c r="AG7738" s="500"/>
      <c r="AH7738" s="500"/>
      <c r="AI7738" s="500"/>
      <c r="AJ7738" s="500"/>
      <c r="AK7738" s="500"/>
      <c r="AL7738" s="500"/>
      <c r="AM7738" s="500"/>
      <c r="AN7738" s="500"/>
      <c r="AO7738" s="500"/>
      <c r="AP7738" s="500"/>
    </row>
    <row r="7739" spans="1:42" ht="16.5" customHeight="1">
      <c r="A7739" s="439"/>
      <c r="B7739" s="439"/>
      <c r="C7739" s="439"/>
      <c r="D7739" s="439"/>
      <c r="E7739" s="439"/>
      <c r="F7739" s="439"/>
      <c r="Z7739" s="500"/>
      <c r="AA7739" s="500"/>
      <c r="AB7739" s="500"/>
      <c r="AC7739" s="500"/>
      <c r="AD7739" s="500"/>
      <c r="AE7739" s="500"/>
      <c r="AF7739" s="500"/>
      <c r="AG7739" s="500"/>
      <c r="AH7739" s="500"/>
      <c r="AI7739" s="500"/>
      <c r="AJ7739" s="500"/>
      <c r="AK7739" s="500"/>
      <c r="AL7739" s="500"/>
      <c r="AM7739" s="500"/>
      <c r="AN7739" s="500"/>
      <c r="AO7739" s="500"/>
      <c r="AP7739" s="500"/>
    </row>
    <row r="7740" spans="1:42" ht="16.5" customHeight="1">
      <c r="A7740" s="439"/>
      <c r="B7740" s="439"/>
      <c r="C7740" s="439"/>
      <c r="D7740" s="439"/>
      <c r="E7740" s="439"/>
      <c r="F7740" s="439"/>
      <c r="Z7740" s="500"/>
      <c r="AA7740" s="500"/>
      <c r="AB7740" s="500"/>
      <c r="AC7740" s="500"/>
      <c r="AD7740" s="500"/>
      <c r="AE7740" s="500"/>
      <c r="AF7740" s="500"/>
      <c r="AG7740" s="500"/>
      <c r="AH7740" s="500"/>
      <c r="AI7740" s="500"/>
      <c r="AJ7740" s="500"/>
      <c r="AK7740" s="500"/>
      <c r="AL7740" s="500"/>
      <c r="AM7740" s="500"/>
      <c r="AN7740" s="500"/>
      <c r="AO7740" s="500"/>
      <c r="AP7740" s="500"/>
    </row>
    <row r="7741" spans="1:42" ht="16.5" customHeight="1">
      <c r="A7741" s="439"/>
      <c r="B7741" s="439"/>
      <c r="C7741" s="439"/>
      <c r="D7741" s="439"/>
      <c r="E7741" s="439"/>
      <c r="F7741" s="439"/>
      <c r="Z7741" s="500"/>
      <c r="AA7741" s="500"/>
      <c r="AB7741" s="500"/>
      <c r="AC7741" s="500"/>
      <c r="AD7741" s="500"/>
      <c r="AE7741" s="500"/>
      <c r="AF7741" s="500"/>
      <c r="AG7741" s="500"/>
      <c r="AH7741" s="500"/>
      <c r="AI7741" s="500"/>
      <c r="AJ7741" s="500"/>
      <c r="AK7741" s="500"/>
      <c r="AL7741" s="500"/>
      <c r="AM7741" s="500"/>
      <c r="AN7741" s="500"/>
      <c r="AO7741" s="500"/>
      <c r="AP7741" s="500"/>
    </row>
    <row r="7742" spans="1:42" ht="16.5" customHeight="1">
      <c r="A7742" s="439"/>
      <c r="B7742" s="439"/>
      <c r="C7742" s="439"/>
      <c r="D7742" s="439"/>
      <c r="E7742" s="439"/>
      <c r="F7742" s="439"/>
      <c r="Z7742" s="500"/>
      <c r="AA7742" s="500"/>
      <c r="AB7742" s="500"/>
      <c r="AC7742" s="500"/>
      <c r="AD7742" s="500"/>
      <c r="AE7742" s="500"/>
      <c r="AF7742" s="500"/>
      <c r="AG7742" s="500"/>
      <c r="AH7742" s="500"/>
      <c r="AI7742" s="500"/>
      <c r="AJ7742" s="500"/>
      <c r="AK7742" s="500"/>
      <c r="AL7742" s="500"/>
      <c r="AM7742" s="500"/>
      <c r="AN7742" s="500"/>
      <c r="AO7742" s="500"/>
      <c r="AP7742" s="500"/>
    </row>
    <row r="7743" spans="1:42" ht="16.5" customHeight="1">
      <c r="A7743" s="439"/>
      <c r="B7743" s="439"/>
      <c r="C7743" s="439"/>
      <c r="D7743" s="439"/>
      <c r="E7743" s="439"/>
      <c r="F7743" s="439"/>
      <c r="Z7743" s="500"/>
      <c r="AA7743" s="500"/>
      <c r="AB7743" s="500"/>
      <c r="AC7743" s="500"/>
      <c r="AD7743" s="500"/>
      <c r="AE7743" s="500"/>
      <c r="AF7743" s="500"/>
      <c r="AG7743" s="500"/>
      <c r="AH7743" s="500"/>
      <c r="AI7743" s="500"/>
      <c r="AJ7743" s="500"/>
      <c r="AK7743" s="500"/>
      <c r="AL7743" s="500"/>
      <c r="AM7743" s="500"/>
      <c r="AN7743" s="500"/>
      <c r="AO7743" s="500"/>
      <c r="AP7743" s="500"/>
    </row>
    <row r="7744" spans="1:42" ht="16.5" customHeight="1">
      <c r="A7744" s="439"/>
      <c r="B7744" s="439"/>
      <c r="C7744" s="439"/>
      <c r="D7744" s="439"/>
      <c r="E7744" s="439"/>
      <c r="F7744" s="439"/>
      <c r="Z7744" s="500"/>
      <c r="AA7744" s="500"/>
      <c r="AB7744" s="500"/>
      <c r="AC7744" s="500"/>
      <c r="AD7744" s="500"/>
      <c r="AE7744" s="500"/>
      <c r="AF7744" s="500"/>
      <c r="AG7744" s="500"/>
      <c r="AH7744" s="500"/>
      <c r="AI7744" s="500"/>
      <c r="AJ7744" s="500"/>
      <c r="AK7744" s="500"/>
      <c r="AL7744" s="500"/>
      <c r="AM7744" s="500"/>
      <c r="AN7744" s="500"/>
      <c r="AO7744" s="500"/>
      <c r="AP7744" s="500"/>
    </row>
    <row r="7745" spans="1:42" ht="16.5" customHeight="1">
      <c r="A7745" s="439"/>
      <c r="B7745" s="439"/>
      <c r="C7745" s="439"/>
      <c r="D7745" s="439"/>
      <c r="E7745" s="439"/>
      <c r="F7745" s="439"/>
      <c r="Z7745" s="500"/>
      <c r="AA7745" s="500"/>
      <c r="AB7745" s="500"/>
      <c r="AC7745" s="500"/>
      <c r="AD7745" s="500"/>
      <c r="AE7745" s="500"/>
      <c r="AF7745" s="500"/>
      <c r="AG7745" s="500"/>
      <c r="AH7745" s="500"/>
      <c r="AI7745" s="500"/>
      <c r="AJ7745" s="500"/>
      <c r="AK7745" s="500"/>
      <c r="AL7745" s="500"/>
      <c r="AM7745" s="500"/>
      <c r="AN7745" s="500"/>
      <c r="AO7745" s="500"/>
      <c r="AP7745" s="500"/>
    </row>
    <row r="7746" spans="1:42" ht="16.5" customHeight="1">
      <c r="A7746" s="439"/>
      <c r="B7746" s="439"/>
      <c r="C7746" s="439"/>
      <c r="D7746" s="439"/>
      <c r="E7746" s="439"/>
      <c r="F7746" s="439"/>
      <c r="Z7746" s="500"/>
      <c r="AA7746" s="500"/>
      <c r="AB7746" s="500"/>
      <c r="AC7746" s="500"/>
      <c r="AD7746" s="500"/>
      <c r="AE7746" s="500"/>
      <c r="AF7746" s="500"/>
      <c r="AG7746" s="500"/>
      <c r="AH7746" s="500"/>
      <c r="AI7746" s="500"/>
      <c r="AJ7746" s="500"/>
      <c r="AK7746" s="500"/>
      <c r="AL7746" s="500"/>
      <c r="AM7746" s="500"/>
      <c r="AN7746" s="500"/>
      <c r="AO7746" s="500"/>
      <c r="AP7746" s="500"/>
    </row>
    <row r="7747" spans="1:42" ht="16.5" customHeight="1">
      <c r="A7747" s="439"/>
      <c r="B7747" s="439"/>
      <c r="C7747" s="439"/>
      <c r="D7747" s="439"/>
      <c r="E7747" s="439"/>
      <c r="F7747" s="439"/>
      <c r="Z7747" s="500"/>
      <c r="AA7747" s="500"/>
      <c r="AB7747" s="500"/>
      <c r="AC7747" s="500"/>
      <c r="AD7747" s="500"/>
      <c r="AE7747" s="500"/>
      <c r="AF7747" s="500"/>
      <c r="AG7747" s="500"/>
      <c r="AH7747" s="500"/>
      <c r="AI7747" s="500"/>
      <c r="AJ7747" s="500"/>
      <c r="AK7747" s="500"/>
      <c r="AL7747" s="500"/>
      <c r="AM7747" s="500"/>
      <c r="AN7747" s="500"/>
      <c r="AO7747" s="500"/>
      <c r="AP7747" s="500"/>
    </row>
    <row r="7748" spans="1:42" ht="16.5" customHeight="1">
      <c r="A7748" s="439"/>
      <c r="B7748" s="439"/>
      <c r="C7748" s="439"/>
      <c r="D7748" s="439"/>
      <c r="E7748" s="439"/>
      <c r="F7748" s="439"/>
      <c r="Z7748" s="500"/>
      <c r="AA7748" s="500"/>
      <c r="AB7748" s="500"/>
      <c r="AC7748" s="500"/>
      <c r="AD7748" s="500"/>
      <c r="AE7748" s="500"/>
      <c r="AF7748" s="500"/>
      <c r="AG7748" s="500"/>
      <c r="AH7748" s="500"/>
      <c r="AI7748" s="500"/>
      <c r="AJ7748" s="500"/>
      <c r="AK7748" s="500"/>
      <c r="AL7748" s="500"/>
      <c r="AM7748" s="500"/>
      <c r="AN7748" s="500"/>
      <c r="AO7748" s="500"/>
      <c r="AP7748" s="500"/>
    </row>
    <row r="7749" spans="1:42" ht="16.5" customHeight="1">
      <c r="A7749" s="439"/>
      <c r="B7749" s="439"/>
      <c r="C7749" s="439"/>
      <c r="D7749" s="439"/>
      <c r="E7749" s="439"/>
      <c r="F7749" s="439"/>
      <c r="Z7749" s="500"/>
      <c r="AA7749" s="500"/>
      <c r="AB7749" s="500"/>
      <c r="AC7749" s="500"/>
      <c r="AD7749" s="500"/>
      <c r="AE7749" s="500"/>
      <c r="AF7749" s="500"/>
      <c r="AG7749" s="500"/>
      <c r="AH7749" s="500"/>
      <c r="AI7749" s="500"/>
      <c r="AJ7749" s="500"/>
      <c r="AK7749" s="500"/>
      <c r="AL7749" s="500"/>
      <c r="AM7749" s="500"/>
      <c r="AN7749" s="500"/>
      <c r="AO7749" s="500"/>
      <c r="AP7749" s="500"/>
    </row>
    <row r="7750" spans="1:42" ht="16.5" customHeight="1">
      <c r="A7750" s="439"/>
      <c r="B7750" s="439"/>
      <c r="C7750" s="439"/>
      <c r="D7750" s="439"/>
      <c r="E7750" s="439"/>
      <c r="F7750" s="439"/>
      <c r="Z7750" s="500"/>
      <c r="AA7750" s="500"/>
      <c r="AB7750" s="500"/>
      <c r="AC7750" s="500"/>
      <c r="AD7750" s="500"/>
      <c r="AE7750" s="500"/>
      <c r="AF7750" s="500"/>
      <c r="AG7750" s="500"/>
      <c r="AH7750" s="500"/>
      <c r="AI7750" s="500"/>
      <c r="AJ7750" s="500"/>
      <c r="AK7750" s="500"/>
      <c r="AL7750" s="500"/>
      <c r="AM7750" s="500"/>
      <c r="AN7750" s="500"/>
      <c r="AO7750" s="500"/>
      <c r="AP7750" s="500"/>
    </row>
    <row r="7751" spans="1:42" ht="16.5" customHeight="1">
      <c r="A7751" s="439"/>
      <c r="B7751" s="439"/>
      <c r="C7751" s="439"/>
      <c r="D7751" s="439"/>
      <c r="E7751" s="439"/>
      <c r="F7751" s="439"/>
      <c r="Z7751" s="500"/>
      <c r="AA7751" s="500"/>
      <c r="AB7751" s="500"/>
      <c r="AC7751" s="500"/>
      <c r="AD7751" s="500"/>
      <c r="AE7751" s="500"/>
      <c r="AF7751" s="500"/>
      <c r="AG7751" s="500"/>
      <c r="AH7751" s="500"/>
      <c r="AI7751" s="500"/>
      <c r="AJ7751" s="500"/>
      <c r="AK7751" s="500"/>
      <c r="AL7751" s="500"/>
      <c r="AM7751" s="500"/>
      <c r="AN7751" s="500"/>
      <c r="AO7751" s="500"/>
      <c r="AP7751" s="500"/>
    </row>
    <row r="7752" spans="1:42" ht="16.5" customHeight="1">
      <c r="A7752" s="439"/>
      <c r="B7752" s="439"/>
      <c r="C7752" s="439"/>
      <c r="D7752" s="439"/>
      <c r="E7752" s="439"/>
      <c r="F7752" s="439"/>
      <c r="Z7752" s="500"/>
      <c r="AA7752" s="500"/>
      <c r="AB7752" s="500"/>
      <c r="AC7752" s="500"/>
      <c r="AD7752" s="500"/>
      <c r="AE7752" s="500"/>
      <c r="AF7752" s="500"/>
      <c r="AG7752" s="500"/>
      <c r="AH7752" s="500"/>
      <c r="AI7752" s="500"/>
      <c r="AJ7752" s="500"/>
      <c r="AK7752" s="500"/>
      <c r="AL7752" s="500"/>
      <c r="AM7752" s="500"/>
      <c r="AN7752" s="500"/>
      <c r="AO7752" s="500"/>
      <c r="AP7752" s="500"/>
    </row>
    <row r="7753" spans="1:42" ht="16.5" customHeight="1">
      <c r="A7753" s="497"/>
      <c r="B7753" s="497"/>
      <c r="C7753" s="497"/>
      <c r="D7753" s="497"/>
      <c r="E7753" s="497"/>
      <c r="F7753" s="497"/>
      <c r="Z7753" s="500"/>
      <c r="AA7753" s="500"/>
      <c r="AB7753" s="500"/>
      <c r="AC7753" s="500"/>
      <c r="AD7753" s="500"/>
      <c r="AE7753" s="500"/>
      <c r="AF7753" s="500"/>
      <c r="AG7753" s="500"/>
      <c r="AH7753" s="500"/>
      <c r="AI7753" s="500"/>
      <c r="AJ7753" s="500"/>
      <c r="AK7753" s="500"/>
      <c r="AL7753" s="500"/>
      <c r="AM7753" s="500"/>
      <c r="AN7753" s="500"/>
      <c r="AO7753" s="500"/>
      <c r="AP7753" s="500"/>
    </row>
    <row r="7754" spans="1:42" ht="16.5" customHeight="1">
      <c r="A7754" s="616" t="s">
        <v>3487</v>
      </c>
      <c r="B7754" s="605"/>
      <c r="C7754" s="446">
        <f>E7754+D7754+F7754</f>
        <v>847</v>
      </c>
      <c r="D7754" s="453">
        <f>ROUNDDOWN(SUMIF(N7707:N7736,M7754,D7707:D7736),0)</f>
        <v>797</v>
      </c>
      <c r="E7754" s="454">
        <f>ROUNDDOWN(SUMIF(N7707:N7736,M7754,E7707:E7736),0)</f>
        <v>50</v>
      </c>
      <c r="F7754" s="446">
        <f>ROUNDDOWN(SUMIF(N7707:N7736,M7754,F7707:F7736),0)</f>
        <v>0</v>
      </c>
      <c r="M7754" s="501" t="s">
        <v>2354</v>
      </c>
      <c r="Z7754" s="500"/>
      <c r="AA7754" s="500"/>
      <c r="AB7754" s="500"/>
      <c r="AC7754" s="500"/>
      <c r="AD7754" s="500"/>
      <c r="AE7754" s="500"/>
      <c r="AF7754" s="500"/>
      <c r="AG7754" s="500"/>
      <c r="AH7754" s="500"/>
      <c r="AI7754" s="500"/>
      <c r="AJ7754" s="500"/>
      <c r="AK7754" s="500"/>
      <c r="AL7754" s="500"/>
      <c r="AM7754" s="500"/>
      <c r="AN7754" s="500"/>
      <c r="AO7754" s="500"/>
      <c r="AP7754" s="500"/>
    </row>
    <row r="7755" spans="1:42" ht="16.5" customHeight="1">
      <c r="A7755" s="502"/>
      <c r="B7755" s="503" t="s">
        <v>1901</v>
      </c>
      <c r="C7755" s="615">
        <f>C7804</f>
        <v>375</v>
      </c>
      <c r="D7755" s="615">
        <f>D7804</f>
        <v>325</v>
      </c>
      <c r="E7755" s="615">
        <f>E7804</f>
        <v>50</v>
      </c>
      <c r="F7755" s="615">
        <f>F7804</f>
        <v>0</v>
      </c>
      <c r="G7755" s="486" t="str">
        <f>HYPERLINK("#G"&amp;ROW(G7786),"_x0005_`BDCOD|D01295_x0007_`POSS|"&amp;ROW(G7757)&amp;"_x0007_`POSE|"&amp;ROW(G7786)&amp;"_x0007_`")</f>
        <v>_x0005_`BDCOD|D01295_x0007_`POSS|7757_x0007_`POSE|7786_x0007_`</v>
      </c>
      <c r="Z7755" s="500"/>
      <c r="AA7755" s="500"/>
      <c r="AB7755" s="500"/>
      <c r="AC7755" s="500"/>
      <c r="AD7755" s="500"/>
      <c r="AE7755" s="500"/>
      <c r="AF7755" s="500"/>
      <c r="AG7755" s="500"/>
      <c r="AH7755" s="500"/>
      <c r="AI7755" s="500"/>
      <c r="AJ7755" s="500"/>
      <c r="AK7755" s="500"/>
      <c r="AL7755" s="500"/>
      <c r="AM7755" s="500"/>
      <c r="AN7755" s="500"/>
      <c r="AO7755" s="500"/>
      <c r="AP7755" s="500"/>
    </row>
    <row r="7756" spans="1:42" ht="16.5" customHeight="1">
      <c r="A7756" s="485"/>
      <c r="B7756" s="503" t="s">
        <v>4303</v>
      </c>
      <c r="C7756" s="593"/>
      <c r="D7756" s="593"/>
      <c r="E7756" s="593"/>
      <c r="F7756" s="593"/>
      <c r="M7756" s="501" t="s">
        <v>1901</v>
      </c>
      <c r="Z7756" s="500"/>
      <c r="AA7756" s="500"/>
      <c r="AB7756" s="500"/>
      <c r="AC7756" s="500"/>
      <c r="AD7756" s="500"/>
      <c r="AE7756" s="500"/>
      <c r="AF7756" s="500"/>
      <c r="AG7756" s="500"/>
      <c r="AH7756" s="500"/>
      <c r="AI7756" s="500"/>
      <c r="AJ7756" s="500"/>
      <c r="AK7756" s="500"/>
      <c r="AL7756" s="500"/>
      <c r="AM7756" s="500"/>
      <c r="AN7756" s="500"/>
      <c r="AO7756" s="500"/>
      <c r="AP7756" s="500"/>
    </row>
    <row r="7757" spans="1:42" ht="16.5" customHeight="1">
      <c r="A7757" s="439"/>
      <c r="B7757" s="439"/>
      <c r="C7757" s="504"/>
      <c r="D7757" s="504"/>
      <c r="E7757" s="504"/>
      <c r="F7757" s="504"/>
      <c r="G7757" s="451" t="s">
        <v>3406</v>
      </c>
      <c r="Z7757" s="500"/>
      <c r="AA7757" s="500"/>
      <c r="AB7757" s="500"/>
      <c r="AC7757" s="500"/>
      <c r="AD7757" s="500"/>
      <c r="AE7757" s="500"/>
      <c r="AF7757" s="500"/>
      <c r="AG7757" s="500"/>
      <c r="AH7757" s="500"/>
      <c r="AI7757" s="500"/>
      <c r="AJ7757" s="500"/>
      <c r="AK7757" s="500"/>
      <c r="AL7757" s="500"/>
      <c r="AM7757" s="500"/>
      <c r="AN7757" s="500"/>
      <c r="AO7757" s="500"/>
      <c r="AP7757" s="500"/>
    </row>
    <row r="7758" spans="1:42" ht="16.5" customHeight="1">
      <c r="A7758" s="434"/>
      <c r="B7758" s="437" t="s">
        <v>4304</v>
      </c>
      <c r="C7758" s="439"/>
      <c r="D7758" s="439"/>
      <c r="E7758" s="439"/>
      <c r="F7758" s="439"/>
      <c r="G7758" s="451" t="s">
        <v>4305</v>
      </c>
      <c r="Z7758" s="500"/>
      <c r="AA7758" s="500"/>
      <c r="AB7758" s="500"/>
      <c r="AC7758" s="500"/>
      <c r="AD7758" s="500"/>
      <c r="AE7758" s="500"/>
      <c r="AF7758" s="500"/>
      <c r="AG7758" s="500"/>
      <c r="AH7758" s="500"/>
      <c r="AI7758" s="500"/>
      <c r="AJ7758" s="500"/>
      <c r="AK7758" s="500"/>
      <c r="AL7758" s="500"/>
      <c r="AM7758" s="500"/>
      <c r="AN7758" s="500"/>
      <c r="AO7758" s="500"/>
      <c r="AP7758" s="500"/>
    </row>
    <row r="7759" spans="1:42" ht="16.5" customHeight="1">
      <c r="A7759" s="439"/>
      <c r="B7759" s="439"/>
      <c r="C7759" s="439"/>
      <c r="D7759" s="439"/>
      <c r="E7759" s="439"/>
      <c r="F7759" s="439"/>
      <c r="G7759" s="451" t="s">
        <v>3406</v>
      </c>
      <c r="Z7759" s="500"/>
      <c r="AA7759" s="500"/>
      <c r="AB7759" s="500"/>
      <c r="AC7759" s="500"/>
      <c r="AD7759" s="500"/>
      <c r="AE7759" s="500"/>
      <c r="AF7759" s="500"/>
      <c r="AG7759" s="500"/>
      <c r="AH7759" s="500"/>
      <c r="AI7759" s="500"/>
      <c r="AJ7759" s="500"/>
      <c r="AK7759" s="500"/>
      <c r="AL7759" s="500"/>
      <c r="AM7759" s="500"/>
      <c r="AN7759" s="500"/>
      <c r="AO7759" s="500"/>
      <c r="AP7759" s="500"/>
    </row>
    <row r="7760" spans="1:42" ht="16.5" customHeight="1">
      <c r="A7760" s="434"/>
      <c r="B7760" s="437" t="s">
        <v>4294</v>
      </c>
      <c r="C7760" s="439"/>
      <c r="D7760" s="439"/>
      <c r="E7760" s="439"/>
      <c r="F7760" s="439"/>
      <c r="G7760" s="451" t="s">
        <v>4295</v>
      </c>
      <c r="Z7760" s="500"/>
      <c r="AA7760" s="500"/>
      <c r="AB7760" s="500"/>
      <c r="AC7760" s="500"/>
      <c r="AD7760" s="500"/>
      <c r="AE7760" s="500"/>
      <c r="AF7760" s="500"/>
      <c r="AG7760" s="500"/>
      <c r="AH7760" s="500"/>
      <c r="AI7760" s="500"/>
      <c r="AJ7760" s="500"/>
      <c r="AK7760" s="500"/>
      <c r="AL7760" s="500"/>
      <c r="AM7760" s="500"/>
      <c r="AN7760" s="500"/>
      <c r="AO7760" s="500"/>
      <c r="AP7760" s="500"/>
    </row>
    <row r="7761" spans="1:42" ht="16.5" customHeight="1">
      <c r="A7761" s="439"/>
      <c r="B7761" s="439"/>
      <c r="C7761" s="439"/>
      <c r="D7761" s="439"/>
      <c r="E7761" s="439"/>
      <c r="F7761" s="439"/>
      <c r="G7761" s="451" t="s">
        <v>3406</v>
      </c>
      <c r="Z7761" s="500"/>
      <c r="AA7761" s="500"/>
      <c r="AB7761" s="500"/>
      <c r="AC7761" s="500"/>
      <c r="AD7761" s="500"/>
      <c r="AE7761" s="500"/>
      <c r="AF7761" s="500"/>
      <c r="AG7761" s="500"/>
      <c r="AH7761" s="500"/>
      <c r="AI7761" s="500"/>
      <c r="AJ7761" s="500"/>
      <c r="AK7761" s="500"/>
      <c r="AL7761" s="500"/>
      <c r="AM7761" s="500"/>
      <c r="AN7761" s="500"/>
      <c r="AO7761" s="500"/>
      <c r="AP7761" s="500"/>
    </row>
    <row r="7762" spans="1:42" ht="16.5" customHeight="1">
      <c r="A7762" s="434"/>
      <c r="B7762" s="437" t="str">
        <f>" 일당 작업량 :   Q = "&amp;Z7762&amp;"  주 "</f>
        <v xml:space="preserve"> 일당 작업량 :   Q = 2700  주 </v>
      </c>
      <c r="C7762" s="439"/>
      <c r="D7762" s="439"/>
      <c r="E7762" s="439"/>
      <c r="F7762" s="439"/>
      <c r="G7762" s="451" t="s">
        <v>4306</v>
      </c>
      <c r="Z7762" s="515">
        <v>2700</v>
      </c>
      <c r="AA7762" s="501" t="s">
        <v>3418</v>
      </c>
      <c r="AB7762" s="512">
        <f>Z7762</f>
        <v>2700</v>
      </c>
      <c r="AC7762" s="500"/>
      <c r="AD7762" s="500"/>
      <c r="AE7762" s="500"/>
      <c r="AF7762" s="500"/>
      <c r="AG7762" s="500"/>
      <c r="AH7762" s="500"/>
      <c r="AI7762" s="500"/>
      <c r="AJ7762" s="500"/>
      <c r="AK7762" s="500"/>
      <c r="AL7762" s="500"/>
      <c r="AM7762" s="500"/>
      <c r="AN7762" s="500"/>
      <c r="AO7762" s="500"/>
      <c r="AP7762" s="500"/>
    </row>
    <row r="7763" spans="1:42" ht="16.5" customHeight="1">
      <c r="A7763" s="439"/>
      <c r="B7763" s="439"/>
      <c r="C7763" s="439"/>
      <c r="D7763" s="439"/>
      <c r="E7763" s="439"/>
      <c r="F7763" s="439"/>
      <c r="G7763" s="451" t="s">
        <v>3406</v>
      </c>
      <c r="Z7763" s="500"/>
      <c r="AA7763" s="500"/>
      <c r="AB7763" s="500"/>
      <c r="AC7763" s="500"/>
      <c r="AD7763" s="500"/>
      <c r="AE7763" s="500"/>
      <c r="AF7763" s="500"/>
      <c r="AG7763" s="500"/>
      <c r="AH7763" s="500"/>
      <c r="AI7763" s="500"/>
      <c r="AJ7763" s="500"/>
      <c r="AK7763" s="500"/>
      <c r="AL7763" s="500"/>
      <c r="AM7763" s="500"/>
      <c r="AN7763" s="500"/>
      <c r="AO7763" s="500"/>
      <c r="AP7763" s="500"/>
    </row>
    <row r="7764" spans="1:42" ht="16.5" customHeight="1">
      <c r="A7764" s="434"/>
      <c r="B7764" s="437" t="s">
        <v>3494</v>
      </c>
      <c r="C7764" s="439"/>
      <c r="D7764" s="439"/>
      <c r="E7764" s="439"/>
      <c r="F7764" s="439"/>
      <c r="G7764" s="451" t="s">
        <v>3495</v>
      </c>
      <c r="Z7764" s="500"/>
      <c r="AA7764" s="500"/>
      <c r="AB7764" s="500"/>
      <c r="AC7764" s="500"/>
      <c r="AD7764" s="500"/>
      <c r="AE7764" s="500"/>
      <c r="AF7764" s="500"/>
      <c r="AG7764" s="500"/>
      <c r="AH7764" s="500"/>
      <c r="AI7764" s="500"/>
      <c r="AJ7764" s="500"/>
      <c r="AK7764" s="500"/>
      <c r="AL7764" s="500"/>
      <c r="AM7764" s="500"/>
      <c r="AN7764" s="500"/>
      <c r="AO7764" s="500"/>
      <c r="AP7764" s="500"/>
    </row>
    <row r="7765" spans="1:42" ht="16.5" customHeight="1">
      <c r="A7765" s="439"/>
      <c r="B7765" s="439"/>
      <c r="C7765" s="439"/>
      <c r="D7765" s="439"/>
      <c r="E7765" s="439"/>
      <c r="F7765" s="439"/>
      <c r="G7765" s="451" t="s">
        <v>3406</v>
      </c>
      <c r="Z7765" s="500"/>
      <c r="AA7765" s="500"/>
      <c r="AB7765" s="500"/>
      <c r="AC7765" s="500"/>
      <c r="AD7765" s="500"/>
      <c r="AE7765" s="500"/>
      <c r="AF7765" s="500"/>
      <c r="AG7765" s="500"/>
      <c r="AH7765" s="500"/>
      <c r="AI7765" s="500"/>
      <c r="AJ7765" s="500"/>
      <c r="AK7765" s="500"/>
      <c r="AL7765" s="500"/>
      <c r="AM7765" s="500"/>
      <c r="AN7765" s="500"/>
      <c r="AO7765" s="500"/>
      <c r="AP7765" s="500"/>
    </row>
    <row r="7766" spans="1:42" ht="16.5" customHeight="1">
      <c r="A7766" s="439"/>
      <c r="B7766" s="439"/>
      <c r="C7766" s="439"/>
      <c r="D7766" s="439"/>
      <c r="E7766" s="439"/>
      <c r="F7766" s="439"/>
      <c r="G7766" s="451" t="s">
        <v>3406</v>
      </c>
      <c r="Z7766" s="500"/>
      <c r="AA7766" s="500"/>
      <c r="AB7766" s="500"/>
      <c r="AC7766" s="500"/>
      <c r="AD7766" s="500"/>
      <c r="AE7766" s="500"/>
      <c r="AF7766" s="500"/>
      <c r="AG7766" s="500"/>
      <c r="AH7766" s="500"/>
      <c r="AI7766" s="500"/>
      <c r="AJ7766" s="500"/>
      <c r="AK7766" s="500"/>
      <c r="AL7766" s="500"/>
      <c r="AM7766" s="500"/>
      <c r="AN7766" s="500"/>
      <c r="AO7766" s="500"/>
      <c r="AP7766" s="500"/>
    </row>
    <row r="7767" spans="1:42" ht="16.5" customHeight="1">
      <c r="A7767" s="439"/>
      <c r="B7767" s="439"/>
      <c r="C7767" s="439"/>
      <c r="D7767" s="439"/>
      <c r="E7767" s="439"/>
      <c r="F7767" s="439"/>
      <c r="G7767" s="451" t="s">
        <v>3406</v>
      </c>
      <c r="Z7767" s="500"/>
      <c r="AA7767" s="500"/>
      <c r="AB7767" s="500"/>
      <c r="AC7767" s="500"/>
      <c r="AD7767" s="500"/>
      <c r="AE7767" s="500"/>
      <c r="AF7767" s="500"/>
      <c r="AG7767" s="500"/>
      <c r="AH7767" s="500"/>
      <c r="AI7767" s="500"/>
      <c r="AJ7767" s="500"/>
      <c r="AK7767" s="500"/>
      <c r="AL7767" s="500"/>
      <c r="AM7767" s="500"/>
      <c r="AN7767" s="500"/>
      <c r="AO7767" s="500"/>
      <c r="AP7767" s="500"/>
    </row>
    <row r="7768" spans="1:42" ht="16.5" customHeight="1">
      <c r="A7768" s="439"/>
      <c r="B7768" s="439"/>
      <c r="C7768" s="439"/>
      <c r="D7768" s="439"/>
      <c r="E7768" s="439"/>
      <c r="F7768" s="439"/>
      <c r="G7768" s="451" t="s">
        <v>3406</v>
      </c>
      <c r="Z7768" s="500"/>
      <c r="AA7768" s="500"/>
      <c r="AB7768" s="500"/>
      <c r="AC7768" s="500"/>
      <c r="AD7768" s="500"/>
      <c r="AE7768" s="500"/>
      <c r="AF7768" s="500"/>
      <c r="AG7768" s="500"/>
      <c r="AH7768" s="500"/>
      <c r="AI7768" s="500"/>
      <c r="AJ7768" s="500"/>
      <c r="AK7768" s="500"/>
      <c r="AL7768" s="500"/>
      <c r="AM7768" s="500"/>
      <c r="AN7768" s="500"/>
      <c r="AO7768" s="500"/>
      <c r="AP7768" s="500"/>
    </row>
    <row r="7769" spans="1:42" ht="16.5" customHeight="1">
      <c r="A7769" s="434"/>
      <c r="B7769" s="437" t="s">
        <v>3496</v>
      </c>
      <c r="C7769" s="439"/>
      <c r="D7769" s="439"/>
      <c r="E7769" s="439"/>
      <c r="F7769" s="439"/>
      <c r="G7769" s="451" t="s">
        <v>3497</v>
      </c>
      <c r="Z7769" s="500"/>
      <c r="AA7769" s="500"/>
      <c r="AB7769" s="500"/>
      <c r="AC7769" s="500"/>
      <c r="AD7769" s="500"/>
      <c r="AE7769" s="500"/>
      <c r="AF7769" s="500"/>
      <c r="AG7769" s="500"/>
      <c r="AH7769" s="500"/>
      <c r="AI7769" s="500"/>
      <c r="AJ7769" s="500"/>
      <c r="AK7769" s="500"/>
      <c r="AL7769" s="500"/>
      <c r="AM7769" s="500"/>
      <c r="AN7769" s="500"/>
      <c r="AO7769" s="500"/>
      <c r="AP7769" s="500"/>
    </row>
    <row r="7770" spans="1:42" ht="16.5" customHeight="1">
      <c r="A7770" s="439"/>
      <c r="B7770" s="439"/>
      <c r="C7770" s="439"/>
      <c r="D7770" s="439"/>
      <c r="E7770" s="439"/>
      <c r="F7770" s="439"/>
      <c r="G7770" s="451" t="s">
        <v>3406</v>
      </c>
      <c r="Z7770" s="500"/>
      <c r="AA7770" s="500"/>
      <c r="AB7770" s="500"/>
      <c r="AC7770" s="500"/>
      <c r="AD7770" s="500"/>
      <c r="AE7770" s="500"/>
      <c r="AF7770" s="500"/>
      <c r="AG7770" s="500"/>
      <c r="AH7770" s="500"/>
      <c r="AI7770" s="500"/>
      <c r="AJ7770" s="500"/>
      <c r="AK7770" s="500"/>
      <c r="AL7770" s="500"/>
      <c r="AM7770" s="500"/>
      <c r="AN7770" s="500"/>
      <c r="AO7770" s="500"/>
      <c r="AP7770" s="500"/>
    </row>
    <row r="7771" spans="1:42" ht="16.5" customHeight="1">
      <c r="A7771" s="434" t="s">
        <v>3498</v>
      </c>
      <c r="B7771" s="505" t="str">
        <f>" 조경공 :  "&amp;TEXT(I7771,"#,##0"&amp;IF(I7771&lt;&gt;INT(I7771),".###",""))&amp;" * "&amp;AA7771&amp;" 인  / Q = "&amp;TEXT(C7771,"#,##0.0")&amp;""</f>
        <v xml:space="preserve"> 조경공 :  235,204 * 3 인  / Q = 261.3</v>
      </c>
      <c r="C7771" s="506">
        <f>E7771+D7771+F7771</f>
        <v>261.3</v>
      </c>
      <c r="D7771" s="506">
        <f>IF(H7771=0,0,ROUNDDOWN(J7771*H7771,1))</f>
        <v>261.3</v>
      </c>
      <c r="E7771" s="506">
        <f>IF(H7771=0,0,ROUNDDOWN(K7771*H7771,1))</f>
        <v>0</v>
      </c>
      <c r="F7771" s="506">
        <f>IF(H7771=0,0,ROUNDDOWN(L7771*H7771,1))</f>
        <v>0</v>
      </c>
      <c r="G7771" s="451" t="s">
        <v>3551</v>
      </c>
      <c r="H7771" s="507">
        <f>ROUNDUP(AE7771,14-LEN(ABS(INT(AE7771))))</f>
        <v>1.1111111112000001E-3</v>
      </c>
      <c r="I7771" s="508">
        <f>K7771+J7771+L7771</f>
        <v>235204</v>
      </c>
      <c r="J7771" s="509">
        <f>노무비목록표!E15</f>
        <v>235204</v>
      </c>
      <c r="M7771" s="501" t="s">
        <v>2359</v>
      </c>
      <c r="N7771" s="501" t="s">
        <v>3416</v>
      </c>
      <c r="X7771" s="510" t="str">
        <f>노무비목록표!B15&amp;" / "&amp;노무비목록표!C15</f>
        <v xml:space="preserve">조경공 / </v>
      </c>
      <c r="Y7771" s="433" t="str">
        <f ca="1">HYPERLINK("#"&amp;노무비목록표!G2&amp;"!A"&amp;ROW(노무비목록표!A15),"L00184 →")</f>
        <v>L00184 →</v>
      </c>
      <c r="Z7771" s="501" t="s">
        <v>3500</v>
      </c>
      <c r="AA7771" s="515">
        <v>3</v>
      </c>
      <c r="AB7771" s="501" t="s">
        <v>3428</v>
      </c>
      <c r="AC7771" s="512">
        <f>AB7762</f>
        <v>2700</v>
      </c>
      <c r="AD7771" s="501" t="s">
        <v>3418</v>
      </c>
      <c r="AE7771" s="512">
        <f>1*AA7771/AB7762</f>
        <v>1.1111111111111111E-3</v>
      </c>
      <c r="AF7771" s="500"/>
      <c r="AG7771" s="500"/>
      <c r="AH7771" s="500"/>
      <c r="AI7771" s="500"/>
      <c r="AJ7771" s="500"/>
      <c r="AK7771" s="500"/>
      <c r="AL7771" s="500"/>
      <c r="AM7771" s="500"/>
      <c r="AN7771" s="500"/>
      <c r="AO7771" s="500"/>
      <c r="AP7771" s="500"/>
    </row>
    <row r="7772" spans="1:42" ht="16.5" customHeight="1">
      <c r="A7772" s="439"/>
      <c r="B7772" s="439"/>
      <c r="C7772" s="439"/>
      <c r="D7772" s="439"/>
      <c r="E7772" s="439"/>
      <c r="F7772" s="439"/>
      <c r="G7772" s="451" t="s">
        <v>3406</v>
      </c>
      <c r="Z7772" s="500"/>
      <c r="AA7772" s="500"/>
      <c r="AB7772" s="500"/>
      <c r="AC7772" s="500"/>
      <c r="AD7772" s="500"/>
      <c r="AE7772" s="500"/>
      <c r="AF7772" s="500"/>
      <c r="AG7772" s="500"/>
      <c r="AH7772" s="500"/>
      <c r="AI7772" s="500"/>
      <c r="AJ7772" s="500"/>
      <c r="AK7772" s="500"/>
      <c r="AL7772" s="500"/>
      <c r="AM7772" s="500"/>
      <c r="AN7772" s="500"/>
      <c r="AO7772" s="500"/>
      <c r="AP7772" s="500"/>
    </row>
    <row r="7773" spans="1:42" ht="16.5" customHeight="1">
      <c r="A7773" s="439"/>
      <c r="B7773" s="439"/>
      <c r="C7773" s="439"/>
      <c r="D7773" s="439"/>
      <c r="E7773" s="439"/>
      <c r="F7773" s="439"/>
      <c r="G7773" s="451" t="s">
        <v>3406</v>
      </c>
      <c r="Z7773" s="500"/>
      <c r="AA7773" s="500"/>
      <c r="AB7773" s="500"/>
      <c r="AC7773" s="500"/>
      <c r="AD7773" s="500"/>
      <c r="AE7773" s="500"/>
      <c r="AF7773" s="500"/>
      <c r="AG7773" s="500"/>
      <c r="AH7773" s="500"/>
      <c r="AI7773" s="500"/>
      <c r="AJ7773" s="500"/>
      <c r="AK7773" s="500"/>
      <c r="AL7773" s="500"/>
      <c r="AM7773" s="500"/>
      <c r="AN7773" s="500"/>
      <c r="AO7773" s="500"/>
      <c r="AP7773" s="500"/>
    </row>
    <row r="7774" spans="1:42" ht="16.5" customHeight="1">
      <c r="A7774" s="434" t="s">
        <v>3414</v>
      </c>
      <c r="B7774" s="505" t="str">
        <f>" 보통인부 : "&amp;TEXT(I7774,"#,##0"&amp;IF(I7774&lt;&gt;INT(I7774),".###",""))&amp;" * "&amp;AA7774&amp;" 인  / Q = "&amp;TEXT(C7774,"#,##0.0")&amp;""</f>
        <v xml:space="preserve"> 보통인부 : 172,068 * 1 인  / Q = 63.7</v>
      </c>
      <c r="C7774" s="506">
        <f>E7774+D7774+F7774</f>
        <v>63.7</v>
      </c>
      <c r="D7774" s="506">
        <f>IF(H7774=0,0,ROUNDDOWN(J7774*H7774,1))</f>
        <v>63.7</v>
      </c>
      <c r="E7774" s="506">
        <f>IF(H7774=0,0,ROUNDDOWN(K7774*H7774,1))</f>
        <v>0</v>
      </c>
      <c r="F7774" s="506">
        <f>IF(H7774=0,0,ROUNDDOWN(L7774*H7774,1))</f>
        <v>0</v>
      </c>
      <c r="G7774" s="451" t="s">
        <v>3552</v>
      </c>
      <c r="H7774" s="507">
        <f>ROUNDUP(AE7774,14-LEN(ABS(INT(AE7774))))</f>
        <v>3.7037037039999997E-4</v>
      </c>
      <c r="I7774" s="508">
        <f>K7774+J7774+L7774</f>
        <v>172068</v>
      </c>
      <c r="J7774" s="509">
        <f>노무비목록표!E10</f>
        <v>172068</v>
      </c>
      <c r="M7774" s="501" t="s">
        <v>2363</v>
      </c>
      <c r="N7774" s="501" t="s">
        <v>3416</v>
      </c>
      <c r="X7774" s="510" t="str">
        <f>노무비목록표!B10&amp;" / "&amp;노무비목록표!C10</f>
        <v xml:space="preserve">보통인부 / </v>
      </c>
      <c r="Y7774" s="433" t="str">
        <f ca="1">HYPERLINK("#"&amp;노무비목록표!G2&amp;"!A"&amp;ROW(노무비목록표!A10),"L00017 →")</f>
        <v>L00017 →</v>
      </c>
      <c r="Z7774" s="501" t="s">
        <v>3500</v>
      </c>
      <c r="AA7774" s="515">
        <v>1</v>
      </c>
      <c r="AB7774" s="501" t="s">
        <v>3428</v>
      </c>
      <c r="AC7774" s="512">
        <f>AB7762</f>
        <v>2700</v>
      </c>
      <c r="AD7774" s="501" t="s">
        <v>3418</v>
      </c>
      <c r="AE7774" s="512">
        <f>1*AA7774/AB7762</f>
        <v>3.7037037037037035E-4</v>
      </c>
      <c r="AF7774" s="500"/>
      <c r="AG7774" s="500"/>
      <c r="AH7774" s="500"/>
      <c r="AI7774" s="500"/>
      <c r="AJ7774" s="500"/>
      <c r="AK7774" s="500"/>
      <c r="AL7774" s="500"/>
      <c r="AM7774" s="500"/>
      <c r="AN7774" s="500"/>
      <c r="AO7774" s="500"/>
      <c r="AP7774" s="500"/>
    </row>
    <row r="7775" spans="1:42" ht="16.5" customHeight="1">
      <c r="A7775" s="439"/>
      <c r="B7775" s="439"/>
      <c r="C7775" s="439"/>
      <c r="D7775" s="439"/>
      <c r="E7775" s="439"/>
      <c r="F7775" s="439"/>
      <c r="G7775" s="451" t="s">
        <v>3406</v>
      </c>
      <c r="Z7775" s="500"/>
      <c r="AA7775" s="500"/>
      <c r="AB7775" s="500"/>
      <c r="AC7775" s="500"/>
      <c r="AD7775" s="500"/>
      <c r="AE7775" s="500"/>
      <c r="AF7775" s="500"/>
      <c r="AG7775" s="500"/>
      <c r="AH7775" s="500"/>
      <c r="AI7775" s="500"/>
      <c r="AJ7775" s="500"/>
      <c r="AK7775" s="500"/>
      <c r="AL7775" s="500"/>
      <c r="AM7775" s="500"/>
      <c r="AN7775" s="500"/>
      <c r="AO7775" s="500"/>
      <c r="AP7775" s="500"/>
    </row>
    <row r="7776" spans="1:42" ht="16.5" customHeight="1">
      <c r="A7776" s="434"/>
      <c r="B7776" s="437" t="s">
        <v>3419</v>
      </c>
      <c r="C7776" s="513">
        <f>E7776+D7776+F7776</f>
        <v>325</v>
      </c>
      <c r="D7776" s="513">
        <f>SUMIF(N7757:N7775,M7776,D7757:D7775)</f>
        <v>325</v>
      </c>
      <c r="E7776" s="513">
        <f>SUMIF(N7757:N7775,M7776,E7757:E7775)</f>
        <v>0</v>
      </c>
      <c r="F7776" s="513">
        <f>SUMIF(N7757:N7775,M7776,F7757:F7775)</f>
        <v>0</v>
      </c>
      <c r="G7776" s="451" t="s">
        <v>3439</v>
      </c>
      <c r="M7776" s="501" t="s">
        <v>3416</v>
      </c>
      <c r="N7776" s="501" t="s">
        <v>3421</v>
      </c>
      <c r="Z7776" s="500"/>
      <c r="AA7776" s="500"/>
      <c r="AB7776" s="500"/>
      <c r="AC7776" s="500"/>
      <c r="AD7776" s="500"/>
      <c r="AE7776" s="500"/>
      <c r="AF7776" s="500"/>
      <c r="AG7776" s="500"/>
      <c r="AH7776" s="500"/>
      <c r="AI7776" s="500"/>
      <c r="AJ7776" s="500"/>
      <c r="AK7776" s="500"/>
      <c r="AL7776" s="500"/>
      <c r="AM7776" s="500"/>
      <c r="AN7776" s="500"/>
      <c r="AO7776" s="500"/>
      <c r="AP7776" s="500"/>
    </row>
    <row r="7777" spans="1:42" ht="16.5" customHeight="1">
      <c r="A7777" s="439"/>
      <c r="B7777" s="439"/>
      <c r="C7777" s="504"/>
      <c r="D7777" s="504"/>
      <c r="E7777" s="504"/>
      <c r="F7777" s="504"/>
      <c r="G7777" s="451" t="s">
        <v>3406</v>
      </c>
      <c r="Z7777" s="500"/>
      <c r="AA7777" s="500"/>
      <c r="AB7777" s="500"/>
      <c r="AC7777" s="500"/>
      <c r="AD7777" s="500"/>
      <c r="AE7777" s="500"/>
      <c r="AF7777" s="500"/>
      <c r="AG7777" s="500"/>
      <c r="AH7777" s="500"/>
      <c r="AI7777" s="500"/>
      <c r="AJ7777" s="500"/>
      <c r="AK7777" s="500"/>
      <c r="AL7777" s="500"/>
      <c r="AM7777" s="500"/>
      <c r="AN7777" s="500"/>
      <c r="AO7777" s="500"/>
      <c r="AP7777" s="500"/>
    </row>
    <row r="7778" spans="1:42" ht="16.5" customHeight="1">
      <c r="A7778" s="439"/>
      <c r="B7778" s="439"/>
      <c r="C7778" s="439"/>
      <c r="D7778" s="439"/>
      <c r="E7778" s="439"/>
      <c r="F7778" s="439"/>
      <c r="G7778" s="451" t="s">
        <v>3406</v>
      </c>
      <c r="Z7778" s="500"/>
      <c r="AA7778" s="500"/>
      <c r="AB7778" s="500"/>
      <c r="AC7778" s="500"/>
      <c r="AD7778" s="500"/>
      <c r="AE7778" s="500"/>
      <c r="AF7778" s="500"/>
      <c r="AG7778" s="500"/>
      <c r="AH7778" s="500"/>
      <c r="AI7778" s="500"/>
      <c r="AJ7778" s="500"/>
      <c r="AK7778" s="500"/>
      <c r="AL7778" s="500"/>
      <c r="AM7778" s="500"/>
      <c r="AN7778" s="500"/>
      <c r="AO7778" s="500"/>
      <c r="AP7778" s="500"/>
    </row>
    <row r="7779" spans="1:42" ht="16.5" customHeight="1">
      <c r="A7779" s="434"/>
      <c r="B7779" s="437" t="s">
        <v>3502</v>
      </c>
      <c r="C7779" s="439"/>
      <c r="D7779" s="439"/>
      <c r="E7779" s="439"/>
      <c r="F7779" s="439"/>
      <c r="G7779" s="451" t="s">
        <v>3503</v>
      </c>
      <c r="Z7779" s="500"/>
      <c r="AA7779" s="500"/>
      <c r="AB7779" s="500"/>
      <c r="AC7779" s="500"/>
      <c r="AD7779" s="500"/>
      <c r="AE7779" s="500"/>
      <c r="AF7779" s="500"/>
      <c r="AG7779" s="500"/>
      <c r="AH7779" s="500"/>
      <c r="AI7779" s="500"/>
      <c r="AJ7779" s="500"/>
      <c r="AK7779" s="500"/>
      <c r="AL7779" s="500"/>
      <c r="AM7779" s="500"/>
      <c r="AN7779" s="500"/>
      <c r="AO7779" s="500"/>
      <c r="AP7779" s="500"/>
    </row>
    <row r="7780" spans="1:42" ht="16.5" customHeight="1">
      <c r="A7780" s="439"/>
      <c r="B7780" s="439"/>
      <c r="C7780" s="439"/>
      <c r="D7780" s="439"/>
      <c r="E7780" s="439"/>
      <c r="F7780" s="439"/>
      <c r="G7780" s="451" t="s">
        <v>3406</v>
      </c>
      <c r="Z7780" s="500"/>
      <c r="AA7780" s="500"/>
      <c r="AB7780" s="500"/>
      <c r="AC7780" s="500"/>
      <c r="AD7780" s="500"/>
      <c r="AE7780" s="500"/>
      <c r="AF7780" s="500"/>
      <c r="AG7780" s="500"/>
      <c r="AH7780" s="500"/>
      <c r="AI7780" s="500"/>
      <c r="AJ7780" s="500"/>
      <c r="AK7780" s="500"/>
      <c r="AL7780" s="500"/>
      <c r="AM7780" s="500"/>
      <c r="AN7780" s="500"/>
      <c r="AO7780" s="500"/>
      <c r="AP7780" s="500"/>
    </row>
    <row r="7781" spans="1:42" ht="16.5" customHeight="1">
      <c r="A7781" s="434" t="s">
        <v>3504</v>
      </c>
      <c r="B7781" s="505" t="str">
        <f>"  유기질비료 수목이식·식재용 : "&amp;TEXT(I7781,"#,##0"&amp;IF(I7781&lt;&gt;INT(I7781),".###",""))&amp;" * "&amp;AA7781&amp;" KG  / Q = "&amp;TEXT(C7781,"#,##0.0")&amp;""</f>
        <v xml:space="preserve">  유기질비료 수목이식·식재용 : 500 * 270 KG  / Q = 50.0</v>
      </c>
      <c r="C7781" s="506">
        <f>E7781+D7781+F7781</f>
        <v>50</v>
      </c>
      <c r="D7781" s="506">
        <f>IF(H7781=0,0,ROUNDDOWN(J7781*H7781,1))</f>
        <v>0</v>
      </c>
      <c r="E7781" s="506">
        <f>IF(H7781=0,0,ROUNDDOWN(K7781*H7781,1))</f>
        <v>50</v>
      </c>
      <c r="F7781" s="506">
        <f>IF(H7781=0,0,ROUNDDOWN(L7781*H7781,1))</f>
        <v>0</v>
      </c>
      <c r="G7781" s="451" t="s">
        <v>4307</v>
      </c>
      <c r="H7781" s="507">
        <f>ROUNDUP(AE7781,14-LEN(ABS(INT(AE7781))))</f>
        <v>0.1</v>
      </c>
      <c r="I7781" s="508">
        <f>K7781+J7781+L7781</f>
        <v>500</v>
      </c>
      <c r="K7781" s="509">
        <f>재료비목록표!E78</f>
        <v>500</v>
      </c>
      <c r="M7781" s="501" t="s">
        <v>3506</v>
      </c>
      <c r="N7781" s="501" t="s">
        <v>3416</v>
      </c>
      <c r="X7781" s="510" t="str">
        <f>재료비목록표!B78&amp;" / "&amp;재료비목록표!C78</f>
        <v>유기질비료 / 수목이식·식재용</v>
      </c>
      <c r="Y7781" s="433" t="str">
        <f ca="1">HYPERLINK("#"&amp;재료비목록표!G2&amp;"!A"&amp;ROW(재료비목록표!A78),"M01159 →")</f>
        <v>M01159 →</v>
      </c>
      <c r="Z7781" s="501" t="s">
        <v>3500</v>
      </c>
      <c r="AA7781" s="515">
        <v>270</v>
      </c>
      <c r="AB7781" s="501" t="s">
        <v>3428</v>
      </c>
      <c r="AC7781" s="512">
        <f>AB7762</f>
        <v>2700</v>
      </c>
      <c r="AD7781" s="501" t="s">
        <v>3418</v>
      </c>
      <c r="AE7781" s="512">
        <f>1*AA7781/AB7762</f>
        <v>0.1</v>
      </c>
      <c r="AF7781" s="500"/>
      <c r="AG7781" s="500"/>
      <c r="AH7781" s="500"/>
      <c r="AI7781" s="500"/>
      <c r="AJ7781" s="500"/>
      <c r="AK7781" s="500"/>
      <c r="AL7781" s="500"/>
      <c r="AM7781" s="500"/>
      <c r="AN7781" s="500"/>
      <c r="AO7781" s="500"/>
      <c r="AP7781" s="500"/>
    </row>
    <row r="7782" spans="1:42" ht="16.5" customHeight="1">
      <c r="A7782" s="439"/>
      <c r="B7782" s="439"/>
      <c r="C7782" s="439"/>
      <c r="D7782" s="439"/>
      <c r="E7782" s="439"/>
      <c r="F7782" s="439"/>
      <c r="G7782" s="451" t="s">
        <v>3406</v>
      </c>
      <c r="Z7782" s="500"/>
      <c r="AA7782" s="500"/>
      <c r="AB7782" s="500"/>
      <c r="AC7782" s="500"/>
      <c r="AD7782" s="500"/>
      <c r="AE7782" s="500"/>
      <c r="AF7782" s="500"/>
      <c r="AG7782" s="500"/>
      <c r="AH7782" s="500"/>
      <c r="AI7782" s="500"/>
      <c r="AJ7782" s="500"/>
      <c r="AK7782" s="500"/>
      <c r="AL7782" s="500"/>
      <c r="AM7782" s="500"/>
      <c r="AN7782" s="500"/>
      <c r="AO7782" s="500"/>
      <c r="AP7782" s="500"/>
    </row>
    <row r="7783" spans="1:42" ht="16.5" customHeight="1">
      <c r="A7783" s="434"/>
      <c r="B7783" s="437" t="s">
        <v>3419</v>
      </c>
      <c r="C7783" s="513">
        <f>E7783+D7783+F7783</f>
        <v>50</v>
      </c>
      <c r="D7783" s="513">
        <f>SUMIF(N7777:N7782,M7783,D7777:D7782)</f>
        <v>0</v>
      </c>
      <c r="E7783" s="513">
        <f>SUMIF(N7777:N7782,M7783,E7777:E7782)</f>
        <v>50</v>
      </c>
      <c r="F7783" s="513">
        <f>SUMIF(N7777:N7782,M7783,F7777:F7782)</f>
        <v>0</v>
      </c>
      <c r="G7783" s="451" t="s">
        <v>3439</v>
      </c>
      <c r="M7783" s="501" t="s">
        <v>3416</v>
      </c>
      <c r="N7783" s="501" t="s">
        <v>3421</v>
      </c>
      <c r="Z7783" s="500"/>
      <c r="AA7783" s="500"/>
      <c r="AB7783" s="500"/>
      <c r="AC7783" s="500"/>
      <c r="AD7783" s="500"/>
      <c r="AE7783" s="500"/>
      <c r="AF7783" s="500"/>
      <c r="AG7783" s="500"/>
      <c r="AH7783" s="500"/>
      <c r="AI7783" s="500"/>
      <c r="AJ7783" s="500"/>
      <c r="AK7783" s="500"/>
      <c r="AL7783" s="500"/>
      <c r="AM7783" s="500"/>
      <c r="AN7783" s="500"/>
      <c r="AO7783" s="500"/>
      <c r="AP7783" s="500"/>
    </row>
    <row r="7784" spans="1:42" ht="16.5" customHeight="1">
      <c r="A7784" s="439"/>
      <c r="B7784" s="439"/>
      <c r="C7784" s="504"/>
      <c r="D7784" s="504"/>
      <c r="E7784" s="504"/>
      <c r="F7784" s="504"/>
      <c r="G7784" s="451" t="s">
        <v>3406</v>
      </c>
      <c r="Z7784" s="500"/>
      <c r="AA7784" s="500"/>
      <c r="AB7784" s="500"/>
      <c r="AC7784" s="500"/>
      <c r="AD7784" s="500"/>
      <c r="AE7784" s="500"/>
      <c r="AF7784" s="500"/>
      <c r="AG7784" s="500"/>
      <c r="AH7784" s="500"/>
      <c r="AI7784" s="500"/>
      <c r="AJ7784" s="500"/>
      <c r="AK7784" s="500"/>
      <c r="AL7784" s="500"/>
      <c r="AM7784" s="500"/>
      <c r="AN7784" s="500"/>
      <c r="AO7784" s="500"/>
      <c r="AP7784" s="500"/>
    </row>
    <row r="7785" spans="1:42" ht="16.5" customHeight="1">
      <c r="A7785" s="434"/>
      <c r="B7785" s="437" t="s">
        <v>3440</v>
      </c>
      <c r="C7785" s="513">
        <f>E7785+D7785+F7785</f>
        <v>375</v>
      </c>
      <c r="D7785" s="513">
        <f>SUMIF(N7757:N7784,M7785,D7757:D7784)</f>
        <v>325</v>
      </c>
      <c r="E7785" s="513">
        <f>SUMIF(N7757:N7784,M7785,E7757:E7784)</f>
        <v>50</v>
      </c>
      <c r="F7785" s="513">
        <f>SUMIF(N7757:N7784,M7785,F7757:F7784)</f>
        <v>0</v>
      </c>
      <c r="G7785" s="451" t="s">
        <v>3441</v>
      </c>
      <c r="M7785" s="501" t="s">
        <v>3421</v>
      </c>
      <c r="N7785" s="501" t="s">
        <v>2354</v>
      </c>
      <c r="Z7785" s="500"/>
      <c r="AA7785" s="500"/>
      <c r="AB7785" s="500"/>
      <c r="AC7785" s="500"/>
      <c r="AD7785" s="500"/>
      <c r="AE7785" s="500"/>
      <c r="AF7785" s="500"/>
      <c r="AG7785" s="500"/>
      <c r="AH7785" s="500"/>
      <c r="AI7785" s="500"/>
      <c r="AJ7785" s="500"/>
      <c r="AK7785" s="500"/>
      <c r="AL7785" s="500"/>
      <c r="AM7785" s="500"/>
      <c r="AN7785" s="500"/>
      <c r="AO7785" s="500"/>
      <c r="AP7785" s="500"/>
    </row>
    <row r="7786" spans="1:42" ht="16.5" customHeight="1">
      <c r="A7786" s="439"/>
      <c r="B7786" s="439"/>
      <c r="C7786" s="504"/>
      <c r="D7786" s="504"/>
      <c r="E7786" s="504"/>
      <c r="F7786" s="504"/>
      <c r="G7786" s="451" t="s">
        <v>3413</v>
      </c>
      <c r="Z7786" s="500"/>
      <c r="AA7786" s="500"/>
      <c r="AB7786" s="500"/>
      <c r="AC7786" s="500"/>
      <c r="AD7786" s="500"/>
      <c r="AE7786" s="500"/>
      <c r="AF7786" s="500"/>
      <c r="AG7786" s="500"/>
      <c r="AH7786" s="500"/>
      <c r="AI7786" s="500"/>
      <c r="AJ7786" s="500"/>
      <c r="AK7786" s="500"/>
      <c r="AL7786" s="500"/>
      <c r="AM7786" s="500"/>
      <c r="AN7786" s="500"/>
      <c r="AO7786" s="500"/>
      <c r="AP7786" s="500"/>
    </row>
    <row r="7787" spans="1:42" ht="16.5" customHeight="1">
      <c r="A7787" s="439"/>
      <c r="B7787" s="439"/>
      <c r="C7787" s="439"/>
      <c r="D7787" s="439"/>
      <c r="E7787" s="439"/>
      <c r="F7787" s="439"/>
      <c r="Z7787" s="500"/>
      <c r="AA7787" s="500"/>
      <c r="AB7787" s="500"/>
      <c r="AC7787" s="500"/>
      <c r="AD7787" s="500"/>
      <c r="AE7787" s="500"/>
      <c r="AF7787" s="500"/>
      <c r="AG7787" s="500"/>
      <c r="AH7787" s="500"/>
      <c r="AI7787" s="500"/>
      <c r="AJ7787" s="500"/>
      <c r="AK7787" s="500"/>
      <c r="AL7787" s="500"/>
      <c r="AM7787" s="500"/>
      <c r="AN7787" s="500"/>
      <c r="AO7787" s="500"/>
      <c r="AP7787" s="500"/>
    </row>
    <row r="7788" spans="1:42" ht="16.5" customHeight="1">
      <c r="A7788" s="439"/>
      <c r="B7788" s="439"/>
      <c r="C7788" s="439"/>
      <c r="D7788" s="439"/>
      <c r="E7788" s="439"/>
      <c r="F7788" s="439"/>
      <c r="Z7788" s="500"/>
      <c r="AA7788" s="500"/>
      <c r="AB7788" s="500"/>
      <c r="AC7788" s="500"/>
      <c r="AD7788" s="500"/>
      <c r="AE7788" s="500"/>
      <c r="AF7788" s="500"/>
      <c r="AG7788" s="500"/>
      <c r="AH7788" s="500"/>
      <c r="AI7788" s="500"/>
      <c r="AJ7788" s="500"/>
      <c r="AK7788" s="500"/>
      <c r="AL7788" s="500"/>
      <c r="AM7788" s="500"/>
      <c r="AN7788" s="500"/>
      <c r="AO7788" s="500"/>
      <c r="AP7788" s="500"/>
    </row>
    <row r="7789" spans="1:42" ht="16.5" customHeight="1">
      <c r="A7789" s="439"/>
      <c r="B7789" s="439"/>
      <c r="C7789" s="439"/>
      <c r="D7789" s="439"/>
      <c r="E7789" s="439"/>
      <c r="F7789" s="439"/>
      <c r="Z7789" s="500"/>
      <c r="AA7789" s="500"/>
      <c r="AB7789" s="500"/>
      <c r="AC7789" s="500"/>
      <c r="AD7789" s="500"/>
      <c r="AE7789" s="500"/>
      <c r="AF7789" s="500"/>
      <c r="AG7789" s="500"/>
      <c r="AH7789" s="500"/>
      <c r="AI7789" s="500"/>
      <c r="AJ7789" s="500"/>
      <c r="AK7789" s="500"/>
      <c r="AL7789" s="500"/>
      <c r="AM7789" s="500"/>
      <c r="AN7789" s="500"/>
      <c r="AO7789" s="500"/>
      <c r="AP7789" s="500"/>
    </row>
    <row r="7790" spans="1:42" ht="16.5" customHeight="1">
      <c r="A7790" s="439"/>
      <c r="B7790" s="439"/>
      <c r="C7790" s="439"/>
      <c r="D7790" s="439"/>
      <c r="E7790" s="439"/>
      <c r="F7790" s="439"/>
      <c r="Z7790" s="500"/>
      <c r="AA7790" s="500"/>
      <c r="AB7790" s="500"/>
      <c r="AC7790" s="500"/>
      <c r="AD7790" s="500"/>
      <c r="AE7790" s="500"/>
      <c r="AF7790" s="500"/>
      <c r="AG7790" s="500"/>
      <c r="AH7790" s="500"/>
      <c r="AI7790" s="500"/>
      <c r="AJ7790" s="500"/>
      <c r="AK7790" s="500"/>
      <c r="AL7790" s="500"/>
      <c r="AM7790" s="500"/>
      <c r="AN7790" s="500"/>
      <c r="AO7790" s="500"/>
      <c r="AP7790" s="500"/>
    </row>
    <row r="7791" spans="1:42" ht="16.5" customHeight="1">
      <c r="A7791" s="439"/>
      <c r="B7791" s="439"/>
      <c r="C7791" s="439"/>
      <c r="D7791" s="439"/>
      <c r="E7791" s="439"/>
      <c r="F7791" s="439"/>
      <c r="Z7791" s="500"/>
      <c r="AA7791" s="500"/>
      <c r="AB7791" s="500"/>
      <c r="AC7791" s="500"/>
      <c r="AD7791" s="500"/>
      <c r="AE7791" s="500"/>
      <c r="AF7791" s="500"/>
      <c r="AG7791" s="500"/>
      <c r="AH7791" s="500"/>
      <c r="AI7791" s="500"/>
      <c r="AJ7791" s="500"/>
      <c r="AK7791" s="500"/>
      <c r="AL7791" s="500"/>
      <c r="AM7791" s="500"/>
      <c r="AN7791" s="500"/>
      <c r="AO7791" s="500"/>
      <c r="AP7791" s="500"/>
    </row>
    <row r="7792" spans="1:42" ht="16.5" customHeight="1">
      <c r="A7792" s="439"/>
      <c r="B7792" s="439"/>
      <c r="C7792" s="439"/>
      <c r="D7792" s="439"/>
      <c r="E7792" s="439"/>
      <c r="F7792" s="439"/>
      <c r="Z7792" s="500"/>
      <c r="AA7792" s="500"/>
      <c r="AB7792" s="500"/>
      <c r="AC7792" s="500"/>
      <c r="AD7792" s="500"/>
      <c r="AE7792" s="500"/>
      <c r="AF7792" s="500"/>
      <c r="AG7792" s="500"/>
      <c r="AH7792" s="500"/>
      <c r="AI7792" s="500"/>
      <c r="AJ7792" s="500"/>
      <c r="AK7792" s="500"/>
      <c r="AL7792" s="500"/>
      <c r="AM7792" s="500"/>
      <c r="AN7792" s="500"/>
      <c r="AO7792" s="500"/>
      <c r="AP7792" s="500"/>
    </row>
    <row r="7793" spans="1:42" ht="16.5" customHeight="1">
      <c r="A7793" s="439"/>
      <c r="B7793" s="439"/>
      <c r="C7793" s="439"/>
      <c r="D7793" s="439"/>
      <c r="E7793" s="439"/>
      <c r="F7793" s="439"/>
      <c r="Z7793" s="500"/>
      <c r="AA7793" s="500"/>
      <c r="AB7793" s="500"/>
      <c r="AC7793" s="500"/>
      <c r="AD7793" s="500"/>
      <c r="AE7793" s="500"/>
      <c r="AF7793" s="500"/>
      <c r="AG7793" s="500"/>
      <c r="AH7793" s="500"/>
      <c r="AI7793" s="500"/>
      <c r="AJ7793" s="500"/>
      <c r="AK7793" s="500"/>
      <c r="AL7793" s="500"/>
      <c r="AM7793" s="500"/>
      <c r="AN7793" s="500"/>
      <c r="AO7793" s="500"/>
      <c r="AP7793" s="500"/>
    </row>
    <row r="7794" spans="1:42" ht="16.5" customHeight="1">
      <c r="A7794" s="439"/>
      <c r="B7794" s="439"/>
      <c r="C7794" s="439"/>
      <c r="D7794" s="439"/>
      <c r="E7794" s="439"/>
      <c r="F7794" s="439"/>
      <c r="Z7794" s="500"/>
      <c r="AA7794" s="500"/>
      <c r="AB7794" s="500"/>
      <c r="AC7794" s="500"/>
      <c r="AD7794" s="500"/>
      <c r="AE7794" s="500"/>
      <c r="AF7794" s="500"/>
      <c r="AG7794" s="500"/>
      <c r="AH7794" s="500"/>
      <c r="AI7794" s="500"/>
      <c r="AJ7794" s="500"/>
      <c r="AK7794" s="500"/>
      <c r="AL7794" s="500"/>
      <c r="AM7794" s="500"/>
      <c r="AN7794" s="500"/>
      <c r="AO7794" s="500"/>
      <c r="AP7794" s="500"/>
    </row>
    <row r="7795" spans="1:42" ht="16.5" customHeight="1">
      <c r="A7795" s="439"/>
      <c r="B7795" s="439"/>
      <c r="C7795" s="439"/>
      <c r="D7795" s="439"/>
      <c r="E7795" s="439"/>
      <c r="F7795" s="439"/>
      <c r="Z7795" s="500"/>
      <c r="AA7795" s="500"/>
      <c r="AB7795" s="500"/>
      <c r="AC7795" s="500"/>
      <c r="AD7795" s="500"/>
      <c r="AE7795" s="500"/>
      <c r="AF7795" s="500"/>
      <c r="AG7795" s="500"/>
      <c r="AH7795" s="500"/>
      <c r="AI7795" s="500"/>
      <c r="AJ7795" s="500"/>
      <c r="AK7795" s="500"/>
      <c r="AL7795" s="500"/>
      <c r="AM7795" s="500"/>
      <c r="AN7795" s="500"/>
      <c r="AO7795" s="500"/>
      <c r="AP7795" s="500"/>
    </row>
    <row r="7796" spans="1:42" ht="16.5" customHeight="1">
      <c r="A7796" s="439"/>
      <c r="B7796" s="439"/>
      <c r="C7796" s="439"/>
      <c r="D7796" s="439"/>
      <c r="E7796" s="439"/>
      <c r="F7796" s="439"/>
      <c r="Z7796" s="500"/>
      <c r="AA7796" s="500"/>
      <c r="AB7796" s="500"/>
      <c r="AC7796" s="500"/>
      <c r="AD7796" s="500"/>
      <c r="AE7796" s="500"/>
      <c r="AF7796" s="500"/>
      <c r="AG7796" s="500"/>
      <c r="AH7796" s="500"/>
      <c r="AI7796" s="500"/>
      <c r="AJ7796" s="500"/>
      <c r="AK7796" s="500"/>
      <c r="AL7796" s="500"/>
      <c r="AM7796" s="500"/>
      <c r="AN7796" s="500"/>
      <c r="AO7796" s="500"/>
      <c r="AP7796" s="500"/>
    </row>
    <row r="7797" spans="1:42" ht="16.5" customHeight="1">
      <c r="A7797" s="439"/>
      <c r="B7797" s="439"/>
      <c r="C7797" s="439"/>
      <c r="D7797" s="439"/>
      <c r="E7797" s="439"/>
      <c r="F7797" s="439"/>
      <c r="Z7797" s="500"/>
      <c r="AA7797" s="500"/>
      <c r="AB7797" s="500"/>
      <c r="AC7797" s="500"/>
      <c r="AD7797" s="500"/>
      <c r="AE7797" s="500"/>
      <c r="AF7797" s="500"/>
      <c r="AG7797" s="500"/>
      <c r="AH7797" s="500"/>
      <c r="AI7797" s="500"/>
      <c r="AJ7797" s="500"/>
      <c r="AK7797" s="500"/>
      <c r="AL7797" s="500"/>
      <c r="AM7797" s="500"/>
      <c r="AN7797" s="500"/>
      <c r="AO7797" s="500"/>
      <c r="AP7797" s="500"/>
    </row>
    <row r="7798" spans="1:42" ht="16.5" customHeight="1">
      <c r="A7798" s="439"/>
      <c r="B7798" s="439"/>
      <c r="C7798" s="439"/>
      <c r="D7798" s="439"/>
      <c r="E7798" s="439"/>
      <c r="F7798" s="439"/>
      <c r="Z7798" s="500"/>
      <c r="AA7798" s="500"/>
      <c r="AB7798" s="500"/>
      <c r="AC7798" s="500"/>
      <c r="AD7798" s="500"/>
      <c r="AE7798" s="500"/>
      <c r="AF7798" s="500"/>
      <c r="AG7798" s="500"/>
      <c r="AH7798" s="500"/>
      <c r="AI7798" s="500"/>
      <c r="AJ7798" s="500"/>
      <c r="AK7798" s="500"/>
      <c r="AL7798" s="500"/>
      <c r="AM7798" s="500"/>
      <c r="AN7798" s="500"/>
      <c r="AO7798" s="500"/>
      <c r="AP7798" s="500"/>
    </row>
    <row r="7799" spans="1:42" ht="16.5" customHeight="1">
      <c r="A7799" s="439"/>
      <c r="B7799" s="439"/>
      <c r="C7799" s="439"/>
      <c r="D7799" s="439"/>
      <c r="E7799" s="439"/>
      <c r="F7799" s="439"/>
      <c r="Z7799" s="500"/>
      <c r="AA7799" s="500"/>
      <c r="AB7799" s="500"/>
      <c r="AC7799" s="500"/>
      <c r="AD7799" s="500"/>
      <c r="AE7799" s="500"/>
      <c r="AF7799" s="500"/>
      <c r="AG7799" s="500"/>
      <c r="AH7799" s="500"/>
      <c r="AI7799" s="500"/>
      <c r="AJ7799" s="500"/>
      <c r="AK7799" s="500"/>
      <c r="AL7799" s="500"/>
      <c r="AM7799" s="500"/>
      <c r="AN7799" s="500"/>
      <c r="AO7799" s="500"/>
      <c r="AP7799" s="500"/>
    </row>
    <row r="7800" spans="1:42" ht="16.5" customHeight="1">
      <c r="A7800" s="439"/>
      <c r="B7800" s="439"/>
      <c r="C7800" s="439"/>
      <c r="D7800" s="439"/>
      <c r="E7800" s="439"/>
      <c r="F7800" s="439"/>
      <c r="Z7800" s="500"/>
      <c r="AA7800" s="500"/>
      <c r="AB7800" s="500"/>
      <c r="AC7800" s="500"/>
      <c r="AD7800" s="500"/>
      <c r="AE7800" s="500"/>
      <c r="AF7800" s="500"/>
      <c r="AG7800" s="500"/>
      <c r="AH7800" s="500"/>
      <c r="AI7800" s="500"/>
      <c r="AJ7800" s="500"/>
      <c r="AK7800" s="500"/>
      <c r="AL7800" s="500"/>
      <c r="AM7800" s="500"/>
      <c r="AN7800" s="500"/>
      <c r="AO7800" s="500"/>
      <c r="AP7800" s="500"/>
    </row>
    <row r="7801" spans="1:42" ht="16.5" customHeight="1">
      <c r="A7801" s="439"/>
      <c r="B7801" s="439"/>
      <c r="C7801" s="439"/>
      <c r="D7801" s="439"/>
      <c r="E7801" s="439"/>
      <c r="F7801" s="439"/>
      <c r="Z7801" s="500"/>
      <c r="AA7801" s="500"/>
      <c r="AB7801" s="500"/>
      <c r="AC7801" s="500"/>
      <c r="AD7801" s="500"/>
      <c r="AE7801" s="500"/>
      <c r="AF7801" s="500"/>
      <c r="AG7801" s="500"/>
      <c r="AH7801" s="500"/>
      <c r="AI7801" s="500"/>
      <c r="AJ7801" s="500"/>
      <c r="AK7801" s="500"/>
      <c r="AL7801" s="500"/>
      <c r="AM7801" s="500"/>
      <c r="AN7801" s="500"/>
      <c r="AO7801" s="500"/>
      <c r="AP7801" s="500"/>
    </row>
    <row r="7802" spans="1:42" ht="16.5" customHeight="1">
      <c r="A7802" s="439"/>
      <c r="B7802" s="439"/>
      <c r="C7802" s="439"/>
      <c r="D7802" s="439"/>
      <c r="E7802" s="439"/>
      <c r="F7802" s="439"/>
      <c r="Z7802" s="500"/>
      <c r="AA7802" s="500"/>
      <c r="AB7802" s="500"/>
      <c r="AC7802" s="500"/>
      <c r="AD7802" s="500"/>
      <c r="AE7802" s="500"/>
      <c r="AF7802" s="500"/>
      <c r="AG7802" s="500"/>
      <c r="AH7802" s="500"/>
      <c r="AI7802" s="500"/>
      <c r="AJ7802" s="500"/>
      <c r="AK7802" s="500"/>
      <c r="AL7802" s="500"/>
      <c r="AM7802" s="500"/>
      <c r="AN7802" s="500"/>
      <c r="AO7802" s="500"/>
      <c r="AP7802" s="500"/>
    </row>
    <row r="7803" spans="1:42" ht="16.5" customHeight="1">
      <c r="A7803" s="497"/>
      <c r="B7803" s="497"/>
      <c r="C7803" s="497"/>
      <c r="D7803" s="497"/>
      <c r="E7803" s="497"/>
      <c r="F7803" s="497"/>
      <c r="Z7803" s="500"/>
      <c r="AA7803" s="500"/>
      <c r="AB7803" s="500"/>
      <c r="AC7803" s="500"/>
      <c r="AD7803" s="500"/>
      <c r="AE7803" s="500"/>
      <c r="AF7803" s="500"/>
      <c r="AG7803" s="500"/>
      <c r="AH7803" s="500"/>
      <c r="AI7803" s="500"/>
      <c r="AJ7803" s="500"/>
      <c r="AK7803" s="500"/>
      <c r="AL7803" s="500"/>
      <c r="AM7803" s="500"/>
      <c r="AN7803" s="500"/>
      <c r="AO7803" s="500"/>
      <c r="AP7803" s="500"/>
    </row>
    <row r="7804" spans="1:42" ht="16.5" customHeight="1">
      <c r="A7804" s="616" t="s">
        <v>3487</v>
      </c>
      <c r="B7804" s="605"/>
      <c r="C7804" s="446">
        <f>E7804+D7804+F7804</f>
        <v>375</v>
      </c>
      <c r="D7804" s="453">
        <f>ROUNDDOWN(SUMIF(N7757:N7786,M7804,D7757:D7786),0)</f>
        <v>325</v>
      </c>
      <c r="E7804" s="454">
        <f>ROUNDDOWN(SUMIF(N7757:N7786,M7804,E7757:E7786),0)</f>
        <v>50</v>
      </c>
      <c r="F7804" s="446">
        <f>ROUNDDOWN(SUMIF(N7757:N7786,M7804,F7757:F7786),0)</f>
        <v>0</v>
      </c>
      <c r="M7804" s="501" t="s">
        <v>2354</v>
      </c>
      <c r="Z7804" s="500"/>
      <c r="AA7804" s="500"/>
      <c r="AB7804" s="500"/>
      <c r="AC7804" s="500"/>
      <c r="AD7804" s="500"/>
      <c r="AE7804" s="500"/>
      <c r="AF7804" s="500"/>
      <c r="AG7804" s="500"/>
      <c r="AH7804" s="500"/>
      <c r="AI7804" s="500"/>
      <c r="AJ7804" s="500"/>
      <c r="AK7804" s="500"/>
      <c r="AL7804" s="500"/>
      <c r="AM7804" s="500"/>
      <c r="AN7804" s="500"/>
      <c r="AO7804" s="500"/>
      <c r="AP7804" s="500"/>
    </row>
    <row r="7805" spans="1:42" ht="16.5" customHeight="1">
      <c r="A7805" s="502"/>
      <c r="B7805" s="503" t="s">
        <v>5409</v>
      </c>
      <c r="C7805" s="615">
        <f>C7854</f>
        <v>610</v>
      </c>
      <c r="D7805" s="615">
        <f>D7854</f>
        <v>560</v>
      </c>
      <c r="E7805" s="615">
        <f>E7854</f>
        <v>50</v>
      </c>
      <c r="F7805" s="615">
        <f>F7854</f>
        <v>0</v>
      </c>
      <c r="G7805" s="486" t="str">
        <f>HYPERLINK("#G"&amp;ROW(G7840),"_x0005_`BDCOD|D01360_x0007_`POSS|"&amp;ROW(G7807)&amp;"_x0007_`POSE|"&amp;ROW(G7840)&amp;"_x0007_`")</f>
        <v>_x0005_`BDCOD|D01360_x0007_`POSS|7807_x0007_`POSE|7840_x0007_`</v>
      </c>
      <c r="Z7805" s="500"/>
      <c r="AA7805" s="500"/>
      <c r="AB7805" s="500"/>
      <c r="AC7805" s="500"/>
      <c r="AD7805" s="500"/>
      <c r="AE7805" s="500"/>
      <c r="AF7805" s="500"/>
      <c r="AG7805" s="500"/>
      <c r="AH7805" s="500"/>
      <c r="AI7805" s="500"/>
      <c r="AJ7805" s="500"/>
      <c r="AK7805" s="500"/>
      <c r="AL7805" s="500"/>
      <c r="AM7805" s="500"/>
      <c r="AN7805" s="500"/>
      <c r="AO7805" s="500"/>
      <c r="AP7805" s="500"/>
    </row>
    <row r="7806" spans="1:42" ht="16.5" customHeight="1">
      <c r="A7806" s="485"/>
      <c r="B7806" s="503" t="s">
        <v>5638</v>
      </c>
      <c r="C7806" s="593"/>
      <c r="D7806" s="593"/>
      <c r="E7806" s="593"/>
      <c r="F7806" s="593"/>
      <c r="M7806" s="501" t="s">
        <v>5409</v>
      </c>
      <c r="Z7806" s="500"/>
      <c r="AA7806" s="500"/>
      <c r="AB7806" s="500"/>
      <c r="AC7806" s="500"/>
      <c r="AD7806" s="500"/>
      <c r="AE7806" s="500"/>
      <c r="AF7806" s="500"/>
      <c r="AG7806" s="500"/>
      <c r="AH7806" s="500"/>
      <c r="AI7806" s="500"/>
      <c r="AJ7806" s="500"/>
      <c r="AK7806" s="500"/>
      <c r="AL7806" s="500"/>
      <c r="AM7806" s="500"/>
      <c r="AN7806" s="500"/>
      <c r="AO7806" s="500"/>
      <c r="AP7806" s="500"/>
    </row>
    <row r="7807" spans="1:42" ht="16.5" customHeight="1">
      <c r="A7807" s="439"/>
      <c r="B7807" s="439"/>
      <c r="C7807" s="504"/>
      <c r="D7807" s="504"/>
      <c r="E7807" s="504"/>
      <c r="F7807" s="504"/>
      <c r="G7807" s="451" t="s">
        <v>3406</v>
      </c>
      <c r="Z7807" s="500"/>
      <c r="AA7807" s="500"/>
      <c r="AB7807" s="500"/>
      <c r="AC7807" s="500"/>
      <c r="AD7807" s="500"/>
      <c r="AE7807" s="500"/>
      <c r="AF7807" s="500"/>
      <c r="AG7807" s="500"/>
      <c r="AH7807" s="500"/>
      <c r="AI7807" s="500"/>
      <c r="AJ7807" s="500"/>
      <c r="AK7807" s="500"/>
      <c r="AL7807" s="500"/>
      <c r="AM7807" s="500"/>
      <c r="AN7807" s="500"/>
      <c r="AO7807" s="500"/>
      <c r="AP7807" s="500"/>
    </row>
    <row r="7808" spans="1:42" ht="16.5" customHeight="1">
      <c r="A7808" s="434"/>
      <c r="B7808" s="437" t="s">
        <v>4292</v>
      </c>
      <c r="C7808" s="439"/>
      <c r="D7808" s="439"/>
      <c r="E7808" s="439"/>
      <c r="F7808" s="439"/>
      <c r="G7808" s="451" t="s">
        <v>4293</v>
      </c>
      <c r="Z7808" s="500"/>
      <c r="AA7808" s="500"/>
      <c r="AB7808" s="500"/>
      <c r="AC7808" s="500"/>
      <c r="AD7808" s="500"/>
      <c r="AE7808" s="500"/>
      <c r="AF7808" s="500"/>
      <c r="AG7808" s="500"/>
      <c r="AH7808" s="500"/>
      <c r="AI7808" s="500"/>
      <c r="AJ7808" s="500"/>
      <c r="AK7808" s="500"/>
      <c r="AL7808" s="500"/>
      <c r="AM7808" s="500"/>
      <c r="AN7808" s="500"/>
      <c r="AO7808" s="500"/>
      <c r="AP7808" s="500"/>
    </row>
    <row r="7809" spans="1:42" ht="16.5" customHeight="1">
      <c r="A7809" s="439"/>
      <c r="B7809" s="439"/>
      <c r="C7809" s="439"/>
      <c r="D7809" s="439"/>
      <c r="E7809" s="439"/>
      <c r="F7809" s="439"/>
      <c r="G7809" s="451" t="s">
        <v>3406</v>
      </c>
      <c r="Z7809" s="500"/>
      <c r="AA7809" s="500"/>
      <c r="AB7809" s="500"/>
      <c r="AC7809" s="500"/>
      <c r="AD7809" s="500"/>
      <c r="AE7809" s="500"/>
      <c r="AF7809" s="500"/>
      <c r="AG7809" s="500"/>
      <c r="AH7809" s="500"/>
      <c r="AI7809" s="500"/>
      <c r="AJ7809" s="500"/>
      <c r="AK7809" s="500"/>
      <c r="AL7809" s="500"/>
      <c r="AM7809" s="500"/>
      <c r="AN7809" s="500"/>
      <c r="AO7809" s="500"/>
      <c r="AP7809" s="500"/>
    </row>
    <row r="7810" spans="1:42" ht="16.5" customHeight="1">
      <c r="A7810" s="434"/>
      <c r="B7810" s="437" t="s">
        <v>4294</v>
      </c>
      <c r="C7810" s="439"/>
      <c r="D7810" s="439"/>
      <c r="E7810" s="439"/>
      <c r="F7810" s="439"/>
      <c r="G7810" s="451" t="s">
        <v>4295</v>
      </c>
      <c r="Z7810" s="500"/>
      <c r="AA7810" s="500"/>
      <c r="AB7810" s="500"/>
      <c r="AC7810" s="500"/>
      <c r="AD7810" s="500"/>
      <c r="AE7810" s="500"/>
      <c r="AF7810" s="500"/>
      <c r="AG7810" s="500"/>
      <c r="AH7810" s="500"/>
      <c r="AI7810" s="500"/>
      <c r="AJ7810" s="500"/>
      <c r="AK7810" s="500"/>
      <c r="AL7810" s="500"/>
      <c r="AM7810" s="500"/>
      <c r="AN7810" s="500"/>
      <c r="AO7810" s="500"/>
      <c r="AP7810" s="500"/>
    </row>
    <row r="7811" spans="1:42" ht="16.5" customHeight="1">
      <c r="A7811" s="439"/>
      <c r="B7811" s="439"/>
      <c r="C7811" s="439"/>
      <c r="D7811" s="439"/>
      <c r="E7811" s="439"/>
      <c r="F7811" s="439"/>
      <c r="G7811" s="451" t="s">
        <v>3406</v>
      </c>
      <c r="Z7811" s="500"/>
      <c r="AA7811" s="500"/>
      <c r="AB7811" s="500"/>
      <c r="AC7811" s="500"/>
      <c r="AD7811" s="500"/>
      <c r="AE7811" s="500"/>
      <c r="AF7811" s="500"/>
      <c r="AG7811" s="500"/>
      <c r="AH7811" s="500"/>
      <c r="AI7811" s="500"/>
      <c r="AJ7811" s="500"/>
      <c r="AK7811" s="500"/>
      <c r="AL7811" s="500"/>
      <c r="AM7811" s="500"/>
      <c r="AN7811" s="500"/>
      <c r="AO7811" s="500"/>
      <c r="AP7811" s="500"/>
    </row>
    <row r="7812" spans="1:42" ht="16.5" customHeight="1">
      <c r="A7812" s="434"/>
      <c r="B7812" s="437" t="str">
        <f>" 일당 작업량 :   Q = "&amp;Z7812&amp;"  주 "</f>
        <v xml:space="preserve"> 일당 작업량 :   Q = 1800  주 </v>
      </c>
      <c r="C7812" s="439"/>
      <c r="D7812" s="439"/>
      <c r="E7812" s="439"/>
      <c r="F7812" s="439"/>
      <c r="G7812" s="451" t="s">
        <v>4296</v>
      </c>
      <c r="Z7812" s="515">
        <v>1800</v>
      </c>
      <c r="AA7812" s="501" t="s">
        <v>3418</v>
      </c>
      <c r="AB7812" s="512">
        <f>Z7812</f>
        <v>1800</v>
      </c>
      <c r="AC7812" s="500"/>
      <c r="AD7812" s="500"/>
      <c r="AE7812" s="500"/>
      <c r="AF7812" s="500"/>
      <c r="AG7812" s="500"/>
      <c r="AH7812" s="500"/>
      <c r="AI7812" s="500"/>
      <c r="AJ7812" s="500"/>
      <c r="AK7812" s="500"/>
      <c r="AL7812" s="500"/>
      <c r="AM7812" s="500"/>
      <c r="AN7812" s="500"/>
      <c r="AO7812" s="500"/>
      <c r="AP7812" s="500"/>
    </row>
    <row r="7813" spans="1:42" ht="16.5" customHeight="1">
      <c r="A7813" s="439"/>
      <c r="B7813" s="439"/>
      <c r="C7813" s="439"/>
      <c r="D7813" s="439"/>
      <c r="E7813" s="439"/>
      <c r="F7813" s="439"/>
      <c r="G7813" s="451" t="s">
        <v>3406</v>
      </c>
      <c r="Z7813" s="500"/>
      <c r="AA7813" s="500"/>
      <c r="AB7813" s="500"/>
      <c r="AC7813" s="500"/>
      <c r="AD7813" s="500"/>
      <c r="AE7813" s="500"/>
      <c r="AF7813" s="500"/>
      <c r="AG7813" s="500"/>
      <c r="AH7813" s="500"/>
      <c r="AI7813" s="500"/>
      <c r="AJ7813" s="500"/>
      <c r="AK7813" s="500"/>
      <c r="AL7813" s="500"/>
      <c r="AM7813" s="500"/>
      <c r="AN7813" s="500"/>
      <c r="AO7813" s="500"/>
      <c r="AP7813" s="500"/>
    </row>
    <row r="7814" spans="1:42" ht="16.5" customHeight="1">
      <c r="A7814" s="434"/>
      <c r="B7814" s="437" t="s">
        <v>3494</v>
      </c>
      <c r="C7814" s="439"/>
      <c r="D7814" s="439"/>
      <c r="E7814" s="439"/>
      <c r="F7814" s="439"/>
      <c r="G7814" s="451" t="s">
        <v>3495</v>
      </c>
      <c r="Z7814" s="500"/>
      <c r="AA7814" s="500"/>
      <c r="AB7814" s="500"/>
      <c r="AC7814" s="500"/>
      <c r="AD7814" s="500"/>
      <c r="AE7814" s="500"/>
      <c r="AF7814" s="500"/>
      <c r="AG7814" s="500"/>
      <c r="AH7814" s="500"/>
      <c r="AI7814" s="500"/>
      <c r="AJ7814" s="500"/>
      <c r="AK7814" s="500"/>
      <c r="AL7814" s="500"/>
      <c r="AM7814" s="500"/>
      <c r="AN7814" s="500"/>
      <c r="AO7814" s="500"/>
      <c r="AP7814" s="500"/>
    </row>
    <row r="7815" spans="1:42" ht="16.5" customHeight="1">
      <c r="A7815" s="439"/>
      <c r="B7815" s="439"/>
      <c r="C7815" s="439"/>
      <c r="D7815" s="439"/>
      <c r="E7815" s="439"/>
      <c r="F7815" s="439"/>
      <c r="G7815" s="451" t="s">
        <v>3406</v>
      </c>
      <c r="Z7815" s="500"/>
      <c r="AA7815" s="500"/>
      <c r="AB7815" s="500"/>
      <c r="AC7815" s="500"/>
      <c r="AD7815" s="500"/>
      <c r="AE7815" s="500"/>
      <c r="AF7815" s="500"/>
      <c r="AG7815" s="500"/>
      <c r="AH7815" s="500"/>
      <c r="AI7815" s="500"/>
      <c r="AJ7815" s="500"/>
      <c r="AK7815" s="500"/>
      <c r="AL7815" s="500"/>
      <c r="AM7815" s="500"/>
      <c r="AN7815" s="500"/>
      <c r="AO7815" s="500"/>
      <c r="AP7815" s="500"/>
    </row>
    <row r="7816" spans="1:42" ht="16.5" customHeight="1">
      <c r="A7816" s="439"/>
      <c r="B7816" s="439"/>
      <c r="C7816" s="439"/>
      <c r="D7816" s="439"/>
      <c r="E7816" s="439"/>
      <c r="F7816" s="439"/>
      <c r="G7816" s="451" t="s">
        <v>3406</v>
      </c>
      <c r="Z7816" s="500"/>
      <c r="AA7816" s="500"/>
      <c r="AB7816" s="500"/>
      <c r="AC7816" s="500"/>
      <c r="AD7816" s="500"/>
      <c r="AE7816" s="500"/>
      <c r="AF7816" s="500"/>
      <c r="AG7816" s="500"/>
      <c r="AH7816" s="500"/>
      <c r="AI7816" s="500"/>
      <c r="AJ7816" s="500"/>
      <c r="AK7816" s="500"/>
      <c r="AL7816" s="500"/>
      <c r="AM7816" s="500"/>
      <c r="AN7816" s="500"/>
      <c r="AO7816" s="500"/>
      <c r="AP7816" s="500"/>
    </row>
    <row r="7817" spans="1:42" ht="16.5" customHeight="1">
      <c r="A7817" s="439"/>
      <c r="B7817" s="439"/>
      <c r="C7817" s="439"/>
      <c r="D7817" s="439"/>
      <c r="E7817" s="439"/>
      <c r="F7817" s="439"/>
      <c r="G7817" s="451" t="s">
        <v>3406</v>
      </c>
      <c r="Z7817" s="500"/>
      <c r="AA7817" s="500"/>
      <c r="AB7817" s="500"/>
      <c r="AC7817" s="500"/>
      <c r="AD7817" s="500"/>
      <c r="AE7817" s="500"/>
      <c r="AF7817" s="500"/>
      <c r="AG7817" s="500"/>
      <c r="AH7817" s="500"/>
      <c r="AI7817" s="500"/>
      <c r="AJ7817" s="500"/>
      <c r="AK7817" s="500"/>
      <c r="AL7817" s="500"/>
      <c r="AM7817" s="500"/>
      <c r="AN7817" s="500"/>
      <c r="AO7817" s="500"/>
      <c r="AP7817" s="500"/>
    </row>
    <row r="7818" spans="1:42" ht="16.5" customHeight="1">
      <c r="A7818" s="439"/>
      <c r="B7818" s="439"/>
      <c r="C7818" s="439"/>
      <c r="D7818" s="439"/>
      <c r="E7818" s="439"/>
      <c r="F7818" s="439"/>
      <c r="G7818" s="451" t="s">
        <v>3406</v>
      </c>
      <c r="Z7818" s="500"/>
      <c r="AA7818" s="500"/>
      <c r="AB7818" s="500"/>
      <c r="AC7818" s="500"/>
      <c r="AD7818" s="500"/>
      <c r="AE7818" s="500"/>
      <c r="AF7818" s="500"/>
      <c r="AG7818" s="500"/>
      <c r="AH7818" s="500"/>
      <c r="AI7818" s="500"/>
      <c r="AJ7818" s="500"/>
      <c r="AK7818" s="500"/>
      <c r="AL7818" s="500"/>
      <c r="AM7818" s="500"/>
      <c r="AN7818" s="500"/>
      <c r="AO7818" s="500"/>
      <c r="AP7818" s="500"/>
    </row>
    <row r="7819" spans="1:42" ht="16.5" customHeight="1">
      <c r="A7819" s="434"/>
      <c r="B7819" s="437" t="s">
        <v>3496</v>
      </c>
      <c r="C7819" s="439"/>
      <c r="D7819" s="439"/>
      <c r="E7819" s="439"/>
      <c r="F7819" s="439"/>
      <c r="G7819" s="451" t="s">
        <v>3497</v>
      </c>
      <c r="Z7819" s="500"/>
      <c r="AA7819" s="500"/>
      <c r="AB7819" s="500"/>
      <c r="AC7819" s="500"/>
      <c r="AD7819" s="500"/>
      <c r="AE7819" s="500"/>
      <c r="AF7819" s="500"/>
      <c r="AG7819" s="500"/>
      <c r="AH7819" s="500"/>
      <c r="AI7819" s="500"/>
      <c r="AJ7819" s="500"/>
      <c r="AK7819" s="500"/>
      <c r="AL7819" s="500"/>
      <c r="AM7819" s="500"/>
      <c r="AN7819" s="500"/>
      <c r="AO7819" s="500"/>
      <c r="AP7819" s="500"/>
    </row>
    <row r="7820" spans="1:42" ht="16.5" customHeight="1">
      <c r="A7820" s="439"/>
      <c r="B7820" s="439"/>
      <c r="C7820" s="439"/>
      <c r="D7820" s="439"/>
      <c r="E7820" s="439"/>
      <c r="F7820" s="439"/>
      <c r="G7820" s="451" t="s">
        <v>3406</v>
      </c>
      <c r="Z7820" s="500"/>
      <c r="AA7820" s="500"/>
      <c r="AB7820" s="500"/>
      <c r="AC7820" s="500"/>
      <c r="AD7820" s="500"/>
      <c r="AE7820" s="500"/>
      <c r="AF7820" s="500"/>
      <c r="AG7820" s="500"/>
      <c r="AH7820" s="500"/>
      <c r="AI7820" s="500"/>
      <c r="AJ7820" s="500"/>
      <c r="AK7820" s="500"/>
      <c r="AL7820" s="500"/>
      <c r="AM7820" s="500"/>
      <c r="AN7820" s="500"/>
      <c r="AO7820" s="500"/>
      <c r="AP7820" s="500"/>
    </row>
    <row r="7821" spans="1:42" ht="16.5" customHeight="1">
      <c r="A7821" s="434" t="s">
        <v>3498</v>
      </c>
      <c r="B7821" s="505" t="str">
        <f>" 조경공 :  "&amp;TEXT(I7821,"#,##0"&amp;IF(I7821&lt;&gt;INT(I7821),".###",""))&amp;" * "&amp;AA7821&amp;" 인  / Q = "&amp;TEXT(C7821,"#,##0.0")&amp;""</f>
        <v xml:space="preserve"> 조경공 :  235,204 * 3 인  / Q = 392.0</v>
      </c>
      <c r="C7821" s="506">
        <f>E7821+D7821+F7821</f>
        <v>392</v>
      </c>
      <c r="D7821" s="506">
        <f>IF(H7821=0,0,ROUNDDOWN(J7821*H7821,1))</f>
        <v>392</v>
      </c>
      <c r="E7821" s="506">
        <f>IF(H7821=0,0,ROUNDDOWN(K7821*H7821,1))</f>
        <v>0</v>
      </c>
      <c r="F7821" s="506">
        <f>IF(H7821=0,0,ROUNDDOWN(L7821*H7821,1))</f>
        <v>0</v>
      </c>
      <c r="G7821" s="451" t="s">
        <v>3551</v>
      </c>
      <c r="H7821" s="507">
        <f>ROUNDUP(AE7821,14-LEN(ABS(INT(AE7821))))</f>
        <v>1.6666666667000001E-3</v>
      </c>
      <c r="I7821" s="508">
        <f>K7821+J7821+L7821</f>
        <v>235204</v>
      </c>
      <c r="J7821" s="509">
        <f>노무비목록표!E15</f>
        <v>235204</v>
      </c>
      <c r="M7821" s="501" t="s">
        <v>2359</v>
      </c>
      <c r="N7821" s="501" t="s">
        <v>3416</v>
      </c>
      <c r="X7821" s="510" t="str">
        <f>노무비목록표!B15&amp;" / "&amp;노무비목록표!C15</f>
        <v xml:space="preserve">조경공 / </v>
      </c>
      <c r="Y7821" s="433" t="str">
        <f ca="1">HYPERLINK("#"&amp;노무비목록표!G2&amp;"!A"&amp;ROW(노무비목록표!A15),"L00184 →")</f>
        <v>L00184 →</v>
      </c>
      <c r="Z7821" s="501" t="s">
        <v>3500</v>
      </c>
      <c r="AA7821" s="515">
        <v>3</v>
      </c>
      <c r="AB7821" s="501" t="s">
        <v>3428</v>
      </c>
      <c r="AC7821" s="512">
        <f>AB7812</f>
        <v>1800</v>
      </c>
      <c r="AD7821" s="501" t="s">
        <v>3418</v>
      </c>
      <c r="AE7821" s="512">
        <f>1*AA7821/AB7812</f>
        <v>1.6666666666666668E-3</v>
      </c>
      <c r="AF7821" s="500"/>
      <c r="AG7821" s="500"/>
      <c r="AH7821" s="500"/>
      <c r="AI7821" s="500"/>
      <c r="AJ7821" s="500"/>
      <c r="AK7821" s="500"/>
      <c r="AL7821" s="500"/>
      <c r="AM7821" s="500"/>
      <c r="AN7821" s="500"/>
      <c r="AO7821" s="500"/>
      <c r="AP7821" s="500"/>
    </row>
    <row r="7822" spans="1:42" ht="16.5" customHeight="1">
      <c r="A7822" s="439"/>
      <c r="B7822" s="439"/>
      <c r="C7822" s="439"/>
      <c r="D7822" s="439"/>
      <c r="E7822" s="439"/>
      <c r="F7822" s="439"/>
      <c r="G7822" s="451" t="s">
        <v>3406</v>
      </c>
      <c r="Z7822" s="500"/>
      <c r="AA7822" s="500"/>
      <c r="AB7822" s="500"/>
      <c r="AC7822" s="500"/>
      <c r="AD7822" s="500"/>
      <c r="AE7822" s="500"/>
      <c r="AF7822" s="500"/>
      <c r="AG7822" s="500"/>
      <c r="AH7822" s="500"/>
      <c r="AI7822" s="500"/>
      <c r="AJ7822" s="500"/>
      <c r="AK7822" s="500"/>
      <c r="AL7822" s="500"/>
      <c r="AM7822" s="500"/>
      <c r="AN7822" s="500"/>
      <c r="AO7822" s="500"/>
      <c r="AP7822" s="500"/>
    </row>
    <row r="7823" spans="1:42" ht="16.5" customHeight="1">
      <c r="A7823" s="439"/>
      <c r="B7823" s="439"/>
      <c r="C7823" s="439"/>
      <c r="D7823" s="439"/>
      <c r="E7823" s="439"/>
      <c r="F7823" s="439"/>
      <c r="G7823" s="451" t="s">
        <v>3406</v>
      </c>
      <c r="Z7823" s="500"/>
      <c r="AA7823" s="500"/>
      <c r="AB7823" s="500"/>
      <c r="AC7823" s="500"/>
      <c r="AD7823" s="500"/>
      <c r="AE7823" s="500"/>
      <c r="AF7823" s="500"/>
      <c r="AG7823" s="500"/>
      <c r="AH7823" s="500"/>
      <c r="AI7823" s="500"/>
      <c r="AJ7823" s="500"/>
      <c r="AK7823" s="500"/>
      <c r="AL7823" s="500"/>
      <c r="AM7823" s="500"/>
      <c r="AN7823" s="500"/>
      <c r="AO7823" s="500"/>
      <c r="AP7823" s="500"/>
    </row>
    <row r="7824" spans="1:42" ht="16.5" customHeight="1">
      <c r="A7824" s="434" t="s">
        <v>3414</v>
      </c>
      <c r="B7824" s="505" t="str">
        <f>" 보통인부 : "&amp;TEXT(I7824,"#,##0"&amp;IF(I7824&lt;&gt;INT(I7824),".###",""))&amp;" * "&amp;AA7824&amp;" 인  / Q = "&amp;TEXT(C7824,"#,##0.0")&amp;""</f>
        <v xml:space="preserve"> 보통인부 : 172,068 * 1 인  / Q = 95.5</v>
      </c>
      <c r="C7824" s="506">
        <f>E7824+D7824+F7824</f>
        <v>95.5</v>
      </c>
      <c r="D7824" s="506">
        <f>IF(H7824=0,0,ROUNDDOWN(J7824*H7824,1))</f>
        <v>95.5</v>
      </c>
      <c r="E7824" s="506">
        <f>IF(H7824=0,0,ROUNDDOWN(K7824*H7824,1))</f>
        <v>0</v>
      </c>
      <c r="F7824" s="506">
        <f>IF(H7824=0,0,ROUNDDOWN(L7824*H7824,1))</f>
        <v>0</v>
      </c>
      <c r="G7824" s="451" t="s">
        <v>3552</v>
      </c>
      <c r="H7824" s="507">
        <f>ROUNDUP(AE7824,14-LEN(ABS(INT(AE7824))))</f>
        <v>5.5555555559999993E-4</v>
      </c>
      <c r="I7824" s="508">
        <f>K7824+J7824+L7824</f>
        <v>172068</v>
      </c>
      <c r="J7824" s="509">
        <f>노무비목록표!E10</f>
        <v>172068</v>
      </c>
      <c r="M7824" s="501" t="s">
        <v>2363</v>
      </c>
      <c r="N7824" s="501" t="s">
        <v>3416</v>
      </c>
      <c r="X7824" s="510" t="str">
        <f>노무비목록표!B10&amp;" / "&amp;노무비목록표!C10</f>
        <v xml:space="preserve">보통인부 / </v>
      </c>
      <c r="Y7824" s="433" t="str">
        <f ca="1">HYPERLINK("#"&amp;노무비목록표!G2&amp;"!A"&amp;ROW(노무비목록표!A10),"L00017 →")</f>
        <v>L00017 →</v>
      </c>
      <c r="Z7824" s="501" t="s">
        <v>3500</v>
      </c>
      <c r="AA7824" s="515">
        <v>1</v>
      </c>
      <c r="AB7824" s="501" t="s">
        <v>3428</v>
      </c>
      <c r="AC7824" s="512">
        <f>AB7812</f>
        <v>1800</v>
      </c>
      <c r="AD7824" s="501" t="s">
        <v>3418</v>
      </c>
      <c r="AE7824" s="512">
        <f>1*AA7824/AB7812</f>
        <v>5.5555555555555556E-4</v>
      </c>
      <c r="AF7824" s="500"/>
      <c r="AG7824" s="500"/>
      <c r="AH7824" s="500"/>
      <c r="AI7824" s="500"/>
      <c r="AJ7824" s="500"/>
      <c r="AK7824" s="500"/>
      <c r="AL7824" s="500"/>
      <c r="AM7824" s="500"/>
      <c r="AN7824" s="500"/>
      <c r="AO7824" s="500"/>
      <c r="AP7824" s="500"/>
    </row>
    <row r="7825" spans="1:42" ht="16.5" customHeight="1">
      <c r="A7825" s="439"/>
      <c r="B7825" s="439"/>
      <c r="C7825" s="439"/>
      <c r="D7825" s="439"/>
      <c r="E7825" s="439"/>
      <c r="F7825" s="439"/>
      <c r="G7825" s="451" t="s">
        <v>3406</v>
      </c>
      <c r="Z7825" s="500"/>
      <c r="AA7825" s="500"/>
      <c r="AB7825" s="500"/>
      <c r="AC7825" s="500"/>
      <c r="AD7825" s="500"/>
      <c r="AE7825" s="500"/>
      <c r="AF7825" s="500"/>
      <c r="AG7825" s="500"/>
      <c r="AH7825" s="500"/>
      <c r="AI7825" s="500"/>
      <c r="AJ7825" s="500"/>
      <c r="AK7825" s="500"/>
      <c r="AL7825" s="500"/>
      <c r="AM7825" s="500"/>
      <c r="AN7825" s="500"/>
      <c r="AO7825" s="500"/>
      <c r="AP7825" s="500"/>
    </row>
    <row r="7826" spans="1:42" ht="16.5" customHeight="1">
      <c r="A7826" s="434"/>
      <c r="B7826" s="437" t="s">
        <v>3419</v>
      </c>
      <c r="C7826" s="513">
        <f>E7826+D7826+F7826</f>
        <v>487.5</v>
      </c>
      <c r="D7826" s="513">
        <f>SUMIF(N7807:N7825,M7826,D7807:D7825)</f>
        <v>487.5</v>
      </c>
      <c r="E7826" s="513">
        <f>SUMIF(N7807:N7825,M7826,E7807:E7825)</f>
        <v>0</v>
      </c>
      <c r="F7826" s="513">
        <f>SUMIF(N7807:N7825,M7826,F7807:F7825)</f>
        <v>0</v>
      </c>
      <c r="G7826" s="451" t="s">
        <v>3439</v>
      </c>
      <c r="M7826" s="501" t="s">
        <v>3416</v>
      </c>
      <c r="N7826" s="501" t="s">
        <v>3421</v>
      </c>
      <c r="Z7826" s="500"/>
      <c r="AA7826" s="500"/>
      <c r="AB7826" s="500"/>
      <c r="AC7826" s="500"/>
      <c r="AD7826" s="500"/>
      <c r="AE7826" s="500"/>
      <c r="AF7826" s="500"/>
      <c r="AG7826" s="500"/>
      <c r="AH7826" s="500"/>
      <c r="AI7826" s="500"/>
      <c r="AJ7826" s="500"/>
      <c r="AK7826" s="500"/>
      <c r="AL7826" s="500"/>
      <c r="AM7826" s="500"/>
      <c r="AN7826" s="500"/>
      <c r="AO7826" s="500"/>
      <c r="AP7826" s="500"/>
    </row>
    <row r="7827" spans="1:42" ht="16.5" customHeight="1">
      <c r="A7827" s="439"/>
      <c r="B7827" s="439"/>
      <c r="C7827" s="504"/>
      <c r="D7827" s="504"/>
      <c r="E7827" s="504"/>
      <c r="F7827" s="504"/>
      <c r="G7827" s="451" t="s">
        <v>3406</v>
      </c>
      <c r="Z7827" s="500"/>
      <c r="AA7827" s="500"/>
      <c r="AB7827" s="500"/>
      <c r="AC7827" s="500"/>
      <c r="AD7827" s="500"/>
      <c r="AE7827" s="500"/>
      <c r="AF7827" s="500"/>
      <c r="AG7827" s="500"/>
      <c r="AH7827" s="500"/>
      <c r="AI7827" s="500"/>
      <c r="AJ7827" s="500"/>
      <c r="AK7827" s="500"/>
      <c r="AL7827" s="500"/>
      <c r="AM7827" s="500"/>
      <c r="AN7827" s="500"/>
      <c r="AO7827" s="500"/>
      <c r="AP7827" s="500"/>
    </row>
    <row r="7828" spans="1:42" ht="16.5" customHeight="1">
      <c r="A7828" s="439"/>
      <c r="B7828" s="439"/>
      <c r="C7828" s="439"/>
      <c r="D7828" s="439"/>
      <c r="E7828" s="439"/>
      <c r="F7828" s="439"/>
      <c r="G7828" s="451" t="s">
        <v>3406</v>
      </c>
      <c r="Z7828" s="500"/>
      <c r="AA7828" s="500"/>
      <c r="AB7828" s="500"/>
      <c r="AC7828" s="500"/>
      <c r="AD7828" s="500"/>
      <c r="AE7828" s="500"/>
      <c r="AF7828" s="500"/>
      <c r="AG7828" s="500"/>
      <c r="AH7828" s="500"/>
      <c r="AI7828" s="500"/>
      <c r="AJ7828" s="500"/>
      <c r="AK7828" s="500"/>
      <c r="AL7828" s="500"/>
      <c r="AM7828" s="500"/>
      <c r="AN7828" s="500"/>
      <c r="AO7828" s="500"/>
      <c r="AP7828" s="500"/>
    </row>
    <row r="7829" spans="1:42" ht="16.5" customHeight="1">
      <c r="A7829" s="434"/>
      <c r="B7829" s="437" t="s">
        <v>3502</v>
      </c>
      <c r="C7829" s="439"/>
      <c r="D7829" s="439"/>
      <c r="E7829" s="439"/>
      <c r="F7829" s="439"/>
      <c r="G7829" s="451" t="s">
        <v>3503</v>
      </c>
      <c r="Z7829" s="500"/>
      <c r="AA7829" s="500"/>
      <c r="AB7829" s="500"/>
      <c r="AC7829" s="500"/>
      <c r="AD7829" s="500"/>
      <c r="AE7829" s="500"/>
      <c r="AF7829" s="500"/>
      <c r="AG7829" s="500"/>
      <c r="AH7829" s="500"/>
      <c r="AI7829" s="500"/>
      <c r="AJ7829" s="500"/>
      <c r="AK7829" s="500"/>
      <c r="AL7829" s="500"/>
      <c r="AM7829" s="500"/>
      <c r="AN7829" s="500"/>
      <c r="AO7829" s="500"/>
      <c r="AP7829" s="500"/>
    </row>
    <row r="7830" spans="1:42" ht="16.5" customHeight="1">
      <c r="A7830" s="439"/>
      <c r="B7830" s="439"/>
      <c r="C7830" s="439"/>
      <c r="D7830" s="439"/>
      <c r="E7830" s="439"/>
      <c r="F7830" s="439"/>
      <c r="G7830" s="451" t="s">
        <v>3406</v>
      </c>
      <c r="Z7830" s="500"/>
      <c r="AA7830" s="500"/>
      <c r="AB7830" s="500"/>
      <c r="AC7830" s="500"/>
      <c r="AD7830" s="500"/>
      <c r="AE7830" s="500"/>
      <c r="AF7830" s="500"/>
      <c r="AG7830" s="500"/>
      <c r="AH7830" s="500"/>
      <c r="AI7830" s="500"/>
      <c r="AJ7830" s="500"/>
      <c r="AK7830" s="500"/>
      <c r="AL7830" s="500"/>
      <c r="AM7830" s="500"/>
      <c r="AN7830" s="500"/>
      <c r="AO7830" s="500"/>
      <c r="AP7830" s="500"/>
    </row>
    <row r="7831" spans="1:42" ht="16.5" customHeight="1">
      <c r="A7831" s="434" t="s">
        <v>3504</v>
      </c>
      <c r="B7831" s="505" t="str">
        <f>"  유기질비료 수목이식·식재용 : "&amp;TEXT(I7831,"#,##0"&amp;IF(I7831&lt;&gt;INT(I7831),".###",""))&amp;" * "&amp;AA7831&amp;" KG  / Q = "&amp;TEXT(C7831,"#,##0.0")&amp;""</f>
        <v xml:space="preserve">  유기질비료 수목이식·식재용 : 500 * 180 KG  / Q = 50.0</v>
      </c>
      <c r="C7831" s="506">
        <f>E7831+D7831+F7831</f>
        <v>50</v>
      </c>
      <c r="D7831" s="506">
        <f>IF(H7831=0,0,ROUNDDOWN(J7831*H7831,1))</f>
        <v>0</v>
      </c>
      <c r="E7831" s="506">
        <f>IF(H7831=0,0,ROUNDDOWN(K7831*H7831,1))</f>
        <v>50</v>
      </c>
      <c r="F7831" s="506">
        <f>IF(H7831=0,0,ROUNDDOWN(L7831*H7831,1))</f>
        <v>0</v>
      </c>
      <c r="G7831" s="451" t="s">
        <v>4297</v>
      </c>
      <c r="H7831" s="507">
        <f>ROUNDUP(AE7831,14-LEN(ABS(INT(AE7831))))</f>
        <v>0.1</v>
      </c>
      <c r="I7831" s="508">
        <f>K7831+J7831+L7831</f>
        <v>500</v>
      </c>
      <c r="K7831" s="509">
        <f>재료비목록표!E78</f>
        <v>500</v>
      </c>
      <c r="M7831" s="501" t="s">
        <v>3506</v>
      </c>
      <c r="N7831" s="501" t="s">
        <v>3416</v>
      </c>
      <c r="X7831" s="510" t="str">
        <f>재료비목록표!B78&amp;" / "&amp;재료비목록표!C78</f>
        <v>유기질비료 / 수목이식·식재용</v>
      </c>
      <c r="Y7831" s="433" t="str">
        <f ca="1">HYPERLINK("#"&amp;재료비목록표!G2&amp;"!A"&amp;ROW(재료비목록표!A78),"M01159 →")</f>
        <v>M01159 →</v>
      </c>
      <c r="Z7831" s="501" t="s">
        <v>3500</v>
      </c>
      <c r="AA7831" s="515">
        <v>180</v>
      </c>
      <c r="AB7831" s="501" t="s">
        <v>3428</v>
      </c>
      <c r="AC7831" s="512">
        <f>AB7812</f>
        <v>1800</v>
      </c>
      <c r="AD7831" s="501" t="s">
        <v>3418</v>
      </c>
      <c r="AE7831" s="512">
        <f>1*AA7831/AB7812</f>
        <v>0.1</v>
      </c>
      <c r="AF7831" s="500"/>
      <c r="AG7831" s="500"/>
      <c r="AH7831" s="500"/>
      <c r="AI7831" s="500"/>
      <c r="AJ7831" s="500"/>
      <c r="AK7831" s="500"/>
      <c r="AL7831" s="500"/>
      <c r="AM7831" s="500"/>
      <c r="AN7831" s="500"/>
      <c r="AO7831" s="500"/>
      <c r="AP7831" s="500"/>
    </row>
    <row r="7832" spans="1:42" ht="16.5" customHeight="1">
      <c r="A7832" s="439"/>
      <c r="B7832" s="439"/>
      <c r="C7832" s="439"/>
      <c r="D7832" s="439"/>
      <c r="E7832" s="439"/>
      <c r="F7832" s="439"/>
      <c r="G7832" s="451" t="s">
        <v>3406</v>
      </c>
      <c r="Z7832" s="500"/>
      <c r="AA7832" s="500"/>
      <c r="AB7832" s="500"/>
      <c r="AC7832" s="500"/>
      <c r="AD7832" s="500"/>
      <c r="AE7832" s="500"/>
      <c r="AF7832" s="500"/>
      <c r="AG7832" s="500"/>
      <c r="AH7832" s="500"/>
      <c r="AI7832" s="500"/>
      <c r="AJ7832" s="500"/>
      <c r="AK7832" s="500"/>
      <c r="AL7832" s="500"/>
      <c r="AM7832" s="500"/>
      <c r="AN7832" s="500"/>
      <c r="AO7832" s="500"/>
      <c r="AP7832" s="500"/>
    </row>
    <row r="7833" spans="1:42" ht="16.5" customHeight="1">
      <c r="A7833" s="434"/>
      <c r="B7833" s="437" t="s">
        <v>3419</v>
      </c>
      <c r="C7833" s="513">
        <f>E7833+D7833+F7833</f>
        <v>50</v>
      </c>
      <c r="D7833" s="513">
        <f>SUMIF(N7827:N7832,M7833,D7827:D7832)</f>
        <v>0</v>
      </c>
      <c r="E7833" s="513">
        <f>SUMIF(N7827:N7832,M7833,E7827:E7832)</f>
        <v>50</v>
      </c>
      <c r="F7833" s="513">
        <f>SUMIF(N7827:N7832,M7833,F7827:F7832)</f>
        <v>0</v>
      </c>
      <c r="G7833" s="451" t="s">
        <v>3439</v>
      </c>
      <c r="M7833" s="501" t="s">
        <v>3416</v>
      </c>
      <c r="N7833" s="501" t="s">
        <v>3421</v>
      </c>
      <c r="Z7833" s="500"/>
      <c r="AA7833" s="500"/>
      <c r="AB7833" s="500"/>
      <c r="AC7833" s="500"/>
      <c r="AD7833" s="500"/>
      <c r="AE7833" s="500"/>
      <c r="AF7833" s="500"/>
      <c r="AG7833" s="500"/>
      <c r="AH7833" s="500"/>
      <c r="AI7833" s="500"/>
      <c r="AJ7833" s="500"/>
      <c r="AK7833" s="500"/>
      <c r="AL7833" s="500"/>
      <c r="AM7833" s="500"/>
      <c r="AN7833" s="500"/>
      <c r="AO7833" s="500"/>
      <c r="AP7833" s="500"/>
    </row>
    <row r="7834" spans="1:42" ht="16.5" customHeight="1">
      <c r="A7834" s="439"/>
      <c r="B7834" s="439"/>
      <c r="C7834" s="504"/>
      <c r="D7834" s="504"/>
      <c r="E7834" s="504"/>
      <c r="F7834" s="504"/>
      <c r="G7834" s="451" t="s">
        <v>3406</v>
      </c>
      <c r="Z7834" s="500"/>
      <c r="AA7834" s="500"/>
      <c r="AB7834" s="500"/>
      <c r="AC7834" s="500"/>
      <c r="AD7834" s="500"/>
      <c r="AE7834" s="500"/>
      <c r="AF7834" s="500"/>
      <c r="AG7834" s="500"/>
      <c r="AH7834" s="500"/>
      <c r="AI7834" s="500"/>
      <c r="AJ7834" s="500"/>
      <c r="AK7834" s="500"/>
      <c r="AL7834" s="500"/>
      <c r="AM7834" s="500"/>
      <c r="AN7834" s="500"/>
      <c r="AO7834" s="500"/>
      <c r="AP7834" s="500"/>
    </row>
    <row r="7835" spans="1:42" ht="16.5" customHeight="1">
      <c r="A7835" s="434"/>
      <c r="B7835" s="505" t="str">
        <f>"  산지할증 : "&amp;TEXT(I7835,"#,##0.0")&amp;" * "&amp;AA7835&amp;" %  = "&amp;TEXT(C7835,"#,##0.0")&amp;""</f>
        <v xml:space="preserve">  산지할증 : 487.5 * 15 %  = 73.1</v>
      </c>
      <c r="C7835" s="506">
        <f>E7835+D7835+F7835</f>
        <v>73.099999999999994</v>
      </c>
      <c r="D7835" s="506">
        <f>IF(H7835=0,0,ROUNDDOWN(J7835*H7835/100,1))</f>
        <v>73.099999999999994</v>
      </c>
      <c r="E7835" s="506">
        <f>IF(H7835=0,0,ROUNDDOWN(K7835*H7835/100,1))</f>
        <v>0</v>
      </c>
      <c r="F7835" s="506">
        <f>IF(H7835=0,0,ROUNDDOWN(L7835*H7835/100,1))</f>
        <v>0</v>
      </c>
      <c r="G7835" s="451" t="s">
        <v>5587</v>
      </c>
      <c r="H7835" s="507">
        <f>ROUNDUP(AC7835,14-LEN(ABS(INT(AC7835))))</f>
        <v>15</v>
      </c>
      <c r="I7835" s="508">
        <f>K7835+J7835+L7835</f>
        <v>487.5</v>
      </c>
      <c r="J7835" s="508">
        <f>D7826+D7833+SUMIF(N7834:N7834,N7835,D7834:D7834)</f>
        <v>487.5</v>
      </c>
      <c r="K7835" s="456">
        <v>0</v>
      </c>
      <c r="L7835" s="456">
        <v>0</v>
      </c>
      <c r="M7835" s="501" t="s">
        <v>4208</v>
      </c>
      <c r="N7835" s="501" t="s">
        <v>3416</v>
      </c>
      <c r="Z7835" s="501" t="s">
        <v>3500</v>
      </c>
      <c r="AA7835" s="515">
        <v>15</v>
      </c>
      <c r="AB7835" s="501" t="s">
        <v>3418</v>
      </c>
      <c r="AC7835" s="512">
        <f>1*AA7835</f>
        <v>15</v>
      </c>
      <c r="AD7835" s="500"/>
      <c r="AE7835" s="500"/>
      <c r="AF7835" s="500"/>
      <c r="AG7835" s="500"/>
      <c r="AH7835" s="500"/>
      <c r="AI7835" s="500"/>
      <c r="AJ7835" s="500"/>
      <c r="AK7835" s="500"/>
      <c r="AL7835" s="500"/>
      <c r="AM7835" s="500"/>
      <c r="AN7835" s="500"/>
      <c r="AO7835" s="500"/>
      <c r="AP7835" s="500"/>
    </row>
    <row r="7836" spans="1:42" ht="16.5" customHeight="1">
      <c r="A7836" s="439"/>
      <c r="B7836" s="439"/>
      <c r="C7836" s="439"/>
      <c r="D7836" s="439"/>
      <c r="E7836" s="439"/>
      <c r="F7836" s="439"/>
      <c r="G7836" s="451" t="s">
        <v>3406</v>
      </c>
      <c r="Z7836" s="500"/>
      <c r="AA7836" s="500"/>
      <c r="AB7836" s="500"/>
      <c r="AC7836" s="500"/>
      <c r="AD7836" s="500"/>
      <c r="AE7836" s="500"/>
      <c r="AF7836" s="500"/>
      <c r="AG7836" s="500"/>
      <c r="AH7836" s="500"/>
      <c r="AI7836" s="500"/>
      <c r="AJ7836" s="500"/>
      <c r="AK7836" s="500"/>
      <c r="AL7836" s="500"/>
      <c r="AM7836" s="500"/>
      <c r="AN7836" s="500"/>
      <c r="AO7836" s="500"/>
      <c r="AP7836" s="500"/>
    </row>
    <row r="7837" spans="1:42" ht="16.5" customHeight="1">
      <c r="A7837" s="434"/>
      <c r="B7837" s="437" t="s">
        <v>3419</v>
      </c>
      <c r="C7837" s="513">
        <f>E7837+D7837+F7837</f>
        <v>73.099999999999994</v>
      </c>
      <c r="D7837" s="513">
        <f>SUMIF(N7834:N7836,M7837,D7834:D7836)</f>
        <v>73.099999999999994</v>
      </c>
      <c r="E7837" s="513">
        <f>SUMIF(N7834:N7836,M7837,E7834:E7836)</f>
        <v>0</v>
      </c>
      <c r="F7837" s="513">
        <f>SUMIF(N7834:N7836,M7837,F7834:F7836)</f>
        <v>0</v>
      </c>
      <c r="G7837" s="451" t="s">
        <v>3439</v>
      </c>
      <c r="M7837" s="501" t="s">
        <v>3416</v>
      </c>
      <c r="N7837" s="501" t="s">
        <v>3421</v>
      </c>
      <c r="Z7837" s="500"/>
      <c r="AA7837" s="500"/>
      <c r="AB7837" s="500"/>
      <c r="AC7837" s="500"/>
      <c r="AD7837" s="500"/>
      <c r="AE7837" s="500"/>
      <c r="AF7837" s="500"/>
      <c r="AG7837" s="500"/>
      <c r="AH7837" s="500"/>
      <c r="AI7837" s="500"/>
      <c r="AJ7837" s="500"/>
      <c r="AK7837" s="500"/>
      <c r="AL7837" s="500"/>
      <c r="AM7837" s="500"/>
      <c r="AN7837" s="500"/>
      <c r="AO7837" s="500"/>
      <c r="AP7837" s="500"/>
    </row>
    <row r="7838" spans="1:42" ht="16.5" customHeight="1">
      <c r="A7838" s="439"/>
      <c r="B7838" s="439"/>
      <c r="C7838" s="504"/>
      <c r="D7838" s="504"/>
      <c r="E7838" s="504"/>
      <c r="F7838" s="504"/>
      <c r="G7838" s="451" t="s">
        <v>3406</v>
      </c>
      <c r="Z7838" s="500"/>
      <c r="AA7838" s="500"/>
      <c r="AB7838" s="500"/>
      <c r="AC7838" s="500"/>
      <c r="AD7838" s="500"/>
      <c r="AE7838" s="500"/>
      <c r="AF7838" s="500"/>
      <c r="AG7838" s="500"/>
      <c r="AH7838" s="500"/>
      <c r="AI7838" s="500"/>
      <c r="AJ7838" s="500"/>
      <c r="AK7838" s="500"/>
      <c r="AL7838" s="500"/>
      <c r="AM7838" s="500"/>
      <c r="AN7838" s="500"/>
      <c r="AO7838" s="500"/>
      <c r="AP7838" s="500"/>
    </row>
    <row r="7839" spans="1:42" ht="16.5" customHeight="1">
      <c r="A7839" s="434"/>
      <c r="B7839" s="437" t="s">
        <v>3440</v>
      </c>
      <c r="C7839" s="513">
        <f>E7839+D7839+F7839</f>
        <v>610.6</v>
      </c>
      <c r="D7839" s="513">
        <f>SUMIF(N7807:N7838,M7839,D7807:D7838)</f>
        <v>560.6</v>
      </c>
      <c r="E7839" s="513">
        <f>SUMIF(N7807:N7838,M7839,E7807:E7838)</f>
        <v>50</v>
      </c>
      <c r="F7839" s="513">
        <f>SUMIF(N7807:N7838,M7839,F7807:F7838)</f>
        <v>0</v>
      </c>
      <c r="G7839" s="451" t="s">
        <v>3441</v>
      </c>
      <c r="M7839" s="501" t="s">
        <v>3421</v>
      </c>
      <c r="N7839" s="501" t="s">
        <v>2354</v>
      </c>
      <c r="Z7839" s="500"/>
      <c r="AA7839" s="500"/>
      <c r="AB7839" s="500"/>
      <c r="AC7839" s="500"/>
      <c r="AD7839" s="500"/>
      <c r="AE7839" s="500"/>
      <c r="AF7839" s="500"/>
      <c r="AG7839" s="500"/>
      <c r="AH7839" s="500"/>
      <c r="AI7839" s="500"/>
      <c r="AJ7839" s="500"/>
      <c r="AK7839" s="500"/>
      <c r="AL7839" s="500"/>
      <c r="AM7839" s="500"/>
      <c r="AN7839" s="500"/>
      <c r="AO7839" s="500"/>
      <c r="AP7839" s="500"/>
    </row>
    <row r="7840" spans="1:42" ht="16.5" customHeight="1">
      <c r="A7840" s="439"/>
      <c r="B7840" s="439"/>
      <c r="C7840" s="504"/>
      <c r="D7840" s="504"/>
      <c r="E7840" s="504"/>
      <c r="F7840" s="504"/>
      <c r="G7840" s="451" t="s">
        <v>3413</v>
      </c>
      <c r="Z7840" s="500"/>
      <c r="AA7840" s="500"/>
      <c r="AB7840" s="500"/>
      <c r="AC7840" s="500"/>
      <c r="AD7840" s="500"/>
      <c r="AE7840" s="500"/>
      <c r="AF7840" s="500"/>
      <c r="AG7840" s="500"/>
      <c r="AH7840" s="500"/>
      <c r="AI7840" s="500"/>
      <c r="AJ7840" s="500"/>
      <c r="AK7840" s="500"/>
      <c r="AL7840" s="500"/>
      <c r="AM7840" s="500"/>
      <c r="AN7840" s="500"/>
      <c r="AO7840" s="500"/>
      <c r="AP7840" s="500"/>
    </row>
    <row r="7841" spans="1:42" ht="16.5" customHeight="1">
      <c r="A7841" s="439"/>
      <c r="B7841" s="439"/>
      <c r="C7841" s="439"/>
      <c r="D7841" s="439"/>
      <c r="E7841" s="439"/>
      <c r="F7841" s="439"/>
      <c r="Z7841" s="500"/>
      <c r="AA7841" s="500"/>
      <c r="AB7841" s="500"/>
      <c r="AC7841" s="500"/>
      <c r="AD7841" s="500"/>
      <c r="AE7841" s="500"/>
      <c r="AF7841" s="500"/>
      <c r="AG7841" s="500"/>
      <c r="AH7841" s="500"/>
      <c r="AI7841" s="500"/>
      <c r="AJ7841" s="500"/>
      <c r="AK7841" s="500"/>
      <c r="AL7841" s="500"/>
      <c r="AM7841" s="500"/>
      <c r="AN7841" s="500"/>
      <c r="AO7841" s="500"/>
      <c r="AP7841" s="500"/>
    </row>
    <row r="7842" spans="1:42" ht="16.5" customHeight="1">
      <c r="A7842" s="439"/>
      <c r="B7842" s="439"/>
      <c r="C7842" s="439"/>
      <c r="D7842" s="439"/>
      <c r="E7842" s="439"/>
      <c r="F7842" s="439"/>
      <c r="Z7842" s="500"/>
      <c r="AA7842" s="500"/>
      <c r="AB7842" s="500"/>
      <c r="AC7842" s="500"/>
      <c r="AD7842" s="500"/>
      <c r="AE7842" s="500"/>
      <c r="AF7842" s="500"/>
      <c r="AG7842" s="500"/>
      <c r="AH7842" s="500"/>
      <c r="AI7842" s="500"/>
      <c r="AJ7842" s="500"/>
      <c r="AK7842" s="500"/>
      <c r="AL7842" s="500"/>
      <c r="AM7842" s="500"/>
      <c r="AN7842" s="500"/>
      <c r="AO7842" s="500"/>
      <c r="AP7842" s="500"/>
    </row>
    <row r="7843" spans="1:42" ht="16.5" customHeight="1">
      <c r="A7843" s="439"/>
      <c r="B7843" s="439"/>
      <c r="C7843" s="439"/>
      <c r="D7843" s="439"/>
      <c r="E7843" s="439"/>
      <c r="F7843" s="439"/>
      <c r="Z7843" s="500"/>
      <c r="AA7843" s="500"/>
      <c r="AB7843" s="500"/>
      <c r="AC7843" s="500"/>
      <c r="AD7843" s="500"/>
      <c r="AE7843" s="500"/>
      <c r="AF7843" s="500"/>
      <c r="AG7843" s="500"/>
      <c r="AH7843" s="500"/>
      <c r="AI7843" s="500"/>
      <c r="AJ7843" s="500"/>
      <c r="AK7843" s="500"/>
      <c r="AL7843" s="500"/>
      <c r="AM7843" s="500"/>
      <c r="AN7843" s="500"/>
      <c r="AO7843" s="500"/>
      <c r="AP7843" s="500"/>
    </row>
    <row r="7844" spans="1:42" ht="16.5" customHeight="1">
      <c r="A7844" s="439"/>
      <c r="B7844" s="439"/>
      <c r="C7844" s="439"/>
      <c r="D7844" s="439"/>
      <c r="E7844" s="439"/>
      <c r="F7844" s="439"/>
      <c r="Z7844" s="500"/>
      <c r="AA7844" s="500"/>
      <c r="AB7844" s="500"/>
      <c r="AC7844" s="500"/>
      <c r="AD7844" s="500"/>
      <c r="AE7844" s="500"/>
      <c r="AF7844" s="500"/>
      <c r="AG7844" s="500"/>
      <c r="AH7844" s="500"/>
      <c r="AI7844" s="500"/>
      <c r="AJ7844" s="500"/>
      <c r="AK7844" s="500"/>
      <c r="AL7844" s="500"/>
      <c r="AM7844" s="500"/>
      <c r="AN7844" s="500"/>
      <c r="AO7844" s="500"/>
      <c r="AP7844" s="500"/>
    </row>
    <row r="7845" spans="1:42" ht="16.5" customHeight="1">
      <c r="A7845" s="439"/>
      <c r="B7845" s="439"/>
      <c r="C7845" s="439"/>
      <c r="D7845" s="439"/>
      <c r="E7845" s="439"/>
      <c r="F7845" s="439"/>
      <c r="Z7845" s="500"/>
      <c r="AA7845" s="500"/>
      <c r="AB7845" s="500"/>
      <c r="AC7845" s="500"/>
      <c r="AD7845" s="500"/>
      <c r="AE7845" s="500"/>
      <c r="AF7845" s="500"/>
      <c r="AG7845" s="500"/>
      <c r="AH7845" s="500"/>
      <c r="AI7845" s="500"/>
      <c r="AJ7845" s="500"/>
      <c r="AK7845" s="500"/>
      <c r="AL7845" s="500"/>
      <c r="AM7845" s="500"/>
      <c r="AN7845" s="500"/>
      <c r="AO7845" s="500"/>
      <c r="AP7845" s="500"/>
    </row>
    <row r="7846" spans="1:42" ht="16.5" customHeight="1">
      <c r="A7846" s="439"/>
      <c r="B7846" s="439"/>
      <c r="C7846" s="439"/>
      <c r="D7846" s="439"/>
      <c r="E7846" s="439"/>
      <c r="F7846" s="439"/>
      <c r="Z7846" s="500"/>
      <c r="AA7846" s="500"/>
      <c r="AB7846" s="500"/>
      <c r="AC7846" s="500"/>
      <c r="AD7846" s="500"/>
      <c r="AE7846" s="500"/>
      <c r="AF7846" s="500"/>
      <c r="AG7846" s="500"/>
      <c r="AH7846" s="500"/>
      <c r="AI7846" s="500"/>
      <c r="AJ7846" s="500"/>
      <c r="AK7846" s="500"/>
      <c r="AL7846" s="500"/>
      <c r="AM7846" s="500"/>
      <c r="AN7846" s="500"/>
      <c r="AO7846" s="500"/>
      <c r="AP7846" s="500"/>
    </row>
    <row r="7847" spans="1:42" ht="16.5" customHeight="1">
      <c r="A7847" s="439"/>
      <c r="B7847" s="439"/>
      <c r="C7847" s="439"/>
      <c r="D7847" s="439"/>
      <c r="E7847" s="439"/>
      <c r="F7847" s="439"/>
      <c r="Z7847" s="500"/>
      <c r="AA7847" s="500"/>
      <c r="AB7847" s="500"/>
      <c r="AC7847" s="500"/>
      <c r="AD7847" s="500"/>
      <c r="AE7847" s="500"/>
      <c r="AF7847" s="500"/>
      <c r="AG7847" s="500"/>
      <c r="AH7847" s="500"/>
      <c r="AI7847" s="500"/>
      <c r="AJ7847" s="500"/>
      <c r="AK7847" s="500"/>
      <c r="AL7847" s="500"/>
      <c r="AM7847" s="500"/>
      <c r="AN7847" s="500"/>
      <c r="AO7847" s="500"/>
      <c r="AP7847" s="500"/>
    </row>
    <row r="7848" spans="1:42" ht="16.5" customHeight="1">
      <c r="A7848" s="439"/>
      <c r="B7848" s="439"/>
      <c r="C7848" s="439"/>
      <c r="D7848" s="439"/>
      <c r="E7848" s="439"/>
      <c r="F7848" s="439"/>
      <c r="Z7848" s="500"/>
      <c r="AA7848" s="500"/>
      <c r="AB7848" s="500"/>
      <c r="AC7848" s="500"/>
      <c r="AD7848" s="500"/>
      <c r="AE7848" s="500"/>
      <c r="AF7848" s="500"/>
      <c r="AG7848" s="500"/>
      <c r="AH7848" s="500"/>
      <c r="AI7848" s="500"/>
      <c r="AJ7848" s="500"/>
      <c r="AK7848" s="500"/>
      <c r="AL7848" s="500"/>
      <c r="AM7848" s="500"/>
      <c r="AN7848" s="500"/>
      <c r="AO7848" s="500"/>
      <c r="AP7848" s="500"/>
    </row>
    <row r="7849" spans="1:42" ht="16.5" customHeight="1">
      <c r="A7849" s="439"/>
      <c r="B7849" s="439"/>
      <c r="C7849" s="439"/>
      <c r="D7849" s="439"/>
      <c r="E7849" s="439"/>
      <c r="F7849" s="439"/>
      <c r="Z7849" s="500"/>
      <c r="AA7849" s="500"/>
      <c r="AB7849" s="500"/>
      <c r="AC7849" s="500"/>
      <c r="AD7849" s="500"/>
      <c r="AE7849" s="500"/>
      <c r="AF7849" s="500"/>
      <c r="AG7849" s="500"/>
      <c r="AH7849" s="500"/>
      <c r="AI7849" s="500"/>
      <c r="AJ7849" s="500"/>
      <c r="AK7849" s="500"/>
      <c r="AL7849" s="500"/>
      <c r="AM7849" s="500"/>
      <c r="AN7849" s="500"/>
      <c r="AO7849" s="500"/>
      <c r="AP7849" s="500"/>
    </row>
    <row r="7850" spans="1:42" ht="16.5" customHeight="1">
      <c r="A7850" s="439"/>
      <c r="B7850" s="439"/>
      <c r="C7850" s="439"/>
      <c r="D7850" s="439"/>
      <c r="E7850" s="439"/>
      <c r="F7850" s="439"/>
      <c r="Z7850" s="500"/>
      <c r="AA7850" s="500"/>
      <c r="AB7850" s="500"/>
      <c r="AC7850" s="500"/>
      <c r="AD7850" s="500"/>
      <c r="AE7850" s="500"/>
      <c r="AF7850" s="500"/>
      <c r="AG7850" s="500"/>
      <c r="AH7850" s="500"/>
      <c r="AI7850" s="500"/>
      <c r="AJ7850" s="500"/>
      <c r="AK7850" s="500"/>
      <c r="AL7850" s="500"/>
      <c r="AM7850" s="500"/>
      <c r="AN7850" s="500"/>
      <c r="AO7850" s="500"/>
      <c r="AP7850" s="500"/>
    </row>
    <row r="7851" spans="1:42" ht="16.5" customHeight="1">
      <c r="A7851" s="439"/>
      <c r="B7851" s="439"/>
      <c r="C7851" s="439"/>
      <c r="D7851" s="439"/>
      <c r="E7851" s="439"/>
      <c r="F7851" s="439"/>
      <c r="Z7851" s="500"/>
      <c r="AA7851" s="500"/>
      <c r="AB7851" s="500"/>
      <c r="AC7851" s="500"/>
      <c r="AD7851" s="500"/>
      <c r="AE7851" s="500"/>
      <c r="AF7851" s="500"/>
      <c r="AG7851" s="500"/>
      <c r="AH7851" s="500"/>
      <c r="AI7851" s="500"/>
      <c r="AJ7851" s="500"/>
      <c r="AK7851" s="500"/>
      <c r="AL7851" s="500"/>
      <c r="AM7851" s="500"/>
      <c r="AN7851" s="500"/>
      <c r="AO7851" s="500"/>
      <c r="AP7851" s="500"/>
    </row>
    <row r="7852" spans="1:42" ht="16.5" customHeight="1">
      <c r="A7852" s="439"/>
      <c r="B7852" s="439"/>
      <c r="C7852" s="439"/>
      <c r="D7852" s="439"/>
      <c r="E7852" s="439"/>
      <c r="F7852" s="439"/>
      <c r="Z7852" s="500"/>
      <c r="AA7852" s="500"/>
      <c r="AB7852" s="500"/>
      <c r="AC7852" s="500"/>
      <c r="AD7852" s="500"/>
      <c r="AE7852" s="500"/>
      <c r="AF7852" s="500"/>
      <c r="AG7852" s="500"/>
      <c r="AH7852" s="500"/>
      <c r="AI7852" s="500"/>
      <c r="AJ7852" s="500"/>
      <c r="AK7852" s="500"/>
      <c r="AL7852" s="500"/>
      <c r="AM7852" s="500"/>
      <c r="AN7852" s="500"/>
      <c r="AO7852" s="500"/>
      <c r="AP7852" s="500"/>
    </row>
    <row r="7853" spans="1:42" ht="16.5" customHeight="1">
      <c r="A7853" s="497"/>
      <c r="B7853" s="497"/>
      <c r="C7853" s="497"/>
      <c r="D7853" s="497"/>
      <c r="E7853" s="497"/>
      <c r="F7853" s="497"/>
      <c r="Z7853" s="500"/>
      <c r="AA7853" s="500"/>
      <c r="AB7853" s="500"/>
      <c r="AC7853" s="500"/>
      <c r="AD7853" s="500"/>
      <c r="AE7853" s="500"/>
      <c r="AF7853" s="500"/>
      <c r="AG7853" s="500"/>
      <c r="AH7853" s="500"/>
      <c r="AI7853" s="500"/>
      <c r="AJ7853" s="500"/>
      <c r="AK7853" s="500"/>
      <c r="AL7853" s="500"/>
      <c r="AM7853" s="500"/>
      <c r="AN7853" s="500"/>
      <c r="AO7853" s="500"/>
      <c r="AP7853" s="500"/>
    </row>
    <row r="7854" spans="1:42" ht="16.5" customHeight="1">
      <c r="A7854" s="616" t="s">
        <v>3487</v>
      </c>
      <c r="B7854" s="605"/>
      <c r="C7854" s="446">
        <f>E7854+D7854+F7854</f>
        <v>610</v>
      </c>
      <c r="D7854" s="453">
        <f>ROUNDDOWN(SUMIF(N7807:N7840,M7854,D7807:D7840),0)</f>
        <v>560</v>
      </c>
      <c r="E7854" s="454">
        <f>ROUNDDOWN(SUMIF(N7807:N7840,M7854,E7807:E7840),0)</f>
        <v>50</v>
      </c>
      <c r="F7854" s="446">
        <f>ROUNDDOWN(SUMIF(N7807:N7840,M7854,F7807:F7840),0)</f>
        <v>0</v>
      </c>
      <c r="M7854" s="501" t="s">
        <v>2354</v>
      </c>
      <c r="Z7854" s="500"/>
      <c r="AA7854" s="500"/>
      <c r="AB7854" s="500"/>
      <c r="AC7854" s="500"/>
      <c r="AD7854" s="500"/>
      <c r="AE7854" s="500"/>
      <c r="AF7854" s="500"/>
      <c r="AG7854" s="500"/>
      <c r="AH7854" s="500"/>
      <c r="AI7854" s="500"/>
      <c r="AJ7854" s="500"/>
      <c r="AK7854" s="500"/>
      <c r="AL7854" s="500"/>
      <c r="AM7854" s="500"/>
      <c r="AN7854" s="500"/>
      <c r="AO7854" s="500"/>
      <c r="AP7854" s="500"/>
    </row>
    <row r="7855" spans="1:42" ht="16.5" customHeight="1">
      <c r="A7855" s="502"/>
      <c r="B7855" s="503" t="s">
        <v>5412</v>
      </c>
      <c r="C7855" s="615">
        <f>C7904</f>
        <v>967</v>
      </c>
      <c r="D7855" s="615">
        <f>D7904</f>
        <v>917</v>
      </c>
      <c r="E7855" s="615">
        <f>E7904</f>
        <v>50</v>
      </c>
      <c r="F7855" s="615">
        <f>F7904</f>
        <v>0</v>
      </c>
      <c r="G7855" s="486" t="str">
        <f>HYPERLINK("#G"&amp;ROW(G7890),"_x0005_`BDCOD|D01361_x0007_`POSS|"&amp;ROW(G7857)&amp;"_x0007_`POSE|"&amp;ROW(G7890)&amp;"_x0007_`")</f>
        <v>_x0005_`BDCOD|D01361_x0007_`POSS|7857_x0007_`POSE|7890_x0007_`</v>
      </c>
      <c r="Z7855" s="500"/>
      <c r="AA7855" s="500"/>
      <c r="AB7855" s="500"/>
      <c r="AC7855" s="500"/>
      <c r="AD7855" s="500"/>
      <c r="AE7855" s="500"/>
      <c r="AF7855" s="500"/>
      <c r="AG7855" s="500"/>
      <c r="AH7855" s="500"/>
      <c r="AI7855" s="500"/>
      <c r="AJ7855" s="500"/>
      <c r="AK7855" s="500"/>
      <c r="AL7855" s="500"/>
      <c r="AM7855" s="500"/>
      <c r="AN7855" s="500"/>
      <c r="AO7855" s="500"/>
      <c r="AP7855" s="500"/>
    </row>
    <row r="7856" spans="1:42" ht="16.5" customHeight="1">
      <c r="A7856" s="485"/>
      <c r="B7856" s="503" t="s">
        <v>5639</v>
      </c>
      <c r="C7856" s="593"/>
      <c r="D7856" s="593"/>
      <c r="E7856" s="593"/>
      <c r="F7856" s="593"/>
      <c r="M7856" s="501" t="s">
        <v>5412</v>
      </c>
      <c r="Z7856" s="500"/>
      <c r="AA7856" s="500"/>
      <c r="AB7856" s="500"/>
      <c r="AC7856" s="500"/>
      <c r="AD7856" s="500"/>
      <c r="AE7856" s="500"/>
      <c r="AF7856" s="500"/>
      <c r="AG7856" s="500"/>
      <c r="AH7856" s="500"/>
      <c r="AI7856" s="500"/>
      <c r="AJ7856" s="500"/>
      <c r="AK7856" s="500"/>
      <c r="AL7856" s="500"/>
      <c r="AM7856" s="500"/>
      <c r="AN7856" s="500"/>
      <c r="AO7856" s="500"/>
      <c r="AP7856" s="500"/>
    </row>
    <row r="7857" spans="1:42" ht="16.5" customHeight="1">
      <c r="A7857" s="439"/>
      <c r="B7857" s="439"/>
      <c r="C7857" s="504"/>
      <c r="D7857" s="504"/>
      <c r="E7857" s="504"/>
      <c r="F7857" s="504"/>
      <c r="G7857" s="451" t="s">
        <v>3406</v>
      </c>
      <c r="Z7857" s="500"/>
      <c r="AA7857" s="500"/>
      <c r="AB7857" s="500"/>
      <c r="AC7857" s="500"/>
      <c r="AD7857" s="500"/>
      <c r="AE7857" s="500"/>
      <c r="AF7857" s="500"/>
      <c r="AG7857" s="500"/>
      <c r="AH7857" s="500"/>
      <c r="AI7857" s="500"/>
      <c r="AJ7857" s="500"/>
      <c r="AK7857" s="500"/>
      <c r="AL7857" s="500"/>
      <c r="AM7857" s="500"/>
      <c r="AN7857" s="500"/>
      <c r="AO7857" s="500"/>
      <c r="AP7857" s="500"/>
    </row>
    <row r="7858" spans="1:42" ht="16.5" customHeight="1">
      <c r="A7858" s="434"/>
      <c r="B7858" s="437" t="s">
        <v>4299</v>
      </c>
      <c r="C7858" s="439"/>
      <c r="D7858" s="439"/>
      <c r="E7858" s="439"/>
      <c r="F7858" s="439"/>
      <c r="G7858" s="451" t="s">
        <v>4300</v>
      </c>
      <c r="Z7858" s="500"/>
      <c r="AA7858" s="500"/>
      <c r="AB7858" s="500"/>
      <c r="AC7858" s="500"/>
      <c r="AD7858" s="500"/>
      <c r="AE7858" s="500"/>
      <c r="AF7858" s="500"/>
      <c r="AG7858" s="500"/>
      <c r="AH7858" s="500"/>
      <c r="AI7858" s="500"/>
      <c r="AJ7858" s="500"/>
      <c r="AK7858" s="500"/>
      <c r="AL7858" s="500"/>
      <c r="AM7858" s="500"/>
      <c r="AN7858" s="500"/>
      <c r="AO7858" s="500"/>
      <c r="AP7858" s="500"/>
    </row>
    <row r="7859" spans="1:42" ht="16.5" customHeight="1">
      <c r="A7859" s="439"/>
      <c r="B7859" s="439"/>
      <c r="C7859" s="439"/>
      <c r="D7859" s="439"/>
      <c r="E7859" s="439"/>
      <c r="F7859" s="439"/>
      <c r="G7859" s="451" t="s">
        <v>3406</v>
      </c>
      <c r="Z7859" s="500"/>
      <c r="AA7859" s="500"/>
      <c r="AB7859" s="500"/>
      <c r="AC7859" s="500"/>
      <c r="AD7859" s="500"/>
      <c r="AE7859" s="500"/>
      <c r="AF7859" s="500"/>
      <c r="AG7859" s="500"/>
      <c r="AH7859" s="500"/>
      <c r="AI7859" s="500"/>
      <c r="AJ7859" s="500"/>
      <c r="AK7859" s="500"/>
      <c r="AL7859" s="500"/>
      <c r="AM7859" s="500"/>
      <c r="AN7859" s="500"/>
      <c r="AO7859" s="500"/>
      <c r="AP7859" s="500"/>
    </row>
    <row r="7860" spans="1:42" ht="16.5" customHeight="1">
      <c r="A7860" s="434"/>
      <c r="B7860" s="437" t="s">
        <v>4294</v>
      </c>
      <c r="C7860" s="439"/>
      <c r="D7860" s="439"/>
      <c r="E7860" s="439"/>
      <c r="F7860" s="439"/>
      <c r="G7860" s="451" t="s">
        <v>4295</v>
      </c>
      <c r="Z7860" s="500"/>
      <c r="AA7860" s="500"/>
      <c r="AB7860" s="500"/>
      <c r="AC7860" s="500"/>
      <c r="AD7860" s="500"/>
      <c r="AE7860" s="500"/>
      <c r="AF7860" s="500"/>
      <c r="AG7860" s="500"/>
      <c r="AH7860" s="500"/>
      <c r="AI7860" s="500"/>
      <c r="AJ7860" s="500"/>
      <c r="AK7860" s="500"/>
      <c r="AL7860" s="500"/>
      <c r="AM7860" s="500"/>
      <c r="AN7860" s="500"/>
      <c r="AO7860" s="500"/>
      <c r="AP7860" s="500"/>
    </row>
    <row r="7861" spans="1:42" ht="16.5" customHeight="1">
      <c r="A7861" s="439"/>
      <c r="B7861" s="439"/>
      <c r="C7861" s="439"/>
      <c r="D7861" s="439"/>
      <c r="E7861" s="439"/>
      <c r="F7861" s="439"/>
      <c r="G7861" s="451" t="s">
        <v>3406</v>
      </c>
      <c r="Z7861" s="500"/>
      <c r="AA7861" s="500"/>
      <c r="AB7861" s="500"/>
      <c r="AC7861" s="500"/>
      <c r="AD7861" s="500"/>
      <c r="AE7861" s="500"/>
      <c r="AF7861" s="500"/>
      <c r="AG7861" s="500"/>
      <c r="AH7861" s="500"/>
      <c r="AI7861" s="500"/>
      <c r="AJ7861" s="500"/>
      <c r="AK7861" s="500"/>
      <c r="AL7861" s="500"/>
      <c r="AM7861" s="500"/>
      <c r="AN7861" s="500"/>
      <c r="AO7861" s="500"/>
      <c r="AP7861" s="500"/>
    </row>
    <row r="7862" spans="1:42" ht="16.5" customHeight="1">
      <c r="A7862" s="434"/>
      <c r="B7862" s="437" t="str">
        <f>" 일당 작업량 :   Q = "&amp;Z7862&amp;"  주 "</f>
        <v xml:space="preserve"> 일당 작업량 :   Q = 1100  주 </v>
      </c>
      <c r="C7862" s="439"/>
      <c r="D7862" s="439"/>
      <c r="E7862" s="439"/>
      <c r="F7862" s="439"/>
      <c r="G7862" s="451" t="s">
        <v>4301</v>
      </c>
      <c r="Z7862" s="515">
        <v>1100</v>
      </c>
      <c r="AA7862" s="501" t="s">
        <v>3418</v>
      </c>
      <c r="AB7862" s="512">
        <f>Z7862</f>
        <v>1100</v>
      </c>
      <c r="AC7862" s="500"/>
      <c r="AD7862" s="500"/>
      <c r="AE7862" s="500"/>
      <c r="AF7862" s="500"/>
      <c r="AG7862" s="500"/>
      <c r="AH7862" s="500"/>
      <c r="AI7862" s="500"/>
      <c r="AJ7862" s="500"/>
      <c r="AK7862" s="500"/>
      <c r="AL7862" s="500"/>
      <c r="AM7862" s="500"/>
      <c r="AN7862" s="500"/>
      <c r="AO7862" s="500"/>
      <c r="AP7862" s="500"/>
    </row>
    <row r="7863" spans="1:42" ht="16.5" customHeight="1">
      <c r="A7863" s="439"/>
      <c r="B7863" s="439"/>
      <c r="C7863" s="439"/>
      <c r="D7863" s="439"/>
      <c r="E7863" s="439"/>
      <c r="F7863" s="439"/>
      <c r="G7863" s="451" t="s">
        <v>3406</v>
      </c>
      <c r="Z7863" s="500"/>
      <c r="AA7863" s="500"/>
      <c r="AB7863" s="500"/>
      <c r="AC7863" s="500"/>
      <c r="AD7863" s="500"/>
      <c r="AE7863" s="500"/>
      <c r="AF7863" s="500"/>
      <c r="AG7863" s="500"/>
      <c r="AH7863" s="500"/>
      <c r="AI7863" s="500"/>
      <c r="AJ7863" s="500"/>
      <c r="AK7863" s="500"/>
      <c r="AL7863" s="500"/>
      <c r="AM7863" s="500"/>
      <c r="AN7863" s="500"/>
      <c r="AO7863" s="500"/>
      <c r="AP7863" s="500"/>
    </row>
    <row r="7864" spans="1:42" ht="16.5" customHeight="1">
      <c r="A7864" s="434"/>
      <c r="B7864" s="437" t="s">
        <v>3494</v>
      </c>
      <c r="C7864" s="439"/>
      <c r="D7864" s="439"/>
      <c r="E7864" s="439"/>
      <c r="F7864" s="439"/>
      <c r="G7864" s="451" t="s">
        <v>3495</v>
      </c>
      <c r="Z7864" s="500"/>
      <c r="AA7864" s="500"/>
      <c r="AB7864" s="500"/>
      <c r="AC7864" s="500"/>
      <c r="AD7864" s="500"/>
      <c r="AE7864" s="500"/>
      <c r="AF7864" s="500"/>
      <c r="AG7864" s="500"/>
      <c r="AH7864" s="500"/>
      <c r="AI7864" s="500"/>
      <c r="AJ7864" s="500"/>
      <c r="AK7864" s="500"/>
      <c r="AL7864" s="500"/>
      <c r="AM7864" s="500"/>
      <c r="AN7864" s="500"/>
      <c r="AO7864" s="500"/>
      <c r="AP7864" s="500"/>
    </row>
    <row r="7865" spans="1:42" ht="16.5" customHeight="1">
      <c r="A7865" s="439"/>
      <c r="B7865" s="439"/>
      <c r="C7865" s="439"/>
      <c r="D7865" s="439"/>
      <c r="E7865" s="439"/>
      <c r="F7865" s="439"/>
      <c r="G7865" s="451" t="s">
        <v>3406</v>
      </c>
      <c r="Z7865" s="500"/>
      <c r="AA7865" s="500"/>
      <c r="AB7865" s="500"/>
      <c r="AC7865" s="500"/>
      <c r="AD7865" s="500"/>
      <c r="AE7865" s="500"/>
      <c r="AF7865" s="500"/>
      <c r="AG7865" s="500"/>
      <c r="AH7865" s="500"/>
      <c r="AI7865" s="500"/>
      <c r="AJ7865" s="500"/>
      <c r="AK7865" s="500"/>
      <c r="AL7865" s="500"/>
      <c r="AM7865" s="500"/>
      <c r="AN7865" s="500"/>
      <c r="AO7865" s="500"/>
      <c r="AP7865" s="500"/>
    </row>
    <row r="7866" spans="1:42" ht="16.5" customHeight="1">
      <c r="A7866" s="439"/>
      <c r="B7866" s="439"/>
      <c r="C7866" s="439"/>
      <c r="D7866" s="439"/>
      <c r="E7866" s="439"/>
      <c r="F7866" s="439"/>
      <c r="G7866" s="451" t="s">
        <v>3406</v>
      </c>
      <c r="Z7866" s="500"/>
      <c r="AA7866" s="500"/>
      <c r="AB7866" s="500"/>
      <c r="AC7866" s="500"/>
      <c r="AD7866" s="500"/>
      <c r="AE7866" s="500"/>
      <c r="AF7866" s="500"/>
      <c r="AG7866" s="500"/>
      <c r="AH7866" s="500"/>
      <c r="AI7866" s="500"/>
      <c r="AJ7866" s="500"/>
      <c r="AK7866" s="500"/>
      <c r="AL7866" s="500"/>
      <c r="AM7866" s="500"/>
      <c r="AN7866" s="500"/>
      <c r="AO7866" s="500"/>
      <c r="AP7866" s="500"/>
    </row>
    <row r="7867" spans="1:42" ht="16.5" customHeight="1">
      <c r="A7867" s="439"/>
      <c r="B7867" s="439"/>
      <c r="C7867" s="439"/>
      <c r="D7867" s="439"/>
      <c r="E7867" s="439"/>
      <c r="F7867" s="439"/>
      <c r="G7867" s="451" t="s">
        <v>3406</v>
      </c>
      <c r="Z7867" s="500"/>
      <c r="AA7867" s="500"/>
      <c r="AB7867" s="500"/>
      <c r="AC7867" s="500"/>
      <c r="AD7867" s="500"/>
      <c r="AE7867" s="500"/>
      <c r="AF7867" s="500"/>
      <c r="AG7867" s="500"/>
      <c r="AH7867" s="500"/>
      <c r="AI7867" s="500"/>
      <c r="AJ7867" s="500"/>
      <c r="AK7867" s="500"/>
      <c r="AL7867" s="500"/>
      <c r="AM7867" s="500"/>
      <c r="AN7867" s="500"/>
      <c r="AO7867" s="500"/>
      <c r="AP7867" s="500"/>
    </row>
    <row r="7868" spans="1:42" ht="16.5" customHeight="1">
      <c r="A7868" s="439"/>
      <c r="B7868" s="439"/>
      <c r="C7868" s="439"/>
      <c r="D7868" s="439"/>
      <c r="E7868" s="439"/>
      <c r="F7868" s="439"/>
      <c r="G7868" s="451" t="s">
        <v>3406</v>
      </c>
      <c r="Z7868" s="500"/>
      <c r="AA7868" s="500"/>
      <c r="AB7868" s="500"/>
      <c r="AC7868" s="500"/>
      <c r="AD7868" s="500"/>
      <c r="AE7868" s="500"/>
      <c r="AF7868" s="500"/>
      <c r="AG7868" s="500"/>
      <c r="AH7868" s="500"/>
      <c r="AI7868" s="500"/>
      <c r="AJ7868" s="500"/>
      <c r="AK7868" s="500"/>
      <c r="AL7868" s="500"/>
      <c r="AM7868" s="500"/>
      <c r="AN7868" s="500"/>
      <c r="AO7868" s="500"/>
      <c r="AP7868" s="500"/>
    </row>
    <row r="7869" spans="1:42" ht="16.5" customHeight="1">
      <c r="A7869" s="434"/>
      <c r="B7869" s="437" t="s">
        <v>3496</v>
      </c>
      <c r="C7869" s="439"/>
      <c r="D7869" s="439"/>
      <c r="E7869" s="439"/>
      <c r="F7869" s="439"/>
      <c r="G7869" s="451" t="s">
        <v>3497</v>
      </c>
      <c r="Z7869" s="500"/>
      <c r="AA7869" s="500"/>
      <c r="AB7869" s="500"/>
      <c r="AC7869" s="500"/>
      <c r="AD7869" s="500"/>
      <c r="AE7869" s="500"/>
      <c r="AF7869" s="500"/>
      <c r="AG7869" s="500"/>
      <c r="AH7869" s="500"/>
      <c r="AI7869" s="500"/>
      <c r="AJ7869" s="500"/>
      <c r="AK7869" s="500"/>
      <c r="AL7869" s="500"/>
      <c r="AM7869" s="500"/>
      <c r="AN7869" s="500"/>
      <c r="AO7869" s="500"/>
      <c r="AP7869" s="500"/>
    </row>
    <row r="7870" spans="1:42" ht="16.5" customHeight="1">
      <c r="A7870" s="439"/>
      <c r="B7870" s="439"/>
      <c r="C7870" s="439"/>
      <c r="D7870" s="439"/>
      <c r="E7870" s="439"/>
      <c r="F7870" s="439"/>
      <c r="G7870" s="451" t="s">
        <v>3406</v>
      </c>
      <c r="Z7870" s="500"/>
      <c r="AA7870" s="500"/>
      <c r="AB7870" s="500"/>
      <c r="AC7870" s="500"/>
      <c r="AD7870" s="500"/>
      <c r="AE7870" s="500"/>
      <c r="AF7870" s="500"/>
      <c r="AG7870" s="500"/>
      <c r="AH7870" s="500"/>
      <c r="AI7870" s="500"/>
      <c r="AJ7870" s="500"/>
      <c r="AK7870" s="500"/>
      <c r="AL7870" s="500"/>
      <c r="AM7870" s="500"/>
      <c r="AN7870" s="500"/>
      <c r="AO7870" s="500"/>
      <c r="AP7870" s="500"/>
    </row>
    <row r="7871" spans="1:42" ht="16.5" customHeight="1">
      <c r="A7871" s="434" t="s">
        <v>3498</v>
      </c>
      <c r="B7871" s="505" t="str">
        <f>" 조경공 :  "&amp;TEXT(I7871,"#,##0"&amp;IF(I7871&lt;&gt;INT(I7871),".###",""))&amp;" * "&amp;AA7871&amp;" 인  / Q = "&amp;TEXT(C7871,"#,##0.0")&amp;""</f>
        <v xml:space="preserve"> 조경공 :  235,204 * 3 인  / Q = 641.4</v>
      </c>
      <c r="C7871" s="506">
        <f>E7871+D7871+F7871</f>
        <v>641.4</v>
      </c>
      <c r="D7871" s="506">
        <f>IF(H7871=0,0,ROUNDDOWN(J7871*H7871,1))</f>
        <v>641.4</v>
      </c>
      <c r="E7871" s="506">
        <f>IF(H7871=0,0,ROUNDDOWN(K7871*H7871,1))</f>
        <v>0</v>
      </c>
      <c r="F7871" s="506">
        <f>IF(H7871=0,0,ROUNDDOWN(L7871*H7871,1))</f>
        <v>0</v>
      </c>
      <c r="G7871" s="451" t="s">
        <v>3551</v>
      </c>
      <c r="H7871" s="507">
        <f>ROUNDUP(AE7871,14-LEN(ABS(INT(AE7871))))</f>
        <v>2.7272727272999999E-3</v>
      </c>
      <c r="I7871" s="508">
        <f>K7871+J7871+L7871</f>
        <v>235204</v>
      </c>
      <c r="J7871" s="509">
        <f>노무비목록표!E15</f>
        <v>235204</v>
      </c>
      <c r="M7871" s="501" t="s">
        <v>2359</v>
      </c>
      <c r="N7871" s="501" t="s">
        <v>3416</v>
      </c>
      <c r="X7871" s="510" t="str">
        <f>노무비목록표!B15&amp;" / "&amp;노무비목록표!C15</f>
        <v xml:space="preserve">조경공 / </v>
      </c>
      <c r="Y7871" s="433" t="str">
        <f ca="1">HYPERLINK("#"&amp;노무비목록표!G2&amp;"!A"&amp;ROW(노무비목록표!A15),"L00184 →")</f>
        <v>L00184 →</v>
      </c>
      <c r="Z7871" s="501" t="s">
        <v>3500</v>
      </c>
      <c r="AA7871" s="515">
        <v>3</v>
      </c>
      <c r="AB7871" s="501" t="s">
        <v>3428</v>
      </c>
      <c r="AC7871" s="512">
        <f>AB7862</f>
        <v>1100</v>
      </c>
      <c r="AD7871" s="501" t="s">
        <v>3418</v>
      </c>
      <c r="AE7871" s="512">
        <f>1*AA7871/AB7862</f>
        <v>2.7272727272727275E-3</v>
      </c>
      <c r="AF7871" s="500"/>
      <c r="AG7871" s="500"/>
      <c r="AH7871" s="500"/>
      <c r="AI7871" s="500"/>
      <c r="AJ7871" s="500"/>
      <c r="AK7871" s="500"/>
      <c r="AL7871" s="500"/>
      <c r="AM7871" s="500"/>
      <c r="AN7871" s="500"/>
      <c r="AO7871" s="500"/>
      <c r="AP7871" s="500"/>
    </row>
    <row r="7872" spans="1:42" ht="16.5" customHeight="1">
      <c r="A7872" s="439"/>
      <c r="B7872" s="439"/>
      <c r="C7872" s="439"/>
      <c r="D7872" s="439"/>
      <c r="E7872" s="439"/>
      <c r="F7872" s="439"/>
      <c r="G7872" s="451" t="s">
        <v>3406</v>
      </c>
      <c r="Z7872" s="500"/>
      <c r="AA7872" s="500"/>
      <c r="AB7872" s="500"/>
      <c r="AC7872" s="500"/>
      <c r="AD7872" s="500"/>
      <c r="AE7872" s="500"/>
      <c r="AF7872" s="500"/>
      <c r="AG7872" s="500"/>
      <c r="AH7872" s="500"/>
      <c r="AI7872" s="500"/>
      <c r="AJ7872" s="500"/>
      <c r="AK7872" s="500"/>
      <c r="AL7872" s="500"/>
      <c r="AM7872" s="500"/>
      <c r="AN7872" s="500"/>
      <c r="AO7872" s="500"/>
      <c r="AP7872" s="500"/>
    </row>
    <row r="7873" spans="1:42" ht="16.5" customHeight="1">
      <c r="A7873" s="439"/>
      <c r="B7873" s="439"/>
      <c r="C7873" s="439"/>
      <c r="D7873" s="439"/>
      <c r="E7873" s="439"/>
      <c r="F7873" s="439"/>
      <c r="G7873" s="451" t="s">
        <v>3406</v>
      </c>
      <c r="Z7873" s="500"/>
      <c r="AA7873" s="500"/>
      <c r="AB7873" s="500"/>
      <c r="AC7873" s="500"/>
      <c r="AD7873" s="500"/>
      <c r="AE7873" s="500"/>
      <c r="AF7873" s="500"/>
      <c r="AG7873" s="500"/>
      <c r="AH7873" s="500"/>
      <c r="AI7873" s="500"/>
      <c r="AJ7873" s="500"/>
      <c r="AK7873" s="500"/>
      <c r="AL7873" s="500"/>
      <c r="AM7873" s="500"/>
      <c r="AN7873" s="500"/>
      <c r="AO7873" s="500"/>
      <c r="AP7873" s="500"/>
    </row>
    <row r="7874" spans="1:42" ht="16.5" customHeight="1">
      <c r="A7874" s="434" t="s">
        <v>3414</v>
      </c>
      <c r="B7874" s="505" t="str">
        <f>" 보통인부 : "&amp;TEXT(I7874,"#,##0"&amp;IF(I7874&lt;&gt;INT(I7874),".###",""))&amp;" * "&amp;AA7874&amp;" 인  / Q = "&amp;TEXT(C7874,"#,##0.0")&amp;""</f>
        <v xml:space="preserve"> 보통인부 : 172,068 * 1 인  / Q = 156.4</v>
      </c>
      <c r="C7874" s="506">
        <f>E7874+D7874+F7874</f>
        <v>156.4</v>
      </c>
      <c r="D7874" s="506">
        <f>IF(H7874=0,0,ROUNDDOWN(J7874*H7874,1))</f>
        <v>156.4</v>
      </c>
      <c r="E7874" s="506">
        <f>IF(H7874=0,0,ROUNDDOWN(K7874*H7874,1))</f>
        <v>0</v>
      </c>
      <c r="F7874" s="506">
        <f>IF(H7874=0,0,ROUNDDOWN(L7874*H7874,1))</f>
        <v>0</v>
      </c>
      <c r="G7874" s="451" t="s">
        <v>3552</v>
      </c>
      <c r="H7874" s="507">
        <f>ROUNDUP(AE7874,14-LEN(ABS(INT(AE7874))))</f>
        <v>9.0909090910000002E-4</v>
      </c>
      <c r="I7874" s="508">
        <f>K7874+J7874+L7874</f>
        <v>172068</v>
      </c>
      <c r="J7874" s="509">
        <f>노무비목록표!E10</f>
        <v>172068</v>
      </c>
      <c r="M7874" s="501" t="s">
        <v>2363</v>
      </c>
      <c r="N7874" s="501" t="s">
        <v>3416</v>
      </c>
      <c r="X7874" s="510" t="str">
        <f>노무비목록표!B10&amp;" / "&amp;노무비목록표!C10</f>
        <v xml:space="preserve">보통인부 / </v>
      </c>
      <c r="Y7874" s="433" t="str">
        <f ca="1">HYPERLINK("#"&amp;노무비목록표!G2&amp;"!A"&amp;ROW(노무비목록표!A10),"L00017 →")</f>
        <v>L00017 →</v>
      </c>
      <c r="Z7874" s="501" t="s">
        <v>3500</v>
      </c>
      <c r="AA7874" s="515">
        <v>1</v>
      </c>
      <c r="AB7874" s="501" t="s">
        <v>3428</v>
      </c>
      <c r="AC7874" s="512">
        <f>AB7862</f>
        <v>1100</v>
      </c>
      <c r="AD7874" s="501" t="s">
        <v>3418</v>
      </c>
      <c r="AE7874" s="512">
        <f>1*AA7874/AB7862</f>
        <v>9.0909090909090909E-4</v>
      </c>
      <c r="AF7874" s="500"/>
      <c r="AG7874" s="500"/>
      <c r="AH7874" s="500"/>
      <c r="AI7874" s="500"/>
      <c r="AJ7874" s="500"/>
      <c r="AK7874" s="500"/>
      <c r="AL7874" s="500"/>
      <c r="AM7874" s="500"/>
      <c r="AN7874" s="500"/>
      <c r="AO7874" s="500"/>
      <c r="AP7874" s="500"/>
    </row>
    <row r="7875" spans="1:42" ht="16.5" customHeight="1">
      <c r="A7875" s="439"/>
      <c r="B7875" s="439"/>
      <c r="C7875" s="439"/>
      <c r="D7875" s="439"/>
      <c r="E7875" s="439"/>
      <c r="F7875" s="439"/>
      <c r="G7875" s="451" t="s">
        <v>3406</v>
      </c>
      <c r="Z7875" s="500"/>
      <c r="AA7875" s="500"/>
      <c r="AB7875" s="500"/>
      <c r="AC7875" s="500"/>
      <c r="AD7875" s="500"/>
      <c r="AE7875" s="500"/>
      <c r="AF7875" s="500"/>
      <c r="AG7875" s="500"/>
      <c r="AH7875" s="500"/>
      <c r="AI7875" s="500"/>
      <c r="AJ7875" s="500"/>
      <c r="AK7875" s="500"/>
      <c r="AL7875" s="500"/>
      <c r="AM7875" s="500"/>
      <c r="AN7875" s="500"/>
      <c r="AO7875" s="500"/>
      <c r="AP7875" s="500"/>
    </row>
    <row r="7876" spans="1:42" ht="16.5" customHeight="1">
      <c r="A7876" s="434"/>
      <c r="B7876" s="437" t="s">
        <v>3419</v>
      </c>
      <c r="C7876" s="513">
        <f>E7876+D7876+F7876</f>
        <v>797.8</v>
      </c>
      <c r="D7876" s="513">
        <f>SUMIF(N7857:N7875,M7876,D7857:D7875)</f>
        <v>797.8</v>
      </c>
      <c r="E7876" s="513">
        <f>SUMIF(N7857:N7875,M7876,E7857:E7875)</f>
        <v>0</v>
      </c>
      <c r="F7876" s="513">
        <f>SUMIF(N7857:N7875,M7876,F7857:F7875)</f>
        <v>0</v>
      </c>
      <c r="G7876" s="451" t="s">
        <v>3439</v>
      </c>
      <c r="M7876" s="501" t="s">
        <v>3416</v>
      </c>
      <c r="N7876" s="501" t="s">
        <v>3421</v>
      </c>
      <c r="Z7876" s="500"/>
      <c r="AA7876" s="500"/>
      <c r="AB7876" s="500"/>
      <c r="AC7876" s="500"/>
      <c r="AD7876" s="500"/>
      <c r="AE7876" s="500"/>
      <c r="AF7876" s="500"/>
      <c r="AG7876" s="500"/>
      <c r="AH7876" s="500"/>
      <c r="AI7876" s="500"/>
      <c r="AJ7876" s="500"/>
      <c r="AK7876" s="500"/>
      <c r="AL7876" s="500"/>
      <c r="AM7876" s="500"/>
      <c r="AN7876" s="500"/>
      <c r="AO7876" s="500"/>
      <c r="AP7876" s="500"/>
    </row>
    <row r="7877" spans="1:42" ht="16.5" customHeight="1">
      <c r="A7877" s="439"/>
      <c r="B7877" s="439"/>
      <c r="C7877" s="504"/>
      <c r="D7877" s="504"/>
      <c r="E7877" s="504"/>
      <c r="F7877" s="504"/>
      <c r="G7877" s="451" t="s">
        <v>3406</v>
      </c>
      <c r="Z7877" s="500"/>
      <c r="AA7877" s="500"/>
      <c r="AB7877" s="500"/>
      <c r="AC7877" s="500"/>
      <c r="AD7877" s="500"/>
      <c r="AE7877" s="500"/>
      <c r="AF7877" s="500"/>
      <c r="AG7877" s="500"/>
      <c r="AH7877" s="500"/>
      <c r="AI7877" s="500"/>
      <c r="AJ7877" s="500"/>
      <c r="AK7877" s="500"/>
      <c r="AL7877" s="500"/>
      <c r="AM7877" s="500"/>
      <c r="AN7877" s="500"/>
      <c r="AO7877" s="500"/>
      <c r="AP7877" s="500"/>
    </row>
    <row r="7878" spans="1:42" ht="16.5" customHeight="1">
      <c r="A7878" s="439"/>
      <c r="B7878" s="439"/>
      <c r="C7878" s="439"/>
      <c r="D7878" s="439"/>
      <c r="E7878" s="439"/>
      <c r="F7878" s="439"/>
      <c r="G7878" s="451" t="s">
        <v>3406</v>
      </c>
      <c r="Z7878" s="500"/>
      <c r="AA7878" s="500"/>
      <c r="AB7878" s="500"/>
      <c r="AC7878" s="500"/>
      <c r="AD7878" s="500"/>
      <c r="AE7878" s="500"/>
      <c r="AF7878" s="500"/>
      <c r="AG7878" s="500"/>
      <c r="AH7878" s="500"/>
      <c r="AI7878" s="500"/>
      <c r="AJ7878" s="500"/>
      <c r="AK7878" s="500"/>
      <c r="AL7878" s="500"/>
      <c r="AM7878" s="500"/>
      <c r="AN7878" s="500"/>
      <c r="AO7878" s="500"/>
      <c r="AP7878" s="500"/>
    </row>
    <row r="7879" spans="1:42" ht="16.5" customHeight="1">
      <c r="A7879" s="434"/>
      <c r="B7879" s="437" t="s">
        <v>3502</v>
      </c>
      <c r="C7879" s="439"/>
      <c r="D7879" s="439"/>
      <c r="E7879" s="439"/>
      <c r="F7879" s="439"/>
      <c r="G7879" s="451" t="s">
        <v>3503</v>
      </c>
      <c r="Z7879" s="500"/>
      <c r="AA7879" s="500"/>
      <c r="AB7879" s="500"/>
      <c r="AC7879" s="500"/>
      <c r="AD7879" s="500"/>
      <c r="AE7879" s="500"/>
      <c r="AF7879" s="500"/>
      <c r="AG7879" s="500"/>
      <c r="AH7879" s="500"/>
      <c r="AI7879" s="500"/>
      <c r="AJ7879" s="500"/>
      <c r="AK7879" s="500"/>
      <c r="AL7879" s="500"/>
      <c r="AM7879" s="500"/>
      <c r="AN7879" s="500"/>
      <c r="AO7879" s="500"/>
      <c r="AP7879" s="500"/>
    </row>
    <row r="7880" spans="1:42" ht="16.5" customHeight="1">
      <c r="A7880" s="439"/>
      <c r="B7880" s="439"/>
      <c r="C7880" s="439"/>
      <c r="D7880" s="439"/>
      <c r="E7880" s="439"/>
      <c r="F7880" s="439"/>
      <c r="G7880" s="451" t="s">
        <v>3406</v>
      </c>
      <c r="Z7880" s="500"/>
      <c r="AA7880" s="500"/>
      <c r="AB7880" s="500"/>
      <c r="AC7880" s="500"/>
      <c r="AD7880" s="500"/>
      <c r="AE7880" s="500"/>
      <c r="AF7880" s="500"/>
      <c r="AG7880" s="500"/>
      <c r="AH7880" s="500"/>
      <c r="AI7880" s="500"/>
      <c r="AJ7880" s="500"/>
      <c r="AK7880" s="500"/>
      <c r="AL7880" s="500"/>
      <c r="AM7880" s="500"/>
      <c r="AN7880" s="500"/>
      <c r="AO7880" s="500"/>
      <c r="AP7880" s="500"/>
    </row>
    <row r="7881" spans="1:42" ht="16.5" customHeight="1">
      <c r="A7881" s="434" t="s">
        <v>3504</v>
      </c>
      <c r="B7881" s="505" t="str">
        <f>"  유기질비료 수목이식·식재용 : "&amp;TEXT(I7881,"#,##0"&amp;IF(I7881&lt;&gt;INT(I7881),".###",""))&amp;" * "&amp;AA7881&amp;" KG  / Q = "&amp;TEXT(C7881,"#,##0.0")&amp;""</f>
        <v xml:space="preserve">  유기질비료 수목이식·식재용 : 500 * 110 KG  / Q = 50.0</v>
      </c>
      <c r="C7881" s="506">
        <f>E7881+D7881+F7881</f>
        <v>50</v>
      </c>
      <c r="D7881" s="506">
        <f>IF(H7881=0,0,ROUNDDOWN(J7881*H7881,1))</f>
        <v>0</v>
      </c>
      <c r="E7881" s="506">
        <f>IF(H7881=0,0,ROUNDDOWN(K7881*H7881,1))</f>
        <v>50</v>
      </c>
      <c r="F7881" s="506">
        <f>IF(H7881=0,0,ROUNDDOWN(L7881*H7881,1))</f>
        <v>0</v>
      </c>
      <c r="G7881" s="451" t="s">
        <v>4302</v>
      </c>
      <c r="H7881" s="507">
        <f>ROUNDUP(AE7881,14-LEN(ABS(INT(AE7881))))</f>
        <v>0.1</v>
      </c>
      <c r="I7881" s="508">
        <f>K7881+J7881+L7881</f>
        <v>500</v>
      </c>
      <c r="K7881" s="509">
        <f>재료비목록표!E78</f>
        <v>500</v>
      </c>
      <c r="M7881" s="501" t="s">
        <v>3506</v>
      </c>
      <c r="N7881" s="501" t="s">
        <v>3416</v>
      </c>
      <c r="X7881" s="510" t="str">
        <f>재료비목록표!B78&amp;" / "&amp;재료비목록표!C78</f>
        <v>유기질비료 / 수목이식·식재용</v>
      </c>
      <c r="Y7881" s="433" t="str">
        <f ca="1">HYPERLINK("#"&amp;재료비목록표!G2&amp;"!A"&amp;ROW(재료비목록표!A78),"M01159 →")</f>
        <v>M01159 →</v>
      </c>
      <c r="Z7881" s="501" t="s">
        <v>3500</v>
      </c>
      <c r="AA7881" s="515">
        <v>110</v>
      </c>
      <c r="AB7881" s="501" t="s">
        <v>3428</v>
      </c>
      <c r="AC7881" s="512">
        <f>AB7862</f>
        <v>1100</v>
      </c>
      <c r="AD7881" s="501" t="s">
        <v>3418</v>
      </c>
      <c r="AE7881" s="512">
        <f>1*AA7881/AB7862</f>
        <v>0.1</v>
      </c>
      <c r="AF7881" s="500"/>
      <c r="AG7881" s="500"/>
      <c r="AH7881" s="500"/>
      <c r="AI7881" s="500"/>
      <c r="AJ7881" s="500"/>
      <c r="AK7881" s="500"/>
      <c r="AL7881" s="500"/>
      <c r="AM7881" s="500"/>
      <c r="AN7881" s="500"/>
      <c r="AO7881" s="500"/>
      <c r="AP7881" s="500"/>
    </row>
    <row r="7882" spans="1:42" ht="16.5" customHeight="1">
      <c r="A7882" s="439"/>
      <c r="B7882" s="439"/>
      <c r="C7882" s="439"/>
      <c r="D7882" s="439"/>
      <c r="E7882" s="439"/>
      <c r="F7882" s="439"/>
      <c r="G7882" s="451" t="s">
        <v>3406</v>
      </c>
      <c r="Z7882" s="500"/>
      <c r="AA7882" s="500"/>
      <c r="AB7882" s="500"/>
      <c r="AC7882" s="500"/>
      <c r="AD7882" s="500"/>
      <c r="AE7882" s="500"/>
      <c r="AF7882" s="500"/>
      <c r="AG7882" s="500"/>
      <c r="AH7882" s="500"/>
      <c r="AI7882" s="500"/>
      <c r="AJ7882" s="500"/>
      <c r="AK7882" s="500"/>
      <c r="AL7882" s="500"/>
      <c r="AM7882" s="500"/>
      <c r="AN7882" s="500"/>
      <c r="AO7882" s="500"/>
      <c r="AP7882" s="500"/>
    </row>
    <row r="7883" spans="1:42" ht="16.5" customHeight="1">
      <c r="A7883" s="434"/>
      <c r="B7883" s="437" t="s">
        <v>3419</v>
      </c>
      <c r="C7883" s="513">
        <f>E7883+D7883+F7883</f>
        <v>50</v>
      </c>
      <c r="D7883" s="513">
        <f>SUMIF(N7877:N7882,M7883,D7877:D7882)</f>
        <v>0</v>
      </c>
      <c r="E7883" s="513">
        <f>SUMIF(N7877:N7882,M7883,E7877:E7882)</f>
        <v>50</v>
      </c>
      <c r="F7883" s="513">
        <f>SUMIF(N7877:N7882,M7883,F7877:F7882)</f>
        <v>0</v>
      </c>
      <c r="G7883" s="451" t="s">
        <v>3439</v>
      </c>
      <c r="M7883" s="501" t="s">
        <v>3416</v>
      </c>
      <c r="N7883" s="501" t="s">
        <v>3421</v>
      </c>
      <c r="Z7883" s="500"/>
      <c r="AA7883" s="500"/>
      <c r="AB7883" s="500"/>
      <c r="AC7883" s="500"/>
      <c r="AD7883" s="500"/>
      <c r="AE7883" s="500"/>
      <c r="AF7883" s="500"/>
      <c r="AG7883" s="500"/>
      <c r="AH7883" s="500"/>
      <c r="AI7883" s="500"/>
      <c r="AJ7883" s="500"/>
      <c r="AK7883" s="500"/>
      <c r="AL7883" s="500"/>
      <c r="AM7883" s="500"/>
      <c r="AN7883" s="500"/>
      <c r="AO7883" s="500"/>
      <c r="AP7883" s="500"/>
    </row>
    <row r="7884" spans="1:42" ht="16.5" customHeight="1">
      <c r="A7884" s="439"/>
      <c r="B7884" s="439"/>
      <c r="C7884" s="504"/>
      <c r="D7884" s="504"/>
      <c r="E7884" s="504"/>
      <c r="F7884" s="504"/>
      <c r="G7884" s="451" t="s">
        <v>3406</v>
      </c>
      <c r="Z7884" s="500"/>
      <c r="AA7884" s="500"/>
      <c r="AB7884" s="500"/>
      <c r="AC7884" s="500"/>
      <c r="AD7884" s="500"/>
      <c r="AE7884" s="500"/>
      <c r="AF7884" s="500"/>
      <c r="AG7884" s="500"/>
      <c r="AH7884" s="500"/>
      <c r="AI7884" s="500"/>
      <c r="AJ7884" s="500"/>
      <c r="AK7884" s="500"/>
      <c r="AL7884" s="500"/>
      <c r="AM7884" s="500"/>
      <c r="AN7884" s="500"/>
      <c r="AO7884" s="500"/>
      <c r="AP7884" s="500"/>
    </row>
    <row r="7885" spans="1:42" ht="16.5" customHeight="1">
      <c r="A7885" s="434"/>
      <c r="B7885" s="505" t="str">
        <f>"  산지할증 : "&amp;TEXT(I7885,"#,##0.0")&amp;" * "&amp;AA7885&amp;" %  = "&amp;TEXT(C7885,"#,##0.0")&amp;""</f>
        <v xml:space="preserve">  산지할증 : 797.8 * 15 %  = 119.6</v>
      </c>
      <c r="C7885" s="506">
        <f>E7885+D7885+F7885</f>
        <v>119.6</v>
      </c>
      <c r="D7885" s="506">
        <f>IF(H7885=0,0,ROUNDDOWN(J7885*H7885/100,1))</f>
        <v>119.6</v>
      </c>
      <c r="E7885" s="506">
        <f>IF(H7885=0,0,ROUNDDOWN(K7885*H7885/100,1))</f>
        <v>0</v>
      </c>
      <c r="F7885" s="506">
        <f>IF(H7885=0,0,ROUNDDOWN(L7885*H7885/100,1))</f>
        <v>0</v>
      </c>
      <c r="G7885" s="451" t="s">
        <v>5587</v>
      </c>
      <c r="H7885" s="507">
        <f>ROUNDUP(AC7885,14-LEN(ABS(INT(AC7885))))</f>
        <v>15</v>
      </c>
      <c r="I7885" s="508">
        <f>K7885+J7885+L7885</f>
        <v>797.8</v>
      </c>
      <c r="J7885" s="508">
        <f>D7876+D7883+SUMIF(N7884:N7884,N7885,D7884:D7884)</f>
        <v>797.8</v>
      </c>
      <c r="K7885" s="456">
        <v>0</v>
      </c>
      <c r="L7885" s="456">
        <v>0</v>
      </c>
      <c r="M7885" s="501" t="s">
        <v>4208</v>
      </c>
      <c r="N7885" s="501" t="s">
        <v>3416</v>
      </c>
      <c r="Z7885" s="501" t="s">
        <v>3500</v>
      </c>
      <c r="AA7885" s="515">
        <v>15</v>
      </c>
      <c r="AB7885" s="501" t="s">
        <v>3418</v>
      </c>
      <c r="AC7885" s="512">
        <f>1*AA7885</f>
        <v>15</v>
      </c>
      <c r="AD7885" s="500"/>
      <c r="AE7885" s="500"/>
      <c r="AF7885" s="500"/>
      <c r="AG7885" s="500"/>
      <c r="AH7885" s="500"/>
      <c r="AI7885" s="500"/>
      <c r="AJ7885" s="500"/>
      <c r="AK7885" s="500"/>
      <c r="AL7885" s="500"/>
      <c r="AM7885" s="500"/>
      <c r="AN7885" s="500"/>
      <c r="AO7885" s="500"/>
      <c r="AP7885" s="500"/>
    </row>
    <row r="7886" spans="1:42" ht="16.5" customHeight="1">
      <c r="A7886" s="439"/>
      <c r="B7886" s="439"/>
      <c r="C7886" s="439"/>
      <c r="D7886" s="439"/>
      <c r="E7886" s="439"/>
      <c r="F7886" s="439"/>
      <c r="G7886" s="451" t="s">
        <v>3406</v>
      </c>
      <c r="Z7886" s="500"/>
      <c r="AA7886" s="500"/>
      <c r="AB7886" s="500"/>
      <c r="AC7886" s="500"/>
      <c r="AD7886" s="500"/>
      <c r="AE7886" s="500"/>
      <c r="AF7886" s="500"/>
      <c r="AG7886" s="500"/>
      <c r="AH7886" s="500"/>
      <c r="AI7886" s="500"/>
      <c r="AJ7886" s="500"/>
      <c r="AK7886" s="500"/>
      <c r="AL7886" s="500"/>
      <c r="AM7886" s="500"/>
      <c r="AN7886" s="500"/>
      <c r="AO7886" s="500"/>
      <c r="AP7886" s="500"/>
    </row>
    <row r="7887" spans="1:42" ht="16.5" customHeight="1">
      <c r="A7887" s="434"/>
      <c r="B7887" s="437" t="s">
        <v>3419</v>
      </c>
      <c r="C7887" s="513">
        <f>E7887+D7887+F7887</f>
        <v>119.6</v>
      </c>
      <c r="D7887" s="513">
        <f>SUMIF(N7884:N7886,M7887,D7884:D7886)</f>
        <v>119.6</v>
      </c>
      <c r="E7887" s="513">
        <f>SUMIF(N7884:N7886,M7887,E7884:E7886)</f>
        <v>0</v>
      </c>
      <c r="F7887" s="513">
        <f>SUMIF(N7884:N7886,M7887,F7884:F7886)</f>
        <v>0</v>
      </c>
      <c r="G7887" s="451" t="s">
        <v>3439</v>
      </c>
      <c r="M7887" s="501" t="s">
        <v>3416</v>
      </c>
      <c r="N7887" s="501" t="s">
        <v>3421</v>
      </c>
      <c r="Z7887" s="500"/>
      <c r="AA7887" s="500"/>
      <c r="AB7887" s="500"/>
      <c r="AC7887" s="500"/>
      <c r="AD7887" s="500"/>
      <c r="AE7887" s="500"/>
      <c r="AF7887" s="500"/>
      <c r="AG7887" s="500"/>
      <c r="AH7887" s="500"/>
      <c r="AI7887" s="500"/>
      <c r="AJ7887" s="500"/>
      <c r="AK7887" s="500"/>
      <c r="AL7887" s="500"/>
      <c r="AM7887" s="500"/>
      <c r="AN7887" s="500"/>
      <c r="AO7887" s="500"/>
      <c r="AP7887" s="500"/>
    </row>
    <row r="7888" spans="1:42" ht="16.5" customHeight="1">
      <c r="A7888" s="439"/>
      <c r="B7888" s="439"/>
      <c r="C7888" s="504"/>
      <c r="D7888" s="504"/>
      <c r="E7888" s="504"/>
      <c r="F7888" s="504"/>
      <c r="G7888" s="451" t="s">
        <v>3406</v>
      </c>
      <c r="Z7888" s="500"/>
      <c r="AA7888" s="500"/>
      <c r="AB7888" s="500"/>
      <c r="AC7888" s="500"/>
      <c r="AD7888" s="500"/>
      <c r="AE7888" s="500"/>
      <c r="AF7888" s="500"/>
      <c r="AG7888" s="500"/>
      <c r="AH7888" s="500"/>
      <c r="AI7888" s="500"/>
      <c r="AJ7888" s="500"/>
      <c r="AK7888" s="500"/>
      <c r="AL7888" s="500"/>
      <c r="AM7888" s="500"/>
      <c r="AN7888" s="500"/>
      <c r="AO7888" s="500"/>
      <c r="AP7888" s="500"/>
    </row>
    <row r="7889" spans="1:42" ht="16.5" customHeight="1">
      <c r="A7889" s="434"/>
      <c r="B7889" s="437" t="s">
        <v>3440</v>
      </c>
      <c r="C7889" s="513">
        <f>E7889+D7889+F7889</f>
        <v>967.4</v>
      </c>
      <c r="D7889" s="513">
        <f>SUMIF(N7857:N7888,M7889,D7857:D7888)</f>
        <v>917.4</v>
      </c>
      <c r="E7889" s="513">
        <f>SUMIF(N7857:N7888,M7889,E7857:E7888)</f>
        <v>50</v>
      </c>
      <c r="F7889" s="513">
        <f>SUMIF(N7857:N7888,M7889,F7857:F7888)</f>
        <v>0</v>
      </c>
      <c r="G7889" s="451" t="s">
        <v>3441</v>
      </c>
      <c r="M7889" s="501" t="s">
        <v>3421</v>
      </c>
      <c r="N7889" s="501" t="s">
        <v>2354</v>
      </c>
      <c r="Z7889" s="500"/>
      <c r="AA7889" s="500"/>
      <c r="AB7889" s="500"/>
      <c r="AC7889" s="500"/>
      <c r="AD7889" s="500"/>
      <c r="AE7889" s="500"/>
      <c r="AF7889" s="500"/>
      <c r="AG7889" s="500"/>
      <c r="AH7889" s="500"/>
      <c r="AI7889" s="500"/>
      <c r="AJ7889" s="500"/>
      <c r="AK7889" s="500"/>
      <c r="AL7889" s="500"/>
      <c r="AM7889" s="500"/>
      <c r="AN7889" s="500"/>
      <c r="AO7889" s="500"/>
      <c r="AP7889" s="500"/>
    </row>
    <row r="7890" spans="1:42" ht="16.5" customHeight="1">
      <c r="A7890" s="439"/>
      <c r="B7890" s="439"/>
      <c r="C7890" s="504"/>
      <c r="D7890" s="504"/>
      <c r="E7890" s="504"/>
      <c r="F7890" s="504"/>
      <c r="G7890" s="451" t="s">
        <v>3413</v>
      </c>
      <c r="Z7890" s="500"/>
      <c r="AA7890" s="500"/>
      <c r="AB7890" s="500"/>
      <c r="AC7890" s="500"/>
      <c r="AD7890" s="500"/>
      <c r="AE7890" s="500"/>
      <c r="AF7890" s="500"/>
      <c r="AG7890" s="500"/>
      <c r="AH7890" s="500"/>
      <c r="AI7890" s="500"/>
      <c r="AJ7890" s="500"/>
      <c r="AK7890" s="500"/>
      <c r="AL7890" s="500"/>
      <c r="AM7890" s="500"/>
      <c r="AN7890" s="500"/>
      <c r="AO7890" s="500"/>
      <c r="AP7890" s="500"/>
    </row>
    <row r="7891" spans="1:42" ht="16.5" customHeight="1">
      <c r="A7891" s="439"/>
      <c r="B7891" s="439"/>
      <c r="C7891" s="439"/>
      <c r="D7891" s="439"/>
      <c r="E7891" s="439"/>
      <c r="F7891" s="439"/>
      <c r="Z7891" s="500"/>
      <c r="AA7891" s="500"/>
      <c r="AB7891" s="500"/>
      <c r="AC7891" s="500"/>
      <c r="AD7891" s="500"/>
      <c r="AE7891" s="500"/>
      <c r="AF7891" s="500"/>
      <c r="AG7891" s="500"/>
      <c r="AH7891" s="500"/>
      <c r="AI7891" s="500"/>
      <c r="AJ7891" s="500"/>
      <c r="AK7891" s="500"/>
      <c r="AL7891" s="500"/>
      <c r="AM7891" s="500"/>
      <c r="AN7891" s="500"/>
      <c r="AO7891" s="500"/>
      <c r="AP7891" s="500"/>
    </row>
    <row r="7892" spans="1:42" ht="16.5" customHeight="1">
      <c r="A7892" s="439"/>
      <c r="B7892" s="439"/>
      <c r="C7892" s="439"/>
      <c r="D7892" s="439"/>
      <c r="E7892" s="439"/>
      <c r="F7892" s="439"/>
      <c r="Z7892" s="500"/>
      <c r="AA7892" s="500"/>
      <c r="AB7892" s="500"/>
      <c r="AC7892" s="500"/>
      <c r="AD7892" s="500"/>
      <c r="AE7892" s="500"/>
      <c r="AF7892" s="500"/>
      <c r="AG7892" s="500"/>
      <c r="AH7892" s="500"/>
      <c r="AI7892" s="500"/>
      <c r="AJ7892" s="500"/>
      <c r="AK7892" s="500"/>
      <c r="AL7892" s="500"/>
      <c r="AM7892" s="500"/>
      <c r="AN7892" s="500"/>
      <c r="AO7892" s="500"/>
      <c r="AP7892" s="500"/>
    </row>
    <row r="7893" spans="1:42" ht="16.5" customHeight="1">
      <c r="A7893" s="439"/>
      <c r="B7893" s="439"/>
      <c r="C7893" s="439"/>
      <c r="D7893" s="439"/>
      <c r="E7893" s="439"/>
      <c r="F7893" s="439"/>
      <c r="Z7893" s="500"/>
      <c r="AA7893" s="500"/>
      <c r="AB7893" s="500"/>
      <c r="AC7893" s="500"/>
      <c r="AD7893" s="500"/>
      <c r="AE7893" s="500"/>
      <c r="AF7893" s="500"/>
      <c r="AG7893" s="500"/>
      <c r="AH7893" s="500"/>
      <c r="AI7893" s="500"/>
      <c r="AJ7893" s="500"/>
      <c r="AK7893" s="500"/>
      <c r="AL7893" s="500"/>
      <c r="AM7893" s="500"/>
      <c r="AN7893" s="500"/>
      <c r="AO7893" s="500"/>
      <c r="AP7893" s="500"/>
    </row>
    <row r="7894" spans="1:42" ht="16.5" customHeight="1">
      <c r="A7894" s="439"/>
      <c r="B7894" s="439"/>
      <c r="C7894" s="439"/>
      <c r="D7894" s="439"/>
      <c r="E7894" s="439"/>
      <c r="F7894" s="439"/>
      <c r="Z7894" s="500"/>
      <c r="AA7894" s="500"/>
      <c r="AB7894" s="500"/>
      <c r="AC7894" s="500"/>
      <c r="AD7894" s="500"/>
      <c r="AE7894" s="500"/>
      <c r="AF7894" s="500"/>
      <c r="AG7894" s="500"/>
      <c r="AH7894" s="500"/>
      <c r="AI7894" s="500"/>
      <c r="AJ7894" s="500"/>
      <c r="AK7894" s="500"/>
      <c r="AL7894" s="500"/>
      <c r="AM7894" s="500"/>
      <c r="AN7894" s="500"/>
      <c r="AO7894" s="500"/>
      <c r="AP7894" s="500"/>
    </row>
    <row r="7895" spans="1:42" ht="16.5" customHeight="1">
      <c r="A7895" s="439"/>
      <c r="B7895" s="439"/>
      <c r="C7895" s="439"/>
      <c r="D7895" s="439"/>
      <c r="E7895" s="439"/>
      <c r="F7895" s="439"/>
      <c r="Z7895" s="500"/>
      <c r="AA7895" s="500"/>
      <c r="AB7895" s="500"/>
      <c r="AC7895" s="500"/>
      <c r="AD7895" s="500"/>
      <c r="AE7895" s="500"/>
      <c r="AF7895" s="500"/>
      <c r="AG7895" s="500"/>
      <c r="AH7895" s="500"/>
      <c r="AI7895" s="500"/>
      <c r="AJ7895" s="500"/>
      <c r="AK7895" s="500"/>
      <c r="AL7895" s="500"/>
      <c r="AM7895" s="500"/>
      <c r="AN7895" s="500"/>
      <c r="AO7895" s="500"/>
      <c r="AP7895" s="500"/>
    </row>
    <row r="7896" spans="1:42" ht="16.5" customHeight="1">
      <c r="A7896" s="439"/>
      <c r="B7896" s="439"/>
      <c r="C7896" s="439"/>
      <c r="D7896" s="439"/>
      <c r="E7896" s="439"/>
      <c r="F7896" s="439"/>
      <c r="Z7896" s="500"/>
      <c r="AA7896" s="500"/>
      <c r="AB7896" s="500"/>
      <c r="AC7896" s="500"/>
      <c r="AD7896" s="500"/>
      <c r="AE7896" s="500"/>
      <c r="AF7896" s="500"/>
      <c r="AG7896" s="500"/>
      <c r="AH7896" s="500"/>
      <c r="AI7896" s="500"/>
      <c r="AJ7896" s="500"/>
      <c r="AK7896" s="500"/>
      <c r="AL7896" s="500"/>
      <c r="AM7896" s="500"/>
      <c r="AN7896" s="500"/>
      <c r="AO7896" s="500"/>
      <c r="AP7896" s="500"/>
    </row>
    <row r="7897" spans="1:42" ht="16.5" customHeight="1">
      <c r="A7897" s="439"/>
      <c r="B7897" s="439"/>
      <c r="C7897" s="439"/>
      <c r="D7897" s="439"/>
      <c r="E7897" s="439"/>
      <c r="F7897" s="439"/>
      <c r="Z7897" s="500"/>
      <c r="AA7897" s="500"/>
      <c r="AB7897" s="500"/>
      <c r="AC7897" s="500"/>
      <c r="AD7897" s="500"/>
      <c r="AE7897" s="500"/>
      <c r="AF7897" s="500"/>
      <c r="AG7897" s="500"/>
      <c r="AH7897" s="500"/>
      <c r="AI7897" s="500"/>
      <c r="AJ7897" s="500"/>
      <c r="AK7897" s="500"/>
      <c r="AL7897" s="500"/>
      <c r="AM7897" s="500"/>
      <c r="AN7897" s="500"/>
      <c r="AO7897" s="500"/>
      <c r="AP7897" s="500"/>
    </row>
    <row r="7898" spans="1:42" ht="16.5" customHeight="1">
      <c r="A7898" s="439"/>
      <c r="B7898" s="439"/>
      <c r="C7898" s="439"/>
      <c r="D7898" s="439"/>
      <c r="E7898" s="439"/>
      <c r="F7898" s="439"/>
      <c r="Z7898" s="500"/>
      <c r="AA7898" s="500"/>
      <c r="AB7898" s="500"/>
      <c r="AC7898" s="500"/>
      <c r="AD7898" s="500"/>
      <c r="AE7898" s="500"/>
      <c r="AF7898" s="500"/>
      <c r="AG7898" s="500"/>
      <c r="AH7898" s="500"/>
      <c r="AI7898" s="500"/>
      <c r="AJ7898" s="500"/>
      <c r="AK7898" s="500"/>
      <c r="AL7898" s="500"/>
      <c r="AM7898" s="500"/>
      <c r="AN7898" s="500"/>
      <c r="AO7898" s="500"/>
      <c r="AP7898" s="500"/>
    </row>
    <row r="7899" spans="1:42" ht="16.5" customHeight="1">
      <c r="A7899" s="439"/>
      <c r="B7899" s="439"/>
      <c r="C7899" s="439"/>
      <c r="D7899" s="439"/>
      <c r="E7899" s="439"/>
      <c r="F7899" s="439"/>
      <c r="Z7899" s="500"/>
      <c r="AA7899" s="500"/>
      <c r="AB7899" s="500"/>
      <c r="AC7899" s="500"/>
      <c r="AD7899" s="500"/>
      <c r="AE7899" s="500"/>
      <c r="AF7899" s="500"/>
      <c r="AG7899" s="500"/>
      <c r="AH7899" s="500"/>
      <c r="AI7899" s="500"/>
      <c r="AJ7899" s="500"/>
      <c r="AK7899" s="500"/>
      <c r="AL7899" s="500"/>
      <c r="AM7899" s="500"/>
      <c r="AN7899" s="500"/>
      <c r="AO7899" s="500"/>
      <c r="AP7899" s="500"/>
    </row>
    <row r="7900" spans="1:42" ht="16.5" customHeight="1">
      <c r="A7900" s="439"/>
      <c r="B7900" s="439"/>
      <c r="C7900" s="439"/>
      <c r="D7900" s="439"/>
      <c r="E7900" s="439"/>
      <c r="F7900" s="439"/>
      <c r="Z7900" s="500"/>
      <c r="AA7900" s="500"/>
      <c r="AB7900" s="500"/>
      <c r="AC7900" s="500"/>
      <c r="AD7900" s="500"/>
      <c r="AE7900" s="500"/>
      <c r="AF7900" s="500"/>
      <c r="AG7900" s="500"/>
      <c r="AH7900" s="500"/>
      <c r="AI7900" s="500"/>
      <c r="AJ7900" s="500"/>
      <c r="AK7900" s="500"/>
      <c r="AL7900" s="500"/>
      <c r="AM7900" s="500"/>
      <c r="AN7900" s="500"/>
      <c r="AO7900" s="500"/>
      <c r="AP7900" s="500"/>
    </row>
    <row r="7901" spans="1:42" ht="16.5" customHeight="1">
      <c r="A7901" s="439"/>
      <c r="B7901" s="439"/>
      <c r="C7901" s="439"/>
      <c r="D7901" s="439"/>
      <c r="E7901" s="439"/>
      <c r="F7901" s="439"/>
      <c r="Z7901" s="500"/>
      <c r="AA7901" s="500"/>
      <c r="AB7901" s="500"/>
      <c r="AC7901" s="500"/>
      <c r="AD7901" s="500"/>
      <c r="AE7901" s="500"/>
      <c r="AF7901" s="500"/>
      <c r="AG7901" s="500"/>
      <c r="AH7901" s="500"/>
      <c r="AI7901" s="500"/>
      <c r="AJ7901" s="500"/>
      <c r="AK7901" s="500"/>
      <c r="AL7901" s="500"/>
      <c r="AM7901" s="500"/>
      <c r="AN7901" s="500"/>
      <c r="AO7901" s="500"/>
      <c r="AP7901" s="500"/>
    </row>
    <row r="7902" spans="1:42" ht="16.5" customHeight="1">
      <c r="A7902" s="439"/>
      <c r="B7902" s="439"/>
      <c r="C7902" s="439"/>
      <c r="D7902" s="439"/>
      <c r="E7902" s="439"/>
      <c r="F7902" s="439"/>
      <c r="Z7902" s="500"/>
      <c r="AA7902" s="500"/>
      <c r="AB7902" s="500"/>
      <c r="AC7902" s="500"/>
      <c r="AD7902" s="500"/>
      <c r="AE7902" s="500"/>
      <c r="AF7902" s="500"/>
      <c r="AG7902" s="500"/>
      <c r="AH7902" s="500"/>
      <c r="AI7902" s="500"/>
      <c r="AJ7902" s="500"/>
      <c r="AK7902" s="500"/>
      <c r="AL7902" s="500"/>
      <c r="AM7902" s="500"/>
      <c r="AN7902" s="500"/>
      <c r="AO7902" s="500"/>
      <c r="AP7902" s="500"/>
    </row>
    <row r="7903" spans="1:42" ht="16.5" customHeight="1">
      <c r="A7903" s="497"/>
      <c r="B7903" s="497"/>
      <c r="C7903" s="497"/>
      <c r="D7903" s="497"/>
      <c r="E7903" s="497"/>
      <c r="F7903" s="497"/>
      <c r="Z7903" s="500"/>
      <c r="AA7903" s="500"/>
      <c r="AB7903" s="500"/>
      <c r="AC7903" s="500"/>
      <c r="AD7903" s="500"/>
      <c r="AE7903" s="500"/>
      <c r="AF7903" s="500"/>
      <c r="AG7903" s="500"/>
      <c r="AH7903" s="500"/>
      <c r="AI7903" s="500"/>
      <c r="AJ7903" s="500"/>
      <c r="AK7903" s="500"/>
      <c r="AL7903" s="500"/>
      <c r="AM7903" s="500"/>
      <c r="AN7903" s="500"/>
      <c r="AO7903" s="500"/>
      <c r="AP7903" s="500"/>
    </row>
    <row r="7904" spans="1:42" ht="16.5" customHeight="1">
      <c r="A7904" s="616" t="s">
        <v>3487</v>
      </c>
      <c r="B7904" s="605"/>
      <c r="C7904" s="446">
        <f>E7904+D7904+F7904</f>
        <v>967</v>
      </c>
      <c r="D7904" s="453">
        <f>ROUNDDOWN(SUMIF(N7857:N7890,M7904,D7857:D7890),0)</f>
        <v>917</v>
      </c>
      <c r="E7904" s="454">
        <f>ROUNDDOWN(SUMIF(N7857:N7890,M7904,E7857:E7890),0)</f>
        <v>50</v>
      </c>
      <c r="F7904" s="446">
        <f>ROUNDDOWN(SUMIF(N7857:N7890,M7904,F7857:F7890),0)</f>
        <v>0</v>
      </c>
      <c r="M7904" s="501" t="s">
        <v>2354</v>
      </c>
      <c r="Z7904" s="500"/>
      <c r="AA7904" s="500"/>
      <c r="AB7904" s="500"/>
      <c r="AC7904" s="500"/>
      <c r="AD7904" s="500"/>
      <c r="AE7904" s="500"/>
      <c r="AF7904" s="500"/>
      <c r="AG7904" s="500"/>
      <c r="AH7904" s="500"/>
      <c r="AI7904" s="500"/>
      <c r="AJ7904" s="500"/>
      <c r="AK7904" s="500"/>
      <c r="AL7904" s="500"/>
      <c r="AM7904" s="500"/>
      <c r="AN7904" s="500"/>
      <c r="AO7904" s="500"/>
      <c r="AP7904" s="500"/>
    </row>
    <row r="7905" spans="1:42" ht="16.5" customHeight="1">
      <c r="A7905" s="502"/>
      <c r="B7905" s="503" t="s">
        <v>5406</v>
      </c>
      <c r="C7905" s="615">
        <f>C7954</f>
        <v>423</v>
      </c>
      <c r="D7905" s="615">
        <f>D7954</f>
        <v>373</v>
      </c>
      <c r="E7905" s="615">
        <f>E7954</f>
        <v>50</v>
      </c>
      <c r="F7905" s="615">
        <f>F7954</f>
        <v>0</v>
      </c>
      <c r="G7905" s="486" t="str">
        <f>HYPERLINK("#G"&amp;ROW(G7940),"_x0005_`BDCOD|D01359_x0007_`POSS|"&amp;ROW(G7907)&amp;"_x0007_`POSE|"&amp;ROW(G7940)&amp;"_x0007_`")</f>
        <v>_x0005_`BDCOD|D01359_x0007_`POSS|7907_x0007_`POSE|7940_x0007_`</v>
      </c>
      <c r="Z7905" s="500"/>
      <c r="AA7905" s="500"/>
      <c r="AB7905" s="500"/>
      <c r="AC7905" s="500"/>
      <c r="AD7905" s="500"/>
      <c r="AE7905" s="500"/>
      <c r="AF7905" s="500"/>
      <c r="AG7905" s="500"/>
      <c r="AH7905" s="500"/>
      <c r="AI7905" s="500"/>
      <c r="AJ7905" s="500"/>
      <c r="AK7905" s="500"/>
      <c r="AL7905" s="500"/>
      <c r="AM7905" s="500"/>
      <c r="AN7905" s="500"/>
      <c r="AO7905" s="500"/>
      <c r="AP7905" s="500"/>
    </row>
    <row r="7906" spans="1:42" ht="16.5" customHeight="1">
      <c r="A7906" s="485"/>
      <c r="B7906" s="503" t="s">
        <v>5640</v>
      </c>
      <c r="C7906" s="593"/>
      <c r="D7906" s="593"/>
      <c r="E7906" s="593"/>
      <c r="F7906" s="593"/>
      <c r="M7906" s="501" t="s">
        <v>5406</v>
      </c>
      <c r="Z7906" s="500"/>
      <c r="AA7906" s="500"/>
      <c r="AB7906" s="500"/>
      <c r="AC7906" s="500"/>
      <c r="AD7906" s="500"/>
      <c r="AE7906" s="500"/>
      <c r="AF7906" s="500"/>
      <c r="AG7906" s="500"/>
      <c r="AH7906" s="500"/>
      <c r="AI7906" s="500"/>
      <c r="AJ7906" s="500"/>
      <c r="AK7906" s="500"/>
      <c r="AL7906" s="500"/>
      <c r="AM7906" s="500"/>
      <c r="AN7906" s="500"/>
      <c r="AO7906" s="500"/>
      <c r="AP7906" s="500"/>
    </row>
    <row r="7907" spans="1:42" ht="16.5" customHeight="1">
      <c r="A7907" s="439"/>
      <c r="B7907" s="439"/>
      <c r="C7907" s="504"/>
      <c r="D7907" s="504"/>
      <c r="E7907" s="504"/>
      <c r="F7907" s="504"/>
      <c r="G7907" s="451" t="s">
        <v>3406</v>
      </c>
      <c r="Z7907" s="500"/>
      <c r="AA7907" s="500"/>
      <c r="AB7907" s="500"/>
      <c r="AC7907" s="500"/>
      <c r="AD7907" s="500"/>
      <c r="AE7907" s="500"/>
      <c r="AF7907" s="500"/>
      <c r="AG7907" s="500"/>
      <c r="AH7907" s="500"/>
      <c r="AI7907" s="500"/>
      <c r="AJ7907" s="500"/>
      <c r="AK7907" s="500"/>
      <c r="AL7907" s="500"/>
      <c r="AM7907" s="500"/>
      <c r="AN7907" s="500"/>
      <c r="AO7907" s="500"/>
      <c r="AP7907" s="500"/>
    </row>
    <row r="7908" spans="1:42" ht="16.5" customHeight="1">
      <c r="A7908" s="434"/>
      <c r="B7908" s="437" t="s">
        <v>4304</v>
      </c>
      <c r="C7908" s="439"/>
      <c r="D7908" s="439"/>
      <c r="E7908" s="439"/>
      <c r="F7908" s="439"/>
      <c r="G7908" s="451" t="s">
        <v>4305</v>
      </c>
      <c r="Z7908" s="500"/>
      <c r="AA7908" s="500"/>
      <c r="AB7908" s="500"/>
      <c r="AC7908" s="500"/>
      <c r="AD7908" s="500"/>
      <c r="AE7908" s="500"/>
      <c r="AF7908" s="500"/>
      <c r="AG7908" s="500"/>
      <c r="AH7908" s="500"/>
      <c r="AI7908" s="500"/>
      <c r="AJ7908" s="500"/>
      <c r="AK7908" s="500"/>
      <c r="AL7908" s="500"/>
      <c r="AM7908" s="500"/>
      <c r="AN7908" s="500"/>
      <c r="AO7908" s="500"/>
      <c r="AP7908" s="500"/>
    </row>
    <row r="7909" spans="1:42" ht="16.5" customHeight="1">
      <c r="A7909" s="439"/>
      <c r="B7909" s="439"/>
      <c r="C7909" s="439"/>
      <c r="D7909" s="439"/>
      <c r="E7909" s="439"/>
      <c r="F7909" s="439"/>
      <c r="G7909" s="451" t="s">
        <v>3406</v>
      </c>
      <c r="Z7909" s="500"/>
      <c r="AA7909" s="500"/>
      <c r="AB7909" s="500"/>
      <c r="AC7909" s="500"/>
      <c r="AD7909" s="500"/>
      <c r="AE7909" s="500"/>
      <c r="AF7909" s="500"/>
      <c r="AG7909" s="500"/>
      <c r="AH7909" s="500"/>
      <c r="AI7909" s="500"/>
      <c r="AJ7909" s="500"/>
      <c r="AK7909" s="500"/>
      <c r="AL7909" s="500"/>
      <c r="AM7909" s="500"/>
      <c r="AN7909" s="500"/>
      <c r="AO7909" s="500"/>
      <c r="AP7909" s="500"/>
    </row>
    <row r="7910" spans="1:42" ht="16.5" customHeight="1">
      <c r="A7910" s="434"/>
      <c r="B7910" s="437" t="s">
        <v>4294</v>
      </c>
      <c r="C7910" s="439"/>
      <c r="D7910" s="439"/>
      <c r="E7910" s="439"/>
      <c r="F7910" s="439"/>
      <c r="G7910" s="451" t="s">
        <v>4295</v>
      </c>
      <c r="Z7910" s="500"/>
      <c r="AA7910" s="500"/>
      <c r="AB7910" s="500"/>
      <c r="AC7910" s="500"/>
      <c r="AD7910" s="500"/>
      <c r="AE7910" s="500"/>
      <c r="AF7910" s="500"/>
      <c r="AG7910" s="500"/>
      <c r="AH7910" s="500"/>
      <c r="AI7910" s="500"/>
      <c r="AJ7910" s="500"/>
      <c r="AK7910" s="500"/>
      <c r="AL7910" s="500"/>
      <c r="AM7910" s="500"/>
      <c r="AN7910" s="500"/>
      <c r="AO7910" s="500"/>
      <c r="AP7910" s="500"/>
    </row>
    <row r="7911" spans="1:42" ht="16.5" customHeight="1">
      <c r="A7911" s="439"/>
      <c r="B7911" s="439"/>
      <c r="C7911" s="439"/>
      <c r="D7911" s="439"/>
      <c r="E7911" s="439"/>
      <c r="F7911" s="439"/>
      <c r="G7911" s="451" t="s">
        <v>3406</v>
      </c>
      <c r="Z7911" s="500"/>
      <c r="AA7911" s="500"/>
      <c r="AB7911" s="500"/>
      <c r="AC7911" s="500"/>
      <c r="AD7911" s="500"/>
      <c r="AE7911" s="500"/>
      <c r="AF7911" s="500"/>
      <c r="AG7911" s="500"/>
      <c r="AH7911" s="500"/>
      <c r="AI7911" s="500"/>
      <c r="AJ7911" s="500"/>
      <c r="AK7911" s="500"/>
      <c r="AL7911" s="500"/>
      <c r="AM7911" s="500"/>
      <c r="AN7911" s="500"/>
      <c r="AO7911" s="500"/>
      <c r="AP7911" s="500"/>
    </row>
    <row r="7912" spans="1:42" ht="16.5" customHeight="1">
      <c r="A7912" s="434"/>
      <c r="B7912" s="437" t="str">
        <f>" 일당 작업량 :   Q = "&amp;Z7912&amp;"  주 "</f>
        <v xml:space="preserve"> 일당 작업량 :   Q = 2700  주 </v>
      </c>
      <c r="C7912" s="439"/>
      <c r="D7912" s="439"/>
      <c r="E7912" s="439"/>
      <c r="F7912" s="439"/>
      <c r="G7912" s="451" t="s">
        <v>4306</v>
      </c>
      <c r="Z7912" s="515">
        <v>2700</v>
      </c>
      <c r="AA7912" s="501" t="s">
        <v>3418</v>
      </c>
      <c r="AB7912" s="512">
        <f>Z7912</f>
        <v>2700</v>
      </c>
      <c r="AC7912" s="500"/>
      <c r="AD7912" s="500"/>
      <c r="AE7912" s="500"/>
      <c r="AF7912" s="500"/>
      <c r="AG7912" s="500"/>
      <c r="AH7912" s="500"/>
      <c r="AI7912" s="500"/>
      <c r="AJ7912" s="500"/>
      <c r="AK7912" s="500"/>
      <c r="AL7912" s="500"/>
      <c r="AM7912" s="500"/>
      <c r="AN7912" s="500"/>
      <c r="AO7912" s="500"/>
      <c r="AP7912" s="500"/>
    </row>
    <row r="7913" spans="1:42" ht="16.5" customHeight="1">
      <c r="A7913" s="439"/>
      <c r="B7913" s="439"/>
      <c r="C7913" s="439"/>
      <c r="D7913" s="439"/>
      <c r="E7913" s="439"/>
      <c r="F7913" s="439"/>
      <c r="G7913" s="451" t="s">
        <v>3406</v>
      </c>
      <c r="Z7913" s="500"/>
      <c r="AA7913" s="500"/>
      <c r="AB7913" s="500"/>
      <c r="AC7913" s="500"/>
      <c r="AD7913" s="500"/>
      <c r="AE7913" s="500"/>
      <c r="AF7913" s="500"/>
      <c r="AG7913" s="500"/>
      <c r="AH7913" s="500"/>
      <c r="AI7913" s="500"/>
      <c r="AJ7913" s="500"/>
      <c r="AK7913" s="500"/>
      <c r="AL7913" s="500"/>
      <c r="AM7913" s="500"/>
      <c r="AN7913" s="500"/>
      <c r="AO7913" s="500"/>
      <c r="AP7913" s="500"/>
    </row>
    <row r="7914" spans="1:42" ht="16.5" customHeight="1">
      <c r="A7914" s="434"/>
      <c r="B7914" s="437" t="s">
        <v>3494</v>
      </c>
      <c r="C7914" s="439"/>
      <c r="D7914" s="439"/>
      <c r="E7914" s="439"/>
      <c r="F7914" s="439"/>
      <c r="G7914" s="451" t="s">
        <v>3495</v>
      </c>
      <c r="Z7914" s="500"/>
      <c r="AA7914" s="500"/>
      <c r="AB7914" s="500"/>
      <c r="AC7914" s="500"/>
      <c r="AD7914" s="500"/>
      <c r="AE7914" s="500"/>
      <c r="AF7914" s="500"/>
      <c r="AG7914" s="500"/>
      <c r="AH7914" s="500"/>
      <c r="AI7914" s="500"/>
      <c r="AJ7914" s="500"/>
      <c r="AK7914" s="500"/>
      <c r="AL7914" s="500"/>
      <c r="AM7914" s="500"/>
      <c r="AN7914" s="500"/>
      <c r="AO7914" s="500"/>
      <c r="AP7914" s="500"/>
    </row>
    <row r="7915" spans="1:42" ht="16.5" customHeight="1">
      <c r="A7915" s="439"/>
      <c r="B7915" s="439"/>
      <c r="C7915" s="439"/>
      <c r="D7915" s="439"/>
      <c r="E7915" s="439"/>
      <c r="F7915" s="439"/>
      <c r="G7915" s="451" t="s">
        <v>3406</v>
      </c>
      <c r="Z7915" s="500"/>
      <c r="AA7915" s="500"/>
      <c r="AB7915" s="500"/>
      <c r="AC7915" s="500"/>
      <c r="AD7915" s="500"/>
      <c r="AE7915" s="500"/>
      <c r="AF7915" s="500"/>
      <c r="AG7915" s="500"/>
      <c r="AH7915" s="500"/>
      <c r="AI7915" s="500"/>
      <c r="AJ7915" s="500"/>
      <c r="AK7915" s="500"/>
      <c r="AL7915" s="500"/>
      <c r="AM7915" s="500"/>
      <c r="AN7915" s="500"/>
      <c r="AO7915" s="500"/>
      <c r="AP7915" s="500"/>
    </row>
    <row r="7916" spans="1:42" ht="16.5" customHeight="1">
      <c r="A7916" s="439"/>
      <c r="B7916" s="439"/>
      <c r="C7916" s="439"/>
      <c r="D7916" s="439"/>
      <c r="E7916" s="439"/>
      <c r="F7916" s="439"/>
      <c r="G7916" s="451" t="s">
        <v>3406</v>
      </c>
      <c r="Z7916" s="500"/>
      <c r="AA7916" s="500"/>
      <c r="AB7916" s="500"/>
      <c r="AC7916" s="500"/>
      <c r="AD7916" s="500"/>
      <c r="AE7916" s="500"/>
      <c r="AF7916" s="500"/>
      <c r="AG7916" s="500"/>
      <c r="AH7916" s="500"/>
      <c r="AI7916" s="500"/>
      <c r="AJ7916" s="500"/>
      <c r="AK7916" s="500"/>
      <c r="AL7916" s="500"/>
      <c r="AM7916" s="500"/>
      <c r="AN7916" s="500"/>
      <c r="AO7916" s="500"/>
      <c r="AP7916" s="500"/>
    </row>
    <row r="7917" spans="1:42" ht="16.5" customHeight="1">
      <c r="A7917" s="439"/>
      <c r="B7917" s="439"/>
      <c r="C7917" s="439"/>
      <c r="D7917" s="439"/>
      <c r="E7917" s="439"/>
      <c r="F7917" s="439"/>
      <c r="G7917" s="451" t="s">
        <v>3406</v>
      </c>
      <c r="Z7917" s="500"/>
      <c r="AA7917" s="500"/>
      <c r="AB7917" s="500"/>
      <c r="AC7917" s="500"/>
      <c r="AD7917" s="500"/>
      <c r="AE7917" s="500"/>
      <c r="AF7917" s="500"/>
      <c r="AG7917" s="500"/>
      <c r="AH7917" s="500"/>
      <c r="AI7917" s="500"/>
      <c r="AJ7917" s="500"/>
      <c r="AK7917" s="500"/>
      <c r="AL7917" s="500"/>
      <c r="AM7917" s="500"/>
      <c r="AN7917" s="500"/>
      <c r="AO7917" s="500"/>
      <c r="AP7917" s="500"/>
    </row>
    <row r="7918" spans="1:42" ht="16.5" customHeight="1">
      <c r="A7918" s="439"/>
      <c r="B7918" s="439"/>
      <c r="C7918" s="439"/>
      <c r="D7918" s="439"/>
      <c r="E7918" s="439"/>
      <c r="F7918" s="439"/>
      <c r="G7918" s="451" t="s">
        <v>3406</v>
      </c>
      <c r="Z7918" s="500"/>
      <c r="AA7918" s="500"/>
      <c r="AB7918" s="500"/>
      <c r="AC7918" s="500"/>
      <c r="AD7918" s="500"/>
      <c r="AE7918" s="500"/>
      <c r="AF7918" s="500"/>
      <c r="AG7918" s="500"/>
      <c r="AH7918" s="500"/>
      <c r="AI7918" s="500"/>
      <c r="AJ7918" s="500"/>
      <c r="AK7918" s="500"/>
      <c r="AL7918" s="500"/>
      <c r="AM7918" s="500"/>
      <c r="AN7918" s="500"/>
      <c r="AO7918" s="500"/>
      <c r="AP7918" s="500"/>
    </row>
    <row r="7919" spans="1:42" ht="16.5" customHeight="1">
      <c r="A7919" s="434"/>
      <c r="B7919" s="437" t="s">
        <v>3496</v>
      </c>
      <c r="C7919" s="439"/>
      <c r="D7919" s="439"/>
      <c r="E7919" s="439"/>
      <c r="F7919" s="439"/>
      <c r="G7919" s="451" t="s">
        <v>3497</v>
      </c>
      <c r="Z7919" s="500"/>
      <c r="AA7919" s="500"/>
      <c r="AB7919" s="500"/>
      <c r="AC7919" s="500"/>
      <c r="AD7919" s="500"/>
      <c r="AE7919" s="500"/>
      <c r="AF7919" s="500"/>
      <c r="AG7919" s="500"/>
      <c r="AH7919" s="500"/>
      <c r="AI7919" s="500"/>
      <c r="AJ7919" s="500"/>
      <c r="AK7919" s="500"/>
      <c r="AL7919" s="500"/>
      <c r="AM7919" s="500"/>
      <c r="AN7919" s="500"/>
      <c r="AO7919" s="500"/>
      <c r="AP7919" s="500"/>
    </row>
    <row r="7920" spans="1:42" ht="16.5" customHeight="1">
      <c r="A7920" s="439"/>
      <c r="B7920" s="439"/>
      <c r="C7920" s="439"/>
      <c r="D7920" s="439"/>
      <c r="E7920" s="439"/>
      <c r="F7920" s="439"/>
      <c r="G7920" s="451" t="s">
        <v>3406</v>
      </c>
      <c r="Z7920" s="500"/>
      <c r="AA7920" s="500"/>
      <c r="AB7920" s="500"/>
      <c r="AC7920" s="500"/>
      <c r="AD7920" s="500"/>
      <c r="AE7920" s="500"/>
      <c r="AF7920" s="500"/>
      <c r="AG7920" s="500"/>
      <c r="AH7920" s="500"/>
      <c r="AI7920" s="500"/>
      <c r="AJ7920" s="500"/>
      <c r="AK7920" s="500"/>
      <c r="AL7920" s="500"/>
      <c r="AM7920" s="500"/>
      <c r="AN7920" s="500"/>
      <c r="AO7920" s="500"/>
      <c r="AP7920" s="500"/>
    </row>
    <row r="7921" spans="1:42" ht="16.5" customHeight="1">
      <c r="A7921" s="434" t="s">
        <v>3498</v>
      </c>
      <c r="B7921" s="505" t="str">
        <f>" 조경공 :  "&amp;TEXT(I7921,"#,##0"&amp;IF(I7921&lt;&gt;INT(I7921),".###",""))&amp;" * "&amp;AA7921&amp;" 인  / Q = "&amp;TEXT(C7921,"#,##0.0")&amp;""</f>
        <v xml:space="preserve"> 조경공 :  235,204 * 3 인  / Q = 261.3</v>
      </c>
      <c r="C7921" s="506">
        <f>E7921+D7921+F7921</f>
        <v>261.3</v>
      </c>
      <c r="D7921" s="506">
        <f>IF(H7921=0,0,ROUNDDOWN(J7921*H7921,1))</f>
        <v>261.3</v>
      </c>
      <c r="E7921" s="506">
        <f>IF(H7921=0,0,ROUNDDOWN(K7921*H7921,1))</f>
        <v>0</v>
      </c>
      <c r="F7921" s="506">
        <f>IF(H7921=0,0,ROUNDDOWN(L7921*H7921,1))</f>
        <v>0</v>
      </c>
      <c r="G7921" s="451" t="s">
        <v>3551</v>
      </c>
      <c r="H7921" s="507">
        <f>ROUNDUP(AE7921,14-LEN(ABS(INT(AE7921))))</f>
        <v>1.1111111112000001E-3</v>
      </c>
      <c r="I7921" s="508">
        <f>K7921+J7921+L7921</f>
        <v>235204</v>
      </c>
      <c r="J7921" s="509">
        <f>노무비목록표!E15</f>
        <v>235204</v>
      </c>
      <c r="M7921" s="501" t="s">
        <v>2359</v>
      </c>
      <c r="N7921" s="501" t="s">
        <v>3416</v>
      </c>
      <c r="X7921" s="510" t="str">
        <f>노무비목록표!B15&amp;" / "&amp;노무비목록표!C15</f>
        <v xml:space="preserve">조경공 / </v>
      </c>
      <c r="Y7921" s="433" t="str">
        <f ca="1">HYPERLINK("#"&amp;노무비목록표!G2&amp;"!A"&amp;ROW(노무비목록표!A15),"L00184 →")</f>
        <v>L00184 →</v>
      </c>
      <c r="Z7921" s="501" t="s">
        <v>3500</v>
      </c>
      <c r="AA7921" s="515">
        <v>3</v>
      </c>
      <c r="AB7921" s="501" t="s">
        <v>3428</v>
      </c>
      <c r="AC7921" s="512">
        <f>AB7912</f>
        <v>2700</v>
      </c>
      <c r="AD7921" s="501" t="s">
        <v>3418</v>
      </c>
      <c r="AE7921" s="512">
        <f>1*AA7921/AB7912</f>
        <v>1.1111111111111111E-3</v>
      </c>
      <c r="AF7921" s="500"/>
      <c r="AG7921" s="500"/>
      <c r="AH7921" s="500"/>
      <c r="AI7921" s="500"/>
      <c r="AJ7921" s="500"/>
      <c r="AK7921" s="500"/>
      <c r="AL7921" s="500"/>
      <c r="AM7921" s="500"/>
      <c r="AN7921" s="500"/>
      <c r="AO7921" s="500"/>
      <c r="AP7921" s="500"/>
    </row>
    <row r="7922" spans="1:42" ht="16.5" customHeight="1">
      <c r="A7922" s="439"/>
      <c r="B7922" s="439"/>
      <c r="C7922" s="439"/>
      <c r="D7922" s="439"/>
      <c r="E7922" s="439"/>
      <c r="F7922" s="439"/>
      <c r="G7922" s="451" t="s">
        <v>3406</v>
      </c>
      <c r="Z7922" s="500"/>
      <c r="AA7922" s="500"/>
      <c r="AB7922" s="500"/>
      <c r="AC7922" s="500"/>
      <c r="AD7922" s="500"/>
      <c r="AE7922" s="500"/>
      <c r="AF7922" s="500"/>
      <c r="AG7922" s="500"/>
      <c r="AH7922" s="500"/>
      <c r="AI7922" s="500"/>
      <c r="AJ7922" s="500"/>
      <c r="AK7922" s="500"/>
      <c r="AL7922" s="500"/>
      <c r="AM7922" s="500"/>
      <c r="AN7922" s="500"/>
      <c r="AO7922" s="500"/>
      <c r="AP7922" s="500"/>
    </row>
    <row r="7923" spans="1:42" ht="16.5" customHeight="1">
      <c r="A7923" s="439"/>
      <c r="B7923" s="439"/>
      <c r="C7923" s="439"/>
      <c r="D7923" s="439"/>
      <c r="E7923" s="439"/>
      <c r="F7923" s="439"/>
      <c r="G7923" s="451" t="s">
        <v>3406</v>
      </c>
      <c r="Z7923" s="500"/>
      <c r="AA7923" s="500"/>
      <c r="AB7923" s="500"/>
      <c r="AC7923" s="500"/>
      <c r="AD7923" s="500"/>
      <c r="AE7923" s="500"/>
      <c r="AF7923" s="500"/>
      <c r="AG7923" s="500"/>
      <c r="AH7923" s="500"/>
      <c r="AI7923" s="500"/>
      <c r="AJ7923" s="500"/>
      <c r="AK7923" s="500"/>
      <c r="AL7923" s="500"/>
      <c r="AM7923" s="500"/>
      <c r="AN7923" s="500"/>
      <c r="AO7923" s="500"/>
      <c r="AP7923" s="500"/>
    </row>
    <row r="7924" spans="1:42" ht="16.5" customHeight="1">
      <c r="A7924" s="434" t="s">
        <v>3414</v>
      </c>
      <c r="B7924" s="505" t="str">
        <f>" 보통인부 : "&amp;TEXT(I7924,"#,##0"&amp;IF(I7924&lt;&gt;INT(I7924),".###",""))&amp;" * "&amp;AA7924&amp;" 인  / Q = "&amp;TEXT(C7924,"#,##0.0")&amp;""</f>
        <v xml:space="preserve"> 보통인부 : 172,068 * 1 인  / Q = 63.7</v>
      </c>
      <c r="C7924" s="506">
        <f>E7924+D7924+F7924</f>
        <v>63.7</v>
      </c>
      <c r="D7924" s="506">
        <f>IF(H7924=0,0,ROUNDDOWN(J7924*H7924,1))</f>
        <v>63.7</v>
      </c>
      <c r="E7924" s="506">
        <f>IF(H7924=0,0,ROUNDDOWN(K7924*H7924,1))</f>
        <v>0</v>
      </c>
      <c r="F7924" s="506">
        <f>IF(H7924=0,0,ROUNDDOWN(L7924*H7924,1))</f>
        <v>0</v>
      </c>
      <c r="G7924" s="451" t="s">
        <v>3552</v>
      </c>
      <c r="H7924" s="507">
        <f>ROUNDUP(AE7924,14-LEN(ABS(INT(AE7924))))</f>
        <v>3.7037037039999997E-4</v>
      </c>
      <c r="I7924" s="508">
        <f>K7924+J7924+L7924</f>
        <v>172068</v>
      </c>
      <c r="J7924" s="509">
        <f>노무비목록표!E10</f>
        <v>172068</v>
      </c>
      <c r="M7924" s="501" t="s">
        <v>2363</v>
      </c>
      <c r="N7924" s="501" t="s">
        <v>3416</v>
      </c>
      <c r="X7924" s="510" t="str">
        <f>노무비목록표!B10&amp;" / "&amp;노무비목록표!C10</f>
        <v xml:space="preserve">보통인부 / </v>
      </c>
      <c r="Y7924" s="433" t="str">
        <f ca="1">HYPERLINK("#"&amp;노무비목록표!G2&amp;"!A"&amp;ROW(노무비목록표!A10),"L00017 →")</f>
        <v>L00017 →</v>
      </c>
      <c r="Z7924" s="501" t="s">
        <v>3500</v>
      </c>
      <c r="AA7924" s="515">
        <v>1</v>
      </c>
      <c r="AB7924" s="501" t="s">
        <v>3428</v>
      </c>
      <c r="AC7924" s="512">
        <f>AB7912</f>
        <v>2700</v>
      </c>
      <c r="AD7924" s="501" t="s">
        <v>3418</v>
      </c>
      <c r="AE7924" s="512">
        <f>1*AA7924/AB7912</f>
        <v>3.7037037037037035E-4</v>
      </c>
      <c r="AF7924" s="500"/>
      <c r="AG7924" s="500"/>
      <c r="AH7924" s="500"/>
      <c r="AI7924" s="500"/>
      <c r="AJ7924" s="500"/>
      <c r="AK7924" s="500"/>
      <c r="AL7924" s="500"/>
      <c r="AM7924" s="500"/>
      <c r="AN7924" s="500"/>
      <c r="AO7924" s="500"/>
      <c r="AP7924" s="500"/>
    </row>
    <row r="7925" spans="1:42" ht="16.5" customHeight="1">
      <c r="A7925" s="439"/>
      <c r="B7925" s="439"/>
      <c r="C7925" s="439"/>
      <c r="D7925" s="439"/>
      <c r="E7925" s="439"/>
      <c r="F7925" s="439"/>
      <c r="G7925" s="451" t="s">
        <v>3406</v>
      </c>
      <c r="Z7925" s="500"/>
      <c r="AA7925" s="500"/>
      <c r="AB7925" s="500"/>
      <c r="AC7925" s="500"/>
      <c r="AD7925" s="500"/>
      <c r="AE7925" s="500"/>
      <c r="AF7925" s="500"/>
      <c r="AG7925" s="500"/>
      <c r="AH7925" s="500"/>
      <c r="AI7925" s="500"/>
      <c r="AJ7925" s="500"/>
      <c r="AK7925" s="500"/>
      <c r="AL7925" s="500"/>
      <c r="AM7925" s="500"/>
      <c r="AN7925" s="500"/>
      <c r="AO7925" s="500"/>
      <c r="AP7925" s="500"/>
    </row>
    <row r="7926" spans="1:42" ht="16.5" customHeight="1">
      <c r="A7926" s="434"/>
      <c r="B7926" s="437" t="s">
        <v>3419</v>
      </c>
      <c r="C7926" s="513">
        <f>E7926+D7926+F7926</f>
        <v>325</v>
      </c>
      <c r="D7926" s="513">
        <f>SUMIF(N7907:N7925,M7926,D7907:D7925)</f>
        <v>325</v>
      </c>
      <c r="E7926" s="513">
        <f>SUMIF(N7907:N7925,M7926,E7907:E7925)</f>
        <v>0</v>
      </c>
      <c r="F7926" s="513">
        <f>SUMIF(N7907:N7925,M7926,F7907:F7925)</f>
        <v>0</v>
      </c>
      <c r="G7926" s="451" t="s">
        <v>3439</v>
      </c>
      <c r="M7926" s="501" t="s">
        <v>3416</v>
      </c>
      <c r="N7926" s="501" t="s">
        <v>3421</v>
      </c>
      <c r="Z7926" s="500"/>
      <c r="AA7926" s="500"/>
      <c r="AB7926" s="500"/>
      <c r="AC7926" s="500"/>
      <c r="AD7926" s="500"/>
      <c r="AE7926" s="500"/>
      <c r="AF7926" s="500"/>
      <c r="AG7926" s="500"/>
      <c r="AH7926" s="500"/>
      <c r="AI7926" s="500"/>
      <c r="AJ7926" s="500"/>
      <c r="AK7926" s="500"/>
      <c r="AL7926" s="500"/>
      <c r="AM7926" s="500"/>
      <c r="AN7926" s="500"/>
      <c r="AO7926" s="500"/>
      <c r="AP7926" s="500"/>
    </row>
    <row r="7927" spans="1:42" ht="16.5" customHeight="1">
      <c r="A7927" s="439"/>
      <c r="B7927" s="439"/>
      <c r="C7927" s="504"/>
      <c r="D7927" s="504"/>
      <c r="E7927" s="504"/>
      <c r="F7927" s="504"/>
      <c r="G7927" s="451" t="s">
        <v>3406</v>
      </c>
      <c r="Z7927" s="500"/>
      <c r="AA7927" s="500"/>
      <c r="AB7927" s="500"/>
      <c r="AC7927" s="500"/>
      <c r="AD7927" s="500"/>
      <c r="AE7927" s="500"/>
      <c r="AF7927" s="500"/>
      <c r="AG7927" s="500"/>
      <c r="AH7927" s="500"/>
      <c r="AI7927" s="500"/>
      <c r="AJ7927" s="500"/>
      <c r="AK7927" s="500"/>
      <c r="AL7927" s="500"/>
      <c r="AM7927" s="500"/>
      <c r="AN7927" s="500"/>
      <c r="AO7927" s="500"/>
      <c r="AP7927" s="500"/>
    </row>
    <row r="7928" spans="1:42" ht="16.5" customHeight="1">
      <c r="A7928" s="439"/>
      <c r="B7928" s="439"/>
      <c r="C7928" s="439"/>
      <c r="D7928" s="439"/>
      <c r="E7928" s="439"/>
      <c r="F7928" s="439"/>
      <c r="G7928" s="451" t="s">
        <v>3406</v>
      </c>
      <c r="Z7928" s="500"/>
      <c r="AA7928" s="500"/>
      <c r="AB7928" s="500"/>
      <c r="AC7928" s="500"/>
      <c r="AD7928" s="500"/>
      <c r="AE7928" s="500"/>
      <c r="AF7928" s="500"/>
      <c r="AG7928" s="500"/>
      <c r="AH7928" s="500"/>
      <c r="AI7928" s="500"/>
      <c r="AJ7928" s="500"/>
      <c r="AK7928" s="500"/>
      <c r="AL7928" s="500"/>
      <c r="AM7928" s="500"/>
      <c r="AN7928" s="500"/>
      <c r="AO7928" s="500"/>
      <c r="AP7928" s="500"/>
    </row>
    <row r="7929" spans="1:42" ht="16.5" customHeight="1">
      <c r="A7929" s="434"/>
      <c r="B7929" s="437" t="s">
        <v>3502</v>
      </c>
      <c r="C7929" s="439"/>
      <c r="D7929" s="439"/>
      <c r="E7929" s="439"/>
      <c r="F7929" s="439"/>
      <c r="G7929" s="451" t="s">
        <v>3503</v>
      </c>
      <c r="Z7929" s="500"/>
      <c r="AA7929" s="500"/>
      <c r="AB7929" s="500"/>
      <c r="AC7929" s="500"/>
      <c r="AD7929" s="500"/>
      <c r="AE7929" s="500"/>
      <c r="AF7929" s="500"/>
      <c r="AG7929" s="500"/>
      <c r="AH7929" s="500"/>
      <c r="AI7929" s="500"/>
      <c r="AJ7929" s="500"/>
      <c r="AK7929" s="500"/>
      <c r="AL7929" s="500"/>
      <c r="AM7929" s="500"/>
      <c r="AN7929" s="500"/>
      <c r="AO7929" s="500"/>
      <c r="AP7929" s="500"/>
    </row>
    <row r="7930" spans="1:42" ht="16.5" customHeight="1">
      <c r="A7930" s="439"/>
      <c r="B7930" s="439"/>
      <c r="C7930" s="439"/>
      <c r="D7930" s="439"/>
      <c r="E7930" s="439"/>
      <c r="F7930" s="439"/>
      <c r="G7930" s="451" t="s">
        <v>3406</v>
      </c>
      <c r="Z7930" s="500"/>
      <c r="AA7930" s="500"/>
      <c r="AB7930" s="500"/>
      <c r="AC7930" s="500"/>
      <c r="AD7930" s="500"/>
      <c r="AE7930" s="500"/>
      <c r="AF7930" s="500"/>
      <c r="AG7930" s="500"/>
      <c r="AH7930" s="500"/>
      <c r="AI7930" s="500"/>
      <c r="AJ7930" s="500"/>
      <c r="AK7930" s="500"/>
      <c r="AL7930" s="500"/>
      <c r="AM7930" s="500"/>
      <c r="AN7930" s="500"/>
      <c r="AO7930" s="500"/>
      <c r="AP7930" s="500"/>
    </row>
    <row r="7931" spans="1:42" ht="16.5" customHeight="1">
      <c r="A7931" s="434" t="s">
        <v>3504</v>
      </c>
      <c r="B7931" s="505" t="str">
        <f>"  유기질비료 수목이식·식재용 : "&amp;TEXT(I7931,"#,##0"&amp;IF(I7931&lt;&gt;INT(I7931),".###",""))&amp;" * "&amp;AA7931&amp;" KG  / Q = "&amp;TEXT(C7931,"#,##0.0")&amp;""</f>
        <v xml:space="preserve">  유기질비료 수목이식·식재용 : 500 * 270 KG  / Q = 50.0</v>
      </c>
      <c r="C7931" s="506">
        <f>E7931+D7931+F7931</f>
        <v>50</v>
      </c>
      <c r="D7931" s="506">
        <f>IF(H7931=0,0,ROUNDDOWN(J7931*H7931,1))</f>
        <v>0</v>
      </c>
      <c r="E7931" s="506">
        <f>IF(H7931=0,0,ROUNDDOWN(K7931*H7931,1))</f>
        <v>50</v>
      </c>
      <c r="F7931" s="506">
        <f>IF(H7931=0,0,ROUNDDOWN(L7931*H7931,1))</f>
        <v>0</v>
      </c>
      <c r="G7931" s="451" t="s">
        <v>4307</v>
      </c>
      <c r="H7931" s="507">
        <f>ROUNDUP(AE7931,14-LEN(ABS(INT(AE7931))))</f>
        <v>0.1</v>
      </c>
      <c r="I7931" s="508">
        <f>K7931+J7931+L7931</f>
        <v>500</v>
      </c>
      <c r="K7931" s="509">
        <f>재료비목록표!E78</f>
        <v>500</v>
      </c>
      <c r="M7931" s="501" t="s">
        <v>3506</v>
      </c>
      <c r="N7931" s="501" t="s">
        <v>3416</v>
      </c>
      <c r="X7931" s="510" t="str">
        <f>재료비목록표!B78&amp;" / "&amp;재료비목록표!C78</f>
        <v>유기질비료 / 수목이식·식재용</v>
      </c>
      <c r="Y7931" s="433" t="str">
        <f ca="1">HYPERLINK("#"&amp;재료비목록표!G2&amp;"!A"&amp;ROW(재료비목록표!A78),"M01159 →")</f>
        <v>M01159 →</v>
      </c>
      <c r="Z7931" s="501" t="s">
        <v>3500</v>
      </c>
      <c r="AA7931" s="515">
        <v>270</v>
      </c>
      <c r="AB7931" s="501" t="s">
        <v>3428</v>
      </c>
      <c r="AC7931" s="512">
        <f>AB7912</f>
        <v>2700</v>
      </c>
      <c r="AD7931" s="501" t="s">
        <v>3418</v>
      </c>
      <c r="AE7931" s="512">
        <f>1*AA7931/AB7912</f>
        <v>0.1</v>
      </c>
      <c r="AF7931" s="500"/>
      <c r="AG7931" s="500"/>
      <c r="AH7931" s="500"/>
      <c r="AI7931" s="500"/>
      <c r="AJ7931" s="500"/>
      <c r="AK7931" s="500"/>
      <c r="AL7931" s="500"/>
      <c r="AM7931" s="500"/>
      <c r="AN7931" s="500"/>
      <c r="AO7931" s="500"/>
      <c r="AP7931" s="500"/>
    </row>
    <row r="7932" spans="1:42" ht="16.5" customHeight="1">
      <c r="A7932" s="439"/>
      <c r="B7932" s="439"/>
      <c r="C7932" s="439"/>
      <c r="D7932" s="439"/>
      <c r="E7932" s="439"/>
      <c r="F7932" s="439"/>
      <c r="G7932" s="451" t="s">
        <v>3406</v>
      </c>
      <c r="Z7932" s="500"/>
      <c r="AA7932" s="500"/>
      <c r="AB7932" s="500"/>
      <c r="AC7932" s="500"/>
      <c r="AD7932" s="500"/>
      <c r="AE7932" s="500"/>
      <c r="AF7932" s="500"/>
      <c r="AG7932" s="500"/>
      <c r="AH7932" s="500"/>
      <c r="AI7932" s="500"/>
      <c r="AJ7932" s="500"/>
      <c r="AK7932" s="500"/>
      <c r="AL7932" s="500"/>
      <c r="AM7932" s="500"/>
      <c r="AN7932" s="500"/>
      <c r="AO7932" s="500"/>
      <c r="AP7932" s="500"/>
    </row>
    <row r="7933" spans="1:42" ht="16.5" customHeight="1">
      <c r="A7933" s="434"/>
      <c r="B7933" s="437" t="s">
        <v>3419</v>
      </c>
      <c r="C7933" s="513">
        <f>E7933+D7933+F7933</f>
        <v>50</v>
      </c>
      <c r="D7933" s="513">
        <f>SUMIF(N7927:N7932,M7933,D7927:D7932)</f>
        <v>0</v>
      </c>
      <c r="E7933" s="513">
        <f>SUMIF(N7927:N7932,M7933,E7927:E7932)</f>
        <v>50</v>
      </c>
      <c r="F7933" s="513">
        <f>SUMIF(N7927:N7932,M7933,F7927:F7932)</f>
        <v>0</v>
      </c>
      <c r="G7933" s="451" t="s">
        <v>3439</v>
      </c>
      <c r="M7933" s="501" t="s">
        <v>3416</v>
      </c>
      <c r="N7933" s="501" t="s">
        <v>3421</v>
      </c>
      <c r="Z7933" s="500"/>
      <c r="AA7933" s="500"/>
      <c r="AB7933" s="500"/>
      <c r="AC7933" s="500"/>
      <c r="AD7933" s="500"/>
      <c r="AE7933" s="500"/>
      <c r="AF7933" s="500"/>
      <c r="AG7933" s="500"/>
      <c r="AH7933" s="500"/>
      <c r="AI7933" s="500"/>
      <c r="AJ7933" s="500"/>
      <c r="AK7933" s="500"/>
      <c r="AL7933" s="500"/>
      <c r="AM7933" s="500"/>
      <c r="AN7933" s="500"/>
      <c r="AO7933" s="500"/>
      <c r="AP7933" s="500"/>
    </row>
    <row r="7934" spans="1:42" ht="16.5" customHeight="1">
      <c r="A7934" s="439"/>
      <c r="B7934" s="439"/>
      <c r="C7934" s="504"/>
      <c r="D7934" s="504"/>
      <c r="E7934" s="504"/>
      <c r="F7934" s="504"/>
      <c r="G7934" s="451" t="s">
        <v>3406</v>
      </c>
      <c r="Z7934" s="500"/>
      <c r="AA7934" s="500"/>
      <c r="AB7934" s="500"/>
      <c r="AC7934" s="500"/>
      <c r="AD7934" s="500"/>
      <c r="AE7934" s="500"/>
      <c r="AF7934" s="500"/>
      <c r="AG7934" s="500"/>
      <c r="AH7934" s="500"/>
      <c r="AI7934" s="500"/>
      <c r="AJ7934" s="500"/>
      <c r="AK7934" s="500"/>
      <c r="AL7934" s="500"/>
      <c r="AM7934" s="500"/>
      <c r="AN7934" s="500"/>
      <c r="AO7934" s="500"/>
      <c r="AP7934" s="500"/>
    </row>
    <row r="7935" spans="1:42" ht="16.5" customHeight="1">
      <c r="A7935" s="434"/>
      <c r="B7935" s="505" t="str">
        <f>"  산지할증 : "&amp;TEXT(I7935,"#,##0.0")&amp;" * "&amp;AA7935&amp;" %  = "&amp;TEXT(C7935,"#,##0.0")&amp;""</f>
        <v xml:space="preserve">  산지할증 : 325.0 * 15 %  = 48.7</v>
      </c>
      <c r="C7935" s="506">
        <f>E7935+D7935+F7935</f>
        <v>48.7</v>
      </c>
      <c r="D7935" s="506">
        <f>IF(H7935=0,0,ROUNDDOWN(J7935*H7935/100,1))</f>
        <v>48.7</v>
      </c>
      <c r="E7935" s="506">
        <f>IF(H7935=0,0,ROUNDDOWN(K7935*H7935/100,1))</f>
        <v>0</v>
      </c>
      <c r="F7935" s="506">
        <f>IF(H7935=0,0,ROUNDDOWN(L7935*H7935/100,1))</f>
        <v>0</v>
      </c>
      <c r="G7935" s="451" t="s">
        <v>5587</v>
      </c>
      <c r="H7935" s="507">
        <f>ROUNDUP(AC7935,14-LEN(ABS(INT(AC7935))))</f>
        <v>15</v>
      </c>
      <c r="I7935" s="508">
        <f>K7935+J7935+L7935</f>
        <v>325</v>
      </c>
      <c r="J7935" s="508">
        <f>D7926+D7933+SUMIF(N7934:N7934,N7935,D7934:D7934)</f>
        <v>325</v>
      </c>
      <c r="K7935" s="456">
        <v>0</v>
      </c>
      <c r="L7935" s="456">
        <v>0</v>
      </c>
      <c r="M7935" s="501" t="s">
        <v>4208</v>
      </c>
      <c r="N7935" s="501" t="s">
        <v>3416</v>
      </c>
      <c r="Z7935" s="501" t="s">
        <v>3500</v>
      </c>
      <c r="AA7935" s="515">
        <v>15</v>
      </c>
      <c r="AB7935" s="501" t="s">
        <v>3418</v>
      </c>
      <c r="AC7935" s="512">
        <f>1*AA7935</f>
        <v>15</v>
      </c>
      <c r="AD7935" s="500"/>
      <c r="AE7935" s="500"/>
      <c r="AF7935" s="500"/>
      <c r="AG7935" s="500"/>
      <c r="AH7935" s="500"/>
      <c r="AI7935" s="500"/>
      <c r="AJ7935" s="500"/>
      <c r="AK7935" s="500"/>
      <c r="AL7935" s="500"/>
      <c r="AM7935" s="500"/>
      <c r="AN7935" s="500"/>
      <c r="AO7935" s="500"/>
      <c r="AP7935" s="500"/>
    </row>
    <row r="7936" spans="1:42" ht="16.5" customHeight="1">
      <c r="A7936" s="439"/>
      <c r="B7936" s="439"/>
      <c r="C7936" s="439"/>
      <c r="D7936" s="439"/>
      <c r="E7936" s="439"/>
      <c r="F7936" s="439"/>
      <c r="G7936" s="451" t="s">
        <v>3406</v>
      </c>
      <c r="Z7936" s="500"/>
      <c r="AA7936" s="500"/>
      <c r="AB7936" s="500"/>
      <c r="AC7936" s="500"/>
      <c r="AD7936" s="500"/>
      <c r="AE7936" s="500"/>
      <c r="AF7936" s="500"/>
      <c r="AG7936" s="500"/>
      <c r="AH7936" s="500"/>
      <c r="AI7936" s="500"/>
      <c r="AJ7936" s="500"/>
      <c r="AK7936" s="500"/>
      <c r="AL7936" s="500"/>
      <c r="AM7936" s="500"/>
      <c r="AN7936" s="500"/>
      <c r="AO7936" s="500"/>
      <c r="AP7936" s="500"/>
    </row>
    <row r="7937" spans="1:42" ht="16.5" customHeight="1">
      <c r="A7937" s="434"/>
      <c r="B7937" s="437" t="s">
        <v>3419</v>
      </c>
      <c r="C7937" s="513">
        <f>E7937+D7937+F7937</f>
        <v>48.7</v>
      </c>
      <c r="D7937" s="513">
        <f>SUMIF(N7934:N7936,M7937,D7934:D7936)</f>
        <v>48.7</v>
      </c>
      <c r="E7937" s="513">
        <f>SUMIF(N7934:N7936,M7937,E7934:E7936)</f>
        <v>0</v>
      </c>
      <c r="F7937" s="513">
        <f>SUMIF(N7934:N7936,M7937,F7934:F7936)</f>
        <v>0</v>
      </c>
      <c r="G7937" s="451" t="s">
        <v>3439</v>
      </c>
      <c r="M7937" s="501" t="s">
        <v>3416</v>
      </c>
      <c r="N7937" s="501" t="s">
        <v>3421</v>
      </c>
      <c r="Z7937" s="500"/>
      <c r="AA7937" s="500"/>
      <c r="AB7937" s="500"/>
      <c r="AC7937" s="500"/>
      <c r="AD7937" s="500"/>
      <c r="AE7937" s="500"/>
      <c r="AF7937" s="500"/>
      <c r="AG7937" s="500"/>
      <c r="AH7937" s="500"/>
      <c r="AI7937" s="500"/>
      <c r="AJ7937" s="500"/>
      <c r="AK7937" s="500"/>
      <c r="AL7937" s="500"/>
      <c r="AM7937" s="500"/>
      <c r="AN7937" s="500"/>
      <c r="AO7937" s="500"/>
      <c r="AP7937" s="500"/>
    </row>
    <row r="7938" spans="1:42" ht="16.5" customHeight="1">
      <c r="A7938" s="439"/>
      <c r="B7938" s="439"/>
      <c r="C7938" s="504"/>
      <c r="D7938" s="504"/>
      <c r="E7938" s="504"/>
      <c r="F7938" s="504"/>
      <c r="G7938" s="451" t="s">
        <v>3406</v>
      </c>
      <c r="Z7938" s="500"/>
      <c r="AA7938" s="500"/>
      <c r="AB7938" s="500"/>
      <c r="AC7938" s="500"/>
      <c r="AD7938" s="500"/>
      <c r="AE7938" s="500"/>
      <c r="AF7938" s="500"/>
      <c r="AG7938" s="500"/>
      <c r="AH7938" s="500"/>
      <c r="AI7938" s="500"/>
      <c r="AJ7938" s="500"/>
      <c r="AK7938" s="500"/>
      <c r="AL7938" s="500"/>
      <c r="AM7938" s="500"/>
      <c r="AN7938" s="500"/>
      <c r="AO7938" s="500"/>
      <c r="AP7938" s="500"/>
    </row>
    <row r="7939" spans="1:42" ht="16.5" customHeight="1">
      <c r="A7939" s="434"/>
      <c r="B7939" s="437" t="s">
        <v>3440</v>
      </c>
      <c r="C7939" s="513">
        <f>E7939+D7939+F7939</f>
        <v>423.7</v>
      </c>
      <c r="D7939" s="513">
        <f>SUMIF(N7907:N7938,M7939,D7907:D7938)</f>
        <v>373.7</v>
      </c>
      <c r="E7939" s="513">
        <f>SUMIF(N7907:N7938,M7939,E7907:E7938)</f>
        <v>50</v>
      </c>
      <c r="F7939" s="513">
        <f>SUMIF(N7907:N7938,M7939,F7907:F7938)</f>
        <v>0</v>
      </c>
      <c r="G7939" s="451" t="s">
        <v>3441</v>
      </c>
      <c r="M7939" s="501" t="s">
        <v>3421</v>
      </c>
      <c r="N7939" s="501" t="s">
        <v>2354</v>
      </c>
      <c r="Z7939" s="500"/>
      <c r="AA7939" s="500"/>
      <c r="AB7939" s="500"/>
      <c r="AC7939" s="500"/>
      <c r="AD7939" s="500"/>
      <c r="AE7939" s="500"/>
      <c r="AF7939" s="500"/>
      <c r="AG7939" s="500"/>
      <c r="AH7939" s="500"/>
      <c r="AI7939" s="500"/>
      <c r="AJ7939" s="500"/>
      <c r="AK7939" s="500"/>
      <c r="AL7939" s="500"/>
      <c r="AM7939" s="500"/>
      <c r="AN7939" s="500"/>
      <c r="AO7939" s="500"/>
      <c r="AP7939" s="500"/>
    </row>
    <row r="7940" spans="1:42" ht="16.5" customHeight="1">
      <c r="A7940" s="439"/>
      <c r="B7940" s="439"/>
      <c r="C7940" s="504"/>
      <c r="D7940" s="504"/>
      <c r="E7940" s="504"/>
      <c r="F7940" s="504"/>
      <c r="G7940" s="451" t="s">
        <v>3413</v>
      </c>
      <c r="Z7940" s="500"/>
      <c r="AA7940" s="500"/>
      <c r="AB7940" s="500"/>
      <c r="AC7940" s="500"/>
      <c r="AD7940" s="500"/>
      <c r="AE7940" s="500"/>
      <c r="AF7940" s="500"/>
      <c r="AG7940" s="500"/>
      <c r="AH7940" s="500"/>
      <c r="AI7940" s="500"/>
      <c r="AJ7940" s="500"/>
      <c r="AK7940" s="500"/>
      <c r="AL7940" s="500"/>
      <c r="AM7940" s="500"/>
      <c r="AN7940" s="500"/>
      <c r="AO7940" s="500"/>
      <c r="AP7940" s="500"/>
    </row>
    <row r="7941" spans="1:42" ht="16.5" customHeight="1">
      <c r="A7941" s="439"/>
      <c r="B7941" s="439"/>
      <c r="C7941" s="439"/>
      <c r="D7941" s="439"/>
      <c r="E7941" s="439"/>
      <c r="F7941" s="439"/>
      <c r="Z7941" s="500"/>
      <c r="AA7941" s="500"/>
      <c r="AB7941" s="500"/>
      <c r="AC7941" s="500"/>
      <c r="AD7941" s="500"/>
      <c r="AE7941" s="500"/>
      <c r="AF7941" s="500"/>
      <c r="AG7941" s="500"/>
      <c r="AH7941" s="500"/>
      <c r="AI7941" s="500"/>
      <c r="AJ7941" s="500"/>
      <c r="AK7941" s="500"/>
      <c r="AL7941" s="500"/>
      <c r="AM7941" s="500"/>
      <c r="AN7941" s="500"/>
      <c r="AO7941" s="500"/>
      <c r="AP7941" s="500"/>
    </row>
    <row r="7942" spans="1:42" ht="16.5" customHeight="1">
      <c r="A7942" s="439"/>
      <c r="B7942" s="439"/>
      <c r="C7942" s="439"/>
      <c r="D7942" s="439"/>
      <c r="E7942" s="439"/>
      <c r="F7942" s="439"/>
      <c r="Z7942" s="500"/>
      <c r="AA7942" s="500"/>
      <c r="AB7942" s="500"/>
      <c r="AC7942" s="500"/>
      <c r="AD7942" s="500"/>
      <c r="AE7942" s="500"/>
      <c r="AF7942" s="500"/>
      <c r="AG7942" s="500"/>
      <c r="AH7942" s="500"/>
      <c r="AI7942" s="500"/>
      <c r="AJ7942" s="500"/>
      <c r="AK7942" s="500"/>
      <c r="AL7942" s="500"/>
      <c r="AM7942" s="500"/>
      <c r="AN7942" s="500"/>
      <c r="AO7942" s="500"/>
      <c r="AP7942" s="500"/>
    </row>
    <row r="7943" spans="1:42" ht="16.5" customHeight="1">
      <c r="A7943" s="439"/>
      <c r="B7943" s="439"/>
      <c r="C7943" s="439"/>
      <c r="D7943" s="439"/>
      <c r="E7943" s="439"/>
      <c r="F7943" s="439"/>
      <c r="Z7943" s="500"/>
      <c r="AA7943" s="500"/>
      <c r="AB7943" s="500"/>
      <c r="AC7943" s="500"/>
      <c r="AD7943" s="500"/>
      <c r="AE7943" s="500"/>
      <c r="AF7943" s="500"/>
      <c r="AG7943" s="500"/>
      <c r="AH7943" s="500"/>
      <c r="AI7943" s="500"/>
      <c r="AJ7943" s="500"/>
      <c r="AK7943" s="500"/>
      <c r="AL7943" s="500"/>
      <c r="AM7943" s="500"/>
      <c r="AN7943" s="500"/>
      <c r="AO7943" s="500"/>
      <c r="AP7943" s="500"/>
    </row>
    <row r="7944" spans="1:42" ht="16.5" customHeight="1">
      <c r="A7944" s="439"/>
      <c r="B7944" s="439"/>
      <c r="C7944" s="439"/>
      <c r="D7944" s="439"/>
      <c r="E7944" s="439"/>
      <c r="F7944" s="439"/>
      <c r="Z7944" s="500"/>
      <c r="AA7944" s="500"/>
      <c r="AB7944" s="500"/>
      <c r="AC7944" s="500"/>
      <c r="AD7944" s="500"/>
      <c r="AE7944" s="500"/>
      <c r="AF7944" s="500"/>
      <c r="AG7944" s="500"/>
      <c r="AH7944" s="500"/>
      <c r="AI7944" s="500"/>
      <c r="AJ7944" s="500"/>
      <c r="AK7944" s="500"/>
      <c r="AL7944" s="500"/>
      <c r="AM7944" s="500"/>
      <c r="AN7944" s="500"/>
      <c r="AO7944" s="500"/>
      <c r="AP7944" s="500"/>
    </row>
    <row r="7945" spans="1:42" ht="16.5" customHeight="1">
      <c r="A7945" s="439"/>
      <c r="B7945" s="439"/>
      <c r="C7945" s="439"/>
      <c r="D7945" s="439"/>
      <c r="E7945" s="439"/>
      <c r="F7945" s="439"/>
      <c r="Z7945" s="500"/>
      <c r="AA7945" s="500"/>
      <c r="AB7945" s="500"/>
      <c r="AC7945" s="500"/>
      <c r="AD7945" s="500"/>
      <c r="AE7945" s="500"/>
      <c r="AF7945" s="500"/>
      <c r="AG7945" s="500"/>
      <c r="AH7945" s="500"/>
      <c r="AI7945" s="500"/>
      <c r="AJ7945" s="500"/>
      <c r="AK7945" s="500"/>
      <c r="AL7945" s="500"/>
      <c r="AM7945" s="500"/>
      <c r="AN7945" s="500"/>
      <c r="AO7945" s="500"/>
      <c r="AP7945" s="500"/>
    </row>
    <row r="7946" spans="1:42" ht="16.5" customHeight="1">
      <c r="A7946" s="439"/>
      <c r="B7946" s="439"/>
      <c r="C7946" s="439"/>
      <c r="D7946" s="439"/>
      <c r="E7946" s="439"/>
      <c r="F7946" s="439"/>
      <c r="Z7946" s="500"/>
      <c r="AA7946" s="500"/>
      <c r="AB7946" s="500"/>
      <c r="AC7946" s="500"/>
      <c r="AD7946" s="500"/>
      <c r="AE7946" s="500"/>
      <c r="AF7946" s="500"/>
      <c r="AG7946" s="500"/>
      <c r="AH7946" s="500"/>
      <c r="AI7946" s="500"/>
      <c r="AJ7946" s="500"/>
      <c r="AK7946" s="500"/>
      <c r="AL7946" s="500"/>
      <c r="AM7946" s="500"/>
      <c r="AN7946" s="500"/>
      <c r="AO7946" s="500"/>
      <c r="AP7946" s="500"/>
    </row>
    <row r="7947" spans="1:42" ht="16.5" customHeight="1">
      <c r="A7947" s="439"/>
      <c r="B7947" s="439"/>
      <c r="C7947" s="439"/>
      <c r="D7947" s="439"/>
      <c r="E7947" s="439"/>
      <c r="F7947" s="439"/>
      <c r="Z7947" s="500"/>
      <c r="AA7947" s="500"/>
      <c r="AB7947" s="500"/>
      <c r="AC7947" s="500"/>
      <c r="AD7947" s="500"/>
      <c r="AE7947" s="500"/>
      <c r="AF7947" s="500"/>
      <c r="AG7947" s="500"/>
      <c r="AH7947" s="500"/>
      <c r="AI7947" s="500"/>
      <c r="AJ7947" s="500"/>
      <c r="AK7947" s="500"/>
      <c r="AL7947" s="500"/>
      <c r="AM7947" s="500"/>
      <c r="AN7947" s="500"/>
      <c r="AO7947" s="500"/>
      <c r="AP7947" s="500"/>
    </row>
    <row r="7948" spans="1:42" ht="16.5" customHeight="1">
      <c r="A7948" s="439"/>
      <c r="B7948" s="439"/>
      <c r="C7948" s="439"/>
      <c r="D7948" s="439"/>
      <c r="E7948" s="439"/>
      <c r="F7948" s="439"/>
      <c r="Z7948" s="500"/>
      <c r="AA7948" s="500"/>
      <c r="AB7948" s="500"/>
      <c r="AC7948" s="500"/>
      <c r="AD7948" s="500"/>
      <c r="AE7948" s="500"/>
      <c r="AF7948" s="500"/>
      <c r="AG7948" s="500"/>
      <c r="AH7948" s="500"/>
      <c r="AI7948" s="500"/>
      <c r="AJ7948" s="500"/>
      <c r="AK7948" s="500"/>
      <c r="AL7948" s="500"/>
      <c r="AM7948" s="500"/>
      <c r="AN7948" s="500"/>
      <c r="AO7948" s="500"/>
      <c r="AP7948" s="500"/>
    </row>
    <row r="7949" spans="1:42" ht="16.5" customHeight="1">
      <c r="A7949" s="439"/>
      <c r="B7949" s="439"/>
      <c r="C7949" s="439"/>
      <c r="D7949" s="439"/>
      <c r="E7949" s="439"/>
      <c r="F7949" s="439"/>
      <c r="Z7949" s="500"/>
      <c r="AA7949" s="500"/>
      <c r="AB7949" s="500"/>
      <c r="AC7949" s="500"/>
      <c r="AD7949" s="500"/>
      <c r="AE7949" s="500"/>
      <c r="AF7949" s="500"/>
      <c r="AG7949" s="500"/>
      <c r="AH7949" s="500"/>
      <c r="AI7949" s="500"/>
      <c r="AJ7949" s="500"/>
      <c r="AK7949" s="500"/>
      <c r="AL7949" s="500"/>
      <c r="AM7949" s="500"/>
      <c r="AN7949" s="500"/>
      <c r="AO7949" s="500"/>
      <c r="AP7949" s="500"/>
    </row>
    <row r="7950" spans="1:42" ht="16.5" customHeight="1">
      <c r="A7950" s="439"/>
      <c r="B7950" s="439"/>
      <c r="C7950" s="439"/>
      <c r="D7950" s="439"/>
      <c r="E7950" s="439"/>
      <c r="F7950" s="439"/>
      <c r="Z7950" s="500"/>
      <c r="AA7950" s="500"/>
      <c r="AB7950" s="500"/>
      <c r="AC7950" s="500"/>
      <c r="AD7950" s="500"/>
      <c r="AE7950" s="500"/>
      <c r="AF7950" s="500"/>
      <c r="AG7950" s="500"/>
      <c r="AH7950" s="500"/>
      <c r="AI7950" s="500"/>
      <c r="AJ7950" s="500"/>
      <c r="AK7950" s="500"/>
      <c r="AL7950" s="500"/>
      <c r="AM7950" s="500"/>
      <c r="AN7950" s="500"/>
      <c r="AO7950" s="500"/>
      <c r="AP7950" s="500"/>
    </row>
    <row r="7951" spans="1:42" ht="16.5" customHeight="1">
      <c r="A7951" s="439"/>
      <c r="B7951" s="439"/>
      <c r="C7951" s="439"/>
      <c r="D7951" s="439"/>
      <c r="E7951" s="439"/>
      <c r="F7951" s="439"/>
      <c r="Z7951" s="500"/>
      <c r="AA7951" s="500"/>
      <c r="AB7951" s="500"/>
      <c r="AC7951" s="500"/>
      <c r="AD7951" s="500"/>
      <c r="AE7951" s="500"/>
      <c r="AF7951" s="500"/>
      <c r="AG7951" s="500"/>
      <c r="AH7951" s="500"/>
      <c r="AI7951" s="500"/>
      <c r="AJ7951" s="500"/>
      <c r="AK7951" s="500"/>
      <c r="AL7951" s="500"/>
      <c r="AM7951" s="500"/>
      <c r="AN7951" s="500"/>
      <c r="AO7951" s="500"/>
      <c r="AP7951" s="500"/>
    </row>
    <row r="7952" spans="1:42" ht="16.5" customHeight="1">
      <c r="A7952" s="439"/>
      <c r="B7952" s="439"/>
      <c r="C7952" s="439"/>
      <c r="D7952" s="439"/>
      <c r="E7952" s="439"/>
      <c r="F7952" s="439"/>
      <c r="Z7952" s="500"/>
      <c r="AA7952" s="500"/>
      <c r="AB7952" s="500"/>
      <c r="AC7952" s="500"/>
      <c r="AD7952" s="500"/>
      <c r="AE7952" s="500"/>
      <c r="AF7952" s="500"/>
      <c r="AG7952" s="500"/>
      <c r="AH7952" s="500"/>
      <c r="AI7952" s="500"/>
      <c r="AJ7952" s="500"/>
      <c r="AK7952" s="500"/>
      <c r="AL7952" s="500"/>
      <c r="AM7952" s="500"/>
      <c r="AN7952" s="500"/>
      <c r="AO7952" s="500"/>
      <c r="AP7952" s="500"/>
    </row>
    <row r="7953" spans="1:42" ht="16.5" customHeight="1">
      <c r="A7953" s="497"/>
      <c r="B7953" s="497"/>
      <c r="C7953" s="497"/>
      <c r="D7953" s="497"/>
      <c r="E7953" s="497"/>
      <c r="F7953" s="497"/>
      <c r="Z7953" s="500"/>
      <c r="AA7953" s="500"/>
      <c r="AB7953" s="500"/>
      <c r="AC7953" s="500"/>
      <c r="AD7953" s="500"/>
      <c r="AE7953" s="500"/>
      <c r="AF7953" s="500"/>
      <c r="AG7953" s="500"/>
      <c r="AH7953" s="500"/>
      <c r="AI7953" s="500"/>
      <c r="AJ7953" s="500"/>
      <c r="AK7953" s="500"/>
      <c r="AL7953" s="500"/>
      <c r="AM7953" s="500"/>
      <c r="AN7953" s="500"/>
      <c r="AO7953" s="500"/>
      <c r="AP7953" s="500"/>
    </row>
    <row r="7954" spans="1:42" ht="16.5" customHeight="1">
      <c r="A7954" s="616" t="s">
        <v>3487</v>
      </c>
      <c r="B7954" s="605"/>
      <c r="C7954" s="446">
        <f>E7954+D7954+F7954</f>
        <v>423</v>
      </c>
      <c r="D7954" s="453">
        <f>ROUNDDOWN(SUMIF(N7907:N7940,M7954,D7907:D7940),0)</f>
        <v>373</v>
      </c>
      <c r="E7954" s="454">
        <f>ROUNDDOWN(SUMIF(N7907:N7940,M7954,E7907:E7940),0)</f>
        <v>50</v>
      </c>
      <c r="F7954" s="446">
        <f>ROUNDDOWN(SUMIF(N7907:N7940,M7954,F7907:F7940),0)</f>
        <v>0</v>
      </c>
      <c r="M7954" s="501" t="s">
        <v>2354</v>
      </c>
      <c r="Z7954" s="500"/>
      <c r="AA7954" s="500"/>
      <c r="AB7954" s="500"/>
      <c r="AC7954" s="500"/>
      <c r="AD7954" s="500"/>
      <c r="AE7954" s="500"/>
      <c r="AF7954" s="500"/>
      <c r="AG7954" s="500"/>
      <c r="AH7954" s="500"/>
      <c r="AI7954" s="500"/>
      <c r="AJ7954" s="500"/>
      <c r="AK7954" s="500"/>
      <c r="AL7954" s="500"/>
      <c r="AM7954" s="500"/>
      <c r="AN7954" s="500"/>
      <c r="AO7954" s="500"/>
      <c r="AP7954" s="500"/>
    </row>
    <row r="7955" spans="1:42" ht="16.5" customHeight="1">
      <c r="A7955" s="502"/>
      <c r="B7955" s="503" t="s">
        <v>5419</v>
      </c>
      <c r="C7955" s="615">
        <f>C8004</f>
        <v>659</v>
      </c>
      <c r="D7955" s="615">
        <f>D8004</f>
        <v>609</v>
      </c>
      <c r="E7955" s="615">
        <f>E8004</f>
        <v>50</v>
      </c>
      <c r="F7955" s="615">
        <f>F8004</f>
        <v>0</v>
      </c>
      <c r="G7955" s="486" t="str">
        <f>HYPERLINK("#G"&amp;ROW(G7990),"_x0005_`BDCOD|D01334_x0007_`POSS|"&amp;ROW(G7957)&amp;"_x0007_`POSE|"&amp;ROW(G7990)&amp;"_x0007_`")</f>
        <v>_x0005_`BDCOD|D01334_x0007_`POSS|7957_x0007_`POSE|7990_x0007_`</v>
      </c>
      <c r="Z7955" s="500"/>
      <c r="AA7955" s="500"/>
      <c r="AB7955" s="500"/>
      <c r="AC7955" s="500"/>
      <c r="AD7955" s="500"/>
      <c r="AE7955" s="500"/>
      <c r="AF7955" s="500"/>
      <c r="AG7955" s="500"/>
      <c r="AH7955" s="500"/>
      <c r="AI7955" s="500"/>
      <c r="AJ7955" s="500"/>
      <c r="AK7955" s="500"/>
      <c r="AL7955" s="500"/>
      <c r="AM7955" s="500"/>
      <c r="AN7955" s="500"/>
      <c r="AO7955" s="500"/>
      <c r="AP7955" s="500"/>
    </row>
    <row r="7956" spans="1:42" ht="16.5" customHeight="1">
      <c r="A7956" s="485"/>
      <c r="B7956" s="503" t="s">
        <v>5641</v>
      </c>
      <c r="C7956" s="593"/>
      <c r="D7956" s="593"/>
      <c r="E7956" s="593"/>
      <c r="F7956" s="593"/>
      <c r="M7956" s="501" t="s">
        <v>5419</v>
      </c>
      <c r="Z7956" s="500"/>
      <c r="AA7956" s="500"/>
      <c r="AB7956" s="500"/>
      <c r="AC7956" s="500"/>
      <c r="AD7956" s="500"/>
      <c r="AE7956" s="500"/>
      <c r="AF7956" s="500"/>
      <c r="AG7956" s="500"/>
      <c r="AH7956" s="500"/>
      <c r="AI7956" s="500"/>
      <c r="AJ7956" s="500"/>
      <c r="AK7956" s="500"/>
      <c r="AL7956" s="500"/>
      <c r="AM7956" s="500"/>
      <c r="AN7956" s="500"/>
      <c r="AO7956" s="500"/>
      <c r="AP7956" s="500"/>
    </row>
    <row r="7957" spans="1:42" ht="16.5" customHeight="1">
      <c r="A7957" s="439"/>
      <c r="B7957" s="439"/>
      <c r="C7957" s="504"/>
      <c r="D7957" s="504"/>
      <c r="E7957" s="504"/>
      <c r="F7957" s="504"/>
      <c r="G7957" s="451" t="s">
        <v>3406</v>
      </c>
      <c r="Z7957" s="500"/>
      <c r="AA7957" s="500"/>
      <c r="AB7957" s="500"/>
      <c r="AC7957" s="500"/>
      <c r="AD7957" s="500"/>
      <c r="AE7957" s="500"/>
      <c r="AF7957" s="500"/>
      <c r="AG7957" s="500"/>
      <c r="AH7957" s="500"/>
      <c r="AI7957" s="500"/>
      <c r="AJ7957" s="500"/>
      <c r="AK7957" s="500"/>
      <c r="AL7957" s="500"/>
      <c r="AM7957" s="500"/>
      <c r="AN7957" s="500"/>
      <c r="AO7957" s="500"/>
      <c r="AP7957" s="500"/>
    </row>
    <row r="7958" spans="1:42" ht="16.5" customHeight="1">
      <c r="A7958" s="434"/>
      <c r="B7958" s="437" t="s">
        <v>4292</v>
      </c>
      <c r="C7958" s="439"/>
      <c r="D7958" s="439"/>
      <c r="E7958" s="439"/>
      <c r="F7958" s="439"/>
      <c r="G7958" s="451" t="s">
        <v>4293</v>
      </c>
      <c r="Z7958" s="500"/>
      <c r="AA7958" s="500"/>
      <c r="AB7958" s="500"/>
      <c r="AC7958" s="500"/>
      <c r="AD7958" s="500"/>
      <c r="AE7958" s="500"/>
      <c r="AF7958" s="500"/>
      <c r="AG7958" s="500"/>
      <c r="AH7958" s="500"/>
      <c r="AI7958" s="500"/>
      <c r="AJ7958" s="500"/>
      <c r="AK7958" s="500"/>
      <c r="AL7958" s="500"/>
      <c r="AM7958" s="500"/>
      <c r="AN7958" s="500"/>
      <c r="AO7958" s="500"/>
      <c r="AP7958" s="500"/>
    </row>
    <row r="7959" spans="1:42" ht="16.5" customHeight="1">
      <c r="A7959" s="439"/>
      <c r="B7959" s="439"/>
      <c r="C7959" s="439"/>
      <c r="D7959" s="439"/>
      <c r="E7959" s="439"/>
      <c r="F7959" s="439"/>
      <c r="G7959" s="451" t="s">
        <v>3406</v>
      </c>
      <c r="Z7959" s="500"/>
      <c r="AA7959" s="500"/>
      <c r="AB7959" s="500"/>
      <c r="AC7959" s="500"/>
      <c r="AD7959" s="500"/>
      <c r="AE7959" s="500"/>
      <c r="AF7959" s="500"/>
      <c r="AG7959" s="500"/>
      <c r="AH7959" s="500"/>
      <c r="AI7959" s="500"/>
      <c r="AJ7959" s="500"/>
      <c r="AK7959" s="500"/>
      <c r="AL7959" s="500"/>
      <c r="AM7959" s="500"/>
      <c r="AN7959" s="500"/>
      <c r="AO7959" s="500"/>
      <c r="AP7959" s="500"/>
    </row>
    <row r="7960" spans="1:42" ht="16.5" customHeight="1">
      <c r="A7960" s="434"/>
      <c r="B7960" s="437" t="s">
        <v>4294</v>
      </c>
      <c r="C7960" s="439"/>
      <c r="D7960" s="439"/>
      <c r="E7960" s="439"/>
      <c r="F7960" s="439"/>
      <c r="G7960" s="451" t="s">
        <v>4295</v>
      </c>
      <c r="Z7960" s="500"/>
      <c r="AA7960" s="500"/>
      <c r="AB7960" s="500"/>
      <c r="AC7960" s="500"/>
      <c r="AD7960" s="500"/>
      <c r="AE7960" s="500"/>
      <c r="AF7960" s="500"/>
      <c r="AG7960" s="500"/>
      <c r="AH7960" s="500"/>
      <c r="AI7960" s="500"/>
      <c r="AJ7960" s="500"/>
      <c r="AK7960" s="500"/>
      <c r="AL7960" s="500"/>
      <c r="AM7960" s="500"/>
      <c r="AN7960" s="500"/>
      <c r="AO7960" s="500"/>
      <c r="AP7960" s="500"/>
    </row>
    <row r="7961" spans="1:42" ht="16.5" customHeight="1">
      <c r="A7961" s="439"/>
      <c r="B7961" s="439"/>
      <c r="C7961" s="439"/>
      <c r="D7961" s="439"/>
      <c r="E7961" s="439"/>
      <c r="F7961" s="439"/>
      <c r="G7961" s="451" t="s">
        <v>3406</v>
      </c>
      <c r="Z7961" s="500"/>
      <c r="AA7961" s="500"/>
      <c r="AB7961" s="500"/>
      <c r="AC7961" s="500"/>
      <c r="AD7961" s="500"/>
      <c r="AE7961" s="500"/>
      <c r="AF7961" s="500"/>
      <c r="AG7961" s="500"/>
      <c r="AH7961" s="500"/>
      <c r="AI7961" s="500"/>
      <c r="AJ7961" s="500"/>
      <c r="AK7961" s="500"/>
      <c r="AL7961" s="500"/>
      <c r="AM7961" s="500"/>
      <c r="AN7961" s="500"/>
      <c r="AO7961" s="500"/>
      <c r="AP7961" s="500"/>
    </row>
    <row r="7962" spans="1:42" ht="16.5" customHeight="1">
      <c r="A7962" s="434"/>
      <c r="B7962" s="437" t="str">
        <f>" 일당 작업량 :   Q = "&amp;Z7962&amp;"  주 "</f>
        <v xml:space="preserve"> 일당 작업량 :   Q = 1800  주 </v>
      </c>
      <c r="C7962" s="439"/>
      <c r="D7962" s="439"/>
      <c r="E7962" s="439"/>
      <c r="F7962" s="439"/>
      <c r="G7962" s="451" t="s">
        <v>4296</v>
      </c>
      <c r="Z7962" s="515">
        <v>1800</v>
      </c>
      <c r="AA7962" s="501" t="s">
        <v>3418</v>
      </c>
      <c r="AB7962" s="512">
        <f>Z7962</f>
        <v>1800</v>
      </c>
      <c r="AC7962" s="500"/>
      <c r="AD7962" s="500"/>
      <c r="AE7962" s="500"/>
      <c r="AF7962" s="500"/>
      <c r="AG7962" s="500"/>
      <c r="AH7962" s="500"/>
      <c r="AI7962" s="500"/>
      <c r="AJ7962" s="500"/>
      <c r="AK7962" s="500"/>
      <c r="AL7962" s="500"/>
      <c r="AM7962" s="500"/>
      <c r="AN7962" s="500"/>
      <c r="AO7962" s="500"/>
      <c r="AP7962" s="500"/>
    </row>
    <row r="7963" spans="1:42" ht="16.5" customHeight="1">
      <c r="A7963" s="439"/>
      <c r="B7963" s="439"/>
      <c r="C7963" s="439"/>
      <c r="D7963" s="439"/>
      <c r="E7963" s="439"/>
      <c r="F7963" s="439"/>
      <c r="G7963" s="451" t="s">
        <v>3406</v>
      </c>
      <c r="Z7963" s="500"/>
      <c r="AA7963" s="500"/>
      <c r="AB7963" s="500"/>
      <c r="AC7963" s="500"/>
      <c r="AD7963" s="500"/>
      <c r="AE7963" s="500"/>
      <c r="AF7963" s="500"/>
      <c r="AG7963" s="500"/>
      <c r="AH7963" s="500"/>
      <c r="AI7963" s="500"/>
      <c r="AJ7963" s="500"/>
      <c r="AK7963" s="500"/>
      <c r="AL7963" s="500"/>
      <c r="AM7963" s="500"/>
      <c r="AN7963" s="500"/>
      <c r="AO7963" s="500"/>
      <c r="AP7963" s="500"/>
    </row>
    <row r="7964" spans="1:42" ht="16.5" customHeight="1">
      <c r="A7964" s="434"/>
      <c r="B7964" s="437" t="s">
        <v>3494</v>
      </c>
      <c r="C7964" s="439"/>
      <c r="D7964" s="439"/>
      <c r="E7964" s="439"/>
      <c r="F7964" s="439"/>
      <c r="G7964" s="451" t="s">
        <v>3495</v>
      </c>
      <c r="Z7964" s="500"/>
      <c r="AA7964" s="500"/>
      <c r="AB7964" s="500"/>
      <c r="AC7964" s="500"/>
      <c r="AD7964" s="500"/>
      <c r="AE7964" s="500"/>
      <c r="AF7964" s="500"/>
      <c r="AG7964" s="500"/>
      <c r="AH7964" s="500"/>
      <c r="AI7964" s="500"/>
      <c r="AJ7964" s="500"/>
      <c r="AK7964" s="500"/>
      <c r="AL7964" s="500"/>
      <c r="AM7964" s="500"/>
      <c r="AN7964" s="500"/>
      <c r="AO7964" s="500"/>
      <c r="AP7964" s="500"/>
    </row>
    <row r="7965" spans="1:42" ht="16.5" customHeight="1">
      <c r="A7965" s="439"/>
      <c r="B7965" s="439"/>
      <c r="C7965" s="439"/>
      <c r="D7965" s="439"/>
      <c r="E7965" s="439"/>
      <c r="F7965" s="439"/>
      <c r="G7965" s="451" t="s">
        <v>3406</v>
      </c>
      <c r="Z7965" s="500"/>
      <c r="AA7965" s="500"/>
      <c r="AB7965" s="500"/>
      <c r="AC7965" s="500"/>
      <c r="AD7965" s="500"/>
      <c r="AE7965" s="500"/>
      <c r="AF7965" s="500"/>
      <c r="AG7965" s="500"/>
      <c r="AH7965" s="500"/>
      <c r="AI7965" s="500"/>
      <c r="AJ7965" s="500"/>
      <c r="AK7965" s="500"/>
      <c r="AL7965" s="500"/>
      <c r="AM7965" s="500"/>
      <c r="AN7965" s="500"/>
      <c r="AO7965" s="500"/>
      <c r="AP7965" s="500"/>
    </row>
    <row r="7966" spans="1:42" ht="16.5" customHeight="1">
      <c r="A7966" s="439"/>
      <c r="B7966" s="439"/>
      <c r="C7966" s="439"/>
      <c r="D7966" s="439"/>
      <c r="E7966" s="439"/>
      <c r="F7966" s="439"/>
      <c r="G7966" s="451" t="s">
        <v>3406</v>
      </c>
      <c r="Z7966" s="500"/>
      <c r="AA7966" s="500"/>
      <c r="AB7966" s="500"/>
      <c r="AC7966" s="500"/>
      <c r="AD7966" s="500"/>
      <c r="AE7966" s="500"/>
      <c r="AF7966" s="500"/>
      <c r="AG7966" s="500"/>
      <c r="AH7966" s="500"/>
      <c r="AI7966" s="500"/>
      <c r="AJ7966" s="500"/>
      <c r="AK7966" s="500"/>
      <c r="AL7966" s="500"/>
      <c r="AM7966" s="500"/>
      <c r="AN7966" s="500"/>
      <c r="AO7966" s="500"/>
      <c r="AP7966" s="500"/>
    </row>
    <row r="7967" spans="1:42" ht="16.5" customHeight="1">
      <c r="A7967" s="439"/>
      <c r="B7967" s="439"/>
      <c r="C7967" s="439"/>
      <c r="D7967" s="439"/>
      <c r="E7967" s="439"/>
      <c r="F7967" s="439"/>
      <c r="G7967" s="451" t="s">
        <v>3406</v>
      </c>
      <c r="Z7967" s="500"/>
      <c r="AA7967" s="500"/>
      <c r="AB7967" s="500"/>
      <c r="AC7967" s="500"/>
      <c r="AD7967" s="500"/>
      <c r="AE7967" s="500"/>
      <c r="AF7967" s="500"/>
      <c r="AG7967" s="500"/>
      <c r="AH7967" s="500"/>
      <c r="AI7967" s="500"/>
      <c r="AJ7967" s="500"/>
      <c r="AK7967" s="500"/>
      <c r="AL7967" s="500"/>
      <c r="AM7967" s="500"/>
      <c r="AN7967" s="500"/>
      <c r="AO7967" s="500"/>
      <c r="AP7967" s="500"/>
    </row>
    <row r="7968" spans="1:42" ht="16.5" customHeight="1">
      <c r="A7968" s="439"/>
      <c r="B7968" s="439"/>
      <c r="C7968" s="439"/>
      <c r="D7968" s="439"/>
      <c r="E7968" s="439"/>
      <c r="F7968" s="439"/>
      <c r="G7968" s="451" t="s">
        <v>3406</v>
      </c>
      <c r="Z7968" s="500"/>
      <c r="AA7968" s="500"/>
      <c r="AB7968" s="500"/>
      <c r="AC7968" s="500"/>
      <c r="AD7968" s="500"/>
      <c r="AE7968" s="500"/>
      <c r="AF7968" s="500"/>
      <c r="AG7968" s="500"/>
      <c r="AH7968" s="500"/>
      <c r="AI7968" s="500"/>
      <c r="AJ7968" s="500"/>
      <c r="AK7968" s="500"/>
      <c r="AL7968" s="500"/>
      <c r="AM7968" s="500"/>
      <c r="AN7968" s="500"/>
      <c r="AO7968" s="500"/>
      <c r="AP7968" s="500"/>
    </row>
    <row r="7969" spans="1:42" ht="16.5" customHeight="1">
      <c r="A7969" s="434"/>
      <c r="B7969" s="437" t="s">
        <v>3496</v>
      </c>
      <c r="C7969" s="439"/>
      <c r="D7969" s="439"/>
      <c r="E7969" s="439"/>
      <c r="F7969" s="439"/>
      <c r="G7969" s="451" t="s">
        <v>3497</v>
      </c>
      <c r="Z7969" s="500"/>
      <c r="AA7969" s="500"/>
      <c r="AB7969" s="500"/>
      <c r="AC7969" s="500"/>
      <c r="AD7969" s="500"/>
      <c r="AE7969" s="500"/>
      <c r="AF7969" s="500"/>
      <c r="AG7969" s="500"/>
      <c r="AH7969" s="500"/>
      <c r="AI7969" s="500"/>
      <c r="AJ7969" s="500"/>
      <c r="AK7969" s="500"/>
      <c r="AL7969" s="500"/>
      <c r="AM7969" s="500"/>
      <c r="AN7969" s="500"/>
      <c r="AO7969" s="500"/>
      <c r="AP7969" s="500"/>
    </row>
    <row r="7970" spans="1:42" ht="16.5" customHeight="1">
      <c r="A7970" s="439"/>
      <c r="B7970" s="439"/>
      <c r="C7970" s="439"/>
      <c r="D7970" s="439"/>
      <c r="E7970" s="439"/>
      <c r="F7970" s="439"/>
      <c r="G7970" s="451" t="s">
        <v>3406</v>
      </c>
      <c r="Z7970" s="500"/>
      <c r="AA7970" s="500"/>
      <c r="AB7970" s="500"/>
      <c r="AC7970" s="500"/>
      <c r="AD7970" s="500"/>
      <c r="AE7970" s="500"/>
      <c r="AF7970" s="500"/>
      <c r="AG7970" s="500"/>
      <c r="AH7970" s="500"/>
      <c r="AI7970" s="500"/>
      <c r="AJ7970" s="500"/>
      <c r="AK7970" s="500"/>
      <c r="AL7970" s="500"/>
      <c r="AM7970" s="500"/>
      <c r="AN7970" s="500"/>
      <c r="AO7970" s="500"/>
      <c r="AP7970" s="500"/>
    </row>
    <row r="7971" spans="1:42" ht="16.5" customHeight="1">
      <c r="A7971" s="434" t="s">
        <v>3498</v>
      </c>
      <c r="B7971" s="505" t="str">
        <f>" 조경공 :  "&amp;TEXT(I7971,"#,##0"&amp;IF(I7971&lt;&gt;INT(I7971),".###",""))&amp;" * "&amp;AA7971&amp;" 인  / Q = "&amp;TEXT(C7971,"#,##0.0")&amp;""</f>
        <v xml:space="preserve"> 조경공 :  235,204 * 3 인  / Q = 392.0</v>
      </c>
      <c r="C7971" s="506">
        <f>E7971+D7971+F7971</f>
        <v>392</v>
      </c>
      <c r="D7971" s="506">
        <f>IF(H7971=0,0,ROUNDDOWN(J7971*H7971,1))</f>
        <v>392</v>
      </c>
      <c r="E7971" s="506">
        <f>IF(H7971=0,0,ROUNDDOWN(K7971*H7971,1))</f>
        <v>0</v>
      </c>
      <c r="F7971" s="506">
        <f>IF(H7971=0,0,ROUNDDOWN(L7971*H7971,1))</f>
        <v>0</v>
      </c>
      <c r="G7971" s="451" t="s">
        <v>3551</v>
      </c>
      <c r="H7971" s="507">
        <f>ROUNDUP(AE7971,14-LEN(ABS(INT(AE7971))))</f>
        <v>1.6666666667000001E-3</v>
      </c>
      <c r="I7971" s="508">
        <f>K7971+J7971+L7971</f>
        <v>235204</v>
      </c>
      <c r="J7971" s="509">
        <f>노무비목록표!E15</f>
        <v>235204</v>
      </c>
      <c r="M7971" s="501" t="s">
        <v>2359</v>
      </c>
      <c r="N7971" s="501" t="s">
        <v>3416</v>
      </c>
      <c r="X7971" s="510" t="str">
        <f>노무비목록표!B15&amp;" / "&amp;노무비목록표!C15</f>
        <v xml:space="preserve">조경공 / </v>
      </c>
      <c r="Y7971" s="433" t="str">
        <f ca="1">HYPERLINK("#"&amp;노무비목록표!G2&amp;"!A"&amp;ROW(노무비목록표!A15),"L00184 →")</f>
        <v>L00184 →</v>
      </c>
      <c r="Z7971" s="501" t="s">
        <v>3500</v>
      </c>
      <c r="AA7971" s="515">
        <v>3</v>
      </c>
      <c r="AB7971" s="501" t="s">
        <v>3428</v>
      </c>
      <c r="AC7971" s="512">
        <f>AB7962</f>
        <v>1800</v>
      </c>
      <c r="AD7971" s="501" t="s">
        <v>3418</v>
      </c>
      <c r="AE7971" s="512">
        <f>1*AA7971/AB7962</f>
        <v>1.6666666666666668E-3</v>
      </c>
      <c r="AF7971" s="500"/>
      <c r="AG7971" s="500"/>
      <c r="AH7971" s="500"/>
      <c r="AI7971" s="500"/>
      <c r="AJ7971" s="500"/>
      <c r="AK7971" s="500"/>
      <c r="AL7971" s="500"/>
      <c r="AM7971" s="500"/>
      <c r="AN7971" s="500"/>
      <c r="AO7971" s="500"/>
      <c r="AP7971" s="500"/>
    </row>
    <row r="7972" spans="1:42" ht="16.5" customHeight="1">
      <c r="A7972" s="439"/>
      <c r="B7972" s="439"/>
      <c r="C7972" s="439"/>
      <c r="D7972" s="439"/>
      <c r="E7972" s="439"/>
      <c r="F7972" s="439"/>
      <c r="G7972" s="451" t="s">
        <v>3406</v>
      </c>
      <c r="Z7972" s="500"/>
      <c r="AA7972" s="500"/>
      <c r="AB7972" s="500"/>
      <c r="AC7972" s="500"/>
      <c r="AD7972" s="500"/>
      <c r="AE7972" s="500"/>
      <c r="AF7972" s="500"/>
      <c r="AG7972" s="500"/>
      <c r="AH7972" s="500"/>
      <c r="AI7972" s="500"/>
      <c r="AJ7972" s="500"/>
      <c r="AK7972" s="500"/>
      <c r="AL7972" s="500"/>
      <c r="AM7972" s="500"/>
      <c r="AN7972" s="500"/>
      <c r="AO7972" s="500"/>
      <c r="AP7972" s="500"/>
    </row>
    <row r="7973" spans="1:42" ht="16.5" customHeight="1">
      <c r="A7973" s="439"/>
      <c r="B7973" s="439"/>
      <c r="C7973" s="439"/>
      <c r="D7973" s="439"/>
      <c r="E7973" s="439"/>
      <c r="F7973" s="439"/>
      <c r="G7973" s="451" t="s">
        <v>3406</v>
      </c>
      <c r="Z7973" s="500"/>
      <c r="AA7973" s="500"/>
      <c r="AB7973" s="500"/>
      <c r="AC7973" s="500"/>
      <c r="AD7973" s="500"/>
      <c r="AE7973" s="500"/>
      <c r="AF7973" s="500"/>
      <c r="AG7973" s="500"/>
      <c r="AH7973" s="500"/>
      <c r="AI7973" s="500"/>
      <c r="AJ7973" s="500"/>
      <c r="AK7973" s="500"/>
      <c r="AL7973" s="500"/>
      <c r="AM7973" s="500"/>
      <c r="AN7973" s="500"/>
      <c r="AO7973" s="500"/>
      <c r="AP7973" s="500"/>
    </row>
    <row r="7974" spans="1:42" ht="16.5" customHeight="1">
      <c r="A7974" s="434" t="s">
        <v>3414</v>
      </c>
      <c r="B7974" s="505" t="str">
        <f>" 보통인부 : "&amp;TEXT(I7974,"#,##0"&amp;IF(I7974&lt;&gt;INT(I7974),".###",""))&amp;" * "&amp;AA7974&amp;" 인  / Q = "&amp;TEXT(C7974,"#,##0.0")&amp;""</f>
        <v xml:space="preserve"> 보통인부 : 172,068 * 1 인  / Q = 95.5</v>
      </c>
      <c r="C7974" s="506">
        <f>E7974+D7974+F7974</f>
        <v>95.5</v>
      </c>
      <c r="D7974" s="506">
        <f>IF(H7974=0,0,ROUNDDOWN(J7974*H7974,1))</f>
        <v>95.5</v>
      </c>
      <c r="E7974" s="506">
        <f>IF(H7974=0,0,ROUNDDOWN(K7974*H7974,1))</f>
        <v>0</v>
      </c>
      <c r="F7974" s="506">
        <f>IF(H7974=0,0,ROUNDDOWN(L7974*H7974,1))</f>
        <v>0</v>
      </c>
      <c r="G7974" s="451" t="s">
        <v>3552</v>
      </c>
      <c r="H7974" s="507">
        <f>ROUNDUP(AE7974,14-LEN(ABS(INT(AE7974))))</f>
        <v>5.5555555559999993E-4</v>
      </c>
      <c r="I7974" s="508">
        <f>K7974+J7974+L7974</f>
        <v>172068</v>
      </c>
      <c r="J7974" s="509">
        <f>노무비목록표!E10</f>
        <v>172068</v>
      </c>
      <c r="M7974" s="501" t="s">
        <v>2363</v>
      </c>
      <c r="N7974" s="501" t="s">
        <v>3416</v>
      </c>
      <c r="X7974" s="510" t="str">
        <f>노무비목록표!B10&amp;" / "&amp;노무비목록표!C10</f>
        <v xml:space="preserve">보통인부 / </v>
      </c>
      <c r="Y7974" s="433" t="str">
        <f ca="1">HYPERLINK("#"&amp;노무비목록표!G2&amp;"!A"&amp;ROW(노무비목록표!A10),"L00017 →")</f>
        <v>L00017 →</v>
      </c>
      <c r="Z7974" s="501" t="s">
        <v>3500</v>
      </c>
      <c r="AA7974" s="515">
        <v>1</v>
      </c>
      <c r="AB7974" s="501" t="s">
        <v>3428</v>
      </c>
      <c r="AC7974" s="512">
        <f>AB7962</f>
        <v>1800</v>
      </c>
      <c r="AD7974" s="501" t="s">
        <v>3418</v>
      </c>
      <c r="AE7974" s="512">
        <f>1*AA7974/AB7962</f>
        <v>5.5555555555555556E-4</v>
      </c>
      <c r="AF7974" s="500"/>
      <c r="AG7974" s="500"/>
      <c r="AH7974" s="500"/>
      <c r="AI7974" s="500"/>
      <c r="AJ7974" s="500"/>
      <c r="AK7974" s="500"/>
      <c r="AL7974" s="500"/>
      <c r="AM7974" s="500"/>
      <c r="AN7974" s="500"/>
      <c r="AO7974" s="500"/>
      <c r="AP7974" s="500"/>
    </row>
    <row r="7975" spans="1:42" ht="16.5" customHeight="1">
      <c r="A7975" s="439"/>
      <c r="B7975" s="439"/>
      <c r="C7975" s="439"/>
      <c r="D7975" s="439"/>
      <c r="E7975" s="439"/>
      <c r="F7975" s="439"/>
      <c r="G7975" s="451" t="s">
        <v>3406</v>
      </c>
      <c r="Z7975" s="500"/>
      <c r="AA7975" s="500"/>
      <c r="AB7975" s="500"/>
      <c r="AC7975" s="500"/>
      <c r="AD7975" s="500"/>
      <c r="AE7975" s="500"/>
      <c r="AF7975" s="500"/>
      <c r="AG7975" s="500"/>
      <c r="AH7975" s="500"/>
      <c r="AI7975" s="500"/>
      <c r="AJ7975" s="500"/>
      <c r="AK7975" s="500"/>
      <c r="AL7975" s="500"/>
      <c r="AM7975" s="500"/>
      <c r="AN7975" s="500"/>
      <c r="AO7975" s="500"/>
      <c r="AP7975" s="500"/>
    </row>
    <row r="7976" spans="1:42" ht="16.5" customHeight="1">
      <c r="A7976" s="434"/>
      <c r="B7976" s="437" t="s">
        <v>3419</v>
      </c>
      <c r="C7976" s="513">
        <f>E7976+D7976+F7976</f>
        <v>487.5</v>
      </c>
      <c r="D7976" s="513">
        <f>SUMIF(N7957:N7975,M7976,D7957:D7975)</f>
        <v>487.5</v>
      </c>
      <c r="E7976" s="513">
        <f>SUMIF(N7957:N7975,M7976,E7957:E7975)</f>
        <v>0</v>
      </c>
      <c r="F7976" s="513">
        <f>SUMIF(N7957:N7975,M7976,F7957:F7975)</f>
        <v>0</v>
      </c>
      <c r="G7976" s="451" t="s">
        <v>3439</v>
      </c>
      <c r="M7976" s="501" t="s">
        <v>3416</v>
      </c>
      <c r="N7976" s="501" t="s">
        <v>3421</v>
      </c>
      <c r="Z7976" s="500"/>
      <c r="AA7976" s="500"/>
      <c r="AB7976" s="500"/>
      <c r="AC7976" s="500"/>
      <c r="AD7976" s="500"/>
      <c r="AE7976" s="500"/>
      <c r="AF7976" s="500"/>
      <c r="AG7976" s="500"/>
      <c r="AH7976" s="500"/>
      <c r="AI7976" s="500"/>
      <c r="AJ7976" s="500"/>
      <c r="AK7976" s="500"/>
      <c r="AL7976" s="500"/>
      <c r="AM7976" s="500"/>
      <c r="AN7976" s="500"/>
      <c r="AO7976" s="500"/>
      <c r="AP7976" s="500"/>
    </row>
    <row r="7977" spans="1:42" ht="16.5" customHeight="1">
      <c r="A7977" s="439"/>
      <c r="B7977" s="439"/>
      <c r="C7977" s="504"/>
      <c r="D7977" s="504"/>
      <c r="E7977" s="504"/>
      <c r="F7977" s="504"/>
      <c r="G7977" s="451" t="s">
        <v>3406</v>
      </c>
      <c r="Z7977" s="500"/>
      <c r="AA7977" s="500"/>
      <c r="AB7977" s="500"/>
      <c r="AC7977" s="500"/>
      <c r="AD7977" s="500"/>
      <c r="AE7977" s="500"/>
      <c r="AF7977" s="500"/>
      <c r="AG7977" s="500"/>
      <c r="AH7977" s="500"/>
      <c r="AI7977" s="500"/>
      <c r="AJ7977" s="500"/>
      <c r="AK7977" s="500"/>
      <c r="AL7977" s="500"/>
      <c r="AM7977" s="500"/>
      <c r="AN7977" s="500"/>
      <c r="AO7977" s="500"/>
      <c r="AP7977" s="500"/>
    </row>
    <row r="7978" spans="1:42" ht="16.5" customHeight="1">
      <c r="A7978" s="439"/>
      <c r="B7978" s="439"/>
      <c r="C7978" s="439"/>
      <c r="D7978" s="439"/>
      <c r="E7978" s="439"/>
      <c r="F7978" s="439"/>
      <c r="G7978" s="451" t="s">
        <v>3406</v>
      </c>
      <c r="Z7978" s="500"/>
      <c r="AA7978" s="500"/>
      <c r="AB7978" s="500"/>
      <c r="AC7978" s="500"/>
      <c r="AD7978" s="500"/>
      <c r="AE7978" s="500"/>
      <c r="AF7978" s="500"/>
      <c r="AG7978" s="500"/>
      <c r="AH7978" s="500"/>
      <c r="AI7978" s="500"/>
      <c r="AJ7978" s="500"/>
      <c r="AK7978" s="500"/>
      <c r="AL7978" s="500"/>
      <c r="AM7978" s="500"/>
      <c r="AN7978" s="500"/>
      <c r="AO7978" s="500"/>
      <c r="AP7978" s="500"/>
    </row>
    <row r="7979" spans="1:42" ht="16.5" customHeight="1">
      <c r="A7979" s="434"/>
      <c r="B7979" s="437" t="s">
        <v>3502</v>
      </c>
      <c r="C7979" s="439"/>
      <c r="D7979" s="439"/>
      <c r="E7979" s="439"/>
      <c r="F7979" s="439"/>
      <c r="G7979" s="451" t="s">
        <v>3503</v>
      </c>
      <c r="Z7979" s="500"/>
      <c r="AA7979" s="500"/>
      <c r="AB7979" s="500"/>
      <c r="AC7979" s="500"/>
      <c r="AD7979" s="500"/>
      <c r="AE7979" s="500"/>
      <c r="AF7979" s="500"/>
      <c r="AG7979" s="500"/>
      <c r="AH7979" s="500"/>
      <c r="AI7979" s="500"/>
      <c r="AJ7979" s="500"/>
      <c r="AK7979" s="500"/>
      <c r="AL7979" s="500"/>
      <c r="AM7979" s="500"/>
      <c r="AN7979" s="500"/>
      <c r="AO7979" s="500"/>
      <c r="AP7979" s="500"/>
    </row>
    <row r="7980" spans="1:42" ht="16.5" customHeight="1">
      <c r="A7980" s="439"/>
      <c r="B7980" s="439"/>
      <c r="C7980" s="439"/>
      <c r="D7980" s="439"/>
      <c r="E7980" s="439"/>
      <c r="F7980" s="439"/>
      <c r="G7980" s="451" t="s">
        <v>3406</v>
      </c>
      <c r="Z7980" s="500"/>
      <c r="AA7980" s="500"/>
      <c r="AB7980" s="500"/>
      <c r="AC7980" s="500"/>
      <c r="AD7980" s="500"/>
      <c r="AE7980" s="500"/>
      <c r="AF7980" s="500"/>
      <c r="AG7980" s="500"/>
      <c r="AH7980" s="500"/>
      <c r="AI7980" s="500"/>
      <c r="AJ7980" s="500"/>
      <c r="AK7980" s="500"/>
      <c r="AL7980" s="500"/>
      <c r="AM7980" s="500"/>
      <c r="AN7980" s="500"/>
      <c r="AO7980" s="500"/>
      <c r="AP7980" s="500"/>
    </row>
    <row r="7981" spans="1:42" ht="16.5" customHeight="1">
      <c r="A7981" s="434" t="s">
        <v>3504</v>
      </c>
      <c r="B7981" s="505" t="str">
        <f>"  유기질비료 수목이식·식재용 : "&amp;TEXT(I7981,"#,##0"&amp;IF(I7981&lt;&gt;INT(I7981),".###",""))&amp;" * "&amp;AA7981&amp;" KG  / Q = "&amp;TEXT(C7981,"#,##0.0")&amp;""</f>
        <v xml:space="preserve">  유기질비료 수목이식·식재용 : 500 * 180 KG  / Q = 50.0</v>
      </c>
      <c r="C7981" s="506">
        <f>E7981+D7981+F7981</f>
        <v>50</v>
      </c>
      <c r="D7981" s="506">
        <f>IF(H7981=0,0,ROUNDDOWN(J7981*H7981,1))</f>
        <v>0</v>
      </c>
      <c r="E7981" s="506">
        <f>IF(H7981=0,0,ROUNDDOWN(K7981*H7981,1))</f>
        <v>50</v>
      </c>
      <c r="F7981" s="506">
        <f>IF(H7981=0,0,ROUNDDOWN(L7981*H7981,1))</f>
        <v>0</v>
      </c>
      <c r="G7981" s="451" t="s">
        <v>4297</v>
      </c>
      <c r="H7981" s="507">
        <f>ROUNDUP(AE7981,14-LEN(ABS(INT(AE7981))))</f>
        <v>0.1</v>
      </c>
      <c r="I7981" s="508">
        <f>K7981+J7981+L7981</f>
        <v>500</v>
      </c>
      <c r="K7981" s="509">
        <f>재료비목록표!E78</f>
        <v>500</v>
      </c>
      <c r="M7981" s="501" t="s">
        <v>3506</v>
      </c>
      <c r="N7981" s="501" t="s">
        <v>3416</v>
      </c>
      <c r="X7981" s="510" t="str">
        <f>재료비목록표!B78&amp;" / "&amp;재료비목록표!C78</f>
        <v>유기질비료 / 수목이식·식재용</v>
      </c>
      <c r="Y7981" s="433" t="str">
        <f ca="1">HYPERLINK("#"&amp;재료비목록표!G2&amp;"!A"&amp;ROW(재료비목록표!A78),"M01159 →")</f>
        <v>M01159 →</v>
      </c>
      <c r="Z7981" s="501" t="s">
        <v>3500</v>
      </c>
      <c r="AA7981" s="515">
        <v>180</v>
      </c>
      <c r="AB7981" s="501" t="s">
        <v>3428</v>
      </c>
      <c r="AC7981" s="512">
        <f>AB7962</f>
        <v>1800</v>
      </c>
      <c r="AD7981" s="501" t="s">
        <v>3418</v>
      </c>
      <c r="AE7981" s="512">
        <f>1*AA7981/AB7962</f>
        <v>0.1</v>
      </c>
      <c r="AF7981" s="500"/>
      <c r="AG7981" s="500"/>
      <c r="AH7981" s="500"/>
      <c r="AI7981" s="500"/>
      <c r="AJ7981" s="500"/>
      <c r="AK7981" s="500"/>
      <c r="AL7981" s="500"/>
      <c r="AM7981" s="500"/>
      <c r="AN7981" s="500"/>
      <c r="AO7981" s="500"/>
      <c r="AP7981" s="500"/>
    </row>
    <row r="7982" spans="1:42" ht="16.5" customHeight="1">
      <c r="A7982" s="439"/>
      <c r="B7982" s="439"/>
      <c r="C7982" s="439"/>
      <c r="D7982" s="439"/>
      <c r="E7982" s="439"/>
      <c r="F7982" s="439"/>
      <c r="G7982" s="451" t="s">
        <v>3406</v>
      </c>
      <c r="Z7982" s="500"/>
      <c r="AA7982" s="500"/>
      <c r="AB7982" s="500"/>
      <c r="AC7982" s="500"/>
      <c r="AD7982" s="500"/>
      <c r="AE7982" s="500"/>
      <c r="AF7982" s="500"/>
      <c r="AG7982" s="500"/>
      <c r="AH7982" s="500"/>
      <c r="AI7982" s="500"/>
      <c r="AJ7982" s="500"/>
      <c r="AK7982" s="500"/>
      <c r="AL7982" s="500"/>
      <c r="AM7982" s="500"/>
      <c r="AN7982" s="500"/>
      <c r="AO7982" s="500"/>
      <c r="AP7982" s="500"/>
    </row>
    <row r="7983" spans="1:42" ht="16.5" customHeight="1">
      <c r="A7983" s="434"/>
      <c r="B7983" s="437" t="s">
        <v>3419</v>
      </c>
      <c r="C7983" s="513">
        <f>E7983+D7983+F7983</f>
        <v>50</v>
      </c>
      <c r="D7983" s="513">
        <f>SUMIF(N7977:N7982,M7983,D7977:D7982)</f>
        <v>0</v>
      </c>
      <c r="E7983" s="513">
        <f>SUMIF(N7977:N7982,M7983,E7977:E7982)</f>
        <v>50</v>
      </c>
      <c r="F7983" s="513">
        <f>SUMIF(N7977:N7982,M7983,F7977:F7982)</f>
        <v>0</v>
      </c>
      <c r="G7983" s="451" t="s">
        <v>3439</v>
      </c>
      <c r="M7983" s="501" t="s">
        <v>3416</v>
      </c>
      <c r="N7983" s="501" t="s">
        <v>3421</v>
      </c>
      <c r="Z7983" s="500"/>
      <c r="AA7983" s="500"/>
      <c r="AB7983" s="500"/>
      <c r="AC7983" s="500"/>
      <c r="AD7983" s="500"/>
      <c r="AE7983" s="500"/>
      <c r="AF7983" s="500"/>
      <c r="AG7983" s="500"/>
      <c r="AH7983" s="500"/>
      <c r="AI7983" s="500"/>
      <c r="AJ7983" s="500"/>
      <c r="AK7983" s="500"/>
      <c r="AL7983" s="500"/>
      <c r="AM7983" s="500"/>
      <c r="AN7983" s="500"/>
      <c r="AO7983" s="500"/>
      <c r="AP7983" s="500"/>
    </row>
    <row r="7984" spans="1:42" ht="16.5" customHeight="1">
      <c r="A7984" s="439"/>
      <c r="B7984" s="439"/>
      <c r="C7984" s="504"/>
      <c r="D7984" s="504"/>
      <c r="E7984" s="504"/>
      <c r="F7984" s="504"/>
      <c r="G7984" s="451" t="s">
        <v>3406</v>
      </c>
      <c r="Z7984" s="500"/>
      <c r="AA7984" s="500"/>
      <c r="AB7984" s="500"/>
      <c r="AC7984" s="500"/>
      <c r="AD7984" s="500"/>
      <c r="AE7984" s="500"/>
      <c r="AF7984" s="500"/>
      <c r="AG7984" s="500"/>
      <c r="AH7984" s="500"/>
      <c r="AI7984" s="500"/>
      <c r="AJ7984" s="500"/>
      <c r="AK7984" s="500"/>
      <c r="AL7984" s="500"/>
      <c r="AM7984" s="500"/>
      <c r="AN7984" s="500"/>
      <c r="AO7984" s="500"/>
      <c r="AP7984" s="500"/>
    </row>
    <row r="7985" spans="1:42" ht="16.5" customHeight="1">
      <c r="A7985" s="434"/>
      <c r="B7985" s="505" t="str">
        <f>"  산지할증 : "&amp;TEXT(I7985,"#,##0.0")&amp;" * "&amp;AA7985&amp;" %  = "&amp;TEXT(C7985,"#,##0.0")&amp;""</f>
        <v xml:space="preserve">  산지할증 : 487.5 * 25 %  = 121.8</v>
      </c>
      <c r="C7985" s="506">
        <f>E7985+D7985+F7985</f>
        <v>121.8</v>
      </c>
      <c r="D7985" s="506">
        <f>IF(H7985=0,0,ROUNDDOWN(J7985*H7985/100,1))</f>
        <v>121.8</v>
      </c>
      <c r="E7985" s="506">
        <f>IF(H7985=0,0,ROUNDDOWN(K7985*H7985/100,1))</f>
        <v>0</v>
      </c>
      <c r="F7985" s="506">
        <f>IF(H7985=0,0,ROUNDDOWN(L7985*H7985/100,1))</f>
        <v>0</v>
      </c>
      <c r="G7985" s="451" t="s">
        <v>5592</v>
      </c>
      <c r="H7985" s="507">
        <f>ROUNDUP(AC7985,14-LEN(ABS(INT(AC7985))))</f>
        <v>25</v>
      </c>
      <c r="I7985" s="508">
        <f>K7985+J7985+L7985</f>
        <v>487.5</v>
      </c>
      <c r="J7985" s="508">
        <f>D7976+D7983+SUMIF(N7984:N7984,N7985,D7984:D7984)</f>
        <v>487.5</v>
      </c>
      <c r="K7985" s="456">
        <v>0</v>
      </c>
      <c r="L7985" s="456">
        <v>0</v>
      </c>
      <c r="M7985" s="501" t="s">
        <v>4208</v>
      </c>
      <c r="N7985" s="501" t="s">
        <v>3416</v>
      </c>
      <c r="Z7985" s="501" t="s">
        <v>3500</v>
      </c>
      <c r="AA7985" s="515">
        <v>25</v>
      </c>
      <c r="AB7985" s="501" t="s">
        <v>3418</v>
      </c>
      <c r="AC7985" s="512">
        <f>1*AA7985</f>
        <v>25</v>
      </c>
      <c r="AD7985" s="500"/>
      <c r="AE7985" s="500"/>
      <c r="AF7985" s="500"/>
      <c r="AG7985" s="500"/>
      <c r="AH7985" s="500"/>
      <c r="AI7985" s="500"/>
      <c r="AJ7985" s="500"/>
      <c r="AK7985" s="500"/>
      <c r="AL7985" s="500"/>
      <c r="AM7985" s="500"/>
      <c r="AN7985" s="500"/>
      <c r="AO7985" s="500"/>
      <c r="AP7985" s="500"/>
    </row>
    <row r="7986" spans="1:42" ht="16.5" customHeight="1">
      <c r="A7986" s="439"/>
      <c r="B7986" s="439"/>
      <c r="C7986" s="439"/>
      <c r="D7986" s="439"/>
      <c r="E7986" s="439"/>
      <c r="F7986" s="439"/>
      <c r="G7986" s="451" t="s">
        <v>3406</v>
      </c>
      <c r="Z7986" s="500"/>
      <c r="AA7986" s="500"/>
      <c r="AB7986" s="500"/>
      <c r="AC7986" s="500"/>
      <c r="AD7986" s="500"/>
      <c r="AE7986" s="500"/>
      <c r="AF7986" s="500"/>
      <c r="AG7986" s="500"/>
      <c r="AH7986" s="500"/>
      <c r="AI7986" s="500"/>
      <c r="AJ7986" s="500"/>
      <c r="AK7986" s="500"/>
      <c r="AL7986" s="500"/>
      <c r="AM7986" s="500"/>
      <c r="AN7986" s="500"/>
      <c r="AO7986" s="500"/>
      <c r="AP7986" s="500"/>
    </row>
    <row r="7987" spans="1:42" ht="16.5" customHeight="1">
      <c r="A7987" s="434"/>
      <c r="B7987" s="437" t="s">
        <v>3419</v>
      </c>
      <c r="C7987" s="513">
        <f>E7987+D7987+F7987</f>
        <v>121.8</v>
      </c>
      <c r="D7987" s="513">
        <f>SUMIF(N7984:N7986,M7987,D7984:D7986)</f>
        <v>121.8</v>
      </c>
      <c r="E7987" s="513">
        <f>SUMIF(N7984:N7986,M7987,E7984:E7986)</f>
        <v>0</v>
      </c>
      <c r="F7987" s="513">
        <f>SUMIF(N7984:N7986,M7987,F7984:F7986)</f>
        <v>0</v>
      </c>
      <c r="G7987" s="451" t="s">
        <v>3439</v>
      </c>
      <c r="M7987" s="501" t="s">
        <v>3416</v>
      </c>
      <c r="N7987" s="501" t="s">
        <v>3421</v>
      </c>
      <c r="Z7987" s="500"/>
      <c r="AA7987" s="500"/>
      <c r="AB7987" s="500"/>
      <c r="AC7987" s="500"/>
      <c r="AD7987" s="500"/>
      <c r="AE7987" s="500"/>
      <c r="AF7987" s="500"/>
      <c r="AG7987" s="500"/>
      <c r="AH7987" s="500"/>
      <c r="AI7987" s="500"/>
      <c r="AJ7987" s="500"/>
      <c r="AK7987" s="500"/>
      <c r="AL7987" s="500"/>
      <c r="AM7987" s="500"/>
      <c r="AN7987" s="500"/>
      <c r="AO7987" s="500"/>
      <c r="AP7987" s="500"/>
    </row>
    <row r="7988" spans="1:42" ht="16.5" customHeight="1">
      <c r="A7988" s="439"/>
      <c r="B7988" s="439"/>
      <c r="C7988" s="504"/>
      <c r="D7988" s="504"/>
      <c r="E7988" s="504"/>
      <c r="F7988" s="504"/>
      <c r="G7988" s="451" t="s">
        <v>3406</v>
      </c>
      <c r="Z7988" s="500"/>
      <c r="AA7988" s="500"/>
      <c r="AB7988" s="500"/>
      <c r="AC7988" s="500"/>
      <c r="AD7988" s="500"/>
      <c r="AE7988" s="500"/>
      <c r="AF7988" s="500"/>
      <c r="AG7988" s="500"/>
      <c r="AH7988" s="500"/>
      <c r="AI7988" s="500"/>
      <c r="AJ7988" s="500"/>
      <c r="AK7988" s="500"/>
      <c r="AL7988" s="500"/>
      <c r="AM7988" s="500"/>
      <c r="AN7988" s="500"/>
      <c r="AO7988" s="500"/>
      <c r="AP7988" s="500"/>
    </row>
    <row r="7989" spans="1:42" ht="16.5" customHeight="1">
      <c r="A7989" s="434"/>
      <c r="B7989" s="437" t="s">
        <v>3440</v>
      </c>
      <c r="C7989" s="513">
        <f>E7989+D7989+F7989</f>
        <v>659.3</v>
      </c>
      <c r="D7989" s="513">
        <f>SUMIF(N7957:N7988,M7989,D7957:D7988)</f>
        <v>609.29999999999995</v>
      </c>
      <c r="E7989" s="513">
        <f>SUMIF(N7957:N7988,M7989,E7957:E7988)</f>
        <v>50</v>
      </c>
      <c r="F7989" s="513">
        <f>SUMIF(N7957:N7988,M7989,F7957:F7988)</f>
        <v>0</v>
      </c>
      <c r="G7989" s="451" t="s">
        <v>3441</v>
      </c>
      <c r="M7989" s="501" t="s">
        <v>3421</v>
      </c>
      <c r="N7989" s="501" t="s">
        <v>2354</v>
      </c>
      <c r="Z7989" s="500"/>
      <c r="AA7989" s="500"/>
      <c r="AB7989" s="500"/>
      <c r="AC7989" s="500"/>
      <c r="AD7989" s="500"/>
      <c r="AE7989" s="500"/>
      <c r="AF7989" s="500"/>
      <c r="AG7989" s="500"/>
      <c r="AH7989" s="500"/>
      <c r="AI7989" s="500"/>
      <c r="AJ7989" s="500"/>
      <c r="AK7989" s="500"/>
      <c r="AL7989" s="500"/>
      <c r="AM7989" s="500"/>
      <c r="AN7989" s="500"/>
      <c r="AO7989" s="500"/>
      <c r="AP7989" s="500"/>
    </row>
    <row r="7990" spans="1:42" ht="16.5" customHeight="1">
      <c r="A7990" s="439"/>
      <c r="B7990" s="439"/>
      <c r="C7990" s="504"/>
      <c r="D7990" s="504"/>
      <c r="E7990" s="504"/>
      <c r="F7990" s="504"/>
      <c r="G7990" s="451" t="s">
        <v>3413</v>
      </c>
      <c r="Z7990" s="500"/>
      <c r="AA7990" s="500"/>
      <c r="AB7990" s="500"/>
      <c r="AC7990" s="500"/>
      <c r="AD7990" s="500"/>
      <c r="AE7990" s="500"/>
      <c r="AF7990" s="500"/>
      <c r="AG7990" s="500"/>
      <c r="AH7990" s="500"/>
      <c r="AI7990" s="500"/>
      <c r="AJ7990" s="500"/>
      <c r="AK7990" s="500"/>
      <c r="AL7990" s="500"/>
      <c r="AM7990" s="500"/>
      <c r="AN7990" s="500"/>
      <c r="AO7990" s="500"/>
      <c r="AP7990" s="500"/>
    </row>
    <row r="7991" spans="1:42" ht="16.5" customHeight="1">
      <c r="A7991" s="439"/>
      <c r="B7991" s="439"/>
      <c r="C7991" s="439"/>
      <c r="D7991" s="439"/>
      <c r="E7991" s="439"/>
      <c r="F7991" s="439"/>
      <c r="Z7991" s="500"/>
      <c r="AA7991" s="500"/>
      <c r="AB7991" s="500"/>
      <c r="AC7991" s="500"/>
      <c r="AD7991" s="500"/>
      <c r="AE7991" s="500"/>
      <c r="AF7991" s="500"/>
      <c r="AG7991" s="500"/>
      <c r="AH7991" s="500"/>
      <c r="AI7991" s="500"/>
      <c r="AJ7991" s="500"/>
      <c r="AK7991" s="500"/>
      <c r="AL7991" s="500"/>
      <c r="AM7991" s="500"/>
      <c r="AN7991" s="500"/>
      <c r="AO7991" s="500"/>
      <c r="AP7991" s="500"/>
    </row>
    <row r="7992" spans="1:42" ht="16.5" customHeight="1">
      <c r="A7992" s="439"/>
      <c r="B7992" s="439"/>
      <c r="C7992" s="439"/>
      <c r="D7992" s="439"/>
      <c r="E7992" s="439"/>
      <c r="F7992" s="439"/>
      <c r="Z7992" s="500"/>
      <c r="AA7992" s="500"/>
      <c r="AB7992" s="500"/>
      <c r="AC7992" s="500"/>
      <c r="AD7992" s="500"/>
      <c r="AE7992" s="500"/>
      <c r="AF7992" s="500"/>
      <c r="AG7992" s="500"/>
      <c r="AH7992" s="500"/>
      <c r="AI7992" s="500"/>
      <c r="AJ7992" s="500"/>
      <c r="AK7992" s="500"/>
      <c r="AL7992" s="500"/>
      <c r="AM7992" s="500"/>
      <c r="AN7992" s="500"/>
      <c r="AO7992" s="500"/>
      <c r="AP7992" s="500"/>
    </row>
    <row r="7993" spans="1:42" ht="16.5" customHeight="1">
      <c r="A7993" s="439"/>
      <c r="B7993" s="439"/>
      <c r="C7993" s="439"/>
      <c r="D7993" s="439"/>
      <c r="E7993" s="439"/>
      <c r="F7993" s="439"/>
      <c r="Z7993" s="500"/>
      <c r="AA7993" s="500"/>
      <c r="AB7993" s="500"/>
      <c r="AC7993" s="500"/>
      <c r="AD7993" s="500"/>
      <c r="AE7993" s="500"/>
      <c r="AF7993" s="500"/>
      <c r="AG7993" s="500"/>
      <c r="AH7993" s="500"/>
      <c r="AI7993" s="500"/>
      <c r="AJ7993" s="500"/>
      <c r="AK7993" s="500"/>
      <c r="AL7993" s="500"/>
      <c r="AM7993" s="500"/>
      <c r="AN7993" s="500"/>
      <c r="AO7993" s="500"/>
      <c r="AP7993" s="500"/>
    </row>
    <row r="7994" spans="1:42" ht="16.5" customHeight="1">
      <c r="A7994" s="439"/>
      <c r="B7994" s="439"/>
      <c r="C7994" s="439"/>
      <c r="D7994" s="439"/>
      <c r="E7994" s="439"/>
      <c r="F7994" s="439"/>
      <c r="Z7994" s="500"/>
      <c r="AA7994" s="500"/>
      <c r="AB7994" s="500"/>
      <c r="AC7994" s="500"/>
      <c r="AD7994" s="500"/>
      <c r="AE7994" s="500"/>
      <c r="AF7994" s="500"/>
      <c r="AG7994" s="500"/>
      <c r="AH7994" s="500"/>
      <c r="AI7994" s="500"/>
      <c r="AJ7994" s="500"/>
      <c r="AK7994" s="500"/>
      <c r="AL7994" s="500"/>
      <c r="AM7994" s="500"/>
      <c r="AN7994" s="500"/>
      <c r="AO7994" s="500"/>
      <c r="AP7994" s="500"/>
    </row>
    <row r="7995" spans="1:42" ht="16.5" customHeight="1">
      <c r="A7995" s="439"/>
      <c r="B7995" s="439"/>
      <c r="C7995" s="439"/>
      <c r="D7995" s="439"/>
      <c r="E7995" s="439"/>
      <c r="F7995" s="439"/>
      <c r="Z7995" s="500"/>
      <c r="AA7995" s="500"/>
      <c r="AB7995" s="500"/>
      <c r="AC7995" s="500"/>
      <c r="AD7995" s="500"/>
      <c r="AE7995" s="500"/>
      <c r="AF7995" s="500"/>
      <c r="AG7995" s="500"/>
      <c r="AH7995" s="500"/>
      <c r="AI7995" s="500"/>
      <c r="AJ7995" s="500"/>
      <c r="AK7995" s="500"/>
      <c r="AL7995" s="500"/>
      <c r="AM7995" s="500"/>
      <c r="AN7995" s="500"/>
      <c r="AO7995" s="500"/>
      <c r="AP7995" s="500"/>
    </row>
    <row r="7996" spans="1:42" ht="16.5" customHeight="1">
      <c r="A7996" s="439"/>
      <c r="B7996" s="439"/>
      <c r="C7996" s="439"/>
      <c r="D7996" s="439"/>
      <c r="E7996" s="439"/>
      <c r="F7996" s="439"/>
      <c r="Z7996" s="500"/>
      <c r="AA7996" s="500"/>
      <c r="AB7996" s="500"/>
      <c r="AC7996" s="500"/>
      <c r="AD7996" s="500"/>
      <c r="AE7996" s="500"/>
      <c r="AF7996" s="500"/>
      <c r="AG7996" s="500"/>
      <c r="AH7996" s="500"/>
      <c r="AI7996" s="500"/>
      <c r="AJ7996" s="500"/>
      <c r="AK7996" s="500"/>
      <c r="AL7996" s="500"/>
      <c r="AM7996" s="500"/>
      <c r="AN7996" s="500"/>
      <c r="AO7996" s="500"/>
      <c r="AP7996" s="500"/>
    </row>
    <row r="7997" spans="1:42" ht="16.5" customHeight="1">
      <c r="A7997" s="439"/>
      <c r="B7997" s="439"/>
      <c r="C7997" s="439"/>
      <c r="D7997" s="439"/>
      <c r="E7997" s="439"/>
      <c r="F7997" s="439"/>
      <c r="Z7997" s="500"/>
      <c r="AA7997" s="500"/>
      <c r="AB7997" s="500"/>
      <c r="AC7997" s="500"/>
      <c r="AD7997" s="500"/>
      <c r="AE7997" s="500"/>
      <c r="AF7997" s="500"/>
      <c r="AG7997" s="500"/>
      <c r="AH7997" s="500"/>
      <c r="AI7997" s="500"/>
      <c r="AJ7997" s="500"/>
      <c r="AK7997" s="500"/>
      <c r="AL7997" s="500"/>
      <c r="AM7997" s="500"/>
      <c r="AN7997" s="500"/>
      <c r="AO7997" s="500"/>
      <c r="AP7997" s="500"/>
    </row>
    <row r="7998" spans="1:42" ht="16.5" customHeight="1">
      <c r="A7998" s="439"/>
      <c r="B7998" s="439"/>
      <c r="C7998" s="439"/>
      <c r="D7998" s="439"/>
      <c r="E7998" s="439"/>
      <c r="F7998" s="439"/>
      <c r="Z7998" s="500"/>
      <c r="AA7998" s="500"/>
      <c r="AB7998" s="500"/>
      <c r="AC7998" s="500"/>
      <c r="AD7998" s="500"/>
      <c r="AE7998" s="500"/>
      <c r="AF7998" s="500"/>
      <c r="AG7998" s="500"/>
      <c r="AH7998" s="500"/>
      <c r="AI7998" s="500"/>
      <c r="AJ7998" s="500"/>
      <c r="AK7998" s="500"/>
      <c r="AL7998" s="500"/>
      <c r="AM7998" s="500"/>
      <c r="AN7998" s="500"/>
      <c r="AO7998" s="500"/>
      <c r="AP7998" s="500"/>
    </row>
    <row r="7999" spans="1:42" ht="16.5" customHeight="1">
      <c r="A7999" s="439"/>
      <c r="B7999" s="439"/>
      <c r="C7999" s="439"/>
      <c r="D7999" s="439"/>
      <c r="E7999" s="439"/>
      <c r="F7999" s="439"/>
      <c r="Z7999" s="500"/>
      <c r="AA7999" s="500"/>
      <c r="AB7999" s="500"/>
      <c r="AC7999" s="500"/>
      <c r="AD7999" s="500"/>
      <c r="AE7999" s="500"/>
      <c r="AF7999" s="500"/>
      <c r="AG7999" s="500"/>
      <c r="AH7999" s="500"/>
      <c r="AI7999" s="500"/>
      <c r="AJ7999" s="500"/>
      <c r="AK7999" s="500"/>
      <c r="AL7999" s="500"/>
      <c r="AM7999" s="500"/>
      <c r="AN7999" s="500"/>
      <c r="AO7999" s="500"/>
      <c r="AP7999" s="500"/>
    </row>
    <row r="8000" spans="1:42" ht="16.5" customHeight="1">
      <c r="A8000" s="439"/>
      <c r="B8000" s="439"/>
      <c r="C8000" s="439"/>
      <c r="D8000" s="439"/>
      <c r="E8000" s="439"/>
      <c r="F8000" s="439"/>
      <c r="Z8000" s="500"/>
      <c r="AA8000" s="500"/>
      <c r="AB8000" s="500"/>
      <c r="AC8000" s="500"/>
      <c r="AD8000" s="500"/>
      <c r="AE8000" s="500"/>
      <c r="AF8000" s="500"/>
      <c r="AG8000" s="500"/>
      <c r="AH8000" s="500"/>
      <c r="AI8000" s="500"/>
      <c r="AJ8000" s="500"/>
      <c r="AK8000" s="500"/>
      <c r="AL8000" s="500"/>
      <c r="AM8000" s="500"/>
      <c r="AN8000" s="500"/>
      <c r="AO8000" s="500"/>
      <c r="AP8000" s="500"/>
    </row>
    <row r="8001" spans="1:42" ht="16.5" customHeight="1">
      <c r="A8001" s="439"/>
      <c r="B8001" s="439"/>
      <c r="C8001" s="439"/>
      <c r="D8001" s="439"/>
      <c r="E8001" s="439"/>
      <c r="F8001" s="439"/>
      <c r="Z8001" s="500"/>
      <c r="AA8001" s="500"/>
      <c r="AB8001" s="500"/>
      <c r="AC8001" s="500"/>
      <c r="AD8001" s="500"/>
      <c r="AE8001" s="500"/>
      <c r="AF8001" s="500"/>
      <c r="AG8001" s="500"/>
      <c r="AH8001" s="500"/>
      <c r="AI8001" s="500"/>
      <c r="AJ8001" s="500"/>
      <c r="AK8001" s="500"/>
      <c r="AL8001" s="500"/>
      <c r="AM8001" s="500"/>
      <c r="AN8001" s="500"/>
      <c r="AO8001" s="500"/>
      <c r="AP8001" s="500"/>
    </row>
    <row r="8002" spans="1:42" ht="16.5" customHeight="1">
      <c r="A8002" s="439"/>
      <c r="B8002" s="439"/>
      <c r="C8002" s="439"/>
      <c r="D8002" s="439"/>
      <c r="E8002" s="439"/>
      <c r="F8002" s="439"/>
      <c r="Z8002" s="500"/>
      <c r="AA8002" s="500"/>
      <c r="AB8002" s="500"/>
      <c r="AC8002" s="500"/>
      <c r="AD8002" s="500"/>
      <c r="AE8002" s="500"/>
      <c r="AF8002" s="500"/>
      <c r="AG8002" s="500"/>
      <c r="AH8002" s="500"/>
      <c r="AI8002" s="500"/>
      <c r="AJ8002" s="500"/>
      <c r="AK8002" s="500"/>
      <c r="AL8002" s="500"/>
      <c r="AM8002" s="500"/>
      <c r="AN8002" s="500"/>
      <c r="AO8002" s="500"/>
      <c r="AP8002" s="500"/>
    </row>
    <row r="8003" spans="1:42" ht="16.5" customHeight="1">
      <c r="A8003" s="497"/>
      <c r="B8003" s="497"/>
      <c r="C8003" s="497"/>
      <c r="D8003" s="497"/>
      <c r="E8003" s="497"/>
      <c r="F8003" s="497"/>
      <c r="Z8003" s="500"/>
      <c r="AA8003" s="500"/>
      <c r="AB8003" s="500"/>
      <c r="AC8003" s="500"/>
      <c r="AD8003" s="500"/>
      <c r="AE8003" s="500"/>
      <c r="AF8003" s="500"/>
      <c r="AG8003" s="500"/>
      <c r="AH8003" s="500"/>
      <c r="AI8003" s="500"/>
      <c r="AJ8003" s="500"/>
      <c r="AK8003" s="500"/>
      <c r="AL8003" s="500"/>
      <c r="AM8003" s="500"/>
      <c r="AN8003" s="500"/>
      <c r="AO8003" s="500"/>
      <c r="AP8003" s="500"/>
    </row>
    <row r="8004" spans="1:42" ht="16.5" customHeight="1">
      <c r="A8004" s="616" t="s">
        <v>3487</v>
      </c>
      <c r="B8004" s="605"/>
      <c r="C8004" s="446">
        <f>E8004+D8004+F8004</f>
        <v>659</v>
      </c>
      <c r="D8004" s="453">
        <f>ROUNDDOWN(SUMIF(N7957:N7990,M8004,D7957:D7990),0)</f>
        <v>609</v>
      </c>
      <c r="E8004" s="454">
        <f>ROUNDDOWN(SUMIF(N7957:N7990,M8004,E7957:E7990),0)</f>
        <v>50</v>
      </c>
      <c r="F8004" s="446">
        <f>ROUNDDOWN(SUMIF(N7957:N7990,M8004,F7957:F7990),0)</f>
        <v>0</v>
      </c>
      <c r="M8004" s="501" t="s">
        <v>2354</v>
      </c>
      <c r="Z8004" s="500"/>
      <c r="AA8004" s="500"/>
      <c r="AB8004" s="500"/>
      <c r="AC8004" s="500"/>
      <c r="AD8004" s="500"/>
      <c r="AE8004" s="500"/>
      <c r="AF8004" s="500"/>
      <c r="AG8004" s="500"/>
      <c r="AH8004" s="500"/>
      <c r="AI8004" s="500"/>
      <c r="AJ8004" s="500"/>
      <c r="AK8004" s="500"/>
      <c r="AL8004" s="500"/>
      <c r="AM8004" s="500"/>
      <c r="AN8004" s="500"/>
      <c r="AO8004" s="500"/>
      <c r="AP8004" s="500"/>
    </row>
    <row r="8005" spans="1:42" ht="16.5" customHeight="1">
      <c r="A8005" s="502"/>
      <c r="B8005" s="503" t="s">
        <v>5422</v>
      </c>
      <c r="C8005" s="615">
        <f>C8054</f>
        <v>1047</v>
      </c>
      <c r="D8005" s="615">
        <f>D8054</f>
        <v>997</v>
      </c>
      <c r="E8005" s="615">
        <f>E8054</f>
        <v>50</v>
      </c>
      <c r="F8005" s="615">
        <f>F8054</f>
        <v>0</v>
      </c>
      <c r="G8005" s="486" t="str">
        <f>HYPERLINK("#G"&amp;ROW(G8040),"_x0005_`BDCOD|D01335_x0007_`POSS|"&amp;ROW(G8007)&amp;"_x0007_`POSE|"&amp;ROW(G8040)&amp;"_x0007_`")</f>
        <v>_x0005_`BDCOD|D01335_x0007_`POSS|8007_x0007_`POSE|8040_x0007_`</v>
      </c>
      <c r="Z8005" s="500"/>
      <c r="AA8005" s="500"/>
      <c r="AB8005" s="500"/>
      <c r="AC8005" s="500"/>
      <c r="AD8005" s="500"/>
      <c r="AE8005" s="500"/>
      <c r="AF8005" s="500"/>
      <c r="AG8005" s="500"/>
      <c r="AH8005" s="500"/>
      <c r="AI8005" s="500"/>
      <c r="AJ8005" s="500"/>
      <c r="AK8005" s="500"/>
      <c r="AL8005" s="500"/>
      <c r="AM8005" s="500"/>
      <c r="AN8005" s="500"/>
      <c r="AO8005" s="500"/>
      <c r="AP8005" s="500"/>
    </row>
    <row r="8006" spans="1:42" ht="16.5" customHeight="1">
      <c r="A8006" s="485"/>
      <c r="B8006" s="503" t="s">
        <v>5642</v>
      </c>
      <c r="C8006" s="593"/>
      <c r="D8006" s="593"/>
      <c r="E8006" s="593"/>
      <c r="F8006" s="593"/>
      <c r="M8006" s="501" t="s">
        <v>5422</v>
      </c>
      <c r="Z8006" s="500"/>
      <c r="AA8006" s="500"/>
      <c r="AB8006" s="500"/>
      <c r="AC8006" s="500"/>
      <c r="AD8006" s="500"/>
      <c r="AE8006" s="500"/>
      <c r="AF8006" s="500"/>
      <c r="AG8006" s="500"/>
      <c r="AH8006" s="500"/>
      <c r="AI8006" s="500"/>
      <c r="AJ8006" s="500"/>
      <c r="AK8006" s="500"/>
      <c r="AL8006" s="500"/>
      <c r="AM8006" s="500"/>
      <c r="AN8006" s="500"/>
      <c r="AO8006" s="500"/>
      <c r="AP8006" s="500"/>
    </row>
    <row r="8007" spans="1:42" ht="16.5" customHeight="1">
      <c r="A8007" s="439"/>
      <c r="B8007" s="439"/>
      <c r="C8007" s="504"/>
      <c r="D8007" s="504"/>
      <c r="E8007" s="504"/>
      <c r="F8007" s="504"/>
      <c r="G8007" s="451" t="s">
        <v>3406</v>
      </c>
      <c r="Z8007" s="500"/>
      <c r="AA8007" s="500"/>
      <c r="AB8007" s="500"/>
      <c r="AC8007" s="500"/>
      <c r="AD8007" s="500"/>
      <c r="AE8007" s="500"/>
      <c r="AF8007" s="500"/>
      <c r="AG8007" s="500"/>
      <c r="AH8007" s="500"/>
      <c r="AI8007" s="500"/>
      <c r="AJ8007" s="500"/>
      <c r="AK8007" s="500"/>
      <c r="AL8007" s="500"/>
      <c r="AM8007" s="500"/>
      <c r="AN8007" s="500"/>
      <c r="AO8007" s="500"/>
      <c r="AP8007" s="500"/>
    </row>
    <row r="8008" spans="1:42" ht="16.5" customHeight="1">
      <c r="A8008" s="434"/>
      <c r="B8008" s="437" t="s">
        <v>4299</v>
      </c>
      <c r="C8008" s="439"/>
      <c r="D8008" s="439"/>
      <c r="E8008" s="439"/>
      <c r="F8008" s="439"/>
      <c r="G8008" s="451" t="s">
        <v>4300</v>
      </c>
      <c r="Z8008" s="500"/>
      <c r="AA8008" s="500"/>
      <c r="AB8008" s="500"/>
      <c r="AC8008" s="500"/>
      <c r="AD8008" s="500"/>
      <c r="AE8008" s="500"/>
      <c r="AF8008" s="500"/>
      <c r="AG8008" s="500"/>
      <c r="AH8008" s="500"/>
      <c r="AI8008" s="500"/>
      <c r="AJ8008" s="500"/>
      <c r="AK8008" s="500"/>
      <c r="AL8008" s="500"/>
      <c r="AM8008" s="500"/>
      <c r="AN8008" s="500"/>
      <c r="AO8008" s="500"/>
      <c r="AP8008" s="500"/>
    </row>
    <row r="8009" spans="1:42" ht="16.5" customHeight="1">
      <c r="A8009" s="439"/>
      <c r="B8009" s="439"/>
      <c r="C8009" s="439"/>
      <c r="D8009" s="439"/>
      <c r="E8009" s="439"/>
      <c r="F8009" s="439"/>
      <c r="G8009" s="451" t="s">
        <v>3406</v>
      </c>
      <c r="Z8009" s="500"/>
      <c r="AA8009" s="500"/>
      <c r="AB8009" s="500"/>
      <c r="AC8009" s="500"/>
      <c r="AD8009" s="500"/>
      <c r="AE8009" s="500"/>
      <c r="AF8009" s="500"/>
      <c r="AG8009" s="500"/>
      <c r="AH8009" s="500"/>
      <c r="AI8009" s="500"/>
      <c r="AJ8009" s="500"/>
      <c r="AK8009" s="500"/>
      <c r="AL8009" s="500"/>
      <c r="AM8009" s="500"/>
      <c r="AN8009" s="500"/>
      <c r="AO8009" s="500"/>
      <c r="AP8009" s="500"/>
    </row>
    <row r="8010" spans="1:42" ht="16.5" customHeight="1">
      <c r="A8010" s="434"/>
      <c r="B8010" s="437" t="s">
        <v>4294</v>
      </c>
      <c r="C8010" s="439"/>
      <c r="D8010" s="439"/>
      <c r="E8010" s="439"/>
      <c r="F8010" s="439"/>
      <c r="G8010" s="451" t="s">
        <v>4295</v>
      </c>
      <c r="Z8010" s="500"/>
      <c r="AA8010" s="500"/>
      <c r="AB8010" s="500"/>
      <c r="AC8010" s="500"/>
      <c r="AD8010" s="500"/>
      <c r="AE8010" s="500"/>
      <c r="AF8010" s="500"/>
      <c r="AG8010" s="500"/>
      <c r="AH8010" s="500"/>
      <c r="AI8010" s="500"/>
      <c r="AJ8010" s="500"/>
      <c r="AK8010" s="500"/>
      <c r="AL8010" s="500"/>
      <c r="AM8010" s="500"/>
      <c r="AN8010" s="500"/>
      <c r="AO8010" s="500"/>
      <c r="AP8010" s="500"/>
    </row>
    <row r="8011" spans="1:42" ht="16.5" customHeight="1">
      <c r="A8011" s="439"/>
      <c r="B8011" s="439"/>
      <c r="C8011" s="439"/>
      <c r="D8011" s="439"/>
      <c r="E8011" s="439"/>
      <c r="F8011" s="439"/>
      <c r="G8011" s="451" t="s">
        <v>3406</v>
      </c>
      <c r="Z8011" s="500"/>
      <c r="AA8011" s="500"/>
      <c r="AB8011" s="500"/>
      <c r="AC8011" s="500"/>
      <c r="AD8011" s="500"/>
      <c r="AE8011" s="500"/>
      <c r="AF8011" s="500"/>
      <c r="AG8011" s="500"/>
      <c r="AH8011" s="500"/>
      <c r="AI8011" s="500"/>
      <c r="AJ8011" s="500"/>
      <c r="AK8011" s="500"/>
      <c r="AL8011" s="500"/>
      <c r="AM8011" s="500"/>
      <c r="AN8011" s="500"/>
      <c r="AO8011" s="500"/>
      <c r="AP8011" s="500"/>
    </row>
    <row r="8012" spans="1:42" ht="16.5" customHeight="1">
      <c r="A8012" s="434"/>
      <c r="B8012" s="437" t="str">
        <f>" 일당 작업량 :   Q = "&amp;Z8012&amp;"  주 "</f>
        <v xml:space="preserve"> 일당 작업량 :   Q = 1100  주 </v>
      </c>
      <c r="C8012" s="439"/>
      <c r="D8012" s="439"/>
      <c r="E8012" s="439"/>
      <c r="F8012" s="439"/>
      <c r="G8012" s="451" t="s">
        <v>4301</v>
      </c>
      <c r="Z8012" s="515">
        <v>1100</v>
      </c>
      <c r="AA8012" s="501" t="s">
        <v>3418</v>
      </c>
      <c r="AB8012" s="512">
        <f>Z8012</f>
        <v>1100</v>
      </c>
      <c r="AC8012" s="500"/>
      <c r="AD8012" s="500"/>
      <c r="AE8012" s="500"/>
      <c r="AF8012" s="500"/>
      <c r="AG8012" s="500"/>
      <c r="AH8012" s="500"/>
      <c r="AI8012" s="500"/>
      <c r="AJ8012" s="500"/>
      <c r="AK8012" s="500"/>
      <c r="AL8012" s="500"/>
      <c r="AM8012" s="500"/>
      <c r="AN8012" s="500"/>
      <c r="AO8012" s="500"/>
      <c r="AP8012" s="500"/>
    </row>
    <row r="8013" spans="1:42" ht="16.5" customHeight="1">
      <c r="A8013" s="439"/>
      <c r="B8013" s="439"/>
      <c r="C8013" s="439"/>
      <c r="D8013" s="439"/>
      <c r="E8013" s="439"/>
      <c r="F8013" s="439"/>
      <c r="G8013" s="451" t="s">
        <v>3406</v>
      </c>
      <c r="Z8013" s="500"/>
      <c r="AA8013" s="500"/>
      <c r="AB8013" s="500"/>
      <c r="AC8013" s="500"/>
      <c r="AD8013" s="500"/>
      <c r="AE8013" s="500"/>
      <c r="AF8013" s="500"/>
      <c r="AG8013" s="500"/>
      <c r="AH8013" s="500"/>
      <c r="AI8013" s="500"/>
      <c r="AJ8013" s="500"/>
      <c r="AK8013" s="500"/>
      <c r="AL8013" s="500"/>
      <c r="AM8013" s="500"/>
      <c r="AN8013" s="500"/>
      <c r="AO8013" s="500"/>
      <c r="AP8013" s="500"/>
    </row>
    <row r="8014" spans="1:42" ht="16.5" customHeight="1">
      <c r="A8014" s="434"/>
      <c r="B8014" s="437" t="s">
        <v>3494</v>
      </c>
      <c r="C8014" s="439"/>
      <c r="D8014" s="439"/>
      <c r="E8014" s="439"/>
      <c r="F8014" s="439"/>
      <c r="G8014" s="451" t="s">
        <v>3495</v>
      </c>
      <c r="Z8014" s="500"/>
      <c r="AA8014" s="500"/>
      <c r="AB8014" s="500"/>
      <c r="AC8014" s="500"/>
      <c r="AD8014" s="500"/>
      <c r="AE8014" s="500"/>
      <c r="AF8014" s="500"/>
      <c r="AG8014" s="500"/>
      <c r="AH8014" s="500"/>
      <c r="AI8014" s="500"/>
      <c r="AJ8014" s="500"/>
      <c r="AK8014" s="500"/>
      <c r="AL8014" s="500"/>
      <c r="AM8014" s="500"/>
      <c r="AN8014" s="500"/>
      <c r="AO8014" s="500"/>
      <c r="AP8014" s="500"/>
    </row>
    <row r="8015" spans="1:42" ht="16.5" customHeight="1">
      <c r="A8015" s="439"/>
      <c r="B8015" s="439"/>
      <c r="C8015" s="439"/>
      <c r="D8015" s="439"/>
      <c r="E8015" s="439"/>
      <c r="F8015" s="439"/>
      <c r="G8015" s="451" t="s">
        <v>3406</v>
      </c>
      <c r="Z8015" s="500"/>
      <c r="AA8015" s="500"/>
      <c r="AB8015" s="500"/>
      <c r="AC8015" s="500"/>
      <c r="AD8015" s="500"/>
      <c r="AE8015" s="500"/>
      <c r="AF8015" s="500"/>
      <c r="AG8015" s="500"/>
      <c r="AH8015" s="500"/>
      <c r="AI8015" s="500"/>
      <c r="AJ8015" s="500"/>
      <c r="AK8015" s="500"/>
      <c r="AL8015" s="500"/>
      <c r="AM8015" s="500"/>
      <c r="AN8015" s="500"/>
      <c r="AO8015" s="500"/>
      <c r="AP8015" s="500"/>
    </row>
    <row r="8016" spans="1:42" ht="16.5" customHeight="1">
      <c r="A8016" s="439"/>
      <c r="B8016" s="439"/>
      <c r="C8016" s="439"/>
      <c r="D8016" s="439"/>
      <c r="E8016" s="439"/>
      <c r="F8016" s="439"/>
      <c r="G8016" s="451" t="s">
        <v>3406</v>
      </c>
      <c r="Z8016" s="500"/>
      <c r="AA8016" s="500"/>
      <c r="AB8016" s="500"/>
      <c r="AC8016" s="500"/>
      <c r="AD8016" s="500"/>
      <c r="AE8016" s="500"/>
      <c r="AF8016" s="500"/>
      <c r="AG8016" s="500"/>
      <c r="AH8016" s="500"/>
      <c r="AI8016" s="500"/>
      <c r="AJ8016" s="500"/>
      <c r="AK8016" s="500"/>
      <c r="AL8016" s="500"/>
      <c r="AM8016" s="500"/>
      <c r="AN8016" s="500"/>
      <c r="AO8016" s="500"/>
      <c r="AP8016" s="500"/>
    </row>
    <row r="8017" spans="1:42" ht="16.5" customHeight="1">
      <c r="A8017" s="439"/>
      <c r="B8017" s="439"/>
      <c r="C8017" s="439"/>
      <c r="D8017" s="439"/>
      <c r="E8017" s="439"/>
      <c r="F8017" s="439"/>
      <c r="G8017" s="451" t="s">
        <v>3406</v>
      </c>
      <c r="Z8017" s="500"/>
      <c r="AA8017" s="500"/>
      <c r="AB8017" s="500"/>
      <c r="AC8017" s="500"/>
      <c r="AD8017" s="500"/>
      <c r="AE8017" s="500"/>
      <c r="AF8017" s="500"/>
      <c r="AG8017" s="500"/>
      <c r="AH8017" s="500"/>
      <c r="AI8017" s="500"/>
      <c r="AJ8017" s="500"/>
      <c r="AK8017" s="500"/>
      <c r="AL8017" s="500"/>
      <c r="AM8017" s="500"/>
      <c r="AN8017" s="500"/>
      <c r="AO8017" s="500"/>
      <c r="AP8017" s="500"/>
    </row>
    <row r="8018" spans="1:42" ht="16.5" customHeight="1">
      <c r="A8018" s="439"/>
      <c r="B8018" s="439"/>
      <c r="C8018" s="439"/>
      <c r="D8018" s="439"/>
      <c r="E8018" s="439"/>
      <c r="F8018" s="439"/>
      <c r="G8018" s="451" t="s">
        <v>3406</v>
      </c>
      <c r="Z8018" s="500"/>
      <c r="AA8018" s="500"/>
      <c r="AB8018" s="500"/>
      <c r="AC8018" s="500"/>
      <c r="AD8018" s="500"/>
      <c r="AE8018" s="500"/>
      <c r="AF8018" s="500"/>
      <c r="AG8018" s="500"/>
      <c r="AH8018" s="500"/>
      <c r="AI8018" s="500"/>
      <c r="AJ8018" s="500"/>
      <c r="AK8018" s="500"/>
      <c r="AL8018" s="500"/>
      <c r="AM8018" s="500"/>
      <c r="AN8018" s="500"/>
      <c r="AO8018" s="500"/>
      <c r="AP8018" s="500"/>
    </row>
    <row r="8019" spans="1:42" ht="16.5" customHeight="1">
      <c r="A8019" s="434"/>
      <c r="B8019" s="437" t="s">
        <v>3496</v>
      </c>
      <c r="C8019" s="439"/>
      <c r="D8019" s="439"/>
      <c r="E8019" s="439"/>
      <c r="F8019" s="439"/>
      <c r="G8019" s="451" t="s">
        <v>3497</v>
      </c>
      <c r="Z8019" s="500"/>
      <c r="AA8019" s="500"/>
      <c r="AB8019" s="500"/>
      <c r="AC8019" s="500"/>
      <c r="AD8019" s="500"/>
      <c r="AE8019" s="500"/>
      <c r="AF8019" s="500"/>
      <c r="AG8019" s="500"/>
      <c r="AH8019" s="500"/>
      <c r="AI8019" s="500"/>
      <c r="AJ8019" s="500"/>
      <c r="AK8019" s="500"/>
      <c r="AL8019" s="500"/>
      <c r="AM8019" s="500"/>
      <c r="AN8019" s="500"/>
      <c r="AO8019" s="500"/>
      <c r="AP8019" s="500"/>
    </row>
    <row r="8020" spans="1:42" ht="16.5" customHeight="1">
      <c r="A8020" s="439"/>
      <c r="B8020" s="439"/>
      <c r="C8020" s="439"/>
      <c r="D8020" s="439"/>
      <c r="E8020" s="439"/>
      <c r="F8020" s="439"/>
      <c r="G8020" s="451" t="s">
        <v>3406</v>
      </c>
      <c r="Z8020" s="500"/>
      <c r="AA8020" s="500"/>
      <c r="AB8020" s="500"/>
      <c r="AC8020" s="500"/>
      <c r="AD8020" s="500"/>
      <c r="AE8020" s="500"/>
      <c r="AF8020" s="500"/>
      <c r="AG8020" s="500"/>
      <c r="AH8020" s="500"/>
      <c r="AI8020" s="500"/>
      <c r="AJ8020" s="500"/>
      <c r="AK8020" s="500"/>
      <c r="AL8020" s="500"/>
      <c r="AM8020" s="500"/>
      <c r="AN8020" s="500"/>
      <c r="AO8020" s="500"/>
      <c r="AP8020" s="500"/>
    </row>
    <row r="8021" spans="1:42" ht="16.5" customHeight="1">
      <c r="A8021" s="434" t="s">
        <v>3498</v>
      </c>
      <c r="B8021" s="505" t="str">
        <f>" 조경공 :  "&amp;TEXT(I8021,"#,##0"&amp;IF(I8021&lt;&gt;INT(I8021),".###",""))&amp;" * "&amp;AA8021&amp;" 인  / Q = "&amp;TEXT(C8021,"#,##0.0")&amp;""</f>
        <v xml:space="preserve"> 조경공 :  235,204 * 3 인  / Q = 641.4</v>
      </c>
      <c r="C8021" s="506">
        <f>E8021+D8021+F8021</f>
        <v>641.4</v>
      </c>
      <c r="D8021" s="506">
        <f>IF(H8021=0,0,ROUNDDOWN(J8021*H8021,1))</f>
        <v>641.4</v>
      </c>
      <c r="E8021" s="506">
        <f>IF(H8021=0,0,ROUNDDOWN(K8021*H8021,1))</f>
        <v>0</v>
      </c>
      <c r="F8021" s="506">
        <f>IF(H8021=0,0,ROUNDDOWN(L8021*H8021,1))</f>
        <v>0</v>
      </c>
      <c r="G8021" s="451" t="s">
        <v>3551</v>
      </c>
      <c r="H8021" s="507">
        <f>ROUNDUP(AE8021,14-LEN(ABS(INT(AE8021))))</f>
        <v>2.7272727272999999E-3</v>
      </c>
      <c r="I8021" s="508">
        <f>K8021+J8021+L8021</f>
        <v>235204</v>
      </c>
      <c r="J8021" s="509">
        <f>노무비목록표!E15</f>
        <v>235204</v>
      </c>
      <c r="M8021" s="501" t="s">
        <v>2359</v>
      </c>
      <c r="N8021" s="501" t="s">
        <v>3416</v>
      </c>
      <c r="X8021" s="510" t="str">
        <f>노무비목록표!B15&amp;" / "&amp;노무비목록표!C15</f>
        <v xml:space="preserve">조경공 / </v>
      </c>
      <c r="Y8021" s="433" t="str">
        <f ca="1">HYPERLINK("#"&amp;노무비목록표!G2&amp;"!A"&amp;ROW(노무비목록표!A15),"L00184 →")</f>
        <v>L00184 →</v>
      </c>
      <c r="Z8021" s="501" t="s">
        <v>3500</v>
      </c>
      <c r="AA8021" s="515">
        <v>3</v>
      </c>
      <c r="AB8021" s="501" t="s">
        <v>3428</v>
      </c>
      <c r="AC8021" s="512">
        <f>AB8012</f>
        <v>1100</v>
      </c>
      <c r="AD8021" s="501" t="s">
        <v>3418</v>
      </c>
      <c r="AE8021" s="512">
        <f>1*AA8021/AB8012</f>
        <v>2.7272727272727275E-3</v>
      </c>
      <c r="AF8021" s="500"/>
      <c r="AG8021" s="500"/>
      <c r="AH8021" s="500"/>
      <c r="AI8021" s="500"/>
      <c r="AJ8021" s="500"/>
      <c r="AK8021" s="500"/>
      <c r="AL8021" s="500"/>
      <c r="AM8021" s="500"/>
      <c r="AN8021" s="500"/>
      <c r="AO8021" s="500"/>
      <c r="AP8021" s="500"/>
    </row>
    <row r="8022" spans="1:42" ht="16.5" customHeight="1">
      <c r="A8022" s="439"/>
      <c r="B8022" s="439"/>
      <c r="C8022" s="439"/>
      <c r="D8022" s="439"/>
      <c r="E8022" s="439"/>
      <c r="F8022" s="439"/>
      <c r="G8022" s="451" t="s">
        <v>3406</v>
      </c>
      <c r="Z8022" s="500"/>
      <c r="AA8022" s="500"/>
      <c r="AB8022" s="500"/>
      <c r="AC8022" s="500"/>
      <c r="AD8022" s="500"/>
      <c r="AE8022" s="500"/>
      <c r="AF8022" s="500"/>
      <c r="AG8022" s="500"/>
      <c r="AH8022" s="500"/>
      <c r="AI8022" s="500"/>
      <c r="AJ8022" s="500"/>
      <c r="AK8022" s="500"/>
      <c r="AL8022" s="500"/>
      <c r="AM8022" s="500"/>
      <c r="AN8022" s="500"/>
      <c r="AO8022" s="500"/>
      <c r="AP8022" s="500"/>
    </row>
    <row r="8023" spans="1:42" ht="16.5" customHeight="1">
      <c r="A8023" s="439"/>
      <c r="B8023" s="439"/>
      <c r="C8023" s="439"/>
      <c r="D8023" s="439"/>
      <c r="E8023" s="439"/>
      <c r="F8023" s="439"/>
      <c r="G8023" s="451" t="s">
        <v>3406</v>
      </c>
      <c r="Z8023" s="500"/>
      <c r="AA8023" s="500"/>
      <c r="AB8023" s="500"/>
      <c r="AC8023" s="500"/>
      <c r="AD8023" s="500"/>
      <c r="AE8023" s="500"/>
      <c r="AF8023" s="500"/>
      <c r="AG8023" s="500"/>
      <c r="AH8023" s="500"/>
      <c r="AI8023" s="500"/>
      <c r="AJ8023" s="500"/>
      <c r="AK8023" s="500"/>
      <c r="AL8023" s="500"/>
      <c r="AM8023" s="500"/>
      <c r="AN8023" s="500"/>
      <c r="AO8023" s="500"/>
      <c r="AP8023" s="500"/>
    </row>
    <row r="8024" spans="1:42" ht="16.5" customHeight="1">
      <c r="A8024" s="434" t="s">
        <v>3414</v>
      </c>
      <c r="B8024" s="505" t="str">
        <f>" 보통인부 : "&amp;TEXT(I8024,"#,##0"&amp;IF(I8024&lt;&gt;INT(I8024),".###",""))&amp;" * "&amp;AA8024&amp;" 인  / Q = "&amp;TEXT(C8024,"#,##0.0")&amp;""</f>
        <v xml:space="preserve"> 보통인부 : 172,068 * 1 인  / Q = 156.4</v>
      </c>
      <c r="C8024" s="506">
        <f>E8024+D8024+F8024</f>
        <v>156.4</v>
      </c>
      <c r="D8024" s="506">
        <f>IF(H8024=0,0,ROUNDDOWN(J8024*H8024,1))</f>
        <v>156.4</v>
      </c>
      <c r="E8024" s="506">
        <f>IF(H8024=0,0,ROUNDDOWN(K8024*H8024,1))</f>
        <v>0</v>
      </c>
      <c r="F8024" s="506">
        <f>IF(H8024=0,0,ROUNDDOWN(L8024*H8024,1))</f>
        <v>0</v>
      </c>
      <c r="G8024" s="451" t="s">
        <v>3552</v>
      </c>
      <c r="H8024" s="507">
        <f>ROUNDUP(AE8024,14-LEN(ABS(INT(AE8024))))</f>
        <v>9.0909090910000002E-4</v>
      </c>
      <c r="I8024" s="508">
        <f>K8024+J8024+L8024</f>
        <v>172068</v>
      </c>
      <c r="J8024" s="509">
        <f>노무비목록표!E10</f>
        <v>172068</v>
      </c>
      <c r="M8024" s="501" t="s">
        <v>2363</v>
      </c>
      <c r="N8024" s="501" t="s">
        <v>3416</v>
      </c>
      <c r="X8024" s="510" t="str">
        <f>노무비목록표!B10&amp;" / "&amp;노무비목록표!C10</f>
        <v xml:space="preserve">보통인부 / </v>
      </c>
      <c r="Y8024" s="433" t="str">
        <f ca="1">HYPERLINK("#"&amp;노무비목록표!G2&amp;"!A"&amp;ROW(노무비목록표!A10),"L00017 →")</f>
        <v>L00017 →</v>
      </c>
      <c r="Z8024" s="501" t="s">
        <v>3500</v>
      </c>
      <c r="AA8024" s="515">
        <v>1</v>
      </c>
      <c r="AB8024" s="501" t="s">
        <v>3428</v>
      </c>
      <c r="AC8024" s="512">
        <f>AB8012</f>
        <v>1100</v>
      </c>
      <c r="AD8024" s="501" t="s">
        <v>3418</v>
      </c>
      <c r="AE8024" s="512">
        <f>1*AA8024/AB8012</f>
        <v>9.0909090909090909E-4</v>
      </c>
      <c r="AF8024" s="500"/>
      <c r="AG8024" s="500"/>
      <c r="AH8024" s="500"/>
      <c r="AI8024" s="500"/>
      <c r="AJ8024" s="500"/>
      <c r="AK8024" s="500"/>
      <c r="AL8024" s="500"/>
      <c r="AM8024" s="500"/>
      <c r="AN8024" s="500"/>
      <c r="AO8024" s="500"/>
      <c r="AP8024" s="500"/>
    </row>
    <row r="8025" spans="1:42" ht="16.5" customHeight="1">
      <c r="A8025" s="439"/>
      <c r="B8025" s="439"/>
      <c r="C8025" s="439"/>
      <c r="D8025" s="439"/>
      <c r="E8025" s="439"/>
      <c r="F8025" s="439"/>
      <c r="G8025" s="451" t="s">
        <v>3406</v>
      </c>
      <c r="Z8025" s="500"/>
      <c r="AA8025" s="500"/>
      <c r="AB8025" s="500"/>
      <c r="AC8025" s="500"/>
      <c r="AD8025" s="500"/>
      <c r="AE8025" s="500"/>
      <c r="AF8025" s="500"/>
      <c r="AG8025" s="500"/>
      <c r="AH8025" s="500"/>
      <c r="AI8025" s="500"/>
      <c r="AJ8025" s="500"/>
      <c r="AK8025" s="500"/>
      <c r="AL8025" s="500"/>
      <c r="AM8025" s="500"/>
      <c r="AN8025" s="500"/>
      <c r="AO8025" s="500"/>
      <c r="AP8025" s="500"/>
    </row>
    <row r="8026" spans="1:42" ht="16.5" customHeight="1">
      <c r="A8026" s="434"/>
      <c r="B8026" s="437" t="s">
        <v>3419</v>
      </c>
      <c r="C8026" s="513">
        <f>E8026+D8026+F8026</f>
        <v>797.8</v>
      </c>
      <c r="D8026" s="513">
        <f>SUMIF(N8007:N8025,M8026,D8007:D8025)</f>
        <v>797.8</v>
      </c>
      <c r="E8026" s="513">
        <f>SUMIF(N8007:N8025,M8026,E8007:E8025)</f>
        <v>0</v>
      </c>
      <c r="F8026" s="513">
        <f>SUMIF(N8007:N8025,M8026,F8007:F8025)</f>
        <v>0</v>
      </c>
      <c r="G8026" s="451" t="s">
        <v>3439</v>
      </c>
      <c r="M8026" s="501" t="s">
        <v>3416</v>
      </c>
      <c r="N8026" s="501" t="s">
        <v>3421</v>
      </c>
      <c r="Z8026" s="500"/>
      <c r="AA8026" s="500"/>
      <c r="AB8026" s="500"/>
      <c r="AC8026" s="500"/>
      <c r="AD8026" s="500"/>
      <c r="AE8026" s="500"/>
      <c r="AF8026" s="500"/>
      <c r="AG8026" s="500"/>
      <c r="AH8026" s="500"/>
      <c r="AI8026" s="500"/>
      <c r="AJ8026" s="500"/>
      <c r="AK8026" s="500"/>
      <c r="AL8026" s="500"/>
      <c r="AM8026" s="500"/>
      <c r="AN8026" s="500"/>
      <c r="AO8026" s="500"/>
      <c r="AP8026" s="500"/>
    </row>
    <row r="8027" spans="1:42" ht="16.5" customHeight="1">
      <c r="A8027" s="439"/>
      <c r="B8027" s="439"/>
      <c r="C8027" s="504"/>
      <c r="D8027" s="504"/>
      <c r="E8027" s="504"/>
      <c r="F8027" s="504"/>
      <c r="G8027" s="451" t="s">
        <v>3406</v>
      </c>
      <c r="Z8027" s="500"/>
      <c r="AA8027" s="500"/>
      <c r="AB8027" s="500"/>
      <c r="AC8027" s="500"/>
      <c r="AD8027" s="500"/>
      <c r="AE8027" s="500"/>
      <c r="AF8027" s="500"/>
      <c r="AG8027" s="500"/>
      <c r="AH8027" s="500"/>
      <c r="AI8027" s="500"/>
      <c r="AJ8027" s="500"/>
      <c r="AK8027" s="500"/>
      <c r="AL8027" s="500"/>
      <c r="AM8027" s="500"/>
      <c r="AN8027" s="500"/>
      <c r="AO8027" s="500"/>
      <c r="AP8027" s="500"/>
    </row>
    <row r="8028" spans="1:42" ht="16.5" customHeight="1">
      <c r="A8028" s="439"/>
      <c r="B8028" s="439"/>
      <c r="C8028" s="439"/>
      <c r="D8028" s="439"/>
      <c r="E8028" s="439"/>
      <c r="F8028" s="439"/>
      <c r="G8028" s="451" t="s">
        <v>3406</v>
      </c>
      <c r="Z8028" s="500"/>
      <c r="AA8028" s="500"/>
      <c r="AB8028" s="500"/>
      <c r="AC8028" s="500"/>
      <c r="AD8028" s="500"/>
      <c r="AE8028" s="500"/>
      <c r="AF8028" s="500"/>
      <c r="AG8028" s="500"/>
      <c r="AH8028" s="500"/>
      <c r="AI8028" s="500"/>
      <c r="AJ8028" s="500"/>
      <c r="AK8028" s="500"/>
      <c r="AL8028" s="500"/>
      <c r="AM8028" s="500"/>
      <c r="AN8028" s="500"/>
      <c r="AO8028" s="500"/>
      <c r="AP8028" s="500"/>
    </row>
    <row r="8029" spans="1:42" ht="16.5" customHeight="1">
      <c r="A8029" s="434"/>
      <c r="B8029" s="437" t="s">
        <v>3502</v>
      </c>
      <c r="C8029" s="439"/>
      <c r="D8029" s="439"/>
      <c r="E8029" s="439"/>
      <c r="F8029" s="439"/>
      <c r="G8029" s="451" t="s">
        <v>3503</v>
      </c>
      <c r="Z8029" s="500"/>
      <c r="AA8029" s="500"/>
      <c r="AB8029" s="500"/>
      <c r="AC8029" s="500"/>
      <c r="AD8029" s="500"/>
      <c r="AE8029" s="500"/>
      <c r="AF8029" s="500"/>
      <c r="AG8029" s="500"/>
      <c r="AH8029" s="500"/>
      <c r="AI8029" s="500"/>
      <c r="AJ8029" s="500"/>
      <c r="AK8029" s="500"/>
      <c r="AL8029" s="500"/>
      <c r="AM8029" s="500"/>
      <c r="AN8029" s="500"/>
      <c r="AO8029" s="500"/>
      <c r="AP8029" s="500"/>
    </row>
    <row r="8030" spans="1:42" ht="16.5" customHeight="1">
      <c r="A8030" s="439"/>
      <c r="B8030" s="439"/>
      <c r="C8030" s="439"/>
      <c r="D8030" s="439"/>
      <c r="E8030" s="439"/>
      <c r="F8030" s="439"/>
      <c r="G8030" s="451" t="s">
        <v>3406</v>
      </c>
      <c r="Z8030" s="500"/>
      <c r="AA8030" s="500"/>
      <c r="AB8030" s="500"/>
      <c r="AC8030" s="500"/>
      <c r="AD8030" s="500"/>
      <c r="AE8030" s="500"/>
      <c r="AF8030" s="500"/>
      <c r="AG8030" s="500"/>
      <c r="AH8030" s="500"/>
      <c r="AI8030" s="500"/>
      <c r="AJ8030" s="500"/>
      <c r="AK8030" s="500"/>
      <c r="AL8030" s="500"/>
      <c r="AM8030" s="500"/>
      <c r="AN8030" s="500"/>
      <c r="AO8030" s="500"/>
      <c r="AP8030" s="500"/>
    </row>
    <row r="8031" spans="1:42" ht="16.5" customHeight="1">
      <c r="A8031" s="434" t="s">
        <v>3504</v>
      </c>
      <c r="B8031" s="505" t="str">
        <f>"  유기질비료 수목이식·식재용 : "&amp;TEXT(I8031,"#,##0"&amp;IF(I8031&lt;&gt;INT(I8031),".###",""))&amp;" * "&amp;AA8031&amp;" KG  / Q = "&amp;TEXT(C8031,"#,##0.0")&amp;""</f>
        <v xml:space="preserve">  유기질비료 수목이식·식재용 : 500 * 110 KG  / Q = 50.0</v>
      </c>
      <c r="C8031" s="506">
        <f>E8031+D8031+F8031</f>
        <v>50</v>
      </c>
      <c r="D8031" s="506">
        <f>IF(H8031=0,0,ROUNDDOWN(J8031*H8031,1))</f>
        <v>0</v>
      </c>
      <c r="E8031" s="506">
        <f>IF(H8031=0,0,ROUNDDOWN(K8031*H8031,1))</f>
        <v>50</v>
      </c>
      <c r="F8031" s="506">
        <f>IF(H8031=0,0,ROUNDDOWN(L8031*H8031,1))</f>
        <v>0</v>
      </c>
      <c r="G8031" s="451" t="s">
        <v>4302</v>
      </c>
      <c r="H8031" s="507">
        <f>ROUNDUP(AE8031,14-LEN(ABS(INT(AE8031))))</f>
        <v>0.1</v>
      </c>
      <c r="I8031" s="508">
        <f>K8031+J8031+L8031</f>
        <v>500</v>
      </c>
      <c r="K8031" s="509">
        <f>재료비목록표!E78</f>
        <v>500</v>
      </c>
      <c r="M8031" s="501" t="s">
        <v>3506</v>
      </c>
      <c r="N8031" s="501" t="s">
        <v>3416</v>
      </c>
      <c r="X8031" s="510" t="str">
        <f>재료비목록표!B78&amp;" / "&amp;재료비목록표!C78</f>
        <v>유기질비료 / 수목이식·식재용</v>
      </c>
      <c r="Y8031" s="433" t="str">
        <f ca="1">HYPERLINK("#"&amp;재료비목록표!G2&amp;"!A"&amp;ROW(재료비목록표!A78),"M01159 →")</f>
        <v>M01159 →</v>
      </c>
      <c r="Z8031" s="501" t="s">
        <v>3500</v>
      </c>
      <c r="AA8031" s="515">
        <v>110</v>
      </c>
      <c r="AB8031" s="501" t="s">
        <v>3428</v>
      </c>
      <c r="AC8031" s="512">
        <f>AB8012</f>
        <v>1100</v>
      </c>
      <c r="AD8031" s="501" t="s">
        <v>3418</v>
      </c>
      <c r="AE8031" s="512">
        <f>1*AA8031/AB8012</f>
        <v>0.1</v>
      </c>
      <c r="AF8031" s="500"/>
      <c r="AG8031" s="500"/>
      <c r="AH8031" s="500"/>
      <c r="AI8031" s="500"/>
      <c r="AJ8031" s="500"/>
      <c r="AK8031" s="500"/>
      <c r="AL8031" s="500"/>
      <c r="AM8031" s="500"/>
      <c r="AN8031" s="500"/>
      <c r="AO8031" s="500"/>
      <c r="AP8031" s="500"/>
    </row>
    <row r="8032" spans="1:42" ht="16.5" customHeight="1">
      <c r="A8032" s="439"/>
      <c r="B8032" s="439"/>
      <c r="C8032" s="439"/>
      <c r="D8032" s="439"/>
      <c r="E8032" s="439"/>
      <c r="F8032" s="439"/>
      <c r="G8032" s="451" t="s">
        <v>3406</v>
      </c>
      <c r="Z8032" s="500"/>
      <c r="AA8032" s="500"/>
      <c r="AB8032" s="500"/>
      <c r="AC8032" s="500"/>
      <c r="AD8032" s="500"/>
      <c r="AE8032" s="500"/>
      <c r="AF8032" s="500"/>
      <c r="AG8032" s="500"/>
      <c r="AH8032" s="500"/>
      <c r="AI8032" s="500"/>
      <c r="AJ8032" s="500"/>
      <c r="AK8032" s="500"/>
      <c r="AL8032" s="500"/>
      <c r="AM8032" s="500"/>
      <c r="AN8032" s="500"/>
      <c r="AO8032" s="500"/>
      <c r="AP8032" s="500"/>
    </row>
    <row r="8033" spans="1:42" ht="16.5" customHeight="1">
      <c r="A8033" s="434"/>
      <c r="B8033" s="437" t="s">
        <v>3419</v>
      </c>
      <c r="C8033" s="513">
        <f>E8033+D8033+F8033</f>
        <v>50</v>
      </c>
      <c r="D8033" s="513">
        <f>SUMIF(N8027:N8032,M8033,D8027:D8032)</f>
        <v>0</v>
      </c>
      <c r="E8033" s="513">
        <f>SUMIF(N8027:N8032,M8033,E8027:E8032)</f>
        <v>50</v>
      </c>
      <c r="F8033" s="513">
        <f>SUMIF(N8027:N8032,M8033,F8027:F8032)</f>
        <v>0</v>
      </c>
      <c r="G8033" s="451" t="s">
        <v>3439</v>
      </c>
      <c r="M8033" s="501" t="s">
        <v>3416</v>
      </c>
      <c r="N8033" s="501" t="s">
        <v>3421</v>
      </c>
      <c r="Z8033" s="500"/>
      <c r="AA8033" s="500"/>
      <c r="AB8033" s="500"/>
      <c r="AC8033" s="500"/>
      <c r="AD8033" s="500"/>
      <c r="AE8033" s="500"/>
      <c r="AF8033" s="500"/>
      <c r="AG8033" s="500"/>
      <c r="AH8033" s="500"/>
      <c r="AI8033" s="500"/>
      <c r="AJ8033" s="500"/>
      <c r="AK8033" s="500"/>
      <c r="AL8033" s="500"/>
      <c r="AM8033" s="500"/>
      <c r="AN8033" s="500"/>
      <c r="AO8033" s="500"/>
      <c r="AP8033" s="500"/>
    </row>
    <row r="8034" spans="1:42" ht="16.5" customHeight="1">
      <c r="A8034" s="439"/>
      <c r="B8034" s="439"/>
      <c r="C8034" s="504"/>
      <c r="D8034" s="504"/>
      <c r="E8034" s="504"/>
      <c r="F8034" s="504"/>
      <c r="G8034" s="451" t="s">
        <v>3406</v>
      </c>
      <c r="Z8034" s="500"/>
      <c r="AA8034" s="500"/>
      <c r="AB8034" s="500"/>
      <c r="AC8034" s="500"/>
      <c r="AD8034" s="500"/>
      <c r="AE8034" s="500"/>
      <c r="AF8034" s="500"/>
      <c r="AG8034" s="500"/>
      <c r="AH8034" s="500"/>
      <c r="AI8034" s="500"/>
      <c r="AJ8034" s="500"/>
      <c r="AK8034" s="500"/>
      <c r="AL8034" s="500"/>
      <c r="AM8034" s="500"/>
      <c r="AN8034" s="500"/>
      <c r="AO8034" s="500"/>
      <c r="AP8034" s="500"/>
    </row>
    <row r="8035" spans="1:42" ht="16.5" customHeight="1">
      <c r="A8035" s="434"/>
      <c r="B8035" s="505" t="str">
        <f>"  산지할증 : "&amp;TEXT(I8035,"#,##0.0")&amp;" * "&amp;AA8035&amp;" %  = "&amp;TEXT(C8035,"#,##0.0")&amp;""</f>
        <v xml:space="preserve">  산지할증 : 797.8 * 25 %  = 199.4</v>
      </c>
      <c r="C8035" s="506">
        <f>E8035+D8035+F8035</f>
        <v>199.4</v>
      </c>
      <c r="D8035" s="506">
        <f>IF(H8035=0,0,ROUNDDOWN(J8035*H8035/100,1))</f>
        <v>199.4</v>
      </c>
      <c r="E8035" s="506">
        <f>IF(H8035=0,0,ROUNDDOWN(K8035*H8035/100,1))</f>
        <v>0</v>
      </c>
      <c r="F8035" s="506">
        <f>IF(H8035=0,0,ROUNDDOWN(L8035*H8035/100,1))</f>
        <v>0</v>
      </c>
      <c r="G8035" s="451" t="s">
        <v>5592</v>
      </c>
      <c r="H8035" s="507">
        <f>ROUNDUP(AC8035,14-LEN(ABS(INT(AC8035))))</f>
        <v>25</v>
      </c>
      <c r="I8035" s="508">
        <f>K8035+J8035+L8035</f>
        <v>797.8</v>
      </c>
      <c r="J8035" s="508">
        <f>D8026+D8033+SUMIF(N8034:N8034,N8035,D8034:D8034)</f>
        <v>797.8</v>
      </c>
      <c r="K8035" s="456">
        <v>0</v>
      </c>
      <c r="L8035" s="456">
        <v>0</v>
      </c>
      <c r="M8035" s="501" t="s">
        <v>4208</v>
      </c>
      <c r="N8035" s="501" t="s">
        <v>3416</v>
      </c>
      <c r="Z8035" s="501" t="s">
        <v>3500</v>
      </c>
      <c r="AA8035" s="515">
        <v>25</v>
      </c>
      <c r="AB8035" s="501" t="s">
        <v>3418</v>
      </c>
      <c r="AC8035" s="512">
        <f>1*AA8035</f>
        <v>25</v>
      </c>
      <c r="AD8035" s="500"/>
      <c r="AE8035" s="500"/>
      <c r="AF8035" s="500"/>
      <c r="AG8035" s="500"/>
      <c r="AH8035" s="500"/>
      <c r="AI8035" s="500"/>
      <c r="AJ8035" s="500"/>
      <c r="AK8035" s="500"/>
      <c r="AL8035" s="500"/>
      <c r="AM8035" s="500"/>
      <c r="AN8035" s="500"/>
      <c r="AO8035" s="500"/>
      <c r="AP8035" s="500"/>
    </row>
    <row r="8036" spans="1:42" ht="16.5" customHeight="1">
      <c r="A8036" s="439"/>
      <c r="B8036" s="439"/>
      <c r="C8036" s="439"/>
      <c r="D8036" s="439"/>
      <c r="E8036" s="439"/>
      <c r="F8036" s="439"/>
      <c r="G8036" s="451" t="s">
        <v>3406</v>
      </c>
      <c r="Z8036" s="500"/>
      <c r="AA8036" s="500"/>
      <c r="AB8036" s="500"/>
      <c r="AC8036" s="500"/>
      <c r="AD8036" s="500"/>
      <c r="AE8036" s="500"/>
      <c r="AF8036" s="500"/>
      <c r="AG8036" s="500"/>
      <c r="AH8036" s="500"/>
      <c r="AI8036" s="500"/>
      <c r="AJ8036" s="500"/>
      <c r="AK8036" s="500"/>
      <c r="AL8036" s="500"/>
      <c r="AM8036" s="500"/>
      <c r="AN8036" s="500"/>
      <c r="AO8036" s="500"/>
      <c r="AP8036" s="500"/>
    </row>
    <row r="8037" spans="1:42" ht="16.5" customHeight="1">
      <c r="A8037" s="434"/>
      <c r="B8037" s="437" t="s">
        <v>3419</v>
      </c>
      <c r="C8037" s="513">
        <f>E8037+D8037+F8037</f>
        <v>199.4</v>
      </c>
      <c r="D8037" s="513">
        <f>SUMIF(N8034:N8036,M8037,D8034:D8036)</f>
        <v>199.4</v>
      </c>
      <c r="E8037" s="513">
        <f>SUMIF(N8034:N8036,M8037,E8034:E8036)</f>
        <v>0</v>
      </c>
      <c r="F8037" s="513">
        <f>SUMIF(N8034:N8036,M8037,F8034:F8036)</f>
        <v>0</v>
      </c>
      <c r="G8037" s="451" t="s">
        <v>3439</v>
      </c>
      <c r="M8037" s="501" t="s">
        <v>3416</v>
      </c>
      <c r="N8037" s="501" t="s">
        <v>3421</v>
      </c>
      <c r="Z8037" s="500"/>
      <c r="AA8037" s="500"/>
      <c r="AB8037" s="500"/>
      <c r="AC8037" s="500"/>
      <c r="AD8037" s="500"/>
      <c r="AE8037" s="500"/>
      <c r="AF8037" s="500"/>
      <c r="AG8037" s="500"/>
      <c r="AH8037" s="500"/>
      <c r="AI8037" s="500"/>
      <c r="AJ8037" s="500"/>
      <c r="AK8037" s="500"/>
      <c r="AL8037" s="500"/>
      <c r="AM8037" s="500"/>
      <c r="AN8037" s="500"/>
      <c r="AO8037" s="500"/>
      <c r="AP8037" s="500"/>
    </row>
    <row r="8038" spans="1:42" ht="16.5" customHeight="1">
      <c r="A8038" s="439"/>
      <c r="B8038" s="439"/>
      <c r="C8038" s="504"/>
      <c r="D8038" s="504"/>
      <c r="E8038" s="504"/>
      <c r="F8038" s="504"/>
      <c r="G8038" s="451" t="s">
        <v>3406</v>
      </c>
      <c r="Z8038" s="500"/>
      <c r="AA8038" s="500"/>
      <c r="AB8038" s="500"/>
      <c r="AC8038" s="500"/>
      <c r="AD8038" s="500"/>
      <c r="AE8038" s="500"/>
      <c r="AF8038" s="500"/>
      <c r="AG8038" s="500"/>
      <c r="AH8038" s="500"/>
      <c r="AI8038" s="500"/>
      <c r="AJ8038" s="500"/>
      <c r="AK8038" s="500"/>
      <c r="AL8038" s="500"/>
      <c r="AM8038" s="500"/>
      <c r="AN8038" s="500"/>
      <c r="AO8038" s="500"/>
      <c r="AP8038" s="500"/>
    </row>
    <row r="8039" spans="1:42" ht="16.5" customHeight="1">
      <c r="A8039" s="434"/>
      <c r="B8039" s="437" t="s">
        <v>3440</v>
      </c>
      <c r="C8039" s="513">
        <f>E8039+D8039+F8039</f>
        <v>1047.1999999999998</v>
      </c>
      <c r="D8039" s="513">
        <f>SUMIF(N8007:N8038,M8039,D8007:D8038)</f>
        <v>997.19999999999993</v>
      </c>
      <c r="E8039" s="513">
        <f>SUMIF(N8007:N8038,M8039,E8007:E8038)</f>
        <v>50</v>
      </c>
      <c r="F8039" s="513">
        <f>SUMIF(N8007:N8038,M8039,F8007:F8038)</f>
        <v>0</v>
      </c>
      <c r="G8039" s="451" t="s">
        <v>3441</v>
      </c>
      <c r="M8039" s="501" t="s">
        <v>3421</v>
      </c>
      <c r="N8039" s="501" t="s">
        <v>2354</v>
      </c>
      <c r="Z8039" s="500"/>
      <c r="AA8039" s="500"/>
      <c r="AB8039" s="500"/>
      <c r="AC8039" s="500"/>
      <c r="AD8039" s="500"/>
      <c r="AE8039" s="500"/>
      <c r="AF8039" s="500"/>
      <c r="AG8039" s="500"/>
      <c r="AH8039" s="500"/>
      <c r="AI8039" s="500"/>
      <c r="AJ8039" s="500"/>
      <c r="AK8039" s="500"/>
      <c r="AL8039" s="500"/>
      <c r="AM8039" s="500"/>
      <c r="AN8039" s="500"/>
      <c r="AO8039" s="500"/>
      <c r="AP8039" s="500"/>
    </row>
    <row r="8040" spans="1:42" ht="16.5" customHeight="1">
      <c r="A8040" s="439"/>
      <c r="B8040" s="439"/>
      <c r="C8040" s="504"/>
      <c r="D8040" s="504"/>
      <c r="E8040" s="504"/>
      <c r="F8040" s="504"/>
      <c r="G8040" s="451" t="s">
        <v>3413</v>
      </c>
      <c r="Z8040" s="500"/>
      <c r="AA8040" s="500"/>
      <c r="AB8040" s="500"/>
      <c r="AC8040" s="500"/>
      <c r="AD8040" s="500"/>
      <c r="AE8040" s="500"/>
      <c r="AF8040" s="500"/>
      <c r="AG8040" s="500"/>
      <c r="AH8040" s="500"/>
      <c r="AI8040" s="500"/>
      <c r="AJ8040" s="500"/>
      <c r="AK8040" s="500"/>
      <c r="AL8040" s="500"/>
      <c r="AM8040" s="500"/>
      <c r="AN8040" s="500"/>
      <c r="AO8040" s="500"/>
      <c r="AP8040" s="500"/>
    </row>
    <row r="8041" spans="1:42" ht="16.5" customHeight="1">
      <c r="A8041" s="439"/>
      <c r="B8041" s="439"/>
      <c r="C8041" s="439"/>
      <c r="D8041" s="439"/>
      <c r="E8041" s="439"/>
      <c r="F8041" s="439"/>
      <c r="Z8041" s="500"/>
      <c r="AA8041" s="500"/>
      <c r="AB8041" s="500"/>
      <c r="AC8041" s="500"/>
      <c r="AD8041" s="500"/>
      <c r="AE8041" s="500"/>
      <c r="AF8041" s="500"/>
      <c r="AG8041" s="500"/>
      <c r="AH8041" s="500"/>
      <c r="AI8041" s="500"/>
      <c r="AJ8041" s="500"/>
      <c r="AK8041" s="500"/>
      <c r="AL8041" s="500"/>
      <c r="AM8041" s="500"/>
      <c r="AN8041" s="500"/>
      <c r="AO8041" s="500"/>
      <c r="AP8041" s="500"/>
    </row>
    <row r="8042" spans="1:42" ht="16.5" customHeight="1">
      <c r="A8042" s="439"/>
      <c r="B8042" s="439"/>
      <c r="C8042" s="439"/>
      <c r="D8042" s="439"/>
      <c r="E8042" s="439"/>
      <c r="F8042" s="439"/>
      <c r="Z8042" s="500"/>
      <c r="AA8042" s="500"/>
      <c r="AB8042" s="500"/>
      <c r="AC8042" s="500"/>
      <c r="AD8042" s="500"/>
      <c r="AE8042" s="500"/>
      <c r="AF8042" s="500"/>
      <c r="AG8042" s="500"/>
      <c r="AH8042" s="500"/>
      <c r="AI8042" s="500"/>
      <c r="AJ8042" s="500"/>
      <c r="AK8042" s="500"/>
      <c r="AL8042" s="500"/>
      <c r="AM8042" s="500"/>
      <c r="AN8042" s="500"/>
      <c r="AO8042" s="500"/>
      <c r="AP8042" s="500"/>
    </row>
    <row r="8043" spans="1:42" ht="16.5" customHeight="1">
      <c r="A8043" s="439"/>
      <c r="B8043" s="439"/>
      <c r="C8043" s="439"/>
      <c r="D8043" s="439"/>
      <c r="E8043" s="439"/>
      <c r="F8043" s="439"/>
      <c r="Z8043" s="500"/>
      <c r="AA8043" s="500"/>
      <c r="AB8043" s="500"/>
      <c r="AC8043" s="500"/>
      <c r="AD8043" s="500"/>
      <c r="AE8043" s="500"/>
      <c r="AF8043" s="500"/>
      <c r="AG8043" s="500"/>
      <c r="AH8043" s="500"/>
      <c r="AI8043" s="500"/>
      <c r="AJ8043" s="500"/>
      <c r="AK8043" s="500"/>
      <c r="AL8043" s="500"/>
      <c r="AM8043" s="500"/>
      <c r="AN8043" s="500"/>
      <c r="AO8043" s="500"/>
      <c r="AP8043" s="500"/>
    </row>
    <row r="8044" spans="1:42" ht="16.5" customHeight="1">
      <c r="A8044" s="439"/>
      <c r="B8044" s="439"/>
      <c r="C8044" s="439"/>
      <c r="D8044" s="439"/>
      <c r="E8044" s="439"/>
      <c r="F8044" s="439"/>
      <c r="Z8044" s="500"/>
      <c r="AA8044" s="500"/>
      <c r="AB8044" s="500"/>
      <c r="AC8044" s="500"/>
      <c r="AD8044" s="500"/>
      <c r="AE8044" s="500"/>
      <c r="AF8044" s="500"/>
      <c r="AG8044" s="500"/>
      <c r="AH8044" s="500"/>
      <c r="AI8044" s="500"/>
      <c r="AJ8044" s="500"/>
      <c r="AK8044" s="500"/>
      <c r="AL8044" s="500"/>
      <c r="AM8044" s="500"/>
      <c r="AN8044" s="500"/>
      <c r="AO8044" s="500"/>
      <c r="AP8044" s="500"/>
    </row>
    <row r="8045" spans="1:42" ht="16.5" customHeight="1">
      <c r="A8045" s="439"/>
      <c r="B8045" s="439"/>
      <c r="C8045" s="439"/>
      <c r="D8045" s="439"/>
      <c r="E8045" s="439"/>
      <c r="F8045" s="439"/>
      <c r="Z8045" s="500"/>
      <c r="AA8045" s="500"/>
      <c r="AB8045" s="500"/>
      <c r="AC8045" s="500"/>
      <c r="AD8045" s="500"/>
      <c r="AE8045" s="500"/>
      <c r="AF8045" s="500"/>
      <c r="AG8045" s="500"/>
      <c r="AH8045" s="500"/>
      <c r="AI8045" s="500"/>
      <c r="AJ8045" s="500"/>
      <c r="AK8045" s="500"/>
      <c r="AL8045" s="500"/>
      <c r="AM8045" s="500"/>
      <c r="AN8045" s="500"/>
      <c r="AO8045" s="500"/>
      <c r="AP8045" s="500"/>
    </row>
    <row r="8046" spans="1:42" ht="16.5" customHeight="1">
      <c r="A8046" s="439"/>
      <c r="B8046" s="439"/>
      <c r="C8046" s="439"/>
      <c r="D8046" s="439"/>
      <c r="E8046" s="439"/>
      <c r="F8046" s="439"/>
      <c r="Z8046" s="500"/>
      <c r="AA8046" s="500"/>
      <c r="AB8046" s="500"/>
      <c r="AC8046" s="500"/>
      <c r="AD8046" s="500"/>
      <c r="AE8046" s="500"/>
      <c r="AF8046" s="500"/>
      <c r="AG8046" s="500"/>
      <c r="AH8046" s="500"/>
      <c r="AI8046" s="500"/>
      <c r="AJ8046" s="500"/>
      <c r="AK8046" s="500"/>
      <c r="AL8046" s="500"/>
      <c r="AM8046" s="500"/>
      <c r="AN8046" s="500"/>
      <c r="AO8046" s="500"/>
      <c r="AP8046" s="500"/>
    </row>
    <row r="8047" spans="1:42" ht="16.5" customHeight="1">
      <c r="A8047" s="439"/>
      <c r="B8047" s="439"/>
      <c r="C8047" s="439"/>
      <c r="D8047" s="439"/>
      <c r="E8047" s="439"/>
      <c r="F8047" s="439"/>
      <c r="Z8047" s="500"/>
      <c r="AA8047" s="500"/>
      <c r="AB8047" s="500"/>
      <c r="AC8047" s="500"/>
      <c r="AD8047" s="500"/>
      <c r="AE8047" s="500"/>
      <c r="AF8047" s="500"/>
      <c r="AG8047" s="500"/>
      <c r="AH8047" s="500"/>
      <c r="AI8047" s="500"/>
      <c r="AJ8047" s="500"/>
      <c r="AK8047" s="500"/>
      <c r="AL8047" s="500"/>
      <c r="AM8047" s="500"/>
      <c r="AN8047" s="500"/>
      <c r="AO8047" s="500"/>
      <c r="AP8047" s="500"/>
    </row>
    <row r="8048" spans="1:42" ht="16.5" customHeight="1">
      <c r="A8048" s="439"/>
      <c r="B8048" s="439"/>
      <c r="C8048" s="439"/>
      <c r="D8048" s="439"/>
      <c r="E8048" s="439"/>
      <c r="F8048" s="439"/>
      <c r="Z8048" s="500"/>
      <c r="AA8048" s="500"/>
      <c r="AB8048" s="500"/>
      <c r="AC8048" s="500"/>
      <c r="AD8048" s="500"/>
      <c r="AE8048" s="500"/>
      <c r="AF8048" s="500"/>
      <c r="AG8048" s="500"/>
      <c r="AH8048" s="500"/>
      <c r="AI8048" s="500"/>
      <c r="AJ8048" s="500"/>
      <c r="AK8048" s="500"/>
      <c r="AL8048" s="500"/>
      <c r="AM8048" s="500"/>
      <c r="AN8048" s="500"/>
      <c r="AO8048" s="500"/>
      <c r="AP8048" s="500"/>
    </row>
    <row r="8049" spans="1:42" ht="16.5" customHeight="1">
      <c r="A8049" s="439"/>
      <c r="B8049" s="439"/>
      <c r="C8049" s="439"/>
      <c r="D8049" s="439"/>
      <c r="E8049" s="439"/>
      <c r="F8049" s="439"/>
      <c r="Z8049" s="500"/>
      <c r="AA8049" s="500"/>
      <c r="AB8049" s="500"/>
      <c r="AC8049" s="500"/>
      <c r="AD8049" s="500"/>
      <c r="AE8049" s="500"/>
      <c r="AF8049" s="500"/>
      <c r="AG8049" s="500"/>
      <c r="AH8049" s="500"/>
      <c r="AI8049" s="500"/>
      <c r="AJ8049" s="500"/>
      <c r="AK8049" s="500"/>
      <c r="AL8049" s="500"/>
      <c r="AM8049" s="500"/>
      <c r="AN8049" s="500"/>
      <c r="AO8049" s="500"/>
      <c r="AP8049" s="500"/>
    </row>
    <row r="8050" spans="1:42" ht="16.5" customHeight="1">
      <c r="A8050" s="439"/>
      <c r="B8050" s="439"/>
      <c r="C8050" s="439"/>
      <c r="D8050" s="439"/>
      <c r="E8050" s="439"/>
      <c r="F8050" s="439"/>
      <c r="Z8050" s="500"/>
      <c r="AA8050" s="500"/>
      <c r="AB8050" s="500"/>
      <c r="AC8050" s="500"/>
      <c r="AD8050" s="500"/>
      <c r="AE8050" s="500"/>
      <c r="AF8050" s="500"/>
      <c r="AG8050" s="500"/>
      <c r="AH8050" s="500"/>
      <c r="AI8050" s="500"/>
      <c r="AJ8050" s="500"/>
      <c r="AK8050" s="500"/>
      <c r="AL8050" s="500"/>
      <c r="AM8050" s="500"/>
      <c r="AN8050" s="500"/>
      <c r="AO8050" s="500"/>
      <c r="AP8050" s="500"/>
    </row>
    <row r="8051" spans="1:42" ht="16.5" customHeight="1">
      <c r="A8051" s="439"/>
      <c r="B8051" s="439"/>
      <c r="C8051" s="439"/>
      <c r="D8051" s="439"/>
      <c r="E8051" s="439"/>
      <c r="F8051" s="439"/>
      <c r="Z8051" s="500"/>
      <c r="AA8051" s="500"/>
      <c r="AB8051" s="500"/>
      <c r="AC8051" s="500"/>
      <c r="AD8051" s="500"/>
      <c r="AE8051" s="500"/>
      <c r="AF8051" s="500"/>
      <c r="AG8051" s="500"/>
      <c r="AH8051" s="500"/>
      <c r="AI8051" s="500"/>
      <c r="AJ8051" s="500"/>
      <c r="AK8051" s="500"/>
      <c r="AL8051" s="500"/>
      <c r="AM8051" s="500"/>
      <c r="AN8051" s="500"/>
      <c r="AO8051" s="500"/>
      <c r="AP8051" s="500"/>
    </row>
    <row r="8052" spans="1:42" ht="16.5" customHeight="1">
      <c r="A8052" s="439"/>
      <c r="B8052" s="439"/>
      <c r="C8052" s="439"/>
      <c r="D8052" s="439"/>
      <c r="E8052" s="439"/>
      <c r="F8052" s="439"/>
      <c r="Z8052" s="500"/>
      <c r="AA8052" s="500"/>
      <c r="AB8052" s="500"/>
      <c r="AC8052" s="500"/>
      <c r="AD8052" s="500"/>
      <c r="AE8052" s="500"/>
      <c r="AF8052" s="500"/>
      <c r="AG8052" s="500"/>
      <c r="AH8052" s="500"/>
      <c r="AI8052" s="500"/>
      <c r="AJ8052" s="500"/>
      <c r="AK8052" s="500"/>
      <c r="AL8052" s="500"/>
      <c r="AM8052" s="500"/>
      <c r="AN8052" s="500"/>
      <c r="AO8052" s="500"/>
      <c r="AP8052" s="500"/>
    </row>
    <row r="8053" spans="1:42" ht="16.5" customHeight="1">
      <c r="A8053" s="497"/>
      <c r="B8053" s="497"/>
      <c r="C8053" s="497"/>
      <c r="D8053" s="497"/>
      <c r="E8053" s="497"/>
      <c r="F8053" s="497"/>
      <c r="Z8053" s="500"/>
      <c r="AA8053" s="500"/>
      <c r="AB8053" s="500"/>
      <c r="AC8053" s="500"/>
      <c r="AD8053" s="500"/>
      <c r="AE8053" s="500"/>
      <c r="AF8053" s="500"/>
      <c r="AG8053" s="500"/>
      <c r="AH8053" s="500"/>
      <c r="AI8053" s="500"/>
      <c r="AJ8053" s="500"/>
      <c r="AK8053" s="500"/>
      <c r="AL8053" s="500"/>
      <c r="AM8053" s="500"/>
      <c r="AN8053" s="500"/>
      <c r="AO8053" s="500"/>
      <c r="AP8053" s="500"/>
    </row>
    <row r="8054" spans="1:42" ht="16.5" customHeight="1">
      <c r="A8054" s="616" t="s">
        <v>3487</v>
      </c>
      <c r="B8054" s="605"/>
      <c r="C8054" s="446">
        <f>E8054+D8054+F8054</f>
        <v>1047</v>
      </c>
      <c r="D8054" s="453">
        <f>ROUNDDOWN(SUMIF(N8007:N8040,M8054,D8007:D8040),0)</f>
        <v>997</v>
      </c>
      <c r="E8054" s="454">
        <f>ROUNDDOWN(SUMIF(N8007:N8040,M8054,E8007:E8040),0)</f>
        <v>50</v>
      </c>
      <c r="F8054" s="446">
        <f>ROUNDDOWN(SUMIF(N8007:N8040,M8054,F8007:F8040),0)</f>
        <v>0</v>
      </c>
      <c r="M8054" s="501" t="s">
        <v>2354</v>
      </c>
      <c r="Z8054" s="500"/>
      <c r="AA8054" s="500"/>
      <c r="AB8054" s="500"/>
      <c r="AC8054" s="500"/>
      <c r="AD8054" s="500"/>
      <c r="AE8054" s="500"/>
      <c r="AF8054" s="500"/>
      <c r="AG8054" s="500"/>
      <c r="AH8054" s="500"/>
      <c r="AI8054" s="500"/>
      <c r="AJ8054" s="500"/>
      <c r="AK8054" s="500"/>
      <c r="AL8054" s="500"/>
      <c r="AM8054" s="500"/>
      <c r="AN8054" s="500"/>
      <c r="AO8054" s="500"/>
      <c r="AP8054" s="500"/>
    </row>
    <row r="8055" spans="1:42" ht="16.5" customHeight="1">
      <c r="A8055" s="502"/>
      <c r="B8055" s="503" t="s">
        <v>5416</v>
      </c>
      <c r="C8055" s="615">
        <f>C8104</f>
        <v>456</v>
      </c>
      <c r="D8055" s="615">
        <f>D8104</f>
        <v>406</v>
      </c>
      <c r="E8055" s="615">
        <f>E8104</f>
        <v>50</v>
      </c>
      <c r="F8055" s="615">
        <f>F8104</f>
        <v>0</v>
      </c>
      <c r="G8055" s="486" t="str">
        <f>HYPERLINK("#G"&amp;ROW(G8090),"_x0005_`BDCOD|D01333_x0007_`POSS|"&amp;ROW(G8057)&amp;"_x0007_`POSE|"&amp;ROW(G8090)&amp;"_x0007_`")</f>
        <v>_x0005_`BDCOD|D01333_x0007_`POSS|8057_x0007_`POSE|8090_x0007_`</v>
      </c>
      <c r="Z8055" s="500"/>
      <c r="AA8055" s="500"/>
      <c r="AB8055" s="500"/>
      <c r="AC8055" s="500"/>
      <c r="AD8055" s="500"/>
      <c r="AE8055" s="500"/>
      <c r="AF8055" s="500"/>
      <c r="AG8055" s="500"/>
      <c r="AH8055" s="500"/>
      <c r="AI8055" s="500"/>
      <c r="AJ8055" s="500"/>
      <c r="AK8055" s="500"/>
      <c r="AL8055" s="500"/>
      <c r="AM8055" s="500"/>
      <c r="AN8055" s="500"/>
      <c r="AO8055" s="500"/>
      <c r="AP8055" s="500"/>
    </row>
    <row r="8056" spans="1:42" ht="16.5" customHeight="1">
      <c r="A8056" s="485"/>
      <c r="B8056" s="503" t="s">
        <v>5643</v>
      </c>
      <c r="C8056" s="593"/>
      <c r="D8056" s="593"/>
      <c r="E8056" s="593"/>
      <c r="F8056" s="593"/>
      <c r="M8056" s="501" t="s">
        <v>5416</v>
      </c>
      <c r="Z8056" s="500"/>
      <c r="AA8056" s="500"/>
      <c r="AB8056" s="500"/>
      <c r="AC8056" s="500"/>
      <c r="AD8056" s="500"/>
      <c r="AE8056" s="500"/>
      <c r="AF8056" s="500"/>
      <c r="AG8056" s="500"/>
      <c r="AH8056" s="500"/>
      <c r="AI8056" s="500"/>
      <c r="AJ8056" s="500"/>
      <c r="AK8056" s="500"/>
      <c r="AL8056" s="500"/>
      <c r="AM8056" s="500"/>
      <c r="AN8056" s="500"/>
      <c r="AO8056" s="500"/>
      <c r="AP8056" s="500"/>
    </row>
    <row r="8057" spans="1:42" ht="16.5" customHeight="1">
      <c r="A8057" s="439"/>
      <c r="B8057" s="439"/>
      <c r="C8057" s="504"/>
      <c r="D8057" s="504"/>
      <c r="E8057" s="504"/>
      <c r="F8057" s="504"/>
      <c r="G8057" s="451" t="s">
        <v>3406</v>
      </c>
      <c r="Z8057" s="500"/>
      <c r="AA8057" s="500"/>
      <c r="AB8057" s="500"/>
      <c r="AC8057" s="500"/>
      <c r="AD8057" s="500"/>
      <c r="AE8057" s="500"/>
      <c r="AF8057" s="500"/>
      <c r="AG8057" s="500"/>
      <c r="AH8057" s="500"/>
      <c r="AI8057" s="500"/>
      <c r="AJ8057" s="500"/>
      <c r="AK8057" s="500"/>
      <c r="AL8057" s="500"/>
      <c r="AM8057" s="500"/>
      <c r="AN8057" s="500"/>
      <c r="AO8057" s="500"/>
      <c r="AP8057" s="500"/>
    </row>
    <row r="8058" spans="1:42" ht="16.5" customHeight="1">
      <c r="A8058" s="434"/>
      <c r="B8058" s="437" t="s">
        <v>4304</v>
      </c>
      <c r="C8058" s="439"/>
      <c r="D8058" s="439"/>
      <c r="E8058" s="439"/>
      <c r="F8058" s="439"/>
      <c r="G8058" s="451" t="s">
        <v>4305</v>
      </c>
      <c r="Z8058" s="500"/>
      <c r="AA8058" s="500"/>
      <c r="AB8058" s="500"/>
      <c r="AC8058" s="500"/>
      <c r="AD8058" s="500"/>
      <c r="AE8058" s="500"/>
      <c r="AF8058" s="500"/>
      <c r="AG8058" s="500"/>
      <c r="AH8058" s="500"/>
      <c r="AI8058" s="500"/>
      <c r="AJ8058" s="500"/>
      <c r="AK8058" s="500"/>
      <c r="AL8058" s="500"/>
      <c r="AM8058" s="500"/>
      <c r="AN8058" s="500"/>
      <c r="AO8058" s="500"/>
      <c r="AP8058" s="500"/>
    </row>
    <row r="8059" spans="1:42" ht="16.5" customHeight="1">
      <c r="A8059" s="439"/>
      <c r="B8059" s="439"/>
      <c r="C8059" s="439"/>
      <c r="D8059" s="439"/>
      <c r="E8059" s="439"/>
      <c r="F8059" s="439"/>
      <c r="G8059" s="451" t="s">
        <v>3406</v>
      </c>
      <c r="Z8059" s="500"/>
      <c r="AA8059" s="500"/>
      <c r="AB8059" s="500"/>
      <c r="AC8059" s="500"/>
      <c r="AD8059" s="500"/>
      <c r="AE8059" s="500"/>
      <c r="AF8059" s="500"/>
      <c r="AG8059" s="500"/>
      <c r="AH8059" s="500"/>
      <c r="AI8059" s="500"/>
      <c r="AJ8059" s="500"/>
      <c r="AK8059" s="500"/>
      <c r="AL8059" s="500"/>
      <c r="AM8059" s="500"/>
      <c r="AN8059" s="500"/>
      <c r="AO8059" s="500"/>
      <c r="AP8059" s="500"/>
    </row>
    <row r="8060" spans="1:42" ht="16.5" customHeight="1">
      <c r="A8060" s="434"/>
      <c r="B8060" s="437" t="s">
        <v>4294</v>
      </c>
      <c r="C8060" s="439"/>
      <c r="D8060" s="439"/>
      <c r="E8060" s="439"/>
      <c r="F8060" s="439"/>
      <c r="G8060" s="451" t="s">
        <v>4295</v>
      </c>
      <c r="Z8060" s="500"/>
      <c r="AA8060" s="500"/>
      <c r="AB8060" s="500"/>
      <c r="AC8060" s="500"/>
      <c r="AD8060" s="500"/>
      <c r="AE8060" s="500"/>
      <c r="AF8060" s="500"/>
      <c r="AG8060" s="500"/>
      <c r="AH8060" s="500"/>
      <c r="AI8060" s="500"/>
      <c r="AJ8060" s="500"/>
      <c r="AK8060" s="500"/>
      <c r="AL8060" s="500"/>
      <c r="AM8060" s="500"/>
      <c r="AN8060" s="500"/>
      <c r="AO8060" s="500"/>
      <c r="AP8060" s="500"/>
    </row>
    <row r="8061" spans="1:42" ht="16.5" customHeight="1">
      <c r="A8061" s="439"/>
      <c r="B8061" s="439"/>
      <c r="C8061" s="439"/>
      <c r="D8061" s="439"/>
      <c r="E8061" s="439"/>
      <c r="F8061" s="439"/>
      <c r="G8061" s="451" t="s">
        <v>3406</v>
      </c>
      <c r="Z8061" s="500"/>
      <c r="AA8061" s="500"/>
      <c r="AB8061" s="500"/>
      <c r="AC8061" s="500"/>
      <c r="AD8061" s="500"/>
      <c r="AE8061" s="500"/>
      <c r="AF8061" s="500"/>
      <c r="AG8061" s="500"/>
      <c r="AH8061" s="500"/>
      <c r="AI8061" s="500"/>
      <c r="AJ8061" s="500"/>
      <c r="AK8061" s="500"/>
      <c r="AL8061" s="500"/>
      <c r="AM8061" s="500"/>
      <c r="AN8061" s="500"/>
      <c r="AO8061" s="500"/>
      <c r="AP8061" s="500"/>
    </row>
    <row r="8062" spans="1:42" ht="16.5" customHeight="1">
      <c r="A8062" s="434"/>
      <c r="B8062" s="437" t="str">
        <f>" 일당 작업량 :   Q = "&amp;Z8062&amp;"  주 "</f>
        <v xml:space="preserve"> 일당 작업량 :   Q = 2700  주 </v>
      </c>
      <c r="C8062" s="439"/>
      <c r="D8062" s="439"/>
      <c r="E8062" s="439"/>
      <c r="F8062" s="439"/>
      <c r="G8062" s="451" t="s">
        <v>4306</v>
      </c>
      <c r="Z8062" s="515">
        <v>2700</v>
      </c>
      <c r="AA8062" s="501" t="s">
        <v>3418</v>
      </c>
      <c r="AB8062" s="512">
        <f>Z8062</f>
        <v>2700</v>
      </c>
      <c r="AC8062" s="500"/>
      <c r="AD8062" s="500"/>
      <c r="AE8062" s="500"/>
      <c r="AF8062" s="500"/>
      <c r="AG8062" s="500"/>
      <c r="AH8062" s="500"/>
      <c r="AI8062" s="500"/>
      <c r="AJ8062" s="500"/>
      <c r="AK8062" s="500"/>
      <c r="AL8062" s="500"/>
      <c r="AM8062" s="500"/>
      <c r="AN8062" s="500"/>
      <c r="AO8062" s="500"/>
      <c r="AP8062" s="500"/>
    </row>
    <row r="8063" spans="1:42" ht="16.5" customHeight="1">
      <c r="A8063" s="439"/>
      <c r="B8063" s="439"/>
      <c r="C8063" s="439"/>
      <c r="D8063" s="439"/>
      <c r="E8063" s="439"/>
      <c r="F8063" s="439"/>
      <c r="G8063" s="451" t="s">
        <v>3406</v>
      </c>
      <c r="Z8063" s="500"/>
      <c r="AA8063" s="500"/>
      <c r="AB8063" s="500"/>
      <c r="AC8063" s="500"/>
      <c r="AD8063" s="500"/>
      <c r="AE8063" s="500"/>
      <c r="AF8063" s="500"/>
      <c r="AG8063" s="500"/>
      <c r="AH8063" s="500"/>
      <c r="AI8063" s="500"/>
      <c r="AJ8063" s="500"/>
      <c r="AK8063" s="500"/>
      <c r="AL8063" s="500"/>
      <c r="AM8063" s="500"/>
      <c r="AN8063" s="500"/>
      <c r="AO8063" s="500"/>
      <c r="AP8063" s="500"/>
    </row>
    <row r="8064" spans="1:42" ht="16.5" customHeight="1">
      <c r="A8064" s="434"/>
      <c r="B8064" s="437" t="s">
        <v>3494</v>
      </c>
      <c r="C8064" s="439"/>
      <c r="D8064" s="439"/>
      <c r="E8064" s="439"/>
      <c r="F8064" s="439"/>
      <c r="G8064" s="451" t="s">
        <v>3495</v>
      </c>
      <c r="Z8064" s="500"/>
      <c r="AA8064" s="500"/>
      <c r="AB8064" s="500"/>
      <c r="AC8064" s="500"/>
      <c r="AD8064" s="500"/>
      <c r="AE8064" s="500"/>
      <c r="AF8064" s="500"/>
      <c r="AG8064" s="500"/>
      <c r="AH8064" s="500"/>
      <c r="AI8064" s="500"/>
      <c r="AJ8064" s="500"/>
      <c r="AK8064" s="500"/>
      <c r="AL8064" s="500"/>
      <c r="AM8064" s="500"/>
      <c r="AN8064" s="500"/>
      <c r="AO8064" s="500"/>
      <c r="AP8064" s="500"/>
    </row>
    <row r="8065" spans="1:42" ht="16.5" customHeight="1">
      <c r="A8065" s="439"/>
      <c r="B8065" s="439"/>
      <c r="C8065" s="439"/>
      <c r="D8065" s="439"/>
      <c r="E8065" s="439"/>
      <c r="F8065" s="439"/>
      <c r="G8065" s="451" t="s">
        <v>3406</v>
      </c>
      <c r="Z8065" s="500"/>
      <c r="AA8065" s="500"/>
      <c r="AB8065" s="500"/>
      <c r="AC8065" s="500"/>
      <c r="AD8065" s="500"/>
      <c r="AE8065" s="500"/>
      <c r="AF8065" s="500"/>
      <c r="AG8065" s="500"/>
      <c r="AH8065" s="500"/>
      <c r="AI8065" s="500"/>
      <c r="AJ8065" s="500"/>
      <c r="AK8065" s="500"/>
      <c r="AL8065" s="500"/>
      <c r="AM8065" s="500"/>
      <c r="AN8065" s="500"/>
      <c r="AO8065" s="500"/>
      <c r="AP8065" s="500"/>
    </row>
    <row r="8066" spans="1:42" ht="16.5" customHeight="1">
      <c r="A8066" s="439"/>
      <c r="B8066" s="439"/>
      <c r="C8066" s="439"/>
      <c r="D8066" s="439"/>
      <c r="E8066" s="439"/>
      <c r="F8066" s="439"/>
      <c r="G8066" s="451" t="s">
        <v>3406</v>
      </c>
      <c r="Z8066" s="500"/>
      <c r="AA8066" s="500"/>
      <c r="AB8066" s="500"/>
      <c r="AC8066" s="500"/>
      <c r="AD8066" s="500"/>
      <c r="AE8066" s="500"/>
      <c r="AF8066" s="500"/>
      <c r="AG8066" s="500"/>
      <c r="AH8066" s="500"/>
      <c r="AI8066" s="500"/>
      <c r="AJ8066" s="500"/>
      <c r="AK8066" s="500"/>
      <c r="AL8066" s="500"/>
      <c r="AM8066" s="500"/>
      <c r="AN8066" s="500"/>
      <c r="AO8066" s="500"/>
      <c r="AP8066" s="500"/>
    </row>
    <row r="8067" spans="1:42" ht="16.5" customHeight="1">
      <c r="A8067" s="439"/>
      <c r="B8067" s="439"/>
      <c r="C8067" s="439"/>
      <c r="D8067" s="439"/>
      <c r="E8067" s="439"/>
      <c r="F8067" s="439"/>
      <c r="G8067" s="451" t="s">
        <v>3406</v>
      </c>
      <c r="Z8067" s="500"/>
      <c r="AA8067" s="500"/>
      <c r="AB8067" s="500"/>
      <c r="AC8067" s="500"/>
      <c r="AD8067" s="500"/>
      <c r="AE8067" s="500"/>
      <c r="AF8067" s="500"/>
      <c r="AG8067" s="500"/>
      <c r="AH8067" s="500"/>
      <c r="AI8067" s="500"/>
      <c r="AJ8067" s="500"/>
      <c r="AK8067" s="500"/>
      <c r="AL8067" s="500"/>
      <c r="AM8067" s="500"/>
      <c r="AN8067" s="500"/>
      <c r="AO8067" s="500"/>
      <c r="AP8067" s="500"/>
    </row>
    <row r="8068" spans="1:42" ht="16.5" customHeight="1">
      <c r="A8068" s="439"/>
      <c r="B8068" s="439"/>
      <c r="C8068" s="439"/>
      <c r="D8068" s="439"/>
      <c r="E8068" s="439"/>
      <c r="F8068" s="439"/>
      <c r="G8068" s="451" t="s">
        <v>3406</v>
      </c>
      <c r="Z8068" s="500"/>
      <c r="AA8068" s="500"/>
      <c r="AB8068" s="500"/>
      <c r="AC8068" s="500"/>
      <c r="AD8068" s="500"/>
      <c r="AE8068" s="500"/>
      <c r="AF8068" s="500"/>
      <c r="AG8068" s="500"/>
      <c r="AH8068" s="500"/>
      <c r="AI8068" s="500"/>
      <c r="AJ8068" s="500"/>
      <c r="AK8068" s="500"/>
      <c r="AL8068" s="500"/>
      <c r="AM8068" s="500"/>
      <c r="AN8068" s="500"/>
      <c r="AO8068" s="500"/>
      <c r="AP8068" s="500"/>
    </row>
    <row r="8069" spans="1:42" ht="16.5" customHeight="1">
      <c r="A8069" s="434"/>
      <c r="B8069" s="437" t="s">
        <v>3496</v>
      </c>
      <c r="C8069" s="439"/>
      <c r="D8069" s="439"/>
      <c r="E8069" s="439"/>
      <c r="F8069" s="439"/>
      <c r="G8069" s="451" t="s">
        <v>3497</v>
      </c>
      <c r="Z8069" s="500"/>
      <c r="AA8069" s="500"/>
      <c r="AB8069" s="500"/>
      <c r="AC8069" s="500"/>
      <c r="AD8069" s="500"/>
      <c r="AE8069" s="500"/>
      <c r="AF8069" s="500"/>
      <c r="AG8069" s="500"/>
      <c r="AH8069" s="500"/>
      <c r="AI8069" s="500"/>
      <c r="AJ8069" s="500"/>
      <c r="AK8069" s="500"/>
      <c r="AL8069" s="500"/>
      <c r="AM8069" s="500"/>
      <c r="AN8069" s="500"/>
      <c r="AO8069" s="500"/>
      <c r="AP8069" s="500"/>
    </row>
    <row r="8070" spans="1:42" ht="16.5" customHeight="1">
      <c r="A8070" s="439"/>
      <c r="B8070" s="439"/>
      <c r="C8070" s="439"/>
      <c r="D8070" s="439"/>
      <c r="E8070" s="439"/>
      <c r="F8070" s="439"/>
      <c r="G8070" s="451" t="s">
        <v>3406</v>
      </c>
      <c r="Z8070" s="500"/>
      <c r="AA8070" s="500"/>
      <c r="AB8070" s="500"/>
      <c r="AC8070" s="500"/>
      <c r="AD8070" s="500"/>
      <c r="AE8070" s="500"/>
      <c r="AF8070" s="500"/>
      <c r="AG8070" s="500"/>
      <c r="AH8070" s="500"/>
      <c r="AI8070" s="500"/>
      <c r="AJ8070" s="500"/>
      <c r="AK8070" s="500"/>
      <c r="AL8070" s="500"/>
      <c r="AM8070" s="500"/>
      <c r="AN8070" s="500"/>
      <c r="AO8070" s="500"/>
      <c r="AP8070" s="500"/>
    </row>
    <row r="8071" spans="1:42" ht="16.5" customHeight="1">
      <c r="A8071" s="434" t="s">
        <v>3498</v>
      </c>
      <c r="B8071" s="505" t="str">
        <f>" 조경공 :  "&amp;TEXT(I8071,"#,##0"&amp;IF(I8071&lt;&gt;INT(I8071),".###",""))&amp;" * "&amp;AA8071&amp;" 인  / Q = "&amp;TEXT(C8071,"#,##0.0")&amp;""</f>
        <v xml:space="preserve"> 조경공 :  235,204 * 3 인  / Q = 261.3</v>
      </c>
      <c r="C8071" s="506">
        <f>E8071+D8071+F8071</f>
        <v>261.3</v>
      </c>
      <c r="D8071" s="506">
        <f>IF(H8071=0,0,ROUNDDOWN(J8071*H8071,1))</f>
        <v>261.3</v>
      </c>
      <c r="E8071" s="506">
        <f>IF(H8071=0,0,ROUNDDOWN(K8071*H8071,1))</f>
        <v>0</v>
      </c>
      <c r="F8071" s="506">
        <f>IF(H8071=0,0,ROUNDDOWN(L8071*H8071,1))</f>
        <v>0</v>
      </c>
      <c r="G8071" s="451" t="s">
        <v>3551</v>
      </c>
      <c r="H8071" s="507">
        <f>ROUNDUP(AE8071,14-LEN(ABS(INT(AE8071))))</f>
        <v>1.1111111112000001E-3</v>
      </c>
      <c r="I8071" s="508">
        <f>K8071+J8071+L8071</f>
        <v>235204</v>
      </c>
      <c r="J8071" s="509">
        <f>노무비목록표!E15</f>
        <v>235204</v>
      </c>
      <c r="M8071" s="501" t="s">
        <v>2359</v>
      </c>
      <c r="N8071" s="501" t="s">
        <v>3416</v>
      </c>
      <c r="X8071" s="510" t="str">
        <f>노무비목록표!B15&amp;" / "&amp;노무비목록표!C15</f>
        <v xml:space="preserve">조경공 / </v>
      </c>
      <c r="Y8071" s="433" t="str">
        <f ca="1">HYPERLINK("#"&amp;노무비목록표!G2&amp;"!A"&amp;ROW(노무비목록표!A15),"L00184 →")</f>
        <v>L00184 →</v>
      </c>
      <c r="Z8071" s="501" t="s">
        <v>3500</v>
      </c>
      <c r="AA8071" s="515">
        <v>3</v>
      </c>
      <c r="AB8071" s="501" t="s">
        <v>3428</v>
      </c>
      <c r="AC8071" s="512">
        <f>AB8062</f>
        <v>2700</v>
      </c>
      <c r="AD8071" s="501" t="s">
        <v>3418</v>
      </c>
      <c r="AE8071" s="512">
        <f>1*AA8071/AB8062</f>
        <v>1.1111111111111111E-3</v>
      </c>
      <c r="AF8071" s="500"/>
      <c r="AG8071" s="500"/>
      <c r="AH8071" s="500"/>
      <c r="AI8071" s="500"/>
      <c r="AJ8071" s="500"/>
      <c r="AK8071" s="500"/>
      <c r="AL8071" s="500"/>
      <c r="AM8071" s="500"/>
      <c r="AN8071" s="500"/>
      <c r="AO8071" s="500"/>
      <c r="AP8071" s="500"/>
    </row>
    <row r="8072" spans="1:42" ht="16.5" customHeight="1">
      <c r="A8072" s="439"/>
      <c r="B8072" s="439"/>
      <c r="C8072" s="439"/>
      <c r="D8072" s="439"/>
      <c r="E8072" s="439"/>
      <c r="F8072" s="439"/>
      <c r="G8072" s="451" t="s">
        <v>3406</v>
      </c>
      <c r="Z8072" s="500"/>
      <c r="AA8072" s="500"/>
      <c r="AB8072" s="500"/>
      <c r="AC8072" s="500"/>
      <c r="AD8072" s="500"/>
      <c r="AE8072" s="500"/>
      <c r="AF8072" s="500"/>
      <c r="AG8072" s="500"/>
      <c r="AH8072" s="500"/>
      <c r="AI8072" s="500"/>
      <c r="AJ8072" s="500"/>
      <c r="AK8072" s="500"/>
      <c r="AL8072" s="500"/>
      <c r="AM8072" s="500"/>
      <c r="AN8072" s="500"/>
      <c r="AO8072" s="500"/>
      <c r="AP8072" s="500"/>
    </row>
    <row r="8073" spans="1:42" ht="16.5" customHeight="1">
      <c r="A8073" s="439"/>
      <c r="B8073" s="439"/>
      <c r="C8073" s="439"/>
      <c r="D8073" s="439"/>
      <c r="E8073" s="439"/>
      <c r="F8073" s="439"/>
      <c r="G8073" s="451" t="s">
        <v>3406</v>
      </c>
      <c r="Z8073" s="500"/>
      <c r="AA8073" s="500"/>
      <c r="AB8073" s="500"/>
      <c r="AC8073" s="500"/>
      <c r="AD8073" s="500"/>
      <c r="AE8073" s="500"/>
      <c r="AF8073" s="500"/>
      <c r="AG8073" s="500"/>
      <c r="AH8073" s="500"/>
      <c r="AI8073" s="500"/>
      <c r="AJ8073" s="500"/>
      <c r="AK8073" s="500"/>
      <c r="AL8073" s="500"/>
      <c r="AM8073" s="500"/>
      <c r="AN8073" s="500"/>
      <c r="AO8073" s="500"/>
      <c r="AP8073" s="500"/>
    </row>
    <row r="8074" spans="1:42" ht="16.5" customHeight="1">
      <c r="A8074" s="434" t="s">
        <v>3414</v>
      </c>
      <c r="B8074" s="505" t="str">
        <f>" 보통인부 : "&amp;TEXT(I8074,"#,##0"&amp;IF(I8074&lt;&gt;INT(I8074),".###",""))&amp;" * "&amp;AA8074&amp;" 인  / Q = "&amp;TEXT(C8074,"#,##0.0")&amp;""</f>
        <v xml:space="preserve"> 보통인부 : 172,068 * 1 인  / Q = 63.7</v>
      </c>
      <c r="C8074" s="506">
        <f>E8074+D8074+F8074</f>
        <v>63.7</v>
      </c>
      <c r="D8074" s="506">
        <f>IF(H8074=0,0,ROUNDDOWN(J8074*H8074,1))</f>
        <v>63.7</v>
      </c>
      <c r="E8074" s="506">
        <f>IF(H8074=0,0,ROUNDDOWN(K8074*H8074,1))</f>
        <v>0</v>
      </c>
      <c r="F8074" s="506">
        <f>IF(H8074=0,0,ROUNDDOWN(L8074*H8074,1))</f>
        <v>0</v>
      </c>
      <c r="G8074" s="451" t="s">
        <v>3552</v>
      </c>
      <c r="H8074" s="507">
        <f>ROUNDUP(AE8074,14-LEN(ABS(INT(AE8074))))</f>
        <v>3.7037037039999997E-4</v>
      </c>
      <c r="I8074" s="508">
        <f>K8074+J8074+L8074</f>
        <v>172068</v>
      </c>
      <c r="J8074" s="509">
        <f>노무비목록표!E10</f>
        <v>172068</v>
      </c>
      <c r="M8074" s="501" t="s">
        <v>2363</v>
      </c>
      <c r="N8074" s="501" t="s">
        <v>3416</v>
      </c>
      <c r="X8074" s="510" t="str">
        <f>노무비목록표!B10&amp;" / "&amp;노무비목록표!C10</f>
        <v xml:space="preserve">보통인부 / </v>
      </c>
      <c r="Y8074" s="433" t="str">
        <f ca="1">HYPERLINK("#"&amp;노무비목록표!G2&amp;"!A"&amp;ROW(노무비목록표!A10),"L00017 →")</f>
        <v>L00017 →</v>
      </c>
      <c r="Z8074" s="501" t="s">
        <v>3500</v>
      </c>
      <c r="AA8074" s="515">
        <v>1</v>
      </c>
      <c r="AB8074" s="501" t="s">
        <v>3428</v>
      </c>
      <c r="AC8074" s="512">
        <f>AB8062</f>
        <v>2700</v>
      </c>
      <c r="AD8074" s="501" t="s">
        <v>3418</v>
      </c>
      <c r="AE8074" s="512">
        <f>1*AA8074/AB8062</f>
        <v>3.7037037037037035E-4</v>
      </c>
      <c r="AF8074" s="500"/>
      <c r="AG8074" s="500"/>
      <c r="AH8074" s="500"/>
      <c r="AI8074" s="500"/>
      <c r="AJ8074" s="500"/>
      <c r="AK8074" s="500"/>
      <c r="AL8074" s="500"/>
      <c r="AM8074" s="500"/>
      <c r="AN8074" s="500"/>
      <c r="AO8074" s="500"/>
      <c r="AP8074" s="500"/>
    </row>
    <row r="8075" spans="1:42" ht="16.5" customHeight="1">
      <c r="A8075" s="439"/>
      <c r="B8075" s="439"/>
      <c r="C8075" s="439"/>
      <c r="D8075" s="439"/>
      <c r="E8075" s="439"/>
      <c r="F8075" s="439"/>
      <c r="G8075" s="451" t="s">
        <v>3406</v>
      </c>
      <c r="Z8075" s="500"/>
      <c r="AA8075" s="500"/>
      <c r="AB8075" s="500"/>
      <c r="AC8075" s="500"/>
      <c r="AD8075" s="500"/>
      <c r="AE8075" s="500"/>
      <c r="AF8075" s="500"/>
      <c r="AG8075" s="500"/>
      <c r="AH8075" s="500"/>
      <c r="AI8075" s="500"/>
      <c r="AJ8075" s="500"/>
      <c r="AK8075" s="500"/>
      <c r="AL8075" s="500"/>
      <c r="AM8075" s="500"/>
      <c r="AN8075" s="500"/>
      <c r="AO8075" s="500"/>
      <c r="AP8075" s="500"/>
    </row>
    <row r="8076" spans="1:42" ht="16.5" customHeight="1">
      <c r="A8076" s="434"/>
      <c r="B8076" s="437" t="s">
        <v>3419</v>
      </c>
      <c r="C8076" s="513">
        <f>E8076+D8076+F8076</f>
        <v>325</v>
      </c>
      <c r="D8076" s="513">
        <f>SUMIF(N8057:N8075,M8076,D8057:D8075)</f>
        <v>325</v>
      </c>
      <c r="E8076" s="513">
        <f>SUMIF(N8057:N8075,M8076,E8057:E8075)</f>
        <v>0</v>
      </c>
      <c r="F8076" s="513">
        <f>SUMIF(N8057:N8075,M8076,F8057:F8075)</f>
        <v>0</v>
      </c>
      <c r="G8076" s="451" t="s">
        <v>3439</v>
      </c>
      <c r="M8076" s="501" t="s">
        <v>3416</v>
      </c>
      <c r="N8076" s="501" t="s">
        <v>3421</v>
      </c>
      <c r="Z8076" s="500"/>
      <c r="AA8076" s="500"/>
      <c r="AB8076" s="500"/>
      <c r="AC8076" s="500"/>
      <c r="AD8076" s="500"/>
      <c r="AE8076" s="500"/>
      <c r="AF8076" s="500"/>
      <c r="AG8076" s="500"/>
      <c r="AH8076" s="500"/>
      <c r="AI8076" s="500"/>
      <c r="AJ8076" s="500"/>
      <c r="AK8076" s="500"/>
      <c r="AL8076" s="500"/>
      <c r="AM8076" s="500"/>
      <c r="AN8076" s="500"/>
      <c r="AO8076" s="500"/>
      <c r="AP8076" s="500"/>
    </row>
    <row r="8077" spans="1:42" ht="16.5" customHeight="1">
      <c r="A8077" s="439"/>
      <c r="B8077" s="439"/>
      <c r="C8077" s="504"/>
      <c r="D8077" s="504"/>
      <c r="E8077" s="504"/>
      <c r="F8077" s="504"/>
      <c r="G8077" s="451" t="s">
        <v>3406</v>
      </c>
      <c r="Z8077" s="500"/>
      <c r="AA8077" s="500"/>
      <c r="AB8077" s="500"/>
      <c r="AC8077" s="500"/>
      <c r="AD8077" s="500"/>
      <c r="AE8077" s="500"/>
      <c r="AF8077" s="500"/>
      <c r="AG8077" s="500"/>
      <c r="AH8077" s="500"/>
      <c r="AI8077" s="500"/>
      <c r="AJ8077" s="500"/>
      <c r="AK8077" s="500"/>
      <c r="AL8077" s="500"/>
      <c r="AM8077" s="500"/>
      <c r="AN8077" s="500"/>
      <c r="AO8077" s="500"/>
      <c r="AP8077" s="500"/>
    </row>
    <row r="8078" spans="1:42" ht="16.5" customHeight="1">
      <c r="A8078" s="439"/>
      <c r="B8078" s="439"/>
      <c r="C8078" s="439"/>
      <c r="D8078" s="439"/>
      <c r="E8078" s="439"/>
      <c r="F8078" s="439"/>
      <c r="G8078" s="451" t="s">
        <v>3406</v>
      </c>
      <c r="Z8078" s="500"/>
      <c r="AA8078" s="500"/>
      <c r="AB8078" s="500"/>
      <c r="AC8078" s="500"/>
      <c r="AD8078" s="500"/>
      <c r="AE8078" s="500"/>
      <c r="AF8078" s="500"/>
      <c r="AG8078" s="500"/>
      <c r="AH8078" s="500"/>
      <c r="AI8078" s="500"/>
      <c r="AJ8078" s="500"/>
      <c r="AK8078" s="500"/>
      <c r="AL8078" s="500"/>
      <c r="AM8078" s="500"/>
      <c r="AN8078" s="500"/>
      <c r="AO8078" s="500"/>
      <c r="AP8078" s="500"/>
    </row>
    <row r="8079" spans="1:42" ht="16.5" customHeight="1">
      <c r="A8079" s="434"/>
      <c r="B8079" s="437" t="s">
        <v>3502</v>
      </c>
      <c r="C8079" s="439"/>
      <c r="D8079" s="439"/>
      <c r="E8079" s="439"/>
      <c r="F8079" s="439"/>
      <c r="G8079" s="451" t="s">
        <v>3503</v>
      </c>
      <c r="Z8079" s="500"/>
      <c r="AA8079" s="500"/>
      <c r="AB8079" s="500"/>
      <c r="AC8079" s="500"/>
      <c r="AD8079" s="500"/>
      <c r="AE8079" s="500"/>
      <c r="AF8079" s="500"/>
      <c r="AG8079" s="500"/>
      <c r="AH8079" s="500"/>
      <c r="AI8079" s="500"/>
      <c r="AJ8079" s="500"/>
      <c r="AK8079" s="500"/>
      <c r="AL8079" s="500"/>
      <c r="AM8079" s="500"/>
      <c r="AN8079" s="500"/>
      <c r="AO8079" s="500"/>
      <c r="AP8079" s="500"/>
    </row>
    <row r="8080" spans="1:42" ht="16.5" customHeight="1">
      <c r="A8080" s="439"/>
      <c r="B8080" s="439"/>
      <c r="C8080" s="439"/>
      <c r="D8080" s="439"/>
      <c r="E8080" s="439"/>
      <c r="F8080" s="439"/>
      <c r="G8080" s="451" t="s">
        <v>3406</v>
      </c>
      <c r="Z8080" s="500"/>
      <c r="AA8080" s="500"/>
      <c r="AB8080" s="500"/>
      <c r="AC8080" s="500"/>
      <c r="AD8080" s="500"/>
      <c r="AE8080" s="500"/>
      <c r="AF8080" s="500"/>
      <c r="AG8080" s="500"/>
      <c r="AH8080" s="500"/>
      <c r="AI8080" s="500"/>
      <c r="AJ8080" s="500"/>
      <c r="AK8080" s="500"/>
      <c r="AL8080" s="500"/>
      <c r="AM8080" s="500"/>
      <c r="AN8080" s="500"/>
      <c r="AO8080" s="500"/>
      <c r="AP8080" s="500"/>
    </row>
    <row r="8081" spans="1:42" ht="16.5" customHeight="1">
      <c r="A8081" s="434" t="s">
        <v>3504</v>
      </c>
      <c r="B8081" s="505" t="str">
        <f>"  유기질비료 수목이식·식재용 : "&amp;TEXT(I8081,"#,##0"&amp;IF(I8081&lt;&gt;INT(I8081),".###",""))&amp;" * "&amp;AA8081&amp;" KG  / Q = "&amp;TEXT(C8081,"#,##0.0")&amp;""</f>
        <v xml:space="preserve">  유기질비료 수목이식·식재용 : 500 * 270 KG  / Q = 50.0</v>
      </c>
      <c r="C8081" s="506">
        <f>E8081+D8081+F8081</f>
        <v>50</v>
      </c>
      <c r="D8081" s="506">
        <f>IF(H8081=0,0,ROUNDDOWN(J8081*H8081,1))</f>
        <v>0</v>
      </c>
      <c r="E8081" s="506">
        <f>IF(H8081=0,0,ROUNDDOWN(K8081*H8081,1))</f>
        <v>50</v>
      </c>
      <c r="F8081" s="506">
        <f>IF(H8081=0,0,ROUNDDOWN(L8081*H8081,1))</f>
        <v>0</v>
      </c>
      <c r="G8081" s="451" t="s">
        <v>4307</v>
      </c>
      <c r="H8081" s="507">
        <f>ROUNDUP(AE8081,14-LEN(ABS(INT(AE8081))))</f>
        <v>0.1</v>
      </c>
      <c r="I8081" s="508">
        <f>K8081+J8081+L8081</f>
        <v>500</v>
      </c>
      <c r="K8081" s="509">
        <f>재료비목록표!E78</f>
        <v>500</v>
      </c>
      <c r="M8081" s="501" t="s">
        <v>3506</v>
      </c>
      <c r="N8081" s="501" t="s">
        <v>3416</v>
      </c>
      <c r="X8081" s="510" t="str">
        <f>재료비목록표!B78&amp;" / "&amp;재료비목록표!C78</f>
        <v>유기질비료 / 수목이식·식재용</v>
      </c>
      <c r="Y8081" s="433" t="str">
        <f ca="1">HYPERLINK("#"&amp;재료비목록표!G2&amp;"!A"&amp;ROW(재료비목록표!A78),"M01159 →")</f>
        <v>M01159 →</v>
      </c>
      <c r="Z8081" s="501" t="s">
        <v>3500</v>
      </c>
      <c r="AA8081" s="515">
        <v>270</v>
      </c>
      <c r="AB8081" s="501" t="s">
        <v>3428</v>
      </c>
      <c r="AC8081" s="512">
        <f>AB8062</f>
        <v>2700</v>
      </c>
      <c r="AD8081" s="501" t="s">
        <v>3418</v>
      </c>
      <c r="AE8081" s="512">
        <f>1*AA8081/AB8062</f>
        <v>0.1</v>
      </c>
      <c r="AF8081" s="500"/>
      <c r="AG8081" s="500"/>
      <c r="AH8081" s="500"/>
      <c r="AI8081" s="500"/>
      <c r="AJ8081" s="500"/>
      <c r="AK8081" s="500"/>
      <c r="AL8081" s="500"/>
      <c r="AM8081" s="500"/>
      <c r="AN8081" s="500"/>
      <c r="AO8081" s="500"/>
      <c r="AP8081" s="500"/>
    </row>
    <row r="8082" spans="1:42" ht="16.5" customHeight="1">
      <c r="A8082" s="439"/>
      <c r="B8082" s="439"/>
      <c r="C8082" s="439"/>
      <c r="D8082" s="439"/>
      <c r="E8082" s="439"/>
      <c r="F8082" s="439"/>
      <c r="G8082" s="451" t="s">
        <v>3406</v>
      </c>
      <c r="Z8082" s="500"/>
      <c r="AA8082" s="500"/>
      <c r="AB8082" s="500"/>
      <c r="AC8082" s="500"/>
      <c r="AD8082" s="500"/>
      <c r="AE8082" s="500"/>
      <c r="AF8082" s="500"/>
      <c r="AG8082" s="500"/>
      <c r="AH8082" s="500"/>
      <c r="AI8082" s="500"/>
      <c r="AJ8082" s="500"/>
      <c r="AK8082" s="500"/>
      <c r="AL8082" s="500"/>
      <c r="AM8082" s="500"/>
      <c r="AN8082" s="500"/>
      <c r="AO8082" s="500"/>
      <c r="AP8082" s="500"/>
    </row>
    <row r="8083" spans="1:42" ht="16.5" customHeight="1">
      <c r="A8083" s="434"/>
      <c r="B8083" s="437" t="s">
        <v>3419</v>
      </c>
      <c r="C8083" s="513">
        <f>E8083+D8083+F8083</f>
        <v>50</v>
      </c>
      <c r="D8083" s="513">
        <f>SUMIF(N8077:N8082,M8083,D8077:D8082)</f>
        <v>0</v>
      </c>
      <c r="E8083" s="513">
        <f>SUMIF(N8077:N8082,M8083,E8077:E8082)</f>
        <v>50</v>
      </c>
      <c r="F8083" s="513">
        <f>SUMIF(N8077:N8082,M8083,F8077:F8082)</f>
        <v>0</v>
      </c>
      <c r="G8083" s="451" t="s">
        <v>3439</v>
      </c>
      <c r="M8083" s="501" t="s">
        <v>3416</v>
      </c>
      <c r="N8083" s="501" t="s">
        <v>3421</v>
      </c>
      <c r="Z8083" s="500"/>
      <c r="AA8083" s="500"/>
      <c r="AB8083" s="500"/>
      <c r="AC8083" s="500"/>
      <c r="AD8083" s="500"/>
      <c r="AE8083" s="500"/>
      <c r="AF8083" s="500"/>
      <c r="AG8083" s="500"/>
      <c r="AH8083" s="500"/>
      <c r="AI8083" s="500"/>
      <c r="AJ8083" s="500"/>
      <c r="AK8083" s="500"/>
      <c r="AL8083" s="500"/>
      <c r="AM8083" s="500"/>
      <c r="AN8083" s="500"/>
      <c r="AO8083" s="500"/>
      <c r="AP8083" s="500"/>
    </row>
    <row r="8084" spans="1:42" ht="16.5" customHeight="1">
      <c r="A8084" s="439"/>
      <c r="B8084" s="439"/>
      <c r="C8084" s="504"/>
      <c r="D8084" s="504"/>
      <c r="E8084" s="504"/>
      <c r="F8084" s="504"/>
      <c r="G8084" s="451" t="s">
        <v>3406</v>
      </c>
      <c r="Z8084" s="500"/>
      <c r="AA8084" s="500"/>
      <c r="AB8084" s="500"/>
      <c r="AC8084" s="500"/>
      <c r="AD8084" s="500"/>
      <c r="AE8084" s="500"/>
      <c r="AF8084" s="500"/>
      <c r="AG8084" s="500"/>
      <c r="AH8084" s="500"/>
      <c r="AI8084" s="500"/>
      <c r="AJ8084" s="500"/>
      <c r="AK8084" s="500"/>
      <c r="AL8084" s="500"/>
      <c r="AM8084" s="500"/>
      <c r="AN8084" s="500"/>
      <c r="AO8084" s="500"/>
      <c r="AP8084" s="500"/>
    </row>
    <row r="8085" spans="1:42" ht="16.5" customHeight="1">
      <c r="A8085" s="434"/>
      <c r="B8085" s="505" t="str">
        <f>"  산지할증 : "&amp;TEXT(I8085,"#,##0.0")&amp;" * "&amp;AA8085&amp;" %  = "&amp;TEXT(C8085,"#,##0.0")&amp;""</f>
        <v xml:space="preserve">  산지할증 : 325.0 * 25 %  = 81.2</v>
      </c>
      <c r="C8085" s="506">
        <f>E8085+D8085+F8085</f>
        <v>81.2</v>
      </c>
      <c r="D8085" s="506">
        <f>IF(H8085=0,0,ROUNDDOWN(J8085*H8085/100,1))</f>
        <v>81.2</v>
      </c>
      <c r="E8085" s="506">
        <f>IF(H8085=0,0,ROUNDDOWN(K8085*H8085/100,1))</f>
        <v>0</v>
      </c>
      <c r="F8085" s="506">
        <f>IF(H8085=0,0,ROUNDDOWN(L8085*H8085/100,1))</f>
        <v>0</v>
      </c>
      <c r="G8085" s="451" t="s">
        <v>5592</v>
      </c>
      <c r="H8085" s="507">
        <f>ROUNDUP(AC8085,14-LEN(ABS(INT(AC8085))))</f>
        <v>25</v>
      </c>
      <c r="I8085" s="508">
        <f>K8085+J8085+L8085</f>
        <v>325</v>
      </c>
      <c r="J8085" s="508">
        <f>D8076+D8083+SUMIF(N8084:N8084,N8085,D8084:D8084)</f>
        <v>325</v>
      </c>
      <c r="K8085" s="456">
        <v>0</v>
      </c>
      <c r="L8085" s="456">
        <v>0</v>
      </c>
      <c r="M8085" s="501" t="s">
        <v>4208</v>
      </c>
      <c r="N8085" s="501" t="s">
        <v>3416</v>
      </c>
      <c r="Z8085" s="501" t="s">
        <v>3500</v>
      </c>
      <c r="AA8085" s="515">
        <v>25</v>
      </c>
      <c r="AB8085" s="501" t="s">
        <v>3418</v>
      </c>
      <c r="AC8085" s="512">
        <f>1*AA8085</f>
        <v>25</v>
      </c>
      <c r="AD8085" s="500"/>
      <c r="AE8085" s="500"/>
      <c r="AF8085" s="500"/>
      <c r="AG8085" s="500"/>
      <c r="AH8085" s="500"/>
      <c r="AI8085" s="500"/>
      <c r="AJ8085" s="500"/>
      <c r="AK8085" s="500"/>
      <c r="AL8085" s="500"/>
      <c r="AM8085" s="500"/>
      <c r="AN8085" s="500"/>
      <c r="AO8085" s="500"/>
      <c r="AP8085" s="500"/>
    </row>
    <row r="8086" spans="1:42" ht="16.5" customHeight="1">
      <c r="A8086" s="439"/>
      <c r="B8086" s="439"/>
      <c r="C8086" s="439"/>
      <c r="D8086" s="439"/>
      <c r="E8086" s="439"/>
      <c r="F8086" s="439"/>
      <c r="G8086" s="451" t="s">
        <v>3406</v>
      </c>
      <c r="Z8086" s="500"/>
      <c r="AA8086" s="500"/>
      <c r="AB8086" s="500"/>
      <c r="AC8086" s="500"/>
      <c r="AD8086" s="500"/>
      <c r="AE8086" s="500"/>
      <c r="AF8086" s="500"/>
      <c r="AG8086" s="500"/>
      <c r="AH8086" s="500"/>
      <c r="AI8086" s="500"/>
      <c r="AJ8086" s="500"/>
      <c r="AK8086" s="500"/>
      <c r="AL8086" s="500"/>
      <c r="AM8086" s="500"/>
      <c r="AN8086" s="500"/>
      <c r="AO8086" s="500"/>
      <c r="AP8086" s="500"/>
    </row>
    <row r="8087" spans="1:42" ht="16.5" customHeight="1">
      <c r="A8087" s="434"/>
      <c r="B8087" s="437" t="s">
        <v>3419</v>
      </c>
      <c r="C8087" s="513">
        <f>E8087+D8087+F8087</f>
        <v>81.2</v>
      </c>
      <c r="D8087" s="513">
        <f>SUMIF(N8084:N8086,M8087,D8084:D8086)</f>
        <v>81.2</v>
      </c>
      <c r="E8087" s="513">
        <f>SUMIF(N8084:N8086,M8087,E8084:E8086)</f>
        <v>0</v>
      </c>
      <c r="F8087" s="513">
        <f>SUMIF(N8084:N8086,M8087,F8084:F8086)</f>
        <v>0</v>
      </c>
      <c r="G8087" s="451" t="s">
        <v>3439</v>
      </c>
      <c r="M8087" s="501" t="s">
        <v>3416</v>
      </c>
      <c r="N8087" s="501" t="s">
        <v>3421</v>
      </c>
      <c r="Z8087" s="500"/>
      <c r="AA8087" s="500"/>
      <c r="AB8087" s="500"/>
      <c r="AC8087" s="500"/>
      <c r="AD8087" s="500"/>
      <c r="AE8087" s="500"/>
      <c r="AF8087" s="500"/>
      <c r="AG8087" s="500"/>
      <c r="AH8087" s="500"/>
      <c r="AI8087" s="500"/>
      <c r="AJ8087" s="500"/>
      <c r="AK8087" s="500"/>
      <c r="AL8087" s="500"/>
      <c r="AM8087" s="500"/>
      <c r="AN8087" s="500"/>
      <c r="AO8087" s="500"/>
      <c r="AP8087" s="500"/>
    </row>
    <row r="8088" spans="1:42" ht="16.5" customHeight="1">
      <c r="A8088" s="439"/>
      <c r="B8088" s="439"/>
      <c r="C8088" s="504"/>
      <c r="D8088" s="504"/>
      <c r="E8088" s="504"/>
      <c r="F8088" s="504"/>
      <c r="G8088" s="451" t="s">
        <v>3406</v>
      </c>
      <c r="Z8088" s="500"/>
      <c r="AA8088" s="500"/>
      <c r="AB8088" s="500"/>
      <c r="AC8088" s="500"/>
      <c r="AD8088" s="500"/>
      <c r="AE8088" s="500"/>
      <c r="AF8088" s="500"/>
      <c r="AG8088" s="500"/>
      <c r="AH8088" s="500"/>
      <c r="AI8088" s="500"/>
      <c r="AJ8088" s="500"/>
      <c r="AK8088" s="500"/>
      <c r="AL8088" s="500"/>
      <c r="AM8088" s="500"/>
      <c r="AN8088" s="500"/>
      <c r="AO8088" s="500"/>
      <c r="AP8088" s="500"/>
    </row>
    <row r="8089" spans="1:42" ht="16.5" customHeight="1">
      <c r="A8089" s="434"/>
      <c r="B8089" s="437" t="s">
        <v>3440</v>
      </c>
      <c r="C8089" s="513">
        <f>E8089+D8089+F8089</f>
        <v>456.2</v>
      </c>
      <c r="D8089" s="513">
        <f>SUMIF(N8057:N8088,M8089,D8057:D8088)</f>
        <v>406.2</v>
      </c>
      <c r="E8089" s="513">
        <f>SUMIF(N8057:N8088,M8089,E8057:E8088)</f>
        <v>50</v>
      </c>
      <c r="F8089" s="513">
        <f>SUMIF(N8057:N8088,M8089,F8057:F8088)</f>
        <v>0</v>
      </c>
      <c r="G8089" s="451" t="s">
        <v>3441</v>
      </c>
      <c r="M8089" s="501" t="s">
        <v>3421</v>
      </c>
      <c r="N8089" s="501" t="s">
        <v>2354</v>
      </c>
      <c r="Z8089" s="500"/>
      <c r="AA8089" s="500"/>
      <c r="AB8089" s="500"/>
      <c r="AC8089" s="500"/>
      <c r="AD8089" s="500"/>
      <c r="AE8089" s="500"/>
      <c r="AF8089" s="500"/>
      <c r="AG8089" s="500"/>
      <c r="AH8089" s="500"/>
      <c r="AI8089" s="500"/>
      <c r="AJ8089" s="500"/>
      <c r="AK8089" s="500"/>
      <c r="AL8089" s="500"/>
      <c r="AM8089" s="500"/>
      <c r="AN8089" s="500"/>
      <c r="AO8089" s="500"/>
      <c r="AP8089" s="500"/>
    </row>
    <row r="8090" spans="1:42" ht="16.5" customHeight="1">
      <c r="A8090" s="439"/>
      <c r="B8090" s="439"/>
      <c r="C8090" s="504"/>
      <c r="D8090" s="504"/>
      <c r="E8090" s="504"/>
      <c r="F8090" s="504"/>
      <c r="G8090" s="451" t="s">
        <v>3413</v>
      </c>
      <c r="Z8090" s="500"/>
      <c r="AA8090" s="500"/>
      <c r="AB8090" s="500"/>
      <c r="AC8090" s="500"/>
      <c r="AD8090" s="500"/>
      <c r="AE8090" s="500"/>
      <c r="AF8090" s="500"/>
      <c r="AG8090" s="500"/>
      <c r="AH8090" s="500"/>
      <c r="AI8090" s="500"/>
      <c r="AJ8090" s="500"/>
      <c r="AK8090" s="500"/>
      <c r="AL8090" s="500"/>
      <c r="AM8090" s="500"/>
      <c r="AN8090" s="500"/>
      <c r="AO8090" s="500"/>
      <c r="AP8090" s="500"/>
    </row>
    <row r="8091" spans="1:42" ht="16.5" customHeight="1">
      <c r="A8091" s="439"/>
      <c r="B8091" s="439"/>
      <c r="C8091" s="439"/>
      <c r="D8091" s="439"/>
      <c r="E8091" s="439"/>
      <c r="F8091" s="439"/>
      <c r="Z8091" s="500"/>
      <c r="AA8091" s="500"/>
      <c r="AB8091" s="500"/>
      <c r="AC8091" s="500"/>
      <c r="AD8091" s="500"/>
      <c r="AE8091" s="500"/>
      <c r="AF8091" s="500"/>
      <c r="AG8091" s="500"/>
      <c r="AH8091" s="500"/>
      <c r="AI8091" s="500"/>
      <c r="AJ8091" s="500"/>
      <c r="AK8091" s="500"/>
      <c r="AL8091" s="500"/>
      <c r="AM8091" s="500"/>
      <c r="AN8091" s="500"/>
      <c r="AO8091" s="500"/>
      <c r="AP8091" s="500"/>
    </row>
    <row r="8092" spans="1:42" ht="16.5" customHeight="1">
      <c r="A8092" s="439"/>
      <c r="B8092" s="439"/>
      <c r="C8092" s="439"/>
      <c r="D8092" s="439"/>
      <c r="E8092" s="439"/>
      <c r="F8092" s="439"/>
      <c r="Z8092" s="500"/>
      <c r="AA8092" s="500"/>
      <c r="AB8092" s="500"/>
      <c r="AC8092" s="500"/>
      <c r="AD8092" s="500"/>
      <c r="AE8092" s="500"/>
      <c r="AF8092" s="500"/>
      <c r="AG8092" s="500"/>
      <c r="AH8092" s="500"/>
      <c r="AI8092" s="500"/>
      <c r="AJ8092" s="500"/>
      <c r="AK8092" s="500"/>
      <c r="AL8092" s="500"/>
      <c r="AM8092" s="500"/>
      <c r="AN8092" s="500"/>
      <c r="AO8092" s="500"/>
      <c r="AP8092" s="500"/>
    </row>
    <row r="8093" spans="1:42" ht="16.5" customHeight="1">
      <c r="A8093" s="439"/>
      <c r="B8093" s="439"/>
      <c r="C8093" s="439"/>
      <c r="D8093" s="439"/>
      <c r="E8093" s="439"/>
      <c r="F8093" s="439"/>
      <c r="Z8093" s="500"/>
      <c r="AA8093" s="500"/>
      <c r="AB8093" s="500"/>
      <c r="AC8093" s="500"/>
      <c r="AD8093" s="500"/>
      <c r="AE8093" s="500"/>
      <c r="AF8093" s="500"/>
      <c r="AG8093" s="500"/>
      <c r="AH8093" s="500"/>
      <c r="AI8093" s="500"/>
      <c r="AJ8093" s="500"/>
      <c r="AK8093" s="500"/>
      <c r="AL8093" s="500"/>
      <c r="AM8093" s="500"/>
      <c r="AN8093" s="500"/>
      <c r="AO8093" s="500"/>
      <c r="AP8093" s="500"/>
    </row>
    <row r="8094" spans="1:42" ht="16.5" customHeight="1">
      <c r="A8094" s="439"/>
      <c r="B8094" s="439"/>
      <c r="C8094" s="439"/>
      <c r="D8094" s="439"/>
      <c r="E8094" s="439"/>
      <c r="F8094" s="439"/>
      <c r="Z8094" s="500"/>
      <c r="AA8094" s="500"/>
      <c r="AB8094" s="500"/>
      <c r="AC8094" s="500"/>
      <c r="AD8094" s="500"/>
      <c r="AE8094" s="500"/>
      <c r="AF8094" s="500"/>
      <c r="AG8094" s="500"/>
      <c r="AH8094" s="500"/>
      <c r="AI8094" s="500"/>
      <c r="AJ8094" s="500"/>
      <c r="AK8094" s="500"/>
      <c r="AL8094" s="500"/>
      <c r="AM8094" s="500"/>
      <c r="AN8094" s="500"/>
      <c r="AO8094" s="500"/>
      <c r="AP8094" s="500"/>
    </row>
    <row r="8095" spans="1:42" ht="16.5" customHeight="1">
      <c r="A8095" s="439"/>
      <c r="B8095" s="439"/>
      <c r="C8095" s="439"/>
      <c r="D8095" s="439"/>
      <c r="E8095" s="439"/>
      <c r="F8095" s="439"/>
      <c r="Z8095" s="500"/>
      <c r="AA8095" s="500"/>
      <c r="AB8095" s="500"/>
      <c r="AC8095" s="500"/>
      <c r="AD8095" s="500"/>
      <c r="AE8095" s="500"/>
      <c r="AF8095" s="500"/>
      <c r="AG8095" s="500"/>
      <c r="AH8095" s="500"/>
      <c r="AI8095" s="500"/>
      <c r="AJ8095" s="500"/>
      <c r="AK8095" s="500"/>
      <c r="AL8095" s="500"/>
      <c r="AM8095" s="500"/>
      <c r="AN8095" s="500"/>
      <c r="AO8095" s="500"/>
      <c r="AP8095" s="500"/>
    </row>
    <row r="8096" spans="1:42" ht="16.5" customHeight="1">
      <c r="A8096" s="439"/>
      <c r="B8096" s="439"/>
      <c r="C8096" s="439"/>
      <c r="D8096" s="439"/>
      <c r="E8096" s="439"/>
      <c r="F8096" s="439"/>
      <c r="Z8096" s="500"/>
      <c r="AA8096" s="500"/>
      <c r="AB8096" s="500"/>
      <c r="AC8096" s="500"/>
      <c r="AD8096" s="500"/>
      <c r="AE8096" s="500"/>
      <c r="AF8096" s="500"/>
      <c r="AG8096" s="500"/>
      <c r="AH8096" s="500"/>
      <c r="AI8096" s="500"/>
      <c r="AJ8096" s="500"/>
      <c r="AK8096" s="500"/>
      <c r="AL8096" s="500"/>
      <c r="AM8096" s="500"/>
      <c r="AN8096" s="500"/>
      <c r="AO8096" s="500"/>
      <c r="AP8096" s="500"/>
    </row>
    <row r="8097" spans="1:42" ht="16.5" customHeight="1">
      <c r="A8097" s="439"/>
      <c r="B8097" s="439"/>
      <c r="C8097" s="439"/>
      <c r="D8097" s="439"/>
      <c r="E8097" s="439"/>
      <c r="F8097" s="439"/>
      <c r="Z8097" s="500"/>
      <c r="AA8097" s="500"/>
      <c r="AB8097" s="500"/>
      <c r="AC8097" s="500"/>
      <c r="AD8097" s="500"/>
      <c r="AE8097" s="500"/>
      <c r="AF8097" s="500"/>
      <c r="AG8097" s="500"/>
      <c r="AH8097" s="500"/>
      <c r="AI8097" s="500"/>
      <c r="AJ8097" s="500"/>
      <c r="AK8097" s="500"/>
      <c r="AL8097" s="500"/>
      <c r="AM8097" s="500"/>
      <c r="AN8097" s="500"/>
      <c r="AO8097" s="500"/>
      <c r="AP8097" s="500"/>
    </row>
    <row r="8098" spans="1:42" ht="16.5" customHeight="1">
      <c r="A8098" s="439"/>
      <c r="B8098" s="439"/>
      <c r="C8098" s="439"/>
      <c r="D8098" s="439"/>
      <c r="E8098" s="439"/>
      <c r="F8098" s="439"/>
      <c r="Z8098" s="500"/>
      <c r="AA8098" s="500"/>
      <c r="AB8098" s="500"/>
      <c r="AC8098" s="500"/>
      <c r="AD8098" s="500"/>
      <c r="AE8098" s="500"/>
      <c r="AF8098" s="500"/>
      <c r="AG8098" s="500"/>
      <c r="AH8098" s="500"/>
      <c r="AI8098" s="500"/>
      <c r="AJ8098" s="500"/>
      <c r="AK8098" s="500"/>
      <c r="AL8098" s="500"/>
      <c r="AM8098" s="500"/>
      <c r="AN8098" s="500"/>
      <c r="AO8098" s="500"/>
      <c r="AP8098" s="500"/>
    </row>
    <row r="8099" spans="1:42" ht="16.5" customHeight="1">
      <c r="A8099" s="439"/>
      <c r="B8099" s="439"/>
      <c r="C8099" s="439"/>
      <c r="D8099" s="439"/>
      <c r="E8099" s="439"/>
      <c r="F8099" s="439"/>
      <c r="Z8099" s="500"/>
      <c r="AA8099" s="500"/>
      <c r="AB8099" s="500"/>
      <c r="AC8099" s="500"/>
      <c r="AD8099" s="500"/>
      <c r="AE8099" s="500"/>
      <c r="AF8099" s="500"/>
      <c r="AG8099" s="500"/>
      <c r="AH8099" s="500"/>
      <c r="AI8099" s="500"/>
      <c r="AJ8099" s="500"/>
      <c r="AK8099" s="500"/>
      <c r="AL8099" s="500"/>
      <c r="AM8099" s="500"/>
      <c r="AN8099" s="500"/>
      <c r="AO8099" s="500"/>
      <c r="AP8099" s="500"/>
    </row>
    <row r="8100" spans="1:42" ht="16.5" customHeight="1">
      <c r="A8100" s="439"/>
      <c r="B8100" s="439"/>
      <c r="C8100" s="439"/>
      <c r="D8100" s="439"/>
      <c r="E8100" s="439"/>
      <c r="F8100" s="439"/>
      <c r="Z8100" s="500"/>
      <c r="AA8100" s="500"/>
      <c r="AB8100" s="500"/>
      <c r="AC8100" s="500"/>
      <c r="AD8100" s="500"/>
      <c r="AE8100" s="500"/>
      <c r="AF8100" s="500"/>
      <c r="AG8100" s="500"/>
      <c r="AH8100" s="500"/>
      <c r="AI8100" s="500"/>
      <c r="AJ8100" s="500"/>
      <c r="AK8100" s="500"/>
      <c r="AL8100" s="500"/>
      <c r="AM8100" s="500"/>
      <c r="AN8100" s="500"/>
      <c r="AO8100" s="500"/>
      <c r="AP8100" s="500"/>
    </row>
    <row r="8101" spans="1:42" ht="16.5" customHeight="1">
      <c r="A8101" s="439"/>
      <c r="B8101" s="439"/>
      <c r="C8101" s="439"/>
      <c r="D8101" s="439"/>
      <c r="E8101" s="439"/>
      <c r="F8101" s="439"/>
      <c r="Z8101" s="500"/>
      <c r="AA8101" s="500"/>
      <c r="AB8101" s="500"/>
      <c r="AC8101" s="500"/>
      <c r="AD8101" s="500"/>
      <c r="AE8101" s="500"/>
      <c r="AF8101" s="500"/>
      <c r="AG8101" s="500"/>
      <c r="AH8101" s="500"/>
      <c r="AI8101" s="500"/>
      <c r="AJ8101" s="500"/>
      <c r="AK8101" s="500"/>
      <c r="AL8101" s="500"/>
      <c r="AM8101" s="500"/>
      <c r="AN8101" s="500"/>
      <c r="AO8101" s="500"/>
      <c r="AP8101" s="500"/>
    </row>
    <row r="8102" spans="1:42" ht="16.5" customHeight="1">
      <c r="A8102" s="439"/>
      <c r="B8102" s="439"/>
      <c r="C8102" s="439"/>
      <c r="D8102" s="439"/>
      <c r="E8102" s="439"/>
      <c r="F8102" s="439"/>
      <c r="Z8102" s="500"/>
      <c r="AA8102" s="500"/>
      <c r="AB8102" s="500"/>
      <c r="AC8102" s="500"/>
      <c r="AD8102" s="500"/>
      <c r="AE8102" s="500"/>
      <c r="AF8102" s="500"/>
      <c r="AG8102" s="500"/>
      <c r="AH8102" s="500"/>
      <c r="AI8102" s="500"/>
      <c r="AJ8102" s="500"/>
      <c r="AK8102" s="500"/>
      <c r="AL8102" s="500"/>
      <c r="AM8102" s="500"/>
      <c r="AN8102" s="500"/>
      <c r="AO8102" s="500"/>
      <c r="AP8102" s="500"/>
    </row>
    <row r="8103" spans="1:42" ht="16.5" customHeight="1">
      <c r="A8103" s="497"/>
      <c r="B8103" s="497"/>
      <c r="C8103" s="497"/>
      <c r="D8103" s="497"/>
      <c r="E8103" s="497"/>
      <c r="F8103" s="497"/>
      <c r="Z8103" s="500"/>
      <c r="AA8103" s="500"/>
      <c r="AB8103" s="500"/>
      <c r="AC8103" s="500"/>
      <c r="AD8103" s="500"/>
      <c r="AE8103" s="500"/>
      <c r="AF8103" s="500"/>
      <c r="AG8103" s="500"/>
      <c r="AH8103" s="500"/>
      <c r="AI8103" s="500"/>
      <c r="AJ8103" s="500"/>
      <c r="AK8103" s="500"/>
      <c r="AL8103" s="500"/>
      <c r="AM8103" s="500"/>
      <c r="AN8103" s="500"/>
      <c r="AO8103" s="500"/>
      <c r="AP8103" s="500"/>
    </row>
    <row r="8104" spans="1:42" ht="16.5" customHeight="1">
      <c r="A8104" s="616" t="s">
        <v>3487</v>
      </c>
      <c r="B8104" s="605"/>
      <c r="C8104" s="446">
        <f>E8104+D8104+F8104</f>
        <v>456</v>
      </c>
      <c r="D8104" s="453">
        <f>ROUNDDOWN(SUMIF(N8057:N8090,M8104,D8057:D8090),0)</f>
        <v>406</v>
      </c>
      <c r="E8104" s="454">
        <f>ROUNDDOWN(SUMIF(N8057:N8090,M8104,E8057:E8090),0)</f>
        <v>50</v>
      </c>
      <c r="F8104" s="446">
        <f>ROUNDDOWN(SUMIF(N8057:N8090,M8104,F8057:F8090),0)</f>
        <v>0</v>
      </c>
      <c r="M8104" s="501" t="s">
        <v>2354</v>
      </c>
      <c r="Z8104" s="500"/>
      <c r="AA8104" s="500"/>
      <c r="AB8104" s="500"/>
      <c r="AC8104" s="500"/>
      <c r="AD8104" s="500"/>
      <c r="AE8104" s="500"/>
      <c r="AF8104" s="500"/>
      <c r="AG8104" s="500"/>
      <c r="AH8104" s="500"/>
      <c r="AI8104" s="500"/>
      <c r="AJ8104" s="500"/>
      <c r="AK8104" s="500"/>
      <c r="AL8104" s="500"/>
      <c r="AM8104" s="500"/>
      <c r="AN8104" s="500"/>
      <c r="AO8104" s="500"/>
      <c r="AP8104" s="500"/>
    </row>
    <row r="8105" spans="1:42" ht="16.5" customHeight="1">
      <c r="A8105" s="502" t="s">
        <v>3383</v>
      </c>
      <c r="B8105" s="503" t="s">
        <v>1794</v>
      </c>
      <c r="C8105" s="615">
        <f>C8154</f>
        <v>233588</v>
      </c>
      <c r="D8105" s="615">
        <f>D8154</f>
        <v>228399</v>
      </c>
      <c r="E8105" s="615">
        <f>E8154</f>
        <v>0</v>
      </c>
      <c r="F8105" s="615">
        <f>F8154</f>
        <v>5189</v>
      </c>
      <c r="G8105" s="486" t="str">
        <f>HYPERLINK("#G"&amp;ROW(G8144),"_x0005_`BDCOD|D01242_x0007_`POSS|"&amp;ROW(G8107)&amp;"_x0007_`POSE|"&amp;ROW(G8144)&amp;"_x0007_`")</f>
        <v>_x0005_`BDCOD|D01242_x0007_`POSS|8107_x0007_`POSE|8144_x0007_`</v>
      </c>
      <c r="Z8105" s="500"/>
      <c r="AA8105" s="500"/>
      <c r="AB8105" s="500"/>
      <c r="AC8105" s="500"/>
      <c r="AD8105" s="500"/>
      <c r="AE8105" s="500"/>
      <c r="AF8105" s="500"/>
      <c r="AG8105" s="500"/>
      <c r="AH8105" s="500"/>
      <c r="AI8105" s="500"/>
      <c r="AJ8105" s="500"/>
      <c r="AK8105" s="500"/>
      <c r="AL8105" s="500"/>
      <c r="AM8105" s="500"/>
      <c r="AN8105" s="500"/>
      <c r="AO8105" s="500"/>
      <c r="AP8105" s="500"/>
    </row>
    <row r="8106" spans="1:42" ht="16.5" customHeight="1">
      <c r="A8106" s="485"/>
      <c r="B8106" s="503" t="s">
        <v>4308</v>
      </c>
      <c r="C8106" s="593"/>
      <c r="D8106" s="593"/>
      <c r="E8106" s="593"/>
      <c r="F8106" s="593"/>
      <c r="M8106" s="501" t="s">
        <v>1794</v>
      </c>
      <c r="Z8106" s="500"/>
      <c r="AA8106" s="500"/>
      <c r="AB8106" s="500"/>
      <c r="AC8106" s="500"/>
      <c r="AD8106" s="500"/>
      <c r="AE8106" s="500"/>
      <c r="AF8106" s="500"/>
      <c r="AG8106" s="500"/>
      <c r="AH8106" s="500"/>
      <c r="AI8106" s="500"/>
      <c r="AJ8106" s="500"/>
      <c r="AK8106" s="500"/>
      <c r="AL8106" s="500"/>
      <c r="AM8106" s="500"/>
      <c r="AN8106" s="500"/>
      <c r="AO8106" s="500"/>
      <c r="AP8106" s="500"/>
    </row>
    <row r="8107" spans="1:42" ht="16.5" customHeight="1">
      <c r="A8107" s="439"/>
      <c r="B8107" s="439"/>
      <c r="C8107" s="504"/>
      <c r="D8107" s="504"/>
      <c r="E8107" s="504"/>
      <c r="F8107" s="504"/>
      <c r="G8107" s="451" t="s">
        <v>3406</v>
      </c>
      <c r="Z8107" s="500"/>
      <c r="AA8107" s="500"/>
      <c r="AB8107" s="500"/>
      <c r="AC8107" s="500"/>
      <c r="AD8107" s="500"/>
      <c r="AE8107" s="500"/>
      <c r="AF8107" s="500"/>
      <c r="AG8107" s="500"/>
      <c r="AH8107" s="500"/>
      <c r="AI8107" s="500"/>
      <c r="AJ8107" s="500"/>
      <c r="AK8107" s="500"/>
      <c r="AL8107" s="500"/>
      <c r="AM8107" s="500"/>
      <c r="AN8107" s="500"/>
      <c r="AO8107" s="500"/>
      <c r="AP8107" s="500"/>
    </row>
    <row r="8108" spans="1:42" ht="16.5" customHeight="1">
      <c r="A8108" s="434"/>
      <c r="B8108" s="437" t="s">
        <v>4309</v>
      </c>
      <c r="C8108" s="439"/>
      <c r="D8108" s="439"/>
      <c r="E8108" s="439"/>
      <c r="F8108" s="439"/>
      <c r="G8108" s="451" t="s">
        <v>4310</v>
      </c>
      <c r="Z8108" s="500"/>
      <c r="AA8108" s="500"/>
      <c r="AB8108" s="500"/>
      <c r="AC8108" s="500"/>
      <c r="AD8108" s="500"/>
      <c r="AE8108" s="500"/>
      <c r="AF8108" s="500"/>
      <c r="AG8108" s="500"/>
      <c r="AH8108" s="500"/>
      <c r="AI8108" s="500"/>
      <c r="AJ8108" s="500"/>
      <c r="AK8108" s="500"/>
      <c r="AL8108" s="500"/>
      <c r="AM8108" s="500"/>
      <c r="AN8108" s="500"/>
      <c r="AO8108" s="500"/>
      <c r="AP8108" s="500"/>
    </row>
    <row r="8109" spans="1:42" ht="16.5" customHeight="1">
      <c r="A8109" s="439"/>
      <c r="B8109" s="439"/>
      <c r="C8109" s="439"/>
      <c r="D8109" s="439"/>
      <c r="E8109" s="439"/>
      <c r="F8109" s="439"/>
      <c r="G8109" s="451" t="s">
        <v>3406</v>
      </c>
      <c r="Z8109" s="500"/>
      <c r="AA8109" s="500"/>
      <c r="AB8109" s="500"/>
      <c r="AC8109" s="500"/>
      <c r="AD8109" s="500"/>
      <c r="AE8109" s="500"/>
      <c r="AF8109" s="500"/>
      <c r="AG8109" s="500"/>
      <c r="AH8109" s="500"/>
      <c r="AI8109" s="500"/>
      <c r="AJ8109" s="500"/>
      <c r="AK8109" s="500"/>
      <c r="AL8109" s="500"/>
      <c r="AM8109" s="500"/>
      <c r="AN8109" s="500"/>
      <c r="AO8109" s="500"/>
      <c r="AP8109" s="500"/>
    </row>
    <row r="8110" spans="1:42" ht="16.5" customHeight="1">
      <c r="A8110" s="434"/>
      <c r="B8110" s="437" t="s">
        <v>4311</v>
      </c>
      <c r="C8110" s="439"/>
      <c r="D8110" s="439"/>
      <c r="E8110" s="439"/>
      <c r="F8110" s="439"/>
      <c r="G8110" s="451" t="s">
        <v>4312</v>
      </c>
      <c r="Z8110" s="500"/>
      <c r="AA8110" s="500"/>
      <c r="AB8110" s="500"/>
      <c r="AC8110" s="500"/>
      <c r="AD8110" s="500"/>
      <c r="AE8110" s="500"/>
      <c r="AF8110" s="500"/>
      <c r="AG8110" s="500"/>
      <c r="AH8110" s="500"/>
      <c r="AI8110" s="500"/>
      <c r="AJ8110" s="500"/>
      <c r="AK8110" s="500"/>
      <c r="AL8110" s="500"/>
      <c r="AM8110" s="500"/>
      <c r="AN8110" s="500"/>
      <c r="AO8110" s="500"/>
      <c r="AP8110" s="500"/>
    </row>
    <row r="8111" spans="1:42" ht="16.5" customHeight="1">
      <c r="A8111" s="439"/>
      <c r="B8111" s="439"/>
      <c r="C8111" s="439"/>
      <c r="D8111" s="439"/>
      <c r="E8111" s="439"/>
      <c r="F8111" s="439"/>
      <c r="G8111" s="451" t="s">
        <v>3406</v>
      </c>
      <c r="Z8111" s="500"/>
      <c r="AA8111" s="500"/>
      <c r="AB8111" s="500"/>
      <c r="AC8111" s="500"/>
      <c r="AD8111" s="500"/>
      <c r="AE8111" s="500"/>
      <c r="AF8111" s="500"/>
      <c r="AG8111" s="500"/>
      <c r="AH8111" s="500"/>
      <c r="AI8111" s="500"/>
      <c r="AJ8111" s="500"/>
      <c r="AK8111" s="500"/>
      <c r="AL8111" s="500"/>
      <c r="AM8111" s="500"/>
      <c r="AN8111" s="500"/>
      <c r="AO8111" s="500"/>
      <c r="AP8111" s="500"/>
    </row>
    <row r="8112" spans="1:42" ht="16.5" customHeight="1">
      <c r="A8112" s="434"/>
      <c r="B8112" s="437" t="str">
        <f>"  일당 작업량 :  Q1 = "&amp;Z8112&amp;" ㎥ "</f>
        <v xml:space="preserve">  일당 작업량 :  Q1 = 2.7 ㎥ </v>
      </c>
      <c r="C8112" s="439"/>
      <c r="D8112" s="439"/>
      <c r="E8112" s="439"/>
      <c r="F8112" s="439"/>
      <c r="G8112" s="451" t="s">
        <v>4313</v>
      </c>
      <c r="Z8112" s="511">
        <v>2.7</v>
      </c>
      <c r="AA8112" s="501" t="s">
        <v>3418</v>
      </c>
      <c r="AB8112" s="512">
        <f>Z8112</f>
        <v>2.7</v>
      </c>
      <c r="AC8112" s="500"/>
      <c r="AD8112" s="500"/>
      <c r="AE8112" s="500"/>
      <c r="AF8112" s="500"/>
      <c r="AG8112" s="500"/>
      <c r="AH8112" s="500"/>
      <c r="AI8112" s="500"/>
      <c r="AJ8112" s="500"/>
      <c r="AK8112" s="500"/>
      <c r="AL8112" s="500"/>
      <c r="AM8112" s="500"/>
      <c r="AN8112" s="500"/>
      <c r="AO8112" s="500"/>
      <c r="AP8112" s="500"/>
    </row>
    <row r="8113" spans="1:42" ht="16.5" customHeight="1">
      <c r="A8113" s="439"/>
      <c r="B8113" s="439"/>
      <c r="C8113" s="439"/>
      <c r="D8113" s="439"/>
      <c r="E8113" s="439"/>
      <c r="F8113" s="439"/>
      <c r="G8113" s="451" t="s">
        <v>3406</v>
      </c>
      <c r="Z8113" s="500"/>
      <c r="AA8113" s="500"/>
      <c r="AB8113" s="500"/>
      <c r="AC8113" s="500"/>
      <c r="AD8113" s="500"/>
      <c r="AE8113" s="500"/>
      <c r="AF8113" s="500"/>
      <c r="AG8113" s="500"/>
      <c r="AH8113" s="500"/>
      <c r="AI8113" s="500"/>
      <c r="AJ8113" s="500"/>
      <c r="AK8113" s="500"/>
      <c r="AL8113" s="500"/>
      <c r="AM8113" s="500"/>
      <c r="AN8113" s="500"/>
      <c r="AO8113" s="500"/>
      <c r="AP8113" s="500"/>
    </row>
    <row r="8114" spans="1:42" ht="16.5" customHeight="1">
      <c r="A8114" s="434"/>
      <c r="B8114" s="437" t="str">
        <f>"  시간당 작업량 :  Q2 = "&amp;Z8114&amp;" / "&amp;AB8114&amp;" = "&amp;AD8114&amp;" ㎥/hr "</f>
        <v xml:space="preserve">  시간당 작업량 :  Q2 = 2.7 / 8 = 0.34 ㎥/hr </v>
      </c>
      <c r="C8114" s="439"/>
      <c r="D8114" s="439"/>
      <c r="E8114" s="439"/>
      <c r="F8114" s="439"/>
      <c r="G8114" s="451" t="s">
        <v>4314</v>
      </c>
      <c r="Z8114" s="511">
        <v>2.7</v>
      </c>
      <c r="AA8114" s="501" t="s">
        <v>3428</v>
      </c>
      <c r="AB8114" s="515">
        <v>8</v>
      </c>
      <c r="AC8114" s="501" t="s">
        <v>3418</v>
      </c>
      <c r="AD8114" s="512" t="str">
        <f>TEXT(ROUND(Z8114/AB8114,2),"#,0.00")</f>
        <v>0.34</v>
      </c>
      <c r="AE8114" s="500"/>
      <c r="AF8114" s="500"/>
      <c r="AG8114" s="500"/>
      <c r="AH8114" s="500"/>
      <c r="AI8114" s="500"/>
      <c r="AJ8114" s="500"/>
      <c r="AK8114" s="500"/>
      <c r="AL8114" s="500"/>
      <c r="AM8114" s="500"/>
      <c r="AN8114" s="500"/>
      <c r="AO8114" s="500"/>
      <c r="AP8114" s="500"/>
    </row>
    <row r="8115" spans="1:42" ht="16.5" customHeight="1">
      <c r="A8115" s="439"/>
      <c r="B8115" s="439"/>
      <c r="C8115" s="439"/>
      <c r="D8115" s="439"/>
      <c r="E8115" s="439"/>
      <c r="F8115" s="439"/>
      <c r="G8115" s="451" t="s">
        <v>3406</v>
      </c>
      <c r="Z8115" s="500"/>
      <c r="AA8115" s="500"/>
      <c r="AB8115" s="500"/>
      <c r="AC8115" s="500"/>
      <c r="AD8115" s="500"/>
      <c r="AE8115" s="500"/>
      <c r="AF8115" s="500"/>
      <c r="AG8115" s="500"/>
      <c r="AH8115" s="500"/>
      <c r="AI8115" s="500"/>
      <c r="AJ8115" s="500"/>
      <c r="AK8115" s="500"/>
      <c r="AL8115" s="500"/>
      <c r="AM8115" s="500"/>
      <c r="AN8115" s="500"/>
      <c r="AO8115" s="500"/>
      <c r="AP8115" s="500"/>
    </row>
    <row r="8116" spans="1:42" ht="16.5" customHeight="1">
      <c r="A8116" s="439"/>
      <c r="B8116" s="439"/>
      <c r="C8116" s="439"/>
      <c r="D8116" s="439"/>
      <c r="E8116" s="439"/>
      <c r="F8116" s="439"/>
      <c r="G8116" s="451" t="s">
        <v>3406</v>
      </c>
      <c r="Z8116" s="500"/>
      <c r="AA8116" s="500"/>
      <c r="AB8116" s="500"/>
      <c r="AC8116" s="500"/>
      <c r="AD8116" s="500"/>
      <c r="AE8116" s="500"/>
      <c r="AF8116" s="500"/>
      <c r="AG8116" s="500"/>
      <c r="AH8116" s="500"/>
      <c r="AI8116" s="500"/>
      <c r="AJ8116" s="500"/>
      <c r="AK8116" s="500"/>
      <c r="AL8116" s="500"/>
      <c r="AM8116" s="500"/>
      <c r="AN8116" s="500"/>
      <c r="AO8116" s="500"/>
      <c r="AP8116" s="500"/>
    </row>
    <row r="8117" spans="1:42" ht="16.5" customHeight="1">
      <c r="A8117" s="434"/>
      <c r="B8117" s="437" t="s">
        <v>4166</v>
      </c>
      <c r="C8117" s="439"/>
      <c r="D8117" s="439"/>
      <c r="E8117" s="439"/>
      <c r="F8117" s="439"/>
      <c r="G8117" s="451" t="s">
        <v>4167</v>
      </c>
      <c r="Z8117" s="500"/>
      <c r="AA8117" s="500"/>
      <c r="AB8117" s="500"/>
      <c r="AC8117" s="500"/>
      <c r="AD8117" s="500"/>
      <c r="AE8117" s="500"/>
      <c r="AF8117" s="500"/>
      <c r="AG8117" s="500"/>
      <c r="AH8117" s="500"/>
      <c r="AI8117" s="500"/>
      <c r="AJ8117" s="500"/>
      <c r="AK8117" s="500"/>
      <c r="AL8117" s="500"/>
      <c r="AM8117" s="500"/>
      <c r="AN8117" s="500"/>
      <c r="AO8117" s="500"/>
      <c r="AP8117" s="500"/>
    </row>
    <row r="8118" spans="1:42" ht="16.5" customHeight="1">
      <c r="A8118" s="439"/>
      <c r="B8118" s="439"/>
      <c r="C8118" s="439"/>
      <c r="D8118" s="439"/>
      <c r="E8118" s="439"/>
      <c r="F8118" s="439"/>
      <c r="G8118" s="451" t="s">
        <v>3406</v>
      </c>
      <c r="Z8118" s="500"/>
      <c r="AA8118" s="500"/>
      <c r="AB8118" s="500"/>
      <c r="AC8118" s="500"/>
      <c r="AD8118" s="500"/>
      <c r="AE8118" s="500"/>
      <c r="AF8118" s="500"/>
      <c r="AG8118" s="500"/>
      <c r="AH8118" s="500"/>
      <c r="AI8118" s="500"/>
      <c r="AJ8118" s="500"/>
      <c r="AK8118" s="500"/>
      <c r="AL8118" s="500"/>
      <c r="AM8118" s="500"/>
      <c r="AN8118" s="500"/>
      <c r="AO8118" s="500"/>
      <c r="AP8118" s="500"/>
    </row>
    <row r="8119" spans="1:42" ht="16.5" customHeight="1">
      <c r="A8119" s="434" t="s">
        <v>4315</v>
      </c>
      <c r="B8119" s="505" t="str">
        <f>"   착 암 공 : "&amp;TEXT(I8119,"#,##0"&amp;IF(I8119&lt;&gt;INT(I8119),".###",""))&amp;" * "&amp;AA8119&amp;" 인  / Q1 = "&amp;TEXT(C8119,"#,##0.0")&amp;" "</f>
        <v xml:space="preserve">   착 암 공 : 222,306 * 2 인  / Q1 = 164,671.1 </v>
      </c>
      <c r="C8119" s="506">
        <f>E8119+D8119+F8119</f>
        <v>164671.1</v>
      </c>
      <c r="D8119" s="506">
        <f>IF(H8119=0,0,ROUNDDOWN(J8119*H8119,1))</f>
        <v>164671.1</v>
      </c>
      <c r="E8119" s="506">
        <f>IF(H8119=0,0,ROUNDDOWN(K8119*H8119,1))</f>
        <v>0</v>
      </c>
      <c r="F8119" s="506">
        <f>IF(H8119=0,0,ROUNDDOWN(L8119*H8119,1))</f>
        <v>0</v>
      </c>
      <c r="G8119" s="451" t="s">
        <v>4316</v>
      </c>
      <c r="H8119" s="507">
        <f>ROUNDUP(AE8119,14-LEN(ABS(INT(AE8119))))</f>
        <v>0.74074074074079999</v>
      </c>
      <c r="I8119" s="508">
        <f>K8119+J8119+L8119</f>
        <v>222306</v>
      </c>
      <c r="J8119" s="509">
        <f>노무비목록표!E16</f>
        <v>222306</v>
      </c>
      <c r="M8119" s="501" t="s">
        <v>4317</v>
      </c>
      <c r="N8119" s="501" t="s">
        <v>3416</v>
      </c>
      <c r="O8119" s="501" t="s">
        <v>2355</v>
      </c>
      <c r="X8119" s="510" t="str">
        <f>노무비목록표!B16&amp;" / "&amp;노무비목록표!C16</f>
        <v xml:space="preserve">착암공 / </v>
      </c>
      <c r="Y8119" s="433" t="str">
        <f ca="1">HYPERLINK("#"&amp;노무비목록표!G2&amp;"!A"&amp;ROW(노무비목록표!A16),"L00209 →")</f>
        <v>L00209 →</v>
      </c>
      <c r="Z8119" s="501" t="s">
        <v>3500</v>
      </c>
      <c r="AA8119" s="515">
        <v>2</v>
      </c>
      <c r="AB8119" s="501" t="s">
        <v>3428</v>
      </c>
      <c r="AC8119" s="512">
        <f>AB8112</f>
        <v>2.7</v>
      </c>
      <c r="AD8119" s="501" t="s">
        <v>3418</v>
      </c>
      <c r="AE8119" s="512">
        <f>1*AA8119/AB8112</f>
        <v>0.7407407407407407</v>
      </c>
      <c r="AF8119" s="500"/>
      <c r="AG8119" s="500"/>
      <c r="AH8119" s="500"/>
      <c r="AI8119" s="500"/>
      <c r="AJ8119" s="500"/>
      <c r="AK8119" s="500"/>
      <c r="AL8119" s="500"/>
      <c r="AM8119" s="500"/>
      <c r="AN8119" s="500"/>
      <c r="AO8119" s="500"/>
      <c r="AP8119" s="500"/>
    </row>
    <row r="8120" spans="1:42" ht="16.5" customHeight="1">
      <c r="A8120" s="439"/>
      <c r="B8120" s="439"/>
      <c r="C8120" s="439"/>
      <c r="D8120" s="439"/>
      <c r="E8120" s="439"/>
      <c r="F8120" s="439"/>
      <c r="G8120" s="451" t="s">
        <v>3406</v>
      </c>
      <c r="Z8120" s="500"/>
      <c r="AA8120" s="500"/>
      <c r="AB8120" s="500"/>
      <c r="AC8120" s="500"/>
      <c r="AD8120" s="500"/>
      <c r="AE8120" s="500"/>
      <c r="AF8120" s="500"/>
      <c r="AG8120" s="500"/>
      <c r="AH8120" s="500"/>
      <c r="AI8120" s="500"/>
      <c r="AJ8120" s="500"/>
      <c r="AK8120" s="500"/>
      <c r="AL8120" s="500"/>
      <c r="AM8120" s="500"/>
      <c r="AN8120" s="500"/>
      <c r="AO8120" s="500"/>
      <c r="AP8120" s="500"/>
    </row>
    <row r="8121" spans="1:42" ht="16.5" customHeight="1">
      <c r="A8121" s="434" t="s">
        <v>3414</v>
      </c>
      <c r="B8121" s="505" t="str">
        <f>"   보통인부 : "&amp;TEXT(I8121,"#,##0"&amp;IF(I8121&lt;&gt;INT(I8121),".###",""))&amp;" * "&amp;AA8121&amp;" 인  / Q1 = "&amp;TEXT(C8121,"#,##0.0")&amp;" "</f>
        <v xml:space="preserve">   보통인부 : 172,068 * 1 인  / Q1 = 63,728.8 </v>
      </c>
      <c r="C8121" s="506">
        <f>E8121+D8121+F8121</f>
        <v>63728.800000000003</v>
      </c>
      <c r="D8121" s="506">
        <f>IF(H8121=0,0,ROUNDDOWN(J8121*H8121,1))</f>
        <v>63728.800000000003</v>
      </c>
      <c r="E8121" s="506">
        <f>IF(H8121=0,0,ROUNDDOWN(K8121*H8121,1))</f>
        <v>0</v>
      </c>
      <c r="F8121" s="506">
        <f>IF(H8121=0,0,ROUNDDOWN(L8121*H8121,1))</f>
        <v>0</v>
      </c>
      <c r="G8121" s="451" t="s">
        <v>4318</v>
      </c>
      <c r="H8121" s="507">
        <f>ROUNDUP(AE8121,14-LEN(ABS(INT(AE8121))))</f>
        <v>0.37037037037039999</v>
      </c>
      <c r="I8121" s="508">
        <f>K8121+J8121+L8121</f>
        <v>172068</v>
      </c>
      <c r="J8121" s="509">
        <f>노무비목록표!E10</f>
        <v>172068</v>
      </c>
      <c r="M8121" s="501" t="s">
        <v>2363</v>
      </c>
      <c r="N8121" s="501" t="s">
        <v>3416</v>
      </c>
      <c r="O8121" s="501" t="s">
        <v>2355</v>
      </c>
      <c r="X8121" s="510" t="str">
        <f>노무비목록표!B10&amp;" / "&amp;노무비목록표!C10</f>
        <v xml:space="preserve">보통인부 / </v>
      </c>
      <c r="Y8121" s="433" t="str">
        <f ca="1">HYPERLINK("#"&amp;노무비목록표!G2&amp;"!A"&amp;ROW(노무비목록표!A10),"L00017 →")</f>
        <v>L00017 →</v>
      </c>
      <c r="Z8121" s="501" t="s">
        <v>3500</v>
      </c>
      <c r="AA8121" s="515">
        <v>1</v>
      </c>
      <c r="AB8121" s="501" t="s">
        <v>3428</v>
      </c>
      <c r="AC8121" s="512">
        <f>AB8112</f>
        <v>2.7</v>
      </c>
      <c r="AD8121" s="501" t="s">
        <v>3418</v>
      </c>
      <c r="AE8121" s="512">
        <f>1*AA8121/AB8112</f>
        <v>0.37037037037037035</v>
      </c>
      <c r="AF8121" s="500"/>
      <c r="AG8121" s="500"/>
      <c r="AH8121" s="500"/>
      <c r="AI8121" s="500"/>
      <c r="AJ8121" s="500"/>
      <c r="AK8121" s="500"/>
      <c r="AL8121" s="500"/>
      <c r="AM8121" s="500"/>
      <c r="AN8121" s="500"/>
      <c r="AO8121" s="500"/>
      <c r="AP8121" s="500"/>
    </row>
    <row r="8122" spans="1:42" ht="16.5" customHeight="1">
      <c r="A8122" s="439"/>
      <c r="B8122" s="439"/>
      <c r="C8122" s="439"/>
      <c r="D8122" s="439"/>
      <c r="E8122" s="439"/>
      <c r="F8122" s="439"/>
      <c r="G8122" s="451" t="s">
        <v>3406</v>
      </c>
      <c r="Z8122" s="500"/>
      <c r="AA8122" s="500"/>
      <c r="AB8122" s="500"/>
      <c r="AC8122" s="500"/>
      <c r="AD8122" s="500"/>
      <c r="AE8122" s="500"/>
      <c r="AF8122" s="500"/>
      <c r="AG8122" s="500"/>
      <c r="AH8122" s="500"/>
      <c r="AI8122" s="500"/>
      <c r="AJ8122" s="500"/>
      <c r="AK8122" s="500"/>
      <c r="AL8122" s="500"/>
      <c r="AM8122" s="500"/>
      <c r="AN8122" s="500"/>
      <c r="AO8122" s="500"/>
      <c r="AP8122" s="500"/>
    </row>
    <row r="8123" spans="1:42" ht="16.5" customHeight="1">
      <c r="A8123" s="434"/>
      <c r="B8123" s="437" t="s">
        <v>3419</v>
      </c>
      <c r="C8123" s="513">
        <f>E8123+D8123+F8123</f>
        <v>228399.90000000002</v>
      </c>
      <c r="D8123" s="513">
        <f>SUMIF(N8107:N8122,M8123,D8107:D8122)</f>
        <v>228399.90000000002</v>
      </c>
      <c r="E8123" s="513">
        <f>SUMIF(N8107:N8122,M8123,E8107:E8122)</f>
        <v>0</v>
      </c>
      <c r="F8123" s="513">
        <f>SUMIF(N8107:N8122,M8123,F8107:F8122)</f>
        <v>0</v>
      </c>
      <c r="G8123" s="451" t="s">
        <v>3420</v>
      </c>
      <c r="M8123" s="501" t="s">
        <v>3416</v>
      </c>
      <c r="N8123" s="501" t="s">
        <v>3421</v>
      </c>
      <c r="Z8123" s="500"/>
      <c r="AA8123" s="500"/>
      <c r="AB8123" s="500"/>
      <c r="AC8123" s="500"/>
      <c r="AD8123" s="500"/>
      <c r="AE8123" s="500"/>
      <c r="AF8123" s="500"/>
      <c r="AG8123" s="500"/>
      <c r="AH8123" s="500"/>
      <c r="AI8123" s="500"/>
      <c r="AJ8123" s="500"/>
      <c r="AK8123" s="500"/>
      <c r="AL8123" s="500"/>
      <c r="AM8123" s="500"/>
      <c r="AN8123" s="500"/>
      <c r="AO8123" s="500"/>
      <c r="AP8123" s="500"/>
    </row>
    <row r="8124" spans="1:42" ht="16.5" customHeight="1">
      <c r="A8124" s="439"/>
      <c r="B8124" s="439"/>
      <c r="C8124" s="504"/>
      <c r="D8124" s="504"/>
      <c r="E8124" s="504"/>
      <c r="F8124" s="504"/>
      <c r="G8124" s="451" t="s">
        <v>3406</v>
      </c>
      <c r="Z8124" s="500"/>
      <c r="AA8124" s="500"/>
      <c r="AB8124" s="500"/>
      <c r="AC8124" s="500"/>
      <c r="AD8124" s="500"/>
      <c r="AE8124" s="500"/>
      <c r="AF8124" s="500"/>
      <c r="AG8124" s="500"/>
      <c r="AH8124" s="500"/>
      <c r="AI8124" s="500"/>
      <c r="AJ8124" s="500"/>
      <c r="AK8124" s="500"/>
      <c r="AL8124" s="500"/>
      <c r="AM8124" s="500"/>
      <c r="AN8124" s="500"/>
      <c r="AO8124" s="500"/>
      <c r="AP8124" s="500"/>
    </row>
    <row r="8125" spans="1:42" ht="16.5" customHeight="1">
      <c r="A8125" s="439"/>
      <c r="B8125" s="439"/>
      <c r="C8125" s="439"/>
      <c r="D8125" s="439"/>
      <c r="E8125" s="439"/>
      <c r="F8125" s="439"/>
      <c r="G8125" s="451" t="s">
        <v>3406</v>
      </c>
      <c r="Z8125" s="500"/>
      <c r="AA8125" s="500"/>
      <c r="AB8125" s="500"/>
      <c r="AC8125" s="500"/>
      <c r="AD8125" s="500"/>
      <c r="AE8125" s="500"/>
      <c r="AF8125" s="500"/>
      <c r="AG8125" s="500"/>
      <c r="AH8125" s="500"/>
      <c r="AI8125" s="500"/>
      <c r="AJ8125" s="500"/>
      <c r="AK8125" s="500"/>
      <c r="AL8125" s="500"/>
      <c r="AM8125" s="500"/>
      <c r="AN8125" s="500"/>
      <c r="AO8125" s="500"/>
      <c r="AP8125" s="500"/>
    </row>
    <row r="8126" spans="1:42" ht="16.5" customHeight="1">
      <c r="A8126" s="434"/>
      <c r="B8126" s="437" t="s">
        <v>4319</v>
      </c>
      <c r="C8126" s="439"/>
      <c r="D8126" s="439"/>
      <c r="E8126" s="439"/>
      <c r="F8126" s="439"/>
      <c r="G8126" s="451" t="s">
        <v>4320</v>
      </c>
      <c r="Z8126" s="500"/>
      <c r="AA8126" s="500"/>
      <c r="AB8126" s="500"/>
      <c r="AC8126" s="500"/>
      <c r="AD8126" s="500"/>
      <c r="AE8126" s="500"/>
      <c r="AF8126" s="500"/>
      <c r="AG8126" s="500"/>
      <c r="AH8126" s="500"/>
      <c r="AI8126" s="500"/>
      <c r="AJ8126" s="500"/>
      <c r="AK8126" s="500"/>
      <c r="AL8126" s="500"/>
      <c r="AM8126" s="500"/>
      <c r="AN8126" s="500"/>
      <c r="AO8126" s="500"/>
      <c r="AP8126" s="500"/>
    </row>
    <row r="8127" spans="1:42" ht="16.5" customHeight="1">
      <c r="A8127" s="439"/>
      <c r="B8127" s="439"/>
      <c r="C8127" s="439"/>
      <c r="D8127" s="439"/>
      <c r="E8127" s="439"/>
      <c r="F8127" s="439"/>
      <c r="G8127" s="451" t="s">
        <v>3406</v>
      </c>
      <c r="Z8127" s="500"/>
      <c r="AA8127" s="500"/>
      <c r="AB8127" s="500"/>
      <c r="AC8127" s="500"/>
      <c r="AD8127" s="500"/>
      <c r="AE8127" s="500"/>
      <c r="AF8127" s="500"/>
      <c r="AG8127" s="500"/>
      <c r="AH8127" s="500"/>
      <c r="AI8127" s="500"/>
      <c r="AJ8127" s="500"/>
      <c r="AK8127" s="500"/>
      <c r="AL8127" s="500"/>
      <c r="AM8127" s="500"/>
      <c r="AN8127" s="500"/>
      <c r="AO8127" s="500"/>
      <c r="AP8127" s="500"/>
    </row>
    <row r="8128" spans="1:42" ht="16.5" customHeight="1">
      <c r="A8128" s="434" t="s">
        <v>4321</v>
      </c>
      <c r="B8128" s="505" t="str">
        <f>" 노 무 비 :  "&amp;TEXT(I8128,"#,##0"&amp;IF(I8128&lt;&gt;INT(I8128),".###",""))&amp;" / Q2 * "&amp;AC8128&amp;" 대  = "&amp;TEXT(C8128,"#,##0.0")&amp;""</f>
        <v xml:space="preserve"> 노 무 비 :  0 / Q2 * 2 대  = 0.0</v>
      </c>
      <c r="C8128" s="506">
        <f>E8128+D8128+F8128</f>
        <v>0</v>
      </c>
      <c r="D8128" s="506">
        <f>IF(H8128=0,0,ROUNDDOWN(J8128*H8128,1))</f>
        <v>0</v>
      </c>
      <c r="E8128" s="506">
        <f>IF(H8128=0,0,ROUNDDOWN(K8128*H8128,1))</f>
        <v>0</v>
      </c>
      <c r="F8128" s="506">
        <f>IF(H8128=0,0,ROUNDDOWN(L8128*H8128,1))</f>
        <v>0</v>
      </c>
      <c r="G8128" s="451" t="s">
        <v>4322</v>
      </c>
      <c r="H8128" s="507">
        <f>ROUNDUP(AE8128,14-LEN(ABS(INT(AE8128))))</f>
        <v>5.8823529411765003</v>
      </c>
      <c r="I8128" s="508">
        <f>K8128+J8128+L8128</f>
        <v>0</v>
      </c>
      <c r="J8128" s="509">
        <f>중기목록표!F16</f>
        <v>0</v>
      </c>
      <c r="M8128" s="501" t="s">
        <v>4323</v>
      </c>
      <c r="N8128" s="501" t="s">
        <v>3416</v>
      </c>
      <c r="X8128" s="510" t="str">
        <f>중기목록표!B16&amp;" / "&amp;중기목록표!C16</f>
        <v>소형브레이커(공압식) / 1.3㎥/min</v>
      </c>
      <c r="Y8128" s="433" t="str">
        <f ca="1">HYPERLINK("#"&amp;중기목록표!J2&amp;"!A"&amp;ROW(중기목록표!A16),"X00321 →")</f>
        <v>X00321 →</v>
      </c>
      <c r="Z8128" s="501" t="s">
        <v>3434</v>
      </c>
      <c r="AA8128" s="512" t="str">
        <f>AD8114</f>
        <v>0.34</v>
      </c>
      <c r="AB8128" s="501" t="s">
        <v>3368</v>
      </c>
      <c r="AC8128" s="515">
        <v>2</v>
      </c>
      <c r="AD8128" s="501" t="s">
        <v>3418</v>
      </c>
      <c r="AE8128" s="512">
        <f>1/AD8114*AC8128</f>
        <v>5.8823529411764701</v>
      </c>
      <c r="AF8128" s="500"/>
      <c r="AG8128" s="500"/>
      <c r="AH8128" s="500"/>
      <c r="AI8128" s="500"/>
      <c r="AJ8128" s="500"/>
      <c r="AK8128" s="500"/>
      <c r="AL8128" s="500"/>
      <c r="AM8128" s="500"/>
      <c r="AN8128" s="500"/>
      <c r="AO8128" s="500"/>
      <c r="AP8128" s="500"/>
    </row>
    <row r="8129" spans="1:42" ht="16.5" customHeight="1">
      <c r="A8129" s="439"/>
      <c r="B8129" s="439"/>
      <c r="C8129" s="439"/>
      <c r="D8129" s="439"/>
      <c r="E8129" s="439"/>
      <c r="F8129" s="439"/>
      <c r="G8129" s="451" t="s">
        <v>3406</v>
      </c>
      <c r="Z8129" s="500"/>
      <c r="AA8129" s="500"/>
      <c r="AB8129" s="500"/>
      <c r="AC8129" s="500"/>
      <c r="AD8129" s="500"/>
      <c r="AE8129" s="500"/>
      <c r="AF8129" s="500"/>
      <c r="AG8129" s="500"/>
      <c r="AH8129" s="500"/>
      <c r="AI8129" s="500"/>
      <c r="AJ8129" s="500"/>
      <c r="AK8129" s="500"/>
      <c r="AL8129" s="500"/>
      <c r="AM8129" s="500"/>
      <c r="AN8129" s="500"/>
      <c r="AO8129" s="500"/>
      <c r="AP8129" s="500"/>
    </row>
    <row r="8130" spans="1:42" ht="16.5" customHeight="1">
      <c r="A8130" s="434" t="s">
        <v>4324</v>
      </c>
      <c r="B8130" s="505" t="str">
        <f>" 재 료 비 :  "&amp;TEXT(I8130,"#,##0"&amp;IF(I8130&lt;&gt;INT(I8130),".###",""))&amp;" / Q2 * "&amp;AC8130&amp;" 대  = "&amp;TEXT(C8130,"#,##0.0")&amp;""</f>
        <v xml:space="preserve"> 재 료 비 :  0 / Q2 * 2 대  = 0.0</v>
      </c>
      <c r="C8130" s="506">
        <f>E8130+D8130+F8130</f>
        <v>0</v>
      </c>
      <c r="D8130" s="506">
        <f>IF(H8130=0,0,ROUNDDOWN(J8130*H8130,1))</f>
        <v>0</v>
      </c>
      <c r="E8130" s="506">
        <f>IF(H8130=0,0,ROUNDDOWN(K8130*H8130,1))</f>
        <v>0</v>
      </c>
      <c r="F8130" s="506">
        <f>IF(H8130=0,0,ROUNDDOWN(L8130*H8130,1))</f>
        <v>0</v>
      </c>
      <c r="G8130" s="451" t="s">
        <v>4325</v>
      </c>
      <c r="H8130" s="507">
        <f>ROUNDUP(AE8130,14-LEN(ABS(INT(AE8130))))</f>
        <v>5.8823529411765003</v>
      </c>
      <c r="I8130" s="508">
        <f>K8130+J8130+L8130</f>
        <v>0</v>
      </c>
      <c r="K8130" s="509">
        <f>중기목록표!G16</f>
        <v>0</v>
      </c>
      <c r="M8130" s="501" t="s">
        <v>4323</v>
      </c>
      <c r="N8130" s="501" t="s">
        <v>3416</v>
      </c>
      <c r="X8130" s="510" t="str">
        <f>중기목록표!B16&amp;" / "&amp;중기목록표!C16</f>
        <v>소형브레이커(공압식) / 1.3㎥/min</v>
      </c>
      <c r="Y8130" s="433" t="str">
        <f ca="1">HYPERLINK("#"&amp;중기목록표!J2&amp;"!A"&amp;ROW(중기목록표!A16),"X00321 →")</f>
        <v>X00321 →</v>
      </c>
      <c r="Z8130" s="501" t="s">
        <v>3434</v>
      </c>
      <c r="AA8130" s="512" t="str">
        <f>AD8114</f>
        <v>0.34</v>
      </c>
      <c r="AB8130" s="501" t="s">
        <v>3368</v>
      </c>
      <c r="AC8130" s="515">
        <v>2</v>
      </c>
      <c r="AD8130" s="501" t="s">
        <v>3418</v>
      </c>
      <c r="AE8130" s="512">
        <f>1/AD8114*AC8130</f>
        <v>5.8823529411764701</v>
      </c>
      <c r="AF8130" s="500"/>
      <c r="AG8130" s="500"/>
      <c r="AH8130" s="500"/>
      <c r="AI8130" s="500"/>
      <c r="AJ8130" s="500"/>
      <c r="AK8130" s="500"/>
      <c r="AL8130" s="500"/>
      <c r="AM8130" s="500"/>
      <c r="AN8130" s="500"/>
      <c r="AO8130" s="500"/>
      <c r="AP8130" s="500"/>
    </row>
    <row r="8131" spans="1:42" ht="16.5" customHeight="1">
      <c r="A8131" s="439"/>
      <c r="B8131" s="439"/>
      <c r="C8131" s="439"/>
      <c r="D8131" s="439"/>
      <c r="E8131" s="439"/>
      <c r="F8131" s="439"/>
      <c r="G8131" s="451" t="s">
        <v>3406</v>
      </c>
      <c r="Z8131" s="500"/>
      <c r="AA8131" s="500"/>
      <c r="AB8131" s="500"/>
      <c r="AC8131" s="500"/>
      <c r="AD8131" s="500"/>
      <c r="AE8131" s="500"/>
      <c r="AF8131" s="500"/>
      <c r="AG8131" s="500"/>
      <c r="AH8131" s="500"/>
      <c r="AI8131" s="500"/>
      <c r="AJ8131" s="500"/>
      <c r="AK8131" s="500"/>
      <c r="AL8131" s="500"/>
      <c r="AM8131" s="500"/>
      <c r="AN8131" s="500"/>
      <c r="AO8131" s="500"/>
      <c r="AP8131" s="500"/>
    </row>
    <row r="8132" spans="1:42" ht="16.5" customHeight="1">
      <c r="A8132" s="434" t="s">
        <v>4326</v>
      </c>
      <c r="B8132" s="505" t="str">
        <f>" 경    비 :  "&amp;TEXT(I8132,"#,##0"&amp;IF(I8132&lt;&gt;INT(I8132),".###",""))&amp;" / Q2 * "&amp;AC8132&amp;" 대  = "&amp;TEXT(C8132,"#,##0.0")&amp;""</f>
        <v xml:space="preserve"> 경    비 :  494 / Q2 * 2 대  = 2,905.8</v>
      </c>
      <c r="C8132" s="506">
        <f>E8132+D8132+F8132</f>
        <v>2905.8</v>
      </c>
      <c r="D8132" s="506">
        <f>IF(H8132=0,0,ROUNDDOWN(J8132*H8132,1))</f>
        <v>0</v>
      </c>
      <c r="E8132" s="506">
        <f>IF(H8132=0,0,ROUNDDOWN(K8132*H8132,1))</f>
        <v>0</v>
      </c>
      <c r="F8132" s="506">
        <f>IF(H8132=0,0,ROUNDDOWN(L8132*H8132,1))</f>
        <v>2905.8</v>
      </c>
      <c r="G8132" s="451" t="s">
        <v>4327</v>
      </c>
      <c r="H8132" s="507">
        <f>ROUNDUP(AE8132,14-LEN(ABS(INT(AE8132))))</f>
        <v>5.8823529411765003</v>
      </c>
      <c r="I8132" s="508">
        <f>K8132+J8132+L8132</f>
        <v>494</v>
      </c>
      <c r="L8132" s="509">
        <f>중기목록표!H16</f>
        <v>494</v>
      </c>
      <c r="M8132" s="501" t="s">
        <v>4323</v>
      </c>
      <c r="N8132" s="501" t="s">
        <v>3416</v>
      </c>
      <c r="X8132" s="510" t="str">
        <f>중기목록표!B16&amp;" / "&amp;중기목록표!C16</f>
        <v>소형브레이커(공압식) / 1.3㎥/min</v>
      </c>
      <c r="Y8132" s="433" t="str">
        <f ca="1">HYPERLINK("#"&amp;중기목록표!J2&amp;"!A"&amp;ROW(중기목록표!A16),"X00321 →")</f>
        <v>X00321 →</v>
      </c>
      <c r="Z8132" s="501" t="s">
        <v>3434</v>
      </c>
      <c r="AA8132" s="512" t="str">
        <f>AD8114</f>
        <v>0.34</v>
      </c>
      <c r="AB8132" s="501" t="s">
        <v>3368</v>
      </c>
      <c r="AC8132" s="515">
        <v>2</v>
      </c>
      <c r="AD8132" s="501" t="s">
        <v>3418</v>
      </c>
      <c r="AE8132" s="512">
        <f>1/AD8114*AC8132</f>
        <v>5.8823529411764701</v>
      </c>
      <c r="AF8132" s="500"/>
      <c r="AG8132" s="500"/>
      <c r="AH8132" s="500"/>
      <c r="AI8132" s="500"/>
      <c r="AJ8132" s="500"/>
      <c r="AK8132" s="500"/>
      <c r="AL8132" s="500"/>
      <c r="AM8132" s="500"/>
      <c r="AN8132" s="500"/>
      <c r="AO8132" s="500"/>
      <c r="AP8132" s="500"/>
    </row>
    <row r="8133" spans="1:42" ht="16.5" customHeight="1">
      <c r="A8133" s="439"/>
      <c r="B8133" s="439"/>
      <c r="C8133" s="439"/>
      <c r="D8133" s="439"/>
      <c r="E8133" s="439"/>
      <c r="F8133" s="439"/>
      <c r="G8133" s="451" t="s">
        <v>3406</v>
      </c>
      <c r="Z8133" s="500"/>
      <c r="AA8133" s="500"/>
      <c r="AB8133" s="500"/>
      <c r="AC8133" s="500"/>
      <c r="AD8133" s="500"/>
      <c r="AE8133" s="500"/>
      <c r="AF8133" s="500"/>
      <c r="AG8133" s="500"/>
      <c r="AH8133" s="500"/>
      <c r="AI8133" s="500"/>
      <c r="AJ8133" s="500"/>
      <c r="AK8133" s="500"/>
      <c r="AL8133" s="500"/>
      <c r="AM8133" s="500"/>
      <c r="AN8133" s="500"/>
      <c r="AO8133" s="500"/>
      <c r="AP8133" s="500"/>
    </row>
    <row r="8134" spans="1:42" ht="16.5" customHeight="1">
      <c r="A8134" s="434"/>
      <c r="B8134" s="437" t="s">
        <v>3419</v>
      </c>
      <c r="C8134" s="513">
        <f>E8134+D8134+F8134</f>
        <v>2905.8</v>
      </c>
      <c r="D8134" s="513">
        <f>SUMIF(N8124:N8133,M8134,D8124:D8133)</f>
        <v>0</v>
      </c>
      <c r="E8134" s="513">
        <f>SUMIF(N8124:N8133,M8134,E8124:E8133)</f>
        <v>0</v>
      </c>
      <c r="F8134" s="513">
        <f>SUMIF(N8124:N8133,M8134,F8124:F8133)</f>
        <v>2905.8</v>
      </c>
      <c r="G8134" s="451" t="s">
        <v>3420</v>
      </c>
      <c r="M8134" s="501" t="s">
        <v>3416</v>
      </c>
      <c r="N8134" s="501" t="s">
        <v>3421</v>
      </c>
      <c r="Z8134" s="500"/>
      <c r="AA8134" s="500"/>
      <c r="AB8134" s="500"/>
      <c r="AC8134" s="500"/>
      <c r="AD8134" s="500"/>
      <c r="AE8134" s="500"/>
      <c r="AF8134" s="500"/>
      <c r="AG8134" s="500"/>
      <c r="AH8134" s="500"/>
      <c r="AI8134" s="500"/>
      <c r="AJ8134" s="500"/>
      <c r="AK8134" s="500"/>
      <c r="AL8134" s="500"/>
      <c r="AM8134" s="500"/>
      <c r="AN8134" s="500"/>
      <c r="AO8134" s="500"/>
      <c r="AP8134" s="500"/>
    </row>
    <row r="8135" spans="1:42" ht="16.5" customHeight="1">
      <c r="A8135" s="439"/>
      <c r="B8135" s="439"/>
      <c r="C8135" s="504"/>
      <c r="D8135" s="504"/>
      <c r="E8135" s="504"/>
      <c r="F8135" s="504"/>
      <c r="G8135" s="451" t="s">
        <v>3406</v>
      </c>
      <c r="Z8135" s="500"/>
      <c r="AA8135" s="500"/>
      <c r="AB8135" s="500"/>
      <c r="AC8135" s="500"/>
      <c r="AD8135" s="500"/>
      <c r="AE8135" s="500"/>
      <c r="AF8135" s="500"/>
      <c r="AG8135" s="500"/>
      <c r="AH8135" s="500"/>
      <c r="AI8135" s="500"/>
      <c r="AJ8135" s="500"/>
      <c r="AK8135" s="500"/>
      <c r="AL8135" s="500"/>
      <c r="AM8135" s="500"/>
      <c r="AN8135" s="500"/>
      <c r="AO8135" s="500"/>
      <c r="AP8135" s="500"/>
    </row>
    <row r="8136" spans="1:42" ht="16.5" customHeight="1">
      <c r="A8136" s="439"/>
      <c r="B8136" s="439"/>
      <c r="C8136" s="439"/>
      <c r="D8136" s="439"/>
      <c r="E8136" s="439"/>
      <c r="F8136" s="439"/>
      <c r="G8136" s="451" t="s">
        <v>3406</v>
      </c>
      <c r="Z8136" s="500"/>
      <c r="AA8136" s="500"/>
      <c r="AB8136" s="500"/>
      <c r="AC8136" s="500"/>
      <c r="AD8136" s="500"/>
      <c r="AE8136" s="500"/>
      <c r="AF8136" s="500"/>
      <c r="AG8136" s="500"/>
      <c r="AH8136" s="500"/>
      <c r="AI8136" s="500"/>
      <c r="AJ8136" s="500"/>
      <c r="AK8136" s="500"/>
      <c r="AL8136" s="500"/>
      <c r="AM8136" s="500"/>
      <c r="AN8136" s="500"/>
      <c r="AO8136" s="500"/>
      <c r="AP8136" s="500"/>
    </row>
    <row r="8137" spans="1:42" ht="16.5" customHeight="1">
      <c r="A8137" s="434"/>
      <c r="B8137" s="437" t="s">
        <v>4328</v>
      </c>
      <c r="C8137" s="439"/>
      <c r="D8137" s="439"/>
      <c r="E8137" s="439"/>
      <c r="F8137" s="439"/>
      <c r="G8137" s="451" t="s">
        <v>4329</v>
      </c>
      <c r="Z8137" s="500"/>
      <c r="AA8137" s="500"/>
      <c r="AB8137" s="500"/>
      <c r="AC8137" s="500"/>
      <c r="AD8137" s="500"/>
      <c r="AE8137" s="500"/>
      <c r="AF8137" s="500"/>
      <c r="AG8137" s="500"/>
      <c r="AH8137" s="500"/>
      <c r="AI8137" s="500"/>
      <c r="AJ8137" s="500"/>
      <c r="AK8137" s="500"/>
      <c r="AL8137" s="500"/>
      <c r="AM8137" s="500"/>
      <c r="AN8137" s="500"/>
      <c r="AO8137" s="500"/>
      <c r="AP8137" s="500"/>
    </row>
    <row r="8138" spans="1:42" ht="16.5" customHeight="1">
      <c r="A8138" s="439"/>
      <c r="B8138" s="439"/>
      <c r="C8138" s="439"/>
      <c r="D8138" s="439"/>
      <c r="E8138" s="439"/>
      <c r="F8138" s="439"/>
      <c r="G8138" s="451" t="s">
        <v>3406</v>
      </c>
      <c r="Z8138" s="500"/>
      <c r="AA8138" s="500"/>
      <c r="AB8138" s="500"/>
      <c r="AC8138" s="500"/>
      <c r="AD8138" s="500"/>
      <c r="AE8138" s="500"/>
      <c r="AF8138" s="500"/>
      <c r="AG8138" s="500"/>
      <c r="AH8138" s="500"/>
      <c r="AI8138" s="500"/>
      <c r="AJ8138" s="500"/>
      <c r="AK8138" s="500"/>
      <c r="AL8138" s="500"/>
      <c r="AM8138" s="500"/>
      <c r="AN8138" s="500"/>
      <c r="AO8138" s="500"/>
      <c r="AP8138" s="500"/>
    </row>
    <row r="8139" spans="1:42" ht="16.5" customHeight="1">
      <c r="A8139" s="434"/>
      <c r="B8139" s="505" t="str">
        <f>"  잡재료비 : "&amp;TEXT(I8139,"#,##0.0")&amp;" * "&amp;AA8139&amp;" %  = "&amp;TEXT(C8139,"#,##0.0")&amp;""</f>
        <v xml:space="preserve">  잡재료비 : 228,399.9 * 1 %  = 2,283.9</v>
      </c>
      <c r="C8139" s="506">
        <f>E8139+D8139+F8139</f>
        <v>2283.9</v>
      </c>
      <c r="D8139" s="506">
        <f>IF(H8139=0,0,ROUNDDOWN(J8139*H8139/100,1))</f>
        <v>0</v>
      </c>
      <c r="E8139" s="506">
        <f>IF(H8139=0,0,ROUNDDOWN(K8139*H8139/100,1))</f>
        <v>0</v>
      </c>
      <c r="F8139" s="506">
        <f>IF(H8139=0,0,ROUNDDOWN(L8139*H8139/100,1))</f>
        <v>2283.9</v>
      </c>
      <c r="G8139" s="451" t="s">
        <v>4330</v>
      </c>
      <c r="H8139" s="507">
        <f>ROUNDUP(AC8139,14-LEN(ABS(INT(AC8139))))</f>
        <v>1</v>
      </c>
      <c r="I8139" s="508">
        <f>K8139+J8139+L8139</f>
        <v>228399.90000000002</v>
      </c>
      <c r="J8139" s="456">
        <v>0</v>
      </c>
      <c r="K8139" s="456">
        <v>0</v>
      </c>
      <c r="L8139" s="509">
        <f>D8119+D8121</f>
        <v>228399.90000000002</v>
      </c>
      <c r="M8139" s="501" t="s">
        <v>3743</v>
      </c>
      <c r="N8139" s="501" t="s">
        <v>3416</v>
      </c>
      <c r="Z8139" s="501" t="s">
        <v>3500</v>
      </c>
      <c r="AA8139" s="515">
        <v>1</v>
      </c>
      <c r="AB8139" s="501" t="s">
        <v>3418</v>
      </c>
      <c r="AC8139" s="512">
        <f>1*AA8139</f>
        <v>1</v>
      </c>
      <c r="AD8139" s="500"/>
      <c r="AE8139" s="500"/>
      <c r="AF8139" s="500"/>
      <c r="AG8139" s="500"/>
      <c r="AH8139" s="500"/>
      <c r="AI8139" s="500"/>
      <c r="AJ8139" s="500"/>
      <c r="AK8139" s="500"/>
      <c r="AL8139" s="500"/>
      <c r="AM8139" s="500"/>
      <c r="AN8139" s="500"/>
      <c r="AO8139" s="500"/>
      <c r="AP8139" s="500"/>
    </row>
    <row r="8140" spans="1:42" ht="16.5" customHeight="1">
      <c r="A8140" s="439"/>
      <c r="B8140" s="439"/>
      <c r="C8140" s="439"/>
      <c r="D8140" s="439"/>
      <c r="E8140" s="439"/>
      <c r="F8140" s="439"/>
      <c r="G8140" s="451" t="s">
        <v>3406</v>
      </c>
      <c r="Z8140" s="500"/>
      <c r="AA8140" s="500"/>
      <c r="AB8140" s="500"/>
      <c r="AC8140" s="500"/>
      <c r="AD8140" s="500"/>
      <c r="AE8140" s="500"/>
      <c r="AF8140" s="500"/>
      <c r="AG8140" s="500"/>
      <c r="AH8140" s="500"/>
      <c r="AI8140" s="500"/>
      <c r="AJ8140" s="500"/>
      <c r="AK8140" s="500"/>
      <c r="AL8140" s="500"/>
      <c r="AM8140" s="500"/>
      <c r="AN8140" s="500"/>
      <c r="AO8140" s="500"/>
      <c r="AP8140" s="500"/>
    </row>
    <row r="8141" spans="1:42" ht="16.5" customHeight="1">
      <c r="A8141" s="434"/>
      <c r="B8141" s="437" t="s">
        <v>3419</v>
      </c>
      <c r="C8141" s="513">
        <f>E8141+D8141+F8141</f>
        <v>2283.9</v>
      </c>
      <c r="D8141" s="513">
        <f>SUMIF(N8135:N8140,M8141,D8135:D8140)</f>
        <v>0</v>
      </c>
      <c r="E8141" s="513">
        <f>SUMIF(N8135:N8140,M8141,E8135:E8140)</f>
        <v>0</v>
      </c>
      <c r="F8141" s="513">
        <f>SUMIF(N8135:N8140,M8141,F8135:F8140)</f>
        <v>2283.9</v>
      </c>
      <c r="G8141" s="451" t="s">
        <v>3420</v>
      </c>
      <c r="M8141" s="501" t="s">
        <v>3416</v>
      </c>
      <c r="N8141" s="501" t="s">
        <v>3421</v>
      </c>
      <c r="Z8141" s="500"/>
      <c r="AA8141" s="500"/>
      <c r="AB8141" s="500"/>
      <c r="AC8141" s="500"/>
      <c r="AD8141" s="500"/>
      <c r="AE8141" s="500"/>
      <c r="AF8141" s="500"/>
      <c r="AG8141" s="500"/>
      <c r="AH8141" s="500"/>
      <c r="AI8141" s="500"/>
      <c r="AJ8141" s="500"/>
      <c r="AK8141" s="500"/>
      <c r="AL8141" s="500"/>
      <c r="AM8141" s="500"/>
      <c r="AN8141" s="500"/>
      <c r="AO8141" s="500"/>
      <c r="AP8141" s="500"/>
    </row>
    <row r="8142" spans="1:42" ht="16.5" customHeight="1">
      <c r="A8142" s="439"/>
      <c r="B8142" s="439"/>
      <c r="C8142" s="504"/>
      <c r="D8142" s="504"/>
      <c r="E8142" s="504"/>
      <c r="F8142" s="504"/>
      <c r="G8142" s="451" t="s">
        <v>3406</v>
      </c>
      <c r="Z8142" s="500"/>
      <c r="AA8142" s="500"/>
      <c r="AB8142" s="500"/>
      <c r="AC8142" s="500"/>
      <c r="AD8142" s="500"/>
      <c r="AE8142" s="500"/>
      <c r="AF8142" s="500"/>
      <c r="AG8142" s="500"/>
      <c r="AH8142" s="500"/>
      <c r="AI8142" s="500"/>
      <c r="AJ8142" s="500"/>
      <c r="AK8142" s="500"/>
      <c r="AL8142" s="500"/>
      <c r="AM8142" s="500"/>
      <c r="AN8142" s="500"/>
      <c r="AO8142" s="500"/>
      <c r="AP8142" s="500"/>
    </row>
    <row r="8143" spans="1:42" ht="16.5" customHeight="1">
      <c r="A8143" s="439"/>
      <c r="B8143" s="439"/>
      <c r="C8143" s="439"/>
      <c r="D8143" s="439"/>
      <c r="E8143" s="439"/>
      <c r="F8143" s="439"/>
      <c r="G8143" s="451" t="s">
        <v>3406</v>
      </c>
      <c r="Z8143" s="500"/>
      <c r="AA8143" s="500"/>
      <c r="AB8143" s="500"/>
      <c r="AC8143" s="500"/>
      <c r="AD8143" s="500"/>
      <c r="AE8143" s="500"/>
      <c r="AF8143" s="500"/>
      <c r="AG8143" s="500"/>
      <c r="AH8143" s="500"/>
      <c r="AI8143" s="500"/>
      <c r="AJ8143" s="500"/>
      <c r="AK8143" s="500"/>
      <c r="AL8143" s="500"/>
      <c r="AM8143" s="500"/>
      <c r="AN8143" s="500"/>
      <c r="AO8143" s="500"/>
      <c r="AP8143" s="500"/>
    </row>
    <row r="8144" spans="1:42" ht="16.5" customHeight="1">
      <c r="A8144" s="434"/>
      <c r="B8144" s="437" t="s">
        <v>3440</v>
      </c>
      <c r="C8144" s="513">
        <f>E8144+D8144+F8144</f>
        <v>233589.60000000003</v>
      </c>
      <c r="D8144" s="513">
        <f>SUMIF(N8107:N8143,M8144,D8107:D8143)</f>
        <v>228399.90000000002</v>
      </c>
      <c r="E8144" s="513">
        <f>SUMIF(N8107:N8143,M8144,E8107:E8143)</f>
        <v>0</v>
      </c>
      <c r="F8144" s="513">
        <f>SUMIF(N8107:N8143,M8144,F8107:F8143)</f>
        <v>5189.7000000000007</v>
      </c>
      <c r="G8144" s="451" t="s">
        <v>3484</v>
      </c>
      <c r="M8144" s="501" t="s">
        <v>3421</v>
      </c>
      <c r="N8144" s="501" t="s">
        <v>2354</v>
      </c>
      <c r="Z8144" s="500"/>
      <c r="AA8144" s="500"/>
      <c r="AB8144" s="500"/>
      <c r="AC8144" s="500"/>
      <c r="AD8144" s="500"/>
      <c r="AE8144" s="500"/>
      <c r="AF8144" s="500"/>
      <c r="AG8144" s="500"/>
      <c r="AH8144" s="500"/>
      <c r="AI8144" s="500"/>
      <c r="AJ8144" s="500"/>
      <c r="AK8144" s="500"/>
      <c r="AL8144" s="500"/>
      <c r="AM8144" s="500"/>
      <c r="AN8144" s="500"/>
      <c r="AO8144" s="500"/>
      <c r="AP8144" s="500"/>
    </row>
    <row r="8145" spans="1:42" ht="16.5" customHeight="1">
      <c r="A8145" s="439"/>
      <c r="B8145" s="439"/>
      <c r="C8145" s="504"/>
      <c r="D8145" s="504"/>
      <c r="E8145" s="504"/>
      <c r="F8145" s="504"/>
      <c r="Z8145" s="500"/>
      <c r="AA8145" s="500"/>
      <c r="AB8145" s="500"/>
      <c r="AC8145" s="500"/>
      <c r="AD8145" s="500"/>
      <c r="AE8145" s="500"/>
      <c r="AF8145" s="500"/>
      <c r="AG8145" s="500"/>
      <c r="AH8145" s="500"/>
      <c r="AI8145" s="500"/>
      <c r="AJ8145" s="500"/>
      <c r="AK8145" s="500"/>
      <c r="AL8145" s="500"/>
      <c r="AM8145" s="500"/>
      <c r="AN8145" s="500"/>
      <c r="AO8145" s="500"/>
      <c r="AP8145" s="500"/>
    </row>
    <row r="8146" spans="1:42" ht="16.5" customHeight="1">
      <c r="A8146" s="439"/>
      <c r="B8146" s="439"/>
      <c r="C8146" s="439"/>
      <c r="D8146" s="439"/>
      <c r="E8146" s="439"/>
      <c r="F8146" s="439"/>
      <c r="Z8146" s="500"/>
      <c r="AA8146" s="500"/>
      <c r="AB8146" s="500"/>
      <c r="AC8146" s="500"/>
      <c r="AD8146" s="500"/>
      <c r="AE8146" s="500"/>
      <c r="AF8146" s="500"/>
      <c r="AG8146" s="500"/>
      <c r="AH8146" s="500"/>
      <c r="AI8146" s="500"/>
      <c r="AJ8146" s="500"/>
      <c r="AK8146" s="500"/>
      <c r="AL8146" s="500"/>
      <c r="AM8146" s="500"/>
      <c r="AN8146" s="500"/>
      <c r="AO8146" s="500"/>
      <c r="AP8146" s="500"/>
    </row>
    <row r="8147" spans="1:42" ht="16.5" customHeight="1">
      <c r="A8147" s="439"/>
      <c r="B8147" s="439"/>
      <c r="C8147" s="439"/>
      <c r="D8147" s="439"/>
      <c r="E8147" s="439"/>
      <c r="F8147" s="439"/>
      <c r="Z8147" s="500"/>
      <c r="AA8147" s="500"/>
      <c r="AB8147" s="500"/>
      <c r="AC8147" s="500"/>
      <c r="AD8147" s="500"/>
      <c r="AE8147" s="500"/>
      <c r="AF8147" s="500"/>
      <c r="AG8147" s="500"/>
      <c r="AH8147" s="500"/>
      <c r="AI8147" s="500"/>
      <c r="AJ8147" s="500"/>
      <c r="AK8147" s="500"/>
      <c r="AL8147" s="500"/>
      <c r="AM8147" s="500"/>
      <c r="AN8147" s="500"/>
      <c r="AO8147" s="500"/>
      <c r="AP8147" s="500"/>
    </row>
    <row r="8148" spans="1:42" ht="16.5" customHeight="1">
      <c r="A8148" s="439"/>
      <c r="B8148" s="439"/>
      <c r="C8148" s="439"/>
      <c r="D8148" s="439"/>
      <c r="E8148" s="439"/>
      <c r="F8148" s="439"/>
      <c r="Z8148" s="500"/>
      <c r="AA8148" s="500"/>
      <c r="AB8148" s="500"/>
      <c r="AC8148" s="500"/>
      <c r="AD8148" s="500"/>
      <c r="AE8148" s="500"/>
      <c r="AF8148" s="500"/>
      <c r="AG8148" s="500"/>
      <c r="AH8148" s="500"/>
      <c r="AI8148" s="500"/>
      <c r="AJ8148" s="500"/>
      <c r="AK8148" s="500"/>
      <c r="AL8148" s="500"/>
      <c r="AM8148" s="500"/>
      <c r="AN8148" s="500"/>
      <c r="AO8148" s="500"/>
      <c r="AP8148" s="500"/>
    </row>
    <row r="8149" spans="1:42" ht="16.5" customHeight="1">
      <c r="A8149" s="439"/>
      <c r="B8149" s="439"/>
      <c r="C8149" s="439"/>
      <c r="D8149" s="439"/>
      <c r="E8149" s="439"/>
      <c r="F8149" s="439"/>
      <c r="Z8149" s="500"/>
      <c r="AA8149" s="500"/>
      <c r="AB8149" s="500"/>
      <c r="AC8149" s="500"/>
      <c r="AD8149" s="500"/>
      <c r="AE8149" s="500"/>
      <c r="AF8149" s="500"/>
      <c r="AG8149" s="500"/>
      <c r="AH8149" s="500"/>
      <c r="AI8149" s="500"/>
      <c r="AJ8149" s="500"/>
      <c r="AK8149" s="500"/>
      <c r="AL8149" s="500"/>
      <c r="AM8149" s="500"/>
      <c r="AN8149" s="500"/>
      <c r="AO8149" s="500"/>
      <c r="AP8149" s="500"/>
    </row>
    <row r="8150" spans="1:42" ht="16.5" customHeight="1">
      <c r="A8150" s="439"/>
      <c r="B8150" s="439"/>
      <c r="C8150" s="439"/>
      <c r="D8150" s="439"/>
      <c r="E8150" s="439"/>
      <c r="F8150" s="439"/>
      <c r="Z8150" s="500"/>
      <c r="AA8150" s="500"/>
      <c r="AB8150" s="500"/>
      <c r="AC8150" s="500"/>
      <c r="AD8150" s="500"/>
      <c r="AE8150" s="500"/>
      <c r="AF8150" s="500"/>
      <c r="AG8150" s="500"/>
      <c r="AH8150" s="500"/>
      <c r="AI8150" s="500"/>
      <c r="AJ8150" s="500"/>
      <c r="AK8150" s="500"/>
      <c r="AL8150" s="500"/>
      <c r="AM8150" s="500"/>
      <c r="AN8150" s="500"/>
      <c r="AO8150" s="500"/>
      <c r="AP8150" s="500"/>
    </row>
    <row r="8151" spans="1:42" ht="16.5" customHeight="1">
      <c r="A8151" s="439"/>
      <c r="B8151" s="439"/>
      <c r="C8151" s="439"/>
      <c r="D8151" s="439"/>
      <c r="E8151" s="439"/>
      <c r="F8151" s="439"/>
      <c r="Z8151" s="500"/>
      <c r="AA8151" s="500"/>
      <c r="AB8151" s="500"/>
      <c r="AC8151" s="500"/>
      <c r="AD8151" s="500"/>
      <c r="AE8151" s="500"/>
      <c r="AF8151" s="500"/>
      <c r="AG8151" s="500"/>
      <c r="AH8151" s="500"/>
      <c r="AI8151" s="500"/>
      <c r="AJ8151" s="500"/>
      <c r="AK8151" s="500"/>
      <c r="AL8151" s="500"/>
      <c r="AM8151" s="500"/>
      <c r="AN8151" s="500"/>
      <c r="AO8151" s="500"/>
      <c r="AP8151" s="500"/>
    </row>
    <row r="8152" spans="1:42" ht="16.5" customHeight="1">
      <c r="A8152" s="439"/>
      <c r="B8152" s="439"/>
      <c r="C8152" s="439"/>
      <c r="D8152" s="439"/>
      <c r="E8152" s="439"/>
      <c r="F8152" s="439"/>
      <c r="Z8152" s="500"/>
      <c r="AA8152" s="500"/>
      <c r="AB8152" s="500"/>
      <c r="AC8152" s="500"/>
      <c r="AD8152" s="500"/>
      <c r="AE8152" s="500"/>
      <c r="AF8152" s="500"/>
      <c r="AG8152" s="500"/>
      <c r="AH8152" s="500"/>
      <c r="AI8152" s="500"/>
      <c r="AJ8152" s="500"/>
      <c r="AK8152" s="500"/>
      <c r="AL8152" s="500"/>
      <c r="AM8152" s="500"/>
      <c r="AN8152" s="500"/>
      <c r="AO8152" s="500"/>
      <c r="AP8152" s="500"/>
    </row>
    <row r="8153" spans="1:42" ht="16.5" customHeight="1">
      <c r="A8153" s="497"/>
      <c r="B8153" s="497"/>
      <c r="C8153" s="497"/>
      <c r="D8153" s="497"/>
      <c r="E8153" s="497"/>
      <c r="F8153" s="497"/>
      <c r="Z8153" s="500"/>
      <c r="AA8153" s="500"/>
      <c r="AB8153" s="500"/>
      <c r="AC8153" s="500"/>
      <c r="AD8153" s="500"/>
      <c r="AE8153" s="500"/>
      <c r="AF8153" s="500"/>
      <c r="AG8153" s="500"/>
      <c r="AH8153" s="500"/>
      <c r="AI8153" s="500"/>
      <c r="AJ8153" s="500"/>
      <c r="AK8153" s="500"/>
      <c r="AL8153" s="500"/>
      <c r="AM8153" s="500"/>
      <c r="AN8153" s="500"/>
      <c r="AO8153" s="500"/>
      <c r="AP8153" s="500"/>
    </row>
    <row r="8154" spans="1:42" ht="16.5" customHeight="1">
      <c r="A8154" s="616" t="s">
        <v>3487</v>
      </c>
      <c r="B8154" s="605"/>
      <c r="C8154" s="446">
        <f>E8154+D8154+F8154</f>
        <v>233588</v>
      </c>
      <c r="D8154" s="453">
        <f>ROUNDDOWN(SUMIF(N8107:N8144,M8154,D8107:D8144),0)</f>
        <v>228399</v>
      </c>
      <c r="E8154" s="454">
        <f>ROUNDDOWN(SUMIF(N8107:N8144,M8154,E8107:E8144),0)</f>
        <v>0</v>
      </c>
      <c r="F8154" s="446">
        <f>ROUNDDOWN(SUMIF(N8107:N8144,M8154,F8107:F8144),0)</f>
        <v>5189</v>
      </c>
      <c r="M8154" s="501" t="s">
        <v>2354</v>
      </c>
      <c r="Z8154" s="500"/>
      <c r="AA8154" s="500"/>
      <c r="AB8154" s="500"/>
      <c r="AC8154" s="500"/>
      <c r="AD8154" s="500"/>
      <c r="AE8154" s="500"/>
      <c r="AF8154" s="500"/>
      <c r="AG8154" s="500"/>
      <c r="AH8154" s="500"/>
      <c r="AI8154" s="500"/>
      <c r="AJ8154" s="500"/>
      <c r="AK8154" s="500"/>
      <c r="AL8154" s="500"/>
      <c r="AM8154" s="500"/>
      <c r="AN8154" s="500"/>
      <c r="AO8154" s="500"/>
      <c r="AP8154" s="500"/>
    </row>
    <row r="8155" spans="1:42" ht="16.5" customHeight="1">
      <c r="A8155" s="502" t="s">
        <v>3383</v>
      </c>
      <c r="B8155" s="503" t="s">
        <v>5301</v>
      </c>
      <c r="C8155" s="615">
        <f>C8204</f>
        <v>267848</v>
      </c>
      <c r="D8155" s="615">
        <f>D8204</f>
        <v>262659</v>
      </c>
      <c r="E8155" s="615">
        <f>E8204</f>
        <v>0</v>
      </c>
      <c r="F8155" s="615">
        <f>F8204</f>
        <v>5189</v>
      </c>
      <c r="G8155" s="486" t="str">
        <f>HYPERLINK("#G"&amp;ROW(G8197),"_x0005_`BDCOD|D01345_x0007_`POSS|"&amp;ROW(G8157)&amp;"_x0007_`POSE|"&amp;ROW(G8197)&amp;"_x0007_`")</f>
        <v>_x0005_`BDCOD|D01345_x0007_`POSS|8157_x0007_`POSE|8197_x0007_`</v>
      </c>
      <c r="Z8155" s="500"/>
      <c r="AA8155" s="500"/>
      <c r="AB8155" s="500"/>
      <c r="AC8155" s="500"/>
      <c r="AD8155" s="500"/>
      <c r="AE8155" s="500"/>
      <c r="AF8155" s="500"/>
      <c r="AG8155" s="500"/>
      <c r="AH8155" s="500"/>
      <c r="AI8155" s="500"/>
      <c r="AJ8155" s="500"/>
      <c r="AK8155" s="500"/>
      <c r="AL8155" s="500"/>
      <c r="AM8155" s="500"/>
      <c r="AN8155" s="500"/>
      <c r="AO8155" s="500"/>
      <c r="AP8155" s="500"/>
    </row>
    <row r="8156" spans="1:42" ht="16.5" customHeight="1">
      <c r="A8156" s="485"/>
      <c r="B8156" s="503" t="s">
        <v>5644</v>
      </c>
      <c r="C8156" s="593"/>
      <c r="D8156" s="593"/>
      <c r="E8156" s="593"/>
      <c r="F8156" s="593"/>
      <c r="M8156" s="501" t="s">
        <v>5301</v>
      </c>
      <c r="Z8156" s="500"/>
      <c r="AA8156" s="500"/>
      <c r="AB8156" s="500"/>
      <c r="AC8156" s="500"/>
      <c r="AD8156" s="500"/>
      <c r="AE8156" s="500"/>
      <c r="AF8156" s="500"/>
      <c r="AG8156" s="500"/>
      <c r="AH8156" s="500"/>
      <c r="AI8156" s="500"/>
      <c r="AJ8156" s="500"/>
      <c r="AK8156" s="500"/>
      <c r="AL8156" s="500"/>
      <c r="AM8156" s="500"/>
      <c r="AN8156" s="500"/>
      <c r="AO8156" s="500"/>
      <c r="AP8156" s="500"/>
    </row>
    <row r="8157" spans="1:42" ht="16.5" customHeight="1">
      <c r="A8157" s="439"/>
      <c r="B8157" s="439"/>
      <c r="C8157" s="504"/>
      <c r="D8157" s="504"/>
      <c r="E8157" s="504"/>
      <c r="F8157" s="504"/>
      <c r="G8157" s="451" t="s">
        <v>3406</v>
      </c>
      <c r="Z8157" s="500"/>
      <c r="AA8157" s="500"/>
      <c r="AB8157" s="500"/>
      <c r="AC8157" s="500"/>
      <c r="AD8157" s="500"/>
      <c r="AE8157" s="500"/>
      <c r="AF8157" s="500"/>
      <c r="AG8157" s="500"/>
      <c r="AH8157" s="500"/>
      <c r="AI8157" s="500"/>
      <c r="AJ8157" s="500"/>
      <c r="AK8157" s="500"/>
      <c r="AL8157" s="500"/>
      <c r="AM8157" s="500"/>
      <c r="AN8157" s="500"/>
      <c r="AO8157" s="500"/>
      <c r="AP8157" s="500"/>
    </row>
    <row r="8158" spans="1:42" ht="16.5" customHeight="1">
      <c r="A8158" s="434"/>
      <c r="B8158" s="437" t="s">
        <v>4309</v>
      </c>
      <c r="C8158" s="439"/>
      <c r="D8158" s="439"/>
      <c r="E8158" s="439"/>
      <c r="F8158" s="439"/>
      <c r="G8158" s="451" t="s">
        <v>4310</v>
      </c>
      <c r="Z8158" s="500"/>
      <c r="AA8158" s="500"/>
      <c r="AB8158" s="500"/>
      <c r="AC8158" s="500"/>
      <c r="AD8158" s="500"/>
      <c r="AE8158" s="500"/>
      <c r="AF8158" s="500"/>
      <c r="AG8158" s="500"/>
      <c r="AH8158" s="500"/>
      <c r="AI8158" s="500"/>
      <c r="AJ8158" s="500"/>
      <c r="AK8158" s="500"/>
      <c r="AL8158" s="500"/>
      <c r="AM8158" s="500"/>
      <c r="AN8158" s="500"/>
      <c r="AO8158" s="500"/>
      <c r="AP8158" s="500"/>
    </row>
    <row r="8159" spans="1:42" ht="16.5" customHeight="1">
      <c r="A8159" s="439"/>
      <c r="B8159" s="439"/>
      <c r="C8159" s="439"/>
      <c r="D8159" s="439"/>
      <c r="E8159" s="439"/>
      <c r="F8159" s="439"/>
      <c r="G8159" s="451" t="s">
        <v>3406</v>
      </c>
      <c r="Z8159" s="500"/>
      <c r="AA8159" s="500"/>
      <c r="AB8159" s="500"/>
      <c r="AC8159" s="500"/>
      <c r="AD8159" s="500"/>
      <c r="AE8159" s="500"/>
      <c r="AF8159" s="500"/>
      <c r="AG8159" s="500"/>
      <c r="AH8159" s="500"/>
      <c r="AI8159" s="500"/>
      <c r="AJ8159" s="500"/>
      <c r="AK8159" s="500"/>
      <c r="AL8159" s="500"/>
      <c r="AM8159" s="500"/>
      <c r="AN8159" s="500"/>
      <c r="AO8159" s="500"/>
      <c r="AP8159" s="500"/>
    </row>
    <row r="8160" spans="1:42" ht="16.5" customHeight="1">
      <c r="A8160" s="434"/>
      <c r="B8160" s="437" t="s">
        <v>4311</v>
      </c>
      <c r="C8160" s="439"/>
      <c r="D8160" s="439"/>
      <c r="E8160" s="439"/>
      <c r="F8160" s="439"/>
      <c r="G8160" s="451" t="s">
        <v>4312</v>
      </c>
      <c r="Z8160" s="500"/>
      <c r="AA8160" s="500"/>
      <c r="AB8160" s="500"/>
      <c r="AC8160" s="500"/>
      <c r="AD8160" s="500"/>
      <c r="AE8160" s="500"/>
      <c r="AF8160" s="500"/>
      <c r="AG8160" s="500"/>
      <c r="AH8160" s="500"/>
      <c r="AI8160" s="500"/>
      <c r="AJ8160" s="500"/>
      <c r="AK8160" s="500"/>
      <c r="AL8160" s="500"/>
      <c r="AM8160" s="500"/>
      <c r="AN8160" s="500"/>
      <c r="AO8160" s="500"/>
      <c r="AP8160" s="500"/>
    </row>
    <row r="8161" spans="1:42" ht="16.5" customHeight="1">
      <c r="A8161" s="439"/>
      <c r="B8161" s="439"/>
      <c r="C8161" s="439"/>
      <c r="D8161" s="439"/>
      <c r="E8161" s="439"/>
      <c r="F8161" s="439"/>
      <c r="G8161" s="451" t="s">
        <v>3406</v>
      </c>
      <c r="Z8161" s="500"/>
      <c r="AA8161" s="500"/>
      <c r="AB8161" s="500"/>
      <c r="AC8161" s="500"/>
      <c r="AD8161" s="500"/>
      <c r="AE8161" s="500"/>
      <c r="AF8161" s="500"/>
      <c r="AG8161" s="500"/>
      <c r="AH8161" s="500"/>
      <c r="AI8161" s="500"/>
      <c r="AJ8161" s="500"/>
      <c r="AK8161" s="500"/>
      <c r="AL8161" s="500"/>
      <c r="AM8161" s="500"/>
      <c r="AN8161" s="500"/>
      <c r="AO8161" s="500"/>
      <c r="AP8161" s="500"/>
    </row>
    <row r="8162" spans="1:42" ht="16.5" customHeight="1">
      <c r="A8162" s="434"/>
      <c r="B8162" s="437" t="str">
        <f>"  일당 작업량 :  Q1 = "&amp;Z8162&amp;" ㎥ "</f>
        <v xml:space="preserve">  일당 작업량 :  Q1 = 2.7 ㎥ </v>
      </c>
      <c r="C8162" s="439"/>
      <c r="D8162" s="439"/>
      <c r="E8162" s="439"/>
      <c r="F8162" s="439"/>
      <c r="G8162" s="451" t="s">
        <v>4313</v>
      </c>
      <c r="Z8162" s="511">
        <v>2.7</v>
      </c>
      <c r="AA8162" s="501" t="s">
        <v>3418</v>
      </c>
      <c r="AB8162" s="512">
        <f>Z8162</f>
        <v>2.7</v>
      </c>
      <c r="AC8162" s="500"/>
      <c r="AD8162" s="500"/>
      <c r="AE8162" s="500"/>
      <c r="AF8162" s="500"/>
      <c r="AG8162" s="500"/>
      <c r="AH8162" s="500"/>
      <c r="AI8162" s="500"/>
      <c r="AJ8162" s="500"/>
      <c r="AK8162" s="500"/>
      <c r="AL8162" s="500"/>
      <c r="AM8162" s="500"/>
      <c r="AN8162" s="500"/>
      <c r="AO8162" s="500"/>
      <c r="AP8162" s="500"/>
    </row>
    <row r="8163" spans="1:42" ht="16.5" customHeight="1">
      <c r="A8163" s="439"/>
      <c r="B8163" s="439"/>
      <c r="C8163" s="439"/>
      <c r="D8163" s="439"/>
      <c r="E8163" s="439"/>
      <c r="F8163" s="439"/>
      <c r="G8163" s="451" t="s">
        <v>3406</v>
      </c>
      <c r="Z8163" s="500"/>
      <c r="AA8163" s="500"/>
      <c r="AB8163" s="500"/>
      <c r="AC8163" s="500"/>
      <c r="AD8163" s="500"/>
      <c r="AE8163" s="500"/>
      <c r="AF8163" s="500"/>
      <c r="AG8163" s="500"/>
      <c r="AH8163" s="500"/>
      <c r="AI8163" s="500"/>
      <c r="AJ8163" s="500"/>
      <c r="AK8163" s="500"/>
      <c r="AL8163" s="500"/>
      <c r="AM8163" s="500"/>
      <c r="AN8163" s="500"/>
      <c r="AO8163" s="500"/>
      <c r="AP8163" s="500"/>
    </row>
    <row r="8164" spans="1:42" ht="16.5" customHeight="1">
      <c r="A8164" s="434"/>
      <c r="B8164" s="437" t="str">
        <f>"  시간당 작업량 :  Q2 = "&amp;Z8164&amp;" / "&amp;AB8164&amp;" = "&amp;AD8164&amp;" ㎥/hr "</f>
        <v xml:space="preserve">  시간당 작업량 :  Q2 = 2.7 / 8 = 0.34 ㎥/hr </v>
      </c>
      <c r="C8164" s="439"/>
      <c r="D8164" s="439"/>
      <c r="E8164" s="439"/>
      <c r="F8164" s="439"/>
      <c r="G8164" s="451" t="s">
        <v>4314</v>
      </c>
      <c r="Z8164" s="511">
        <v>2.7</v>
      </c>
      <c r="AA8164" s="501" t="s">
        <v>3428</v>
      </c>
      <c r="AB8164" s="515">
        <v>8</v>
      </c>
      <c r="AC8164" s="501" t="s">
        <v>3418</v>
      </c>
      <c r="AD8164" s="512" t="str">
        <f>TEXT(ROUND(Z8164/AB8164,2),"#,0.00")</f>
        <v>0.34</v>
      </c>
      <c r="AE8164" s="500"/>
      <c r="AF8164" s="500"/>
      <c r="AG8164" s="500"/>
      <c r="AH8164" s="500"/>
      <c r="AI8164" s="500"/>
      <c r="AJ8164" s="500"/>
      <c r="AK8164" s="500"/>
      <c r="AL8164" s="500"/>
      <c r="AM8164" s="500"/>
      <c r="AN8164" s="500"/>
      <c r="AO8164" s="500"/>
      <c r="AP8164" s="500"/>
    </row>
    <row r="8165" spans="1:42" ht="16.5" customHeight="1">
      <c r="A8165" s="439"/>
      <c r="B8165" s="439"/>
      <c r="C8165" s="439"/>
      <c r="D8165" s="439"/>
      <c r="E8165" s="439"/>
      <c r="F8165" s="439"/>
      <c r="G8165" s="451" t="s">
        <v>3406</v>
      </c>
      <c r="Z8165" s="500"/>
      <c r="AA8165" s="500"/>
      <c r="AB8165" s="500"/>
      <c r="AC8165" s="500"/>
      <c r="AD8165" s="500"/>
      <c r="AE8165" s="500"/>
      <c r="AF8165" s="500"/>
      <c r="AG8165" s="500"/>
      <c r="AH8165" s="500"/>
      <c r="AI8165" s="500"/>
      <c r="AJ8165" s="500"/>
      <c r="AK8165" s="500"/>
      <c r="AL8165" s="500"/>
      <c r="AM8165" s="500"/>
      <c r="AN8165" s="500"/>
      <c r="AO8165" s="500"/>
      <c r="AP8165" s="500"/>
    </row>
    <row r="8166" spans="1:42" ht="16.5" customHeight="1">
      <c r="A8166" s="439"/>
      <c r="B8166" s="439"/>
      <c r="C8166" s="439"/>
      <c r="D8166" s="439"/>
      <c r="E8166" s="439"/>
      <c r="F8166" s="439"/>
      <c r="G8166" s="451" t="s">
        <v>3406</v>
      </c>
      <c r="Z8166" s="500"/>
      <c r="AA8166" s="500"/>
      <c r="AB8166" s="500"/>
      <c r="AC8166" s="500"/>
      <c r="AD8166" s="500"/>
      <c r="AE8166" s="500"/>
      <c r="AF8166" s="500"/>
      <c r="AG8166" s="500"/>
      <c r="AH8166" s="500"/>
      <c r="AI8166" s="500"/>
      <c r="AJ8166" s="500"/>
      <c r="AK8166" s="500"/>
      <c r="AL8166" s="500"/>
      <c r="AM8166" s="500"/>
      <c r="AN8166" s="500"/>
      <c r="AO8166" s="500"/>
      <c r="AP8166" s="500"/>
    </row>
    <row r="8167" spans="1:42" ht="16.5" customHeight="1">
      <c r="A8167" s="434"/>
      <c r="B8167" s="437" t="s">
        <v>4166</v>
      </c>
      <c r="C8167" s="439"/>
      <c r="D8167" s="439"/>
      <c r="E8167" s="439"/>
      <c r="F8167" s="439"/>
      <c r="G8167" s="451" t="s">
        <v>4167</v>
      </c>
      <c r="Z8167" s="500"/>
      <c r="AA8167" s="500"/>
      <c r="AB8167" s="500"/>
      <c r="AC8167" s="500"/>
      <c r="AD8167" s="500"/>
      <c r="AE8167" s="500"/>
      <c r="AF8167" s="500"/>
      <c r="AG8167" s="500"/>
      <c r="AH8167" s="500"/>
      <c r="AI8167" s="500"/>
      <c r="AJ8167" s="500"/>
      <c r="AK8167" s="500"/>
      <c r="AL8167" s="500"/>
      <c r="AM8167" s="500"/>
      <c r="AN8167" s="500"/>
      <c r="AO8167" s="500"/>
      <c r="AP8167" s="500"/>
    </row>
    <row r="8168" spans="1:42" ht="16.5" customHeight="1">
      <c r="A8168" s="439"/>
      <c r="B8168" s="439"/>
      <c r="C8168" s="439"/>
      <c r="D8168" s="439"/>
      <c r="E8168" s="439"/>
      <c r="F8168" s="439"/>
      <c r="G8168" s="451" t="s">
        <v>3406</v>
      </c>
      <c r="Z8168" s="500"/>
      <c r="AA8168" s="500"/>
      <c r="AB8168" s="500"/>
      <c r="AC8168" s="500"/>
      <c r="AD8168" s="500"/>
      <c r="AE8168" s="500"/>
      <c r="AF8168" s="500"/>
      <c r="AG8168" s="500"/>
      <c r="AH8168" s="500"/>
      <c r="AI8168" s="500"/>
      <c r="AJ8168" s="500"/>
      <c r="AK8168" s="500"/>
      <c r="AL8168" s="500"/>
      <c r="AM8168" s="500"/>
      <c r="AN8168" s="500"/>
      <c r="AO8168" s="500"/>
      <c r="AP8168" s="500"/>
    </row>
    <row r="8169" spans="1:42" ht="16.5" customHeight="1">
      <c r="A8169" s="434" t="s">
        <v>4315</v>
      </c>
      <c r="B8169" s="505" t="str">
        <f>"   착 암 공 : "&amp;TEXT(I8169,"#,##0"&amp;IF(I8169&lt;&gt;INT(I8169),".###",""))&amp;" * "&amp;AA8169&amp;" 인  / Q1 = "&amp;TEXT(C8169,"#,##0.0")&amp;""</f>
        <v xml:space="preserve">   착 암 공 : 222,306 * 2 인  / Q1 = 164,671.1</v>
      </c>
      <c r="C8169" s="506">
        <f>E8169+D8169+F8169</f>
        <v>164671.1</v>
      </c>
      <c r="D8169" s="506">
        <f>IF(H8169=0,0,ROUNDDOWN(J8169*H8169,1))</f>
        <v>164671.1</v>
      </c>
      <c r="E8169" s="506">
        <f>IF(H8169=0,0,ROUNDDOWN(K8169*H8169,1))</f>
        <v>0</v>
      </c>
      <c r="F8169" s="506">
        <f>IF(H8169=0,0,ROUNDDOWN(L8169*H8169,1))</f>
        <v>0</v>
      </c>
      <c r="G8169" s="451" t="s">
        <v>4331</v>
      </c>
      <c r="H8169" s="507">
        <f>ROUNDUP(AE8169,14-LEN(ABS(INT(AE8169))))</f>
        <v>0.74074074074079999</v>
      </c>
      <c r="I8169" s="508">
        <f>K8169+J8169+L8169</f>
        <v>222306</v>
      </c>
      <c r="J8169" s="509">
        <f>노무비목록표!E16</f>
        <v>222306</v>
      </c>
      <c r="M8169" s="501" t="s">
        <v>4317</v>
      </c>
      <c r="N8169" s="501" t="s">
        <v>3416</v>
      </c>
      <c r="O8169" s="501" t="s">
        <v>2355</v>
      </c>
      <c r="X8169" s="510" t="str">
        <f>노무비목록표!B16&amp;" / "&amp;노무비목록표!C16</f>
        <v xml:space="preserve">착암공 / </v>
      </c>
      <c r="Y8169" s="433" t="str">
        <f ca="1">HYPERLINK("#"&amp;노무비목록표!G2&amp;"!A"&amp;ROW(노무비목록표!A16),"L00209 →")</f>
        <v>L00209 →</v>
      </c>
      <c r="Z8169" s="501" t="s">
        <v>3500</v>
      </c>
      <c r="AA8169" s="515">
        <v>2</v>
      </c>
      <c r="AB8169" s="501" t="s">
        <v>3428</v>
      </c>
      <c r="AC8169" s="512">
        <f>AB8162</f>
        <v>2.7</v>
      </c>
      <c r="AD8169" s="501" t="s">
        <v>3418</v>
      </c>
      <c r="AE8169" s="512">
        <f>1*AA8169/AB8162</f>
        <v>0.7407407407407407</v>
      </c>
      <c r="AF8169" s="500"/>
      <c r="AG8169" s="500"/>
      <c r="AH8169" s="500"/>
      <c r="AI8169" s="500"/>
      <c r="AJ8169" s="500"/>
      <c r="AK8169" s="500"/>
      <c r="AL8169" s="500"/>
      <c r="AM8169" s="500"/>
      <c r="AN8169" s="500"/>
      <c r="AO8169" s="500"/>
      <c r="AP8169" s="500"/>
    </row>
    <row r="8170" spans="1:42" ht="16.5" customHeight="1">
      <c r="A8170" s="439"/>
      <c r="B8170" s="439"/>
      <c r="C8170" s="439"/>
      <c r="D8170" s="439"/>
      <c r="E8170" s="439"/>
      <c r="F8170" s="439"/>
      <c r="G8170" s="451" t="s">
        <v>3406</v>
      </c>
      <c r="Z8170" s="500"/>
      <c r="AA8170" s="500"/>
      <c r="AB8170" s="500"/>
      <c r="AC8170" s="500"/>
      <c r="AD8170" s="500"/>
      <c r="AE8170" s="500"/>
      <c r="AF8170" s="500"/>
      <c r="AG8170" s="500"/>
      <c r="AH8170" s="500"/>
      <c r="AI8170" s="500"/>
      <c r="AJ8170" s="500"/>
      <c r="AK8170" s="500"/>
      <c r="AL8170" s="500"/>
      <c r="AM8170" s="500"/>
      <c r="AN8170" s="500"/>
      <c r="AO8170" s="500"/>
      <c r="AP8170" s="500"/>
    </row>
    <row r="8171" spans="1:42" ht="16.5" customHeight="1">
      <c r="A8171" s="434" t="s">
        <v>3414</v>
      </c>
      <c r="B8171" s="505" t="str">
        <f>"   보통인부 : "&amp;TEXT(I8171,"#,##0"&amp;IF(I8171&lt;&gt;INT(I8171),".###",""))&amp;" * "&amp;AA8171&amp;" 인  / Q1 = "&amp;TEXT(C8171,"#,##0.0")&amp;""</f>
        <v xml:space="preserve">   보통인부 : 172,068 * 1 인  / Q1 = 63,728.8</v>
      </c>
      <c r="C8171" s="506">
        <f>E8171+D8171+F8171</f>
        <v>63728.800000000003</v>
      </c>
      <c r="D8171" s="506">
        <f>IF(H8171=0,0,ROUNDDOWN(J8171*H8171,1))</f>
        <v>63728.800000000003</v>
      </c>
      <c r="E8171" s="506">
        <f>IF(H8171=0,0,ROUNDDOWN(K8171*H8171,1))</f>
        <v>0</v>
      </c>
      <c r="F8171" s="506">
        <f>IF(H8171=0,0,ROUNDDOWN(L8171*H8171,1))</f>
        <v>0</v>
      </c>
      <c r="G8171" s="451" t="s">
        <v>4332</v>
      </c>
      <c r="H8171" s="507">
        <f>ROUNDUP(AE8171,14-LEN(ABS(INT(AE8171))))</f>
        <v>0.37037037037039999</v>
      </c>
      <c r="I8171" s="508">
        <f>K8171+J8171+L8171</f>
        <v>172068</v>
      </c>
      <c r="J8171" s="509">
        <f>노무비목록표!E10</f>
        <v>172068</v>
      </c>
      <c r="M8171" s="501" t="s">
        <v>2363</v>
      </c>
      <c r="N8171" s="501" t="s">
        <v>3416</v>
      </c>
      <c r="O8171" s="501" t="s">
        <v>2355</v>
      </c>
      <c r="X8171" s="510" t="str">
        <f>노무비목록표!B10&amp;" / "&amp;노무비목록표!C10</f>
        <v xml:space="preserve">보통인부 / </v>
      </c>
      <c r="Y8171" s="433" t="str">
        <f ca="1">HYPERLINK("#"&amp;노무비목록표!G2&amp;"!A"&amp;ROW(노무비목록표!A10),"L00017 →")</f>
        <v>L00017 →</v>
      </c>
      <c r="Z8171" s="501" t="s">
        <v>3500</v>
      </c>
      <c r="AA8171" s="515">
        <v>1</v>
      </c>
      <c r="AB8171" s="501" t="s">
        <v>3428</v>
      </c>
      <c r="AC8171" s="512">
        <f>AB8162</f>
        <v>2.7</v>
      </c>
      <c r="AD8171" s="501" t="s">
        <v>3418</v>
      </c>
      <c r="AE8171" s="512">
        <f>1*AA8171/AB8162</f>
        <v>0.37037037037037035</v>
      </c>
      <c r="AF8171" s="500"/>
      <c r="AG8171" s="500"/>
      <c r="AH8171" s="500"/>
      <c r="AI8171" s="500"/>
      <c r="AJ8171" s="500"/>
      <c r="AK8171" s="500"/>
      <c r="AL8171" s="500"/>
      <c r="AM8171" s="500"/>
      <c r="AN8171" s="500"/>
      <c r="AO8171" s="500"/>
      <c r="AP8171" s="500"/>
    </row>
    <row r="8172" spans="1:42" ht="16.5" customHeight="1">
      <c r="A8172" s="439"/>
      <c r="B8172" s="439"/>
      <c r="C8172" s="439"/>
      <c r="D8172" s="439"/>
      <c r="E8172" s="439"/>
      <c r="F8172" s="439"/>
      <c r="G8172" s="451" t="s">
        <v>3406</v>
      </c>
      <c r="Z8172" s="500"/>
      <c r="AA8172" s="500"/>
      <c r="AB8172" s="500"/>
      <c r="AC8172" s="500"/>
      <c r="AD8172" s="500"/>
      <c r="AE8172" s="500"/>
      <c r="AF8172" s="500"/>
      <c r="AG8172" s="500"/>
      <c r="AH8172" s="500"/>
      <c r="AI8172" s="500"/>
      <c r="AJ8172" s="500"/>
      <c r="AK8172" s="500"/>
      <c r="AL8172" s="500"/>
      <c r="AM8172" s="500"/>
      <c r="AN8172" s="500"/>
      <c r="AO8172" s="500"/>
      <c r="AP8172" s="500"/>
    </row>
    <row r="8173" spans="1:42" ht="16.5" customHeight="1">
      <c r="A8173" s="434"/>
      <c r="B8173" s="437" t="s">
        <v>3419</v>
      </c>
      <c r="C8173" s="513">
        <f>E8173+D8173+F8173</f>
        <v>228399.90000000002</v>
      </c>
      <c r="D8173" s="513">
        <f>SUMIF(N8157:N8172,M8173,D8157:D8172)</f>
        <v>228399.90000000002</v>
      </c>
      <c r="E8173" s="513">
        <f>SUMIF(N8157:N8172,M8173,E8157:E8172)</f>
        <v>0</v>
      </c>
      <c r="F8173" s="513">
        <f>SUMIF(N8157:N8172,M8173,F8157:F8172)</f>
        <v>0</v>
      </c>
      <c r="G8173" s="451" t="s">
        <v>3420</v>
      </c>
      <c r="M8173" s="501" t="s">
        <v>3416</v>
      </c>
      <c r="N8173" s="501" t="s">
        <v>3421</v>
      </c>
      <c r="Z8173" s="500"/>
      <c r="AA8173" s="500"/>
      <c r="AB8173" s="500"/>
      <c r="AC8173" s="500"/>
      <c r="AD8173" s="500"/>
      <c r="AE8173" s="500"/>
      <c r="AF8173" s="500"/>
      <c r="AG8173" s="500"/>
      <c r="AH8173" s="500"/>
      <c r="AI8173" s="500"/>
      <c r="AJ8173" s="500"/>
      <c r="AK8173" s="500"/>
      <c r="AL8173" s="500"/>
      <c r="AM8173" s="500"/>
      <c r="AN8173" s="500"/>
      <c r="AO8173" s="500"/>
      <c r="AP8173" s="500"/>
    </row>
    <row r="8174" spans="1:42" ht="16.5" customHeight="1">
      <c r="A8174" s="439"/>
      <c r="B8174" s="439"/>
      <c r="C8174" s="504"/>
      <c r="D8174" s="504"/>
      <c r="E8174" s="504"/>
      <c r="F8174" s="504"/>
      <c r="G8174" s="451" t="s">
        <v>3406</v>
      </c>
      <c r="Z8174" s="500"/>
      <c r="AA8174" s="500"/>
      <c r="AB8174" s="500"/>
      <c r="AC8174" s="500"/>
      <c r="AD8174" s="500"/>
      <c r="AE8174" s="500"/>
      <c r="AF8174" s="500"/>
      <c r="AG8174" s="500"/>
      <c r="AH8174" s="500"/>
      <c r="AI8174" s="500"/>
      <c r="AJ8174" s="500"/>
      <c r="AK8174" s="500"/>
      <c r="AL8174" s="500"/>
      <c r="AM8174" s="500"/>
      <c r="AN8174" s="500"/>
      <c r="AO8174" s="500"/>
      <c r="AP8174" s="500"/>
    </row>
    <row r="8175" spans="1:42" ht="16.5" customHeight="1">
      <c r="A8175" s="439"/>
      <c r="B8175" s="439"/>
      <c r="C8175" s="439"/>
      <c r="D8175" s="439"/>
      <c r="E8175" s="439"/>
      <c r="F8175" s="439"/>
      <c r="G8175" s="451" t="s">
        <v>3406</v>
      </c>
      <c r="Z8175" s="500"/>
      <c r="AA8175" s="500"/>
      <c r="AB8175" s="500"/>
      <c r="AC8175" s="500"/>
      <c r="AD8175" s="500"/>
      <c r="AE8175" s="500"/>
      <c r="AF8175" s="500"/>
      <c r="AG8175" s="500"/>
      <c r="AH8175" s="500"/>
      <c r="AI8175" s="500"/>
      <c r="AJ8175" s="500"/>
      <c r="AK8175" s="500"/>
      <c r="AL8175" s="500"/>
      <c r="AM8175" s="500"/>
      <c r="AN8175" s="500"/>
      <c r="AO8175" s="500"/>
      <c r="AP8175" s="500"/>
    </row>
    <row r="8176" spans="1:42" ht="16.5" customHeight="1">
      <c r="A8176" s="434"/>
      <c r="B8176" s="437" t="s">
        <v>4319</v>
      </c>
      <c r="C8176" s="439"/>
      <c r="D8176" s="439"/>
      <c r="E8176" s="439"/>
      <c r="F8176" s="439"/>
      <c r="G8176" s="451" t="s">
        <v>4320</v>
      </c>
      <c r="Z8176" s="500"/>
      <c r="AA8176" s="500"/>
      <c r="AB8176" s="500"/>
      <c r="AC8176" s="500"/>
      <c r="AD8176" s="500"/>
      <c r="AE8176" s="500"/>
      <c r="AF8176" s="500"/>
      <c r="AG8176" s="500"/>
      <c r="AH8176" s="500"/>
      <c r="AI8176" s="500"/>
      <c r="AJ8176" s="500"/>
      <c r="AK8176" s="500"/>
      <c r="AL8176" s="500"/>
      <c r="AM8176" s="500"/>
      <c r="AN8176" s="500"/>
      <c r="AO8176" s="500"/>
      <c r="AP8176" s="500"/>
    </row>
    <row r="8177" spans="1:42" ht="16.5" customHeight="1">
      <c r="A8177" s="439"/>
      <c r="B8177" s="439"/>
      <c r="C8177" s="439"/>
      <c r="D8177" s="439"/>
      <c r="E8177" s="439"/>
      <c r="F8177" s="439"/>
      <c r="G8177" s="451" t="s">
        <v>3406</v>
      </c>
      <c r="Z8177" s="500"/>
      <c r="AA8177" s="500"/>
      <c r="AB8177" s="500"/>
      <c r="AC8177" s="500"/>
      <c r="AD8177" s="500"/>
      <c r="AE8177" s="500"/>
      <c r="AF8177" s="500"/>
      <c r="AG8177" s="500"/>
      <c r="AH8177" s="500"/>
      <c r="AI8177" s="500"/>
      <c r="AJ8177" s="500"/>
      <c r="AK8177" s="500"/>
      <c r="AL8177" s="500"/>
      <c r="AM8177" s="500"/>
      <c r="AN8177" s="500"/>
      <c r="AO8177" s="500"/>
      <c r="AP8177" s="500"/>
    </row>
    <row r="8178" spans="1:42" ht="16.5" customHeight="1">
      <c r="A8178" s="434" t="s">
        <v>4321</v>
      </c>
      <c r="B8178" s="505" t="str">
        <f>" 노 무 비 :  "&amp;TEXT(I8178,"#,##0"&amp;IF(I8178&lt;&gt;INT(I8178),".###",""))&amp;" / Q2 * "&amp;AC8178&amp;" 대  = "&amp;TEXT(C8178,"#,##0.0")&amp;""</f>
        <v xml:space="preserve"> 노 무 비 :  0 / Q2 * 2 대  = 0.0</v>
      </c>
      <c r="C8178" s="506">
        <f>E8178+D8178+F8178</f>
        <v>0</v>
      </c>
      <c r="D8178" s="506">
        <f>IF(H8178=0,0,ROUNDDOWN(J8178*H8178,1))</f>
        <v>0</v>
      </c>
      <c r="E8178" s="506">
        <f>IF(H8178=0,0,ROUNDDOWN(K8178*H8178,1))</f>
        <v>0</v>
      </c>
      <c r="F8178" s="506">
        <f>IF(H8178=0,0,ROUNDDOWN(L8178*H8178,1))</f>
        <v>0</v>
      </c>
      <c r="G8178" s="451" t="s">
        <v>4333</v>
      </c>
      <c r="H8178" s="507">
        <f>ROUNDUP(AE8178,14-LEN(ABS(INT(AE8178))))</f>
        <v>5.8823529411765003</v>
      </c>
      <c r="I8178" s="508">
        <f>K8178+J8178+L8178</f>
        <v>0</v>
      </c>
      <c r="J8178" s="509">
        <f>중기목록표!F16</f>
        <v>0</v>
      </c>
      <c r="M8178" s="501" t="s">
        <v>4323</v>
      </c>
      <c r="N8178" s="501" t="s">
        <v>3416</v>
      </c>
      <c r="O8178" s="501" t="s">
        <v>2355</v>
      </c>
      <c r="X8178" s="510" t="str">
        <f>중기목록표!B16&amp;" / "&amp;중기목록표!C16</f>
        <v>소형브레이커(공압식) / 1.3㎥/min</v>
      </c>
      <c r="Y8178" s="433" t="str">
        <f ca="1">HYPERLINK("#"&amp;중기목록표!J2&amp;"!A"&amp;ROW(중기목록표!A16),"X00321 →")</f>
        <v>X00321 →</v>
      </c>
      <c r="Z8178" s="501" t="s">
        <v>3434</v>
      </c>
      <c r="AA8178" s="512" t="str">
        <f>AD8164</f>
        <v>0.34</v>
      </c>
      <c r="AB8178" s="501" t="s">
        <v>3368</v>
      </c>
      <c r="AC8178" s="515">
        <v>2</v>
      </c>
      <c r="AD8178" s="501" t="s">
        <v>3418</v>
      </c>
      <c r="AE8178" s="512">
        <f>1/AD8164*AC8178</f>
        <v>5.8823529411764701</v>
      </c>
      <c r="AF8178" s="500"/>
      <c r="AG8178" s="500"/>
      <c r="AH8178" s="500"/>
      <c r="AI8178" s="500"/>
      <c r="AJ8178" s="500"/>
      <c r="AK8178" s="500"/>
      <c r="AL8178" s="500"/>
      <c r="AM8178" s="500"/>
      <c r="AN8178" s="500"/>
      <c r="AO8178" s="500"/>
      <c r="AP8178" s="500"/>
    </row>
    <row r="8179" spans="1:42" ht="16.5" customHeight="1">
      <c r="A8179" s="439"/>
      <c r="B8179" s="439"/>
      <c r="C8179" s="439"/>
      <c r="D8179" s="439"/>
      <c r="E8179" s="439"/>
      <c r="F8179" s="439"/>
      <c r="G8179" s="451" t="s">
        <v>3406</v>
      </c>
      <c r="Z8179" s="500"/>
      <c r="AA8179" s="500"/>
      <c r="AB8179" s="500"/>
      <c r="AC8179" s="500"/>
      <c r="AD8179" s="500"/>
      <c r="AE8179" s="500"/>
      <c r="AF8179" s="500"/>
      <c r="AG8179" s="500"/>
      <c r="AH8179" s="500"/>
      <c r="AI8179" s="500"/>
      <c r="AJ8179" s="500"/>
      <c r="AK8179" s="500"/>
      <c r="AL8179" s="500"/>
      <c r="AM8179" s="500"/>
      <c r="AN8179" s="500"/>
      <c r="AO8179" s="500"/>
      <c r="AP8179" s="500"/>
    </row>
    <row r="8180" spans="1:42" ht="16.5" customHeight="1">
      <c r="A8180" s="434" t="s">
        <v>4324</v>
      </c>
      <c r="B8180" s="505" t="str">
        <f>" 재 료 비 :  "&amp;TEXT(I8180,"#,##0"&amp;IF(I8180&lt;&gt;INT(I8180),".###",""))&amp;" / Q2 * "&amp;AC8180&amp;" 대  = "&amp;TEXT(C8180,"#,##0.0")&amp;""</f>
        <v xml:space="preserve"> 재 료 비 :  0 / Q2 * 2 대  = 0.0</v>
      </c>
      <c r="C8180" s="506">
        <f>E8180+D8180+F8180</f>
        <v>0</v>
      </c>
      <c r="D8180" s="506">
        <f>IF(H8180=0,0,ROUNDDOWN(J8180*H8180,1))</f>
        <v>0</v>
      </c>
      <c r="E8180" s="506">
        <f>IF(H8180=0,0,ROUNDDOWN(K8180*H8180,1))</f>
        <v>0</v>
      </c>
      <c r="F8180" s="506">
        <f>IF(H8180=0,0,ROUNDDOWN(L8180*H8180,1))</f>
        <v>0</v>
      </c>
      <c r="G8180" s="451" t="s">
        <v>4334</v>
      </c>
      <c r="H8180" s="507">
        <f>ROUNDUP(AE8180,14-LEN(ABS(INT(AE8180))))</f>
        <v>5.8823529411765003</v>
      </c>
      <c r="I8180" s="508">
        <f>K8180+J8180+L8180</f>
        <v>0</v>
      </c>
      <c r="K8180" s="509">
        <f>중기목록표!G16</f>
        <v>0</v>
      </c>
      <c r="M8180" s="501" t="s">
        <v>4323</v>
      </c>
      <c r="N8180" s="501" t="s">
        <v>3416</v>
      </c>
      <c r="O8180" s="501" t="s">
        <v>2355</v>
      </c>
      <c r="X8180" s="510" t="str">
        <f>중기목록표!B16&amp;" / "&amp;중기목록표!C16</f>
        <v>소형브레이커(공압식) / 1.3㎥/min</v>
      </c>
      <c r="Y8180" s="433" t="str">
        <f ca="1">HYPERLINK("#"&amp;중기목록표!J2&amp;"!A"&amp;ROW(중기목록표!A16),"X00321 →")</f>
        <v>X00321 →</v>
      </c>
      <c r="Z8180" s="501" t="s">
        <v>3434</v>
      </c>
      <c r="AA8180" s="512" t="str">
        <f>AD8164</f>
        <v>0.34</v>
      </c>
      <c r="AB8180" s="501" t="s">
        <v>3368</v>
      </c>
      <c r="AC8180" s="515">
        <v>2</v>
      </c>
      <c r="AD8180" s="501" t="s">
        <v>3418</v>
      </c>
      <c r="AE8180" s="512">
        <f>1/AD8164*AC8180</f>
        <v>5.8823529411764701</v>
      </c>
      <c r="AF8180" s="500"/>
      <c r="AG8180" s="500"/>
      <c r="AH8180" s="500"/>
      <c r="AI8180" s="500"/>
      <c r="AJ8180" s="500"/>
      <c r="AK8180" s="500"/>
      <c r="AL8180" s="500"/>
      <c r="AM8180" s="500"/>
      <c r="AN8180" s="500"/>
      <c r="AO8180" s="500"/>
      <c r="AP8180" s="500"/>
    </row>
    <row r="8181" spans="1:42" ht="16.5" customHeight="1">
      <c r="A8181" s="439"/>
      <c r="B8181" s="439"/>
      <c r="C8181" s="439"/>
      <c r="D8181" s="439"/>
      <c r="E8181" s="439"/>
      <c r="F8181" s="439"/>
      <c r="G8181" s="451" t="s">
        <v>3406</v>
      </c>
      <c r="Z8181" s="500"/>
      <c r="AA8181" s="500"/>
      <c r="AB8181" s="500"/>
      <c r="AC8181" s="500"/>
      <c r="AD8181" s="500"/>
      <c r="AE8181" s="500"/>
      <c r="AF8181" s="500"/>
      <c r="AG8181" s="500"/>
      <c r="AH8181" s="500"/>
      <c r="AI8181" s="500"/>
      <c r="AJ8181" s="500"/>
      <c r="AK8181" s="500"/>
      <c r="AL8181" s="500"/>
      <c r="AM8181" s="500"/>
      <c r="AN8181" s="500"/>
      <c r="AO8181" s="500"/>
      <c r="AP8181" s="500"/>
    </row>
    <row r="8182" spans="1:42" ht="16.5" customHeight="1">
      <c r="A8182" s="434" t="s">
        <v>4326</v>
      </c>
      <c r="B8182" s="505" t="str">
        <f>" 경    비 :  "&amp;TEXT(I8182,"#,##0"&amp;IF(I8182&lt;&gt;INT(I8182),".###",""))&amp;" / Q2 * "&amp;AC8182&amp;" 대  = "&amp;TEXT(C8182,"#,##0.0")&amp;""</f>
        <v xml:space="preserve"> 경    비 :  494 / Q2 * 2 대  = 2,905.8</v>
      </c>
      <c r="C8182" s="506">
        <f>E8182+D8182+F8182</f>
        <v>2905.8</v>
      </c>
      <c r="D8182" s="506">
        <f>IF(H8182=0,0,ROUNDDOWN(J8182*H8182,1))</f>
        <v>0</v>
      </c>
      <c r="E8182" s="506">
        <f>IF(H8182=0,0,ROUNDDOWN(K8182*H8182,1))</f>
        <v>0</v>
      </c>
      <c r="F8182" s="506">
        <f>IF(H8182=0,0,ROUNDDOWN(L8182*H8182,1))</f>
        <v>2905.8</v>
      </c>
      <c r="G8182" s="451" t="s">
        <v>4335</v>
      </c>
      <c r="H8182" s="507">
        <f>ROUNDUP(AE8182,14-LEN(ABS(INT(AE8182))))</f>
        <v>5.8823529411765003</v>
      </c>
      <c r="I8182" s="508">
        <f>K8182+J8182+L8182</f>
        <v>494</v>
      </c>
      <c r="L8182" s="509">
        <f>중기목록표!H16</f>
        <v>494</v>
      </c>
      <c r="M8182" s="501" t="s">
        <v>4323</v>
      </c>
      <c r="N8182" s="501" t="s">
        <v>3416</v>
      </c>
      <c r="O8182" s="501" t="s">
        <v>2355</v>
      </c>
      <c r="X8182" s="510" t="str">
        <f>중기목록표!B16&amp;" / "&amp;중기목록표!C16</f>
        <v>소형브레이커(공압식) / 1.3㎥/min</v>
      </c>
      <c r="Y8182" s="433" t="str">
        <f ca="1">HYPERLINK("#"&amp;중기목록표!J2&amp;"!A"&amp;ROW(중기목록표!A16),"X00321 →")</f>
        <v>X00321 →</v>
      </c>
      <c r="Z8182" s="501" t="s">
        <v>3434</v>
      </c>
      <c r="AA8182" s="512" t="str">
        <f>AD8164</f>
        <v>0.34</v>
      </c>
      <c r="AB8182" s="501" t="s">
        <v>3368</v>
      </c>
      <c r="AC8182" s="515">
        <v>2</v>
      </c>
      <c r="AD8182" s="501" t="s">
        <v>3418</v>
      </c>
      <c r="AE8182" s="512">
        <f>1/AD8164*AC8182</f>
        <v>5.8823529411764701</v>
      </c>
      <c r="AF8182" s="500"/>
      <c r="AG8182" s="500"/>
      <c r="AH8182" s="500"/>
      <c r="AI8182" s="500"/>
      <c r="AJ8182" s="500"/>
      <c r="AK8182" s="500"/>
      <c r="AL8182" s="500"/>
      <c r="AM8182" s="500"/>
      <c r="AN8182" s="500"/>
      <c r="AO8182" s="500"/>
      <c r="AP8182" s="500"/>
    </row>
    <row r="8183" spans="1:42" ht="16.5" customHeight="1">
      <c r="A8183" s="439"/>
      <c r="B8183" s="439"/>
      <c r="C8183" s="439"/>
      <c r="D8183" s="439"/>
      <c r="E8183" s="439"/>
      <c r="F8183" s="439"/>
      <c r="G8183" s="451" t="s">
        <v>3406</v>
      </c>
      <c r="Z8183" s="500"/>
      <c r="AA8183" s="500"/>
      <c r="AB8183" s="500"/>
      <c r="AC8183" s="500"/>
      <c r="AD8183" s="500"/>
      <c r="AE8183" s="500"/>
      <c r="AF8183" s="500"/>
      <c r="AG8183" s="500"/>
      <c r="AH8183" s="500"/>
      <c r="AI8183" s="500"/>
      <c r="AJ8183" s="500"/>
      <c r="AK8183" s="500"/>
      <c r="AL8183" s="500"/>
      <c r="AM8183" s="500"/>
      <c r="AN8183" s="500"/>
      <c r="AO8183" s="500"/>
      <c r="AP8183" s="500"/>
    </row>
    <row r="8184" spans="1:42" ht="16.5" customHeight="1">
      <c r="A8184" s="434"/>
      <c r="B8184" s="437" t="s">
        <v>3419</v>
      </c>
      <c r="C8184" s="513">
        <f>E8184+D8184+F8184</f>
        <v>2905.8</v>
      </c>
      <c r="D8184" s="513">
        <f>SUMIF(N8174:N8183,M8184,D8174:D8183)</f>
        <v>0</v>
      </c>
      <c r="E8184" s="513">
        <f>SUMIF(N8174:N8183,M8184,E8174:E8183)</f>
        <v>0</v>
      </c>
      <c r="F8184" s="513">
        <f>SUMIF(N8174:N8183,M8184,F8174:F8183)</f>
        <v>2905.8</v>
      </c>
      <c r="G8184" s="451" t="s">
        <v>3420</v>
      </c>
      <c r="M8184" s="501" t="s">
        <v>3416</v>
      </c>
      <c r="N8184" s="501" t="s">
        <v>3421</v>
      </c>
      <c r="Z8184" s="500"/>
      <c r="AA8184" s="500"/>
      <c r="AB8184" s="500"/>
      <c r="AC8184" s="500"/>
      <c r="AD8184" s="500"/>
      <c r="AE8184" s="500"/>
      <c r="AF8184" s="500"/>
      <c r="AG8184" s="500"/>
      <c r="AH8184" s="500"/>
      <c r="AI8184" s="500"/>
      <c r="AJ8184" s="500"/>
      <c r="AK8184" s="500"/>
      <c r="AL8184" s="500"/>
      <c r="AM8184" s="500"/>
      <c r="AN8184" s="500"/>
      <c r="AO8184" s="500"/>
      <c r="AP8184" s="500"/>
    </row>
    <row r="8185" spans="1:42" ht="16.5" customHeight="1">
      <c r="A8185" s="439"/>
      <c r="B8185" s="439"/>
      <c r="C8185" s="504"/>
      <c r="D8185" s="504"/>
      <c r="E8185" s="504"/>
      <c r="F8185" s="504"/>
      <c r="G8185" s="451" t="s">
        <v>3406</v>
      </c>
      <c r="Z8185" s="500"/>
      <c r="AA8185" s="500"/>
      <c r="AB8185" s="500"/>
      <c r="AC8185" s="500"/>
      <c r="AD8185" s="500"/>
      <c r="AE8185" s="500"/>
      <c r="AF8185" s="500"/>
      <c r="AG8185" s="500"/>
      <c r="AH8185" s="500"/>
      <c r="AI8185" s="500"/>
      <c r="AJ8185" s="500"/>
      <c r="AK8185" s="500"/>
      <c r="AL8185" s="500"/>
      <c r="AM8185" s="500"/>
      <c r="AN8185" s="500"/>
      <c r="AO8185" s="500"/>
      <c r="AP8185" s="500"/>
    </row>
    <row r="8186" spans="1:42" ht="16.5" customHeight="1">
      <c r="A8186" s="439"/>
      <c r="B8186" s="439"/>
      <c r="C8186" s="439"/>
      <c r="D8186" s="439"/>
      <c r="E8186" s="439"/>
      <c r="F8186" s="439"/>
      <c r="G8186" s="451" t="s">
        <v>3406</v>
      </c>
      <c r="Z8186" s="500"/>
      <c r="AA8186" s="500"/>
      <c r="AB8186" s="500"/>
      <c r="AC8186" s="500"/>
      <c r="AD8186" s="500"/>
      <c r="AE8186" s="500"/>
      <c r="AF8186" s="500"/>
      <c r="AG8186" s="500"/>
      <c r="AH8186" s="500"/>
      <c r="AI8186" s="500"/>
      <c r="AJ8186" s="500"/>
      <c r="AK8186" s="500"/>
      <c r="AL8186" s="500"/>
      <c r="AM8186" s="500"/>
      <c r="AN8186" s="500"/>
      <c r="AO8186" s="500"/>
      <c r="AP8186" s="500"/>
    </row>
    <row r="8187" spans="1:42" ht="16.5" customHeight="1">
      <c r="A8187" s="434"/>
      <c r="B8187" s="437" t="s">
        <v>4328</v>
      </c>
      <c r="C8187" s="439"/>
      <c r="D8187" s="439"/>
      <c r="E8187" s="439"/>
      <c r="F8187" s="439"/>
      <c r="G8187" s="451" t="s">
        <v>4329</v>
      </c>
      <c r="Z8187" s="500"/>
      <c r="AA8187" s="500"/>
      <c r="AB8187" s="500"/>
      <c r="AC8187" s="500"/>
      <c r="AD8187" s="500"/>
      <c r="AE8187" s="500"/>
      <c r="AF8187" s="500"/>
      <c r="AG8187" s="500"/>
      <c r="AH8187" s="500"/>
      <c r="AI8187" s="500"/>
      <c r="AJ8187" s="500"/>
      <c r="AK8187" s="500"/>
      <c r="AL8187" s="500"/>
      <c r="AM8187" s="500"/>
      <c r="AN8187" s="500"/>
      <c r="AO8187" s="500"/>
      <c r="AP8187" s="500"/>
    </row>
    <row r="8188" spans="1:42" ht="16.5" customHeight="1">
      <c r="A8188" s="439"/>
      <c r="B8188" s="439"/>
      <c r="C8188" s="439"/>
      <c r="D8188" s="439"/>
      <c r="E8188" s="439"/>
      <c r="F8188" s="439"/>
      <c r="G8188" s="451" t="s">
        <v>3406</v>
      </c>
      <c r="Z8188" s="500"/>
      <c r="AA8188" s="500"/>
      <c r="AB8188" s="500"/>
      <c r="AC8188" s="500"/>
      <c r="AD8188" s="500"/>
      <c r="AE8188" s="500"/>
      <c r="AF8188" s="500"/>
      <c r="AG8188" s="500"/>
      <c r="AH8188" s="500"/>
      <c r="AI8188" s="500"/>
      <c r="AJ8188" s="500"/>
      <c r="AK8188" s="500"/>
      <c r="AL8188" s="500"/>
      <c r="AM8188" s="500"/>
      <c r="AN8188" s="500"/>
      <c r="AO8188" s="500"/>
      <c r="AP8188" s="500"/>
    </row>
    <row r="8189" spans="1:42" ht="16.5" customHeight="1">
      <c r="A8189" s="434"/>
      <c r="B8189" s="505" t="str">
        <f>"  잡재료비 : "&amp;TEXT(I8189,"#,##0.0")&amp;" * "&amp;AA8189&amp;" %  = "&amp;TEXT(C8189,"#,##0.0")&amp;""</f>
        <v xml:space="preserve">  잡재료비 : 228,399.9 * 1 %  = 2,283.9</v>
      </c>
      <c r="C8189" s="506">
        <f>E8189+D8189+F8189</f>
        <v>2283.9</v>
      </c>
      <c r="D8189" s="506">
        <f>IF(H8189=0,0,ROUNDDOWN(J8189*H8189/100,1))</f>
        <v>0</v>
      </c>
      <c r="E8189" s="506">
        <f>IF(H8189=0,0,ROUNDDOWN(K8189*H8189/100,1))</f>
        <v>0</v>
      </c>
      <c r="F8189" s="506">
        <f>IF(H8189=0,0,ROUNDDOWN(L8189*H8189/100,1))</f>
        <v>2283.9</v>
      </c>
      <c r="G8189" s="451" t="s">
        <v>4336</v>
      </c>
      <c r="H8189" s="507">
        <f>ROUNDUP(AC8189,14-LEN(ABS(INT(AC8189))))</f>
        <v>1</v>
      </c>
      <c r="I8189" s="508">
        <f>K8189+J8189+L8189</f>
        <v>228399.90000000002</v>
      </c>
      <c r="J8189" s="456">
        <v>0</v>
      </c>
      <c r="K8189" s="456">
        <v>0</v>
      </c>
      <c r="L8189" s="509">
        <f>D8169+D8171+D8178+D8180+D8182</f>
        <v>228399.90000000002</v>
      </c>
      <c r="M8189" s="501" t="s">
        <v>3743</v>
      </c>
      <c r="N8189" s="501" t="s">
        <v>3416</v>
      </c>
      <c r="O8189" s="501" t="s">
        <v>2355</v>
      </c>
      <c r="Z8189" s="501" t="s">
        <v>3500</v>
      </c>
      <c r="AA8189" s="515">
        <v>1</v>
      </c>
      <c r="AB8189" s="501" t="s">
        <v>3418</v>
      </c>
      <c r="AC8189" s="512">
        <f>1*AA8189</f>
        <v>1</v>
      </c>
      <c r="AD8189" s="500"/>
      <c r="AE8189" s="500"/>
      <c r="AF8189" s="500"/>
      <c r="AG8189" s="500"/>
      <c r="AH8189" s="500"/>
      <c r="AI8189" s="500"/>
      <c r="AJ8189" s="500"/>
      <c r="AK8189" s="500"/>
      <c r="AL8189" s="500"/>
      <c r="AM8189" s="500"/>
      <c r="AN8189" s="500"/>
      <c r="AO8189" s="500"/>
      <c r="AP8189" s="500"/>
    </row>
    <row r="8190" spans="1:42" ht="16.5" customHeight="1">
      <c r="A8190" s="439"/>
      <c r="B8190" s="439"/>
      <c r="C8190" s="439"/>
      <c r="D8190" s="439"/>
      <c r="E8190" s="439"/>
      <c r="F8190" s="439"/>
      <c r="G8190" s="451" t="s">
        <v>3406</v>
      </c>
      <c r="Z8190" s="500"/>
      <c r="AA8190" s="500"/>
      <c r="AB8190" s="500"/>
      <c r="AC8190" s="500"/>
      <c r="AD8190" s="500"/>
      <c r="AE8190" s="500"/>
      <c r="AF8190" s="500"/>
      <c r="AG8190" s="500"/>
      <c r="AH8190" s="500"/>
      <c r="AI8190" s="500"/>
      <c r="AJ8190" s="500"/>
      <c r="AK8190" s="500"/>
      <c r="AL8190" s="500"/>
      <c r="AM8190" s="500"/>
      <c r="AN8190" s="500"/>
      <c r="AO8190" s="500"/>
      <c r="AP8190" s="500"/>
    </row>
    <row r="8191" spans="1:42" ht="16.5" customHeight="1">
      <c r="A8191" s="434"/>
      <c r="B8191" s="437" t="s">
        <v>3419</v>
      </c>
      <c r="C8191" s="513">
        <f>E8191+D8191+F8191</f>
        <v>2283.9</v>
      </c>
      <c r="D8191" s="513">
        <f>SUMIF(N8185:N8190,M8191,D8185:D8190)</f>
        <v>0</v>
      </c>
      <c r="E8191" s="513">
        <f>SUMIF(N8185:N8190,M8191,E8185:E8190)</f>
        <v>0</v>
      </c>
      <c r="F8191" s="513">
        <f>SUMIF(N8185:N8190,M8191,F8185:F8190)</f>
        <v>2283.9</v>
      </c>
      <c r="G8191" s="451" t="s">
        <v>3420</v>
      </c>
      <c r="M8191" s="501" t="s">
        <v>3416</v>
      </c>
      <c r="N8191" s="501" t="s">
        <v>3421</v>
      </c>
      <c r="Z8191" s="500"/>
      <c r="AA8191" s="500"/>
      <c r="AB8191" s="500"/>
      <c r="AC8191" s="500"/>
      <c r="AD8191" s="500"/>
      <c r="AE8191" s="500"/>
      <c r="AF8191" s="500"/>
      <c r="AG8191" s="500"/>
      <c r="AH8191" s="500"/>
      <c r="AI8191" s="500"/>
      <c r="AJ8191" s="500"/>
      <c r="AK8191" s="500"/>
      <c r="AL8191" s="500"/>
      <c r="AM8191" s="500"/>
      <c r="AN8191" s="500"/>
      <c r="AO8191" s="500"/>
      <c r="AP8191" s="500"/>
    </row>
    <row r="8192" spans="1:42" ht="16.5" customHeight="1">
      <c r="A8192" s="439"/>
      <c r="B8192" s="439"/>
      <c r="C8192" s="504"/>
      <c r="D8192" s="504"/>
      <c r="E8192" s="504"/>
      <c r="F8192" s="504"/>
      <c r="G8192" s="451" t="s">
        <v>3406</v>
      </c>
      <c r="Z8192" s="500"/>
      <c r="AA8192" s="500"/>
      <c r="AB8192" s="500"/>
      <c r="AC8192" s="500"/>
      <c r="AD8192" s="500"/>
      <c r="AE8192" s="500"/>
      <c r="AF8192" s="500"/>
      <c r="AG8192" s="500"/>
      <c r="AH8192" s="500"/>
      <c r="AI8192" s="500"/>
      <c r="AJ8192" s="500"/>
      <c r="AK8192" s="500"/>
      <c r="AL8192" s="500"/>
      <c r="AM8192" s="500"/>
      <c r="AN8192" s="500"/>
      <c r="AO8192" s="500"/>
      <c r="AP8192" s="500"/>
    </row>
    <row r="8193" spans="1:42" ht="16.5" customHeight="1">
      <c r="A8193" s="439"/>
      <c r="B8193" s="439"/>
      <c r="C8193" s="439"/>
      <c r="D8193" s="439"/>
      <c r="E8193" s="439"/>
      <c r="F8193" s="439"/>
      <c r="G8193" s="451" t="s">
        <v>3406</v>
      </c>
      <c r="Z8193" s="500"/>
      <c r="AA8193" s="500"/>
      <c r="AB8193" s="500"/>
      <c r="AC8193" s="500"/>
      <c r="AD8193" s="500"/>
      <c r="AE8193" s="500"/>
      <c r="AF8193" s="500"/>
      <c r="AG8193" s="500"/>
      <c r="AH8193" s="500"/>
      <c r="AI8193" s="500"/>
      <c r="AJ8193" s="500"/>
      <c r="AK8193" s="500"/>
      <c r="AL8193" s="500"/>
      <c r="AM8193" s="500"/>
      <c r="AN8193" s="500"/>
      <c r="AO8193" s="500"/>
      <c r="AP8193" s="500"/>
    </row>
    <row r="8194" spans="1:42" ht="16.5" customHeight="1">
      <c r="A8194" s="434"/>
      <c r="B8194" s="505" t="str">
        <f>" 산지할증 : "&amp;TEXT(I8194,"#,##0.0")&amp;" * "&amp;AA8194&amp;" %  = "&amp;TEXT(C8194,"#,##0.0")&amp;""</f>
        <v xml:space="preserve"> 산지할증 : 228,399.9 * 15 %  = 34,259.9</v>
      </c>
      <c r="C8194" s="506">
        <f>E8194+D8194+F8194</f>
        <v>34259.9</v>
      </c>
      <c r="D8194" s="506">
        <f>IF(H8194=0,0,ROUNDDOWN(J8194*H8194/100,1))</f>
        <v>34259.9</v>
      </c>
      <c r="E8194" s="506">
        <f>IF(H8194=0,0,ROUNDDOWN(K8194*H8194/100,1))</f>
        <v>0</v>
      </c>
      <c r="F8194" s="506">
        <f>IF(H8194=0,0,ROUNDDOWN(L8194*H8194/100,1))</f>
        <v>0</v>
      </c>
      <c r="G8194" s="451" t="s">
        <v>5645</v>
      </c>
      <c r="H8194" s="507">
        <f>ROUNDUP(AC8194,14-LEN(ABS(INT(AC8194))))</f>
        <v>15</v>
      </c>
      <c r="I8194" s="508">
        <f>K8194+J8194+L8194</f>
        <v>228399.90000000002</v>
      </c>
      <c r="J8194" s="508">
        <f>D8173+D8184+D8191+SUMIF(N8192:N8193,N8194,D8192:D8193)</f>
        <v>228399.90000000002</v>
      </c>
      <c r="K8194" s="456">
        <v>0</v>
      </c>
      <c r="L8194" s="456">
        <v>0</v>
      </c>
      <c r="M8194" s="501" t="s">
        <v>4338</v>
      </c>
      <c r="N8194" s="501" t="s">
        <v>3421</v>
      </c>
      <c r="Z8194" s="501" t="s">
        <v>3500</v>
      </c>
      <c r="AA8194" s="515">
        <v>15</v>
      </c>
      <c r="AB8194" s="501" t="s">
        <v>3418</v>
      </c>
      <c r="AC8194" s="512">
        <f>1*AA8194</f>
        <v>15</v>
      </c>
      <c r="AD8194" s="500"/>
      <c r="AE8194" s="500"/>
      <c r="AF8194" s="500"/>
      <c r="AG8194" s="500"/>
      <c r="AH8194" s="500"/>
      <c r="AI8194" s="500"/>
      <c r="AJ8194" s="500"/>
      <c r="AK8194" s="500"/>
      <c r="AL8194" s="500"/>
      <c r="AM8194" s="500"/>
      <c r="AN8194" s="500"/>
      <c r="AO8194" s="500"/>
      <c r="AP8194" s="500"/>
    </row>
    <row r="8195" spans="1:42" ht="16.5" customHeight="1">
      <c r="A8195" s="439"/>
      <c r="B8195" s="439"/>
      <c r="C8195" s="439"/>
      <c r="D8195" s="439"/>
      <c r="E8195" s="439"/>
      <c r="F8195" s="439"/>
      <c r="G8195" s="451" t="s">
        <v>3406</v>
      </c>
      <c r="Z8195" s="500"/>
      <c r="AA8195" s="500"/>
      <c r="AB8195" s="500"/>
      <c r="AC8195" s="500"/>
      <c r="AD8195" s="500"/>
      <c r="AE8195" s="500"/>
      <c r="AF8195" s="500"/>
      <c r="AG8195" s="500"/>
      <c r="AH8195" s="500"/>
      <c r="AI8195" s="500"/>
      <c r="AJ8195" s="500"/>
      <c r="AK8195" s="500"/>
      <c r="AL8195" s="500"/>
      <c r="AM8195" s="500"/>
      <c r="AN8195" s="500"/>
      <c r="AO8195" s="500"/>
      <c r="AP8195" s="500"/>
    </row>
    <row r="8196" spans="1:42" ht="16.5" customHeight="1">
      <c r="A8196" s="439"/>
      <c r="B8196" s="439"/>
      <c r="C8196" s="439"/>
      <c r="D8196" s="439"/>
      <c r="E8196" s="439"/>
      <c r="F8196" s="439"/>
      <c r="G8196" s="451" t="s">
        <v>3406</v>
      </c>
      <c r="Z8196" s="500"/>
      <c r="AA8196" s="500"/>
      <c r="AB8196" s="500"/>
      <c r="AC8196" s="500"/>
      <c r="AD8196" s="500"/>
      <c r="AE8196" s="500"/>
      <c r="AF8196" s="500"/>
      <c r="AG8196" s="500"/>
      <c r="AH8196" s="500"/>
      <c r="AI8196" s="500"/>
      <c r="AJ8196" s="500"/>
      <c r="AK8196" s="500"/>
      <c r="AL8196" s="500"/>
      <c r="AM8196" s="500"/>
      <c r="AN8196" s="500"/>
      <c r="AO8196" s="500"/>
      <c r="AP8196" s="500"/>
    </row>
    <row r="8197" spans="1:42" ht="16.5" customHeight="1">
      <c r="A8197" s="434"/>
      <c r="B8197" s="437" t="s">
        <v>3440</v>
      </c>
      <c r="C8197" s="513">
        <f>E8197+D8197+F8197</f>
        <v>267849.50000000006</v>
      </c>
      <c r="D8197" s="513">
        <f>SUMIF(N8157:N8196,M8197,D8157:D8196)</f>
        <v>262659.80000000005</v>
      </c>
      <c r="E8197" s="513">
        <f>SUMIF(N8157:N8196,M8197,E8157:E8196)</f>
        <v>0</v>
      </c>
      <c r="F8197" s="513">
        <f>SUMIF(N8157:N8196,M8197,F8157:F8196)</f>
        <v>5189.7000000000007</v>
      </c>
      <c r="G8197" s="451" t="s">
        <v>3484</v>
      </c>
      <c r="M8197" s="501" t="s">
        <v>3421</v>
      </c>
      <c r="N8197" s="501" t="s">
        <v>2354</v>
      </c>
      <c r="Z8197" s="500"/>
      <c r="AA8197" s="500"/>
      <c r="AB8197" s="500"/>
      <c r="AC8197" s="500"/>
      <c r="AD8197" s="500"/>
      <c r="AE8197" s="500"/>
      <c r="AF8197" s="500"/>
      <c r="AG8197" s="500"/>
      <c r="AH8197" s="500"/>
      <c r="AI8197" s="500"/>
      <c r="AJ8197" s="500"/>
      <c r="AK8197" s="500"/>
      <c r="AL8197" s="500"/>
      <c r="AM8197" s="500"/>
      <c r="AN8197" s="500"/>
      <c r="AO8197" s="500"/>
      <c r="AP8197" s="500"/>
    </row>
    <row r="8198" spans="1:42" ht="16.5" customHeight="1">
      <c r="A8198" s="439"/>
      <c r="B8198" s="439"/>
      <c r="C8198" s="504"/>
      <c r="D8198" s="504"/>
      <c r="E8198" s="504"/>
      <c r="F8198" s="504"/>
      <c r="Z8198" s="500"/>
      <c r="AA8198" s="500"/>
      <c r="AB8198" s="500"/>
      <c r="AC8198" s="500"/>
      <c r="AD8198" s="500"/>
      <c r="AE8198" s="500"/>
      <c r="AF8198" s="500"/>
      <c r="AG8198" s="500"/>
      <c r="AH8198" s="500"/>
      <c r="AI8198" s="500"/>
      <c r="AJ8198" s="500"/>
      <c r="AK8198" s="500"/>
      <c r="AL8198" s="500"/>
      <c r="AM8198" s="500"/>
      <c r="AN8198" s="500"/>
      <c r="AO8198" s="500"/>
      <c r="AP8198" s="500"/>
    </row>
    <row r="8199" spans="1:42" ht="16.5" customHeight="1">
      <c r="A8199" s="439"/>
      <c r="B8199" s="439"/>
      <c r="C8199" s="439"/>
      <c r="D8199" s="439"/>
      <c r="E8199" s="439"/>
      <c r="F8199" s="439"/>
      <c r="Z8199" s="500"/>
      <c r="AA8199" s="500"/>
      <c r="AB8199" s="500"/>
      <c r="AC8199" s="500"/>
      <c r="AD8199" s="500"/>
      <c r="AE8199" s="500"/>
      <c r="AF8199" s="500"/>
      <c r="AG8199" s="500"/>
      <c r="AH8199" s="500"/>
      <c r="AI8199" s="500"/>
      <c r="AJ8199" s="500"/>
      <c r="AK8199" s="500"/>
      <c r="AL8199" s="500"/>
      <c r="AM8199" s="500"/>
      <c r="AN8199" s="500"/>
      <c r="AO8199" s="500"/>
      <c r="AP8199" s="500"/>
    </row>
    <row r="8200" spans="1:42" ht="16.5" customHeight="1">
      <c r="A8200" s="439"/>
      <c r="B8200" s="439"/>
      <c r="C8200" s="439"/>
      <c r="D8200" s="439"/>
      <c r="E8200" s="439"/>
      <c r="F8200" s="439"/>
      <c r="Z8200" s="500"/>
      <c r="AA8200" s="500"/>
      <c r="AB8200" s="500"/>
      <c r="AC8200" s="500"/>
      <c r="AD8200" s="500"/>
      <c r="AE8200" s="500"/>
      <c r="AF8200" s="500"/>
      <c r="AG8200" s="500"/>
      <c r="AH8200" s="500"/>
      <c r="AI8200" s="500"/>
      <c r="AJ8200" s="500"/>
      <c r="AK8200" s="500"/>
      <c r="AL8200" s="500"/>
      <c r="AM8200" s="500"/>
      <c r="AN8200" s="500"/>
      <c r="AO8200" s="500"/>
      <c r="AP8200" s="500"/>
    </row>
    <row r="8201" spans="1:42" ht="16.5" customHeight="1">
      <c r="A8201" s="439"/>
      <c r="B8201" s="439"/>
      <c r="C8201" s="439"/>
      <c r="D8201" s="439"/>
      <c r="E8201" s="439"/>
      <c r="F8201" s="439"/>
      <c r="Z8201" s="500"/>
      <c r="AA8201" s="500"/>
      <c r="AB8201" s="500"/>
      <c r="AC8201" s="500"/>
      <c r="AD8201" s="500"/>
      <c r="AE8201" s="500"/>
      <c r="AF8201" s="500"/>
      <c r="AG8201" s="500"/>
      <c r="AH8201" s="500"/>
      <c r="AI8201" s="500"/>
      <c r="AJ8201" s="500"/>
      <c r="AK8201" s="500"/>
      <c r="AL8201" s="500"/>
      <c r="AM8201" s="500"/>
      <c r="AN8201" s="500"/>
      <c r="AO8201" s="500"/>
      <c r="AP8201" s="500"/>
    </row>
    <row r="8202" spans="1:42" ht="16.5" customHeight="1">
      <c r="A8202" s="439"/>
      <c r="B8202" s="439"/>
      <c r="C8202" s="439"/>
      <c r="D8202" s="439"/>
      <c r="E8202" s="439"/>
      <c r="F8202" s="439"/>
      <c r="Z8202" s="500"/>
      <c r="AA8202" s="500"/>
      <c r="AB8202" s="500"/>
      <c r="AC8202" s="500"/>
      <c r="AD8202" s="500"/>
      <c r="AE8202" s="500"/>
      <c r="AF8202" s="500"/>
      <c r="AG8202" s="500"/>
      <c r="AH8202" s="500"/>
      <c r="AI8202" s="500"/>
      <c r="AJ8202" s="500"/>
      <c r="AK8202" s="500"/>
      <c r="AL8202" s="500"/>
      <c r="AM8202" s="500"/>
      <c r="AN8202" s="500"/>
      <c r="AO8202" s="500"/>
      <c r="AP8202" s="500"/>
    </row>
    <row r="8203" spans="1:42" ht="16.5" customHeight="1">
      <c r="A8203" s="497"/>
      <c r="B8203" s="497"/>
      <c r="C8203" s="497"/>
      <c r="D8203" s="497"/>
      <c r="E8203" s="497"/>
      <c r="F8203" s="497"/>
      <c r="Z8203" s="500"/>
      <c r="AA8203" s="500"/>
      <c r="AB8203" s="500"/>
      <c r="AC8203" s="500"/>
      <c r="AD8203" s="500"/>
      <c r="AE8203" s="500"/>
      <c r="AF8203" s="500"/>
      <c r="AG8203" s="500"/>
      <c r="AH8203" s="500"/>
      <c r="AI8203" s="500"/>
      <c r="AJ8203" s="500"/>
      <c r="AK8203" s="500"/>
      <c r="AL8203" s="500"/>
      <c r="AM8203" s="500"/>
      <c r="AN8203" s="500"/>
      <c r="AO8203" s="500"/>
      <c r="AP8203" s="500"/>
    </row>
    <row r="8204" spans="1:42" ht="16.5" customHeight="1">
      <c r="A8204" s="616" t="s">
        <v>3487</v>
      </c>
      <c r="B8204" s="605"/>
      <c r="C8204" s="446">
        <f>E8204+D8204+F8204</f>
        <v>267848</v>
      </c>
      <c r="D8204" s="453">
        <f>ROUNDDOWN(SUMIF(N8157:N8197,M8204,D8157:D8197),0)</f>
        <v>262659</v>
      </c>
      <c r="E8204" s="454">
        <f>ROUNDDOWN(SUMIF(N8157:N8197,M8204,E8157:E8197),0)</f>
        <v>0</v>
      </c>
      <c r="F8204" s="446">
        <f>ROUNDDOWN(SUMIF(N8157:N8197,M8204,F8157:F8197),0)</f>
        <v>5189</v>
      </c>
      <c r="M8204" s="501" t="s">
        <v>2354</v>
      </c>
      <c r="Z8204" s="500"/>
      <c r="AA8204" s="500"/>
      <c r="AB8204" s="500"/>
      <c r="AC8204" s="500"/>
      <c r="AD8204" s="500"/>
      <c r="AE8204" s="500"/>
      <c r="AF8204" s="500"/>
      <c r="AG8204" s="500"/>
      <c r="AH8204" s="500"/>
      <c r="AI8204" s="500"/>
      <c r="AJ8204" s="500"/>
      <c r="AK8204" s="500"/>
      <c r="AL8204" s="500"/>
      <c r="AM8204" s="500"/>
      <c r="AN8204" s="500"/>
      <c r="AO8204" s="500"/>
      <c r="AP8204" s="500"/>
    </row>
    <row r="8205" spans="1:42" ht="16.5" customHeight="1">
      <c r="A8205" s="502" t="s">
        <v>3383</v>
      </c>
      <c r="B8205" s="503" t="s">
        <v>1790</v>
      </c>
      <c r="C8205" s="615">
        <f>C8254</f>
        <v>290688</v>
      </c>
      <c r="D8205" s="615">
        <f>D8254</f>
        <v>285499</v>
      </c>
      <c r="E8205" s="615">
        <f>E8254</f>
        <v>0</v>
      </c>
      <c r="F8205" s="615">
        <f>F8254</f>
        <v>5189</v>
      </c>
      <c r="G8205" s="486" t="str">
        <f>HYPERLINK("#G"&amp;ROW(G8247),"_x0005_`BDCOD|D01268_x0007_`POSS|"&amp;ROW(G8207)&amp;"_x0007_`POSE|"&amp;ROW(G8247)&amp;"_x0007_`")</f>
        <v>_x0005_`BDCOD|D01268_x0007_`POSS|8207_x0007_`POSE|8247_x0007_`</v>
      </c>
      <c r="Z8205" s="500"/>
      <c r="AA8205" s="500"/>
      <c r="AB8205" s="500"/>
      <c r="AC8205" s="500"/>
      <c r="AD8205" s="500"/>
      <c r="AE8205" s="500"/>
      <c r="AF8205" s="500"/>
      <c r="AG8205" s="500"/>
      <c r="AH8205" s="500"/>
      <c r="AI8205" s="500"/>
      <c r="AJ8205" s="500"/>
      <c r="AK8205" s="500"/>
      <c r="AL8205" s="500"/>
      <c r="AM8205" s="500"/>
      <c r="AN8205" s="500"/>
      <c r="AO8205" s="500"/>
      <c r="AP8205" s="500"/>
    </row>
    <row r="8206" spans="1:42" ht="16.5" customHeight="1">
      <c r="A8206" s="485"/>
      <c r="B8206" s="503" t="s">
        <v>5646</v>
      </c>
      <c r="C8206" s="593"/>
      <c r="D8206" s="593"/>
      <c r="E8206" s="593"/>
      <c r="F8206" s="593"/>
      <c r="M8206" s="501" t="s">
        <v>1790</v>
      </c>
      <c r="Z8206" s="500"/>
      <c r="AA8206" s="500"/>
      <c r="AB8206" s="500"/>
      <c r="AC8206" s="500"/>
      <c r="AD8206" s="500"/>
      <c r="AE8206" s="500"/>
      <c r="AF8206" s="500"/>
      <c r="AG8206" s="500"/>
      <c r="AH8206" s="500"/>
      <c r="AI8206" s="500"/>
      <c r="AJ8206" s="500"/>
      <c r="AK8206" s="500"/>
      <c r="AL8206" s="500"/>
      <c r="AM8206" s="500"/>
      <c r="AN8206" s="500"/>
      <c r="AO8206" s="500"/>
      <c r="AP8206" s="500"/>
    </row>
    <row r="8207" spans="1:42" ht="16.5" customHeight="1">
      <c r="A8207" s="439"/>
      <c r="B8207" s="439"/>
      <c r="C8207" s="504"/>
      <c r="D8207" s="504"/>
      <c r="E8207" s="504"/>
      <c r="F8207" s="504"/>
      <c r="G8207" s="451" t="s">
        <v>3406</v>
      </c>
      <c r="Z8207" s="500"/>
      <c r="AA8207" s="500"/>
      <c r="AB8207" s="500"/>
      <c r="AC8207" s="500"/>
      <c r="AD8207" s="500"/>
      <c r="AE8207" s="500"/>
      <c r="AF8207" s="500"/>
      <c r="AG8207" s="500"/>
      <c r="AH8207" s="500"/>
      <c r="AI8207" s="500"/>
      <c r="AJ8207" s="500"/>
      <c r="AK8207" s="500"/>
      <c r="AL8207" s="500"/>
      <c r="AM8207" s="500"/>
      <c r="AN8207" s="500"/>
      <c r="AO8207" s="500"/>
      <c r="AP8207" s="500"/>
    </row>
    <row r="8208" spans="1:42" ht="16.5" customHeight="1">
      <c r="A8208" s="434"/>
      <c r="B8208" s="437" t="s">
        <v>4309</v>
      </c>
      <c r="C8208" s="439"/>
      <c r="D8208" s="439"/>
      <c r="E8208" s="439"/>
      <c r="F8208" s="439"/>
      <c r="G8208" s="451" t="s">
        <v>4310</v>
      </c>
      <c r="Z8208" s="500"/>
      <c r="AA8208" s="500"/>
      <c r="AB8208" s="500"/>
      <c r="AC8208" s="500"/>
      <c r="AD8208" s="500"/>
      <c r="AE8208" s="500"/>
      <c r="AF8208" s="500"/>
      <c r="AG8208" s="500"/>
      <c r="AH8208" s="500"/>
      <c r="AI8208" s="500"/>
      <c r="AJ8208" s="500"/>
      <c r="AK8208" s="500"/>
      <c r="AL8208" s="500"/>
      <c r="AM8208" s="500"/>
      <c r="AN8208" s="500"/>
      <c r="AO8208" s="500"/>
      <c r="AP8208" s="500"/>
    </row>
    <row r="8209" spans="1:42" ht="16.5" customHeight="1">
      <c r="A8209" s="439"/>
      <c r="B8209" s="439"/>
      <c r="C8209" s="439"/>
      <c r="D8209" s="439"/>
      <c r="E8209" s="439"/>
      <c r="F8209" s="439"/>
      <c r="G8209" s="451" t="s">
        <v>3406</v>
      </c>
      <c r="Z8209" s="500"/>
      <c r="AA8209" s="500"/>
      <c r="AB8209" s="500"/>
      <c r="AC8209" s="500"/>
      <c r="AD8209" s="500"/>
      <c r="AE8209" s="500"/>
      <c r="AF8209" s="500"/>
      <c r="AG8209" s="500"/>
      <c r="AH8209" s="500"/>
      <c r="AI8209" s="500"/>
      <c r="AJ8209" s="500"/>
      <c r="AK8209" s="500"/>
      <c r="AL8209" s="500"/>
      <c r="AM8209" s="500"/>
      <c r="AN8209" s="500"/>
      <c r="AO8209" s="500"/>
      <c r="AP8209" s="500"/>
    </row>
    <row r="8210" spans="1:42" ht="16.5" customHeight="1">
      <c r="A8210" s="434"/>
      <c r="B8210" s="437" t="s">
        <v>4311</v>
      </c>
      <c r="C8210" s="439"/>
      <c r="D8210" s="439"/>
      <c r="E8210" s="439"/>
      <c r="F8210" s="439"/>
      <c r="G8210" s="451" t="s">
        <v>4312</v>
      </c>
      <c r="Z8210" s="500"/>
      <c r="AA8210" s="500"/>
      <c r="AB8210" s="500"/>
      <c r="AC8210" s="500"/>
      <c r="AD8210" s="500"/>
      <c r="AE8210" s="500"/>
      <c r="AF8210" s="500"/>
      <c r="AG8210" s="500"/>
      <c r="AH8210" s="500"/>
      <c r="AI8210" s="500"/>
      <c r="AJ8210" s="500"/>
      <c r="AK8210" s="500"/>
      <c r="AL8210" s="500"/>
      <c r="AM8210" s="500"/>
      <c r="AN8210" s="500"/>
      <c r="AO8210" s="500"/>
      <c r="AP8210" s="500"/>
    </row>
    <row r="8211" spans="1:42" ht="16.5" customHeight="1">
      <c r="A8211" s="439"/>
      <c r="B8211" s="439"/>
      <c r="C8211" s="439"/>
      <c r="D8211" s="439"/>
      <c r="E8211" s="439"/>
      <c r="F8211" s="439"/>
      <c r="G8211" s="451" t="s">
        <v>3406</v>
      </c>
      <c r="Z8211" s="500"/>
      <c r="AA8211" s="500"/>
      <c r="AB8211" s="500"/>
      <c r="AC8211" s="500"/>
      <c r="AD8211" s="500"/>
      <c r="AE8211" s="500"/>
      <c r="AF8211" s="500"/>
      <c r="AG8211" s="500"/>
      <c r="AH8211" s="500"/>
      <c r="AI8211" s="500"/>
      <c r="AJ8211" s="500"/>
      <c r="AK8211" s="500"/>
      <c r="AL8211" s="500"/>
      <c r="AM8211" s="500"/>
      <c r="AN8211" s="500"/>
      <c r="AO8211" s="500"/>
      <c r="AP8211" s="500"/>
    </row>
    <row r="8212" spans="1:42" ht="16.5" customHeight="1">
      <c r="A8212" s="434"/>
      <c r="B8212" s="437" t="str">
        <f>"  일당 작업량 :  Q1 = "&amp;Z8212&amp;" ㎥ "</f>
        <v xml:space="preserve">  일당 작업량 :  Q1 = 2.7 ㎥ </v>
      </c>
      <c r="C8212" s="439"/>
      <c r="D8212" s="439"/>
      <c r="E8212" s="439"/>
      <c r="F8212" s="439"/>
      <c r="G8212" s="451" t="s">
        <v>4313</v>
      </c>
      <c r="Z8212" s="511">
        <v>2.7</v>
      </c>
      <c r="AA8212" s="501" t="s">
        <v>3418</v>
      </c>
      <c r="AB8212" s="512">
        <f>Z8212</f>
        <v>2.7</v>
      </c>
      <c r="AC8212" s="500"/>
      <c r="AD8212" s="500"/>
      <c r="AE8212" s="500"/>
      <c r="AF8212" s="500"/>
      <c r="AG8212" s="500"/>
      <c r="AH8212" s="500"/>
      <c r="AI8212" s="500"/>
      <c r="AJ8212" s="500"/>
      <c r="AK8212" s="500"/>
      <c r="AL8212" s="500"/>
      <c r="AM8212" s="500"/>
      <c r="AN8212" s="500"/>
      <c r="AO8212" s="500"/>
      <c r="AP8212" s="500"/>
    </row>
    <row r="8213" spans="1:42" ht="16.5" customHeight="1">
      <c r="A8213" s="439"/>
      <c r="B8213" s="439"/>
      <c r="C8213" s="439"/>
      <c r="D8213" s="439"/>
      <c r="E8213" s="439"/>
      <c r="F8213" s="439"/>
      <c r="G8213" s="451" t="s">
        <v>3406</v>
      </c>
      <c r="Z8213" s="500"/>
      <c r="AA8213" s="500"/>
      <c r="AB8213" s="500"/>
      <c r="AC8213" s="500"/>
      <c r="AD8213" s="500"/>
      <c r="AE8213" s="500"/>
      <c r="AF8213" s="500"/>
      <c r="AG8213" s="500"/>
      <c r="AH8213" s="500"/>
      <c r="AI8213" s="500"/>
      <c r="AJ8213" s="500"/>
      <c r="AK8213" s="500"/>
      <c r="AL8213" s="500"/>
      <c r="AM8213" s="500"/>
      <c r="AN8213" s="500"/>
      <c r="AO8213" s="500"/>
      <c r="AP8213" s="500"/>
    </row>
    <row r="8214" spans="1:42" ht="16.5" customHeight="1">
      <c r="A8214" s="434"/>
      <c r="B8214" s="437" t="str">
        <f>"  시간당 작업량 :  Q2 = "&amp;Z8214&amp;" / "&amp;AB8214&amp;" = "&amp;AD8214&amp;" ㎥/hr "</f>
        <v xml:space="preserve">  시간당 작업량 :  Q2 = 2.7 / 8 = 0.34 ㎥/hr </v>
      </c>
      <c r="C8214" s="439"/>
      <c r="D8214" s="439"/>
      <c r="E8214" s="439"/>
      <c r="F8214" s="439"/>
      <c r="G8214" s="451" t="s">
        <v>4314</v>
      </c>
      <c r="Z8214" s="511">
        <v>2.7</v>
      </c>
      <c r="AA8214" s="501" t="s">
        <v>3428</v>
      </c>
      <c r="AB8214" s="515">
        <v>8</v>
      </c>
      <c r="AC8214" s="501" t="s">
        <v>3418</v>
      </c>
      <c r="AD8214" s="512" t="str">
        <f>TEXT(ROUND(Z8214/AB8214,2),"#,0.00")</f>
        <v>0.34</v>
      </c>
      <c r="AE8214" s="500"/>
      <c r="AF8214" s="500"/>
      <c r="AG8214" s="500"/>
      <c r="AH8214" s="500"/>
      <c r="AI8214" s="500"/>
      <c r="AJ8214" s="500"/>
      <c r="AK8214" s="500"/>
      <c r="AL8214" s="500"/>
      <c r="AM8214" s="500"/>
      <c r="AN8214" s="500"/>
      <c r="AO8214" s="500"/>
      <c r="AP8214" s="500"/>
    </row>
    <row r="8215" spans="1:42" ht="16.5" customHeight="1">
      <c r="A8215" s="439"/>
      <c r="B8215" s="439"/>
      <c r="C8215" s="439"/>
      <c r="D8215" s="439"/>
      <c r="E8215" s="439"/>
      <c r="F8215" s="439"/>
      <c r="G8215" s="451" t="s">
        <v>3406</v>
      </c>
      <c r="Z8215" s="500"/>
      <c r="AA8215" s="500"/>
      <c r="AB8215" s="500"/>
      <c r="AC8215" s="500"/>
      <c r="AD8215" s="500"/>
      <c r="AE8215" s="500"/>
      <c r="AF8215" s="500"/>
      <c r="AG8215" s="500"/>
      <c r="AH8215" s="500"/>
      <c r="AI8215" s="500"/>
      <c r="AJ8215" s="500"/>
      <c r="AK8215" s="500"/>
      <c r="AL8215" s="500"/>
      <c r="AM8215" s="500"/>
      <c r="AN8215" s="500"/>
      <c r="AO8215" s="500"/>
      <c r="AP8215" s="500"/>
    </row>
    <row r="8216" spans="1:42" ht="16.5" customHeight="1">
      <c r="A8216" s="439"/>
      <c r="B8216" s="439"/>
      <c r="C8216" s="439"/>
      <c r="D8216" s="439"/>
      <c r="E8216" s="439"/>
      <c r="F8216" s="439"/>
      <c r="G8216" s="451" t="s">
        <v>3406</v>
      </c>
      <c r="Z8216" s="500"/>
      <c r="AA8216" s="500"/>
      <c r="AB8216" s="500"/>
      <c r="AC8216" s="500"/>
      <c r="AD8216" s="500"/>
      <c r="AE8216" s="500"/>
      <c r="AF8216" s="500"/>
      <c r="AG8216" s="500"/>
      <c r="AH8216" s="500"/>
      <c r="AI8216" s="500"/>
      <c r="AJ8216" s="500"/>
      <c r="AK8216" s="500"/>
      <c r="AL8216" s="500"/>
      <c r="AM8216" s="500"/>
      <c r="AN8216" s="500"/>
      <c r="AO8216" s="500"/>
      <c r="AP8216" s="500"/>
    </row>
    <row r="8217" spans="1:42" ht="16.5" customHeight="1">
      <c r="A8217" s="434"/>
      <c r="B8217" s="437" t="s">
        <v>4166</v>
      </c>
      <c r="C8217" s="439"/>
      <c r="D8217" s="439"/>
      <c r="E8217" s="439"/>
      <c r="F8217" s="439"/>
      <c r="G8217" s="451" t="s">
        <v>4167</v>
      </c>
      <c r="Z8217" s="500"/>
      <c r="AA8217" s="500"/>
      <c r="AB8217" s="500"/>
      <c r="AC8217" s="500"/>
      <c r="AD8217" s="500"/>
      <c r="AE8217" s="500"/>
      <c r="AF8217" s="500"/>
      <c r="AG8217" s="500"/>
      <c r="AH8217" s="500"/>
      <c r="AI8217" s="500"/>
      <c r="AJ8217" s="500"/>
      <c r="AK8217" s="500"/>
      <c r="AL8217" s="500"/>
      <c r="AM8217" s="500"/>
      <c r="AN8217" s="500"/>
      <c r="AO8217" s="500"/>
      <c r="AP8217" s="500"/>
    </row>
    <row r="8218" spans="1:42" ht="16.5" customHeight="1">
      <c r="A8218" s="439"/>
      <c r="B8218" s="439"/>
      <c r="C8218" s="439"/>
      <c r="D8218" s="439"/>
      <c r="E8218" s="439"/>
      <c r="F8218" s="439"/>
      <c r="G8218" s="451" t="s">
        <v>3406</v>
      </c>
      <c r="Z8218" s="500"/>
      <c r="AA8218" s="500"/>
      <c r="AB8218" s="500"/>
      <c r="AC8218" s="500"/>
      <c r="AD8218" s="500"/>
      <c r="AE8218" s="500"/>
      <c r="AF8218" s="500"/>
      <c r="AG8218" s="500"/>
      <c r="AH8218" s="500"/>
      <c r="AI8218" s="500"/>
      <c r="AJ8218" s="500"/>
      <c r="AK8218" s="500"/>
      <c r="AL8218" s="500"/>
      <c r="AM8218" s="500"/>
      <c r="AN8218" s="500"/>
      <c r="AO8218" s="500"/>
      <c r="AP8218" s="500"/>
    </row>
    <row r="8219" spans="1:42" ht="16.5" customHeight="1">
      <c r="A8219" s="434" t="s">
        <v>4315</v>
      </c>
      <c r="B8219" s="505" t="str">
        <f>"   착 암 공 : "&amp;TEXT(I8219,"#,##0"&amp;IF(I8219&lt;&gt;INT(I8219),".###",""))&amp;" * "&amp;AA8219&amp;" 인  / Q1 = "&amp;TEXT(C8219,"#,##0.0")&amp;""</f>
        <v xml:space="preserve">   착 암 공 : 222,306 * 2 인  / Q1 = 164,671.1</v>
      </c>
      <c r="C8219" s="506">
        <f>E8219+D8219+F8219</f>
        <v>164671.1</v>
      </c>
      <c r="D8219" s="506">
        <f>IF(H8219=0,0,ROUNDDOWN(J8219*H8219,1))</f>
        <v>164671.1</v>
      </c>
      <c r="E8219" s="506">
        <f>IF(H8219=0,0,ROUNDDOWN(K8219*H8219,1))</f>
        <v>0</v>
      </c>
      <c r="F8219" s="506">
        <f>IF(H8219=0,0,ROUNDDOWN(L8219*H8219,1))</f>
        <v>0</v>
      </c>
      <c r="G8219" s="451" t="s">
        <v>4331</v>
      </c>
      <c r="H8219" s="507">
        <f>ROUNDUP(AE8219,14-LEN(ABS(INT(AE8219))))</f>
        <v>0.74074074074079999</v>
      </c>
      <c r="I8219" s="508">
        <f>K8219+J8219+L8219</f>
        <v>222306</v>
      </c>
      <c r="J8219" s="509">
        <f>노무비목록표!E16</f>
        <v>222306</v>
      </c>
      <c r="M8219" s="501" t="s">
        <v>4317</v>
      </c>
      <c r="N8219" s="501" t="s">
        <v>3416</v>
      </c>
      <c r="O8219" s="501" t="s">
        <v>2355</v>
      </c>
      <c r="X8219" s="510" t="str">
        <f>노무비목록표!B16&amp;" / "&amp;노무비목록표!C16</f>
        <v xml:space="preserve">착암공 / </v>
      </c>
      <c r="Y8219" s="433" t="str">
        <f ca="1">HYPERLINK("#"&amp;노무비목록표!G2&amp;"!A"&amp;ROW(노무비목록표!A16),"L00209 →")</f>
        <v>L00209 →</v>
      </c>
      <c r="Z8219" s="501" t="s">
        <v>3500</v>
      </c>
      <c r="AA8219" s="515">
        <v>2</v>
      </c>
      <c r="AB8219" s="501" t="s">
        <v>3428</v>
      </c>
      <c r="AC8219" s="512">
        <f>AB8212</f>
        <v>2.7</v>
      </c>
      <c r="AD8219" s="501" t="s">
        <v>3418</v>
      </c>
      <c r="AE8219" s="512">
        <f>1*AA8219/AB8212</f>
        <v>0.7407407407407407</v>
      </c>
      <c r="AF8219" s="500"/>
      <c r="AG8219" s="500"/>
      <c r="AH8219" s="500"/>
      <c r="AI8219" s="500"/>
      <c r="AJ8219" s="500"/>
      <c r="AK8219" s="500"/>
      <c r="AL8219" s="500"/>
      <c r="AM8219" s="500"/>
      <c r="AN8219" s="500"/>
      <c r="AO8219" s="500"/>
      <c r="AP8219" s="500"/>
    </row>
    <row r="8220" spans="1:42" ht="16.5" customHeight="1">
      <c r="A8220" s="439"/>
      <c r="B8220" s="439"/>
      <c r="C8220" s="439"/>
      <c r="D8220" s="439"/>
      <c r="E8220" s="439"/>
      <c r="F8220" s="439"/>
      <c r="G8220" s="451" t="s">
        <v>3406</v>
      </c>
      <c r="Z8220" s="500"/>
      <c r="AA8220" s="500"/>
      <c r="AB8220" s="500"/>
      <c r="AC8220" s="500"/>
      <c r="AD8220" s="500"/>
      <c r="AE8220" s="500"/>
      <c r="AF8220" s="500"/>
      <c r="AG8220" s="500"/>
      <c r="AH8220" s="500"/>
      <c r="AI8220" s="500"/>
      <c r="AJ8220" s="500"/>
      <c r="AK8220" s="500"/>
      <c r="AL8220" s="500"/>
      <c r="AM8220" s="500"/>
      <c r="AN8220" s="500"/>
      <c r="AO8220" s="500"/>
      <c r="AP8220" s="500"/>
    </row>
    <row r="8221" spans="1:42" ht="16.5" customHeight="1">
      <c r="A8221" s="434" t="s">
        <v>3414</v>
      </c>
      <c r="B8221" s="505" t="str">
        <f>"   보통인부 : "&amp;TEXT(I8221,"#,##0"&amp;IF(I8221&lt;&gt;INT(I8221),".###",""))&amp;" * "&amp;AA8221&amp;" 인  / Q1 = "&amp;TEXT(C8221,"#,##0.0")&amp;""</f>
        <v xml:space="preserve">   보통인부 : 172,068 * 1 인  / Q1 = 63,728.8</v>
      </c>
      <c r="C8221" s="506">
        <f>E8221+D8221+F8221</f>
        <v>63728.800000000003</v>
      </c>
      <c r="D8221" s="506">
        <f>IF(H8221=0,0,ROUNDDOWN(J8221*H8221,1))</f>
        <v>63728.800000000003</v>
      </c>
      <c r="E8221" s="506">
        <f>IF(H8221=0,0,ROUNDDOWN(K8221*H8221,1))</f>
        <v>0</v>
      </c>
      <c r="F8221" s="506">
        <f>IF(H8221=0,0,ROUNDDOWN(L8221*H8221,1))</f>
        <v>0</v>
      </c>
      <c r="G8221" s="451" t="s">
        <v>4332</v>
      </c>
      <c r="H8221" s="507">
        <f>ROUNDUP(AE8221,14-LEN(ABS(INT(AE8221))))</f>
        <v>0.37037037037039999</v>
      </c>
      <c r="I8221" s="508">
        <f>K8221+J8221+L8221</f>
        <v>172068</v>
      </c>
      <c r="J8221" s="509">
        <f>노무비목록표!E10</f>
        <v>172068</v>
      </c>
      <c r="M8221" s="501" t="s">
        <v>2363</v>
      </c>
      <c r="N8221" s="501" t="s">
        <v>3416</v>
      </c>
      <c r="O8221" s="501" t="s">
        <v>2355</v>
      </c>
      <c r="X8221" s="510" t="str">
        <f>노무비목록표!B10&amp;" / "&amp;노무비목록표!C10</f>
        <v xml:space="preserve">보통인부 / </v>
      </c>
      <c r="Y8221" s="433" t="str">
        <f ca="1">HYPERLINK("#"&amp;노무비목록표!G2&amp;"!A"&amp;ROW(노무비목록표!A10),"L00017 →")</f>
        <v>L00017 →</v>
      </c>
      <c r="Z8221" s="501" t="s">
        <v>3500</v>
      </c>
      <c r="AA8221" s="515">
        <v>1</v>
      </c>
      <c r="AB8221" s="501" t="s">
        <v>3428</v>
      </c>
      <c r="AC8221" s="512">
        <f>AB8212</f>
        <v>2.7</v>
      </c>
      <c r="AD8221" s="501" t="s">
        <v>3418</v>
      </c>
      <c r="AE8221" s="512">
        <f>1*AA8221/AB8212</f>
        <v>0.37037037037037035</v>
      </c>
      <c r="AF8221" s="500"/>
      <c r="AG8221" s="500"/>
      <c r="AH8221" s="500"/>
      <c r="AI8221" s="500"/>
      <c r="AJ8221" s="500"/>
      <c r="AK8221" s="500"/>
      <c r="AL8221" s="500"/>
      <c r="AM8221" s="500"/>
      <c r="AN8221" s="500"/>
      <c r="AO8221" s="500"/>
      <c r="AP8221" s="500"/>
    </row>
    <row r="8222" spans="1:42" ht="16.5" customHeight="1">
      <c r="A8222" s="439"/>
      <c r="B8222" s="439"/>
      <c r="C8222" s="439"/>
      <c r="D8222" s="439"/>
      <c r="E8222" s="439"/>
      <c r="F8222" s="439"/>
      <c r="G8222" s="451" t="s">
        <v>3406</v>
      </c>
      <c r="Z8222" s="500"/>
      <c r="AA8222" s="500"/>
      <c r="AB8222" s="500"/>
      <c r="AC8222" s="500"/>
      <c r="AD8222" s="500"/>
      <c r="AE8222" s="500"/>
      <c r="AF8222" s="500"/>
      <c r="AG8222" s="500"/>
      <c r="AH8222" s="500"/>
      <c r="AI8222" s="500"/>
      <c r="AJ8222" s="500"/>
      <c r="AK8222" s="500"/>
      <c r="AL8222" s="500"/>
      <c r="AM8222" s="500"/>
      <c r="AN8222" s="500"/>
      <c r="AO8222" s="500"/>
      <c r="AP8222" s="500"/>
    </row>
    <row r="8223" spans="1:42" ht="16.5" customHeight="1">
      <c r="A8223" s="434"/>
      <c r="B8223" s="437" t="s">
        <v>3419</v>
      </c>
      <c r="C8223" s="513">
        <f>E8223+D8223+F8223</f>
        <v>228399.90000000002</v>
      </c>
      <c r="D8223" s="513">
        <f>SUMIF(N8207:N8222,M8223,D8207:D8222)</f>
        <v>228399.90000000002</v>
      </c>
      <c r="E8223" s="513">
        <f>SUMIF(N8207:N8222,M8223,E8207:E8222)</f>
        <v>0</v>
      </c>
      <c r="F8223" s="513">
        <f>SUMIF(N8207:N8222,M8223,F8207:F8222)</f>
        <v>0</v>
      </c>
      <c r="G8223" s="451" t="s">
        <v>3420</v>
      </c>
      <c r="M8223" s="501" t="s">
        <v>3416</v>
      </c>
      <c r="N8223" s="501" t="s">
        <v>3421</v>
      </c>
      <c r="Z8223" s="500"/>
      <c r="AA8223" s="500"/>
      <c r="AB8223" s="500"/>
      <c r="AC8223" s="500"/>
      <c r="AD8223" s="500"/>
      <c r="AE8223" s="500"/>
      <c r="AF8223" s="500"/>
      <c r="AG8223" s="500"/>
      <c r="AH8223" s="500"/>
      <c r="AI8223" s="500"/>
      <c r="AJ8223" s="500"/>
      <c r="AK8223" s="500"/>
      <c r="AL8223" s="500"/>
      <c r="AM8223" s="500"/>
      <c r="AN8223" s="500"/>
      <c r="AO8223" s="500"/>
      <c r="AP8223" s="500"/>
    </row>
    <row r="8224" spans="1:42" ht="16.5" customHeight="1">
      <c r="A8224" s="439"/>
      <c r="B8224" s="439"/>
      <c r="C8224" s="504"/>
      <c r="D8224" s="504"/>
      <c r="E8224" s="504"/>
      <c r="F8224" s="504"/>
      <c r="G8224" s="451" t="s">
        <v>3406</v>
      </c>
      <c r="Z8224" s="500"/>
      <c r="AA8224" s="500"/>
      <c r="AB8224" s="500"/>
      <c r="AC8224" s="500"/>
      <c r="AD8224" s="500"/>
      <c r="AE8224" s="500"/>
      <c r="AF8224" s="500"/>
      <c r="AG8224" s="500"/>
      <c r="AH8224" s="500"/>
      <c r="AI8224" s="500"/>
      <c r="AJ8224" s="500"/>
      <c r="AK8224" s="500"/>
      <c r="AL8224" s="500"/>
      <c r="AM8224" s="500"/>
      <c r="AN8224" s="500"/>
      <c r="AO8224" s="500"/>
      <c r="AP8224" s="500"/>
    </row>
    <row r="8225" spans="1:42" ht="16.5" customHeight="1">
      <c r="A8225" s="439"/>
      <c r="B8225" s="439"/>
      <c r="C8225" s="439"/>
      <c r="D8225" s="439"/>
      <c r="E8225" s="439"/>
      <c r="F8225" s="439"/>
      <c r="G8225" s="451" t="s">
        <v>3406</v>
      </c>
      <c r="Z8225" s="500"/>
      <c r="AA8225" s="500"/>
      <c r="AB8225" s="500"/>
      <c r="AC8225" s="500"/>
      <c r="AD8225" s="500"/>
      <c r="AE8225" s="500"/>
      <c r="AF8225" s="500"/>
      <c r="AG8225" s="500"/>
      <c r="AH8225" s="500"/>
      <c r="AI8225" s="500"/>
      <c r="AJ8225" s="500"/>
      <c r="AK8225" s="500"/>
      <c r="AL8225" s="500"/>
      <c r="AM8225" s="500"/>
      <c r="AN8225" s="500"/>
      <c r="AO8225" s="500"/>
      <c r="AP8225" s="500"/>
    </row>
    <row r="8226" spans="1:42" ht="16.5" customHeight="1">
      <c r="A8226" s="434"/>
      <c r="B8226" s="437" t="s">
        <v>4319</v>
      </c>
      <c r="C8226" s="439"/>
      <c r="D8226" s="439"/>
      <c r="E8226" s="439"/>
      <c r="F8226" s="439"/>
      <c r="G8226" s="451" t="s">
        <v>4320</v>
      </c>
      <c r="Z8226" s="500"/>
      <c r="AA8226" s="500"/>
      <c r="AB8226" s="500"/>
      <c r="AC8226" s="500"/>
      <c r="AD8226" s="500"/>
      <c r="AE8226" s="500"/>
      <c r="AF8226" s="500"/>
      <c r="AG8226" s="500"/>
      <c r="AH8226" s="500"/>
      <c r="AI8226" s="500"/>
      <c r="AJ8226" s="500"/>
      <c r="AK8226" s="500"/>
      <c r="AL8226" s="500"/>
      <c r="AM8226" s="500"/>
      <c r="AN8226" s="500"/>
      <c r="AO8226" s="500"/>
      <c r="AP8226" s="500"/>
    </row>
    <row r="8227" spans="1:42" ht="16.5" customHeight="1">
      <c r="A8227" s="439"/>
      <c r="B8227" s="439"/>
      <c r="C8227" s="439"/>
      <c r="D8227" s="439"/>
      <c r="E8227" s="439"/>
      <c r="F8227" s="439"/>
      <c r="G8227" s="451" t="s">
        <v>3406</v>
      </c>
      <c r="Z8227" s="500"/>
      <c r="AA8227" s="500"/>
      <c r="AB8227" s="500"/>
      <c r="AC8227" s="500"/>
      <c r="AD8227" s="500"/>
      <c r="AE8227" s="500"/>
      <c r="AF8227" s="500"/>
      <c r="AG8227" s="500"/>
      <c r="AH8227" s="500"/>
      <c r="AI8227" s="500"/>
      <c r="AJ8227" s="500"/>
      <c r="AK8227" s="500"/>
      <c r="AL8227" s="500"/>
      <c r="AM8227" s="500"/>
      <c r="AN8227" s="500"/>
      <c r="AO8227" s="500"/>
      <c r="AP8227" s="500"/>
    </row>
    <row r="8228" spans="1:42" ht="16.5" customHeight="1">
      <c r="A8228" s="434" t="s">
        <v>4321</v>
      </c>
      <c r="B8228" s="505" t="str">
        <f>" 노 무 비 :  "&amp;TEXT(I8228,"#,##0"&amp;IF(I8228&lt;&gt;INT(I8228),".###",""))&amp;" / Q2 * "&amp;AC8228&amp;" 대  = "&amp;TEXT(C8228,"#,##0.0")&amp;""</f>
        <v xml:space="preserve"> 노 무 비 :  0 / Q2 * 2 대  = 0.0</v>
      </c>
      <c r="C8228" s="506">
        <f>E8228+D8228+F8228</f>
        <v>0</v>
      </c>
      <c r="D8228" s="506">
        <f>IF(H8228=0,0,ROUNDDOWN(J8228*H8228,1))</f>
        <v>0</v>
      </c>
      <c r="E8228" s="506">
        <f>IF(H8228=0,0,ROUNDDOWN(K8228*H8228,1))</f>
        <v>0</v>
      </c>
      <c r="F8228" s="506">
        <f>IF(H8228=0,0,ROUNDDOWN(L8228*H8228,1))</f>
        <v>0</v>
      </c>
      <c r="G8228" s="451" t="s">
        <v>4333</v>
      </c>
      <c r="H8228" s="507">
        <f>ROUNDUP(AE8228,14-LEN(ABS(INT(AE8228))))</f>
        <v>5.8823529411765003</v>
      </c>
      <c r="I8228" s="508">
        <f>K8228+J8228+L8228</f>
        <v>0</v>
      </c>
      <c r="J8228" s="509">
        <f>중기목록표!F16</f>
        <v>0</v>
      </c>
      <c r="M8228" s="501" t="s">
        <v>4323</v>
      </c>
      <c r="N8228" s="501" t="s">
        <v>3416</v>
      </c>
      <c r="O8228" s="501" t="s">
        <v>2355</v>
      </c>
      <c r="X8228" s="510" t="str">
        <f>중기목록표!B16&amp;" / "&amp;중기목록표!C16</f>
        <v>소형브레이커(공압식) / 1.3㎥/min</v>
      </c>
      <c r="Y8228" s="433" t="str">
        <f ca="1">HYPERLINK("#"&amp;중기목록표!J2&amp;"!A"&amp;ROW(중기목록표!A16),"X00321 →")</f>
        <v>X00321 →</v>
      </c>
      <c r="Z8228" s="501" t="s">
        <v>3434</v>
      </c>
      <c r="AA8228" s="512" t="str">
        <f>AD8214</f>
        <v>0.34</v>
      </c>
      <c r="AB8228" s="501" t="s">
        <v>3368</v>
      </c>
      <c r="AC8228" s="515">
        <v>2</v>
      </c>
      <c r="AD8228" s="501" t="s">
        <v>3418</v>
      </c>
      <c r="AE8228" s="512">
        <f>1/AD8214*AC8228</f>
        <v>5.8823529411764701</v>
      </c>
      <c r="AF8228" s="500"/>
      <c r="AG8228" s="500"/>
      <c r="AH8228" s="500"/>
      <c r="AI8228" s="500"/>
      <c r="AJ8228" s="500"/>
      <c r="AK8228" s="500"/>
      <c r="AL8228" s="500"/>
      <c r="AM8228" s="500"/>
      <c r="AN8228" s="500"/>
      <c r="AO8228" s="500"/>
      <c r="AP8228" s="500"/>
    </row>
    <row r="8229" spans="1:42" ht="16.5" customHeight="1">
      <c r="A8229" s="439"/>
      <c r="B8229" s="439"/>
      <c r="C8229" s="439"/>
      <c r="D8229" s="439"/>
      <c r="E8229" s="439"/>
      <c r="F8229" s="439"/>
      <c r="G8229" s="451" t="s">
        <v>3406</v>
      </c>
      <c r="Z8229" s="500"/>
      <c r="AA8229" s="500"/>
      <c r="AB8229" s="500"/>
      <c r="AC8229" s="500"/>
      <c r="AD8229" s="500"/>
      <c r="AE8229" s="500"/>
      <c r="AF8229" s="500"/>
      <c r="AG8229" s="500"/>
      <c r="AH8229" s="500"/>
      <c r="AI8229" s="500"/>
      <c r="AJ8229" s="500"/>
      <c r="AK8229" s="500"/>
      <c r="AL8229" s="500"/>
      <c r="AM8229" s="500"/>
      <c r="AN8229" s="500"/>
      <c r="AO8229" s="500"/>
      <c r="AP8229" s="500"/>
    </row>
    <row r="8230" spans="1:42" ht="16.5" customHeight="1">
      <c r="A8230" s="434" t="s">
        <v>4324</v>
      </c>
      <c r="B8230" s="505" t="str">
        <f>" 재 료 비 :  "&amp;TEXT(I8230,"#,##0"&amp;IF(I8230&lt;&gt;INT(I8230),".###",""))&amp;" / Q2 * "&amp;AC8230&amp;" 대  = "&amp;TEXT(C8230,"#,##0.0")&amp;""</f>
        <v xml:space="preserve"> 재 료 비 :  0 / Q2 * 2 대  = 0.0</v>
      </c>
      <c r="C8230" s="506">
        <f>E8230+D8230+F8230</f>
        <v>0</v>
      </c>
      <c r="D8230" s="506">
        <f>IF(H8230=0,0,ROUNDDOWN(J8230*H8230,1))</f>
        <v>0</v>
      </c>
      <c r="E8230" s="506">
        <f>IF(H8230=0,0,ROUNDDOWN(K8230*H8230,1))</f>
        <v>0</v>
      </c>
      <c r="F8230" s="506">
        <f>IF(H8230=0,0,ROUNDDOWN(L8230*H8230,1))</f>
        <v>0</v>
      </c>
      <c r="G8230" s="451" t="s">
        <v>4334</v>
      </c>
      <c r="H8230" s="507">
        <f>ROUNDUP(AE8230,14-LEN(ABS(INT(AE8230))))</f>
        <v>5.8823529411765003</v>
      </c>
      <c r="I8230" s="508">
        <f>K8230+J8230+L8230</f>
        <v>0</v>
      </c>
      <c r="K8230" s="509">
        <f>중기목록표!G16</f>
        <v>0</v>
      </c>
      <c r="M8230" s="501" t="s">
        <v>4323</v>
      </c>
      <c r="N8230" s="501" t="s">
        <v>3416</v>
      </c>
      <c r="O8230" s="501" t="s">
        <v>2355</v>
      </c>
      <c r="X8230" s="510" t="str">
        <f>중기목록표!B16&amp;" / "&amp;중기목록표!C16</f>
        <v>소형브레이커(공압식) / 1.3㎥/min</v>
      </c>
      <c r="Y8230" s="433" t="str">
        <f ca="1">HYPERLINK("#"&amp;중기목록표!J2&amp;"!A"&amp;ROW(중기목록표!A16),"X00321 →")</f>
        <v>X00321 →</v>
      </c>
      <c r="Z8230" s="501" t="s">
        <v>3434</v>
      </c>
      <c r="AA8230" s="512" t="str">
        <f>AD8214</f>
        <v>0.34</v>
      </c>
      <c r="AB8230" s="501" t="s">
        <v>3368</v>
      </c>
      <c r="AC8230" s="515">
        <v>2</v>
      </c>
      <c r="AD8230" s="501" t="s">
        <v>3418</v>
      </c>
      <c r="AE8230" s="512">
        <f>1/AD8214*AC8230</f>
        <v>5.8823529411764701</v>
      </c>
      <c r="AF8230" s="500"/>
      <c r="AG8230" s="500"/>
      <c r="AH8230" s="500"/>
      <c r="AI8230" s="500"/>
      <c r="AJ8230" s="500"/>
      <c r="AK8230" s="500"/>
      <c r="AL8230" s="500"/>
      <c r="AM8230" s="500"/>
      <c r="AN8230" s="500"/>
      <c r="AO8230" s="500"/>
      <c r="AP8230" s="500"/>
    </row>
    <row r="8231" spans="1:42" ht="16.5" customHeight="1">
      <c r="A8231" s="439"/>
      <c r="B8231" s="439"/>
      <c r="C8231" s="439"/>
      <c r="D8231" s="439"/>
      <c r="E8231" s="439"/>
      <c r="F8231" s="439"/>
      <c r="G8231" s="451" t="s">
        <v>3406</v>
      </c>
      <c r="Z8231" s="500"/>
      <c r="AA8231" s="500"/>
      <c r="AB8231" s="500"/>
      <c r="AC8231" s="500"/>
      <c r="AD8231" s="500"/>
      <c r="AE8231" s="500"/>
      <c r="AF8231" s="500"/>
      <c r="AG8231" s="500"/>
      <c r="AH8231" s="500"/>
      <c r="AI8231" s="500"/>
      <c r="AJ8231" s="500"/>
      <c r="AK8231" s="500"/>
      <c r="AL8231" s="500"/>
      <c r="AM8231" s="500"/>
      <c r="AN8231" s="500"/>
      <c r="AO8231" s="500"/>
      <c r="AP8231" s="500"/>
    </row>
    <row r="8232" spans="1:42" ht="16.5" customHeight="1">
      <c r="A8232" s="434" t="s">
        <v>4326</v>
      </c>
      <c r="B8232" s="505" t="str">
        <f>" 경    비 :  "&amp;TEXT(I8232,"#,##0"&amp;IF(I8232&lt;&gt;INT(I8232),".###",""))&amp;" / Q2 * "&amp;AC8232&amp;" 대  = "&amp;TEXT(C8232,"#,##0.0")&amp;""</f>
        <v xml:space="preserve"> 경    비 :  494 / Q2 * 2 대  = 2,905.8</v>
      </c>
      <c r="C8232" s="506">
        <f>E8232+D8232+F8232</f>
        <v>2905.8</v>
      </c>
      <c r="D8232" s="506">
        <f>IF(H8232=0,0,ROUNDDOWN(J8232*H8232,1))</f>
        <v>0</v>
      </c>
      <c r="E8232" s="506">
        <f>IF(H8232=0,0,ROUNDDOWN(K8232*H8232,1))</f>
        <v>0</v>
      </c>
      <c r="F8232" s="506">
        <f>IF(H8232=0,0,ROUNDDOWN(L8232*H8232,1))</f>
        <v>2905.8</v>
      </c>
      <c r="G8232" s="451" t="s">
        <v>4335</v>
      </c>
      <c r="H8232" s="507">
        <f>ROUNDUP(AE8232,14-LEN(ABS(INT(AE8232))))</f>
        <v>5.8823529411765003</v>
      </c>
      <c r="I8232" s="508">
        <f>K8232+J8232+L8232</f>
        <v>494</v>
      </c>
      <c r="L8232" s="509">
        <f>중기목록표!H16</f>
        <v>494</v>
      </c>
      <c r="M8232" s="501" t="s">
        <v>4323</v>
      </c>
      <c r="N8232" s="501" t="s">
        <v>3416</v>
      </c>
      <c r="O8232" s="501" t="s">
        <v>2355</v>
      </c>
      <c r="X8232" s="510" t="str">
        <f>중기목록표!B16&amp;" / "&amp;중기목록표!C16</f>
        <v>소형브레이커(공압식) / 1.3㎥/min</v>
      </c>
      <c r="Y8232" s="433" t="str">
        <f ca="1">HYPERLINK("#"&amp;중기목록표!J2&amp;"!A"&amp;ROW(중기목록표!A16),"X00321 →")</f>
        <v>X00321 →</v>
      </c>
      <c r="Z8232" s="501" t="s">
        <v>3434</v>
      </c>
      <c r="AA8232" s="512" t="str">
        <f>AD8214</f>
        <v>0.34</v>
      </c>
      <c r="AB8232" s="501" t="s">
        <v>3368</v>
      </c>
      <c r="AC8232" s="515">
        <v>2</v>
      </c>
      <c r="AD8232" s="501" t="s">
        <v>3418</v>
      </c>
      <c r="AE8232" s="512">
        <f>1/AD8214*AC8232</f>
        <v>5.8823529411764701</v>
      </c>
      <c r="AF8232" s="500"/>
      <c r="AG8232" s="500"/>
      <c r="AH8232" s="500"/>
      <c r="AI8232" s="500"/>
      <c r="AJ8232" s="500"/>
      <c r="AK8232" s="500"/>
      <c r="AL8232" s="500"/>
      <c r="AM8232" s="500"/>
      <c r="AN8232" s="500"/>
      <c r="AO8232" s="500"/>
      <c r="AP8232" s="500"/>
    </row>
    <row r="8233" spans="1:42" ht="16.5" customHeight="1">
      <c r="A8233" s="439"/>
      <c r="B8233" s="439"/>
      <c r="C8233" s="439"/>
      <c r="D8233" s="439"/>
      <c r="E8233" s="439"/>
      <c r="F8233" s="439"/>
      <c r="G8233" s="451" t="s">
        <v>3406</v>
      </c>
      <c r="Z8233" s="500"/>
      <c r="AA8233" s="500"/>
      <c r="AB8233" s="500"/>
      <c r="AC8233" s="500"/>
      <c r="AD8233" s="500"/>
      <c r="AE8233" s="500"/>
      <c r="AF8233" s="500"/>
      <c r="AG8233" s="500"/>
      <c r="AH8233" s="500"/>
      <c r="AI8233" s="500"/>
      <c r="AJ8233" s="500"/>
      <c r="AK8233" s="500"/>
      <c r="AL8233" s="500"/>
      <c r="AM8233" s="500"/>
      <c r="AN8233" s="500"/>
      <c r="AO8233" s="500"/>
      <c r="AP8233" s="500"/>
    </row>
    <row r="8234" spans="1:42" ht="16.5" customHeight="1">
      <c r="A8234" s="434"/>
      <c r="B8234" s="437" t="s">
        <v>3419</v>
      </c>
      <c r="C8234" s="513">
        <f>E8234+D8234+F8234</f>
        <v>2905.8</v>
      </c>
      <c r="D8234" s="513">
        <f>SUMIF(N8224:N8233,M8234,D8224:D8233)</f>
        <v>0</v>
      </c>
      <c r="E8234" s="513">
        <f>SUMIF(N8224:N8233,M8234,E8224:E8233)</f>
        <v>0</v>
      </c>
      <c r="F8234" s="513">
        <f>SUMIF(N8224:N8233,M8234,F8224:F8233)</f>
        <v>2905.8</v>
      </c>
      <c r="G8234" s="451" t="s">
        <v>3420</v>
      </c>
      <c r="M8234" s="501" t="s">
        <v>3416</v>
      </c>
      <c r="N8234" s="501" t="s">
        <v>3421</v>
      </c>
      <c r="Z8234" s="500"/>
      <c r="AA8234" s="500"/>
      <c r="AB8234" s="500"/>
      <c r="AC8234" s="500"/>
      <c r="AD8234" s="500"/>
      <c r="AE8234" s="500"/>
      <c r="AF8234" s="500"/>
      <c r="AG8234" s="500"/>
      <c r="AH8234" s="500"/>
      <c r="AI8234" s="500"/>
      <c r="AJ8234" s="500"/>
      <c r="AK8234" s="500"/>
      <c r="AL8234" s="500"/>
      <c r="AM8234" s="500"/>
      <c r="AN8234" s="500"/>
      <c r="AO8234" s="500"/>
      <c r="AP8234" s="500"/>
    </row>
    <row r="8235" spans="1:42" ht="16.5" customHeight="1">
      <c r="A8235" s="439"/>
      <c r="B8235" s="439"/>
      <c r="C8235" s="504"/>
      <c r="D8235" s="504"/>
      <c r="E8235" s="504"/>
      <c r="F8235" s="504"/>
      <c r="G8235" s="451" t="s">
        <v>3406</v>
      </c>
      <c r="Z8235" s="500"/>
      <c r="AA8235" s="500"/>
      <c r="AB8235" s="500"/>
      <c r="AC8235" s="500"/>
      <c r="AD8235" s="500"/>
      <c r="AE8235" s="500"/>
      <c r="AF8235" s="500"/>
      <c r="AG8235" s="500"/>
      <c r="AH8235" s="500"/>
      <c r="AI8235" s="500"/>
      <c r="AJ8235" s="500"/>
      <c r="AK8235" s="500"/>
      <c r="AL8235" s="500"/>
      <c r="AM8235" s="500"/>
      <c r="AN8235" s="500"/>
      <c r="AO8235" s="500"/>
      <c r="AP8235" s="500"/>
    </row>
    <row r="8236" spans="1:42" ht="16.5" customHeight="1">
      <c r="A8236" s="439"/>
      <c r="B8236" s="439"/>
      <c r="C8236" s="439"/>
      <c r="D8236" s="439"/>
      <c r="E8236" s="439"/>
      <c r="F8236" s="439"/>
      <c r="G8236" s="451" t="s">
        <v>3406</v>
      </c>
      <c r="Z8236" s="500"/>
      <c r="AA8236" s="500"/>
      <c r="AB8236" s="500"/>
      <c r="AC8236" s="500"/>
      <c r="AD8236" s="500"/>
      <c r="AE8236" s="500"/>
      <c r="AF8236" s="500"/>
      <c r="AG8236" s="500"/>
      <c r="AH8236" s="500"/>
      <c r="AI8236" s="500"/>
      <c r="AJ8236" s="500"/>
      <c r="AK8236" s="500"/>
      <c r="AL8236" s="500"/>
      <c r="AM8236" s="500"/>
      <c r="AN8236" s="500"/>
      <c r="AO8236" s="500"/>
      <c r="AP8236" s="500"/>
    </row>
    <row r="8237" spans="1:42" ht="16.5" customHeight="1">
      <c r="A8237" s="434"/>
      <c r="B8237" s="437" t="s">
        <v>4328</v>
      </c>
      <c r="C8237" s="439"/>
      <c r="D8237" s="439"/>
      <c r="E8237" s="439"/>
      <c r="F8237" s="439"/>
      <c r="G8237" s="451" t="s">
        <v>4329</v>
      </c>
      <c r="Z8237" s="500"/>
      <c r="AA8237" s="500"/>
      <c r="AB8237" s="500"/>
      <c r="AC8237" s="500"/>
      <c r="AD8237" s="500"/>
      <c r="AE8237" s="500"/>
      <c r="AF8237" s="500"/>
      <c r="AG8237" s="500"/>
      <c r="AH8237" s="500"/>
      <c r="AI8237" s="500"/>
      <c r="AJ8237" s="500"/>
      <c r="AK8237" s="500"/>
      <c r="AL8237" s="500"/>
      <c r="AM8237" s="500"/>
      <c r="AN8237" s="500"/>
      <c r="AO8237" s="500"/>
      <c r="AP8237" s="500"/>
    </row>
    <row r="8238" spans="1:42" ht="16.5" customHeight="1">
      <c r="A8238" s="439"/>
      <c r="B8238" s="439"/>
      <c r="C8238" s="439"/>
      <c r="D8238" s="439"/>
      <c r="E8238" s="439"/>
      <c r="F8238" s="439"/>
      <c r="G8238" s="451" t="s">
        <v>3406</v>
      </c>
      <c r="Z8238" s="500"/>
      <c r="AA8238" s="500"/>
      <c r="AB8238" s="500"/>
      <c r="AC8238" s="500"/>
      <c r="AD8238" s="500"/>
      <c r="AE8238" s="500"/>
      <c r="AF8238" s="500"/>
      <c r="AG8238" s="500"/>
      <c r="AH8238" s="500"/>
      <c r="AI8238" s="500"/>
      <c r="AJ8238" s="500"/>
      <c r="AK8238" s="500"/>
      <c r="AL8238" s="500"/>
      <c r="AM8238" s="500"/>
      <c r="AN8238" s="500"/>
      <c r="AO8238" s="500"/>
      <c r="AP8238" s="500"/>
    </row>
    <row r="8239" spans="1:42" ht="16.5" customHeight="1">
      <c r="A8239" s="434"/>
      <c r="B8239" s="505" t="str">
        <f>"  잡재료비 : "&amp;TEXT(I8239,"#,##0.0")&amp;" * "&amp;AA8239&amp;" %  = "&amp;TEXT(C8239,"#,##0.0")&amp;""</f>
        <v xml:space="preserve">  잡재료비 : 228,399.9 * 1 %  = 2,283.9</v>
      </c>
      <c r="C8239" s="506">
        <f>E8239+D8239+F8239</f>
        <v>2283.9</v>
      </c>
      <c r="D8239" s="506">
        <f>IF(H8239=0,0,ROUNDDOWN(J8239*H8239/100,1))</f>
        <v>0</v>
      </c>
      <c r="E8239" s="506">
        <f>IF(H8239=0,0,ROUNDDOWN(K8239*H8239/100,1))</f>
        <v>0</v>
      </c>
      <c r="F8239" s="506">
        <f>IF(H8239=0,0,ROUNDDOWN(L8239*H8239/100,1))</f>
        <v>2283.9</v>
      </c>
      <c r="G8239" s="451" t="s">
        <v>4336</v>
      </c>
      <c r="H8239" s="507">
        <f>ROUNDUP(AC8239,14-LEN(ABS(INT(AC8239))))</f>
        <v>1</v>
      </c>
      <c r="I8239" s="508">
        <f>K8239+J8239+L8239</f>
        <v>228399.90000000002</v>
      </c>
      <c r="J8239" s="456">
        <v>0</v>
      </c>
      <c r="K8239" s="456">
        <v>0</v>
      </c>
      <c r="L8239" s="509">
        <f>D8219+D8221+D8228+D8230+D8232</f>
        <v>228399.90000000002</v>
      </c>
      <c r="M8239" s="501" t="s">
        <v>3743</v>
      </c>
      <c r="N8239" s="501" t="s">
        <v>3416</v>
      </c>
      <c r="O8239" s="501" t="s">
        <v>2355</v>
      </c>
      <c r="Z8239" s="501" t="s">
        <v>3500</v>
      </c>
      <c r="AA8239" s="515">
        <v>1</v>
      </c>
      <c r="AB8239" s="501" t="s">
        <v>3418</v>
      </c>
      <c r="AC8239" s="512">
        <f>1*AA8239</f>
        <v>1</v>
      </c>
      <c r="AD8239" s="500"/>
      <c r="AE8239" s="500"/>
      <c r="AF8239" s="500"/>
      <c r="AG8239" s="500"/>
      <c r="AH8239" s="500"/>
      <c r="AI8239" s="500"/>
      <c r="AJ8239" s="500"/>
      <c r="AK8239" s="500"/>
      <c r="AL8239" s="500"/>
      <c r="AM8239" s="500"/>
      <c r="AN8239" s="500"/>
      <c r="AO8239" s="500"/>
      <c r="AP8239" s="500"/>
    </row>
    <row r="8240" spans="1:42" ht="16.5" customHeight="1">
      <c r="A8240" s="439"/>
      <c r="B8240" s="439"/>
      <c r="C8240" s="439"/>
      <c r="D8240" s="439"/>
      <c r="E8240" s="439"/>
      <c r="F8240" s="439"/>
      <c r="G8240" s="451" t="s">
        <v>3406</v>
      </c>
      <c r="Z8240" s="500"/>
      <c r="AA8240" s="500"/>
      <c r="AB8240" s="500"/>
      <c r="AC8240" s="500"/>
      <c r="AD8240" s="500"/>
      <c r="AE8240" s="500"/>
      <c r="AF8240" s="500"/>
      <c r="AG8240" s="500"/>
      <c r="AH8240" s="500"/>
      <c r="AI8240" s="500"/>
      <c r="AJ8240" s="500"/>
      <c r="AK8240" s="500"/>
      <c r="AL8240" s="500"/>
      <c r="AM8240" s="500"/>
      <c r="AN8240" s="500"/>
      <c r="AO8240" s="500"/>
      <c r="AP8240" s="500"/>
    </row>
    <row r="8241" spans="1:42" ht="16.5" customHeight="1">
      <c r="A8241" s="434"/>
      <c r="B8241" s="437" t="s">
        <v>3419</v>
      </c>
      <c r="C8241" s="513">
        <f>E8241+D8241+F8241</f>
        <v>2283.9</v>
      </c>
      <c r="D8241" s="513">
        <f>SUMIF(N8235:N8240,M8241,D8235:D8240)</f>
        <v>0</v>
      </c>
      <c r="E8241" s="513">
        <f>SUMIF(N8235:N8240,M8241,E8235:E8240)</f>
        <v>0</v>
      </c>
      <c r="F8241" s="513">
        <f>SUMIF(N8235:N8240,M8241,F8235:F8240)</f>
        <v>2283.9</v>
      </c>
      <c r="G8241" s="451" t="s">
        <v>3420</v>
      </c>
      <c r="M8241" s="501" t="s">
        <v>3416</v>
      </c>
      <c r="N8241" s="501" t="s">
        <v>3421</v>
      </c>
      <c r="Z8241" s="500"/>
      <c r="AA8241" s="500"/>
      <c r="AB8241" s="500"/>
      <c r="AC8241" s="500"/>
      <c r="AD8241" s="500"/>
      <c r="AE8241" s="500"/>
      <c r="AF8241" s="500"/>
      <c r="AG8241" s="500"/>
      <c r="AH8241" s="500"/>
      <c r="AI8241" s="500"/>
      <c r="AJ8241" s="500"/>
      <c r="AK8241" s="500"/>
      <c r="AL8241" s="500"/>
      <c r="AM8241" s="500"/>
      <c r="AN8241" s="500"/>
      <c r="AO8241" s="500"/>
      <c r="AP8241" s="500"/>
    </row>
    <row r="8242" spans="1:42" ht="16.5" customHeight="1">
      <c r="A8242" s="439"/>
      <c r="B8242" s="439"/>
      <c r="C8242" s="504"/>
      <c r="D8242" s="504"/>
      <c r="E8242" s="504"/>
      <c r="F8242" s="504"/>
      <c r="G8242" s="451" t="s">
        <v>3406</v>
      </c>
      <c r="Z8242" s="500"/>
      <c r="AA8242" s="500"/>
      <c r="AB8242" s="500"/>
      <c r="AC8242" s="500"/>
      <c r="AD8242" s="500"/>
      <c r="AE8242" s="500"/>
      <c r="AF8242" s="500"/>
      <c r="AG8242" s="500"/>
      <c r="AH8242" s="500"/>
      <c r="AI8242" s="500"/>
      <c r="AJ8242" s="500"/>
      <c r="AK8242" s="500"/>
      <c r="AL8242" s="500"/>
      <c r="AM8242" s="500"/>
      <c r="AN8242" s="500"/>
      <c r="AO8242" s="500"/>
      <c r="AP8242" s="500"/>
    </row>
    <row r="8243" spans="1:42" ht="16.5" customHeight="1">
      <c r="A8243" s="439"/>
      <c r="B8243" s="439"/>
      <c r="C8243" s="439"/>
      <c r="D8243" s="439"/>
      <c r="E8243" s="439"/>
      <c r="F8243" s="439"/>
      <c r="G8243" s="451" t="s">
        <v>3406</v>
      </c>
      <c r="Z8243" s="500"/>
      <c r="AA8243" s="500"/>
      <c r="AB8243" s="500"/>
      <c r="AC8243" s="500"/>
      <c r="AD8243" s="500"/>
      <c r="AE8243" s="500"/>
      <c r="AF8243" s="500"/>
      <c r="AG8243" s="500"/>
      <c r="AH8243" s="500"/>
      <c r="AI8243" s="500"/>
      <c r="AJ8243" s="500"/>
      <c r="AK8243" s="500"/>
      <c r="AL8243" s="500"/>
      <c r="AM8243" s="500"/>
      <c r="AN8243" s="500"/>
      <c r="AO8243" s="500"/>
      <c r="AP8243" s="500"/>
    </row>
    <row r="8244" spans="1:42" ht="16.5" customHeight="1">
      <c r="A8244" s="434"/>
      <c r="B8244" s="505" t="str">
        <f>" 산지할증 : "&amp;TEXT(I8244,"#,##0.0")&amp;" * "&amp;AA8244&amp;" %  = "&amp;TEXT(C8244,"#,##0.0")&amp;""</f>
        <v xml:space="preserve"> 산지할증 : 228,399.9 * 25 %  = 57,099.9</v>
      </c>
      <c r="C8244" s="506">
        <f>E8244+D8244+F8244</f>
        <v>57099.9</v>
      </c>
      <c r="D8244" s="506">
        <f>IF(H8244=0,0,ROUNDDOWN(J8244*H8244/100,1))</f>
        <v>57099.9</v>
      </c>
      <c r="E8244" s="506">
        <f>IF(H8244=0,0,ROUNDDOWN(K8244*H8244/100,1))</f>
        <v>0</v>
      </c>
      <c r="F8244" s="506">
        <f>IF(H8244=0,0,ROUNDDOWN(L8244*H8244/100,1))</f>
        <v>0</v>
      </c>
      <c r="G8244" s="451" t="s">
        <v>4337</v>
      </c>
      <c r="H8244" s="507">
        <f>ROUNDUP(AC8244,14-LEN(ABS(INT(AC8244))))</f>
        <v>25</v>
      </c>
      <c r="I8244" s="508">
        <f>K8244+J8244+L8244</f>
        <v>228399.90000000002</v>
      </c>
      <c r="J8244" s="508">
        <f>D8223+D8234+D8241+SUMIF(N8242:N8243,N8244,D8242:D8243)</f>
        <v>228399.90000000002</v>
      </c>
      <c r="K8244" s="456">
        <v>0</v>
      </c>
      <c r="L8244" s="456">
        <v>0</v>
      </c>
      <c r="M8244" s="501" t="s">
        <v>4338</v>
      </c>
      <c r="N8244" s="501" t="s">
        <v>3421</v>
      </c>
      <c r="Z8244" s="501" t="s">
        <v>3500</v>
      </c>
      <c r="AA8244" s="515">
        <v>25</v>
      </c>
      <c r="AB8244" s="501" t="s">
        <v>3418</v>
      </c>
      <c r="AC8244" s="512">
        <f>1*AA8244</f>
        <v>25</v>
      </c>
      <c r="AD8244" s="500"/>
      <c r="AE8244" s="500"/>
      <c r="AF8244" s="500"/>
      <c r="AG8244" s="500"/>
      <c r="AH8244" s="500"/>
      <c r="AI8244" s="500"/>
      <c r="AJ8244" s="500"/>
      <c r="AK8244" s="500"/>
      <c r="AL8244" s="500"/>
      <c r="AM8244" s="500"/>
      <c r="AN8244" s="500"/>
      <c r="AO8244" s="500"/>
      <c r="AP8244" s="500"/>
    </row>
    <row r="8245" spans="1:42" ht="16.5" customHeight="1">
      <c r="A8245" s="439"/>
      <c r="B8245" s="439"/>
      <c r="C8245" s="439"/>
      <c r="D8245" s="439"/>
      <c r="E8245" s="439"/>
      <c r="F8245" s="439"/>
      <c r="G8245" s="451" t="s">
        <v>3406</v>
      </c>
      <c r="Z8245" s="500"/>
      <c r="AA8245" s="500"/>
      <c r="AB8245" s="500"/>
      <c r="AC8245" s="500"/>
      <c r="AD8245" s="500"/>
      <c r="AE8245" s="500"/>
      <c r="AF8245" s="500"/>
      <c r="AG8245" s="500"/>
      <c r="AH8245" s="500"/>
      <c r="AI8245" s="500"/>
      <c r="AJ8245" s="500"/>
      <c r="AK8245" s="500"/>
      <c r="AL8245" s="500"/>
      <c r="AM8245" s="500"/>
      <c r="AN8245" s="500"/>
      <c r="AO8245" s="500"/>
      <c r="AP8245" s="500"/>
    </row>
    <row r="8246" spans="1:42" ht="16.5" customHeight="1">
      <c r="A8246" s="439"/>
      <c r="B8246" s="439"/>
      <c r="C8246" s="439"/>
      <c r="D8246" s="439"/>
      <c r="E8246" s="439"/>
      <c r="F8246" s="439"/>
      <c r="G8246" s="451" t="s">
        <v>3406</v>
      </c>
      <c r="Z8246" s="500"/>
      <c r="AA8246" s="500"/>
      <c r="AB8246" s="500"/>
      <c r="AC8246" s="500"/>
      <c r="AD8246" s="500"/>
      <c r="AE8246" s="500"/>
      <c r="AF8246" s="500"/>
      <c r="AG8246" s="500"/>
      <c r="AH8246" s="500"/>
      <c r="AI8246" s="500"/>
      <c r="AJ8246" s="500"/>
      <c r="AK8246" s="500"/>
      <c r="AL8246" s="500"/>
      <c r="AM8246" s="500"/>
      <c r="AN8246" s="500"/>
      <c r="AO8246" s="500"/>
      <c r="AP8246" s="500"/>
    </row>
    <row r="8247" spans="1:42" ht="16.5" customHeight="1">
      <c r="A8247" s="434"/>
      <c r="B8247" s="437" t="s">
        <v>3440</v>
      </c>
      <c r="C8247" s="513">
        <f>E8247+D8247+F8247</f>
        <v>290689.50000000006</v>
      </c>
      <c r="D8247" s="513">
        <f>SUMIF(N8207:N8246,M8247,D8207:D8246)</f>
        <v>285499.80000000005</v>
      </c>
      <c r="E8247" s="513">
        <f>SUMIF(N8207:N8246,M8247,E8207:E8246)</f>
        <v>0</v>
      </c>
      <c r="F8247" s="513">
        <f>SUMIF(N8207:N8246,M8247,F8207:F8246)</f>
        <v>5189.7000000000007</v>
      </c>
      <c r="G8247" s="451" t="s">
        <v>3484</v>
      </c>
      <c r="M8247" s="501" t="s">
        <v>3421</v>
      </c>
      <c r="N8247" s="501" t="s">
        <v>2354</v>
      </c>
      <c r="Z8247" s="500"/>
      <c r="AA8247" s="500"/>
      <c r="AB8247" s="500"/>
      <c r="AC8247" s="500"/>
      <c r="AD8247" s="500"/>
      <c r="AE8247" s="500"/>
      <c r="AF8247" s="500"/>
      <c r="AG8247" s="500"/>
      <c r="AH8247" s="500"/>
      <c r="AI8247" s="500"/>
      <c r="AJ8247" s="500"/>
      <c r="AK8247" s="500"/>
      <c r="AL8247" s="500"/>
      <c r="AM8247" s="500"/>
      <c r="AN8247" s="500"/>
      <c r="AO8247" s="500"/>
      <c r="AP8247" s="500"/>
    </row>
    <row r="8248" spans="1:42" ht="16.5" customHeight="1">
      <c r="A8248" s="439"/>
      <c r="B8248" s="439"/>
      <c r="C8248" s="504"/>
      <c r="D8248" s="504"/>
      <c r="E8248" s="504"/>
      <c r="F8248" s="504"/>
      <c r="Z8248" s="500"/>
      <c r="AA8248" s="500"/>
      <c r="AB8248" s="500"/>
      <c r="AC8248" s="500"/>
      <c r="AD8248" s="500"/>
      <c r="AE8248" s="500"/>
      <c r="AF8248" s="500"/>
      <c r="AG8248" s="500"/>
      <c r="AH8248" s="500"/>
      <c r="AI8248" s="500"/>
      <c r="AJ8248" s="500"/>
      <c r="AK8248" s="500"/>
      <c r="AL8248" s="500"/>
      <c r="AM8248" s="500"/>
      <c r="AN8248" s="500"/>
      <c r="AO8248" s="500"/>
      <c r="AP8248" s="500"/>
    </row>
    <row r="8249" spans="1:42" ht="16.5" customHeight="1">
      <c r="A8249" s="439"/>
      <c r="B8249" s="439"/>
      <c r="C8249" s="439"/>
      <c r="D8249" s="439"/>
      <c r="E8249" s="439"/>
      <c r="F8249" s="439"/>
      <c r="Z8249" s="500"/>
      <c r="AA8249" s="500"/>
      <c r="AB8249" s="500"/>
      <c r="AC8249" s="500"/>
      <c r="AD8249" s="500"/>
      <c r="AE8249" s="500"/>
      <c r="AF8249" s="500"/>
      <c r="AG8249" s="500"/>
      <c r="AH8249" s="500"/>
      <c r="AI8249" s="500"/>
      <c r="AJ8249" s="500"/>
      <c r="AK8249" s="500"/>
      <c r="AL8249" s="500"/>
      <c r="AM8249" s="500"/>
      <c r="AN8249" s="500"/>
      <c r="AO8249" s="500"/>
      <c r="AP8249" s="500"/>
    </row>
    <row r="8250" spans="1:42" ht="16.5" customHeight="1">
      <c r="A8250" s="439"/>
      <c r="B8250" s="439"/>
      <c r="C8250" s="439"/>
      <c r="D8250" s="439"/>
      <c r="E8250" s="439"/>
      <c r="F8250" s="439"/>
      <c r="Z8250" s="500"/>
      <c r="AA8250" s="500"/>
      <c r="AB8250" s="500"/>
      <c r="AC8250" s="500"/>
      <c r="AD8250" s="500"/>
      <c r="AE8250" s="500"/>
      <c r="AF8250" s="500"/>
      <c r="AG8250" s="500"/>
      <c r="AH8250" s="500"/>
      <c r="AI8250" s="500"/>
      <c r="AJ8250" s="500"/>
      <c r="AK8250" s="500"/>
      <c r="AL8250" s="500"/>
      <c r="AM8250" s="500"/>
      <c r="AN8250" s="500"/>
      <c r="AO8250" s="500"/>
      <c r="AP8250" s="500"/>
    </row>
    <row r="8251" spans="1:42" ht="16.5" customHeight="1">
      <c r="A8251" s="439"/>
      <c r="B8251" s="439"/>
      <c r="C8251" s="439"/>
      <c r="D8251" s="439"/>
      <c r="E8251" s="439"/>
      <c r="F8251" s="439"/>
      <c r="Z8251" s="500"/>
      <c r="AA8251" s="500"/>
      <c r="AB8251" s="500"/>
      <c r="AC8251" s="500"/>
      <c r="AD8251" s="500"/>
      <c r="AE8251" s="500"/>
      <c r="AF8251" s="500"/>
      <c r="AG8251" s="500"/>
      <c r="AH8251" s="500"/>
      <c r="AI8251" s="500"/>
      <c r="AJ8251" s="500"/>
      <c r="AK8251" s="500"/>
      <c r="AL8251" s="500"/>
      <c r="AM8251" s="500"/>
      <c r="AN8251" s="500"/>
      <c r="AO8251" s="500"/>
      <c r="AP8251" s="500"/>
    </row>
    <row r="8252" spans="1:42" ht="16.5" customHeight="1">
      <c r="A8252" s="439"/>
      <c r="B8252" s="439"/>
      <c r="C8252" s="439"/>
      <c r="D8252" s="439"/>
      <c r="E8252" s="439"/>
      <c r="F8252" s="439"/>
      <c r="Z8252" s="500"/>
      <c r="AA8252" s="500"/>
      <c r="AB8252" s="500"/>
      <c r="AC8252" s="500"/>
      <c r="AD8252" s="500"/>
      <c r="AE8252" s="500"/>
      <c r="AF8252" s="500"/>
      <c r="AG8252" s="500"/>
      <c r="AH8252" s="500"/>
      <c r="AI8252" s="500"/>
      <c r="AJ8252" s="500"/>
      <c r="AK8252" s="500"/>
      <c r="AL8252" s="500"/>
      <c r="AM8252" s="500"/>
      <c r="AN8252" s="500"/>
      <c r="AO8252" s="500"/>
      <c r="AP8252" s="500"/>
    </row>
    <row r="8253" spans="1:42" ht="16.5" customHeight="1">
      <c r="A8253" s="497"/>
      <c r="B8253" s="497"/>
      <c r="C8253" s="497"/>
      <c r="D8253" s="497"/>
      <c r="E8253" s="497"/>
      <c r="F8253" s="497"/>
      <c r="Z8253" s="500"/>
      <c r="AA8253" s="500"/>
      <c r="AB8253" s="500"/>
      <c r="AC8253" s="500"/>
      <c r="AD8253" s="500"/>
      <c r="AE8253" s="500"/>
      <c r="AF8253" s="500"/>
      <c r="AG8253" s="500"/>
      <c r="AH8253" s="500"/>
      <c r="AI8253" s="500"/>
      <c r="AJ8253" s="500"/>
      <c r="AK8253" s="500"/>
      <c r="AL8253" s="500"/>
      <c r="AM8253" s="500"/>
      <c r="AN8253" s="500"/>
      <c r="AO8253" s="500"/>
      <c r="AP8253" s="500"/>
    </row>
    <row r="8254" spans="1:42" ht="16.5" customHeight="1">
      <c r="A8254" s="616" t="s">
        <v>3487</v>
      </c>
      <c r="B8254" s="605"/>
      <c r="C8254" s="446">
        <f>E8254+D8254+F8254</f>
        <v>290688</v>
      </c>
      <c r="D8254" s="453">
        <f>ROUNDDOWN(SUMIF(N8207:N8247,M8254,D8207:D8247),0)</f>
        <v>285499</v>
      </c>
      <c r="E8254" s="454">
        <f>ROUNDDOWN(SUMIF(N8207:N8247,M8254,E8207:E8247),0)</f>
        <v>0</v>
      </c>
      <c r="F8254" s="446">
        <f>ROUNDDOWN(SUMIF(N8207:N8247,M8254,F8207:F8247),0)</f>
        <v>5189</v>
      </c>
      <c r="M8254" s="501" t="s">
        <v>2354</v>
      </c>
      <c r="Z8254" s="500"/>
      <c r="AA8254" s="500"/>
      <c r="AB8254" s="500"/>
      <c r="AC8254" s="500"/>
      <c r="AD8254" s="500"/>
      <c r="AE8254" s="500"/>
      <c r="AF8254" s="500"/>
      <c r="AG8254" s="500"/>
      <c r="AH8254" s="500"/>
      <c r="AI8254" s="500"/>
      <c r="AJ8254" s="500"/>
      <c r="AK8254" s="500"/>
      <c r="AL8254" s="500"/>
      <c r="AM8254" s="500"/>
      <c r="AN8254" s="500"/>
      <c r="AO8254" s="500"/>
      <c r="AP8254" s="500"/>
    </row>
    <row r="8255" spans="1:42" ht="16.5" customHeight="1">
      <c r="A8255" s="502" t="s">
        <v>3385</v>
      </c>
      <c r="B8255" s="503" t="s">
        <v>3384</v>
      </c>
      <c r="C8255" s="615">
        <f>C8304</f>
        <v>83748</v>
      </c>
      <c r="D8255" s="615">
        <f>D8304</f>
        <v>83748</v>
      </c>
      <c r="E8255" s="615">
        <f>E8304</f>
        <v>0</v>
      </c>
      <c r="F8255" s="615">
        <f>F8304</f>
        <v>0</v>
      </c>
      <c r="G8255" s="486" t="str">
        <f>HYPERLINK("#G"&amp;ROW(G8268),"_x0005_`BDCOD|D01265_x0007_`POSS|"&amp;ROW(G8257)&amp;"_x0007_`POSE|"&amp;ROW(G8268)&amp;"_x0007_`")</f>
        <v>_x0005_`BDCOD|D01265_x0007_`POSS|8257_x0007_`POSE|8268_x0007_`</v>
      </c>
      <c r="Z8255" s="500"/>
      <c r="AA8255" s="500"/>
      <c r="AB8255" s="500"/>
      <c r="AC8255" s="500"/>
      <c r="AD8255" s="500"/>
      <c r="AE8255" s="500"/>
      <c r="AF8255" s="500"/>
      <c r="AG8255" s="500"/>
      <c r="AH8255" s="500"/>
      <c r="AI8255" s="500"/>
      <c r="AJ8255" s="500"/>
      <c r="AK8255" s="500"/>
      <c r="AL8255" s="500"/>
      <c r="AM8255" s="500"/>
      <c r="AN8255" s="500"/>
      <c r="AO8255" s="500"/>
      <c r="AP8255" s="500"/>
    </row>
    <row r="8256" spans="1:42" ht="16.5" customHeight="1">
      <c r="A8256" s="485"/>
      <c r="B8256" s="503" t="s">
        <v>4339</v>
      </c>
      <c r="C8256" s="593"/>
      <c r="D8256" s="593"/>
      <c r="E8256" s="593"/>
      <c r="F8256" s="593"/>
      <c r="M8256" s="501" t="s">
        <v>3384</v>
      </c>
      <c r="Z8256" s="500"/>
      <c r="AA8256" s="500"/>
      <c r="AB8256" s="500"/>
      <c r="AC8256" s="500"/>
      <c r="AD8256" s="500"/>
      <c r="AE8256" s="500"/>
      <c r="AF8256" s="500"/>
      <c r="AG8256" s="500"/>
      <c r="AH8256" s="500"/>
      <c r="AI8256" s="500"/>
      <c r="AJ8256" s="500"/>
      <c r="AK8256" s="500"/>
      <c r="AL8256" s="500"/>
      <c r="AM8256" s="500"/>
      <c r="AN8256" s="500"/>
      <c r="AO8256" s="500"/>
      <c r="AP8256" s="500"/>
    </row>
    <row r="8257" spans="1:42" ht="16.5" customHeight="1">
      <c r="A8257" s="439"/>
      <c r="B8257" s="439"/>
      <c r="C8257" s="504"/>
      <c r="D8257" s="504"/>
      <c r="E8257" s="504"/>
      <c r="F8257" s="504"/>
      <c r="G8257" s="451" t="s">
        <v>3406</v>
      </c>
      <c r="Z8257" s="500"/>
      <c r="AA8257" s="500"/>
      <c r="AB8257" s="500"/>
      <c r="AC8257" s="500"/>
      <c r="AD8257" s="500"/>
      <c r="AE8257" s="500"/>
      <c r="AF8257" s="500"/>
      <c r="AG8257" s="500"/>
      <c r="AH8257" s="500"/>
      <c r="AI8257" s="500"/>
      <c r="AJ8257" s="500"/>
      <c r="AK8257" s="500"/>
      <c r="AL8257" s="500"/>
      <c r="AM8257" s="500"/>
      <c r="AN8257" s="500"/>
      <c r="AO8257" s="500"/>
      <c r="AP8257" s="500"/>
    </row>
    <row r="8258" spans="1:42" ht="16.5" customHeight="1">
      <c r="A8258" s="434"/>
      <c r="B8258" s="437" t="s">
        <v>4340</v>
      </c>
      <c r="C8258" s="439"/>
      <c r="D8258" s="439"/>
      <c r="E8258" s="439"/>
      <c r="F8258" s="439"/>
      <c r="G8258" s="451" t="s">
        <v>4341</v>
      </c>
      <c r="Z8258" s="500"/>
      <c r="AA8258" s="500"/>
      <c r="AB8258" s="500"/>
      <c r="AC8258" s="500"/>
      <c r="AD8258" s="500"/>
      <c r="AE8258" s="500"/>
      <c r="AF8258" s="500"/>
      <c r="AG8258" s="500"/>
      <c r="AH8258" s="500"/>
      <c r="AI8258" s="500"/>
      <c r="AJ8258" s="500"/>
      <c r="AK8258" s="500"/>
      <c r="AL8258" s="500"/>
      <c r="AM8258" s="500"/>
      <c r="AN8258" s="500"/>
      <c r="AO8258" s="500"/>
      <c r="AP8258" s="500"/>
    </row>
    <row r="8259" spans="1:42" ht="16.5" customHeight="1">
      <c r="A8259" s="439"/>
      <c r="B8259" s="439"/>
      <c r="C8259" s="439"/>
      <c r="D8259" s="439"/>
      <c r="E8259" s="439"/>
      <c r="F8259" s="439"/>
      <c r="G8259" s="451" t="s">
        <v>3406</v>
      </c>
      <c r="Z8259" s="500"/>
      <c r="AA8259" s="500"/>
      <c r="AB8259" s="500"/>
      <c r="AC8259" s="500"/>
      <c r="AD8259" s="500"/>
      <c r="AE8259" s="500"/>
      <c r="AF8259" s="500"/>
      <c r="AG8259" s="500"/>
      <c r="AH8259" s="500"/>
      <c r="AI8259" s="500"/>
      <c r="AJ8259" s="500"/>
      <c r="AK8259" s="500"/>
      <c r="AL8259" s="500"/>
      <c r="AM8259" s="500"/>
      <c r="AN8259" s="500"/>
      <c r="AO8259" s="500"/>
      <c r="AP8259" s="500"/>
    </row>
    <row r="8260" spans="1:42" ht="16.5" customHeight="1">
      <c r="A8260" s="439"/>
      <c r="B8260" s="439"/>
      <c r="C8260" s="439"/>
      <c r="D8260" s="439"/>
      <c r="E8260" s="439"/>
      <c r="F8260" s="439"/>
      <c r="G8260" s="451" t="s">
        <v>3406</v>
      </c>
      <c r="Z8260" s="500"/>
      <c r="AA8260" s="500"/>
      <c r="AB8260" s="500"/>
      <c r="AC8260" s="500"/>
      <c r="AD8260" s="500"/>
      <c r="AE8260" s="500"/>
      <c r="AF8260" s="500"/>
      <c r="AG8260" s="500"/>
      <c r="AH8260" s="500"/>
      <c r="AI8260" s="500"/>
      <c r="AJ8260" s="500"/>
      <c r="AK8260" s="500"/>
      <c r="AL8260" s="500"/>
      <c r="AM8260" s="500"/>
      <c r="AN8260" s="500"/>
      <c r="AO8260" s="500"/>
      <c r="AP8260" s="500"/>
    </row>
    <row r="8261" spans="1:42" ht="16.5" customHeight="1">
      <c r="A8261" s="434"/>
      <c r="B8261" s="437" t="s">
        <v>4342</v>
      </c>
      <c r="C8261" s="439"/>
      <c r="D8261" s="439"/>
      <c r="E8261" s="439"/>
      <c r="F8261" s="439"/>
      <c r="G8261" s="451" t="s">
        <v>4343</v>
      </c>
      <c r="Z8261" s="500"/>
      <c r="AA8261" s="500"/>
      <c r="AB8261" s="500"/>
      <c r="AC8261" s="500"/>
      <c r="AD8261" s="500"/>
      <c r="AE8261" s="500"/>
      <c r="AF8261" s="500"/>
      <c r="AG8261" s="500"/>
      <c r="AH8261" s="500"/>
      <c r="AI8261" s="500"/>
      <c r="AJ8261" s="500"/>
      <c r="AK8261" s="500"/>
      <c r="AL8261" s="500"/>
      <c r="AM8261" s="500"/>
      <c r="AN8261" s="500"/>
      <c r="AO8261" s="500"/>
      <c r="AP8261" s="500"/>
    </row>
    <row r="8262" spans="1:42" ht="16.5" customHeight="1">
      <c r="A8262" s="439"/>
      <c r="B8262" s="439"/>
      <c r="C8262" s="439"/>
      <c r="D8262" s="439"/>
      <c r="E8262" s="439"/>
      <c r="F8262" s="439"/>
      <c r="G8262" s="451" t="s">
        <v>3406</v>
      </c>
      <c r="Z8262" s="500"/>
      <c r="AA8262" s="500"/>
      <c r="AB8262" s="500"/>
      <c r="AC8262" s="500"/>
      <c r="AD8262" s="500"/>
      <c r="AE8262" s="500"/>
      <c r="AF8262" s="500"/>
      <c r="AG8262" s="500"/>
      <c r="AH8262" s="500"/>
      <c r="AI8262" s="500"/>
      <c r="AJ8262" s="500"/>
      <c r="AK8262" s="500"/>
      <c r="AL8262" s="500"/>
      <c r="AM8262" s="500"/>
      <c r="AN8262" s="500"/>
      <c r="AO8262" s="500"/>
      <c r="AP8262" s="500"/>
    </row>
    <row r="8263" spans="1:42" ht="16.5" customHeight="1">
      <c r="A8263" s="434" t="s">
        <v>3821</v>
      </c>
      <c r="B8263" s="505" t="str">
        <f>"   "&amp;Z8263&amp;" 인  / "&amp;AB8263&amp;" ㎥  *  특별인부 : "&amp;TEXT(I8263,"#,##0"&amp;IF(I8263&lt;&gt;INT(I8263),".###",""))&amp;" = "&amp;TEXT(C8263,"#,##0.0")&amp;""</f>
        <v xml:space="preserve">   1 인  / 2.7 ㎥  *  특별인부 : 226,122 = 83,748.8</v>
      </c>
      <c r="C8263" s="506">
        <f>E8263+D8263+F8263</f>
        <v>83748.800000000003</v>
      </c>
      <c r="D8263" s="506">
        <f>IF(H8263=0,0,ROUNDDOWN(J8263*H8263,1))</f>
        <v>83748.800000000003</v>
      </c>
      <c r="E8263" s="506">
        <f>IF(H8263=0,0,ROUNDDOWN(K8263*H8263,1))</f>
        <v>0</v>
      </c>
      <c r="F8263" s="506">
        <f>IF(H8263=0,0,ROUNDDOWN(L8263*H8263,1))</f>
        <v>0</v>
      </c>
      <c r="G8263" s="451" t="s">
        <v>4344</v>
      </c>
      <c r="H8263" s="507">
        <f>ROUNDUP(AE8263,14-LEN(ABS(INT(AE8263))))</f>
        <v>0.37037037037039999</v>
      </c>
      <c r="I8263" s="508">
        <f>K8263+J8263+L8263</f>
        <v>226122</v>
      </c>
      <c r="J8263" s="509">
        <f>노무비목록표!E21</f>
        <v>226122</v>
      </c>
      <c r="M8263" s="501" t="s">
        <v>2519</v>
      </c>
      <c r="N8263" s="501" t="s">
        <v>3416</v>
      </c>
      <c r="X8263" s="510" t="str">
        <f>노무비목록표!B21&amp;" / "&amp;노무비목록표!C21</f>
        <v xml:space="preserve">특별인부 / </v>
      </c>
      <c r="Y8263" s="433" t="str">
        <f ca="1">HYPERLINK("#"&amp;노무비목록표!G2&amp;"!A"&amp;ROW(노무비목록표!A21),"L00016 →")</f>
        <v>L00016 →</v>
      </c>
      <c r="Z8263" s="515">
        <v>1</v>
      </c>
      <c r="AA8263" s="501" t="s">
        <v>3428</v>
      </c>
      <c r="AB8263" s="511">
        <v>2.7</v>
      </c>
      <c r="AC8263" s="501" t="s">
        <v>3753</v>
      </c>
      <c r="AD8263" s="501" t="s">
        <v>3418</v>
      </c>
      <c r="AE8263" s="512">
        <f>Z8263/AB8263*1</f>
        <v>0.37037037037037035</v>
      </c>
      <c r="AF8263" s="500"/>
      <c r="AG8263" s="500"/>
      <c r="AH8263" s="500"/>
      <c r="AI8263" s="500"/>
      <c r="AJ8263" s="500"/>
      <c r="AK8263" s="500"/>
      <c r="AL8263" s="500"/>
      <c r="AM8263" s="500"/>
      <c r="AN8263" s="500"/>
      <c r="AO8263" s="500"/>
      <c r="AP8263" s="500"/>
    </row>
    <row r="8264" spans="1:42" ht="16.5" customHeight="1">
      <c r="A8264" s="439"/>
      <c r="B8264" s="439"/>
      <c r="C8264" s="439"/>
      <c r="D8264" s="439"/>
      <c r="E8264" s="439"/>
      <c r="F8264" s="439"/>
      <c r="G8264" s="451" t="s">
        <v>3406</v>
      </c>
      <c r="Z8264" s="500"/>
      <c r="AA8264" s="500"/>
      <c r="AB8264" s="500"/>
      <c r="AC8264" s="500"/>
      <c r="AD8264" s="500"/>
      <c r="AE8264" s="500"/>
      <c r="AF8264" s="500"/>
      <c r="AG8264" s="500"/>
      <c r="AH8264" s="500"/>
      <c r="AI8264" s="500"/>
      <c r="AJ8264" s="500"/>
      <c r="AK8264" s="500"/>
      <c r="AL8264" s="500"/>
      <c r="AM8264" s="500"/>
      <c r="AN8264" s="500"/>
      <c r="AO8264" s="500"/>
      <c r="AP8264" s="500"/>
    </row>
    <row r="8265" spans="1:42" ht="16.5" customHeight="1">
      <c r="A8265" s="434"/>
      <c r="B8265" s="437" t="s">
        <v>3419</v>
      </c>
      <c r="C8265" s="513">
        <f>E8265+D8265+F8265</f>
        <v>83748.800000000003</v>
      </c>
      <c r="D8265" s="513">
        <f>SUMIF(N8257:N8264,M8265,D8257:D8264)</f>
        <v>83748.800000000003</v>
      </c>
      <c r="E8265" s="513">
        <f>SUMIF(N8257:N8264,M8265,E8257:E8264)</f>
        <v>0</v>
      </c>
      <c r="F8265" s="513">
        <f>SUMIF(N8257:N8264,M8265,F8257:F8264)</f>
        <v>0</v>
      </c>
      <c r="G8265" s="451" t="s">
        <v>3420</v>
      </c>
      <c r="M8265" s="501" t="s">
        <v>3416</v>
      </c>
      <c r="N8265" s="501" t="s">
        <v>3421</v>
      </c>
      <c r="Z8265" s="500"/>
      <c r="AA8265" s="500"/>
      <c r="AB8265" s="500"/>
      <c r="AC8265" s="500"/>
      <c r="AD8265" s="500"/>
      <c r="AE8265" s="500"/>
      <c r="AF8265" s="500"/>
      <c r="AG8265" s="500"/>
      <c r="AH8265" s="500"/>
      <c r="AI8265" s="500"/>
      <c r="AJ8265" s="500"/>
      <c r="AK8265" s="500"/>
      <c r="AL8265" s="500"/>
      <c r="AM8265" s="500"/>
      <c r="AN8265" s="500"/>
      <c r="AO8265" s="500"/>
      <c r="AP8265" s="500"/>
    </row>
    <row r="8266" spans="1:42" ht="16.5" customHeight="1">
      <c r="A8266" s="439"/>
      <c r="B8266" s="439"/>
      <c r="C8266" s="504"/>
      <c r="D8266" s="504"/>
      <c r="E8266" s="504"/>
      <c r="F8266" s="504"/>
      <c r="G8266" s="451" t="s">
        <v>3406</v>
      </c>
      <c r="Z8266" s="500"/>
      <c r="AA8266" s="500"/>
      <c r="AB8266" s="500"/>
      <c r="AC8266" s="500"/>
      <c r="AD8266" s="500"/>
      <c r="AE8266" s="500"/>
      <c r="AF8266" s="500"/>
      <c r="AG8266" s="500"/>
      <c r="AH8266" s="500"/>
      <c r="AI8266" s="500"/>
      <c r="AJ8266" s="500"/>
      <c r="AK8266" s="500"/>
      <c r="AL8266" s="500"/>
      <c r="AM8266" s="500"/>
      <c r="AN8266" s="500"/>
      <c r="AO8266" s="500"/>
      <c r="AP8266" s="500"/>
    </row>
    <row r="8267" spans="1:42" ht="16.5" customHeight="1">
      <c r="A8267" s="439"/>
      <c r="B8267" s="439"/>
      <c r="C8267" s="439"/>
      <c r="D8267" s="439"/>
      <c r="E8267" s="439"/>
      <c r="F8267" s="439"/>
      <c r="G8267" s="451" t="s">
        <v>3406</v>
      </c>
      <c r="Z8267" s="500"/>
      <c r="AA8267" s="500"/>
      <c r="AB8267" s="500"/>
      <c r="AC8267" s="500"/>
      <c r="AD8267" s="500"/>
      <c r="AE8267" s="500"/>
      <c r="AF8267" s="500"/>
      <c r="AG8267" s="500"/>
      <c r="AH8267" s="500"/>
      <c r="AI8267" s="500"/>
      <c r="AJ8267" s="500"/>
      <c r="AK8267" s="500"/>
      <c r="AL8267" s="500"/>
      <c r="AM8267" s="500"/>
      <c r="AN8267" s="500"/>
      <c r="AO8267" s="500"/>
      <c r="AP8267" s="500"/>
    </row>
    <row r="8268" spans="1:42" ht="16.5" customHeight="1">
      <c r="A8268" s="434"/>
      <c r="B8268" s="437" t="s">
        <v>3440</v>
      </c>
      <c r="C8268" s="513">
        <f>E8268+D8268+F8268</f>
        <v>83748.800000000003</v>
      </c>
      <c r="D8268" s="513">
        <f>SUMIF(N8257:N8267,M8268,D8257:D8267)</f>
        <v>83748.800000000003</v>
      </c>
      <c r="E8268" s="513">
        <f>SUMIF(N8257:N8267,M8268,E8257:E8267)</f>
        <v>0</v>
      </c>
      <c r="F8268" s="513">
        <f>SUMIF(N8257:N8267,M8268,F8257:F8267)</f>
        <v>0</v>
      </c>
      <c r="G8268" s="451" t="s">
        <v>3484</v>
      </c>
      <c r="M8268" s="501" t="s">
        <v>3421</v>
      </c>
      <c r="N8268" s="501" t="s">
        <v>2354</v>
      </c>
      <c r="Z8268" s="500"/>
      <c r="AA8268" s="500"/>
      <c r="AB8268" s="500"/>
      <c r="AC8268" s="500"/>
      <c r="AD8268" s="500"/>
      <c r="AE8268" s="500"/>
      <c r="AF8268" s="500"/>
      <c r="AG8268" s="500"/>
      <c r="AH8268" s="500"/>
      <c r="AI8268" s="500"/>
      <c r="AJ8268" s="500"/>
      <c r="AK8268" s="500"/>
      <c r="AL8268" s="500"/>
      <c r="AM8268" s="500"/>
      <c r="AN8268" s="500"/>
      <c r="AO8268" s="500"/>
      <c r="AP8268" s="500"/>
    </row>
    <row r="8269" spans="1:42" ht="16.5" customHeight="1">
      <c r="A8269" s="439"/>
      <c r="B8269" s="439"/>
      <c r="C8269" s="504"/>
      <c r="D8269" s="504"/>
      <c r="E8269" s="504"/>
      <c r="F8269" s="504"/>
      <c r="Z8269" s="500"/>
      <c r="AA8269" s="500"/>
      <c r="AB8269" s="500"/>
      <c r="AC8269" s="500"/>
      <c r="AD8269" s="500"/>
      <c r="AE8269" s="500"/>
      <c r="AF8269" s="500"/>
      <c r="AG8269" s="500"/>
      <c r="AH8269" s="500"/>
      <c r="AI8269" s="500"/>
      <c r="AJ8269" s="500"/>
      <c r="AK8269" s="500"/>
      <c r="AL8269" s="500"/>
      <c r="AM8269" s="500"/>
      <c r="AN8269" s="500"/>
      <c r="AO8269" s="500"/>
      <c r="AP8269" s="500"/>
    </row>
    <row r="8270" spans="1:42" ht="16.5" customHeight="1">
      <c r="A8270" s="439"/>
      <c r="B8270" s="439"/>
      <c r="C8270" s="439"/>
      <c r="D8270" s="439"/>
      <c r="E8270" s="439"/>
      <c r="F8270" s="439"/>
      <c r="Z8270" s="500"/>
      <c r="AA8270" s="500"/>
      <c r="AB8270" s="500"/>
      <c r="AC8270" s="500"/>
      <c r="AD8270" s="500"/>
      <c r="AE8270" s="500"/>
      <c r="AF8270" s="500"/>
      <c r="AG8270" s="500"/>
      <c r="AH8270" s="500"/>
      <c r="AI8270" s="500"/>
      <c r="AJ8270" s="500"/>
      <c r="AK8270" s="500"/>
      <c r="AL8270" s="500"/>
      <c r="AM8270" s="500"/>
      <c r="AN8270" s="500"/>
      <c r="AO8270" s="500"/>
      <c r="AP8270" s="500"/>
    </row>
    <row r="8271" spans="1:42" ht="16.5" customHeight="1">
      <c r="A8271" s="439"/>
      <c r="B8271" s="439"/>
      <c r="C8271" s="439"/>
      <c r="D8271" s="439"/>
      <c r="E8271" s="439"/>
      <c r="F8271" s="439"/>
      <c r="Z8271" s="500"/>
      <c r="AA8271" s="500"/>
      <c r="AB8271" s="500"/>
      <c r="AC8271" s="500"/>
      <c r="AD8271" s="500"/>
      <c r="AE8271" s="500"/>
      <c r="AF8271" s="500"/>
      <c r="AG8271" s="500"/>
      <c r="AH8271" s="500"/>
      <c r="AI8271" s="500"/>
      <c r="AJ8271" s="500"/>
      <c r="AK8271" s="500"/>
      <c r="AL8271" s="500"/>
      <c r="AM8271" s="500"/>
      <c r="AN8271" s="500"/>
      <c r="AO8271" s="500"/>
      <c r="AP8271" s="500"/>
    </row>
    <row r="8272" spans="1:42" ht="16.5" customHeight="1">
      <c r="A8272" s="439"/>
      <c r="B8272" s="439"/>
      <c r="C8272" s="439"/>
      <c r="D8272" s="439"/>
      <c r="E8272" s="439"/>
      <c r="F8272" s="439"/>
      <c r="Z8272" s="500"/>
      <c r="AA8272" s="500"/>
      <c r="AB8272" s="500"/>
      <c r="AC8272" s="500"/>
      <c r="AD8272" s="500"/>
      <c r="AE8272" s="500"/>
      <c r="AF8272" s="500"/>
      <c r="AG8272" s="500"/>
      <c r="AH8272" s="500"/>
      <c r="AI8272" s="500"/>
      <c r="AJ8272" s="500"/>
      <c r="AK8272" s="500"/>
      <c r="AL8272" s="500"/>
      <c r="AM8272" s="500"/>
      <c r="AN8272" s="500"/>
      <c r="AO8272" s="500"/>
      <c r="AP8272" s="500"/>
    </row>
    <row r="8273" spans="1:42" ht="16.5" customHeight="1">
      <c r="A8273" s="439"/>
      <c r="B8273" s="439"/>
      <c r="C8273" s="439"/>
      <c r="D8273" s="439"/>
      <c r="E8273" s="439"/>
      <c r="F8273" s="439"/>
      <c r="Z8273" s="500"/>
      <c r="AA8273" s="500"/>
      <c r="AB8273" s="500"/>
      <c r="AC8273" s="500"/>
      <c r="AD8273" s="500"/>
      <c r="AE8273" s="500"/>
      <c r="AF8273" s="500"/>
      <c r="AG8273" s="500"/>
      <c r="AH8273" s="500"/>
      <c r="AI8273" s="500"/>
      <c r="AJ8273" s="500"/>
      <c r="AK8273" s="500"/>
      <c r="AL8273" s="500"/>
      <c r="AM8273" s="500"/>
      <c r="AN8273" s="500"/>
      <c r="AO8273" s="500"/>
      <c r="AP8273" s="500"/>
    </row>
    <row r="8274" spans="1:42" ht="16.5" customHeight="1">
      <c r="A8274" s="439"/>
      <c r="B8274" s="439"/>
      <c r="C8274" s="439"/>
      <c r="D8274" s="439"/>
      <c r="E8274" s="439"/>
      <c r="F8274" s="439"/>
      <c r="Z8274" s="500"/>
      <c r="AA8274" s="500"/>
      <c r="AB8274" s="500"/>
      <c r="AC8274" s="500"/>
      <c r="AD8274" s="500"/>
      <c r="AE8274" s="500"/>
      <c r="AF8274" s="500"/>
      <c r="AG8274" s="500"/>
      <c r="AH8274" s="500"/>
      <c r="AI8274" s="500"/>
      <c r="AJ8274" s="500"/>
      <c r="AK8274" s="500"/>
      <c r="AL8274" s="500"/>
      <c r="AM8274" s="500"/>
      <c r="AN8274" s="500"/>
      <c r="AO8274" s="500"/>
      <c r="AP8274" s="500"/>
    </row>
    <row r="8275" spans="1:42" ht="16.5" customHeight="1">
      <c r="A8275" s="439"/>
      <c r="B8275" s="439"/>
      <c r="C8275" s="439"/>
      <c r="D8275" s="439"/>
      <c r="E8275" s="439"/>
      <c r="F8275" s="439"/>
      <c r="Z8275" s="500"/>
      <c r="AA8275" s="500"/>
      <c r="AB8275" s="500"/>
      <c r="AC8275" s="500"/>
      <c r="AD8275" s="500"/>
      <c r="AE8275" s="500"/>
      <c r="AF8275" s="500"/>
      <c r="AG8275" s="500"/>
      <c r="AH8275" s="500"/>
      <c r="AI8275" s="500"/>
      <c r="AJ8275" s="500"/>
      <c r="AK8275" s="500"/>
      <c r="AL8275" s="500"/>
      <c r="AM8275" s="500"/>
      <c r="AN8275" s="500"/>
      <c r="AO8275" s="500"/>
      <c r="AP8275" s="500"/>
    </row>
    <row r="8276" spans="1:42" ht="16.5" customHeight="1">
      <c r="A8276" s="439"/>
      <c r="B8276" s="439"/>
      <c r="C8276" s="439"/>
      <c r="D8276" s="439"/>
      <c r="E8276" s="439"/>
      <c r="F8276" s="439"/>
      <c r="Z8276" s="500"/>
      <c r="AA8276" s="500"/>
      <c r="AB8276" s="500"/>
      <c r="AC8276" s="500"/>
      <c r="AD8276" s="500"/>
      <c r="AE8276" s="500"/>
      <c r="AF8276" s="500"/>
      <c r="AG8276" s="500"/>
      <c r="AH8276" s="500"/>
      <c r="AI8276" s="500"/>
      <c r="AJ8276" s="500"/>
      <c r="AK8276" s="500"/>
      <c r="AL8276" s="500"/>
      <c r="AM8276" s="500"/>
      <c r="AN8276" s="500"/>
      <c r="AO8276" s="500"/>
      <c r="AP8276" s="500"/>
    </row>
    <row r="8277" spans="1:42" ht="16.5" customHeight="1">
      <c r="A8277" s="439"/>
      <c r="B8277" s="439"/>
      <c r="C8277" s="439"/>
      <c r="D8277" s="439"/>
      <c r="E8277" s="439"/>
      <c r="F8277" s="439"/>
      <c r="Z8277" s="500"/>
      <c r="AA8277" s="500"/>
      <c r="AB8277" s="500"/>
      <c r="AC8277" s="500"/>
      <c r="AD8277" s="500"/>
      <c r="AE8277" s="500"/>
      <c r="AF8277" s="500"/>
      <c r="AG8277" s="500"/>
      <c r="AH8277" s="500"/>
      <c r="AI8277" s="500"/>
      <c r="AJ8277" s="500"/>
      <c r="AK8277" s="500"/>
      <c r="AL8277" s="500"/>
      <c r="AM8277" s="500"/>
      <c r="AN8277" s="500"/>
      <c r="AO8277" s="500"/>
      <c r="AP8277" s="500"/>
    </row>
    <row r="8278" spans="1:42" ht="16.5" customHeight="1">
      <c r="A8278" s="439"/>
      <c r="B8278" s="439"/>
      <c r="C8278" s="439"/>
      <c r="D8278" s="439"/>
      <c r="E8278" s="439"/>
      <c r="F8278" s="439"/>
      <c r="Z8278" s="500"/>
      <c r="AA8278" s="500"/>
      <c r="AB8278" s="500"/>
      <c r="AC8278" s="500"/>
      <c r="AD8278" s="500"/>
      <c r="AE8278" s="500"/>
      <c r="AF8278" s="500"/>
      <c r="AG8278" s="500"/>
      <c r="AH8278" s="500"/>
      <c r="AI8278" s="500"/>
      <c r="AJ8278" s="500"/>
      <c r="AK8278" s="500"/>
      <c r="AL8278" s="500"/>
      <c r="AM8278" s="500"/>
      <c r="AN8278" s="500"/>
      <c r="AO8278" s="500"/>
      <c r="AP8278" s="500"/>
    </row>
    <row r="8279" spans="1:42" ht="16.5" customHeight="1">
      <c r="A8279" s="439"/>
      <c r="B8279" s="439"/>
      <c r="C8279" s="439"/>
      <c r="D8279" s="439"/>
      <c r="E8279" s="439"/>
      <c r="F8279" s="439"/>
      <c r="Z8279" s="500"/>
      <c r="AA8279" s="500"/>
      <c r="AB8279" s="500"/>
      <c r="AC8279" s="500"/>
      <c r="AD8279" s="500"/>
      <c r="AE8279" s="500"/>
      <c r="AF8279" s="500"/>
      <c r="AG8279" s="500"/>
      <c r="AH8279" s="500"/>
      <c r="AI8279" s="500"/>
      <c r="AJ8279" s="500"/>
      <c r="AK8279" s="500"/>
      <c r="AL8279" s="500"/>
      <c r="AM8279" s="500"/>
      <c r="AN8279" s="500"/>
      <c r="AO8279" s="500"/>
      <c r="AP8279" s="500"/>
    </row>
    <row r="8280" spans="1:42" ht="16.5" customHeight="1">
      <c r="A8280" s="439"/>
      <c r="B8280" s="439"/>
      <c r="C8280" s="439"/>
      <c r="D8280" s="439"/>
      <c r="E8280" s="439"/>
      <c r="F8280" s="439"/>
      <c r="Z8280" s="500"/>
      <c r="AA8280" s="500"/>
      <c r="AB8280" s="500"/>
      <c r="AC8280" s="500"/>
      <c r="AD8280" s="500"/>
      <c r="AE8280" s="500"/>
      <c r="AF8280" s="500"/>
      <c r="AG8280" s="500"/>
      <c r="AH8280" s="500"/>
      <c r="AI8280" s="500"/>
      <c r="AJ8280" s="500"/>
      <c r="AK8280" s="500"/>
      <c r="AL8280" s="500"/>
      <c r="AM8280" s="500"/>
      <c r="AN8280" s="500"/>
      <c r="AO8280" s="500"/>
      <c r="AP8280" s="500"/>
    </row>
    <row r="8281" spans="1:42" ht="16.5" customHeight="1">
      <c r="A8281" s="439"/>
      <c r="B8281" s="439"/>
      <c r="C8281" s="439"/>
      <c r="D8281" s="439"/>
      <c r="E8281" s="439"/>
      <c r="F8281" s="439"/>
      <c r="Z8281" s="500"/>
      <c r="AA8281" s="500"/>
      <c r="AB8281" s="500"/>
      <c r="AC8281" s="500"/>
      <c r="AD8281" s="500"/>
      <c r="AE8281" s="500"/>
      <c r="AF8281" s="500"/>
      <c r="AG8281" s="500"/>
      <c r="AH8281" s="500"/>
      <c r="AI8281" s="500"/>
      <c r="AJ8281" s="500"/>
      <c r="AK8281" s="500"/>
      <c r="AL8281" s="500"/>
      <c r="AM8281" s="500"/>
      <c r="AN8281" s="500"/>
      <c r="AO8281" s="500"/>
      <c r="AP8281" s="500"/>
    </row>
    <row r="8282" spans="1:42" ht="16.5" customHeight="1">
      <c r="A8282" s="439"/>
      <c r="B8282" s="439"/>
      <c r="C8282" s="439"/>
      <c r="D8282" s="439"/>
      <c r="E8282" s="439"/>
      <c r="F8282" s="439"/>
      <c r="Z8282" s="500"/>
      <c r="AA8282" s="500"/>
      <c r="AB8282" s="500"/>
      <c r="AC8282" s="500"/>
      <c r="AD8282" s="500"/>
      <c r="AE8282" s="500"/>
      <c r="AF8282" s="500"/>
      <c r="AG8282" s="500"/>
      <c r="AH8282" s="500"/>
      <c r="AI8282" s="500"/>
      <c r="AJ8282" s="500"/>
      <c r="AK8282" s="500"/>
      <c r="AL8282" s="500"/>
      <c r="AM8282" s="500"/>
      <c r="AN8282" s="500"/>
      <c r="AO8282" s="500"/>
      <c r="AP8282" s="500"/>
    </row>
    <row r="8283" spans="1:42" ht="16.5" customHeight="1">
      <c r="A8283" s="439"/>
      <c r="B8283" s="439"/>
      <c r="C8283" s="439"/>
      <c r="D8283" s="439"/>
      <c r="E8283" s="439"/>
      <c r="F8283" s="439"/>
      <c r="Z8283" s="500"/>
      <c r="AA8283" s="500"/>
      <c r="AB8283" s="500"/>
      <c r="AC8283" s="500"/>
      <c r="AD8283" s="500"/>
      <c r="AE8283" s="500"/>
      <c r="AF8283" s="500"/>
      <c r="AG8283" s="500"/>
      <c r="AH8283" s="500"/>
      <c r="AI8283" s="500"/>
      <c r="AJ8283" s="500"/>
      <c r="AK8283" s="500"/>
      <c r="AL8283" s="500"/>
      <c r="AM8283" s="500"/>
      <c r="AN8283" s="500"/>
      <c r="AO8283" s="500"/>
      <c r="AP8283" s="500"/>
    </row>
    <row r="8284" spans="1:42" ht="16.5" customHeight="1">
      <c r="A8284" s="439"/>
      <c r="B8284" s="439"/>
      <c r="C8284" s="439"/>
      <c r="D8284" s="439"/>
      <c r="E8284" s="439"/>
      <c r="F8284" s="439"/>
      <c r="Z8284" s="500"/>
      <c r="AA8284" s="500"/>
      <c r="AB8284" s="500"/>
      <c r="AC8284" s="500"/>
      <c r="AD8284" s="500"/>
      <c r="AE8284" s="500"/>
      <c r="AF8284" s="500"/>
      <c r="AG8284" s="500"/>
      <c r="AH8284" s="500"/>
      <c r="AI8284" s="500"/>
      <c r="AJ8284" s="500"/>
      <c r="AK8284" s="500"/>
      <c r="AL8284" s="500"/>
      <c r="AM8284" s="500"/>
      <c r="AN8284" s="500"/>
      <c r="AO8284" s="500"/>
      <c r="AP8284" s="500"/>
    </row>
    <row r="8285" spans="1:42" ht="16.5" customHeight="1">
      <c r="A8285" s="439"/>
      <c r="B8285" s="439"/>
      <c r="C8285" s="439"/>
      <c r="D8285" s="439"/>
      <c r="E8285" s="439"/>
      <c r="F8285" s="439"/>
      <c r="Z8285" s="500"/>
      <c r="AA8285" s="500"/>
      <c r="AB8285" s="500"/>
      <c r="AC8285" s="500"/>
      <c r="AD8285" s="500"/>
      <c r="AE8285" s="500"/>
      <c r="AF8285" s="500"/>
      <c r="AG8285" s="500"/>
      <c r="AH8285" s="500"/>
      <c r="AI8285" s="500"/>
      <c r="AJ8285" s="500"/>
      <c r="AK8285" s="500"/>
      <c r="AL8285" s="500"/>
      <c r="AM8285" s="500"/>
      <c r="AN8285" s="500"/>
      <c r="AO8285" s="500"/>
      <c r="AP8285" s="500"/>
    </row>
    <row r="8286" spans="1:42" ht="16.5" customHeight="1">
      <c r="A8286" s="439"/>
      <c r="B8286" s="439"/>
      <c r="C8286" s="439"/>
      <c r="D8286" s="439"/>
      <c r="E8286" s="439"/>
      <c r="F8286" s="439"/>
      <c r="Z8286" s="500"/>
      <c r="AA8286" s="500"/>
      <c r="AB8286" s="500"/>
      <c r="AC8286" s="500"/>
      <c r="AD8286" s="500"/>
      <c r="AE8286" s="500"/>
      <c r="AF8286" s="500"/>
      <c r="AG8286" s="500"/>
      <c r="AH8286" s="500"/>
      <c r="AI8286" s="500"/>
      <c r="AJ8286" s="500"/>
      <c r="AK8286" s="500"/>
      <c r="AL8286" s="500"/>
      <c r="AM8286" s="500"/>
      <c r="AN8286" s="500"/>
      <c r="AO8286" s="500"/>
      <c r="AP8286" s="500"/>
    </row>
    <row r="8287" spans="1:42" ht="16.5" customHeight="1">
      <c r="A8287" s="439"/>
      <c r="B8287" s="439"/>
      <c r="C8287" s="439"/>
      <c r="D8287" s="439"/>
      <c r="E8287" s="439"/>
      <c r="F8287" s="439"/>
      <c r="Z8287" s="500"/>
      <c r="AA8287" s="500"/>
      <c r="AB8287" s="500"/>
      <c r="AC8287" s="500"/>
      <c r="AD8287" s="500"/>
      <c r="AE8287" s="500"/>
      <c r="AF8287" s="500"/>
      <c r="AG8287" s="500"/>
      <c r="AH8287" s="500"/>
      <c r="AI8287" s="500"/>
      <c r="AJ8287" s="500"/>
      <c r="AK8287" s="500"/>
      <c r="AL8287" s="500"/>
      <c r="AM8287" s="500"/>
      <c r="AN8287" s="500"/>
      <c r="AO8287" s="500"/>
      <c r="AP8287" s="500"/>
    </row>
    <row r="8288" spans="1:42" ht="16.5" customHeight="1">
      <c r="A8288" s="439"/>
      <c r="B8288" s="439"/>
      <c r="C8288" s="439"/>
      <c r="D8288" s="439"/>
      <c r="E8288" s="439"/>
      <c r="F8288" s="439"/>
      <c r="Z8288" s="500"/>
      <c r="AA8288" s="500"/>
      <c r="AB8288" s="500"/>
      <c r="AC8288" s="500"/>
      <c r="AD8288" s="500"/>
      <c r="AE8288" s="500"/>
      <c r="AF8288" s="500"/>
      <c r="AG8288" s="500"/>
      <c r="AH8288" s="500"/>
      <c r="AI8288" s="500"/>
      <c r="AJ8288" s="500"/>
      <c r="AK8288" s="500"/>
      <c r="AL8288" s="500"/>
      <c r="AM8288" s="500"/>
      <c r="AN8288" s="500"/>
      <c r="AO8288" s="500"/>
      <c r="AP8288" s="500"/>
    </row>
    <row r="8289" spans="1:42" ht="16.5" customHeight="1">
      <c r="A8289" s="439"/>
      <c r="B8289" s="439"/>
      <c r="C8289" s="439"/>
      <c r="D8289" s="439"/>
      <c r="E8289" s="439"/>
      <c r="F8289" s="439"/>
      <c r="Z8289" s="500"/>
      <c r="AA8289" s="500"/>
      <c r="AB8289" s="500"/>
      <c r="AC8289" s="500"/>
      <c r="AD8289" s="500"/>
      <c r="AE8289" s="500"/>
      <c r="AF8289" s="500"/>
      <c r="AG8289" s="500"/>
      <c r="AH8289" s="500"/>
      <c r="AI8289" s="500"/>
      <c r="AJ8289" s="500"/>
      <c r="AK8289" s="500"/>
      <c r="AL8289" s="500"/>
      <c r="AM8289" s="500"/>
      <c r="AN8289" s="500"/>
      <c r="AO8289" s="500"/>
      <c r="AP8289" s="500"/>
    </row>
    <row r="8290" spans="1:42" ht="16.5" customHeight="1">
      <c r="A8290" s="439"/>
      <c r="B8290" s="439"/>
      <c r="C8290" s="439"/>
      <c r="D8290" s="439"/>
      <c r="E8290" s="439"/>
      <c r="F8290" s="439"/>
      <c r="Z8290" s="500"/>
      <c r="AA8290" s="500"/>
      <c r="AB8290" s="500"/>
      <c r="AC8290" s="500"/>
      <c r="AD8290" s="500"/>
      <c r="AE8290" s="500"/>
      <c r="AF8290" s="500"/>
      <c r="AG8290" s="500"/>
      <c r="AH8290" s="500"/>
      <c r="AI8290" s="500"/>
      <c r="AJ8290" s="500"/>
      <c r="AK8290" s="500"/>
      <c r="AL8290" s="500"/>
      <c r="AM8290" s="500"/>
      <c r="AN8290" s="500"/>
      <c r="AO8290" s="500"/>
      <c r="AP8290" s="500"/>
    </row>
    <row r="8291" spans="1:42" ht="16.5" customHeight="1">
      <c r="A8291" s="439"/>
      <c r="B8291" s="439"/>
      <c r="C8291" s="439"/>
      <c r="D8291" s="439"/>
      <c r="E8291" s="439"/>
      <c r="F8291" s="439"/>
      <c r="Z8291" s="500"/>
      <c r="AA8291" s="500"/>
      <c r="AB8291" s="500"/>
      <c r="AC8291" s="500"/>
      <c r="AD8291" s="500"/>
      <c r="AE8291" s="500"/>
      <c r="AF8291" s="500"/>
      <c r="AG8291" s="500"/>
      <c r="AH8291" s="500"/>
      <c r="AI8291" s="500"/>
      <c r="AJ8291" s="500"/>
      <c r="AK8291" s="500"/>
      <c r="AL8291" s="500"/>
      <c r="AM8291" s="500"/>
      <c r="AN8291" s="500"/>
      <c r="AO8291" s="500"/>
      <c r="AP8291" s="500"/>
    </row>
    <row r="8292" spans="1:42" ht="16.5" customHeight="1">
      <c r="A8292" s="439"/>
      <c r="B8292" s="439"/>
      <c r="C8292" s="439"/>
      <c r="D8292" s="439"/>
      <c r="E8292" s="439"/>
      <c r="F8292" s="439"/>
      <c r="Z8292" s="500"/>
      <c r="AA8292" s="500"/>
      <c r="AB8292" s="500"/>
      <c r="AC8292" s="500"/>
      <c r="AD8292" s="500"/>
      <c r="AE8292" s="500"/>
      <c r="AF8292" s="500"/>
      <c r="AG8292" s="500"/>
      <c r="AH8292" s="500"/>
      <c r="AI8292" s="500"/>
      <c r="AJ8292" s="500"/>
      <c r="AK8292" s="500"/>
      <c r="AL8292" s="500"/>
      <c r="AM8292" s="500"/>
      <c r="AN8292" s="500"/>
      <c r="AO8292" s="500"/>
      <c r="AP8292" s="500"/>
    </row>
    <row r="8293" spans="1:42" ht="16.5" customHeight="1">
      <c r="A8293" s="439"/>
      <c r="B8293" s="439"/>
      <c r="C8293" s="439"/>
      <c r="D8293" s="439"/>
      <c r="E8293" s="439"/>
      <c r="F8293" s="439"/>
      <c r="Z8293" s="500"/>
      <c r="AA8293" s="500"/>
      <c r="AB8293" s="500"/>
      <c r="AC8293" s="500"/>
      <c r="AD8293" s="500"/>
      <c r="AE8293" s="500"/>
      <c r="AF8293" s="500"/>
      <c r="AG8293" s="500"/>
      <c r="AH8293" s="500"/>
      <c r="AI8293" s="500"/>
      <c r="AJ8293" s="500"/>
      <c r="AK8293" s="500"/>
      <c r="AL8293" s="500"/>
      <c r="AM8293" s="500"/>
      <c r="AN8293" s="500"/>
      <c r="AO8293" s="500"/>
      <c r="AP8293" s="500"/>
    </row>
    <row r="8294" spans="1:42" ht="16.5" customHeight="1">
      <c r="A8294" s="439"/>
      <c r="B8294" s="439"/>
      <c r="C8294" s="439"/>
      <c r="D8294" s="439"/>
      <c r="E8294" s="439"/>
      <c r="F8294" s="439"/>
      <c r="Z8294" s="500"/>
      <c r="AA8294" s="500"/>
      <c r="AB8294" s="500"/>
      <c r="AC8294" s="500"/>
      <c r="AD8294" s="500"/>
      <c r="AE8294" s="500"/>
      <c r="AF8294" s="500"/>
      <c r="AG8294" s="500"/>
      <c r="AH8294" s="500"/>
      <c r="AI8294" s="500"/>
      <c r="AJ8294" s="500"/>
      <c r="AK8294" s="500"/>
      <c r="AL8294" s="500"/>
      <c r="AM8294" s="500"/>
      <c r="AN8294" s="500"/>
      <c r="AO8294" s="500"/>
      <c r="AP8294" s="500"/>
    </row>
    <row r="8295" spans="1:42" ht="16.5" customHeight="1">
      <c r="A8295" s="439"/>
      <c r="B8295" s="439"/>
      <c r="C8295" s="439"/>
      <c r="D8295" s="439"/>
      <c r="E8295" s="439"/>
      <c r="F8295" s="439"/>
      <c r="Z8295" s="500"/>
      <c r="AA8295" s="500"/>
      <c r="AB8295" s="500"/>
      <c r="AC8295" s="500"/>
      <c r="AD8295" s="500"/>
      <c r="AE8295" s="500"/>
      <c r="AF8295" s="500"/>
      <c r="AG8295" s="500"/>
      <c r="AH8295" s="500"/>
      <c r="AI8295" s="500"/>
      <c r="AJ8295" s="500"/>
      <c r="AK8295" s="500"/>
      <c r="AL8295" s="500"/>
      <c r="AM8295" s="500"/>
      <c r="AN8295" s="500"/>
      <c r="AO8295" s="500"/>
      <c r="AP8295" s="500"/>
    </row>
    <row r="8296" spans="1:42" ht="16.5" customHeight="1">
      <c r="A8296" s="439"/>
      <c r="B8296" s="439"/>
      <c r="C8296" s="439"/>
      <c r="D8296" s="439"/>
      <c r="E8296" s="439"/>
      <c r="F8296" s="439"/>
      <c r="Z8296" s="500"/>
      <c r="AA8296" s="500"/>
      <c r="AB8296" s="500"/>
      <c r="AC8296" s="500"/>
      <c r="AD8296" s="500"/>
      <c r="AE8296" s="500"/>
      <c r="AF8296" s="500"/>
      <c r="AG8296" s="500"/>
      <c r="AH8296" s="500"/>
      <c r="AI8296" s="500"/>
      <c r="AJ8296" s="500"/>
      <c r="AK8296" s="500"/>
      <c r="AL8296" s="500"/>
      <c r="AM8296" s="500"/>
      <c r="AN8296" s="500"/>
      <c r="AO8296" s="500"/>
      <c r="AP8296" s="500"/>
    </row>
    <row r="8297" spans="1:42" ht="16.5" customHeight="1">
      <c r="A8297" s="439"/>
      <c r="B8297" s="439"/>
      <c r="C8297" s="439"/>
      <c r="D8297" s="439"/>
      <c r="E8297" s="439"/>
      <c r="F8297" s="439"/>
      <c r="Z8297" s="500"/>
      <c r="AA8297" s="500"/>
      <c r="AB8297" s="500"/>
      <c r="AC8297" s="500"/>
      <c r="AD8297" s="500"/>
      <c r="AE8297" s="500"/>
      <c r="AF8297" s="500"/>
      <c r="AG8297" s="500"/>
      <c r="AH8297" s="500"/>
      <c r="AI8297" s="500"/>
      <c r="AJ8297" s="500"/>
      <c r="AK8297" s="500"/>
      <c r="AL8297" s="500"/>
      <c r="AM8297" s="500"/>
      <c r="AN8297" s="500"/>
      <c r="AO8297" s="500"/>
      <c r="AP8297" s="500"/>
    </row>
    <row r="8298" spans="1:42" ht="16.5" customHeight="1">
      <c r="A8298" s="439"/>
      <c r="B8298" s="439"/>
      <c r="C8298" s="439"/>
      <c r="D8298" s="439"/>
      <c r="E8298" s="439"/>
      <c r="F8298" s="439"/>
      <c r="Z8298" s="500"/>
      <c r="AA8298" s="500"/>
      <c r="AB8298" s="500"/>
      <c r="AC8298" s="500"/>
      <c r="AD8298" s="500"/>
      <c r="AE8298" s="500"/>
      <c r="AF8298" s="500"/>
      <c r="AG8298" s="500"/>
      <c r="AH8298" s="500"/>
      <c r="AI8298" s="500"/>
      <c r="AJ8298" s="500"/>
      <c r="AK8298" s="500"/>
      <c r="AL8298" s="500"/>
      <c r="AM8298" s="500"/>
      <c r="AN8298" s="500"/>
      <c r="AO8298" s="500"/>
      <c r="AP8298" s="500"/>
    </row>
    <row r="8299" spans="1:42" ht="16.5" customHeight="1">
      <c r="A8299" s="439"/>
      <c r="B8299" s="439"/>
      <c r="C8299" s="439"/>
      <c r="D8299" s="439"/>
      <c r="E8299" s="439"/>
      <c r="F8299" s="439"/>
      <c r="Z8299" s="500"/>
      <c r="AA8299" s="500"/>
      <c r="AB8299" s="500"/>
      <c r="AC8299" s="500"/>
      <c r="AD8299" s="500"/>
      <c r="AE8299" s="500"/>
      <c r="AF8299" s="500"/>
      <c r="AG8299" s="500"/>
      <c r="AH8299" s="500"/>
      <c r="AI8299" s="500"/>
      <c r="AJ8299" s="500"/>
      <c r="AK8299" s="500"/>
      <c r="AL8299" s="500"/>
      <c r="AM8299" s="500"/>
      <c r="AN8299" s="500"/>
      <c r="AO8299" s="500"/>
      <c r="AP8299" s="500"/>
    </row>
    <row r="8300" spans="1:42" ht="16.5" customHeight="1">
      <c r="A8300" s="439"/>
      <c r="B8300" s="439"/>
      <c r="C8300" s="439"/>
      <c r="D8300" s="439"/>
      <c r="E8300" s="439"/>
      <c r="F8300" s="439"/>
      <c r="Z8300" s="500"/>
      <c r="AA8300" s="500"/>
      <c r="AB8300" s="500"/>
      <c r="AC8300" s="500"/>
      <c r="AD8300" s="500"/>
      <c r="AE8300" s="500"/>
      <c r="AF8300" s="500"/>
      <c r="AG8300" s="500"/>
      <c r="AH8300" s="500"/>
      <c r="AI8300" s="500"/>
      <c r="AJ8300" s="500"/>
      <c r="AK8300" s="500"/>
      <c r="AL8300" s="500"/>
      <c r="AM8300" s="500"/>
      <c r="AN8300" s="500"/>
      <c r="AO8300" s="500"/>
      <c r="AP8300" s="500"/>
    </row>
    <row r="8301" spans="1:42" ht="16.5" customHeight="1">
      <c r="A8301" s="439"/>
      <c r="B8301" s="439"/>
      <c r="C8301" s="439"/>
      <c r="D8301" s="439"/>
      <c r="E8301" s="439"/>
      <c r="F8301" s="439"/>
      <c r="Z8301" s="500"/>
      <c r="AA8301" s="500"/>
      <c r="AB8301" s="500"/>
      <c r="AC8301" s="500"/>
      <c r="AD8301" s="500"/>
      <c r="AE8301" s="500"/>
      <c r="AF8301" s="500"/>
      <c r="AG8301" s="500"/>
      <c r="AH8301" s="500"/>
      <c r="AI8301" s="500"/>
      <c r="AJ8301" s="500"/>
      <c r="AK8301" s="500"/>
      <c r="AL8301" s="500"/>
      <c r="AM8301" s="500"/>
      <c r="AN8301" s="500"/>
      <c r="AO8301" s="500"/>
      <c r="AP8301" s="500"/>
    </row>
    <row r="8302" spans="1:42" ht="16.5" customHeight="1">
      <c r="A8302" s="439"/>
      <c r="B8302" s="439"/>
      <c r="C8302" s="439"/>
      <c r="D8302" s="439"/>
      <c r="E8302" s="439"/>
      <c r="F8302" s="439"/>
      <c r="Z8302" s="500"/>
      <c r="AA8302" s="500"/>
      <c r="AB8302" s="500"/>
      <c r="AC8302" s="500"/>
      <c r="AD8302" s="500"/>
      <c r="AE8302" s="500"/>
      <c r="AF8302" s="500"/>
      <c r="AG8302" s="500"/>
      <c r="AH8302" s="500"/>
      <c r="AI8302" s="500"/>
      <c r="AJ8302" s="500"/>
      <c r="AK8302" s="500"/>
      <c r="AL8302" s="500"/>
      <c r="AM8302" s="500"/>
      <c r="AN8302" s="500"/>
      <c r="AO8302" s="500"/>
      <c r="AP8302" s="500"/>
    </row>
    <row r="8303" spans="1:42" ht="16.5" customHeight="1">
      <c r="A8303" s="497"/>
      <c r="B8303" s="497"/>
      <c r="C8303" s="497"/>
      <c r="D8303" s="497"/>
      <c r="E8303" s="497"/>
      <c r="F8303" s="497"/>
      <c r="Z8303" s="500"/>
      <c r="AA8303" s="500"/>
      <c r="AB8303" s="500"/>
      <c r="AC8303" s="500"/>
      <c r="AD8303" s="500"/>
      <c r="AE8303" s="500"/>
      <c r="AF8303" s="500"/>
      <c r="AG8303" s="500"/>
      <c r="AH8303" s="500"/>
      <c r="AI8303" s="500"/>
      <c r="AJ8303" s="500"/>
      <c r="AK8303" s="500"/>
      <c r="AL8303" s="500"/>
      <c r="AM8303" s="500"/>
      <c r="AN8303" s="500"/>
      <c r="AO8303" s="500"/>
      <c r="AP8303" s="500"/>
    </row>
    <row r="8304" spans="1:42" ht="16.5" customHeight="1">
      <c r="A8304" s="616" t="s">
        <v>3487</v>
      </c>
      <c r="B8304" s="605"/>
      <c r="C8304" s="446">
        <f>E8304+D8304+F8304</f>
        <v>83748</v>
      </c>
      <c r="D8304" s="453">
        <f>ROUNDDOWN(SUMIF(N8257:N8268,M8304,D8257:D8268),0)</f>
        <v>83748</v>
      </c>
      <c r="E8304" s="454">
        <f>ROUNDDOWN(SUMIF(N8257:N8268,M8304,E8257:E8268),0)</f>
        <v>0</v>
      </c>
      <c r="F8304" s="446">
        <f>ROUNDDOWN(SUMIF(N8257:N8268,M8304,F8257:F8268),0)</f>
        <v>0</v>
      </c>
      <c r="M8304" s="501" t="s">
        <v>2354</v>
      </c>
      <c r="Z8304" s="500"/>
      <c r="AA8304" s="500"/>
      <c r="AB8304" s="500"/>
      <c r="AC8304" s="500"/>
      <c r="AD8304" s="500"/>
      <c r="AE8304" s="500"/>
      <c r="AF8304" s="500"/>
      <c r="AG8304" s="500"/>
      <c r="AH8304" s="500"/>
      <c r="AI8304" s="500"/>
      <c r="AJ8304" s="500"/>
      <c r="AK8304" s="500"/>
      <c r="AL8304" s="500"/>
      <c r="AM8304" s="500"/>
      <c r="AN8304" s="500"/>
      <c r="AO8304" s="500"/>
      <c r="AP8304" s="500"/>
    </row>
    <row r="8305" spans="1:42" ht="16.5" customHeight="1">
      <c r="A8305" s="502" t="s">
        <v>3385</v>
      </c>
      <c r="B8305" s="503" t="s">
        <v>3386</v>
      </c>
      <c r="C8305" s="615">
        <f>C8354</f>
        <v>102782</v>
      </c>
      <c r="D8305" s="615">
        <f>D8354</f>
        <v>102782</v>
      </c>
      <c r="E8305" s="615">
        <f>E8354</f>
        <v>0</v>
      </c>
      <c r="F8305" s="615">
        <f>F8354</f>
        <v>0</v>
      </c>
      <c r="G8305" s="486" t="str">
        <f>HYPERLINK("#G"&amp;ROW(G8318),"_x0005_`BDCOD|D01266_x0007_`POSS|"&amp;ROW(G8307)&amp;"_x0007_`POSE|"&amp;ROW(G8318)&amp;"_x0007_`")</f>
        <v>_x0005_`BDCOD|D01266_x0007_`POSS|8307_x0007_`POSE|8318_x0007_`</v>
      </c>
      <c r="Z8305" s="500"/>
      <c r="AA8305" s="500"/>
      <c r="AB8305" s="500"/>
      <c r="AC8305" s="500"/>
      <c r="AD8305" s="500"/>
      <c r="AE8305" s="500"/>
      <c r="AF8305" s="500"/>
      <c r="AG8305" s="500"/>
      <c r="AH8305" s="500"/>
      <c r="AI8305" s="500"/>
      <c r="AJ8305" s="500"/>
      <c r="AK8305" s="500"/>
      <c r="AL8305" s="500"/>
      <c r="AM8305" s="500"/>
      <c r="AN8305" s="500"/>
      <c r="AO8305" s="500"/>
      <c r="AP8305" s="500"/>
    </row>
    <row r="8306" spans="1:42" ht="16.5" customHeight="1">
      <c r="A8306" s="485"/>
      <c r="B8306" s="503" t="s">
        <v>4345</v>
      </c>
      <c r="C8306" s="593"/>
      <c r="D8306" s="593"/>
      <c r="E8306" s="593"/>
      <c r="F8306" s="593"/>
      <c r="M8306" s="501" t="s">
        <v>3386</v>
      </c>
      <c r="Z8306" s="500"/>
      <c r="AA8306" s="500"/>
      <c r="AB8306" s="500"/>
      <c r="AC8306" s="500"/>
      <c r="AD8306" s="500"/>
      <c r="AE8306" s="500"/>
      <c r="AF8306" s="500"/>
      <c r="AG8306" s="500"/>
      <c r="AH8306" s="500"/>
      <c r="AI8306" s="500"/>
      <c r="AJ8306" s="500"/>
      <c r="AK8306" s="500"/>
      <c r="AL8306" s="500"/>
      <c r="AM8306" s="500"/>
      <c r="AN8306" s="500"/>
      <c r="AO8306" s="500"/>
      <c r="AP8306" s="500"/>
    </row>
    <row r="8307" spans="1:42" ht="16.5" customHeight="1">
      <c r="A8307" s="439"/>
      <c r="B8307" s="439"/>
      <c r="C8307" s="504"/>
      <c r="D8307" s="504"/>
      <c r="E8307" s="504"/>
      <c r="F8307" s="504"/>
      <c r="G8307" s="451" t="s">
        <v>3406</v>
      </c>
      <c r="Z8307" s="500"/>
      <c r="AA8307" s="500"/>
      <c r="AB8307" s="500"/>
      <c r="AC8307" s="500"/>
      <c r="AD8307" s="500"/>
      <c r="AE8307" s="500"/>
      <c r="AF8307" s="500"/>
      <c r="AG8307" s="500"/>
      <c r="AH8307" s="500"/>
      <c r="AI8307" s="500"/>
      <c r="AJ8307" s="500"/>
      <c r="AK8307" s="500"/>
      <c r="AL8307" s="500"/>
      <c r="AM8307" s="500"/>
      <c r="AN8307" s="500"/>
      <c r="AO8307" s="500"/>
      <c r="AP8307" s="500"/>
    </row>
    <row r="8308" spans="1:42" ht="16.5" customHeight="1">
      <c r="A8308" s="434"/>
      <c r="B8308" s="437" t="s">
        <v>4340</v>
      </c>
      <c r="C8308" s="439"/>
      <c r="D8308" s="439"/>
      <c r="E8308" s="439"/>
      <c r="F8308" s="439"/>
      <c r="G8308" s="451" t="s">
        <v>4341</v>
      </c>
      <c r="Z8308" s="500"/>
      <c r="AA8308" s="500"/>
      <c r="AB8308" s="500"/>
      <c r="AC8308" s="500"/>
      <c r="AD8308" s="500"/>
      <c r="AE8308" s="500"/>
      <c r="AF8308" s="500"/>
      <c r="AG8308" s="500"/>
      <c r="AH8308" s="500"/>
      <c r="AI8308" s="500"/>
      <c r="AJ8308" s="500"/>
      <c r="AK8308" s="500"/>
      <c r="AL8308" s="500"/>
      <c r="AM8308" s="500"/>
      <c r="AN8308" s="500"/>
      <c r="AO8308" s="500"/>
      <c r="AP8308" s="500"/>
    </row>
    <row r="8309" spans="1:42" ht="16.5" customHeight="1">
      <c r="A8309" s="439"/>
      <c r="B8309" s="439"/>
      <c r="C8309" s="439"/>
      <c r="D8309" s="439"/>
      <c r="E8309" s="439"/>
      <c r="F8309" s="439"/>
      <c r="G8309" s="451" t="s">
        <v>3406</v>
      </c>
      <c r="Z8309" s="500"/>
      <c r="AA8309" s="500"/>
      <c r="AB8309" s="500"/>
      <c r="AC8309" s="500"/>
      <c r="AD8309" s="500"/>
      <c r="AE8309" s="500"/>
      <c r="AF8309" s="500"/>
      <c r="AG8309" s="500"/>
      <c r="AH8309" s="500"/>
      <c r="AI8309" s="500"/>
      <c r="AJ8309" s="500"/>
      <c r="AK8309" s="500"/>
      <c r="AL8309" s="500"/>
      <c r="AM8309" s="500"/>
      <c r="AN8309" s="500"/>
      <c r="AO8309" s="500"/>
      <c r="AP8309" s="500"/>
    </row>
    <row r="8310" spans="1:42" ht="16.5" customHeight="1">
      <c r="A8310" s="439"/>
      <c r="B8310" s="439"/>
      <c r="C8310" s="439"/>
      <c r="D8310" s="439"/>
      <c r="E8310" s="439"/>
      <c r="F8310" s="439"/>
      <c r="G8310" s="451" t="s">
        <v>3406</v>
      </c>
      <c r="Z8310" s="500"/>
      <c r="AA8310" s="500"/>
      <c r="AB8310" s="500"/>
      <c r="AC8310" s="500"/>
      <c r="AD8310" s="500"/>
      <c r="AE8310" s="500"/>
      <c r="AF8310" s="500"/>
      <c r="AG8310" s="500"/>
      <c r="AH8310" s="500"/>
      <c r="AI8310" s="500"/>
      <c r="AJ8310" s="500"/>
      <c r="AK8310" s="500"/>
      <c r="AL8310" s="500"/>
      <c r="AM8310" s="500"/>
      <c r="AN8310" s="500"/>
      <c r="AO8310" s="500"/>
      <c r="AP8310" s="500"/>
    </row>
    <row r="8311" spans="1:42" ht="16.5" customHeight="1">
      <c r="A8311" s="434"/>
      <c r="B8311" s="437" t="s">
        <v>4346</v>
      </c>
      <c r="C8311" s="439"/>
      <c r="D8311" s="439"/>
      <c r="E8311" s="439"/>
      <c r="F8311" s="439"/>
      <c r="G8311" s="451" t="s">
        <v>4347</v>
      </c>
      <c r="Z8311" s="500"/>
      <c r="AA8311" s="500"/>
      <c r="AB8311" s="500"/>
      <c r="AC8311" s="500"/>
      <c r="AD8311" s="500"/>
      <c r="AE8311" s="500"/>
      <c r="AF8311" s="500"/>
      <c r="AG8311" s="500"/>
      <c r="AH8311" s="500"/>
      <c r="AI8311" s="500"/>
      <c r="AJ8311" s="500"/>
      <c r="AK8311" s="500"/>
      <c r="AL8311" s="500"/>
      <c r="AM8311" s="500"/>
      <c r="AN8311" s="500"/>
      <c r="AO8311" s="500"/>
      <c r="AP8311" s="500"/>
    </row>
    <row r="8312" spans="1:42" ht="16.5" customHeight="1">
      <c r="A8312" s="439"/>
      <c r="B8312" s="439"/>
      <c r="C8312" s="439"/>
      <c r="D8312" s="439"/>
      <c r="E8312" s="439"/>
      <c r="F8312" s="439"/>
      <c r="G8312" s="451" t="s">
        <v>3406</v>
      </c>
      <c r="Z8312" s="500"/>
      <c r="AA8312" s="500"/>
      <c r="AB8312" s="500"/>
      <c r="AC8312" s="500"/>
      <c r="AD8312" s="500"/>
      <c r="AE8312" s="500"/>
      <c r="AF8312" s="500"/>
      <c r="AG8312" s="500"/>
      <c r="AH8312" s="500"/>
      <c r="AI8312" s="500"/>
      <c r="AJ8312" s="500"/>
      <c r="AK8312" s="500"/>
      <c r="AL8312" s="500"/>
      <c r="AM8312" s="500"/>
      <c r="AN8312" s="500"/>
      <c r="AO8312" s="500"/>
      <c r="AP8312" s="500"/>
    </row>
    <row r="8313" spans="1:42" ht="16.5" customHeight="1">
      <c r="A8313" s="434" t="s">
        <v>3821</v>
      </c>
      <c r="B8313" s="505" t="str">
        <f>"   "&amp;Z8313&amp;" 인  / "&amp;AB8313&amp;" ㎥  *  특별인부 : "&amp;TEXT(I8313,"#,##0"&amp;IF(I8313&lt;&gt;INT(I8313),".###",""))&amp;" = "&amp;TEXT(C8313,"#,##0.0")&amp;""</f>
        <v xml:space="preserve">   1 인  / 2.2 ㎥  *  특별인부 : 226,122 = 102,782.7</v>
      </c>
      <c r="C8313" s="506">
        <f>E8313+D8313+F8313</f>
        <v>102782.7</v>
      </c>
      <c r="D8313" s="506">
        <f>IF(H8313=0,0,ROUNDDOWN(J8313*H8313,1))</f>
        <v>102782.7</v>
      </c>
      <c r="E8313" s="506">
        <f>IF(H8313=0,0,ROUNDDOWN(K8313*H8313,1))</f>
        <v>0</v>
      </c>
      <c r="F8313" s="506">
        <f>IF(H8313=0,0,ROUNDDOWN(L8313*H8313,1))</f>
        <v>0</v>
      </c>
      <c r="G8313" s="451" t="s">
        <v>4348</v>
      </c>
      <c r="H8313" s="507">
        <f>ROUNDUP(AE8313,14-LEN(ABS(INT(AE8313))))</f>
        <v>0.45454545454549999</v>
      </c>
      <c r="I8313" s="508">
        <f>K8313+J8313+L8313</f>
        <v>226122</v>
      </c>
      <c r="J8313" s="509">
        <f>노무비목록표!E21</f>
        <v>226122</v>
      </c>
      <c r="M8313" s="501" t="s">
        <v>2519</v>
      </c>
      <c r="N8313" s="501" t="s">
        <v>3416</v>
      </c>
      <c r="X8313" s="510" t="str">
        <f>노무비목록표!B21&amp;" / "&amp;노무비목록표!C21</f>
        <v xml:space="preserve">특별인부 / </v>
      </c>
      <c r="Y8313" s="433" t="str">
        <f ca="1">HYPERLINK("#"&amp;노무비목록표!G2&amp;"!A"&amp;ROW(노무비목록표!A21),"L00016 →")</f>
        <v>L00016 →</v>
      </c>
      <c r="Z8313" s="515">
        <v>1</v>
      </c>
      <c r="AA8313" s="501" t="s">
        <v>3428</v>
      </c>
      <c r="AB8313" s="511">
        <v>2.2000000000000002</v>
      </c>
      <c r="AC8313" s="501" t="s">
        <v>3753</v>
      </c>
      <c r="AD8313" s="501" t="s">
        <v>3418</v>
      </c>
      <c r="AE8313" s="512">
        <f>Z8313/AB8313*1</f>
        <v>0.45454545454545453</v>
      </c>
      <c r="AF8313" s="500"/>
      <c r="AG8313" s="500"/>
      <c r="AH8313" s="500"/>
      <c r="AI8313" s="500"/>
      <c r="AJ8313" s="500"/>
      <c r="AK8313" s="500"/>
      <c r="AL8313" s="500"/>
      <c r="AM8313" s="500"/>
      <c r="AN8313" s="500"/>
      <c r="AO8313" s="500"/>
      <c r="AP8313" s="500"/>
    </row>
    <row r="8314" spans="1:42" ht="16.5" customHeight="1">
      <c r="A8314" s="439"/>
      <c r="B8314" s="439"/>
      <c r="C8314" s="439"/>
      <c r="D8314" s="439"/>
      <c r="E8314" s="439"/>
      <c r="F8314" s="439"/>
      <c r="G8314" s="451" t="s">
        <v>3406</v>
      </c>
      <c r="Z8314" s="500"/>
      <c r="AA8314" s="500"/>
      <c r="AB8314" s="500"/>
      <c r="AC8314" s="500"/>
      <c r="AD8314" s="500"/>
      <c r="AE8314" s="500"/>
      <c r="AF8314" s="500"/>
      <c r="AG8314" s="500"/>
      <c r="AH8314" s="500"/>
      <c r="AI8314" s="500"/>
      <c r="AJ8314" s="500"/>
      <c r="AK8314" s="500"/>
      <c r="AL8314" s="500"/>
      <c r="AM8314" s="500"/>
      <c r="AN8314" s="500"/>
      <c r="AO8314" s="500"/>
      <c r="AP8314" s="500"/>
    </row>
    <row r="8315" spans="1:42" ht="16.5" customHeight="1">
      <c r="A8315" s="434"/>
      <c r="B8315" s="437" t="s">
        <v>3419</v>
      </c>
      <c r="C8315" s="513">
        <f>E8315+D8315+F8315</f>
        <v>102782.7</v>
      </c>
      <c r="D8315" s="513">
        <f>SUMIF(N8307:N8314,M8315,D8307:D8314)</f>
        <v>102782.7</v>
      </c>
      <c r="E8315" s="513">
        <f>SUMIF(N8307:N8314,M8315,E8307:E8314)</f>
        <v>0</v>
      </c>
      <c r="F8315" s="513">
        <f>SUMIF(N8307:N8314,M8315,F8307:F8314)</f>
        <v>0</v>
      </c>
      <c r="G8315" s="451" t="s">
        <v>3420</v>
      </c>
      <c r="M8315" s="501" t="s">
        <v>3416</v>
      </c>
      <c r="N8315" s="501" t="s">
        <v>3421</v>
      </c>
      <c r="Z8315" s="500"/>
      <c r="AA8315" s="500"/>
      <c r="AB8315" s="500"/>
      <c r="AC8315" s="500"/>
      <c r="AD8315" s="500"/>
      <c r="AE8315" s="500"/>
      <c r="AF8315" s="500"/>
      <c r="AG8315" s="500"/>
      <c r="AH8315" s="500"/>
      <c r="AI8315" s="500"/>
      <c r="AJ8315" s="500"/>
      <c r="AK8315" s="500"/>
      <c r="AL8315" s="500"/>
      <c r="AM8315" s="500"/>
      <c r="AN8315" s="500"/>
      <c r="AO8315" s="500"/>
      <c r="AP8315" s="500"/>
    </row>
    <row r="8316" spans="1:42" ht="16.5" customHeight="1">
      <c r="A8316" s="439"/>
      <c r="B8316" s="439"/>
      <c r="C8316" s="504"/>
      <c r="D8316" s="504"/>
      <c r="E8316" s="504"/>
      <c r="F8316" s="504"/>
      <c r="G8316" s="451" t="s">
        <v>3406</v>
      </c>
      <c r="Z8316" s="500"/>
      <c r="AA8316" s="500"/>
      <c r="AB8316" s="500"/>
      <c r="AC8316" s="500"/>
      <c r="AD8316" s="500"/>
      <c r="AE8316" s="500"/>
      <c r="AF8316" s="500"/>
      <c r="AG8316" s="500"/>
      <c r="AH8316" s="500"/>
      <c r="AI8316" s="500"/>
      <c r="AJ8316" s="500"/>
      <c r="AK8316" s="500"/>
      <c r="AL8316" s="500"/>
      <c r="AM8316" s="500"/>
      <c r="AN8316" s="500"/>
      <c r="AO8316" s="500"/>
      <c r="AP8316" s="500"/>
    </row>
    <row r="8317" spans="1:42" ht="16.5" customHeight="1">
      <c r="A8317" s="439"/>
      <c r="B8317" s="439"/>
      <c r="C8317" s="439"/>
      <c r="D8317" s="439"/>
      <c r="E8317" s="439"/>
      <c r="F8317" s="439"/>
      <c r="G8317" s="451" t="s">
        <v>3406</v>
      </c>
      <c r="Z8317" s="500"/>
      <c r="AA8317" s="500"/>
      <c r="AB8317" s="500"/>
      <c r="AC8317" s="500"/>
      <c r="AD8317" s="500"/>
      <c r="AE8317" s="500"/>
      <c r="AF8317" s="500"/>
      <c r="AG8317" s="500"/>
      <c r="AH8317" s="500"/>
      <c r="AI8317" s="500"/>
      <c r="AJ8317" s="500"/>
      <c r="AK8317" s="500"/>
      <c r="AL8317" s="500"/>
      <c r="AM8317" s="500"/>
      <c r="AN8317" s="500"/>
      <c r="AO8317" s="500"/>
      <c r="AP8317" s="500"/>
    </row>
    <row r="8318" spans="1:42" ht="16.5" customHeight="1">
      <c r="A8318" s="434"/>
      <c r="B8318" s="437" t="s">
        <v>3440</v>
      </c>
      <c r="C8318" s="513">
        <f>E8318+D8318+F8318</f>
        <v>102782.7</v>
      </c>
      <c r="D8318" s="513">
        <f>SUMIF(N8307:N8317,M8318,D8307:D8317)</f>
        <v>102782.7</v>
      </c>
      <c r="E8318" s="513">
        <f>SUMIF(N8307:N8317,M8318,E8307:E8317)</f>
        <v>0</v>
      </c>
      <c r="F8318" s="513">
        <f>SUMIF(N8307:N8317,M8318,F8307:F8317)</f>
        <v>0</v>
      </c>
      <c r="G8318" s="451" t="s">
        <v>3484</v>
      </c>
      <c r="M8318" s="501" t="s">
        <v>3421</v>
      </c>
      <c r="N8318" s="501" t="s">
        <v>2354</v>
      </c>
      <c r="Z8318" s="500"/>
      <c r="AA8318" s="500"/>
      <c r="AB8318" s="500"/>
      <c r="AC8318" s="500"/>
      <c r="AD8318" s="500"/>
      <c r="AE8318" s="500"/>
      <c r="AF8318" s="500"/>
      <c r="AG8318" s="500"/>
      <c r="AH8318" s="500"/>
      <c r="AI8318" s="500"/>
      <c r="AJ8318" s="500"/>
      <c r="AK8318" s="500"/>
      <c r="AL8318" s="500"/>
      <c r="AM8318" s="500"/>
      <c r="AN8318" s="500"/>
      <c r="AO8318" s="500"/>
      <c r="AP8318" s="500"/>
    </row>
    <row r="8319" spans="1:42" ht="16.5" customHeight="1">
      <c r="A8319" s="439"/>
      <c r="B8319" s="439"/>
      <c r="C8319" s="504"/>
      <c r="D8319" s="504"/>
      <c r="E8319" s="504"/>
      <c r="F8319" s="504"/>
      <c r="Z8319" s="500"/>
      <c r="AA8319" s="500"/>
      <c r="AB8319" s="500"/>
      <c r="AC8319" s="500"/>
      <c r="AD8319" s="500"/>
      <c r="AE8319" s="500"/>
      <c r="AF8319" s="500"/>
      <c r="AG8319" s="500"/>
      <c r="AH8319" s="500"/>
      <c r="AI8319" s="500"/>
      <c r="AJ8319" s="500"/>
      <c r="AK8319" s="500"/>
      <c r="AL8319" s="500"/>
      <c r="AM8319" s="500"/>
      <c r="AN8319" s="500"/>
      <c r="AO8319" s="500"/>
      <c r="AP8319" s="500"/>
    </row>
    <row r="8320" spans="1:42" ht="16.5" customHeight="1">
      <c r="A8320" s="439"/>
      <c r="B8320" s="439"/>
      <c r="C8320" s="439"/>
      <c r="D8320" s="439"/>
      <c r="E8320" s="439"/>
      <c r="F8320" s="439"/>
      <c r="Z8320" s="500"/>
      <c r="AA8320" s="500"/>
      <c r="AB8320" s="500"/>
      <c r="AC8320" s="500"/>
      <c r="AD8320" s="500"/>
      <c r="AE8320" s="500"/>
      <c r="AF8320" s="500"/>
      <c r="AG8320" s="500"/>
      <c r="AH8320" s="500"/>
      <c r="AI8320" s="500"/>
      <c r="AJ8320" s="500"/>
      <c r="AK8320" s="500"/>
      <c r="AL8320" s="500"/>
      <c r="AM8320" s="500"/>
      <c r="AN8320" s="500"/>
      <c r="AO8320" s="500"/>
      <c r="AP8320" s="500"/>
    </row>
    <row r="8321" spans="1:42" ht="16.5" customHeight="1">
      <c r="A8321" s="439"/>
      <c r="B8321" s="439"/>
      <c r="C8321" s="439"/>
      <c r="D8321" s="439"/>
      <c r="E8321" s="439"/>
      <c r="F8321" s="439"/>
      <c r="Z8321" s="500"/>
      <c r="AA8321" s="500"/>
      <c r="AB8321" s="500"/>
      <c r="AC8321" s="500"/>
      <c r="AD8321" s="500"/>
      <c r="AE8321" s="500"/>
      <c r="AF8321" s="500"/>
      <c r="AG8321" s="500"/>
      <c r="AH8321" s="500"/>
      <c r="AI8321" s="500"/>
      <c r="AJ8321" s="500"/>
      <c r="AK8321" s="500"/>
      <c r="AL8321" s="500"/>
      <c r="AM8321" s="500"/>
      <c r="AN8321" s="500"/>
      <c r="AO8321" s="500"/>
      <c r="AP8321" s="500"/>
    </row>
    <row r="8322" spans="1:42" ht="16.5" customHeight="1">
      <c r="A8322" s="439"/>
      <c r="B8322" s="439"/>
      <c r="C8322" s="439"/>
      <c r="D8322" s="439"/>
      <c r="E8322" s="439"/>
      <c r="F8322" s="439"/>
      <c r="Z8322" s="500"/>
      <c r="AA8322" s="500"/>
      <c r="AB8322" s="500"/>
      <c r="AC8322" s="500"/>
      <c r="AD8322" s="500"/>
      <c r="AE8322" s="500"/>
      <c r="AF8322" s="500"/>
      <c r="AG8322" s="500"/>
      <c r="AH8322" s="500"/>
      <c r="AI8322" s="500"/>
      <c r="AJ8322" s="500"/>
      <c r="AK8322" s="500"/>
      <c r="AL8322" s="500"/>
      <c r="AM8322" s="500"/>
      <c r="AN8322" s="500"/>
      <c r="AO8322" s="500"/>
      <c r="AP8322" s="500"/>
    </row>
    <row r="8323" spans="1:42" ht="16.5" customHeight="1">
      <c r="A8323" s="439"/>
      <c r="B8323" s="439"/>
      <c r="C8323" s="439"/>
      <c r="D8323" s="439"/>
      <c r="E8323" s="439"/>
      <c r="F8323" s="439"/>
      <c r="Z8323" s="500"/>
      <c r="AA8323" s="500"/>
      <c r="AB8323" s="500"/>
      <c r="AC8323" s="500"/>
      <c r="AD8323" s="500"/>
      <c r="AE8323" s="500"/>
      <c r="AF8323" s="500"/>
      <c r="AG8323" s="500"/>
      <c r="AH8323" s="500"/>
      <c r="AI8323" s="500"/>
      <c r="AJ8323" s="500"/>
      <c r="AK8323" s="500"/>
      <c r="AL8323" s="500"/>
      <c r="AM8323" s="500"/>
      <c r="AN8323" s="500"/>
      <c r="AO8323" s="500"/>
      <c r="AP8323" s="500"/>
    </row>
    <row r="8324" spans="1:42" ht="16.5" customHeight="1">
      <c r="A8324" s="439"/>
      <c r="B8324" s="439"/>
      <c r="C8324" s="439"/>
      <c r="D8324" s="439"/>
      <c r="E8324" s="439"/>
      <c r="F8324" s="439"/>
      <c r="Z8324" s="500"/>
      <c r="AA8324" s="500"/>
      <c r="AB8324" s="500"/>
      <c r="AC8324" s="500"/>
      <c r="AD8324" s="500"/>
      <c r="AE8324" s="500"/>
      <c r="AF8324" s="500"/>
      <c r="AG8324" s="500"/>
      <c r="AH8324" s="500"/>
      <c r="AI8324" s="500"/>
      <c r="AJ8324" s="500"/>
      <c r="AK8324" s="500"/>
      <c r="AL8324" s="500"/>
      <c r="AM8324" s="500"/>
      <c r="AN8324" s="500"/>
      <c r="AO8324" s="500"/>
      <c r="AP8324" s="500"/>
    </row>
    <row r="8325" spans="1:42" ht="16.5" customHeight="1">
      <c r="A8325" s="439"/>
      <c r="B8325" s="439"/>
      <c r="C8325" s="439"/>
      <c r="D8325" s="439"/>
      <c r="E8325" s="439"/>
      <c r="F8325" s="439"/>
      <c r="Z8325" s="500"/>
      <c r="AA8325" s="500"/>
      <c r="AB8325" s="500"/>
      <c r="AC8325" s="500"/>
      <c r="AD8325" s="500"/>
      <c r="AE8325" s="500"/>
      <c r="AF8325" s="500"/>
      <c r="AG8325" s="500"/>
      <c r="AH8325" s="500"/>
      <c r="AI8325" s="500"/>
      <c r="AJ8325" s="500"/>
      <c r="AK8325" s="500"/>
      <c r="AL8325" s="500"/>
      <c r="AM8325" s="500"/>
      <c r="AN8325" s="500"/>
      <c r="AO8325" s="500"/>
      <c r="AP8325" s="500"/>
    </row>
    <row r="8326" spans="1:42" ht="16.5" customHeight="1">
      <c r="A8326" s="439"/>
      <c r="B8326" s="439"/>
      <c r="C8326" s="439"/>
      <c r="D8326" s="439"/>
      <c r="E8326" s="439"/>
      <c r="F8326" s="439"/>
      <c r="Z8326" s="500"/>
      <c r="AA8326" s="500"/>
      <c r="AB8326" s="500"/>
      <c r="AC8326" s="500"/>
      <c r="AD8326" s="500"/>
      <c r="AE8326" s="500"/>
      <c r="AF8326" s="500"/>
      <c r="AG8326" s="500"/>
      <c r="AH8326" s="500"/>
      <c r="AI8326" s="500"/>
      <c r="AJ8326" s="500"/>
      <c r="AK8326" s="500"/>
      <c r="AL8326" s="500"/>
      <c r="AM8326" s="500"/>
      <c r="AN8326" s="500"/>
      <c r="AO8326" s="500"/>
      <c r="AP8326" s="500"/>
    </row>
    <row r="8327" spans="1:42" ht="16.5" customHeight="1">
      <c r="A8327" s="439"/>
      <c r="B8327" s="439"/>
      <c r="C8327" s="439"/>
      <c r="D8327" s="439"/>
      <c r="E8327" s="439"/>
      <c r="F8327" s="439"/>
      <c r="Z8327" s="500"/>
      <c r="AA8327" s="500"/>
      <c r="AB8327" s="500"/>
      <c r="AC8327" s="500"/>
      <c r="AD8327" s="500"/>
      <c r="AE8327" s="500"/>
      <c r="AF8327" s="500"/>
      <c r="AG8327" s="500"/>
      <c r="AH8327" s="500"/>
      <c r="AI8327" s="500"/>
      <c r="AJ8327" s="500"/>
      <c r="AK8327" s="500"/>
      <c r="AL8327" s="500"/>
      <c r="AM8327" s="500"/>
      <c r="AN8327" s="500"/>
      <c r="AO8327" s="500"/>
      <c r="AP8327" s="500"/>
    </row>
    <row r="8328" spans="1:42" ht="16.5" customHeight="1">
      <c r="A8328" s="439"/>
      <c r="B8328" s="439"/>
      <c r="C8328" s="439"/>
      <c r="D8328" s="439"/>
      <c r="E8328" s="439"/>
      <c r="F8328" s="439"/>
      <c r="Z8328" s="500"/>
      <c r="AA8328" s="500"/>
      <c r="AB8328" s="500"/>
      <c r="AC8328" s="500"/>
      <c r="AD8328" s="500"/>
      <c r="AE8328" s="500"/>
      <c r="AF8328" s="500"/>
      <c r="AG8328" s="500"/>
      <c r="AH8328" s="500"/>
      <c r="AI8328" s="500"/>
      <c r="AJ8328" s="500"/>
      <c r="AK8328" s="500"/>
      <c r="AL8328" s="500"/>
      <c r="AM8328" s="500"/>
      <c r="AN8328" s="500"/>
      <c r="AO8328" s="500"/>
      <c r="AP8328" s="500"/>
    </row>
    <row r="8329" spans="1:42" ht="16.5" customHeight="1">
      <c r="A8329" s="439"/>
      <c r="B8329" s="439"/>
      <c r="C8329" s="439"/>
      <c r="D8329" s="439"/>
      <c r="E8329" s="439"/>
      <c r="F8329" s="439"/>
      <c r="Z8329" s="500"/>
      <c r="AA8329" s="500"/>
      <c r="AB8329" s="500"/>
      <c r="AC8329" s="500"/>
      <c r="AD8329" s="500"/>
      <c r="AE8329" s="500"/>
      <c r="AF8329" s="500"/>
      <c r="AG8329" s="500"/>
      <c r="AH8329" s="500"/>
      <c r="AI8329" s="500"/>
      <c r="AJ8329" s="500"/>
      <c r="AK8329" s="500"/>
      <c r="AL8329" s="500"/>
      <c r="AM8329" s="500"/>
      <c r="AN8329" s="500"/>
      <c r="AO8329" s="500"/>
      <c r="AP8329" s="500"/>
    </row>
    <row r="8330" spans="1:42" ht="16.5" customHeight="1">
      <c r="A8330" s="439"/>
      <c r="B8330" s="439"/>
      <c r="C8330" s="439"/>
      <c r="D8330" s="439"/>
      <c r="E8330" s="439"/>
      <c r="F8330" s="439"/>
      <c r="Z8330" s="500"/>
      <c r="AA8330" s="500"/>
      <c r="AB8330" s="500"/>
      <c r="AC8330" s="500"/>
      <c r="AD8330" s="500"/>
      <c r="AE8330" s="500"/>
      <c r="AF8330" s="500"/>
      <c r="AG8330" s="500"/>
      <c r="AH8330" s="500"/>
      <c r="AI8330" s="500"/>
      <c r="AJ8330" s="500"/>
      <c r="AK8330" s="500"/>
      <c r="AL8330" s="500"/>
      <c r="AM8330" s="500"/>
      <c r="AN8330" s="500"/>
      <c r="AO8330" s="500"/>
      <c r="AP8330" s="500"/>
    </row>
    <row r="8331" spans="1:42" ht="16.5" customHeight="1">
      <c r="A8331" s="439"/>
      <c r="B8331" s="439"/>
      <c r="C8331" s="439"/>
      <c r="D8331" s="439"/>
      <c r="E8331" s="439"/>
      <c r="F8331" s="439"/>
      <c r="Z8331" s="500"/>
      <c r="AA8331" s="500"/>
      <c r="AB8331" s="500"/>
      <c r="AC8331" s="500"/>
      <c r="AD8331" s="500"/>
      <c r="AE8331" s="500"/>
      <c r="AF8331" s="500"/>
      <c r="AG8331" s="500"/>
      <c r="AH8331" s="500"/>
      <c r="AI8331" s="500"/>
      <c r="AJ8331" s="500"/>
      <c r="AK8331" s="500"/>
      <c r="AL8331" s="500"/>
      <c r="AM8331" s="500"/>
      <c r="AN8331" s="500"/>
      <c r="AO8331" s="500"/>
      <c r="AP8331" s="500"/>
    </row>
    <row r="8332" spans="1:42" ht="16.5" customHeight="1">
      <c r="A8332" s="439"/>
      <c r="B8332" s="439"/>
      <c r="C8332" s="439"/>
      <c r="D8332" s="439"/>
      <c r="E8332" s="439"/>
      <c r="F8332" s="439"/>
      <c r="Z8332" s="500"/>
      <c r="AA8332" s="500"/>
      <c r="AB8332" s="500"/>
      <c r="AC8332" s="500"/>
      <c r="AD8332" s="500"/>
      <c r="AE8332" s="500"/>
      <c r="AF8332" s="500"/>
      <c r="AG8332" s="500"/>
      <c r="AH8332" s="500"/>
      <c r="AI8332" s="500"/>
      <c r="AJ8332" s="500"/>
      <c r="AK8332" s="500"/>
      <c r="AL8332" s="500"/>
      <c r="AM8332" s="500"/>
      <c r="AN8332" s="500"/>
      <c r="AO8332" s="500"/>
      <c r="AP8332" s="500"/>
    </row>
    <row r="8333" spans="1:42" ht="16.5" customHeight="1">
      <c r="A8333" s="439"/>
      <c r="B8333" s="439"/>
      <c r="C8333" s="439"/>
      <c r="D8333" s="439"/>
      <c r="E8333" s="439"/>
      <c r="F8333" s="439"/>
      <c r="Z8333" s="500"/>
      <c r="AA8333" s="500"/>
      <c r="AB8333" s="500"/>
      <c r="AC8333" s="500"/>
      <c r="AD8333" s="500"/>
      <c r="AE8333" s="500"/>
      <c r="AF8333" s="500"/>
      <c r="AG8333" s="500"/>
      <c r="AH8333" s="500"/>
      <c r="AI8333" s="500"/>
      <c r="AJ8333" s="500"/>
      <c r="AK8333" s="500"/>
      <c r="AL8333" s="500"/>
      <c r="AM8333" s="500"/>
      <c r="AN8333" s="500"/>
      <c r="AO8333" s="500"/>
      <c r="AP8333" s="500"/>
    </row>
    <row r="8334" spans="1:42" ht="16.5" customHeight="1">
      <c r="A8334" s="439"/>
      <c r="B8334" s="439"/>
      <c r="C8334" s="439"/>
      <c r="D8334" s="439"/>
      <c r="E8334" s="439"/>
      <c r="F8334" s="439"/>
      <c r="Z8334" s="500"/>
      <c r="AA8334" s="500"/>
      <c r="AB8334" s="500"/>
      <c r="AC8334" s="500"/>
      <c r="AD8334" s="500"/>
      <c r="AE8334" s="500"/>
      <c r="AF8334" s="500"/>
      <c r="AG8334" s="500"/>
      <c r="AH8334" s="500"/>
      <c r="AI8334" s="500"/>
      <c r="AJ8334" s="500"/>
      <c r="AK8334" s="500"/>
      <c r="AL8334" s="500"/>
      <c r="AM8334" s="500"/>
      <c r="AN8334" s="500"/>
      <c r="AO8334" s="500"/>
      <c r="AP8334" s="500"/>
    </row>
    <row r="8335" spans="1:42" ht="16.5" customHeight="1">
      <c r="A8335" s="439"/>
      <c r="B8335" s="439"/>
      <c r="C8335" s="439"/>
      <c r="D8335" s="439"/>
      <c r="E8335" s="439"/>
      <c r="F8335" s="439"/>
      <c r="Z8335" s="500"/>
      <c r="AA8335" s="500"/>
      <c r="AB8335" s="500"/>
      <c r="AC8335" s="500"/>
      <c r="AD8335" s="500"/>
      <c r="AE8335" s="500"/>
      <c r="AF8335" s="500"/>
      <c r="AG8335" s="500"/>
      <c r="AH8335" s="500"/>
      <c r="AI8335" s="500"/>
      <c r="AJ8335" s="500"/>
      <c r="AK8335" s="500"/>
      <c r="AL8335" s="500"/>
      <c r="AM8335" s="500"/>
      <c r="AN8335" s="500"/>
      <c r="AO8335" s="500"/>
      <c r="AP8335" s="500"/>
    </row>
    <row r="8336" spans="1:42" ht="16.5" customHeight="1">
      <c r="A8336" s="439"/>
      <c r="B8336" s="439"/>
      <c r="C8336" s="439"/>
      <c r="D8336" s="439"/>
      <c r="E8336" s="439"/>
      <c r="F8336" s="439"/>
      <c r="Z8336" s="500"/>
      <c r="AA8336" s="500"/>
      <c r="AB8336" s="500"/>
      <c r="AC8336" s="500"/>
      <c r="AD8336" s="500"/>
      <c r="AE8336" s="500"/>
      <c r="AF8336" s="500"/>
      <c r="AG8336" s="500"/>
      <c r="AH8336" s="500"/>
      <c r="AI8336" s="500"/>
      <c r="AJ8336" s="500"/>
      <c r="AK8336" s="500"/>
      <c r="AL8336" s="500"/>
      <c r="AM8336" s="500"/>
      <c r="AN8336" s="500"/>
      <c r="AO8336" s="500"/>
      <c r="AP8336" s="500"/>
    </row>
    <row r="8337" spans="1:42" ht="16.5" customHeight="1">
      <c r="A8337" s="439"/>
      <c r="B8337" s="439"/>
      <c r="C8337" s="439"/>
      <c r="D8337" s="439"/>
      <c r="E8337" s="439"/>
      <c r="F8337" s="439"/>
      <c r="Z8337" s="500"/>
      <c r="AA8337" s="500"/>
      <c r="AB8337" s="500"/>
      <c r="AC8337" s="500"/>
      <c r="AD8337" s="500"/>
      <c r="AE8337" s="500"/>
      <c r="AF8337" s="500"/>
      <c r="AG8337" s="500"/>
      <c r="AH8337" s="500"/>
      <c r="AI8337" s="500"/>
      <c r="AJ8337" s="500"/>
      <c r="AK8337" s="500"/>
      <c r="AL8337" s="500"/>
      <c r="AM8337" s="500"/>
      <c r="AN8337" s="500"/>
      <c r="AO8337" s="500"/>
      <c r="AP8337" s="500"/>
    </row>
    <row r="8338" spans="1:42" ht="16.5" customHeight="1">
      <c r="A8338" s="439"/>
      <c r="B8338" s="439"/>
      <c r="C8338" s="439"/>
      <c r="D8338" s="439"/>
      <c r="E8338" s="439"/>
      <c r="F8338" s="439"/>
      <c r="Z8338" s="500"/>
      <c r="AA8338" s="500"/>
      <c r="AB8338" s="500"/>
      <c r="AC8338" s="500"/>
      <c r="AD8338" s="500"/>
      <c r="AE8338" s="500"/>
      <c r="AF8338" s="500"/>
      <c r="AG8338" s="500"/>
      <c r="AH8338" s="500"/>
      <c r="AI8338" s="500"/>
      <c r="AJ8338" s="500"/>
      <c r="AK8338" s="500"/>
      <c r="AL8338" s="500"/>
      <c r="AM8338" s="500"/>
      <c r="AN8338" s="500"/>
      <c r="AO8338" s="500"/>
      <c r="AP8338" s="500"/>
    </row>
    <row r="8339" spans="1:42" ht="16.5" customHeight="1">
      <c r="A8339" s="439"/>
      <c r="B8339" s="439"/>
      <c r="C8339" s="439"/>
      <c r="D8339" s="439"/>
      <c r="E8339" s="439"/>
      <c r="F8339" s="439"/>
      <c r="Z8339" s="500"/>
      <c r="AA8339" s="500"/>
      <c r="AB8339" s="500"/>
      <c r="AC8339" s="500"/>
      <c r="AD8339" s="500"/>
      <c r="AE8339" s="500"/>
      <c r="AF8339" s="500"/>
      <c r="AG8339" s="500"/>
      <c r="AH8339" s="500"/>
      <c r="AI8339" s="500"/>
      <c r="AJ8339" s="500"/>
      <c r="AK8339" s="500"/>
      <c r="AL8339" s="500"/>
      <c r="AM8339" s="500"/>
      <c r="AN8339" s="500"/>
      <c r="AO8339" s="500"/>
      <c r="AP8339" s="500"/>
    </row>
    <row r="8340" spans="1:42" ht="16.5" customHeight="1">
      <c r="A8340" s="439"/>
      <c r="B8340" s="439"/>
      <c r="C8340" s="439"/>
      <c r="D8340" s="439"/>
      <c r="E8340" s="439"/>
      <c r="F8340" s="439"/>
      <c r="Z8340" s="500"/>
      <c r="AA8340" s="500"/>
      <c r="AB8340" s="500"/>
      <c r="AC8340" s="500"/>
      <c r="AD8340" s="500"/>
      <c r="AE8340" s="500"/>
      <c r="AF8340" s="500"/>
      <c r="AG8340" s="500"/>
      <c r="AH8340" s="500"/>
      <c r="AI8340" s="500"/>
      <c r="AJ8340" s="500"/>
      <c r="AK8340" s="500"/>
      <c r="AL8340" s="500"/>
      <c r="AM8340" s="500"/>
      <c r="AN8340" s="500"/>
      <c r="AO8340" s="500"/>
      <c r="AP8340" s="500"/>
    </row>
    <row r="8341" spans="1:42" ht="16.5" customHeight="1">
      <c r="A8341" s="439"/>
      <c r="B8341" s="439"/>
      <c r="C8341" s="439"/>
      <c r="D8341" s="439"/>
      <c r="E8341" s="439"/>
      <c r="F8341" s="439"/>
      <c r="Z8341" s="500"/>
      <c r="AA8341" s="500"/>
      <c r="AB8341" s="500"/>
      <c r="AC8341" s="500"/>
      <c r="AD8341" s="500"/>
      <c r="AE8341" s="500"/>
      <c r="AF8341" s="500"/>
      <c r="AG8341" s="500"/>
      <c r="AH8341" s="500"/>
      <c r="AI8341" s="500"/>
      <c r="AJ8341" s="500"/>
      <c r="AK8341" s="500"/>
      <c r="AL8341" s="500"/>
      <c r="AM8341" s="500"/>
      <c r="AN8341" s="500"/>
      <c r="AO8341" s="500"/>
      <c r="AP8341" s="500"/>
    </row>
    <row r="8342" spans="1:42" ht="16.5" customHeight="1">
      <c r="A8342" s="439"/>
      <c r="B8342" s="439"/>
      <c r="C8342" s="439"/>
      <c r="D8342" s="439"/>
      <c r="E8342" s="439"/>
      <c r="F8342" s="439"/>
      <c r="Z8342" s="500"/>
      <c r="AA8342" s="500"/>
      <c r="AB8342" s="500"/>
      <c r="AC8342" s="500"/>
      <c r="AD8342" s="500"/>
      <c r="AE8342" s="500"/>
      <c r="AF8342" s="500"/>
      <c r="AG8342" s="500"/>
      <c r="AH8342" s="500"/>
      <c r="AI8342" s="500"/>
      <c r="AJ8342" s="500"/>
      <c r="AK8342" s="500"/>
      <c r="AL8342" s="500"/>
      <c r="AM8342" s="500"/>
      <c r="AN8342" s="500"/>
      <c r="AO8342" s="500"/>
      <c r="AP8342" s="500"/>
    </row>
    <row r="8343" spans="1:42" ht="16.5" customHeight="1">
      <c r="A8343" s="439"/>
      <c r="B8343" s="439"/>
      <c r="C8343" s="439"/>
      <c r="D8343" s="439"/>
      <c r="E8343" s="439"/>
      <c r="F8343" s="439"/>
      <c r="Z8343" s="500"/>
      <c r="AA8343" s="500"/>
      <c r="AB8343" s="500"/>
      <c r="AC8343" s="500"/>
      <c r="AD8343" s="500"/>
      <c r="AE8343" s="500"/>
      <c r="AF8343" s="500"/>
      <c r="AG8343" s="500"/>
      <c r="AH8343" s="500"/>
      <c r="AI8343" s="500"/>
      <c r="AJ8343" s="500"/>
      <c r="AK8343" s="500"/>
      <c r="AL8343" s="500"/>
      <c r="AM8343" s="500"/>
      <c r="AN8343" s="500"/>
      <c r="AO8343" s="500"/>
      <c r="AP8343" s="500"/>
    </row>
    <row r="8344" spans="1:42" ht="16.5" customHeight="1">
      <c r="A8344" s="439"/>
      <c r="B8344" s="439"/>
      <c r="C8344" s="439"/>
      <c r="D8344" s="439"/>
      <c r="E8344" s="439"/>
      <c r="F8344" s="439"/>
      <c r="Z8344" s="500"/>
      <c r="AA8344" s="500"/>
      <c r="AB8344" s="500"/>
      <c r="AC8344" s="500"/>
      <c r="AD8344" s="500"/>
      <c r="AE8344" s="500"/>
      <c r="AF8344" s="500"/>
      <c r="AG8344" s="500"/>
      <c r="AH8344" s="500"/>
      <c r="AI8344" s="500"/>
      <c r="AJ8344" s="500"/>
      <c r="AK8344" s="500"/>
      <c r="AL8344" s="500"/>
      <c r="AM8344" s="500"/>
      <c r="AN8344" s="500"/>
      <c r="AO8344" s="500"/>
      <c r="AP8344" s="500"/>
    </row>
    <row r="8345" spans="1:42" ht="16.5" customHeight="1">
      <c r="A8345" s="439"/>
      <c r="B8345" s="439"/>
      <c r="C8345" s="439"/>
      <c r="D8345" s="439"/>
      <c r="E8345" s="439"/>
      <c r="F8345" s="439"/>
      <c r="Z8345" s="500"/>
      <c r="AA8345" s="500"/>
      <c r="AB8345" s="500"/>
      <c r="AC8345" s="500"/>
      <c r="AD8345" s="500"/>
      <c r="AE8345" s="500"/>
      <c r="AF8345" s="500"/>
      <c r="AG8345" s="500"/>
      <c r="AH8345" s="500"/>
      <c r="AI8345" s="500"/>
      <c r="AJ8345" s="500"/>
      <c r="AK8345" s="500"/>
      <c r="AL8345" s="500"/>
      <c r="AM8345" s="500"/>
      <c r="AN8345" s="500"/>
      <c r="AO8345" s="500"/>
      <c r="AP8345" s="500"/>
    </row>
    <row r="8346" spans="1:42" ht="16.5" customHeight="1">
      <c r="A8346" s="439"/>
      <c r="B8346" s="439"/>
      <c r="C8346" s="439"/>
      <c r="D8346" s="439"/>
      <c r="E8346" s="439"/>
      <c r="F8346" s="439"/>
      <c r="Z8346" s="500"/>
      <c r="AA8346" s="500"/>
      <c r="AB8346" s="500"/>
      <c r="AC8346" s="500"/>
      <c r="AD8346" s="500"/>
      <c r="AE8346" s="500"/>
      <c r="AF8346" s="500"/>
      <c r="AG8346" s="500"/>
      <c r="AH8346" s="500"/>
      <c r="AI8346" s="500"/>
      <c r="AJ8346" s="500"/>
      <c r="AK8346" s="500"/>
      <c r="AL8346" s="500"/>
      <c r="AM8346" s="500"/>
      <c r="AN8346" s="500"/>
      <c r="AO8346" s="500"/>
      <c r="AP8346" s="500"/>
    </row>
    <row r="8347" spans="1:42" ht="16.5" customHeight="1">
      <c r="A8347" s="439"/>
      <c r="B8347" s="439"/>
      <c r="C8347" s="439"/>
      <c r="D8347" s="439"/>
      <c r="E8347" s="439"/>
      <c r="F8347" s="439"/>
      <c r="Z8347" s="500"/>
      <c r="AA8347" s="500"/>
      <c r="AB8347" s="500"/>
      <c r="AC8347" s="500"/>
      <c r="AD8347" s="500"/>
      <c r="AE8347" s="500"/>
      <c r="AF8347" s="500"/>
      <c r="AG8347" s="500"/>
      <c r="AH8347" s="500"/>
      <c r="AI8347" s="500"/>
      <c r="AJ8347" s="500"/>
      <c r="AK8347" s="500"/>
      <c r="AL8347" s="500"/>
      <c r="AM8347" s="500"/>
      <c r="AN8347" s="500"/>
      <c r="AO8347" s="500"/>
      <c r="AP8347" s="500"/>
    </row>
    <row r="8348" spans="1:42" ht="16.5" customHeight="1">
      <c r="A8348" s="439"/>
      <c r="B8348" s="439"/>
      <c r="C8348" s="439"/>
      <c r="D8348" s="439"/>
      <c r="E8348" s="439"/>
      <c r="F8348" s="439"/>
      <c r="Z8348" s="500"/>
      <c r="AA8348" s="500"/>
      <c r="AB8348" s="500"/>
      <c r="AC8348" s="500"/>
      <c r="AD8348" s="500"/>
      <c r="AE8348" s="500"/>
      <c r="AF8348" s="500"/>
      <c r="AG8348" s="500"/>
      <c r="AH8348" s="500"/>
      <c r="AI8348" s="500"/>
      <c r="AJ8348" s="500"/>
      <c r="AK8348" s="500"/>
      <c r="AL8348" s="500"/>
      <c r="AM8348" s="500"/>
      <c r="AN8348" s="500"/>
      <c r="AO8348" s="500"/>
      <c r="AP8348" s="500"/>
    </row>
    <row r="8349" spans="1:42" ht="16.5" customHeight="1">
      <c r="A8349" s="439"/>
      <c r="B8349" s="439"/>
      <c r="C8349" s="439"/>
      <c r="D8349" s="439"/>
      <c r="E8349" s="439"/>
      <c r="F8349" s="439"/>
      <c r="Z8349" s="500"/>
      <c r="AA8349" s="500"/>
      <c r="AB8349" s="500"/>
      <c r="AC8349" s="500"/>
      <c r="AD8349" s="500"/>
      <c r="AE8349" s="500"/>
      <c r="AF8349" s="500"/>
      <c r="AG8349" s="500"/>
      <c r="AH8349" s="500"/>
      <c r="AI8349" s="500"/>
      <c r="AJ8349" s="500"/>
      <c r="AK8349" s="500"/>
      <c r="AL8349" s="500"/>
      <c r="AM8349" s="500"/>
      <c r="AN8349" s="500"/>
      <c r="AO8349" s="500"/>
      <c r="AP8349" s="500"/>
    </row>
    <row r="8350" spans="1:42" ht="16.5" customHeight="1">
      <c r="A8350" s="439"/>
      <c r="B8350" s="439"/>
      <c r="C8350" s="439"/>
      <c r="D8350" s="439"/>
      <c r="E8350" s="439"/>
      <c r="F8350" s="439"/>
      <c r="Z8350" s="500"/>
      <c r="AA8350" s="500"/>
      <c r="AB8350" s="500"/>
      <c r="AC8350" s="500"/>
      <c r="AD8350" s="500"/>
      <c r="AE8350" s="500"/>
      <c r="AF8350" s="500"/>
      <c r="AG8350" s="500"/>
      <c r="AH8350" s="500"/>
      <c r="AI8350" s="500"/>
      <c r="AJ8350" s="500"/>
      <c r="AK8350" s="500"/>
      <c r="AL8350" s="500"/>
      <c r="AM8350" s="500"/>
      <c r="AN8350" s="500"/>
      <c r="AO8350" s="500"/>
      <c r="AP8350" s="500"/>
    </row>
    <row r="8351" spans="1:42" ht="16.5" customHeight="1">
      <c r="A8351" s="439"/>
      <c r="B8351" s="439"/>
      <c r="C8351" s="439"/>
      <c r="D8351" s="439"/>
      <c r="E8351" s="439"/>
      <c r="F8351" s="439"/>
      <c r="Z8351" s="500"/>
      <c r="AA8351" s="500"/>
      <c r="AB8351" s="500"/>
      <c r="AC8351" s="500"/>
      <c r="AD8351" s="500"/>
      <c r="AE8351" s="500"/>
      <c r="AF8351" s="500"/>
      <c r="AG8351" s="500"/>
      <c r="AH8351" s="500"/>
      <c r="AI8351" s="500"/>
      <c r="AJ8351" s="500"/>
      <c r="AK8351" s="500"/>
      <c r="AL8351" s="500"/>
      <c r="AM8351" s="500"/>
      <c r="AN8351" s="500"/>
      <c r="AO8351" s="500"/>
      <c r="AP8351" s="500"/>
    </row>
    <row r="8352" spans="1:42" ht="16.5" customHeight="1">
      <c r="A8352" s="439"/>
      <c r="B8352" s="439"/>
      <c r="C8352" s="439"/>
      <c r="D8352" s="439"/>
      <c r="E8352" s="439"/>
      <c r="F8352" s="439"/>
      <c r="Z8352" s="500"/>
      <c r="AA8352" s="500"/>
      <c r="AB8352" s="500"/>
      <c r="AC8352" s="500"/>
      <c r="AD8352" s="500"/>
      <c r="AE8352" s="500"/>
      <c r="AF8352" s="500"/>
      <c r="AG8352" s="500"/>
      <c r="AH8352" s="500"/>
      <c r="AI8352" s="500"/>
      <c r="AJ8352" s="500"/>
      <c r="AK8352" s="500"/>
      <c r="AL8352" s="500"/>
      <c r="AM8352" s="500"/>
      <c r="AN8352" s="500"/>
      <c r="AO8352" s="500"/>
      <c r="AP8352" s="500"/>
    </row>
    <row r="8353" spans="1:42" ht="16.5" customHeight="1">
      <c r="A8353" s="497"/>
      <c r="B8353" s="497"/>
      <c r="C8353" s="497"/>
      <c r="D8353" s="497"/>
      <c r="E8353" s="497"/>
      <c r="F8353" s="497"/>
      <c r="Z8353" s="500"/>
      <c r="AA8353" s="500"/>
      <c r="AB8353" s="500"/>
      <c r="AC8353" s="500"/>
      <c r="AD8353" s="500"/>
      <c r="AE8353" s="500"/>
      <c r="AF8353" s="500"/>
      <c r="AG8353" s="500"/>
      <c r="AH8353" s="500"/>
      <c r="AI8353" s="500"/>
      <c r="AJ8353" s="500"/>
      <c r="AK8353" s="500"/>
      <c r="AL8353" s="500"/>
      <c r="AM8353" s="500"/>
      <c r="AN8353" s="500"/>
      <c r="AO8353" s="500"/>
      <c r="AP8353" s="500"/>
    </row>
    <row r="8354" spans="1:42" ht="16.5" customHeight="1">
      <c r="A8354" s="616" t="s">
        <v>3487</v>
      </c>
      <c r="B8354" s="605"/>
      <c r="C8354" s="446">
        <f>E8354+D8354+F8354</f>
        <v>102782</v>
      </c>
      <c r="D8354" s="453">
        <f>ROUNDDOWN(SUMIF(N8307:N8318,M8354,D8307:D8318),0)</f>
        <v>102782</v>
      </c>
      <c r="E8354" s="454">
        <f>ROUNDDOWN(SUMIF(N8307:N8318,M8354,E8307:E8318),0)</f>
        <v>0</v>
      </c>
      <c r="F8354" s="446">
        <f>ROUNDDOWN(SUMIF(N8307:N8318,M8354,F8307:F8318),0)</f>
        <v>0</v>
      </c>
      <c r="M8354" s="501" t="s">
        <v>2354</v>
      </c>
      <c r="Z8354" s="500"/>
      <c r="AA8354" s="500"/>
      <c r="AB8354" s="500"/>
      <c r="AC8354" s="500"/>
      <c r="AD8354" s="500"/>
      <c r="AE8354" s="500"/>
      <c r="AF8354" s="500"/>
      <c r="AG8354" s="500"/>
      <c r="AH8354" s="500"/>
      <c r="AI8354" s="500"/>
      <c r="AJ8354" s="500"/>
      <c r="AK8354" s="500"/>
      <c r="AL8354" s="500"/>
      <c r="AM8354" s="500"/>
      <c r="AN8354" s="500"/>
      <c r="AO8354" s="500"/>
      <c r="AP8354" s="500"/>
    </row>
    <row r="8355" spans="1:42" ht="16.5" customHeight="1">
      <c r="A8355" s="502" t="s">
        <v>3385</v>
      </c>
      <c r="B8355" s="503" t="s">
        <v>3387</v>
      </c>
      <c r="C8355" s="615">
        <f>C8404</f>
        <v>62811</v>
      </c>
      <c r="D8355" s="615">
        <f>D8404</f>
        <v>62811</v>
      </c>
      <c r="E8355" s="615">
        <f>E8404</f>
        <v>0</v>
      </c>
      <c r="F8355" s="615">
        <f>F8404</f>
        <v>0</v>
      </c>
      <c r="G8355" s="486" t="str">
        <f>HYPERLINK("#G"&amp;ROW(G8368),"_x0005_`BDCOD|D01241_x0007_`POSS|"&amp;ROW(G8357)&amp;"_x0007_`POSE|"&amp;ROW(G8368)&amp;"_x0007_`")</f>
        <v>_x0005_`BDCOD|D01241_x0007_`POSS|8357_x0007_`POSE|8368_x0007_`</v>
      </c>
      <c r="Z8355" s="500"/>
      <c r="AA8355" s="500"/>
      <c r="AB8355" s="500"/>
      <c r="AC8355" s="500"/>
      <c r="AD8355" s="500"/>
      <c r="AE8355" s="500"/>
      <c r="AF8355" s="500"/>
      <c r="AG8355" s="500"/>
      <c r="AH8355" s="500"/>
      <c r="AI8355" s="500"/>
      <c r="AJ8355" s="500"/>
      <c r="AK8355" s="500"/>
      <c r="AL8355" s="500"/>
      <c r="AM8355" s="500"/>
      <c r="AN8355" s="500"/>
      <c r="AO8355" s="500"/>
      <c r="AP8355" s="500"/>
    </row>
    <row r="8356" spans="1:42" ht="16.5" customHeight="1">
      <c r="A8356" s="485"/>
      <c r="B8356" s="503" t="s">
        <v>4349</v>
      </c>
      <c r="C8356" s="593"/>
      <c r="D8356" s="593"/>
      <c r="E8356" s="593"/>
      <c r="F8356" s="593"/>
      <c r="M8356" s="501" t="s">
        <v>3387</v>
      </c>
      <c r="Z8356" s="500"/>
      <c r="AA8356" s="500"/>
      <c r="AB8356" s="500"/>
      <c r="AC8356" s="500"/>
      <c r="AD8356" s="500"/>
      <c r="AE8356" s="500"/>
      <c r="AF8356" s="500"/>
      <c r="AG8356" s="500"/>
      <c r="AH8356" s="500"/>
      <c r="AI8356" s="500"/>
      <c r="AJ8356" s="500"/>
      <c r="AK8356" s="500"/>
      <c r="AL8356" s="500"/>
      <c r="AM8356" s="500"/>
      <c r="AN8356" s="500"/>
      <c r="AO8356" s="500"/>
      <c r="AP8356" s="500"/>
    </row>
    <row r="8357" spans="1:42" ht="16.5" customHeight="1">
      <c r="A8357" s="439"/>
      <c r="B8357" s="439"/>
      <c r="C8357" s="504"/>
      <c r="D8357" s="504"/>
      <c r="E8357" s="504"/>
      <c r="F8357" s="504"/>
      <c r="G8357" s="451" t="s">
        <v>3406</v>
      </c>
      <c r="Z8357" s="500"/>
      <c r="AA8357" s="500"/>
      <c r="AB8357" s="500"/>
      <c r="AC8357" s="500"/>
      <c r="AD8357" s="500"/>
      <c r="AE8357" s="500"/>
      <c r="AF8357" s="500"/>
      <c r="AG8357" s="500"/>
      <c r="AH8357" s="500"/>
      <c r="AI8357" s="500"/>
      <c r="AJ8357" s="500"/>
      <c r="AK8357" s="500"/>
      <c r="AL8357" s="500"/>
      <c r="AM8357" s="500"/>
      <c r="AN8357" s="500"/>
      <c r="AO8357" s="500"/>
      <c r="AP8357" s="500"/>
    </row>
    <row r="8358" spans="1:42" ht="16.5" customHeight="1">
      <c r="A8358" s="434"/>
      <c r="B8358" s="437" t="s">
        <v>4340</v>
      </c>
      <c r="C8358" s="439"/>
      <c r="D8358" s="439"/>
      <c r="E8358" s="439"/>
      <c r="F8358" s="439"/>
      <c r="G8358" s="451" t="s">
        <v>4341</v>
      </c>
      <c r="Z8358" s="500"/>
      <c r="AA8358" s="500"/>
      <c r="AB8358" s="500"/>
      <c r="AC8358" s="500"/>
      <c r="AD8358" s="500"/>
      <c r="AE8358" s="500"/>
      <c r="AF8358" s="500"/>
      <c r="AG8358" s="500"/>
      <c r="AH8358" s="500"/>
      <c r="AI8358" s="500"/>
      <c r="AJ8358" s="500"/>
      <c r="AK8358" s="500"/>
      <c r="AL8358" s="500"/>
      <c r="AM8358" s="500"/>
      <c r="AN8358" s="500"/>
      <c r="AO8358" s="500"/>
      <c r="AP8358" s="500"/>
    </row>
    <row r="8359" spans="1:42" ht="16.5" customHeight="1">
      <c r="A8359" s="439"/>
      <c r="B8359" s="439"/>
      <c r="C8359" s="439"/>
      <c r="D8359" s="439"/>
      <c r="E8359" s="439"/>
      <c r="F8359" s="439"/>
      <c r="G8359" s="451" t="s">
        <v>3406</v>
      </c>
      <c r="Z8359" s="500"/>
      <c r="AA8359" s="500"/>
      <c r="AB8359" s="500"/>
      <c r="AC8359" s="500"/>
      <c r="AD8359" s="500"/>
      <c r="AE8359" s="500"/>
      <c r="AF8359" s="500"/>
      <c r="AG8359" s="500"/>
      <c r="AH8359" s="500"/>
      <c r="AI8359" s="500"/>
      <c r="AJ8359" s="500"/>
      <c r="AK8359" s="500"/>
      <c r="AL8359" s="500"/>
      <c r="AM8359" s="500"/>
      <c r="AN8359" s="500"/>
      <c r="AO8359" s="500"/>
      <c r="AP8359" s="500"/>
    </row>
    <row r="8360" spans="1:42" ht="16.5" customHeight="1">
      <c r="A8360" s="439"/>
      <c r="B8360" s="439"/>
      <c r="C8360" s="439"/>
      <c r="D8360" s="439"/>
      <c r="E8360" s="439"/>
      <c r="F8360" s="439"/>
      <c r="G8360" s="451" t="s">
        <v>3406</v>
      </c>
      <c r="Z8360" s="500"/>
      <c r="AA8360" s="500"/>
      <c r="AB8360" s="500"/>
      <c r="AC8360" s="500"/>
      <c r="AD8360" s="500"/>
      <c r="AE8360" s="500"/>
      <c r="AF8360" s="500"/>
      <c r="AG8360" s="500"/>
      <c r="AH8360" s="500"/>
      <c r="AI8360" s="500"/>
      <c r="AJ8360" s="500"/>
      <c r="AK8360" s="500"/>
      <c r="AL8360" s="500"/>
      <c r="AM8360" s="500"/>
      <c r="AN8360" s="500"/>
      <c r="AO8360" s="500"/>
      <c r="AP8360" s="500"/>
    </row>
    <row r="8361" spans="1:42" ht="16.5" customHeight="1">
      <c r="A8361" s="434"/>
      <c r="B8361" s="437" t="s">
        <v>4350</v>
      </c>
      <c r="C8361" s="439"/>
      <c r="D8361" s="439"/>
      <c r="E8361" s="439"/>
      <c r="F8361" s="439"/>
      <c r="G8361" s="451" t="s">
        <v>4351</v>
      </c>
      <c r="Z8361" s="500"/>
      <c r="AA8361" s="500"/>
      <c r="AB8361" s="500"/>
      <c r="AC8361" s="500"/>
      <c r="AD8361" s="500"/>
      <c r="AE8361" s="500"/>
      <c r="AF8361" s="500"/>
      <c r="AG8361" s="500"/>
      <c r="AH8361" s="500"/>
      <c r="AI8361" s="500"/>
      <c r="AJ8361" s="500"/>
      <c r="AK8361" s="500"/>
      <c r="AL8361" s="500"/>
      <c r="AM8361" s="500"/>
      <c r="AN8361" s="500"/>
      <c r="AO8361" s="500"/>
      <c r="AP8361" s="500"/>
    </row>
    <row r="8362" spans="1:42" ht="16.5" customHeight="1">
      <c r="A8362" s="439"/>
      <c r="B8362" s="439"/>
      <c r="C8362" s="439"/>
      <c r="D8362" s="439"/>
      <c r="E8362" s="439"/>
      <c r="F8362" s="439"/>
      <c r="G8362" s="451" t="s">
        <v>3406</v>
      </c>
      <c r="Z8362" s="500"/>
      <c r="AA8362" s="500"/>
      <c r="AB8362" s="500"/>
      <c r="AC8362" s="500"/>
      <c r="AD8362" s="500"/>
      <c r="AE8362" s="500"/>
      <c r="AF8362" s="500"/>
      <c r="AG8362" s="500"/>
      <c r="AH8362" s="500"/>
      <c r="AI8362" s="500"/>
      <c r="AJ8362" s="500"/>
      <c r="AK8362" s="500"/>
      <c r="AL8362" s="500"/>
      <c r="AM8362" s="500"/>
      <c r="AN8362" s="500"/>
      <c r="AO8362" s="500"/>
      <c r="AP8362" s="500"/>
    </row>
    <row r="8363" spans="1:42" ht="16.5" customHeight="1">
      <c r="A8363" s="434" t="s">
        <v>3821</v>
      </c>
      <c r="B8363" s="505" t="str">
        <f>"   "&amp;Z8363&amp;" 인  / "&amp;AB8363&amp;" ㎥  *  특별인부 : "&amp;TEXT(I8363,"#,##0"&amp;IF(I8363&lt;&gt;INT(I8363),".###",""))&amp;" = "&amp;TEXT(C8363,"#,##0.0")&amp;""</f>
        <v xml:space="preserve">   1 인  / 3.6 ㎥  *  특별인부 : 226,122 = 62,811.6</v>
      </c>
      <c r="C8363" s="506">
        <f>E8363+D8363+F8363</f>
        <v>62811.6</v>
      </c>
      <c r="D8363" s="506">
        <f>IF(H8363=0,0,ROUNDDOWN(J8363*H8363,1))</f>
        <v>62811.6</v>
      </c>
      <c r="E8363" s="506">
        <f>IF(H8363=0,0,ROUNDDOWN(K8363*H8363,1))</f>
        <v>0</v>
      </c>
      <c r="F8363" s="506">
        <f>IF(H8363=0,0,ROUNDDOWN(L8363*H8363,1))</f>
        <v>0</v>
      </c>
      <c r="G8363" s="451" t="s">
        <v>4352</v>
      </c>
      <c r="H8363" s="507">
        <f>ROUNDUP(AE8363,14-LEN(ABS(INT(AE8363))))</f>
        <v>0.27777777777779999</v>
      </c>
      <c r="I8363" s="508">
        <f>K8363+J8363+L8363</f>
        <v>226122</v>
      </c>
      <c r="J8363" s="509">
        <f>노무비목록표!E21</f>
        <v>226122</v>
      </c>
      <c r="M8363" s="501" t="s">
        <v>2519</v>
      </c>
      <c r="N8363" s="501" t="s">
        <v>3416</v>
      </c>
      <c r="X8363" s="510" t="str">
        <f>노무비목록표!B21&amp;" / "&amp;노무비목록표!C21</f>
        <v xml:space="preserve">특별인부 / </v>
      </c>
      <c r="Y8363" s="433" t="str">
        <f ca="1">HYPERLINK("#"&amp;노무비목록표!G2&amp;"!A"&amp;ROW(노무비목록표!A21),"L00016 →")</f>
        <v>L00016 →</v>
      </c>
      <c r="Z8363" s="515">
        <v>1</v>
      </c>
      <c r="AA8363" s="501" t="s">
        <v>3428</v>
      </c>
      <c r="AB8363" s="511">
        <v>3.6</v>
      </c>
      <c r="AC8363" s="501" t="s">
        <v>3753</v>
      </c>
      <c r="AD8363" s="501" t="s">
        <v>3418</v>
      </c>
      <c r="AE8363" s="512">
        <f>Z8363/AB8363*1</f>
        <v>0.27777777777777779</v>
      </c>
      <c r="AF8363" s="500"/>
      <c r="AG8363" s="500"/>
      <c r="AH8363" s="500"/>
      <c r="AI8363" s="500"/>
      <c r="AJ8363" s="500"/>
      <c r="AK8363" s="500"/>
      <c r="AL8363" s="500"/>
      <c r="AM8363" s="500"/>
      <c r="AN8363" s="500"/>
      <c r="AO8363" s="500"/>
      <c r="AP8363" s="500"/>
    </row>
    <row r="8364" spans="1:42" ht="16.5" customHeight="1">
      <c r="A8364" s="439"/>
      <c r="B8364" s="439"/>
      <c r="C8364" s="439"/>
      <c r="D8364" s="439"/>
      <c r="E8364" s="439"/>
      <c r="F8364" s="439"/>
      <c r="G8364" s="451" t="s">
        <v>3406</v>
      </c>
      <c r="Z8364" s="500"/>
      <c r="AA8364" s="500"/>
      <c r="AB8364" s="500"/>
      <c r="AC8364" s="500"/>
      <c r="AD8364" s="500"/>
      <c r="AE8364" s="500"/>
      <c r="AF8364" s="500"/>
      <c r="AG8364" s="500"/>
      <c r="AH8364" s="500"/>
      <c r="AI8364" s="500"/>
      <c r="AJ8364" s="500"/>
      <c r="AK8364" s="500"/>
      <c r="AL8364" s="500"/>
      <c r="AM8364" s="500"/>
      <c r="AN8364" s="500"/>
      <c r="AO8364" s="500"/>
      <c r="AP8364" s="500"/>
    </row>
    <row r="8365" spans="1:42" ht="16.5" customHeight="1">
      <c r="A8365" s="434"/>
      <c r="B8365" s="437" t="s">
        <v>3419</v>
      </c>
      <c r="C8365" s="513">
        <f>E8365+D8365+F8365</f>
        <v>62811.6</v>
      </c>
      <c r="D8365" s="513">
        <f>SUMIF(N8357:N8364,M8365,D8357:D8364)</f>
        <v>62811.6</v>
      </c>
      <c r="E8365" s="513">
        <f>SUMIF(N8357:N8364,M8365,E8357:E8364)</f>
        <v>0</v>
      </c>
      <c r="F8365" s="513">
        <f>SUMIF(N8357:N8364,M8365,F8357:F8364)</f>
        <v>0</v>
      </c>
      <c r="G8365" s="451" t="s">
        <v>3420</v>
      </c>
      <c r="M8365" s="501" t="s">
        <v>3416</v>
      </c>
      <c r="N8365" s="501" t="s">
        <v>3421</v>
      </c>
      <c r="Z8365" s="500"/>
      <c r="AA8365" s="500"/>
      <c r="AB8365" s="500"/>
      <c r="AC8365" s="500"/>
      <c r="AD8365" s="500"/>
      <c r="AE8365" s="500"/>
      <c r="AF8365" s="500"/>
      <c r="AG8365" s="500"/>
      <c r="AH8365" s="500"/>
      <c r="AI8365" s="500"/>
      <c r="AJ8365" s="500"/>
      <c r="AK8365" s="500"/>
      <c r="AL8365" s="500"/>
      <c r="AM8365" s="500"/>
      <c r="AN8365" s="500"/>
      <c r="AO8365" s="500"/>
      <c r="AP8365" s="500"/>
    </row>
    <row r="8366" spans="1:42" ht="16.5" customHeight="1">
      <c r="A8366" s="439"/>
      <c r="B8366" s="439"/>
      <c r="C8366" s="504"/>
      <c r="D8366" s="504"/>
      <c r="E8366" s="504"/>
      <c r="F8366" s="504"/>
      <c r="G8366" s="451" t="s">
        <v>3406</v>
      </c>
      <c r="Z8366" s="500"/>
      <c r="AA8366" s="500"/>
      <c r="AB8366" s="500"/>
      <c r="AC8366" s="500"/>
      <c r="AD8366" s="500"/>
      <c r="AE8366" s="500"/>
      <c r="AF8366" s="500"/>
      <c r="AG8366" s="500"/>
      <c r="AH8366" s="500"/>
      <c r="AI8366" s="500"/>
      <c r="AJ8366" s="500"/>
      <c r="AK8366" s="500"/>
      <c r="AL8366" s="500"/>
      <c r="AM8366" s="500"/>
      <c r="AN8366" s="500"/>
      <c r="AO8366" s="500"/>
      <c r="AP8366" s="500"/>
    </row>
    <row r="8367" spans="1:42" ht="16.5" customHeight="1">
      <c r="A8367" s="439"/>
      <c r="B8367" s="439"/>
      <c r="C8367" s="439"/>
      <c r="D8367" s="439"/>
      <c r="E8367" s="439"/>
      <c r="F8367" s="439"/>
      <c r="G8367" s="451" t="s">
        <v>3406</v>
      </c>
      <c r="Z8367" s="500"/>
      <c r="AA8367" s="500"/>
      <c r="AB8367" s="500"/>
      <c r="AC8367" s="500"/>
      <c r="AD8367" s="500"/>
      <c r="AE8367" s="500"/>
      <c r="AF8367" s="500"/>
      <c r="AG8367" s="500"/>
      <c r="AH8367" s="500"/>
      <c r="AI8367" s="500"/>
      <c r="AJ8367" s="500"/>
      <c r="AK8367" s="500"/>
      <c r="AL8367" s="500"/>
      <c r="AM8367" s="500"/>
      <c r="AN8367" s="500"/>
      <c r="AO8367" s="500"/>
      <c r="AP8367" s="500"/>
    </row>
    <row r="8368" spans="1:42" ht="16.5" customHeight="1">
      <c r="A8368" s="434"/>
      <c r="B8368" s="437" t="s">
        <v>3440</v>
      </c>
      <c r="C8368" s="513">
        <f>E8368+D8368+F8368</f>
        <v>62811.6</v>
      </c>
      <c r="D8368" s="513">
        <f>SUMIF(N8357:N8367,M8368,D8357:D8367)</f>
        <v>62811.6</v>
      </c>
      <c r="E8368" s="513">
        <f>SUMIF(N8357:N8367,M8368,E8357:E8367)</f>
        <v>0</v>
      </c>
      <c r="F8368" s="513">
        <f>SUMIF(N8357:N8367,M8368,F8357:F8367)</f>
        <v>0</v>
      </c>
      <c r="G8368" s="451" t="s">
        <v>3484</v>
      </c>
      <c r="M8368" s="501" t="s">
        <v>3421</v>
      </c>
      <c r="N8368" s="501" t="s">
        <v>2354</v>
      </c>
      <c r="Z8368" s="500"/>
      <c r="AA8368" s="500"/>
      <c r="AB8368" s="500"/>
      <c r="AC8368" s="500"/>
      <c r="AD8368" s="500"/>
      <c r="AE8368" s="500"/>
      <c r="AF8368" s="500"/>
      <c r="AG8368" s="500"/>
      <c r="AH8368" s="500"/>
      <c r="AI8368" s="500"/>
      <c r="AJ8368" s="500"/>
      <c r="AK8368" s="500"/>
      <c r="AL8368" s="500"/>
      <c r="AM8368" s="500"/>
      <c r="AN8368" s="500"/>
      <c r="AO8368" s="500"/>
      <c r="AP8368" s="500"/>
    </row>
    <row r="8369" spans="1:42" ht="16.5" customHeight="1">
      <c r="A8369" s="439"/>
      <c r="B8369" s="439"/>
      <c r="C8369" s="504"/>
      <c r="D8369" s="504"/>
      <c r="E8369" s="504"/>
      <c r="F8369" s="504"/>
      <c r="Z8369" s="500"/>
      <c r="AA8369" s="500"/>
      <c r="AB8369" s="500"/>
      <c r="AC8369" s="500"/>
      <c r="AD8369" s="500"/>
      <c r="AE8369" s="500"/>
      <c r="AF8369" s="500"/>
      <c r="AG8369" s="500"/>
      <c r="AH8369" s="500"/>
      <c r="AI8369" s="500"/>
      <c r="AJ8369" s="500"/>
      <c r="AK8369" s="500"/>
      <c r="AL8369" s="500"/>
      <c r="AM8369" s="500"/>
      <c r="AN8369" s="500"/>
      <c r="AO8369" s="500"/>
      <c r="AP8369" s="500"/>
    </row>
    <row r="8370" spans="1:42" ht="16.5" customHeight="1">
      <c r="A8370" s="439"/>
      <c r="B8370" s="439"/>
      <c r="C8370" s="439"/>
      <c r="D8370" s="439"/>
      <c r="E8370" s="439"/>
      <c r="F8370" s="439"/>
      <c r="Z8370" s="500"/>
      <c r="AA8370" s="500"/>
      <c r="AB8370" s="500"/>
      <c r="AC8370" s="500"/>
      <c r="AD8370" s="500"/>
      <c r="AE8370" s="500"/>
      <c r="AF8370" s="500"/>
      <c r="AG8370" s="500"/>
      <c r="AH8370" s="500"/>
      <c r="AI8370" s="500"/>
      <c r="AJ8370" s="500"/>
      <c r="AK8370" s="500"/>
      <c r="AL8370" s="500"/>
      <c r="AM8370" s="500"/>
      <c r="AN8370" s="500"/>
      <c r="AO8370" s="500"/>
      <c r="AP8370" s="500"/>
    </row>
    <row r="8371" spans="1:42" ht="16.5" customHeight="1">
      <c r="A8371" s="439"/>
      <c r="B8371" s="439"/>
      <c r="C8371" s="439"/>
      <c r="D8371" s="439"/>
      <c r="E8371" s="439"/>
      <c r="F8371" s="439"/>
      <c r="Z8371" s="500"/>
      <c r="AA8371" s="500"/>
      <c r="AB8371" s="500"/>
      <c r="AC8371" s="500"/>
      <c r="AD8371" s="500"/>
      <c r="AE8371" s="500"/>
      <c r="AF8371" s="500"/>
      <c r="AG8371" s="500"/>
      <c r="AH8371" s="500"/>
      <c r="AI8371" s="500"/>
      <c r="AJ8371" s="500"/>
      <c r="AK8371" s="500"/>
      <c r="AL8371" s="500"/>
      <c r="AM8371" s="500"/>
      <c r="AN8371" s="500"/>
      <c r="AO8371" s="500"/>
      <c r="AP8371" s="500"/>
    </row>
    <row r="8372" spans="1:42" ht="16.5" customHeight="1">
      <c r="A8372" s="439"/>
      <c r="B8372" s="439"/>
      <c r="C8372" s="439"/>
      <c r="D8372" s="439"/>
      <c r="E8372" s="439"/>
      <c r="F8372" s="439"/>
      <c r="Z8372" s="500"/>
      <c r="AA8372" s="500"/>
      <c r="AB8372" s="500"/>
      <c r="AC8372" s="500"/>
      <c r="AD8372" s="500"/>
      <c r="AE8372" s="500"/>
      <c r="AF8372" s="500"/>
      <c r="AG8372" s="500"/>
      <c r="AH8372" s="500"/>
      <c r="AI8372" s="500"/>
      <c r="AJ8372" s="500"/>
      <c r="AK8372" s="500"/>
      <c r="AL8372" s="500"/>
      <c r="AM8372" s="500"/>
      <c r="AN8372" s="500"/>
      <c r="AO8372" s="500"/>
      <c r="AP8372" s="500"/>
    </row>
    <row r="8373" spans="1:42" ht="16.5" customHeight="1">
      <c r="A8373" s="439"/>
      <c r="B8373" s="439"/>
      <c r="C8373" s="439"/>
      <c r="D8373" s="439"/>
      <c r="E8373" s="439"/>
      <c r="F8373" s="439"/>
      <c r="Z8373" s="500"/>
      <c r="AA8373" s="500"/>
      <c r="AB8373" s="500"/>
      <c r="AC8373" s="500"/>
      <c r="AD8373" s="500"/>
      <c r="AE8373" s="500"/>
      <c r="AF8373" s="500"/>
      <c r="AG8373" s="500"/>
      <c r="AH8373" s="500"/>
      <c r="AI8373" s="500"/>
      <c r="AJ8373" s="500"/>
      <c r="AK8373" s="500"/>
      <c r="AL8373" s="500"/>
      <c r="AM8373" s="500"/>
      <c r="AN8373" s="500"/>
      <c r="AO8373" s="500"/>
      <c r="AP8373" s="500"/>
    </row>
    <row r="8374" spans="1:42" ht="16.5" customHeight="1">
      <c r="A8374" s="439"/>
      <c r="B8374" s="439"/>
      <c r="C8374" s="439"/>
      <c r="D8374" s="439"/>
      <c r="E8374" s="439"/>
      <c r="F8374" s="439"/>
      <c r="Z8374" s="500"/>
      <c r="AA8374" s="500"/>
      <c r="AB8374" s="500"/>
      <c r="AC8374" s="500"/>
      <c r="AD8374" s="500"/>
      <c r="AE8374" s="500"/>
      <c r="AF8374" s="500"/>
      <c r="AG8374" s="500"/>
      <c r="AH8374" s="500"/>
      <c r="AI8374" s="500"/>
      <c r="AJ8374" s="500"/>
      <c r="AK8374" s="500"/>
      <c r="AL8374" s="500"/>
      <c r="AM8374" s="500"/>
      <c r="AN8374" s="500"/>
      <c r="AO8374" s="500"/>
      <c r="AP8374" s="500"/>
    </row>
    <row r="8375" spans="1:42" ht="16.5" customHeight="1">
      <c r="A8375" s="439"/>
      <c r="B8375" s="439"/>
      <c r="C8375" s="439"/>
      <c r="D8375" s="439"/>
      <c r="E8375" s="439"/>
      <c r="F8375" s="439"/>
      <c r="Z8375" s="500"/>
      <c r="AA8375" s="500"/>
      <c r="AB8375" s="500"/>
      <c r="AC8375" s="500"/>
      <c r="AD8375" s="500"/>
      <c r="AE8375" s="500"/>
      <c r="AF8375" s="500"/>
      <c r="AG8375" s="500"/>
      <c r="AH8375" s="500"/>
      <c r="AI8375" s="500"/>
      <c r="AJ8375" s="500"/>
      <c r="AK8375" s="500"/>
      <c r="AL8375" s="500"/>
      <c r="AM8375" s="500"/>
      <c r="AN8375" s="500"/>
      <c r="AO8375" s="500"/>
      <c r="AP8375" s="500"/>
    </row>
    <row r="8376" spans="1:42" ht="16.5" customHeight="1">
      <c r="A8376" s="439"/>
      <c r="B8376" s="439"/>
      <c r="C8376" s="439"/>
      <c r="D8376" s="439"/>
      <c r="E8376" s="439"/>
      <c r="F8376" s="439"/>
      <c r="Z8376" s="500"/>
      <c r="AA8376" s="500"/>
      <c r="AB8376" s="500"/>
      <c r="AC8376" s="500"/>
      <c r="AD8376" s="500"/>
      <c r="AE8376" s="500"/>
      <c r="AF8376" s="500"/>
      <c r="AG8376" s="500"/>
      <c r="AH8376" s="500"/>
      <c r="AI8376" s="500"/>
      <c r="AJ8376" s="500"/>
      <c r="AK8376" s="500"/>
      <c r="AL8376" s="500"/>
      <c r="AM8376" s="500"/>
      <c r="AN8376" s="500"/>
      <c r="AO8376" s="500"/>
      <c r="AP8376" s="500"/>
    </row>
    <row r="8377" spans="1:42" ht="16.5" customHeight="1">
      <c r="A8377" s="439"/>
      <c r="B8377" s="439"/>
      <c r="C8377" s="439"/>
      <c r="D8377" s="439"/>
      <c r="E8377" s="439"/>
      <c r="F8377" s="439"/>
      <c r="Z8377" s="500"/>
      <c r="AA8377" s="500"/>
      <c r="AB8377" s="500"/>
      <c r="AC8377" s="500"/>
      <c r="AD8377" s="500"/>
      <c r="AE8377" s="500"/>
      <c r="AF8377" s="500"/>
      <c r="AG8377" s="500"/>
      <c r="AH8377" s="500"/>
      <c r="AI8377" s="500"/>
      <c r="AJ8377" s="500"/>
      <c r="AK8377" s="500"/>
      <c r="AL8377" s="500"/>
      <c r="AM8377" s="500"/>
      <c r="AN8377" s="500"/>
      <c r="AO8377" s="500"/>
      <c r="AP8377" s="500"/>
    </row>
    <row r="8378" spans="1:42" ht="16.5" customHeight="1">
      <c r="A8378" s="439"/>
      <c r="B8378" s="439"/>
      <c r="C8378" s="439"/>
      <c r="D8378" s="439"/>
      <c r="E8378" s="439"/>
      <c r="F8378" s="439"/>
      <c r="Z8378" s="500"/>
      <c r="AA8378" s="500"/>
      <c r="AB8378" s="500"/>
      <c r="AC8378" s="500"/>
      <c r="AD8378" s="500"/>
      <c r="AE8378" s="500"/>
      <c r="AF8378" s="500"/>
      <c r="AG8378" s="500"/>
      <c r="AH8378" s="500"/>
      <c r="AI8378" s="500"/>
      <c r="AJ8378" s="500"/>
      <c r="AK8378" s="500"/>
      <c r="AL8378" s="500"/>
      <c r="AM8378" s="500"/>
      <c r="AN8378" s="500"/>
      <c r="AO8378" s="500"/>
      <c r="AP8378" s="500"/>
    </row>
    <row r="8379" spans="1:42" ht="16.5" customHeight="1">
      <c r="A8379" s="439"/>
      <c r="B8379" s="439"/>
      <c r="C8379" s="439"/>
      <c r="D8379" s="439"/>
      <c r="E8379" s="439"/>
      <c r="F8379" s="439"/>
      <c r="Z8379" s="500"/>
      <c r="AA8379" s="500"/>
      <c r="AB8379" s="500"/>
      <c r="AC8379" s="500"/>
      <c r="AD8379" s="500"/>
      <c r="AE8379" s="500"/>
      <c r="AF8379" s="500"/>
      <c r="AG8379" s="500"/>
      <c r="AH8379" s="500"/>
      <c r="AI8379" s="500"/>
      <c r="AJ8379" s="500"/>
      <c r="AK8379" s="500"/>
      <c r="AL8379" s="500"/>
      <c r="AM8379" s="500"/>
      <c r="AN8379" s="500"/>
      <c r="AO8379" s="500"/>
      <c r="AP8379" s="500"/>
    </row>
    <row r="8380" spans="1:42" ht="16.5" customHeight="1">
      <c r="A8380" s="439"/>
      <c r="B8380" s="439"/>
      <c r="C8380" s="439"/>
      <c r="D8380" s="439"/>
      <c r="E8380" s="439"/>
      <c r="F8380" s="439"/>
      <c r="Z8380" s="500"/>
      <c r="AA8380" s="500"/>
      <c r="AB8380" s="500"/>
      <c r="AC8380" s="500"/>
      <c r="AD8380" s="500"/>
      <c r="AE8380" s="500"/>
      <c r="AF8380" s="500"/>
      <c r="AG8380" s="500"/>
      <c r="AH8380" s="500"/>
      <c r="AI8380" s="500"/>
      <c r="AJ8380" s="500"/>
      <c r="AK8380" s="500"/>
      <c r="AL8380" s="500"/>
      <c r="AM8380" s="500"/>
      <c r="AN8380" s="500"/>
      <c r="AO8380" s="500"/>
      <c r="AP8380" s="500"/>
    </row>
    <row r="8381" spans="1:42" ht="16.5" customHeight="1">
      <c r="A8381" s="439"/>
      <c r="B8381" s="439"/>
      <c r="C8381" s="439"/>
      <c r="D8381" s="439"/>
      <c r="E8381" s="439"/>
      <c r="F8381" s="439"/>
      <c r="Z8381" s="500"/>
      <c r="AA8381" s="500"/>
      <c r="AB8381" s="500"/>
      <c r="AC8381" s="500"/>
      <c r="AD8381" s="500"/>
      <c r="AE8381" s="500"/>
      <c r="AF8381" s="500"/>
      <c r="AG8381" s="500"/>
      <c r="AH8381" s="500"/>
      <c r="AI8381" s="500"/>
      <c r="AJ8381" s="500"/>
      <c r="AK8381" s="500"/>
      <c r="AL8381" s="500"/>
      <c r="AM8381" s="500"/>
      <c r="AN8381" s="500"/>
      <c r="AO8381" s="500"/>
      <c r="AP8381" s="500"/>
    </row>
    <row r="8382" spans="1:42" ht="16.5" customHeight="1">
      <c r="A8382" s="439"/>
      <c r="B8382" s="439"/>
      <c r="C8382" s="439"/>
      <c r="D8382" s="439"/>
      <c r="E8382" s="439"/>
      <c r="F8382" s="439"/>
      <c r="Z8382" s="500"/>
      <c r="AA8382" s="500"/>
      <c r="AB8382" s="500"/>
      <c r="AC8382" s="500"/>
      <c r="AD8382" s="500"/>
      <c r="AE8382" s="500"/>
      <c r="AF8382" s="500"/>
      <c r="AG8382" s="500"/>
      <c r="AH8382" s="500"/>
      <c r="AI8382" s="500"/>
      <c r="AJ8382" s="500"/>
      <c r="AK8382" s="500"/>
      <c r="AL8382" s="500"/>
      <c r="AM8382" s="500"/>
      <c r="AN8382" s="500"/>
      <c r="AO8382" s="500"/>
      <c r="AP8382" s="500"/>
    </row>
    <row r="8383" spans="1:42" ht="16.5" customHeight="1">
      <c r="A8383" s="439"/>
      <c r="B8383" s="439"/>
      <c r="C8383" s="439"/>
      <c r="D8383" s="439"/>
      <c r="E8383" s="439"/>
      <c r="F8383" s="439"/>
      <c r="Z8383" s="500"/>
      <c r="AA8383" s="500"/>
      <c r="AB8383" s="500"/>
      <c r="AC8383" s="500"/>
      <c r="AD8383" s="500"/>
      <c r="AE8383" s="500"/>
      <c r="AF8383" s="500"/>
      <c r="AG8383" s="500"/>
      <c r="AH8383" s="500"/>
      <c r="AI8383" s="500"/>
      <c r="AJ8383" s="500"/>
      <c r="AK8383" s="500"/>
      <c r="AL8383" s="500"/>
      <c r="AM8383" s="500"/>
      <c r="AN8383" s="500"/>
      <c r="AO8383" s="500"/>
      <c r="AP8383" s="500"/>
    </row>
    <row r="8384" spans="1:42" ht="16.5" customHeight="1">
      <c r="A8384" s="439"/>
      <c r="B8384" s="439"/>
      <c r="C8384" s="439"/>
      <c r="D8384" s="439"/>
      <c r="E8384" s="439"/>
      <c r="F8384" s="439"/>
      <c r="Z8384" s="500"/>
      <c r="AA8384" s="500"/>
      <c r="AB8384" s="500"/>
      <c r="AC8384" s="500"/>
      <c r="AD8384" s="500"/>
      <c r="AE8384" s="500"/>
      <c r="AF8384" s="500"/>
      <c r="AG8384" s="500"/>
      <c r="AH8384" s="500"/>
      <c r="AI8384" s="500"/>
      <c r="AJ8384" s="500"/>
      <c r="AK8384" s="500"/>
      <c r="AL8384" s="500"/>
      <c r="AM8384" s="500"/>
      <c r="AN8384" s="500"/>
      <c r="AO8384" s="500"/>
      <c r="AP8384" s="500"/>
    </row>
    <row r="8385" spans="1:42" ht="16.5" customHeight="1">
      <c r="A8385" s="439"/>
      <c r="B8385" s="439"/>
      <c r="C8385" s="439"/>
      <c r="D8385" s="439"/>
      <c r="E8385" s="439"/>
      <c r="F8385" s="439"/>
      <c r="Z8385" s="500"/>
      <c r="AA8385" s="500"/>
      <c r="AB8385" s="500"/>
      <c r="AC8385" s="500"/>
      <c r="AD8385" s="500"/>
      <c r="AE8385" s="500"/>
      <c r="AF8385" s="500"/>
      <c r="AG8385" s="500"/>
      <c r="AH8385" s="500"/>
      <c r="AI8385" s="500"/>
      <c r="AJ8385" s="500"/>
      <c r="AK8385" s="500"/>
      <c r="AL8385" s="500"/>
      <c r="AM8385" s="500"/>
      <c r="AN8385" s="500"/>
      <c r="AO8385" s="500"/>
      <c r="AP8385" s="500"/>
    </row>
    <row r="8386" spans="1:42" ht="16.5" customHeight="1">
      <c r="A8386" s="439"/>
      <c r="B8386" s="439"/>
      <c r="C8386" s="439"/>
      <c r="D8386" s="439"/>
      <c r="E8386" s="439"/>
      <c r="F8386" s="439"/>
      <c r="Z8386" s="500"/>
      <c r="AA8386" s="500"/>
      <c r="AB8386" s="500"/>
      <c r="AC8386" s="500"/>
      <c r="AD8386" s="500"/>
      <c r="AE8386" s="500"/>
      <c r="AF8386" s="500"/>
      <c r="AG8386" s="500"/>
      <c r="AH8386" s="500"/>
      <c r="AI8386" s="500"/>
      <c r="AJ8386" s="500"/>
      <c r="AK8386" s="500"/>
      <c r="AL8386" s="500"/>
      <c r="AM8386" s="500"/>
      <c r="AN8386" s="500"/>
      <c r="AO8386" s="500"/>
      <c r="AP8386" s="500"/>
    </row>
    <row r="8387" spans="1:42" ht="16.5" customHeight="1">
      <c r="A8387" s="439"/>
      <c r="B8387" s="439"/>
      <c r="C8387" s="439"/>
      <c r="D8387" s="439"/>
      <c r="E8387" s="439"/>
      <c r="F8387" s="439"/>
      <c r="Z8387" s="500"/>
      <c r="AA8387" s="500"/>
      <c r="AB8387" s="500"/>
      <c r="AC8387" s="500"/>
      <c r="AD8387" s="500"/>
      <c r="AE8387" s="500"/>
      <c r="AF8387" s="500"/>
      <c r="AG8387" s="500"/>
      <c r="AH8387" s="500"/>
      <c r="AI8387" s="500"/>
      <c r="AJ8387" s="500"/>
      <c r="AK8387" s="500"/>
      <c r="AL8387" s="500"/>
      <c r="AM8387" s="500"/>
      <c r="AN8387" s="500"/>
      <c r="AO8387" s="500"/>
      <c r="AP8387" s="500"/>
    </row>
    <row r="8388" spans="1:42" ht="16.5" customHeight="1">
      <c r="A8388" s="439"/>
      <c r="B8388" s="439"/>
      <c r="C8388" s="439"/>
      <c r="D8388" s="439"/>
      <c r="E8388" s="439"/>
      <c r="F8388" s="439"/>
      <c r="Z8388" s="500"/>
      <c r="AA8388" s="500"/>
      <c r="AB8388" s="500"/>
      <c r="AC8388" s="500"/>
      <c r="AD8388" s="500"/>
      <c r="AE8388" s="500"/>
      <c r="AF8388" s="500"/>
      <c r="AG8388" s="500"/>
      <c r="AH8388" s="500"/>
      <c r="AI8388" s="500"/>
      <c r="AJ8388" s="500"/>
      <c r="AK8388" s="500"/>
      <c r="AL8388" s="500"/>
      <c r="AM8388" s="500"/>
      <c r="AN8388" s="500"/>
      <c r="AO8388" s="500"/>
      <c r="AP8388" s="500"/>
    </row>
    <row r="8389" spans="1:42" ht="16.5" customHeight="1">
      <c r="A8389" s="439"/>
      <c r="B8389" s="439"/>
      <c r="C8389" s="439"/>
      <c r="D8389" s="439"/>
      <c r="E8389" s="439"/>
      <c r="F8389" s="439"/>
      <c r="Z8389" s="500"/>
      <c r="AA8389" s="500"/>
      <c r="AB8389" s="500"/>
      <c r="AC8389" s="500"/>
      <c r="AD8389" s="500"/>
      <c r="AE8389" s="500"/>
      <c r="AF8389" s="500"/>
      <c r="AG8389" s="500"/>
      <c r="AH8389" s="500"/>
      <c r="AI8389" s="500"/>
      <c r="AJ8389" s="500"/>
      <c r="AK8389" s="500"/>
      <c r="AL8389" s="500"/>
      <c r="AM8389" s="500"/>
      <c r="AN8389" s="500"/>
      <c r="AO8389" s="500"/>
      <c r="AP8389" s="500"/>
    </row>
    <row r="8390" spans="1:42" ht="16.5" customHeight="1">
      <c r="A8390" s="439"/>
      <c r="B8390" s="439"/>
      <c r="C8390" s="439"/>
      <c r="D8390" s="439"/>
      <c r="E8390" s="439"/>
      <c r="F8390" s="439"/>
      <c r="Z8390" s="500"/>
      <c r="AA8390" s="500"/>
      <c r="AB8390" s="500"/>
      <c r="AC8390" s="500"/>
      <c r="AD8390" s="500"/>
      <c r="AE8390" s="500"/>
      <c r="AF8390" s="500"/>
      <c r="AG8390" s="500"/>
      <c r="AH8390" s="500"/>
      <c r="AI8390" s="500"/>
      <c r="AJ8390" s="500"/>
      <c r="AK8390" s="500"/>
      <c r="AL8390" s="500"/>
      <c r="AM8390" s="500"/>
      <c r="AN8390" s="500"/>
      <c r="AO8390" s="500"/>
      <c r="AP8390" s="500"/>
    </row>
    <row r="8391" spans="1:42" ht="16.5" customHeight="1">
      <c r="A8391" s="439"/>
      <c r="B8391" s="439"/>
      <c r="C8391" s="439"/>
      <c r="D8391" s="439"/>
      <c r="E8391" s="439"/>
      <c r="F8391" s="439"/>
      <c r="Z8391" s="500"/>
      <c r="AA8391" s="500"/>
      <c r="AB8391" s="500"/>
      <c r="AC8391" s="500"/>
      <c r="AD8391" s="500"/>
      <c r="AE8391" s="500"/>
      <c r="AF8391" s="500"/>
      <c r="AG8391" s="500"/>
      <c r="AH8391" s="500"/>
      <c r="AI8391" s="500"/>
      <c r="AJ8391" s="500"/>
      <c r="AK8391" s="500"/>
      <c r="AL8391" s="500"/>
      <c r="AM8391" s="500"/>
      <c r="AN8391" s="500"/>
      <c r="AO8391" s="500"/>
      <c r="AP8391" s="500"/>
    </row>
    <row r="8392" spans="1:42" ht="16.5" customHeight="1">
      <c r="A8392" s="439"/>
      <c r="B8392" s="439"/>
      <c r="C8392" s="439"/>
      <c r="D8392" s="439"/>
      <c r="E8392" s="439"/>
      <c r="F8392" s="439"/>
      <c r="Z8392" s="500"/>
      <c r="AA8392" s="500"/>
      <c r="AB8392" s="500"/>
      <c r="AC8392" s="500"/>
      <c r="AD8392" s="500"/>
      <c r="AE8392" s="500"/>
      <c r="AF8392" s="500"/>
      <c r="AG8392" s="500"/>
      <c r="AH8392" s="500"/>
      <c r="AI8392" s="500"/>
      <c r="AJ8392" s="500"/>
      <c r="AK8392" s="500"/>
      <c r="AL8392" s="500"/>
      <c r="AM8392" s="500"/>
      <c r="AN8392" s="500"/>
      <c r="AO8392" s="500"/>
      <c r="AP8392" s="500"/>
    </row>
    <row r="8393" spans="1:42" ht="16.5" customHeight="1">
      <c r="A8393" s="439"/>
      <c r="B8393" s="439"/>
      <c r="C8393" s="439"/>
      <c r="D8393" s="439"/>
      <c r="E8393" s="439"/>
      <c r="F8393" s="439"/>
      <c r="Z8393" s="500"/>
      <c r="AA8393" s="500"/>
      <c r="AB8393" s="500"/>
      <c r="AC8393" s="500"/>
      <c r="AD8393" s="500"/>
      <c r="AE8393" s="500"/>
      <c r="AF8393" s="500"/>
      <c r="AG8393" s="500"/>
      <c r="AH8393" s="500"/>
      <c r="AI8393" s="500"/>
      <c r="AJ8393" s="500"/>
      <c r="AK8393" s="500"/>
      <c r="AL8393" s="500"/>
      <c r="AM8393" s="500"/>
      <c r="AN8393" s="500"/>
      <c r="AO8393" s="500"/>
      <c r="AP8393" s="500"/>
    </row>
    <row r="8394" spans="1:42" ht="16.5" customHeight="1">
      <c r="A8394" s="439"/>
      <c r="B8394" s="439"/>
      <c r="C8394" s="439"/>
      <c r="D8394" s="439"/>
      <c r="E8394" s="439"/>
      <c r="F8394" s="439"/>
      <c r="Z8394" s="500"/>
      <c r="AA8394" s="500"/>
      <c r="AB8394" s="500"/>
      <c r="AC8394" s="500"/>
      <c r="AD8394" s="500"/>
      <c r="AE8394" s="500"/>
      <c r="AF8394" s="500"/>
      <c r="AG8394" s="500"/>
      <c r="AH8394" s="500"/>
      <c r="AI8394" s="500"/>
      <c r="AJ8394" s="500"/>
      <c r="AK8394" s="500"/>
      <c r="AL8394" s="500"/>
      <c r="AM8394" s="500"/>
      <c r="AN8394" s="500"/>
      <c r="AO8394" s="500"/>
      <c r="AP8394" s="500"/>
    </row>
    <row r="8395" spans="1:42" ht="16.5" customHeight="1">
      <c r="A8395" s="439"/>
      <c r="B8395" s="439"/>
      <c r="C8395" s="439"/>
      <c r="D8395" s="439"/>
      <c r="E8395" s="439"/>
      <c r="F8395" s="439"/>
      <c r="Z8395" s="500"/>
      <c r="AA8395" s="500"/>
      <c r="AB8395" s="500"/>
      <c r="AC8395" s="500"/>
      <c r="AD8395" s="500"/>
      <c r="AE8395" s="500"/>
      <c r="AF8395" s="500"/>
      <c r="AG8395" s="500"/>
      <c r="AH8395" s="500"/>
      <c r="AI8395" s="500"/>
      <c r="AJ8395" s="500"/>
      <c r="AK8395" s="500"/>
      <c r="AL8395" s="500"/>
      <c r="AM8395" s="500"/>
      <c r="AN8395" s="500"/>
      <c r="AO8395" s="500"/>
      <c r="AP8395" s="500"/>
    </row>
    <row r="8396" spans="1:42" ht="16.5" customHeight="1">
      <c r="A8396" s="439"/>
      <c r="B8396" s="439"/>
      <c r="C8396" s="439"/>
      <c r="D8396" s="439"/>
      <c r="E8396" s="439"/>
      <c r="F8396" s="439"/>
      <c r="Z8396" s="500"/>
      <c r="AA8396" s="500"/>
      <c r="AB8396" s="500"/>
      <c r="AC8396" s="500"/>
      <c r="AD8396" s="500"/>
      <c r="AE8396" s="500"/>
      <c r="AF8396" s="500"/>
      <c r="AG8396" s="500"/>
      <c r="AH8396" s="500"/>
      <c r="AI8396" s="500"/>
      <c r="AJ8396" s="500"/>
      <c r="AK8396" s="500"/>
      <c r="AL8396" s="500"/>
      <c r="AM8396" s="500"/>
      <c r="AN8396" s="500"/>
      <c r="AO8396" s="500"/>
      <c r="AP8396" s="500"/>
    </row>
    <row r="8397" spans="1:42" ht="16.5" customHeight="1">
      <c r="A8397" s="439"/>
      <c r="B8397" s="439"/>
      <c r="C8397" s="439"/>
      <c r="D8397" s="439"/>
      <c r="E8397" s="439"/>
      <c r="F8397" s="439"/>
      <c r="Z8397" s="500"/>
      <c r="AA8397" s="500"/>
      <c r="AB8397" s="500"/>
      <c r="AC8397" s="500"/>
      <c r="AD8397" s="500"/>
      <c r="AE8397" s="500"/>
      <c r="AF8397" s="500"/>
      <c r="AG8397" s="500"/>
      <c r="AH8397" s="500"/>
      <c r="AI8397" s="500"/>
      <c r="AJ8397" s="500"/>
      <c r="AK8397" s="500"/>
      <c r="AL8397" s="500"/>
      <c r="AM8397" s="500"/>
      <c r="AN8397" s="500"/>
      <c r="AO8397" s="500"/>
      <c r="AP8397" s="500"/>
    </row>
    <row r="8398" spans="1:42" ht="16.5" customHeight="1">
      <c r="A8398" s="439"/>
      <c r="B8398" s="439"/>
      <c r="C8398" s="439"/>
      <c r="D8398" s="439"/>
      <c r="E8398" s="439"/>
      <c r="F8398" s="439"/>
      <c r="Z8398" s="500"/>
      <c r="AA8398" s="500"/>
      <c r="AB8398" s="500"/>
      <c r="AC8398" s="500"/>
      <c r="AD8398" s="500"/>
      <c r="AE8398" s="500"/>
      <c r="AF8398" s="500"/>
      <c r="AG8398" s="500"/>
      <c r="AH8398" s="500"/>
      <c r="AI8398" s="500"/>
      <c r="AJ8398" s="500"/>
      <c r="AK8398" s="500"/>
      <c r="AL8398" s="500"/>
      <c r="AM8398" s="500"/>
      <c r="AN8398" s="500"/>
      <c r="AO8398" s="500"/>
      <c r="AP8398" s="500"/>
    </row>
    <row r="8399" spans="1:42" ht="16.5" customHeight="1">
      <c r="A8399" s="439"/>
      <c r="B8399" s="439"/>
      <c r="C8399" s="439"/>
      <c r="D8399" s="439"/>
      <c r="E8399" s="439"/>
      <c r="F8399" s="439"/>
      <c r="Z8399" s="500"/>
      <c r="AA8399" s="500"/>
      <c r="AB8399" s="500"/>
      <c r="AC8399" s="500"/>
      <c r="AD8399" s="500"/>
      <c r="AE8399" s="500"/>
      <c r="AF8399" s="500"/>
      <c r="AG8399" s="500"/>
      <c r="AH8399" s="500"/>
      <c r="AI8399" s="500"/>
      <c r="AJ8399" s="500"/>
      <c r="AK8399" s="500"/>
      <c r="AL8399" s="500"/>
      <c r="AM8399" s="500"/>
      <c r="AN8399" s="500"/>
      <c r="AO8399" s="500"/>
      <c r="AP8399" s="500"/>
    </row>
    <row r="8400" spans="1:42" ht="16.5" customHeight="1">
      <c r="A8400" s="439"/>
      <c r="B8400" s="439"/>
      <c r="C8400" s="439"/>
      <c r="D8400" s="439"/>
      <c r="E8400" s="439"/>
      <c r="F8400" s="439"/>
      <c r="Z8400" s="500"/>
      <c r="AA8400" s="500"/>
      <c r="AB8400" s="500"/>
      <c r="AC8400" s="500"/>
      <c r="AD8400" s="500"/>
      <c r="AE8400" s="500"/>
      <c r="AF8400" s="500"/>
      <c r="AG8400" s="500"/>
      <c r="AH8400" s="500"/>
      <c r="AI8400" s="500"/>
      <c r="AJ8400" s="500"/>
      <c r="AK8400" s="500"/>
      <c r="AL8400" s="500"/>
      <c r="AM8400" s="500"/>
      <c r="AN8400" s="500"/>
      <c r="AO8400" s="500"/>
      <c r="AP8400" s="500"/>
    </row>
    <row r="8401" spans="1:42" ht="16.5" customHeight="1">
      <c r="A8401" s="439"/>
      <c r="B8401" s="439"/>
      <c r="C8401" s="439"/>
      <c r="D8401" s="439"/>
      <c r="E8401" s="439"/>
      <c r="F8401" s="439"/>
      <c r="Z8401" s="500"/>
      <c r="AA8401" s="500"/>
      <c r="AB8401" s="500"/>
      <c r="AC8401" s="500"/>
      <c r="AD8401" s="500"/>
      <c r="AE8401" s="500"/>
      <c r="AF8401" s="500"/>
      <c r="AG8401" s="500"/>
      <c r="AH8401" s="500"/>
      <c r="AI8401" s="500"/>
      <c r="AJ8401" s="500"/>
      <c r="AK8401" s="500"/>
      <c r="AL8401" s="500"/>
      <c r="AM8401" s="500"/>
      <c r="AN8401" s="500"/>
      <c r="AO8401" s="500"/>
      <c r="AP8401" s="500"/>
    </row>
    <row r="8402" spans="1:42" ht="16.5" customHeight="1">
      <c r="A8402" s="439"/>
      <c r="B8402" s="439"/>
      <c r="C8402" s="439"/>
      <c r="D8402" s="439"/>
      <c r="E8402" s="439"/>
      <c r="F8402" s="439"/>
      <c r="Z8402" s="500"/>
      <c r="AA8402" s="500"/>
      <c r="AB8402" s="500"/>
      <c r="AC8402" s="500"/>
      <c r="AD8402" s="500"/>
      <c r="AE8402" s="500"/>
      <c r="AF8402" s="500"/>
      <c r="AG8402" s="500"/>
      <c r="AH8402" s="500"/>
      <c r="AI8402" s="500"/>
      <c r="AJ8402" s="500"/>
      <c r="AK8402" s="500"/>
      <c r="AL8402" s="500"/>
      <c r="AM8402" s="500"/>
      <c r="AN8402" s="500"/>
      <c r="AO8402" s="500"/>
      <c r="AP8402" s="500"/>
    </row>
    <row r="8403" spans="1:42" ht="16.5" customHeight="1">
      <c r="A8403" s="497"/>
      <c r="B8403" s="497"/>
      <c r="C8403" s="497"/>
      <c r="D8403" s="497"/>
      <c r="E8403" s="497"/>
      <c r="F8403" s="497"/>
      <c r="Z8403" s="500"/>
      <c r="AA8403" s="500"/>
      <c r="AB8403" s="500"/>
      <c r="AC8403" s="500"/>
      <c r="AD8403" s="500"/>
      <c r="AE8403" s="500"/>
      <c r="AF8403" s="500"/>
      <c r="AG8403" s="500"/>
      <c r="AH8403" s="500"/>
      <c r="AI8403" s="500"/>
      <c r="AJ8403" s="500"/>
      <c r="AK8403" s="500"/>
      <c r="AL8403" s="500"/>
      <c r="AM8403" s="500"/>
      <c r="AN8403" s="500"/>
      <c r="AO8403" s="500"/>
      <c r="AP8403" s="500"/>
    </row>
    <row r="8404" spans="1:42" ht="16.5" customHeight="1">
      <c r="A8404" s="616" t="s">
        <v>3487</v>
      </c>
      <c r="B8404" s="605"/>
      <c r="C8404" s="446">
        <f>E8404+D8404+F8404</f>
        <v>62811</v>
      </c>
      <c r="D8404" s="453">
        <f>ROUNDDOWN(SUMIF(N8357:N8368,M8404,D8357:D8368),0)</f>
        <v>62811</v>
      </c>
      <c r="E8404" s="454">
        <f>ROUNDDOWN(SUMIF(N8357:N8368,M8404,E8357:E8368),0)</f>
        <v>0</v>
      </c>
      <c r="F8404" s="446">
        <f>ROUNDDOWN(SUMIF(N8357:N8368,M8404,F8357:F8368),0)</f>
        <v>0</v>
      </c>
      <c r="M8404" s="501" t="s">
        <v>2354</v>
      </c>
      <c r="Z8404" s="500"/>
      <c r="AA8404" s="500"/>
      <c r="AB8404" s="500"/>
      <c r="AC8404" s="500"/>
      <c r="AD8404" s="500"/>
      <c r="AE8404" s="500"/>
      <c r="AF8404" s="500"/>
      <c r="AG8404" s="500"/>
      <c r="AH8404" s="500"/>
      <c r="AI8404" s="500"/>
      <c r="AJ8404" s="500"/>
      <c r="AK8404" s="500"/>
      <c r="AL8404" s="500"/>
      <c r="AM8404" s="500"/>
      <c r="AN8404" s="500"/>
      <c r="AO8404" s="500"/>
      <c r="AP8404" s="500"/>
    </row>
    <row r="8405" spans="1:42" ht="16.5" customHeight="1">
      <c r="A8405" s="502" t="s">
        <v>3385</v>
      </c>
      <c r="B8405" s="503" t="s">
        <v>3388</v>
      </c>
      <c r="C8405" s="615">
        <f>C8454</f>
        <v>93246</v>
      </c>
      <c r="D8405" s="615">
        <f>D8454</f>
        <v>93246</v>
      </c>
      <c r="E8405" s="615">
        <f>E8454</f>
        <v>0</v>
      </c>
      <c r="F8405" s="615">
        <f>F8454</f>
        <v>0</v>
      </c>
      <c r="G8405" s="486" t="str">
        <f>HYPERLINK("#G"&amp;ROW(G8418),"_x0005_`BDCOD|D01267_x0007_`POSS|"&amp;ROW(G8407)&amp;"_x0007_`POSE|"&amp;ROW(G8418)&amp;"_x0007_`")</f>
        <v>_x0005_`BDCOD|D01267_x0007_`POSS|8407_x0007_`POSE|8418_x0007_`</v>
      </c>
      <c r="Z8405" s="500"/>
      <c r="AA8405" s="500"/>
      <c r="AB8405" s="500"/>
      <c r="AC8405" s="500"/>
      <c r="AD8405" s="500"/>
      <c r="AE8405" s="500"/>
      <c r="AF8405" s="500"/>
      <c r="AG8405" s="500"/>
      <c r="AH8405" s="500"/>
      <c r="AI8405" s="500"/>
      <c r="AJ8405" s="500"/>
      <c r="AK8405" s="500"/>
      <c r="AL8405" s="500"/>
      <c r="AM8405" s="500"/>
      <c r="AN8405" s="500"/>
      <c r="AO8405" s="500"/>
      <c r="AP8405" s="500"/>
    </row>
    <row r="8406" spans="1:42" ht="16.5" customHeight="1">
      <c r="A8406" s="485"/>
      <c r="B8406" s="503" t="s">
        <v>4353</v>
      </c>
      <c r="C8406" s="593"/>
      <c r="D8406" s="593"/>
      <c r="E8406" s="593"/>
      <c r="F8406" s="593"/>
      <c r="M8406" s="501" t="s">
        <v>3388</v>
      </c>
      <c r="Z8406" s="500"/>
      <c r="AA8406" s="500"/>
      <c r="AB8406" s="500"/>
      <c r="AC8406" s="500"/>
      <c r="AD8406" s="500"/>
      <c r="AE8406" s="500"/>
      <c r="AF8406" s="500"/>
      <c r="AG8406" s="500"/>
      <c r="AH8406" s="500"/>
      <c r="AI8406" s="500"/>
      <c r="AJ8406" s="500"/>
      <c r="AK8406" s="500"/>
      <c r="AL8406" s="500"/>
      <c r="AM8406" s="500"/>
      <c r="AN8406" s="500"/>
      <c r="AO8406" s="500"/>
      <c r="AP8406" s="500"/>
    </row>
    <row r="8407" spans="1:42" ht="16.5" customHeight="1">
      <c r="A8407" s="439"/>
      <c r="B8407" s="439"/>
      <c r="C8407" s="504"/>
      <c r="D8407" s="504"/>
      <c r="E8407" s="504"/>
      <c r="F8407" s="504"/>
      <c r="G8407" s="451" t="s">
        <v>3406</v>
      </c>
      <c r="Z8407" s="500"/>
      <c r="AA8407" s="500"/>
      <c r="AB8407" s="500"/>
      <c r="AC8407" s="500"/>
      <c r="AD8407" s="500"/>
      <c r="AE8407" s="500"/>
      <c r="AF8407" s="500"/>
      <c r="AG8407" s="500"/>
      <c r="AH8407" s="500"/>
      <c r="AI8407" s="500"/>
      <c r="AJ8407" s="500"/>
      <c r="AK8407" s="500"/>
      <c r="AL8407" s="500"/>
      <c r="AM8407" s="500"/>
      <c r="AN8407" s="500"/>
      <c r="AO8407" s="500"/>
      <c r="AP8407" s="500"/>
    </row>
    <row r="8408" spans="1:42" ht="16.5" customHeight="1">
      <c r="A8408" s="434"/>
      <c r="B8408" s="437" t="s">
        <v>4340</v>
      </c>
      <c r="C8408" s="439"/>
      <c r="D8408" s="439"/>
      <c r="E8408" s="439"/>
      <c r="F8408" s="439"/>
      <c r="G8408" s="451" t="s">
        <v>4341</v>
      </c>
      <c r="Z8408" s="500"/>
      <c r="AA8408" s="500"/>
      <c r="AB8408" s="500"/>
      <c r="AC8408" s="500"/>
      <c r="AD8408" s="500"/>
      <c r="AE8408" s="500"/>
      <c r="AF8408" s="500"/>
      <c r="AG8408" s="500"/>
      <c r="AH8408" s="500"/>
      <c r="AI8408" s="500"/>
      <c r="AJ8408" s="500"/>
      <c r="AK8408" s="500"/>
      <c r="AL8408" s="500"/>
      <c r="AM8408" s="500"/>
      <c r="AN8408" s="500"/>
      <c r="AO8408" s="500"/>
      <c r="AP8408" s="500"/>
    </row>
    <row r="8409" spans="1:42" ht="16.5" customHeight="1">
      <c r="A8409" s="439"/>
      <c r="B8409" s="439"/>
      <c r="C8409" s="439"/>
      <c r="D8409" s="439"/>
      <c r="E8409" s="439"/>
      <c r="F8409" s="439"/>
      <c r="G8409" s="451" t="s">
        <v>3406</v>
      </c>
      <c r="Z8409" s="500"/>
      <c r="AA8409" s="500"/>
      <c r="AB8409" s="500"/>
      <c r="AC8409" s="500"/>
      <c r="AD8409" s="500"/>
      <c r="AE8409" s="500"/>
      <c r="AF8409" s="500"/>
      <c r="AG8409" s="500"/>
      <c r="AH8409" s="500"/>
      <c r="AI8409" s="500"/>
      <c r="AJ8409" s="500"/>
      <c r="AK8409" s="500"/>
      <c r="AL8409" s="500"/>
      <c r="AM8409" s="500"/>
      <c r="AN8409" s="500"/>
      <c r="AO8409" s="500"/>
      <c r="AP8409" s="500"/>
    </row>
    <row r="8410" spans="1:42" ht="16.5" customHeight="1">
      <c r="A8410" s="439"/>
      <c r="B8410" s="439"/>
      <c r="C8410" s="439"/>
      <c r="D8410" s="439"/>
      <c r="E8410" s="439"/>
      <c r="F8410" s="439"/>
      <c r="G8410" s="451" t="s">
        <v>3406</v>
      </c>
      <c r="Z8410" s="500"/>
      <c r="AA8410" s="500"/>
      <c r="AB8410" s="500"/>
      <c r="AC8410" s="500"/>
      <c r="AD8410" s="500"/>
      <c r="AE8410" s="500"/>
      <c r="AF8410" s="500"/>
      <c r="AG8410" s="500"/>
      <c r="AH8410" s="500"/>
      <c r="AI8410" s="500"/>
      <c r="AJ8410" s="500"/>
      <c r="AK8410" s="500"/>
      <c r="AL8410" s="500"/>
      <c r="AM8410" s="500"/>
      <c r="AN8410" s="500"/>
      <c r="AO8410" s="500"/>
      <c r="AP8410" s="500"/>
    </row>
    <row r="8411" spans="1:42" ht="16.5" customHeight="1">
      <c r="A8411" s="434"/>
      <c r="B8411" s="437" t="s">
        <v>4354</v>
      </c>
      <c r="C8411" s="439"/>
      <c r="D8411" s="439"/>
      <c r="E8411" s="439"/>
      <c r="F8411" s="439"/>
      <c r="G8411" s="451" t="s">
        <v>4355</v>
      </c>
      <c r="Z8411" s="500"/>
      <c r="AA8411" s="500"/>
      <c r="AB8411" s="500"/>
      <c r="AC8411" s="500"/>
      <c r="AD8411" s="500"/>
      <c r="AE8411" s="500"/>
      <c r="AF8411" s="500"/>
      <c r="AG8411" s="500"/>
      <c r="AH8411" s="500"/>
      <c r="AI8411" s="500"/>
      <c r="AJ8411" s="500"/>
      <c r="AK8411" s="500"/>
      <c r="AL8411" s="500"/>
      <c r="AM8411" s="500"/>
      <c r="AN8411" s="500"/>
      <c r="AO8411" s="500"/>
      <c r="AP8411" s="500"/>
    </row>
    <row r="8412" spans="1:42" ht="16.5" customHeight="1">
      <c r="A8412" s="439"/>
      <c r="B8412" s="439"/>
      <c r="C8412" s="439"/>
      <c r="D8412" s="439"/>
      <c r="E8412" s="439"/>
      <c r="F8412" s="439"/>
      <c r="G8412" s="451" t="s">
        <v>3406</v>
      </c>
      <c r="Z8412" s="500"/>
      <c r="AA8412" s="500"/>
      <c r="AB8412" s="500"/>
      <c r="AC8412" s="500"/>
      <c r="AD8412" s="500"/>
      <c r="AE8412" s="500"/>
      <c r="AF8412" s="500"/>
      <c r="AG8412" s="500"/>
      <c r="AH8412" s="500"/>
      <c r="AI8412" s="500"/>
      <c r="AJ8412" s="500"/>
      <c r="AK8412" s="500"/>
      <c r="AL8412" s="500"/>
      <c r="AM8412" s="500"/>
      <c r="AN8412" s="500"/>
      <c r="AO8412" s="500"/>
      <c r="AP8412" s="500"/>
    </row>
    <row r="8413" spans="1:42" ht="16.5" customHeight="1">
      <c r="A8413" s="434" t="s">
        <v>3821</v>
      </c>
      <c r="B8413" s="505" t="str">
        <f>"   "&amp;Z8413&amp;" 인  / "&amp;AB8413&amp;" ㎥  *  특별인부 : "&amp;TEXT(I8413,"#,##0"&amp;IF(I8413&lt;&gt;INT(I8413),".###",""))&amp;" = "&amp;TEXT(C8413,"#,##0.0")&amp;""</f>
        <v xml:space="preserve">   1 인  / 2.425 ㎥  *  특별인부 : 226,122 = 93,246.1</v>
      </c>
      <c r="C8413" s="506">
        <f>E8413+D8413+F8413</f>
        <v>93246.1</v>
      </c>
      <c r="D8413" s="506">
        <f>IF(H8413=0,0,ROUNDDOWN(J8413*H8413,1))</f>
        <v>93246.1</v>
      </c>
      <c r="E8413" s="506">
        <f>IF(H8413=0,0,ROUNDDOWN(K8413*H8413,1))</f>
        <v>0</v>
      </c>
      <c r="F8413" s="506">
        <f>IF(H8413=0,0,ROUNDDOWN(L8413*H8413,1))</f>
        <v>0</v>
      </c>
      <c r="G8413" s="451" t="s">
        <v>4356</v>
      </c>
      <c r="H8413" s="507">
        <f>ROUNDUP(AE8413,14-LEN(ABS(INT(AE8413))))</f>
        <v>0.41237113402069997</v>
      </c>
      <c r="I8413" s="508">
        <f>K8413+J8413+L8413</f>
        <v>226122</v>
      </c>
      <c r="J8413" s="509">
        <f>노무비목록표!E21</f>
        <v>226122</v>
      </c>
      <c r="M8413" s="501" t="s">
        <v>2519</v>
      </c>
      <c r="N8413" s="501" t="s">
        <v>3416</v>
      </c>
      <c r="X8413" s="510" t="str">
        <f>노무비목록표!B21&amp;" / "&amp;노무비목록표!C21</f>
        <v xml:space="preserve">특별인부 / </v>
      </c>
      <c r="Y8413" s="433" t="str">
        <f ca="1">HYPERLINK("#"&amp;노무비목록표!G2&amp;"!A"&amp;ROW(노무비목록표!A21),"L00016 →")</f>
        <v>L00016 →</v>
      </c>
      <c r="Z8413" s="515">
        <v>1</v>
      </c>
      <c r="AA8413" s="501" t="s">
        <v>3428</v>
      </c>
      <c r="AB8413" s="511">
        <v>2.4249999999999998</v>
      </c>
      <c r="AC8413" s="501" t="s">
        <v>3753</v>
      </c>
      <c r="AD8413" s="501" t="s">
        <v>3418</v>
      </c>
      <c r="AE8413" s="512">
        <f>Z8413/AB8413*1</f>
        <v>0.41237113402061859</v>
      </c>
      <c r="AF8413" s="500"/>
      <c r="AG8413" s="500"/>
      <c r="AH8413" s="500"/>
      <c r="AI8413" s="500"/>
      <c r="AJ8413" s="500"/>
      <c r="AK8413" s="500"/>
      <c r="AL8413" s="500"/>
      <c r="AM8413" s="500"/>
      <c r="AN8413" s="500"/>
      <c r="AO8413" s="500"/>
      <c r="AP8413" s="500"/>
    </row>
    <row r="8414" spans="1:42" ht="16.5" customHeight="1">
      <c r="A8414" s="439"/>
      <c r="B8414" s="439"/>
      <c r="C8414" s="439"/>
      <c r="D8414" s="439"/>
      <c r="E8414" s="439"/>
      <c r="F8414" s="439"/>
      <c r="G8414" s="451" t="s">
        <v>3406</v>
      </c>
      <c r="Z8414" s="500"/>
      <c r="AA8414" s="500"/>
      <c r="AB8414" s="500"/>
      <c r="AC8414" s="500"/>
      <c r="AD8414" s="500"/>
      <c r="AE8414" s="500"/>
      <c r="AF8414" s="500"/>
      <c r="AG8414" s="500"/>
      <c r="AH8414" s="500"/>
      <c r="AI8414" s="500"/>
      <c r="AJ8414" s="500"/>
      <c r="AK8414" s="500"/>
      <c r="AL8414" s="500"/>
      <c r="AM8414" s="500"/>
      <c r="AN8414" s="500"/>
      <c r="AO8414" s="500"/>
      <c r="AP8414" s="500"/>
    </row>
    <row r="8415" spans="1:42" ht="16.5" customHeight="1">
      <c r="A8415" s="434"/>
      <c r="B8415" s="437" t="s">
        <v>3419</v>
      </c>
      <c r="C8415" s="513">
        <f>E8415+D8415+F8415</f>
        <v>93246.1</v>
      </c>
      <c r="D8415" s="513">
        <f>SUMIF(N8407:N8414,M8415,D8407:D8414)</f>
        <v>93246.1</v>
      </c>
      <c r="E8415" s="513">
        <f>SUMIF(N8407:N8414,M8415,E8407:E8414)</f>
        <v>0</v>
      </c>
      <c r="F8415" s="513">
        <f>SUMIF(N8407:N8414,M8415,F8407:F8414)</f>
        <v>0</v>
      </c>
      <c r="G8415" s="451" t="s">
        <v>3420</v>
      </c>
      <c r="M8415" s="501" t="s">
        <v>3416</v>
      </c>
      <c r="N8415" s="501" t="s">
        <v>3421</v>
      </c>
      <c r="Z8415" s="500"/>
      <c r="AA8415" s="500"/>
      <c r="AB8415" s="500"/>
      <c r="AC8415" s="500"/>
      <c r="AD8415" s="500"/>
      <c r="AE8415" s="500"/>
      <c r="AF8415" s="500"/>
      <c r="AG8415" s="500"/>
      <c r="AH8415" s="500"/>
      <c r="AI8415" s="500"/>
      <c r="AJ8415" s="500"/>
      <c r="AK8415" s="500"/>
      <c r="AL8415" s="500"/>
      <c r="AM8415" s="500"/>
      <c r="AN8415" s="500"/>
      <c r="AO8415" s="500"/>
      <c r="AP8415" s="500"/>
    </row>
    <row r="8416" spans="1:42" ht="16.5" customHeight="1">
      <c r="A8416" s="439"/>
      <c r="B8416" s="439"/>
      <c r="C8416" s="504"/>
      <c r="D8416" s="504"/>
      <c r="E8416" s="504"/>
      <c r="F8416" s="504"/>
      <c r="G8416" s="451" t="s">
        <v>3406</v>
      </c>
      <c r="Z8416" s="500"/>
      <c r="AA8416" s="500"/>
      <c r="AB8416" s="500"/>
      <c r="AC8416" s="500"/>
      <c r="AD8416" s="500"/>
      <c r="AE8416" s="500"/>
      <c r="AF8416" s="500"/>
      <c r="AG8416" s="500"/>
      <c r="AH8416" s="500"/>
      <c r="AI8416" s="500"/>
      <c r="AJ8416" s="500"/>
      <c r="AK8416" s="500"/>
      <c r="AL8416" s="500"/>
      <c r="AM8416" s="500"/>
      <c r="AN8416" s="500"/>
      <c r="AO8416" s="500"/>
      <c r="AP8416" s="500"/>
    </row>
    <row r="8417" spans="1:42" ht="16.5" customHeight="1">
      <c r="A8417" s="439"/>
      <c r="B8417" s="439"/>
      <c r="C8417" s="439"/>
      <c r="D8417" s="439"/>
      <c r="E8417" s="439"/>
      <c r="F8417" s="439"/>
      <c r="G8417" s="451" t="s">
        <v>3406</v>
      </c>
      <c r="Z8417" s="500"/>
      <c r="AA8417" s="500"/>
      <c r="AB8417" s="500"/>
      <c r="AC8417" s="500"/>
      <c r="AD8417" s="500"/>
      <c r="AE8417" s="500"/>
      <c r="AF8417" s="500"/>
      <c r="AG8417" s="500"/>
      <c r="AH8417" s="500"/>
      <c r="AI8417" s="500"/>
      <c r="AJ8417" s="500"/>
      <c r="AK8417" s="500"/>
      <c r="AL8417" s="500"/>
      <c r="AM8417" s="500"/>
      <c r="AN8417" s="500"/>
      <c r="AO8417" s="500"/>
      <c r="AP8417" s="500"/>
    </row>
    <row r="8418" spans="1:42" ht="16.5" customHeight="1">
      <c r="A8418" s="434"/>
      <c r="B8418" s="437" t="s">
        <v>3440</v>
      </c>
      <c r="C8418" s="513">
        <f>E8418+D8418+F8418</f>
        <v>93246.1</v>
      </c>
      <c r="D8418" s="513">
        <f>SUMIF(N8407:N8417,M8418,D8407:D8417)</f>
        <v>93246.1</v>
      </c>
      <c r="E8418" s="513">
        <f>SUMIF(N8407:N8417,M8418,E8407:E8417)</f>
        <v>0</v>
      </c>
      <c r="F8418" s="513">
        <f>SUMIF(N8407:N8417,M8418,F8407:F8417)</f>
        <v>0</v>
      </c>
      <c r="G8418" s="451" t="s">
        <v>3484</v>
      </c>
      <c r="M8418" s="501" t="s">
        <v>3421</v>
      </c>
      <c r="N8418" s="501" t="s">
        <v>2354</v>
      </c>
      <c r="Z8418" s="500"/>
      <c r="AA8418" s="500"/>
      <c r="AB8418" s="500"/>
      <c r="AC8418" s="500"/>
      <c r="AD8418" s="500"/>
      <c r="AE8418" s="500"/>
      <c r="AF8418" s="500"/>
      <c r="AG8418" s="500"/>
      <c r="AH8418" s="500"/>
      <c r="AI8418" s="500"/>
      <c r="AJ8418" s="500"/>
      <c r="AK8418" s="500"/>
      <c r="AL8418" s="500"/>
      <c r="AM8418" s="500"/>
      <c r="AN8418" s="500"/>
      <c r="AO8418" s="500"/>
      <c r="AP8418" s="500"/>
    </row>
    <row r="8419" spans="1:42" ht="16.5" customHeight="1">
      <c r="A8419" s="439"/>
      <c r="B8419" s="439"/>
      <c r="C8419" s="504"/>
      <c r="D8419" s="504"/>
      <c r="E8419" s="504"/>
      <c r="F8419" s="504"/>
      <c r="Z8419" s="500"/>
      <c r="AA8419" s="500"/>
      <c r="AB8419" s="500"/>
      <c r="AC8419" s="500"/>
      <c r="AD8419" s="500"/>
      <c r="AE8419" s="500"/>
      <c r="AF8419" s="500"/>
      <c r="AG8419" s="500"/>
      <c r="AH8419" s="500"/>
      <c r="AI8419" s="500"/>
      <c r="AJ8419" s="500"/>
      <c r="AK8419" s="500"/>
      <c r="AL8419" s="500"/>
      <c r="AM8419" s="500"/>
      <c r="AN8419" s="500"/>
      <c r="AO8419" s="500"/>
      <c r="AP8419" s="500"/>
    </row>
    <row r="8420" spans="1:42" ht="16.5" customHeight="1">
      <c r="A8420" s="439"/>
      <c r="B8420" s="439"/>
      <c r="C8420" s="439"/>
      <c r="D8420" s="439"/>
      <c r="E8420" s="439"/>
      <c r="F8420" s="439"/>
      <c r="Z8420" s="500"/>
      <c r="AA8420" s="500"/>
      <c r="AB8420" s="500"/>
      <c r="AC8420" s="500"/>
      <c r="AD8420" s="500"/>
      <c r="AE8420" s="500"/>
      <c r="AF8420" s="500"/>
      <c r="AG8420" s="500"/>
      <c r="AH8420" s="500"/>
      <c r="AI8420" s="500"/>
      <c r="AJ8420" s="500"/>
      <c r="AK8420" s="500"/>
      <c r="AL8420" s="500"/>
      <c r="AM8420" s="500"/>
      <c r="AN8420" s="500"/>
      <c r="AO8420" s="500"/>
      <c r="AP8420" s="500"/>
    </row>
    <row r="8421" spans="1:42" ht="16.5" customHeight="1">
      <c r="A8421" s="439"/>
      <c r="B8421" s="439"/>
      <c r="C8421" s="439"/>
      <c r="D8421" s="439"/>
      <c r="E8421" s="439"/>
      <c r="F8421" s="439"/>
      <c r="Z8421" s="500"/>
      <c r="AA8421" s="500"/>
      <c r="AB8421" s="500"/>
      <c r="AC8421" s="500"/>
      <c r="AD8421" s="500"/>
      <c r="AE8421" s="500"/>
      <c r="AF8421" s="500"/>
      <c r="AG8421" s="500"/>
      <c r="AH8421" s="500"/>
      <c r="AI8421" s="500"/>
      <c r="AJ8421" s="500"/>
      <c r="AK8421" s="500"/>
      <c r="AL8421" s="500"/>
      <c r="AM8421" s="500"/>
      <c r="AN8421" s="500"/>
      <c r="AO8421" s="500"/>
      <c r="AP8421" s="500"/>
    </row>
    <row r="8422" spans="1:42" ht="16.5" customHeight="1">
      <c r="A8422" s="439"/>
      <c r="B8422" s="439"/>
      <c r="C8422" s="439"/>
      <c r="D8422" s="439"/>
      <c r="E8422" s="439"/>
      <c r="F8422" s="439"/>
      <c r="Z8422" s="500"/>
      <c r="AA8422" s="500"/>
      <c r="AB8422" s="500"/>
      <c r="AC8422" s="500"/>
      <c r="AD8422" s="500"/>
      <c r="AE8422" s="500"/>
      <c r="AF8422" s="500"/>
      <c r="AG8422" s="500"/>
      <c r="AH8422" s="500"/>
      <c r="AI8422" s="500"/>
      <c r="AJ8422" s="500"/>
      <c r="AK8422" s="500"/>
      <c r="AL8422" s="500"/>
      <c r="AM8422" s="500"/>
      <c r="AN8422" s="500"/>
      <c r="AO8422" s="500"/>
      <c r="AP8422" s="500"/>
    </row>
    <row r="8423" spans="1:42" ht="16.5" customHeight="1">
      <c r="A8423" s="439"/>
      <c r="B8423" s="439"/>
      <c r="C8423" s="439"/>
      <c r="D8423" s="439"/>
      <c r="E8423" s="439"/>
      <c r="F8423" s="439"/>
      <c r="Z8423" s="500"/>
      <c r="AA8423" s="500"/>
      <c r="AB8423" s="500"/>
      <c r="AC8423" s="500"/>
      <c r="AD8423" s="500"/>
      <c r="AE8423" s="500"/>
      <c r="AF8423" s="500"/>
      <c r="AG8423" s="500"/>
      <c r="AH8423" s="500"/>
      <c r="AI8423" s="500"/>
      <c r="AJ8423" s="500"/>
      <c r="AK8423" s="500"/>
      <c r="AL8423" s="500"/>
      <c r="AM8423" s="500"/>
      <c r="AN8423" s="500"/>
      <c r="AO8423" s="500"/>
      <c r="AP8423" s="500"/>
    </row>
    <row r="8424" spans="1:42" ht="16.5" customHeight="1">
      <c r="A8424" s="439"/>
      <c r="B8424" s="439"/>
      <c r="C8424" s="439"/>
      <c r="D8424" s="439"/>
      <c r="E8424" s="439"/>
      <c r="F8424" s="439"/>
      <c r="Z8424" s="500"/>
      <c r="AA8424" s="500"/>
      <c r="AB8424" s="500"/>
      <c r="AC8424" s="500"/>
      <c r="AD8424" s="500"/>
      <c r="AE8424" s="500"/>
      <c r="AF8424" s="500"/>
      <c r="AG8424" s="500"/>
      <c r="AH8424" s="500"/>
      <c r="AI8424" s="500"/>
      <c r="AJ8424" s="500"/>
      <c r="AK8424" s="500"/>
      <c r="AL8424" s="500"/>
      <c r="AM8424" s="500"/>
      <c r="AN8424" s="500"/>
      <c r="AO8424" s="500"/>
      <c r="AP8424" s="500"/>
    </row>
    <row r="8425" spans="1:42" ht="16.5" customHeight="1">
      <c r="A8425" s="439"/>
      <c r="B8425" s="439"/>
      <c r="C8425" s="439"/>
      <c r="D8425" s="439"/>
      <c r="E8425" s="439"/>
      <c r="F8425" s="439"/>
      <c r="Z8425" s="500"/>
      <c r="AA8425" s="500"/>
      <c r="AB8425" s="500"/>
      <c r="AC8425" s="500"/>
      <c r="AD8425" s="500"/>
      <c r="AE8425" s="500"/>
      <c r="AF8425" s="500"/>
      <c r="AG8425" s="500"/>
      <c r="AH8425" s="500"/>
      <c r="AI8425" s="500"/>
      <c r="AJ8425" s="500"/>
      <c r="AK8425" s="500"/>
      <c r="AL8425" s="500"/>
      <c r="AM8425" s="500"/>
      <c r="AN8425" s="500"/>
      <c r="AO8425" s="500"/>
      <c r="AP8425" s="500"/>
    </row>
    <row r="8426" spans="1:42" ht="16.5" customHeight="1">
      <c r="A8426" s="439"/>
      <c r="B8426" s="439"/>
      <c r="C8426" s="439"/>
      <c r="D8426" s="439"/>
      <c r="E8426" s="439"/>
      <c r="F8426" s="439"/>
      <c r="Z8426" s="500"/>
      <c r="AA8426" s="500"/>
      <c r="AB8426" s="500"/>
      <c r="AC8426" s="500"/>
      <c r="AD8426" s="500"/>
      <c r="AE8426" s="500"/>
      <c r="AF8426" s="500"/>
      <c r="AG8426" s="500"/>
      <c r="AH8426" s="500"/>
      <c r="AI8426" s="500"/>
      <c r="AJ8426" s="500"/>
      <c r="AK8426" s="500"/>
      <c r="AL8426" s="500"/>
      <c r="AM8426" s="500"/>
      <c r="AN8426" s="500"/>
      <c r="AO8426" s="500"/>
      <c r="AP8426" s="500"/>
    </row>
    <row r="8427" spans="1:42" ht="16.5" customHeight="1">
      <c r="A8427" s="439"/>
      <c r="B8427" s="439"/>
      <c r="C8427" s="439"/>
      <c r="D8427" s="439"/>
      <c r="E8427" s="439"/>
      <c r="F8427" s="439"/>
      <c r="Z8427" s="500"/>
      <c r="AA8427" s="500"/>
      <c r="AB8427" s="500"/>
      <c r="AC8427" s="500"/>
      <c r="AD8427" s="500"/>
      <c r="AE8427" s="500"/>
      <c r="AF8427" s="500"/>
      <c r="AG8427" s="500"/>
      <c r="AH8427" s="500"/>
      <c r="AI8427" s="500"/>
      <c r="AJ8427" s="500"/>
      <c r="AK8427" s="500"/>
      <c r="AL8427" s="500"/>
      <c r="AM8427" s="500"/>
      <c r="AN8427" s="500"/>
      <c r="AO8427" s="500"/>
      <c r="AP8427" s="500"/>
    </row>
    <row r="8428" spans="1:42" ht="16.5" customHeight="1">
      <c r="A8428" s="439"/>
      <c r="B8428" s="439"/>
      <c r="C8428" s="439"/>
      <c r="D8428" s="439"/>
      <c r="E8428" s="439"/>
      <c r="F8428" s="439"/>
      <c r="Z8428" s="500"/>
      <c r="AA8428" s="500"/>
      <c r="AB8428" s="500"/>
      <c r="AC8428" s="500"/>
      <c r="AD8428" s="500"/>
      <c r="AE8428" s="500"/>
      <c r="AF8428" s="500"/>
      <c r="AG8428" s="500"/>
      <c r="AH8428" s="500"/>
      <c r="AI8428" s="500"/>
      <c r="AJ8428" s="500"/>
      <c r="AK8428" s="500"/>
      <c r="AL8428" s="500"/>
      <c r="AM8428" s="500"/>
      <c r="AN8428" s="500"/>
      <c r="AO8428" s="500"/>
      <c r="AP8428" s="500"/>
    </row>
    <row r="8429" spans="1:42" ht="16.5" customHeight="1">
      <c r="A8429" s="439"/>
      <c r="B8429" s="439"/>
      <c r="C8429" s="439"/>
      <c r="D8429" s="439"/>
      <c r="E8429" s="439"/>
      <c r="F8429" s="439"/>
      <c r="Z8429" s="500"/>
      <c r="AA8429" s="500"/>
      <c r="AB8429" s="500"/>
      <c r="AC8429" s="500"/>
      <c r="AD8429" s="500"/>
      <c r="AE8429" s="500"/>
      <c r="AF8429" s="500"/>
      <c r="AG8429" s="500"/>
      <c r="AH8429" s="500"/>
      <c r="AI8429" s="500"/>
      <c r="AJ8429" s="500"/>
      <c r="AK8429" s="500"/>
      <c r="AL8429" s="500"/>
      <c r="AM8429" s="500"/>
      <c r="AN8429" s="500"/>
      <c r="AO8429" s="500"/>
      <c r="AP8429" s="500"/>
    </row>
    <row r="8430" spans="1:42" ht="16.5" customHeight="1">
      <c r="A8430" s="439"/>
      <c r="B8430" s="439"/>
      <c r="C8430" s="439"/>
      <c r="D8430" s="439"/>
      <c r="E8430" s="439"/>
      <c r="F8430" s="439"/>
      <c r="Z8430" s="500"/>
      <c r="AA8430" s="500"/>
      <c r="AB8430" s="500"/>
      <c r="AC8430" s="500"/>
      <c r="AD8430" s="500"/>
      <c r="AE8430" s="500"/>
      <c r="AF8430" s="500"/>
      <c r="AG8430" s="500"/>
      <c r="AH8430" s="500"/>
      <c r="AI8430" s="500"/>
      <c r="AJ8430" s="500"/>
      <c r="AK8430" s="500"/>
      <c r="AL8430" s="500"/>
      <c r="AM8430" s="500"/>
      <c r="AN8430" s="500"/>
      <c r="AO8430" s="500"/>
      <c r="AP8430" s="500"/>
    </row>
    <row r="8431" spans="1:42" ht="16.5" customHeight="1">
      <c r="A8431" s="439"/>
      <c r="B8431" s="439"/>
      <c r="C8431" s="439"/>
      <c r="D8431" s="439"/>
      <c r="E8431" s="439"/>
      <c r="F8431" s="439"/>
      <c r="Z8431" s="500"/>
      <c r="AA8431" s="500"/>
      <c r="AB8431" s="500"/>
      <c r="AC8431" s="500"/>
      <c r="AD8431" s="500"/>
      <c r="AE8431" s="500"/>
      <c r="AF8431" s="500"/>
      <c r="AG8431" s="500"/>
      <c r="AH8431" s="500"/>
      <c r="AI8431" s="500"/>
      <c r="AJ8431" s="500"/>
      <c r="AK8431" s="500"/>
      <c r="AL8431" s="500"/>
      <c r="AM8431" s="500"/>
      <c r="AN8431" s="500"/>
      <c r="AO8431" s="500"/>
      <c r="AP8431" s="500"/>
    </row>
    <row r="8432" spans="1:42" ht="16.5" customHeight="1">
      <c r="A8432" s="439"/>
      <c r="B8432" s="439"/>
      <c r="C8432" s="439"/>
      <c r="D8432" s="439"/>
      <c r="E8432" s="439"/>
      <c r="F8432" s="439"/>
      <c r="Z8432" s="500"/>
      <c r="AA8432" s="500"/>
      <c r="AB8432" s="500"/>
      <c r="AC8432" s="500"/>
      <c r="AD8432" s="500"/>
      <c r="AE8432" s="500"/>
      <c r="AF8432" s="500"/>
      <c r="AG8432" s="500"/>
      <c r="AH8432" s="500"/>
      <c r="AI8432" s="500"/>
      <c r="AJ8432" s="500"/>
      <c r="AK8432" s="500"/>
      <c r="AL8432" s="500"/>
      <c r="AM8432" s="500"/>
      <c r="AN8432" s="500"/>
      <c r="AO8432" s="500"/>
      <c r="AP8432" s="500"/>
    </row>
    <row r="8433" spans="1:42" ht="16.5" customHeight="1">
      <c r="A8433" s="439"/>
      <c r="B8433" s="439"/>
      <c r="C8433" s="439"/>
      <c r="D8433" s="439"/>
      <c r="E8433" s="439"/>
      <c r="F8433" s="439"/>
      <c r="Z8433" s="500"/>
      <c r="AA8433" s="500"/>
      <c r="AB8433" s="500"/>
      <c r="AC8433" s="500"/>
      <c r="AD8433" s="500"/>
      <c r="AE8433" s="500"/>
      <c r="AF8433" s="500"/>
      <c r="AG8433" s="500"/>
      <c r="AH8433" s="500"/>
      <c r="AI8433" s="500"/>
      <c r="AJ8433" s="500"/>
      <c r="AK8433" s="500"/>
      <c r="AL8433" s="500"/>
      <c r="AM8433" s="500"/>
      <c r="AN8433" s="500"/>
      <c r="AO8433" s="500"/>
      <c r="AP8433" s="500"/>
    </row>
    <row r="8434" spans="1:42" ht="16.5" customHeight="1">
      <c r="A8434" s="439"/>
      <c r="B8434" s="439"/>
      <c r="C8434" s="439"/>
      <c r="D8434" s="439"/>
      <c r="E8434" s="439"/>
      <c r="F8434" s="439"/>
      <c r="Z8434" s="500"/>
      <c r="AA8434" s="500"/>
      <c r="AB8434" s="500"/>
      <c r="AC8434" s="500"/>
      <c r="AD8434" s="500"/>
      <c r="AE8434" s="500"/>
      <c r="AF8434" s="500"/>
      <c r="AG8434" s="500"/>
      <c r="AH8434" s="500"/>
      <c r="AI8434" s="500"/>
      <c r="AJ8434" s="500"/>
      <c r="AK8434" s="500"/>
      <c r="AL8434" s="500"/>
      <c r="AM8434" s="500"/>
      <c r="AN8434" s="500"/>
      <c r="AO8434" s="500"/>
      <c r="AP8434" s="500"/>
    </row>
    <row r="8435" spans="1:42" ht="16.5" customHeight="1">
      <c r="A8435" s="439"/>
      <c r="B8435" s="439"/>
      <c r="C8435" s="439"/>
      <c r="D8435" s="439"/>
      <c r="E8435" s="439"/>
      <c r="F8435" s="439"/>
      <c r="Z8435" s="500"/>
      <c r="AA8435" s="500"/>
      <c r="AB8435" s="500"/>
      <c r="AC8435" s="500"/>
      <c r="AD8435" s="500"/>
      <c r="AE8435" s="500"/>
      <c r="AF8435" s="500"/>
      <c r="AG8435" s="500"/>
      <c r="AH8435" s="500"/>
      <c r="AI8435" s="500"/>
      <c r="AJ8435" s="500"/>
      <c r="AK8435" s="500"/>
      <c r="AL8435" s="500"/>
      <c r="AM8435" s="500"/>
      <c r="AN8435" s="500"/>
      <c r="AO8435" s="500"/>
      <c r="AP8435" s="500"/>
    </row>
    <row r="8436" spans="1:42" ht="16.5" customHeight="1">
      <c r="A8436" s="439"/>
      <c r="B8436" s="439"/>
      <c r="C8436" s="439"/>
      <c r="D8436" s="439"/>
      <c r="E8436" s="439"/>
      <c r="F8436" s="439"/>
      <c r="Z8436" s="500"/>
      <c r="AA8436" s="500"/>
      <c r="AB8436" s="500"/>
      <c r="AC8436" s="500"/>
      <c r="AD8436" s="500"/>
      <c r="AE8436" s="500"/>
      <c r="AF8436" s="500"/>
      <c r="AG8436" s="500"/>
      <c r="AH8436" s="500"/>
      <c r="AI8436" s="500"/>
      <c r="AJ8436" s="500"/>
      <c r="AK8436" s="500"/>
      <c r="AL8436" s="500"/>
      <c r="AM8436" s="500"/>
      <c r="AN8436" s="500"/>
      <c r="AO8436" s="500"/>
      <c r="AP8436" s="500"/>
    </row>
    <row r="8437" spans="1:42" ht="16.5" customHeight="1">
      <c r="A8437" s="439"/>
      <c r="B8437" s="439"/>
      <c r="C8437" s="439"/>
      <c r="D8437" s="439"/>
      <c r="E8437" s="439"/>
      <c r="F8437" s="439"/>
      <c r="Z8437" s="500"/>
      <c r="AA8437" s="500"/>
      <c r="AB8437" s="500"/>
      <c r="AC8437" s="500"/>
      <c r="AD8437" s="500"/>
      <c r="AE8437" s="500"/>
      <c r="AF8437" s="500"/>
      <c r="AG8437" s="500"/>
      <c r="AH8437" s="500"/>
      <c r="AI8437" s="500"/>
      <c r="AJ8437" s="500"/>
      <c r="AK8437" s="500"/>
      <c r="AL8437" s="500"/>
      <c r="AM8437" s="500"/>
      <c r="AN8437" s="500"/>
      <c r="AO8437" s="500"/>
      <c r="AP8437" s="500"/>
    </row>
    <row r="8438" spans="1:42" ht="16.5" customHeight="1">
      <c r="A8438" s="439"/>
      <c r="B8438" s="439"/>
      <c r="C8438" s="439"/>
      <c r="D8438" s="439"/>
      <c r="E8438" s="439"/>
      <c r="F8438" s="439"/>
      <c r="Z8438" s="500"/>
      <c r="AA8438" s="500"/>
      <c r="AB8438" s="500"/>
      <c r="AC8438" s="500"/>
      <c r="AD8438" s="500"/>
      <c r="AE8438" s="500"/>
      <c r="AF8438" s="500"/>
      <c r="AG8438" s="500"/>
      <c r="AH8438" s="500"/>
      <c r="AI8438" s="500"/>
      <c r="AJ8438" s="500"/>
      <c r="AK8438" s="500"/>
      <c r="AL8438" s="500"/>
      <c r="AM8438" s="500"/>
      <c r="AN8438" s="500"/>
      <c r="AO8438" s="500"/>
      <c r="AP8438" s="500"/>
    </row>
    <row r="8439" spans="1:42" ht="16.5" customHeight="1">
      <c r="A8439" s="439"/>
      <c r="B8439" s="439"/>
      <c r="C8439" s="439"/>
      <c r="D8439" s="439"/>
      <c r="E8439" s="439"/>
      <c r="F8439" s="439"/>
      <c r="Z8439" s="500"/>
      <c r="AA8439" s="500"/>
      <c r="AB8439" s="500"/>
      <c r="AC8439" s="500"/>
      <c r="AD8439" s="500"/>
      <c r="AE8439" s="500"/>
      <c r="AF8439" s="500"/>
      <c r="AG8439" s="500"/>
      <c r="AH8439" s="500"/>
      <c r="AI8439" s="500"/>
      <c r="AJ8439" s="500"/>
      <c r="AK8439" s="500"/>
      <c r="AL8439" s="500"/>
      <c r="AM8439" s="500"/>
      <c r="AN8439" s="500"/>
      <c r="AO8439" s="500"/>
      <c r="AP8439" s="500"/>
    </row>
    <row r="8440" spans="1:42" ht="16.5" customHeight="1">
      <c r="A8440" s="439"/>
      <c r="B8440" s="439"/>
      <c r="C8440" s="439"/>
      <c r="D8440" s="439"/>
      <c r="E8440" s="439"/>
      <c r="F8440" s="439"/>
      <c r="Z8440" s="500"/>
      <c r="AA8440" s="500"/>
      <c r="AB8440" s="500"/>
      <c r="AC8440" s="500"/>
      <c r="AD8440" s="500"/>
      <c r="AE8440" s="500"/>
      <c r="AF8440" s="500"/>
      <c r="AG8440" s="500"/>
      <c r="AH8440" s="500"/>
      <c r="AI8440" s="500"/>
      <c r="AJ8440" s="500"/>
      <c r="AK8440" s="500"/>
      <c r="AL8440" s="500"/>
      <c r="AM8440" s="500"/>
      <c r="AN8440" s="500"/>
      <c r="AO8440" s="500"/>
      <c r="AP8440" s="500"/>
    </row>
    <row r="8441" spans="1:42" ht="16.5" customHeight="1">
      <c r="A8441" s="439"/>
      <c r="B8441" s="439"/>
      <c r="C8441" s="439"/>
      <c r="D8441" s="439"/>
      <c r="E8441" s="439"/>
      <c r="F8441" s="439"/>
      <c r="Z8441" s="500"/>
      <c r="AA8441" s="500"/>
      <c r="AB8441" s="500"/>
      <c r="AC8441" s="500"/>
      <c r="AD8441" s="500"/>
      <c r="AE8441" s="500"/>
      <c r="AF8441" s="500"/>
      <c r="AG8441" s="500"/>
      <c r="AH8441" s="500"/>
      <c r="AI8441" s="500"/>
      <c r="AJ8441" s="500"/>
      <c r="AK8441" s="500"/>
      <c r="AL8441" s="500"/>
      <c r="AM8441" s="500"/>
      <c r="AN8441" s="500"/>
      <c r="AO8441" s="500"/>
      <c r="AP8441" s="500"/>
    </row>
    <row r="8442" spans="1:42" ht="16.5" customHeight="1">
      <c r="A8442" s="439"/>
      <c r="B8442" s="439"/>
      <c r="C8442" s="439"/>
      <c r="D8442" s="439"/>
      <c r="E8442" s="439"/>
      <c r="F8442" s="439"/>
      <c r="Z8442" s="500"/>
      <c r="AA8442" s="500"/>
      <c r="AB8442" s="500"/>
      <c r="AC8442" s="500"/>
      <c r="AD8442" s="500"/>
      <c r="AE8442" s="500"/>
      <c r="AF8442" s="500"/>
      <c r="AG8442" s="500"/>
      <c r="AH8442" s="500"/>
      <c r="AI8442" s="500"/>
      <c r="AJ8442" s="500"/>
      <c r="AK8442" s="500"/>
      <c r="AL8442" s="500"/>
      <c r="AM8442" s="500"/>
      <c r="AN8442" s="500"/>
      <c r="AO8442" s="500"/>
      <c r="AP8442" s="500"/>
    </row>
    <row r="8443" spans="1:42" ht="16.5" customHeight="1">
      <c r="A8443" s="439"/>
      <c r="B8443" s="439"/>
      <c r="C8443" s="439"/>
      <c r="D8443" s="439"/>
      <c r="E8443" s="439"/>
      <c r="F8443" s="439"/>
      <c r="Z8443" s="500"/>
      <c r="AA8443" s="500"/>
      <c r="AB8443" s="500"/>
      <c r="AC8443" s="500"/>
      <c r="AD8443" s="500"/>
      <c r="AE8443" s="500"/>
      <c r="AF8443" s="500"/>
      <c r="AG8443" s="500"/>
      <c r="AH8443" s="500"/>
      <c r="AI8443" s="500"/>
      <c r="AJ8443" s="500"/>
      <c r="AK8443" s="500"/>
      <c r="AL8443" s="500"/>
      <c r="AM8443" s="500"/>
      <c r="AN8443" s="500"/>
      <c r="AO8443" s="500"/>
      <c r="AP8443" s="500"/>
    </row>
    <row r="8444" spans="1:42" ht="16.5" customHeight="1">
      <c r="A8444" s="439"/>
      <c r="B8444" s="439"/>
      <c r="C8444" s="439"/>
      <c r="D8444" s="439"/>
      <c r="E8444" s="439"/>
      <c r="F8444" s="439"/>
      <c r="Z8444" s="500"/>
      <c r="AA8444" s="500"/>
      <c r="AB8444" s="500"/>
      <c r="AC8444" s="500"/>
      <c r="AD8444" s="500"/>
      <c r="AE8444" s="500"/>
      <c r="AF8444" s="500"/>
      <c r="AG8444" s="500"/>
      <c r="AH8444" s="500"/>
      <c r="AI8444" s="500"/>
      <c r="AJ8444" s="500"/>
      <c r="AK8444" s="500"/>
      <c r="AL8444" s="500"/>
      <c r="AM8444" s="500"/>
      <c r="AN8444" s="500"/>
      <c r="AO8444" s="500"/>
      <c r="AP8444" s="500"/>
    </row>
    <row r="8445" spans="1:42" ht="16.5" customHeight="1">
      <c r="A8445" s="439"/>
      <c r="B8445" s="439"/>
      <c r="C8445" s="439"/>
      <c r="D8445" s="439"/>
      <c r="E8445" s="439"/>
      <c r="F8445" s="439"/>
      <c r="Z8445" s="500"/>
      <c r="AA8445" s="500"/>
      <c r="AB8445" s="500"/>
      <c r="AC8445" s="500"/>
      <c r="AD8445" s="500"/>
      <c r="AE8445" s="500"/>
      <c r="AF8445" s="500"/>
      <c r="AG8445" s="500"/>
      <c r="AH8445" s="500"/>
      <c r="AI8445" s="500"/>
      <c r="AJ8445" s="500"/>
      <c r="AK8445" s="500"/>
      <c r="AL8445" s="500"/>
      <c r="AM8445" s="500"/>
      <c r="AN8445" s="500"/>
      <c r="AO8445" s="500"/>
      <c r="AP8445" s="500"/>
    </row>
    <row r="8446" spans="1:42" ht="16.5" customHeight="1">
      <c r="A8446" s="439"/>
      <c r="B8446" s="439"/>
      <c r="C8446" s="439"/>
      <c r="D8446" s="439"/>
      <c r="E8446" s="439"/>
      <c r="F8446" s="439"/>
      <c r="Z8446" s="500"/>
      <c r="AA8446" s="500"/>
      <c r="AB8446" s="500"/>
      <c r="AC8446" s="500"/>
      <c r="AD8446" s="500"/>
      <c r="AE8446" s="500"/>
      <c r="AF8446" s="500"/>
      <c r="AG8446" s="500"/>
      <c r="AH8446" s="500"/>
      <c r="AI8446" s="500"/>
      <c r="AJ8446" s="500"/>
      <c r="AK8446" s="500"/>
      <c r="AL8446" s="500"/>
      <c r="AM8446" s="500"/>
      <c r="AN8446" s="500"/>
      <c r="AO8446" s="500"/>
      <c r="AP8446" s="500"/>
    </row>
    <row r="8447" spans="1:42" ht="16.5" customHeight="1">
      <c r="A8447" s="439"/>
      <c r="B8447" s="439"/>
      <c r="C8447" s="439"/>
      <c r="D8447" s="439"/>
      <c r="E8447" s="439"/>
      <c r="F8447" s="439"/>
      <c r="Z8447" s="500"/>
      <c r="AA8447" s="500"/>
      <c r="AB8447" s="500"/>
      <c r="AC8447" s="500"/>
      <c r="AD8447" s="500"/>
      <c r="AE8447" s="500"/>
      <c r="AF8447" s="500"/>
      <c r="AG8447" s="500"/>
      <c r="AH8447" s="500"/>
      <c r="AI8447" s="500"/>
      <c r="AJ8447" s="500"/>
      <c r="AK8447" s="500"/>
      <c r="AL8447" s="500"/>
      <c r="AM8447" s="500"/>
      <c r="AN8447" s="500"/>
      <c r="AO8447" s="500"/>
      <c r="AP8447" s="500"/>
    </row>
    <row r="8448" spans="1:42" ht="16.5" customHeight="1">
      <c r="A8448" s="439"/>
      <c r="B8448" s="439"/>
      <c r="C8448" s="439"/>
      <c r="D8448" s="439"/>
      <c r="E8448" s="439"/>
      <c r="F8448" s="439"/>
      <c r="Z8448" s="500"/>
      <c r="AA8448" s="500"/>
      <c r="AB8448" s="500"/>
      <c r="AC8448" s="500"/>
      <c r="AD8448" s="500"/>
      <c r="AE8448" s="500"/>
      <c r="AF8448" s="500"/>
      <c r="AG8448" s="500"/>
      <c r="AH8448" s="500"/>
      <c r="AI8448" s="500"/>
      <c r="AJ8448" s="500"/>
      <c r="AK8448" s="500"/>
      <c r="AL8448" s="500"/>
      <c r="AM8448" s="500"/>
      <c r="AN8448" s="500"/>
      <c r="AO8448" s="500"/>
      <c r="AP8448" s="500"/>
    </row>
    <row r="8449" spans="1:42" ht="16.5" customHeight="1">
      <c r="A8449" s="439"/>
      <c r="B8449" s="439"/>
      <c r="C8449" s="439"/>
      <c r="D8449" s="439"/>
      <c r="E8449" s="439"/>
      <c r="F8449" s="439"/>
      <c r="Z8449" s="500"/>
      <c r="AA8449" s="500"/>
      <c r="AB8449" s="500"/>
      <c r="AC8449" s="500"/>
      <c r="AD8449" s="500"/>
      <c r="AE8449" s="500"/>
      <c r="AF8449" s="500"/>
      <c r="AG8449" s="500"/>
      <c r="AH8449" s="500"/>
      <c r="AI8449" s="500"/>
      <c r="AJ8449" s="500"/>
      <c r="AK8449" s="500"/>
      <c r="AL8449" s="500"/>
      <c r="AM8449" s="500"/>
      <c r="AN8449" s="500"/>
      <c r="AO8449" s="500"/>
      <c r="AP8449" s="500"/>
    </row>
    <row r="8450" spans="1:42" ht="16.5" customHeight="1">
      <c r="A8450" s="439"/>
      <c r="B8450" s="439"/>
      <c r="C8450" s="439"/>
      <c r="D8450" s="439"/>
      <c r="E8450" s="439"/>
      <c r="F8450" s="439"/>
      <c r="Z8450" s="500"/>
      <c r="AA8450" s="500"/>
      <c r="AB8450" s="500"/>
      <c r="AC8450" s="500"/>
      <c r="AD8450" s="500"/>
      <c r="AE8450" s="500"/>
      <c r="AF8450" s="500"/>
      <c r="AG8450" s="500"/>
      <c r="AH8450" s="500"/>
      <c r="AI8450" s="500"/>
      <c r="AJ8450" s="500"/>
      <c r="AK8450" s="500"/>
      <c r="AL8450" s="500"/>
      <c r="AM8450" s="500"/>
      <c r="AN8450" s="500"/>
      <c r="AO8450" s="500"/>
      <c r="AP8450" s="500"/>
    </row>
    <row r="8451" spans="1:42" ht="16.5" customHeight="1">
      <c r="A8451" s="439"/>
      <c r="B8451" s="439"/>
      <c r="C8451" s="439"/>
      <c r="D8451" s="439"/>
      <c r="E8451" s="439"/>
      <c r="F8451" s="439"/>
      <c r="Z8451" s="500"/>
      <c r="AA8451" s="500"/>
      <c r="AB8451" s="500"/>
      <c r="AC8451" s="500"/>
      <c r="AD8451" s="500"/>
      <c r="AE8451" s="500"/>
      <c r="AF8451" s="500"/>
      <c r="AG8451" s="500"/>
      <c r="AH8451" s="500"/>
      <c r="AI8451" s="500"/>
      <c r="AJ8451" s="500"/>
      <c r="AK8451" s="500"/>
      <c r="AL8451" s="500"/>
      <c r="AM8451" s="500"/>
      <c r="AN8451" s="500"/>
      <c r="AO8451" s="500"/>
      <c r="AP8451" s="500"/>
    </row>
    <row r="8452" spans="1:42" ht="16.5" customHeight="1">
      <c r="A8452" s="439"/>
      <c r="B8452" s="439"/>
      <c r="C8452" s="439"/>
      <c r="D8452" s="439"/>
      <c r="E8452" s="439"/>
      <c r="F8452" s="439"/>
      <c r="Z8452" s="500"/>
      <c r="AA8452" s="500"/>
      <c r="AB8452" s="500"/>
      <c r="AC8452" s="500"/>
      <c r="AD8452" s="500"/>
      <c r="AE8452" s="500"/>
      <c r="AF8452" s="500"/>
      <c r="AG8452" s="500"/>
      <c r="AH8452" s="500"/>
      <c r="AI8452" s="500"/>
      <c r="AJ8452" s="500"/>
      <c r="AK8452" s="500"/>
      <c r="AL8452" s="500"/>
      <c r="AM8452" s="500"/>
      <c r="AN8452" s="500"/>
      <c r="AO8452" s="500"/>
      <c r="AP8452" s="500"/>
    </row>
    <row r="8453" spans="1:42" ht="16.5" customHeight="1">
      <c r="A8453" s="497"/>
      <c r="B8453" s="497"/>
      <c r="C8453" s="497"/>
      <c r="D8453" s="497"/>
      <c r="E8453" s="497"/>
      <c r="F8453" s="497"/>
      <c r="Z8453" s="500"/>
      <c r="AA8453" s="500"/>
      <c r="AB8453" s="500"/>
      <c r="AC8453" s="500"/>
      <c r="AD8453" s="500"/>
      <c r="AE8453" s="500"/>
      <c r="AF8453" s="500"/>
      <c r="AG8453" s="500"/>
      <c r="AH8453" s="500"/>
      <c r="AI8453" s="500"/>
      <c r="AJ8453" s="500"/>
      <c r="AK8453" s="500"/>
      <c r="AL8453" s="500"/>
      <c r="AM8453" s="500"/>
      <c r="AN8453" s="500"/>
      <c r="AO8453" s="500"/>
      <c r="AP8453" s="500"/>
    </row>
    <row r="8454" spans="1:42" ht="16.5" customHeight="1">
      <c r="A8454" s="616" t="s">
        <v>3487</v>
      </c>
      <c r="B8454" s="605"/>
      <c r="C8454" s="446">
        <f>E8454+D8454+F8454</f>
        <v>93246</v>
      </c>
      <c r="D8454" s="453">
        <f>ROUNDDOWN(SUMIF(N8407:N8418,M8454,D8407:D8418),0)</f>
        <v>93246</v>
      </c>
      <c r="E8454" s="454">
        <f>ROUNDDOWN(SUMIF(N8407:N8418,M8454,E8407:E8418),0)</f>
        <v>0</v>
      </c>
      <c r="F8454" s="446">
        <f>ROUNDDOWN(SUMIF(N8407:N8418,M8454,F8407:F8418),0)</f>
        <v>0</v>
      </c>
      <c r="M8454" s="501" t="s">
        <v>2354</v>
      </c>
      <c r="Z8454" s="500"/>
      <c r="AA8454" s="500"/>
      <c r="AB8454" s="500"/>
      <c r="AC8454" s="500"/>
      <c r="AD8454" s="500"/>
      <c r="AE8454" s="500"/>
      <c r="AF8454" s="500"/>
      <c r="AG8454" s="500"/>
      <c r="AH8454" s="500"/>
      <c r="AI8454" s="500"/>
      <c r="AJ8454" s="500"/>
      <c r="AK8454" s="500"/>
      <c r="AL8454" s="500"/>
      <c r="AM8454" s="500"/>
      <c r="AN8454" s="500"/>
      <c r="AO8454" s="500"/>
      <c r="AP8454" s="500"/>
    </row>
    <row r="8455" spans="1:42" ht="16.5" customHeight="1">
      <c r="A8455" s="502" t="s">
        <v>3390</v>
      </c>
      <c r="B8455" s="503" t="s">
        <v>3389</v>
      </c>
      <c r="C8455" s="615">
        <f>C8504</f>
        <v>5056</v>
      </c>
      <c r="D8455" s="615">
        <f>D8504</f>
        <v>4564</v>
      </c>
      <c r="E8455" s="615">
        <f>E8504</f>
        <v>182</v>
      </c>
      <c r="F8455" s="615">
        <f>F8504</f>
        <v>310</v>
      </c>
      <c r="G8455" s="486" t="str">
        <f>HYPERLINK("#G"&amp;ROW(G8493),"_x0005_`BDCOD|D01270_x0007_`POSS|"&amp;ROW(G8457)&amp;"_x0007_`POSE|"&amp;ROW(G8493)&amp;"_x0007_`")</f>
        <v>_x0005_`BDCOD|D01270_x0007_`POSS|8457_x0007_`POSE|8493_x0007_`</v>
      </c>
      <c r="Z8455" s="500"/>
      <c r="AA8455" s="500"/>
      <c r="AB8455" s="500"/>
      <c r="AC8455" s="500"/>
      <c r="AD8455" s="500"/>
      <c r="AE8455" s="500"/>
      <c r="AF8455" s="500"/>
      <c r="AG8455" s="500"/>
      <c r="AH8455" s="500"/>
      <c r="AI8455" s="500"/>
      <c r="AJ8455" s="500"/>
      <c r="AK8455" s="500"/>
      <c r="AL8455" s="500"/>
      <c r="AM8455" s="500"/>
      <c r="AN8455" s="500"/>
      <c r="AO8455" s="500"/>
      <c r="AP8455" s="500"/>
    </row>
    <row r="8456" spans="1:42" ht="16.5" customHeight="1">
      <c r="A8456" s="485"/>
      <c r="B8456" s="503" t="s">
        <v>4357</v>
      </c>
      <c r="C8456" s="593"/>
      <c r="D8456" s="593"/>
      <c r="E8456" s="593"/>
      <c r="F8456" s="593"/>
      <c r="M8456" s="501" t="s">
        <v>3389</v>
      </c>
      <c r="Z8456" s="500"/>
      <c r="AA8456" s="500"/>
      <c r="AB8456" s="500"/>
      <c r="AC8456" s="500"/>
      <c r="AD8456" s="500"/>
      <c r="AE8456" s="500"/>
      <c r="AF8456" s="500"/>
      <c r="AG8456" s="500"/>
      <c r="AH8456" s="500"/>
      <c r="AI8456" s="500"/>
      <c r="AJ8456" s="500"/>
      <c r="AK8456" s="500"/>
      <c r="AL8456" s="500"/>
      <c r="AM8456" s="500"/>
      <c r="AN8456" s="500"/>
      <c r="AO8456" s="500"/>
      <c r="AP8456" s="500"/>
    </row>
    <row r="8457" spans="1:42" ht="16.5" customHeight="1">
      <c r="A8457" s="439"/>
      <c r="B8457" s="439"/>
      <c r="C8457" s="504"/>
      <c r="D8457" s="504"/>
      <c r="E8457" s="504"/>
      <c r="F8457" s="504"/>
      <c r="G8457" s="451" t="s">
        <v>3406</v>
      </c>
      <c r="Z8457" s="500"/>
      <c r="AA8457" s="500"/>
      <c r="AB8457" s="500"/>
      <c r="AC8457" s="500"/>
      <c r="AD8457" s="500"/>
      <c r="AE8457" s="500"/>
      <c r="AF8457" s="500"/>
      <c r="AG8457" s="500"/>
      <c r="AH8457" s="500"/>
      <c r="AI8457" s="500"/>
      <c r="AJ8457" s="500"/>
      <c r="AK8457" s="500"/>
      <c r="AL8457" s="500"/>
      <c r="AM8457" s="500"/>
      <c r="AN8457" s="500"/>
      <c r="AO8457" s="500"/>
      <c r="AP8457" s="500"/>
    </row>
    <row r="8458" spans="1:42" ht="16.5" customHeight="1">
      <c r="A8458" s="434"/>
      <c r="B8458" s="437" t="s">
        <v>4358</v>
      </c>
      <c r="C8458" s="439"/>
      <c r="D8458" s="439"/>
      <c r="E8458" s="439"/>
      <c r="F8458" s="439"/>
      <c r="G8458" s="451" t="s">
        <v>4359</v>
      </c>
      <c r="Z8458" s="500"/>
      <c r="AA8458" s="500"/>
      <c r="AB8458" s="500"/>
      <c r="AC8458" s="500"/>
      <c r="AD8458" s="500"/>
      <c r="AE8458" s="500"/>
      <c r="AF8458" s="500"/>
      <c r="AG8458" s="500"/>
      <c r="AH8458" s="500"/>
      <c r="AI8458" s="500"/>
      <c r="AJ8458" s="500"/>
      <c r="AK8458" s="500"/>
      <c r="AL8458" s="500"/>
      <c r="AM8458" s="500"/>
      <c r="AN8458" s="500"/>
      <c r="AO8458" s="500"/>
      <c r="AP8458" s="500"/>
    </row>
    <row r="8459" spans="1:42" ht="16.5" customHeight="1">
      <c r="A8459" s="439"/>
      <c r="B8459" s="439"/>
      <c r="C8459" s="439"/>
      <c r="D8459" s="439"/>
      <c r="E8459" s="439"/>
      <c r="F8459" s="439"/>
      <c r="G8459" s="451" t="s">
        <v>3406</v>
      </c>
      <c r="Z8459" s="500"/>
      <c r="AA8459" s="500"/>
      <c r="AB8459" s="500"/>
      <c r="AC8459" s="500"/>
      <c r="AD8459" s="500"/>
      <c r="AE8459" s="500"/>
      <c r="AF8459" s="500"/>
      <c r="AG8459" s="500"/>
      <c r="AH8459" s="500"/>
      <c r="AI8459" s="500"/>
      <c r="AJ8459" s="500"/>
      <c r="AK8459" s="500"/>
      <c r="AL8459" s="500"/>
      <c r="AM8459" s="500"/>
      <c r="AN8459" s="500"/>
      <c r="AO8459" s="500"/>
      <c r="AP8459" s="500"/>
    </row>
    <row r="8460" spans="1:42" ht="16.5" customHeight="1">
      <c r="A8460" s="434"/>
      <c r="B8460" s="437" t="s">
        <v>4360</v>
      </c>
      <c r="C8460" s="439"/>
      <c r="D8460" s="439"/>
      <c r="E8460" s="439"/>
      <c r="F8460" s="439"/>
      <c r="G8460" s="451" t="s">
        <v>4361</v>
      </c>
      <c r="Z8460" s="500"/>
      <c r="AA8460" s="500"/>
      <c r="AB8460" s="500"/>
      <c r="AC8460" s="500"/>
      <c r="AD8460" s="500"/>
      <c r="AE8460" s="500"/>
      <c r="AF8460" s="500"/>
      <c r="AG8460" s="500"/>
      <c r="AH8460" s="500"/>
      <c r="AI8460" s="500"/>
      <c r="AJ8460" s="500"/>
      <c r="AK8460" s="500"/>
      <c r="AL8460" s="500"/>
      <c r="AM8460" s="500"/>
      <c r="AN8460" s="500"/>
      <c r="AO8460" s="500"/>
      <c r="AP8460" s="500"/>
    </row>
    <row r="8461" spans="1:42" ht="16.5" customHeight="1">
      <c r="A8461" s="439"/>
      <c r="B8461" s="439"/>
      <c r="C8461" s="439"/>
      <c r="D8461" s="439"/>
      <c r="E8461" s="439"/>
      <c r="F8461" s="439"/>
      <c r="G8461" s="451" t="s">
        <v>3406</v>
      </c>
      <c r="Z8461" s="500"/>
      <c r="AA8461" s="500"/>
      <c r="AB8461" s="500"/>
      <c r="AC8461" s="500"/>
      <c r="AD8461" s="500"/>
      <c r="AE8461" s="500"/>
      <c r="AF8461" s="500"/>
      <c r="AG8461" s="500"/>
      <c r="AH8461" s="500"/>
      <c r="AI8461" s="500"/>
      <c r="AJ8461" s="500"/>
      <c r="AK8461" s="500"/>
      <c r="AL8461" s="500"/>
      <c r="AM8461" s="500"/>
      <c r="AN8461" s="500"/>
      <c r="AO8461" s="500"/>
      <c r="AP8461" s="500"/>
    </row>
    <row r="8462" spans="1:42" ht="16.5" customHeight="1">
      <c r="A8462" s="434"/>
      <c r="B8462" s="437" t="s">
        <v>4362</v>
      </c>
      <c r="C8462" s="439"/>
      <c r="D8462" s="439"/>
      <c r="E8462" s="439"/>
      <c r="F8462" s="439"/>
      <c r="G8462" s="451" t="s">
        <v>4363</v>
      </c>
      <c r="Z8462" s="500"/>
      <c r="AA8462" s="500"/>
      <c r="AB8462" s="500"/>
      <c r="AC8462" s="500"/>
      <c r="AD8462" s="500"/>
      <c r="AE8462" s="500"/>
      <c r="AF8462" s="500"/>
      <c r="AG8462" s="500"/>
      <c r="AH8462" s="500"/>
      <c r="AI8462" s="500"/>
      <c r="AJ8462" s="500"/>
      <c r="AK8462" s="500"/>
      <c r="AL8462" s="500"/>
      <c r="AM8462" s="500"/>
      <c r="AN8462" s="500"/>
      <c r="AO8462" s="500"/>
      <c r="AP8462" s="500"/>
    </row>
    <row r="8463" spans="1:42" ht="16.5" customHeight="1">
      <c r="A8463" s="439"/>
      <c r="B8463" s="439"/>
      <c r="C8463" s="439"/>
      <c r="D8463" s="439"/>
      <c r="E8463" s="439"/>
      <c r="F8463" s="439"/>
      <c r="G8463" s="451" t="s">
        <v>3406</v>
      </c>
      <c r="Z8463" s="500"/>
      <c r="AA8463" s="500"/>
      <c r="AB8463" s="500"/>
      <c r="AC8463" s="500"/>
      <c r="AD8463" s="500"/>
      <c r="AE8463" s="500"/>
      <c r="AF8463" s="500"/>
      <c r="AG8463" s="500"/>
      <c r="AH8463" s="500"/>
      <c r="AI8463" s="500"/>
      <c r="AJ8463" s="500"/>
      <c r="AK8463" s="500"/>
      <c r="AL8463" s="500"/>
      <c r="AM8463" s="500"/>
      <c r="AN8463" s="500"/>
      <c r="AO8463" s="500"/>
      <c r="AP8463" s="500"/>
    </row>
    <row r="8464" spans="1:42" ht="16.5" customHeight="1">
      <c r="A8464" s="439"/>
      <c r="B8464" s="439"/>
      <c r="C8464" s="439"/>
      <c r="D8464" s="439"/>
      <c r="E8464" s="439"/>
      <c r="F8464" s="439"/>
      <c r="G8464" s="451" t="s">
        <v>3406</v>
      </c>
      <c r="Z8464" s="500"/>
      <c r="AA8464" s="500"/>
      <c r="AB8464" s="500"/>
      <c r="AC8464" s="500"/>
      <c r="AD8464" s="500"/>
      <c r="AE8464" s="500"/>
      <c r="AF8464" s="500"/>
      <c r="AG8464" s="500"/>
      <c r="AH8464" s="500"/>
      <c r="AI8464" s="500"/>
      <c r="AJ8464" s="500"/>
      <c r="AK8464" s="500"/>
      <c r="AL8464" s="500"/>
      <c r="AM8464" s="500"/>
      <c r="AN8464" s="500"/>
      <c r="AO8464" s="500"/>
      <c r="AP8464" s="500"/>
    </row>
    <row r="8465" spans="1:42" ht="16.5" customHeight="1">
      <c r="A8465" s="439"/>
      <c r="B8465" s="439"/>
      <c r="C8465" s="439"/>
      <c r="D8465" s="439"/>
      <c r="E8465" s="439"/>
      <c r="F8465" s="439"/>
      <c r="G8465" s="451" t="s">
        <v>3406</v>
      </c>
      <c r="Z8465" s="500"/>
      <c r="AA8465" s="500"/>
      <c r="AB8465" s="500"/>
      <c r="AC8465" s="500"/>
      <c r="AD8465" s="500"/>
      <c r="AE8465" s="500"/>
      <c r="AF8465" s="500"/>
      <c r="AG8465" s="500"/>
      <c r="AH8465" s="500"/>
      <c r="AI8465" s="500"/>
      <c r="AJ8465" s="500"/>
      <c r="AK8465" s="500"/>
      <c r="AL8465" s="500"/>
      <c r="AM8465" s="500"/>
      <c r="AN8465" s="500"/>
      <c r="AO8465" s="500"/>
      <c r="AP8465" s="500"/>
    </row>
    <row r="8466" spans="1:42" ht="16.5" customHeight="1">
      <c r="A8466" s="434"/>
      <c r="B8466" s="437" t="s">
        <v>3496</v>
      </c>
      <c r="C8466" s="439"/>
      <c r="D8466" s="439"/>
      <c r="E8466" s="439"/>
      <c r="F8466" s="439"/>
      <c r="G8466" s="451" t="s">
        <v>3497</v>
      </c>
      <c r="Z8466" s="500"/>
      <c r="AA8466" s="500"/>
      <c r="AB8466" s="500"/>
      <c r="AC8466" s="500"/>
      <c r="AD8466" s="500"/>
      <c r="AE8466" s="500"/>
      <c r="AF8466" s="500"/>
      <c r="AG8466" s="500"/>
      <c r="AH8466" s="500"/>
      <c r="AI8466" s="500"/>
      <c r="AJ8466" s="500"/>
      <c r="AK8466" s="500"/>
      <c r="AL8466" s="500"/>
      <c r="AM8466" s="500"/>
      <c r="AN8466" s="500"/>
      <c r="AO8466" s="500"/>
      <c r="AP8466" s="500"/>
    </row>
    <row r="8467" spans="1:42" ht="16.5" customHeight="1">
      <c r="A8467" s="439"/>
      <c r="B8467" s="439"/>
      <c r="C8467" s="439"/>
      <c r="D8467" s="439"/>
      <c r="E8467" s="439"/>
      <c r="F8467" s="439"/>
      <c r="G8467" s="451" t="s">
        <v>3406</v>
      </c>
      <c r="Z8467" s="500"/>
      <c r="AA8467" s="500"/>
      <c r="AB8467" s="500"/>
      <c r="AC8467" s="500"/>
      <c r="AD8467" s="500"/>
      <c r="AE8467" s="500"/>
      <c r="AF8467" s="500"/>
      <c r="AG8467" s="500"/>
      <c r="AH8467" s="500"/>
      <c r="AI8467" s="500"/>
      <c r="AJ8467" s="500"/>
      <c r="AK8467" s="500"/>
      <c r="AL8467" s="500"/>
      <c r="AM8467" s="500"/>
      <c r="AN8467" s="500"/>
      <c r="AO8467" s="500"/>
      <c r="AP8467" s="500"/>
    </row>
    <row r="8468" spans="1:42" ht="16.5" customHeight="1">
      <c r="A8468" s="434" t="s">
        <v>4364</v>
      </c>
      <c r="B8468" s="505" t="str">
        <f>" 배관공(수도) : "&amp;TEXT(I8468,"#,##0"&amp;IF(I8468&lt;&gt;INT(I8468),".###",""))&amp;" * "&amp;AA8468&amp;" 인  / "&amp;AC8468&amp;" = "&amp;TEXT(C8468,"#,##0.0")&amp;""</f>
        <v xml:space="preserve"> 배관공(수도) : 262,580 * 0.06 인  / 6 = 2,625.8</v>
      </c>
      <c r="C8468" s="506">
        <f>E8468+D8468+F8468</f>
        <v>2625.8</v>
      </c>
      <c r="D8468" s="506">
        <f>IF(H8468=0,0,ROUNDDOWN(J8468*H8468,1))</f>
        <v>2625.8</v>
      </c>
      <c r="E8468" s="506">
        <f>IF(H8468=0,0,ROUNDDOWN(K8468*H8468,1))</f>
        <v>0</v>
      </c>
      <c r="F8468" s="506">
        <f>IF(H8468=0,0,ROUNDDOWN(L8468*H8468,1))</f>
        <v>0</v>
      </c>
      <c r="G8468" s="451" t="s">
        <v>4365</v>
      </c>
      <c r="H8468" s="507">
        <f>ROUNDUP(AE8468,14-LEN(ABS(INT(AE8468))))</f>
        <v>0.01</v>
      </c>
      <c r="I8468" s="508">
        <f>K8468+J8468+L8468</f>
        <v>262580</v>
      </c>
      <c r="J8468" s="509">
        <f>노무비목록표!E8</f>
        <v>262580</v>
      </c>
      <c r="M8468" s="501" t="s">
        <v>4366</v>
      </c>
      <c r="N8468" s="501" t="s">
        <v>3416</v>
      </c>
      <c r="O8468" s="501" t="s">
        <v>2355</v>
      </c>
      <c r="X8468" s="510" t="str">
        <f>노무비목록표!B8&amp;" / "&amp;노무비목록표!C8</f>
        <v xml:space="preserve">배관공(수도) / </v>
      </c>
      <c r="Y8468" s="433" t="str">
        <f ca="1">HYPERLINK("#"&amp;노무비목록표!G2&amp;"!A"&amp;ROW(노무비목록표!A8),"L00208 →")</f>
        <v>L00208 →</v>
      </c>
      <c r="Z8468" s="501" t="s">
        <v>3500</v>
      </c>
      <c r="AA8468" s="511">
        <v>0.06</v>
      </c>
      <c r="AB8468" s="501" t="s">
        <v>3428</v>
      </c>
      <c r="AC8468" s="515">
        <v>6</v>
      </c>
      <c r="AD8468" s="501" t="s">
        <v>3418</v>
      </c>
      <c r="AE8468" s="512">
        <f>1*AA8468/AC8468</f>
        <v>0.01</v>
      </c>
      <c r="AF8468" s="500"/>
      <c r="AG8468" s="500"/>
      <c r="AH8468" s="500"/>
      <c r="AI8468" s="500"/>
      <c r="AJ8468" s="500"/>
      <c r="AK8468" s="500"/>
      <c r="AL8468" s="500"/>
      <c r="AM8468" s="500"/>
      <c r="AN8468" s="500"/>
      <c r="AO8468" s="500"/>
      <c r="AP8468" s="500"/>
    </row>
    <row r="8469" spans="1:42" ht="16.5" customHeight="1">
      <c r="A8469" s="439"/>
      <c r="B8469" s="439"/>
      <c r="C8469" s="439"/>
      <c r="D8469" s="439"/>
      <c r="E8469" s="439"/>
      <c r="F8469" s="439"/>
      <c r="G8469" s="451" t="s">
        <v>3406</v>
      </c>
      <c r="Z8469" s="500"/>
      <c r="AA8469" s="500"/>
      <c r="AB8469" s="500"/>
      <c r="AC8469" s="500"/>
      <c r="AD8469" s="500"/>
      <c r="AE8469" s="500"/>
      <c r="AF8469" s="500"/>
      <c r="AG8469" s="500"/>
      <c r="AH8469" s="500"/>
      <c r="AI8469" s="500"/>
      <c r="AJ8469" s="500"/>
      <c r="AK8469" s="500"/>
      <c r="AL8469" s="500"/>
      <c r="AM8469" s="500"/>
      <c r="AN8469" s="500"/>
      <c r="AO8469" s="500"/>
      <c r="AP8469" s="500"/>
    </row>
    <row r="8470" spans="1:42" ht="16.5" customHeight="1">
      <c r="A8470" s="434" t="s">
        <v>3414</v>
      </c>
      <c r="B8470" s="505" t="str">
        <f>" 보통인부 : "&amp;TEXT(I8470,"#,##0"&amp;IF(I8470&lt;&gt;INT(I8470),".###",""))&amp;" * "&amp;AA8470&amp;" 인  / "&amp;AC8470&amp;" = "&amp;TEXT(C8470,"#,##0.0")&amp;""</f>
        <v xml:space="preserve"> 보통인부 : 172,068 * 0.03 인  / 6 = 860.3</v>
      </c>
      <c r="C8470" s="506">
        <f>E8470+D8470+F8470</f>
        <v>860.3</v>
      </c>
      <c r="D8470" s="506">
        <f>IF(H8470=0,0,ROUNDDOWN(J8470*H8470,1))</f>
        <v>860.3</v>
      </c>
      <c r="E8470" s="506">
        <f>IF(H8470=0,0,ROUNDDOWN(K8470*H8470,1))</f>
        <v>0</v>
      </c>
      <c r="F8470" s="506">
        <f>IF(H8470=0,0,ROUNDDOWN(L8470*H8470,1))</f>
        <v>0</v>
      </c>
      <c r="G8470" s="451" t="s">
        <v>4367</v>
      </c>
      <c r="H8470" s="507">
        <f>ROUNDUP(AE8470,14-LEN(ABS(INT(AE8470))))</f>
        <v>5.0000000000000001E-3</v>
      </c>
      <c r="I8470" s="508">
        <f>K8470+J8470+L8470</f>
        <v>172068</v>
      </c>
      <c r="J8470" s="509">
        <f>노무비목록표!E10</f>
        <v>172068</v>
      </c>
      <c r="M8470" s="501" t="s">
        <v>2363</v>
      </c>
      <c r="N8470" s="501" t="s">
        <v>3416</v>
      </c>
      <c r="O8470" s="501" t="s">
        <v>2355</v>
      </c>
      <c r="X8470" s="510" t="str">
        <f>노무비목록표!B10&amp;" / "&amp;노무비목록표!C10</f>
        <v xml:space="preserve">보통인부 / </v>
      </c>
      <c r="Y8470" s="433" t="str">
        <f ca="1">HYPERLINK("#"&amp;노무비목록표!G2&amp;"!A"&amp;ROW(노무비목록표!A10),"L00017 →")</f>
        <v>L00017 →</v>
      </c>
      <c r="Z8470" s="501" t="s">
        <v>3500</v>
      </c>
      <c r="AA8470" s="511">
        <v>0.03</v>
      </c>
      <c r="AB8470" s="501" t="s">
        <v>3428</v>
      </c>
      <c r="AC8470" s="515">
        <v>6</v>
      </c>
      <c r="AD8470" s="501" t="s">
        <v>3418</v>
      </c>
      <c r="AE8470" s="512">
        <f>1*AA8470/AC8470</f>
        <v>5.0000000000000001E-3</v>
      </c>
      <c r="AF8470" s="500"/>
      <c r="AG8470" s="500"/>
      <c r="AH8470" s="500"/>
      <c r="AI8470" s="500"/>
      <c r="AJ8470" s="500"/>
      <c r="AK8470" s="500"/>
      <c r="AL8470" s="500"/>
      <c r="AM8470" s="500"/>
      <c r="AN8470" s="500"/>
      <c r="AO8470" s="500"/>
      <c r="AP8470" s="500"/>
    </row>
    <row r="8471" spans="1:42" ht="16.5" customHeight="1">
      <c r="A8471" s="439"/>
      <c r="B8471" s="439"/>
      <c r="C8471" s="439"/>
      <c r="D8471" s="439"/>
      <c r="E8471" s="439"/>
      <c r="F8471" s="439"/>
      <c r="G8471" s="451" t="s">
        <v>3406</v>
      </c>
      <c r="Z8471" s="500"/>
      <c r="AA8471" s="500"/>
      <c r="AB8471" s="500"/>
      <c r="AC8471" s="500"/>
      <c r="AD8471" s="500"/>
      <c r="AE8471" s="500"/>
      <c r="AF8471" s="500"/>
      <c r="AG8471" s="500"/>
      <c r="AH8471" s="500"/>
      <c r="AI8471" s="500"/>
      <c r="AJ8471" s="500"/>
      <c r="AK8471" s="500"/>
      <c r="AL8471" s="500"/>
      <c r="AM8471" s="500"/>
      <c r="AN8471" s="500"/>
      <c r="AO8471" s="500"/>
      <c r="AP8471" s="500"/>
    </row>
    <row r="8472" spans="1:42" ht="16.5" customHeight="1">
      <c r="A8472" s="434"/>
      <c r="B8472" s="437" t="s">
        <v>3419</v>
      </c>
      <c r="C8472" s="513">
        <f>E8472+D8472+F8472</f>
        <v>3486.1000000000004</v>
      </c>
      <c r="D8472" s="513">
        <f>SUMIF(N8457:N8471,M8472,D8457:D8471)</f>
        <v>3486.1000000000004</v>
      </c>
      <c r="E8472" s="513">
        <f>SUMIF(N8457:N8471,M8472,E8457:E8471)</f>
        <v>0</v>
      </c>
      <c r="F8472" s="513">
        <f>SUMIF(N8457:N8471,M8472,F8457:F8471)</f>
        <v>0</v>
      </c>
      <c r="G8472" s="451" t="s">
        <v>3439</v>
      </c>
      <c r="M8472" s="501" t="s">
        <v>3416</v>
      </c>
      <c r="N8472" s="501" t="s">
        <v>3421</v>
      </c>
      <c r="Z8472" s="500"/>
      <c r="AA8472" s="500"/>
      <c r="AB8472" s="500"/>
      <c r="AC8472" s="500"/>
      <c r="AD8472" s="500"/>
      <c r="AE8472" s="500"/>
      <c r="AF8472" s="500"/>
      <c r="AG8472" s="500"/>
      <c r="AH8472" s="500"/>
      <c r="AI8472" s="500"/>
      <c r="AJ8472" s="500"/>
      <c r="AK8472" s="500"/>
      <c r="AL8472" s="500"/>
      <c r="AM8472" s="500"/>
      <c r="AN8472" s="500"/>
      <c r="AO8472" s="500"/>
      <c r="AP8472" s="500"/>
    </row>
    <row r="8473" spans="1:42" ht="16.5" customHeight="1">
      <c r="A8473" s="439"/>
      <c r="B8473" s="439"/>
      <c r="C8473" s="504"/>
      <c r="D8473" s="504"/>
      <c r="E8473" s="504"/>
      <c r="F8473" s="504"/>
      <c r="G8473" s="451" t="s">
        <v>3413</v>
      </c>
      <c r="Z8473" s="500"/>
      <c r="AA8473" s="500"/>
      <c r="AB8473" s="500"/>
      <c r="AC8473" s="500"/>
      <c r="AD8473" s="500"/>
      <c r="AE8473" s="500"/>
      <c r="AF8473" s="500"/>
      <c r="AG8473" s="500"/>
      <c r="AH8473" s="500"/>
      <c r="AI8473" s="500"/>
      <c r="AJ8473" s="500"/>
      <c r="AK8473" s="500"/>
      <c r="AL8473" s="500"/>
      <c r="AM8473" s="500"/>
      <c r="AN8473" s="500"/>
      <c r="AO8473" s="500"/>
      <c r="AP8473" s="500"/>
    </row>
    <row r="8474" spans="1:42" ht="16.5" customHeight="1">
      <c r="A8474" s="439"/>
      <c r="B8474" s="439"/>
      <c r="C8474" s="439"/>
      <c r="D8474" s="439"/>
      <c r="E8474" s="439"/>
      <c r="F8474" s="439"/>
      <c r="G8474" s="451" t="s">
        <v>3406</v>
      </c>
      <c r="Z8474" s="500"/>
      <c r="AA8474" s="500"/>
      <c r="AB8474" s="500"/>
      <c r="AC8474" s="500"/>
      <c r="AD8474" s="500"/>
      <c r="AE8474" s="500"/>
      <c r="AF8474" s="500"/>
      <c r="AG8474" s="500"/>
      <c r="AH8474" s="500"/>
      <c r="AI8474" s="500"/>
      <c r="AJ8474" s="500"/>
      <c r="AK8474" s="500"/>
      <c r="AL8474" s="500"/>
      <c r="AM8474" s="500"/>
      <c r="AN8474" s="500"/>
      <c r="AO8474" s="500"/>
      <c r="AP8474" s="500"/>
    </row>
    <row r="8475" spans="1:42" ht="16.5" customHeight="1">
      <c r="A8475" s="434"/>
      <c r="B8475" s="437" t="s">
        <v>4368</v>
      </c>
      <c r="C8475" s="439"/>
      <c r="D8475" s="439"/>
      <c r="E8475" s="439"/>
      <c r="F8475" s="439"/>
      <c r="G8475" s="451" t="s">
        <v>4369</v>
      </c>
      <c r="Z8475" s="500"/>
      <c r="AA8475" s="500"/>
      <c r="AB8475" s="500"/>
      <c r="AC8475" s="500"/>
      <c r="AD8475" s="500"/>
      <c r="AE8475" s="500"/>
      <c r="AF8475" s="500"/>
      <c r="AG8475" s="500"/>
      <c r="AH8475" s="500"/>
      <c r="AI8475" s="500"/>
      <c r="AJ8475" s="500"/>
      <c r="AK8475" s="500"/>
      <c r="AL8475" s="500"/>
      <c r="AM8475" s="500"/>
      <c r="AN8475" s="500"/>
      <c r="AO8475" s="500"/>
      <c r="AP8475" s="500"/>
    </row>
    <row r="8476" spans="1:42" ht="16.5" customHeight="1">
      <c r="A8476" s="439"/>
      <c r="B8476" s="439"/>
      <c r="C8476" s="439"/>
      <c r="D8476" s="439"/>
      <c r="E8476" s="439"/>
      <c r="F8476" s="439"/>
      <c r="G8476" s="451" t="s">
        <v>3406</v>
      </c>
      <c r="Z8476" s="500"/>
      <c r="AA8476" s="500"/>
      <c r="AB8476" s="500"/>
      <c r="AC8476" s="500"/>
      <c r="AD8476" s="500"/>
      <c r="AE8476" s="500"/>
      <c r="AF8476" s="500"/>
      <c r="AG8476" s="500"/>
      <c r="AH8476" s="500"/>
      <c r="AI8476" s="500"/>
      <c r="AJ8476" s="500"/>
      <c r="AK8476" s="500"/>
      <c r="AL8476" s="500"/>
      <c r="AM8476" s="500"/>
      <c r="AN8476" s="500"/>
      <c r="AO8476" s="500"/>
      <c r="AP8476" s="500"/>
    </row>
    <row r="8477" spans="1:42" ht="16.5" customHeight="1">
      <c r="A8477" s="434" t="s">
        <v>4370</v>
      </c>
      <c r="B8477" s="505" t="str">
        <f>" 노 무 비  : "&amp;TEXT(I8477,"#,##0"&amp;IF(I8477&lt;&gt;INT(I8477),".###",""))&amp;" * "&amp;AA8477&amp;" / "&amp;AC8477&amp;" = "&amp;TEXT(C8477,"#,##0.0")&amp;""</f>
        <v xml:space="preserve"> 노 무 비  : 49,778 * 0.13 / 6 = 1,078.5</v>
      </c>
      <c r="C8477" s="506">
        <f>E8477+D8477+F8477</f>
        <v>1078.5</v>
      </c>
      <c r="D8477" s="506">
        <f>IF(H8477=0,0,ROUNDDOWN(J8477*H8477,1))</f>
        <v>1078.5</v>
      </c>
      <c r="E8477" s="506">
        <f>IF(H8477=0,0,ROUNDDOWN(K8477*H8477,1))</f>
        <v>0</v>
      </c>
      <c r="F8477" s="506">
        <f>IF(H8477=0,0,ROUNDDOWN(L8477*H8477,1))</f>
        <v>0</v>
      </c>
      <c r="G8477" s="451" t="s">
        <v>4371</v>
      </c>
      <c r="H8477" s="507">
        <f>ROUNDUP(AE8477,14-LEN(ABS(INT(AE8477))))</f>
        <v>2.1666666666699998E-2</v>
      </c>
      <c r="I8477" s="508">
        <f>K8477+J8477+L8477</f>
        <v>49778</v>
      </c>
      <c r="J8477" s="509">
        <f>중기목록표!F20</f>
        <v>49778</v>
      </c>
      <c r="M8477" s="501" t="s">
        <v>4372</v>
      </c>
      <c r="N8477" s="501" t="s">
        <v>3416</v>
      </c>
      <c r="X8477" s="510" t="str">
        <f>중기목록표!B20&amp;" / "&amp;중기목록표!C20</f>
        <v>트럭탑재형 크레인 / 5톤</v>
      </c>
      <c r="Y8477" s="433" t="str">
        <f ca="1">HYPERLINK("#"&amp;중기목록표!J2&amp;"!A"&amp;ROW(중기목록표!A20),"X00265 →")</f>
        <v>X00265 →</v>
      </c>
      <c r="Z8477" s="501" t="s">
        <v>3500</v>
      </c>
      <c r="AA8477" s="511">
        <v>0.13</v>
      </c>
      <c r="AB8477" s="501" t="s">
        <v>3428</v>
      </c>
      <c r="AC8477" s="515">
        <v>6</v>
      </c>
      <c r="AD8477" s="501" t="s">
        <v>3418</v>
      </c>
      <c r="AE8477" s="512">
        <f>1*AA8477/AC8477</f>
        <v>2.1666666666666667E-2</v>
      </c>
      <c r="AF8477" s="500"/>
      <c r="AG8477" s="500"/>
      <c r="AH8477" s="500"/>
      <c r="AI8477" s="500"/>
      <c r="AJ8477" s="500"/>
      <c r="AK8477" s="500"/>
      <c r="AL8477" s="500"/>
      <c r="AM8477" s="500"/>
      <c r="AN8477" s="500"/>
      <c r="AO8477" s="500"/>
      <c r="AP8477" s="500"/>
    </row>
    <row r="8478" spans="1:42" ht="16.5" customHeight="1">
      <c r="A8478" s="439"/>
      <c r="B8478" s="439"/>
      <c r="C8478" s="439"/>
      <c r="D8478" s="439"/>
      <c r="E8478" s="439"/>
      <c r="F8478" s="439"/>
      <c r="G8478" s="451" t="s">
        <v>3406</v>
      </c>
      <c r="Z8478" s="500"/>
      <c r="AA8478" s="500"/>
      <c r="AB8478" s="500"/>
      <c r="AC8478" s="500"/>
      <c r="AD8478" s="500"/>
      <c r="AE8478" s="500"/>
      <c r="AF8478" s="500"/>
      <c r="AG8478" s="500"/>
      <c r="AH8478" s="500"/>
      <c r="AI8478" s="500"/>
      <c r="AJ8478" s="500"/>
      <c r="AK8478" s="500"/>
      <c r="AL8478" s="500"/>
      <c r="AM8478" s="500"/>
      <c r="AN8478" s="500"/>
      <c r="AO8478" s="500"/>
      <c r="AP8478" s="500"/>
    </row>
    <row r="8479" spans="1:42" ht="16.5" customHeight="1">
      <c r="A8479" s="434" t="s">
        <v>4373</v>
      </c>
      <c r="B8479" s="505" t="str">
        <f>" 재 료 비  : "&amp;TEXT(I8479,"#,##0"&amp;IF(I8479&lt;&gt;INT(I8479),".###",""))&amp;" * "&amp;AA8479&amp;" / "&amp;AC8479&amp;" = "&amp;TEXT(C8479,"#,##0.0")&amp;""</f>
        <v xml:space="preserve"> 재 료 비  : 8,439 * 0.13 / 6 = 182.8</v>
      </c>
      <c r="C8479" s="506">
        <f>E8479+D8479+F8479</f>
        <v>182.8</v>
      </c>
      <c r="D8479" s="506">
        <f>IF(H8479=0,0,ROUNDDOWN(J8479*H8479,1))</f>
        <v>0</v>
      </c>
      <c r="E8479" s="506">
        <f>IF(H8479=0,0,ROUNDDOWN(K8479*H8479,1))</f>
        <v>182.8</v>
      </c>
      <c r="F8479" s="506">
        <f>IF(H8479=0,0,ROUNDDOWN(L8479*H8479,1))</f>
        <v>0</v>
      </c>
      <c r="G8479" s="451" t="s">
        <v>4374</v>
      </c>
      <c r="H8479" s="507">
        <f>ROUNDUP(AE8479,14-LEN(ABS(INT(AE8479))))</f>
        <v>2.1666666666699998E-2</v>
      </c>
      <c r="I8479" s="508">
        <f>K8479+J8479+L8479</f>
        <v>8439</v>
      </c>
      <c r="K8479" s="509">
        <f>중기목록표!G20</f>
        <v>8439</v>
      </c>
      <c r="M8479" s="501" t="s">
        <v>4372</v>
      </c>
      <c r="N8479" s="501" t="s">
        <v>3416</v>
      </c>
      <c r="X8479" s="510" t="str">
        <f>중기목록표!B20&amp;" / "&amp;중기목록표!C20</f>
        <v>트럭탑재형 크레인 / 5톤</v>
      </c>
      <c r="Y8479" s="433" t="str">
        <f ca="1">HYPERLINK("#"&amp;중기목록표!J2&amp;"!A"&amp;ROW(중기목록표!A20),"X00265 →")</f>
        <v>X00265 →</v>
      </c>
      <c r="Z8479" s="501" t="s">
        <v>3500</v>
      </c>
      <c r="AA8479" s="511">
        <v>0.13</v>
      </c>
      <c r="AB8479" s="501" t="s">
        <v>3428</v>
      </c>
      <c r="AC8479" s="515">
        <v>6</v>
      </c>
      <c r="AD8479" s="501" t="s">
        <v>3418</v>
      </c>
      <c r="AE8479" s="512">
        <f>1*AA8479/AC8479</f>
        <v>2.1666666666666667E-2</v>
      </c>
      <c r="AF8479" s="500"/>
      <c r="AG8479" s="500"/>
      <c r="AH8479" s="500"/>
      <c r="AI8479" s="500"/>
      <c r="AJ8479" s="500"/>
      <c r="AK8479" s="500"/>
      <c r="AL8479" s="500"/>
      <c r="AM8479" s="500"/>
      <c r="AN8479" s="500"/>
      <c r="AO8479" s="500"/>
      <c r="AP8479" s="500"/>
    </row>
    <row r="8480" spans="1:42" ht="16.5" customHeight="1">
      <c r="A8480" s="439"/>
      <c r="B8480" s="439"/>
      <c r="C8480" s="439"/>
      <c r="D8480" s="439"/>
      <c r="E8480" s="439"/>
      <c r="F8480" s="439"/>
      <c r="G8480" s="451" t="s">
        <v>3406</v>
      </c>
      <c r="Z8480" s="500"/>
      <c r="AA8480" s="500"/>
      <c r="AB8480" s="500"/>
      <c r="AC8480" s="500"/>
      <c r="AD8480" s="500"/>
      <c r="AE8480" s="500"/>
      <c r="AF8480" s="500"/>
      <c r="AG8480" s="500"/>
      <c r="AH8480" s="500"/>
      <c r="AI8480" s="500"/>
      <c r="AJ8480" s="500"/>
      <c r="AK8480" s="500"/>
      <c r="AL8480" s="500"/>
      <c r="AM8480" s="500"/>
      <c r="AN8480" s="500"/>
      <c r="AO8480" s="500"/>
      <c r="AP8480" s="500"/>
    </row>
    <row r="8481" spans="1:42" ht="16.5" customHeight="1">
      <c r="A8481" s="434" t="s">
        <v>4375</v>
      </c>
      <c r="B8481" s="505" t="str">
        <f>" 경    비  : "&amp;TEXT(I8481,"#,##0"&amp;IF(I8481&lt;&gt;INT(I8481),".###",""))&amp;" * "&amp;AA8481&amp;" / "&amp;AC8481&amp;" = "&amp;TEXT(C8481,"#,##0.0")&amp;""</f>
        <v xml:space="preserve"> 경    비  : 11,117 * 0.13 / 6 = 240.8</v>
      </c>
      <c r="C8481" s="506">
        <f>E8481+D8481+F8481</f>
        <v>240.8</v>
      </c>
      <c r="D8481" s="506">
        <f>IF(H8481=0,0,ROUNDDOWN(J8481*H8481,1))</f>
        <v>0</v>
      </c>
      <c r="E8481" s="506">
        <f>IF(H8481=0,0,ROUNDDOWN(K8481*H8481,1))</f>
        <v>0</v>
      </c>
      <c r="F8481" s="506">
        <f>IF(H8481=0,0,ROUNDDOWN(L8481*H8481,1))</f>
        <v>240.8</v>
      </c>
      <c r="G8481" s="451" t="s">
        <v>4376</v>
      </c>
      <c r="H8481" s="507">
        <f>ROUNDUP(AE8481,14-LEN(ABS(INT(AE8481))))</f>
        <v>2.1666666666699998E-2</v>
      </c>
      <c r="I8481" s="508">
        <f>K8481+J8481+L8481</f>
        <v>11117</v>
      </c>
      <c r="L8481" s="509">
        <f>중기목록표!H20</f>
        <v>11117</v>
      </c>
      <c r="M8481" s="501" t="s">
        <v>4372</v>
      </c>
      <c r="N8481" s="501" t="s">
        <v>3416</v>
      </c>
      <c r="X8481" s="510" t="str">
        <f>중기목록표!B20&amp;" / "&amp;중기목록표!C20</f>
        <v>트럭탑재형 크레인 / 5톤</v>
      </c>
      <c r="Y8481" s="433" t="str">
        <f ca="1">HYPERLINK("#"&amp;중기목록표!J2&amp;"!A"&amp;ROW(중기목록표!A20),"X00265 →")</f>
        <v>X00265 →</v>
      </c>
      <c r="Z8481" s="501" t="s">
        <v>3500</v>
      </c>
      <c r="AA8481" s="511">
        <v>0.13</v>
      </c>
      <c r="AB8481" s="501" t="s">
        <v>3428</v>
      </c>
      <c r="AC8481" s="515">
        <v>6</v>
      </c>
      <c r="AD8481" s="501" t="s">
        <v>3418</v>
      </c>
      <c r="AE8481" s="512">
        <f>1*AA8481/AC8481</f>
        <v>2.1666666666666667E-2</v>
      </c>
      <c r="AF8481" s="500"/>
      <c r="AG8481" s="500"/>
      <c r="AH8481" s="500"/>
      <c r="AI8481" s="500"/>
      <c r="AJ8481" s="500"/>
      <c r="AK8481" s="500"/>
      <c r="AL8481" s="500"/>
      <c r="AM8481" s="500"/>
      <c r="AN8481" s="500"/>
      <c r="AO8481" s="500"/>
      <c r="AP8481" s="500"/>
    </row>
    <row r="8482" spans="1:42" ht="16.5" customHeight="1">
      <c r="A8482" s="439"/>
      <c r="B8482" s="439"/>
      <c r="C8482" s="439"/>
      <c r="D8482" s="439"/>
      <c r="E8482" s="439"/>
      <c r="F8482" s="439"/>
      <c r="G8482" s="451" t="s">
        <v>3406</v>
      </c>
      <c r="Z8482" s="500"/>
      <c r="AA8482" s="500"/>
      <c r="AB8482" s="500"/>
      <c r="AC8482" s="500"/>
      <c r="AD8482" s="500"/>
      <c r="AE8482" s="500"/>
      <c r="AF8482" s="500"/>
      <c r="AG8482" s="500"/>
      <c r="AH8482" s="500"/>
      <c r="AI8482" s="500"/>
      <c r="AJ8482" s="500"/>
      <c r="AK8482" s="500"/>
      <c r="AL8482" s="500"/>
      <c r="AM8482" s="500"/>
      <c r="AN8482" s="500"/>
      <c r="AO8482" s="500"/>
      <c r="AP8482" s="500"/>
    </row>
    <row r="8483" spans="1:42" ht="16.5" customHeight="1">
      <c r="A8483" s="434"/>
      <c r="B8483" s="437" t="s">
        <v>3419</v>
      </c>
      <c r="C8483" s="513">
        <f>E8483+D8483+F8483</f>
        <v>1502.1</v>
      </c>
      <c r="D8483" s="513">
        <f>SUMIF(N8473:N8482,M8483,D8473:D8482)</f>
        <v>1078.5</v>
      </c>
      <c r="E8483" s="513">
        <f>SUMIF(N8473:N8482,M8483,E8473:E8482)</f>
        <v>182.8</v>
      </c>
      <c r="F8483" s="513">
        <f>SUMIF(N8473:N8482,M8483,F8473:F8482)</f>
        <v>240.8</v>
      </c>
      <c r="G8483" s="451" t="s">
        <v>3420</v>
      </c>
      <c r="M8483" s="501" t="s">
        <v>3416</v>
      </c>
      <c r="N8483" s="501" t="s">
        <v>3421</v>
      </c>
      <c r="Z8483" s="500"/>
      <c r="AA8483" s="500"/>
      <c r="AB8483" s="500"/>
      <c r="AC8483" s="500"/>
      <c r="AD8483" s="500"/>
      <c r="AE8483" s="500"/>
      <c r="AF8483" s="500"/>
      <c r="AG8483" s="500"/>
      <c r="AH8483" s="500"/>
      <c r="AI8483" s="500"/>
      <c r="AJ8483" s="500"/>
      <c r="AK8483" s="500"/>
      <c r="AL8483" s="500"/>
      <c r="AM8483" s="500"/>
      <c r="AN8483" s="500"/>
      <c r="AO8483" s="500"/>
      <c r="AP8483" s="500"/>
    </row>
    <row r="8484" spans="1:42" ht="16.5" customHeight="1">
      <c r="A8484" s="439"/>
      <c r="B8484" s="439"/>
      <c r="C8484" s="504"/>
      <c r="D8484" s="504"/>
      <c r="E8484" s="504"/>
      <c r="F8484" s="504"/>
      <c r="G8484" s="451" t="s">
        <v>3406</v>
      </c>
      <c r="Z8484" s="500"/>
      <c r="AA8484" s="500"/>
      <c r="AB8484" s="500"/>
      <c r="AC8484" s="500"/>
      <c r="AD8484" s="500"/>
      <c r="AE8484" s="500"/>
      <c r="AF8484" s="500"/>
      <c r="AG8484" s="500"/>
      <c r="AH8484" s="500"/>
      <c r="AI8484" s="500"/>
      <c r="AJ8484" s="500"/>
      <c r="AK8484" s="500"/>
      <c r="AL8484" s="500"/>
      <c r="AM8484" s="500"/>
      <c r="AN8484" s="500"/>
      <c r="AO8484" s="500"/>
      <c r="AP8484" s="500"/>
    </row>
    <row r="8485" spans="1:42" ht="16.5" customHeight="1">
      <c r="A8485" s="439"/>
      <c r="B8485" s="439"/>
      <c r="C8485" s="439"/>
      <c r="D8485" s="439"/>
      <c r="E8485" s="439"/>
      <c r="F8485" s="439"/>
      <c r="G8485" s="451" t="s">
        <v>3406</v>
      </c>
      <c r="Z8485" s="500"/>
      <c r="AA8485" s="500"/>
      <c r="AB8485" s="500"/>
      <c r="AC8485" s="500"/>
      <c r="AD8485" s="500"/>
      <c r="AE8485" s="500"/>
      <c r="AF8485" s="500"/>
      <c r="AG8485" s="500"/>
      <c r="AH8485" s="500"/>
      <c r="AI8485" s="500"/>
      <c r="AJ8485" s="500"/>
      <c r="AK8485" s="500"/>
      <c r="AL8485" s="500"/>
      <c r="AM8485" s="500"/>
      <c r="AN8485" s="500"/>
      <c r="AO8485" s="500"/>
      <c r="AP8485" s="500"/>
    </row>
    <row r="8486" spans="1:42" ht="16.5" customHeight="1">
      <c r="A8486" s="434"/>
      <c r="B8486" s="505" t="str">
        <f>" 공구손료 및 잡재료비(노무비의 2%) : "&amp;TEXT(I8486,"#,##0.0")&amp;" * "&amp;AA8486&amp;" %  = "&amp;TEXT(C8486,"#,##0.0")&amp;""</f>
        <v xml:space="preserve"> 공구손료 및 잡재료비(노무비의 2%) : 3,486.1 * 2 %  = 69.7</v>
      </c>
      <c r="C8486" s="506">
        <f>E8486+D8486+F8486</f>
        <v>69.7</v>
      </c>
      <c r="D8486" s="506">
        <f>IF(H8486=0,0,ROUNDDOWN(J8486*H8486/100,1))</f>
        <v>0</v>
      </c>
      <c r="E8486" s="506">
        <f>IF(H8486=0,0,ROUNDDOWN(K8486*H8486/100,1))</f>
        <v>0</v>
      </c>
      <c r="F8486" s="506">
        <f>IF(H8486=0,0,ROUNDDOWN(L8486*H8486/100,1))</f>
        <v>69.7</v>
      </c>
      <c r="G8486" s="451" t="s">
        <v>4377</v>
      </c>
      <c r="H8486" s="507">
        <f>ROUNDUP(AC8486,14-LEN(ABS(INT(AC8486))))</f>
        <v>2</v>
      </c>
      <c r="I8486" s="508">
        <f>K8486+J8486+L8486</f>
        <v>3486.1000000000004</v>
      </c>
      <c r="J8486" s="456">
        <v>0</v>
      </c>
      <c r="K8486" s="456">
        <v>0</v>
      </c>
      <c r="L8486" s="509">
        <f>D8468+D8470</f>
        <v>3486.1000000000004</v>
      </c>
      <c r="M8486" s="501" t="s">
        <v>3743</v>
      </c>
      <c r="N8486" s="501" t="s">
        <v>3416</v>
      </c>
      <c r="Z8486" s="501" t="s">
        <v>3500</v>
      </c>
      <c r="AA8486" s="515">
        <v>2</v>
      </c>
      <c r="AB8486" s="501" t="s">
        <v>3418</v>
      </c>
      <c r="AC8486" s="512">
        <f>1*AA8486</f>
        <v>2</v>
      </c>
      <c r="AD8486" s="500"/>
      <c r="AE8486" s="500"/>
      <c r="AF8486" s="500"/>
      <c r="AG8486" s="500"/>
      <c r="AH8486" s="500"/>
      <c r="AI8486" s="500"/>
      <c r="AJ8486" s="500"/>
      <c r="AK8486" s="500"/>
      <c r="AL8486" s="500"/>
      <c r="AM8486" s="500"/>
      <c r="AN8486" s="500"/>
      <c r="AO8486" s="500"/>
      <c r="AP8486" s="500"/>
    </row>
    <row r="8487" spans="1:42" ht="16.5" customHeight="1">
      <c r="A8487" s="439"/>
      <c r="B8487" s="439"/>
      <c r="C8487" s="439"/>
      <c r="D8487" s="439"/>
      <c r="E8487" s="439"/>
      <c r="F8487" s="439"/>
      <c r="G8487" s="451" t="s">
        <v>3406</v>
      </c>
      <c r="Z8487" s="500"/>
      <c r="AA8487" s="500"/>
      <c r="AB8487" s="500"/>
      <c r="AC8487" s="500"/>
      <c r="AD8487" s="500"/>
      <c r="AE8487" s="500"/>
      <c r="AF8487" s="500"/>
      <c r="AG8487" s="500"/>
      <c r="AH8487" s="500"/>
      <c r="AI8487" s="500"/>
      <c r="AJ8487" s="500"/>
      <c r="AK8487" s="500"/>
      <c r="AL8487" s="500"/>
      <c r="AM8487" s="500"/>
      <c r="AN8487" s="500"/>
      <c r="AO8487" s="500"/>
      <c r="AP8487" s="500"/>
    </row>
    <row r="8488" spans="1:42" ht="16.5" customHeight="1">
      <c r="A8488" s="439"/>
      <c r="B8488" s="439"/>
      <c r="C8488" s="439"/>
      <c r="D8488" s="439"/>
      <c r="E8488" s="439"/>
      <c r="F8488" s="439"/>
      <c r="G8488" s="451" t="s">
        <v>3406</v>
      </c>
      <c r="Z8488" s="500"/>
      <c r="AA8488" s="500"/>
      <c r="AB8488" s="500"/>
      <c r="AC8488" s="500"/>
      <c r="AD8488" s="500"/>
      <c r="AE8488" s="500"/>
      <c r="AF8488" s="500"/>
      <c r="AG8488" s="500"/>
      <c r="AH8488" s="500"/>
      <c r="AI8488" s="500"/>
      <c r="AJ8488" s="500"/>
      <c r="AK8488" s="500"/>
      <c r="AL8488" s="500"/>
      <c r="AM8488" s="500"/>
      <c r="AN8488" s="500"/>
      <c r="AO8488" s="500"/>
      <c r="AP8488" s="500"/>
    </row>
    <row r="8489" spans="1:42" ht="16.5" customHeight="1">
      <c r="A8489" s="434"/>
      <c r="B8489" s="437" t="s">
        <v>3419</v>
      </c>
      <c r="C8489" s="513">
        <f>E8489+D8489+F8489</f>
        <v>69.7</v>
      </c>
      <c r="D8489" s="513">
        <f>SUMIF(N8484:N8488,M8489,D8484:D8488)</f>
        <v>0</v>
      </c>
      <c r="E8489" s="513">
        <f>SUMIF(N8484:N8488,M8489,E8484:E8488)</f>
        <v>0</v>
      </c>
      <c r="F8489" s="513">
        <f>SUMIF(N8484:N8488,M8489,F8484:F8488)</f>
        <v>69.7</v>
      </c>
      <c r="G8489" s="451" t="s">
        <v>3420</v>
      </c>
      <c r="M8489" s="501" t="s">
        <v>3416</v>
      </c>
      <c r="N8489" s="501" t="s">
        <v>3421</v>
      </c>
      <c r="Z8489" s="500"/>
      <c r="AA8489" s="500"/>
      <c r="AB8489" s="500"/>
      <c r="AC8489" s="500"/>
      <c r="AD8489" s="500"/>
      <c r="AE8489" s="500"/>
      <c r="AF8489" s="500"/>
      <c r="AG8489" s="500"/>
      <c r="AH8489" s="500"/>
      <c r="AI8489" s="500"/>
      <c r="AJ8489" s="500"/>
      <c r="AK8489" s="500"/>
      <c r="AL8489" s="500"/>
      <c r="AM8489" s="500"/>
      <c r="AN8489" s="500"/>
      <c r="AO8489" s="500"/>
      <c r="AP8489" s="500"/>
    </row>
    <row r="8490" spans="1:42" ht="16.5" customHeight="1">
      <c r="A8490" s="439"/>
      <c r="B8490" s="439"/>
      <c r="C8490" s="504"/>
      <c r="D8490" s="504"/>
      <c r="E8490" s="504"/>
      <c r="F8490" s="504"/>
      <c r="G8490" s="451" t="s">
        <v>3406</v>
      </c>
      <c r="Z8490" s="500"/>
      <c r="AA8490" s="500"/>
      <c r="AB8490" s="500"/>
      <c r="AC8490" s="500"/>
      <c r="AD8490" s="500"/>
      <c r="AE8490" s="500"/>
      <c r="AF8490" s="500"/>
      <c r="AG8490" s="500"/>
      <c r="AH8490" s="500"/>
      <c r="AI8490" s="500"/>
      <c r="AJ8490" s="500"/>
      <c r="AK8490" s="500"/>
      <c r="AL8490" s="500"/>
      <c r="AM8490" s="500"/>
      <c r="AN8490" s="500"/>
      <c r="AO8490" s="500"/>
      <c r="AP8490" s="500"/>
    </row>
    <row r="8491" spans="1:42" ht="16.5" customHeight="1">
      <c r="A8491" s="439"/>
      <c r="B8491" s="439"/>
      <c r="C8491" s="439"/>
      <c r="D8491" s="439"/>
      <c r="E8491" s="439"/>
      <c r="F8491" s="439"/>
      <c r="G8491" s="451" t="s">
        <v>3406</v>
      </c>
      <c r="Z8491" s="500"/>
      <c r="AA8491" s="500"/>
      <c r="AB8491" s="500"/>
      <c r="AC8491" s="500"/>
      <c r="AD8491" s="500"/>
      <c r="AE8491" s="500"/>
      <c r="AF8491" s="500"/>
      <c r="AG8491" s="500"/>
      <c r="AH8491" s="500"/>
      <c r="AI8491" s="500"/>
      <c r="AJ8491" s="500"/>
      <c r="AK8491" s="500"/>
      <c r="AL8491" s="500"/>
      <c r="AM8491" s="500"/>
      <c r="AN8491" s="500"/>
      <c r="AO8491" s="500"/>
      <c r="AP8491" s="500"/>
    </row>
    <row r="8492" spans="1:42" ht="16.5" customHeight="1">
      <c r="A8492" s="439"/>
      <c r="B8492" s="439"/>
      <c r="C8492" s="439"/>
      <c r="D8492" s="439"/>
      <c r="E8492" s="439"/>
      <c r="F8492" s="439"/>
      <c r="G8492" s="451" t="s">
        <v>3406</v>
      </c>
      <c r="Z8492" s="500"/>
      <c r="AA8492" s="500"/>
      <c r="AB8492" s="500"/>
      <c r="AC8492" s="500"/>
      <c r="AD8492" s="500"/>
      <c r="AE8492" s="500"/>
      <c r="AF8492" s="500"/>
      <c r="AG8492" s="500"/>
      <c r="AH8492" s="500"/>
      <c r="AI8492" s="500"/>
      <c r="AJ8492" s="500"/>
      <c r="AK8492" s="500"/>
      <c r="AL8492" s="500"/>
      <c r="AM8492" s="500"/>
      <c r="AN8492" s="500"/>
      <c r="AO8492" s="500"/>
      <c r="AP8492" s="500"/>
    </row>
    <row r="8493" spans="1:42" ht="16.5" customHeight="1">
      <c r="A8493" s="434"/>
      <c r="B8493" s="437" t="s">
        <v>3440</v>
      </c>
      <c r="C8493" s="513">
        <f>E8493+D8493+F8493</f>
        <v>5057.9000000000005</v>
      </c>
      <c r="D8493" s="513">
        <f>SUMIF(N8457:N8492,M8493,D8457:D8492)</f>
        <v>4564.6000000000004</v>
      </c>
      <c r="E8493" s="513">
        <f>SUMIF(N8457:N8492,M8493,E8457:E8492)</f>
        <v>182.8</v>
      </c>
      <c r="F8493" s="513">
        <f>SUMIF(N8457:N8492,M8493,F8457:F8492)</f>
        <v>310.5</v>
      </c>
      <c r="G8493" s="451" t="s">
        <v>3484</v>
      </c>
      <c r="M8493" s="501" t="s">
        <v>3421</v>
      </c>
      <c r="N8493" s="501" t="s">
        <v>2354</v>
      </c>
      <c r="Z8493" s="500"/>
      <c r="AA8493" s="500"/>
      <c r="AB8493" s="500"/>
      <c r="AC8493" s="500"/>
      <c r="AD8493" s="500"/>
      <c r="AE8493" s="500"/>
      <c r="AF8493" s="500"/>
      <c r="AG8493" s="500"/>
      <c r="AH8493" s="500"/>
      <c r="AI8493" s="500"/>
      <c r="AJ8493" s="500"/>
      <c r="AK8493" s="500"/>
      <c r="AL8493" s="500"/>
      <c r="AM8493" s="500"/>
      <c r="AN8493" s="500"/>
      <c r="AO8493" s="500"/>
      <c r="AP8493" s="500"/>
    </row>
    <row r="8494" spans="1:42" ht="16.5" customHeight="1">
      <c r="A8494" s="439"/>
      <c r="B8494" s="439"/>
      <c r="C8494" s="504"/>
      <c r="D8494" s="504"/>
      <c r="E8494" s="504"/>
      <c r="F8494" s="504"/>
      <c r="Z8494" s="500"/>
      <c r="AA8494" s="500"/>
      <c r="AB8494" s="500"/>
      <c r="AC8494" s="500"/>
      <c r="AD8494" s="500"/>
      <c r="AE8494" s="500"/>
      <c r="AF8494" s="500"/>
      <c r="AG8494" s="500"/>
      <c r="AH8494" s="500"/>
      <c r="AI8494" s="500"/>
      <c r="AJ8494" s="500"/>
      <c r="AK8494" s="500"/>
      <c r="AL8494" s="500"/>
      <c r="AM8494" s="500"/>
      <c r="AN8494" s="500"/>
      <c r="AO8494" s="500"/>
      <c r="AP8494" s="500"/>
    </row>
    <row r="8495" spans="1:42" ht="16.5" customHeight="1">
      <c r="A8495" s="439"/>
      <c r="B8495" s="439"/>
      <c r="C8495" s="439"/>
      <c r="D8495" s="439"/>
      <c r="E8495" s="439"/>
      <c r="F8495" s="439"/>
      <c r="Z8495" s="500"/>
      <c r="AA8495" s="500"/>
      <c r="AB8495" s="500"/>
      <c r="AC8495" s="500"/>
      <c r="AD8495" s="500"/>
      <c r="AE8495" s="500"/>
      <c r="AF8495" s="500"/>
      <c r="AG8495" s="500"/>
      <c r="AH8495" s="500"/>
      <c r="AI8495" s="500"/>
      <c r="AJ8495" s="500"/>
      <c r="AK8495" s="500"/>
      <c r="AL8495" s="500"/>
      <c r="AM8495" s="500"/>
      <c r="AN8495" s="500"/>
      <c r="AO8495" s="500"/>
      <c r="AP8495" s="500"/>
    </row>
    <row r="8496" spans="1:42" ht="16.5" customHeight="1">
      <c r="A8496" s="439"/>
      <c r="B8496" s="439"/>
      <c r="C8496" s="439"/>
      <c r="D8496" s="439"/>
      <c r="E8496" s="439"/>
      <c r="F8496" s="439"/>
      <c r="Z8496" s="500"/>
      <c r="AA8496" s="500"/>
      <c r="AB8496" s="500"/>
      <c r="AC8496" s="500"/>
      <c r="AD8496" s="500"/>
      <c r="AE8496" s="500"/>
      <c r="AF8496" s="500"/>
      <c r="AG8496" s="500"/>
      <c r="AH8496" s="500"/>
      <c r="AI8496" s="500"/>
      <c r="AJ8496" s="500"/>
      <c r="AK8496" s="500"/>
      <c r="AL8496" s="500"/>
      <c r="AM8496" s="500"/>
      <c r="AN8496" s="500"/>
      <c r="AO8496" s="500"/>
      <c r="AP8496" s="500"/>
    </row>
    <row r="8497" spans="1:42" ht="16.5" customHeight="1">
      <c r="A8497" s="439"/>
      <c r="B8497" s="439"/>
      <c r="C8497" s="439"/>
      <c r="D8497" s="439"/>
      <c r="E8497" s="439"/>
      <c r="F8497" s="439"/>
      <c r="Z8497" s="500"/>
      <c r="AA8497" s="500"/>
      <c r="AB8497" s="500"/>
      <c r="AC8497" s="500"/>
      <c r="AD8497" s="500"/>
      <c r="AE8497" s="500"/>
      <c r="AF8497" s="500"/>
      <c r="AG8497" s="500"/>
      <c r="AH8497" s="500"/>
      <c r="AI8497" s="500"/>
      <c r="AJ8497" s="500"/>
      <c r="AK8497" s="500"/>
      <c r="AL8497" s="500"/>
      <c r="AM8497" s="500"/>
      <c r="AN8497" s="500"/>
      <c r="AO8497" s="500"/>
      <c r="AP8497" s="500"/>
    </row>
    <row r="8498" spans="1:42" ht="16.5" customHeight="1">
      <c r="A8498" s="439"/>
      <c r="B8498" s="439"/>
      <c r="C8498" s="439"/>
      <c r="D8498" s="439"/>
      <c r="E8498" s="439"/>
      <c r="F8498" s="439"/>
      <c r="Z8498" s="500"/>
      <c r="AA8498" s="500"/>
      <c r="AB8498" s="500"/>
      <c r="AC8498" s="500"/>
      <c r="AD8498" s="500"/>
      <c r="AE8498" s="500"/>
      <c r="AF8498" s="500"/>
      <c r="AG8498" s="500"/>
      <c r="AH8498" s="500"/>
      <c r="AI8498" s="500"/>
      <c r="AJ8498" s="500"/>
      <c r="AK8498" s="500"/>
      <c r="AL8498" s="500"/>
      <c r="AM8498" s="500"/>
      <c r="AN8498" s="500"/>
      <c r="AO8498" s="500"/>
      <c r="AP8498" s="500"/>
    </row>
    <row r="8499" spans="1:42" ht="16.5" customHeight="1">
      <c r="A8499" s="439"/>
      <c r="B8499" s="439"/>
      <c r="C8499" s="439"/>
      <c r="D8499" s="439"/>
      <c r="E8499" s="439"/>
      <c r="F8499" s="439"/>
      <c r="Z8499" s="500"/>
      <c r="AA8499" s="500"/>
      <c r="AB8499" s="500"/>
      <c r="AC8499" s="500"/>
      <c r="AD8499" s="500"/>
      <c r="AE8499" s="500"/>
      <c r="AF8499" s="500"/>
      <c r="AG8499" s="500"/>
      <c r="AH8499" s="500"/>
      <c r="AI8499" s="500"/>
      <c r="AJ8499" s="500"/>
      <c r="AK8499" s="500"/>
      <c r="AL8499" s="500"/>
      <c r="AM8499" s="500"/>
      <c r="AN8499" s="500"/>
      <c r="AO8499" s="500"/>
      <c r="AP8499" s="500"/>
    </row>
    <row r="8500" spans="1:42" ht="16.5" customHeight="1">
      <c r="A8500" s="439"/>
      <c r="B8500" s="439"/>
      <c r="C8500" s="439"/>
      <c r="D8500" s="439"/>
      <c r="E8500" s="439"/>
      <c r="F8500" s="439"/>
      <c r="Z8500" s="500"/>
      <c r="AA8500" s="500"/>
      <c r="AB8500" s="500"/>
      <c r="AC8500" s="500"/>
      <c r="AD8500" s="500"/>
      <c r="AE8500" s="500"/>
      <c r="AF8500" s="500"/>
      <c r="AG8500" s="500"/>
      <c r="AH8500" s="500"/>
      <c r="AI8500" s="500"/>
      <c r="AJ8500" s="500"/>
      <c r="AK8500" s="500"/>
      <c r="AL8500" s="500"/>
      <c r="AM8500" s="500"/>
      <c r="AN8500" s="500"/>
      <c r="AO8500" s="500"/>
      <c r="AP8500" s="500"/>
    </row>
    <row r="8501" spans="1:42" ht="16.5" customHeight="1">
      <c r="A8501" s="439"/>
      <c r="B8501" s="439"/>
      <c r="C8501" s="439"/>
      <c r="D8501" s="439"/>
      <c r="E8501" s="439"/>
      <c r="F8501" s="439"/>
      <c r="Z8501" s="500"/>
      <c r="AA8501" s="500"/>
      <c r="AB8501" s="500"/>
      <c r="AC8501" s="500"/>
      <c r="AD8501" s="500"/>
      <c r="AE8501" s="500"/>
      <c r="AF8501" s="500"/>
      <c r="AG8501" s="500"/>
      <c r="AH8501" s="500"/>
      <c r="AI8501" s="500"/>
      <c r="AJ8501" s="500"/>
      <c r="AK8501" s="500"/>
      <c r="AL8501" s="500"/>
      <c r="AM8501" s="500"/>
      <c r="AN8501" s="500"/>
      <c r="AO8501" s="500"/>
      <c r="AP8501" s="500"/>
    </row>
    <row r="8502" spans="1:42" ht="16.5" customHeight="1">
      <c r="A8502" s="439"/>
      <c r="B8502" s="439"/>
      <c r="C8502" s="439"/>
      <c r="D8502" s="439"/>
      <c r="E8502" s="439"/>
      <c r="F8502" s="439"/>
      <c r="Z8502" s="500"/>
      <c r="AA8502" s="500"/>
      <c r="AB8502" s="500"/>
      <c r="AC8502" s="500"/>
      <c r="AD8502" s="500"/>
      <c r="AE8502" s="500"/>
      <c r="AF8502" s="500"/>
      <c r="AG8502" s="500"/>
      <c r="AH8502" s="500"/>
      <c r="AI8502" s="500"/>
      <c r="AJ8502" s="500"/>
      <c r="AK8502" s="500"/>
      <c r="AL8502" s="500"/>
      <c r="AM8502" s="500"/>
      <c r="AN8502" s="500"/>
      <c r="AO8502" s="500"/>
      <c r="AP8502" s="500"/>
    </row>
    <row r="8503" spans="1:42" ht="16.5" customHeight="1">
      <c r="A8503" s="497"/>
      <c r="B8503" s="497"/>
      <c r="C8503" s="497"/>
      <c r="D8503" s="497"/>
      <c r="E8503" s="497"/>
      <c r="F8503" s="497"/>
      <c r="Z8503" s="500"/>
      <c r="AA8503" s="500"/>
      <c r="AB8503" s="500"/>
      <c r="AC8503" s="500"/>
      <c r="AD8503" s="500"/>
      <c r="AE8503" s="500"/>
      <c r="AF8503" s="500"/>
      <c r="AG8503" s="500"/>
      <c r="AH8503" s="500"/>
      <c r="AI8503" s="500"/>
      <c r="AJ8503" s="500"/>
      <c r="AK8503" s="500"/>
      <c r="AL8503" s="500"/>
      <c r="AM8503" s="500"/>
      <c r="AN8503" s="500"/>
      <c r="AO8503" s="500"/>
      <c r="AP8503" s="500"/>
    </row>
    <row r="8504" spans="1:42" ht="16.5" customHeight="1">
      <c r="A8504" s="616" t="s">
        <v>3487</v>
      </c>
      <c r="B8504" s="605"/>
      <c r="C8504" s="446">
        <f>E8504+D8504+F8504</f>
        <v>5056</v>
      </c>
      <c r="D8504" s="453">
        <f>ROUNDDOWN(SUMIF(N8457:N8493,M8504,D8457:D8493),0)</f>
        <v>4564</v>
      </c>
      <c r="E8504" s="454">
        <f>ROUNDDOWN(SUMIF(N8457:N8493,M8504,E8457:E8493),0)</f>
        <v>182</v>
      </c>
      <c r="F8504" s="446">
        <f>ROUNDDOWN(SUMIF(N8457:N8493,M8504,F8457:F8493),0)</f>
        <v>310</v>
      </c>
      <c r="M8504" s="501" t="s">
        <v>2354</v>
      </c>
      <c r="Z8504" s="500"/>
      <c r="AA8504" s="500"/>
      <c r="AB8504" s="500"/>
      <c r="AC8504" s="500"/>
      <c r="AD8504" s="500"/>
      <c r="AE8504" s="500"/>
      <c r="AF8504" s="500"/>
      <c r="AG8504" s="500"/>
      <c r="AH8504" s="500"/>
      <c r="AI8504" s="500"/>
      <c r="AJ8504" s="500"/>
      <c r="AK8504" s="500"/>
      <c r="AL8504" s="500"/>
      <c r="AM8504" s="500"/>
      <c r="AN8504" s="500"/>
      <c r="AO8504" s="500"/>
      <c r="AP8504" s="500"/>
    </row>
    <row r="8505" spans="1:42" ht="16.5" customHeight="1">
      <c r="A8505" s="502" t="s">
        <v>3390</v>
      </c>
      <c r="B8505" s="503" t="s">
        <v>3391</v>
      </c>
      <c r="C8505" s="615">
        <f>C8554</f>
        <v>12239</v>
      </c>
      <c r="D8505" s="615">
        <f>D8554</f>
        <v>11393</v>
      </c>
      <c r="E8505" s="615">
        <f>E8554</f>
        <v>281</v>
      </c>
      <c r="F8505" s="615">
        <f>F8554</f>
        <v>565</v>
      </c>
      <c r="G8505" s="486" t="str">
        <f>HYPERLINK("#G"&amp;ROW(G8543),"_x0005_`BDCOD|D01271_x0007_`POSS|"&amp;ROW(G8507)&amp;"_x0007_`POSE|"&amp;ROW(G8543)&amp;"_x0007_`")</f>
        <v>_x0005_`BDCOD|D01271_x0007_`POSS|8507_x0007_`POSE|8543_x0007_`</v>
      </c>
      <c r="Z8505" s="500"/>
      <c r="AA8505" s="500"/>
      <c r="AB8505" s="500"/>
      <c r="AC8505" s="500"/>
      <c r="AD8505" s="500"/>
      <c r="AE8505" s="500"/>
      <c r="AF8505" s="500"/>
      <c r="AG8505" s="500"/>
      <c r="AH8505" s="500"/>
      <c r="AI8505" s="500"/>
      <c r="AJ8505" s="500"/>
      <c r="AK8505" s="500"/>
      <c r="AL8505" s="500"/>
      <c r="AM8505" s="500"/>
      <c r="AN8505" s="500"/>
      <c r="AO8505" s="500"/>
      <c r="AP8505" s="500"/>
    </row>
    <row r="8506" spans="1:42" ht="16.5" customHeight="1">
      <c r="A8506" s="485"/>
      <c r="B8506" s="503" t="s">
        <v>4378</v>
      </c>
      <c r="C8506" s="593"/>
      <c r="D8506" s="593"/>
      <c r="E8506" s="593"/>
      <c r="F8506" s="593"/>
      <c r="M8506" s="501" t="s">
        <v>3391</v>
      </c>
      <c r="Z8506" s="500"/>
      <c r="AA8506" s="500"/>
      <c r="AB8506" s="500"/>
      <c r="AC8506" s="500"/>
      <c r="AD8506" s="500"/>
      <c r="AE8506" s="500"/>
      <c r="AF8506" s="500"/>
      <c r="AG8506" s="500"/>
      <c r="AH8506" s="500"/>
      <c r="AI8506" s="500"/>
      <c r="AJ8506" s="500"/>
      <c r="AK8506" s="500"/>
      <c r="AL8506" s="500"/>
      <c r="AM8506" s="500"/>
      <c r="AN8506" s="500"/>
      <c r="AO8506" s="500"/>
      <c r="AP8506" s="500"/>
    </row>
    <row r="8507" spans="1:42" ht="16.5" customHeight="1">
      <c r="A8507" s="439"/>
      <c r="B8507" s="439"/>
      <c r="C8507" s="504"/>
      <c r="D8507" s="504"/>
      <c r="E8507" s="504"/>
      <c r="F8507" s="504"/>
      <c r="G8507" s="451" t="s">
        <v>3406</v>
      </c>
      <c r="Z8507" s="500"/>
      <c r="AA8507" s="500"/>
      <c r="AB8507" s="500"/>
      <c r="AC8507" s="500"/>
      <c r="AD8507" s="500"/>
      <c r="AE8507" s="500"/>
      <c r="AF8507" s="500"/>
      <c r="AG8507" s="500"/>
      <c r="AH8507" s="500"/>
      <c r="AI8507" s="500"/>
      <c r="AJ8507" s="500"/>
      <c r="AK8507" s="500"/>
      <c r="AL8507" s="500"/>
      <c r="AM8507" s="500"/>
      <c r="AN8507" s="500"/>
      <c r="AO8507" s="500"/>
      <c r="AP8507" s="500"/>
    </row>
    <row r="8508" spans="1:42" ht="16.5" customHeight="1">
      <c r="A8508" s="434"/>
      <c r="B8508" s="437" t="s">
        <v>4379</v>
      </c>
      <c r="C8508" s="439"/>
      <c r="D8508" s="439"/>
      <c r="E8508" s="439"/>
      <c r="F8508" s="439"/>
      <c r="G8508" s="451" t="s">
        <v>4380</v>
      </c>
      <c r="Z8508" s="500"/>
      <c r="AA8508" s="500"/>
      <c r="AB8508" s="500"/>
      <c r="AC8508" s="500"/>
      <c r="AD8508" s="500"/>
      <c r="AE8508" s="500"/>
      <c r="AF8508" s="500"/>
      <c r="AG8508" s="500"/>
      <c r="AH8508" s="500"/>
      <c r="AI8508" s="500"/>
      <c r="AJ8508" s="500"/>
      <c r="AK8508" s="500"/>
      <c r="AL8508" s="500"/>
      <c r="AM8508" s="500"/>
      <c r="AN8508" s="500"/>
      <c r="AO8508" s="500"/>
      <c r="AP8508" s="500"/>
    </row>
    <row r="8509" spans="1:42" ht="16.5" customHeight="1">
      <c r="A8509" s="439"/>
      <c r="B8509" s="439"/>
      <c r="C8509" s="439"/>
      <c r="D8509" s="439"/>
      <c r="E8509" s="439"/>
      <c r="F8509" s="439"/>
      <c r="G8509" s="451" t="s">
        <v>3406</v>
      </c>
      <c r="Z8509" s="500"/>
      <c r="AA8509" s="500"/>
      <c r="AB8509" s="500"/>
      <c r="AC8509" s="500"/>
      <c r="AD8509" s="500"/>
      <c r="AE8509" s="500"/>
      <c r="AF8509" s="500"/>
      <c r="AG8509" s="500"/>
      <c r="AH8509" s="500"/>
      <c r="AI8509" s="500"/>
      <c r="AJ8509" s="500"/>
      <c r="AK8509" s="500"/>
      <c r="AL8509" s="500"/>
      <c r="AM8509" s="500"/>
      <c r="AN8509" s="500"/>
      <c r="AO8509" s="500"/>
      <c r="AP8509" s="500"/>
    </row>
    <row r="8510" spans="1:42" ht="16.5" customHeight="1">
      <c r="A8510" s="434"/>
      <c r="B8510" s="437" t="s">
        <v>4360</v>
      </c>
      <c r="C8510" s="439"/>
      <c r="D8510" s="439"/>
      <c r="E8510" s="439"/>
      <c r="F8510" s="439"/>
      <c r="G8510" s="451" t="s">
        <v>4361</v>
      </c>
      <c r="Z8510" s="500"/>
      <c r="AA8510" s="500"/>
      <c r="AB8510" s="500"/>
      <c r="AC8510" s="500"/>
      <c r="AD8510" s="500"/>
      <c r="AE8510" s="500"/>
      <c r="AF8510" s="500"/>
      <c r="AG8510" s="500"/>
      <c r="AH8510" s="500"/>
      <c r="AI8510" s="500"/>
      <c r="AJ8510" s="500"/>
      <c r="AK8510" s="500"/>
      <c r="AL8510" s="500"/>
      <c r="AM8510" s="500"/>
      <c r="AN8510" s="500"/>
      <c r="AO8510" s="500"/>
      <c r="AP8510" s="500"/>
    </row>
    <row r="8511" spans="1:42" ht="16.5" customHeight="1">
      <c r="A8511" s="439"/>
      <c r="B8511" s="439"/>
      <c r="C8511" s="439"/>
      <c r="D8511" s="439"/>
      <c r="E8511" s="439"/>
      <c r="F8511" s="439"/>
      <c r="G8511" s="451" t="s">
        <v>3406</v>
      </c>
      <c r="Z8511" s="500"/>
      <c r="AA8511" s="500"/>
      <c r="AB8511" s="500"/>
      <c r="AC8511" s="500"/>
      <c r="AD8511" s="500"/>
      <c r="AE8511" s="500"/>
      <c r="AF8511" s="500"/>
      <c r="AG8511" s="500"/>
      <c r="AH8511" s="500"/>
      <c r="AI8511" s="500"/>
      <c r="AJ8511" s="500"/>
      <c r="AK8511" s="500"/>
      <c r="AL8511" s="500"/>
      <c r="AM8511" s="500"/>
      <c r="AN8511" s="500"/>
      <c r="AO8511" s="500"/>
      <c r="AP8511" s="500"/>
    </row>
    <row r="8512" spans="1:42" ht="16.5" customHeight="1">
      <c r="A8512" s="434"/>
      <c r="B8512" s="437" t="s">
        <v>4381</v>
      </c>
      <c r="C8512" s="439"/>
      <c r="D8512" s="439"/>
      <c r="E8512" s="439"/>
      <c r="F8512" s="439"/>
      <c r="G8512" s="451" t="s">
        <v>4382</v>
      </c>
      <c r="Z8512" s="500"/>
      <c r="AA8512" s="500"/>
      <c r="AB8512" s="500"/>
      <c r="AC8512" s="500"/>
      <c r="AD8512" s="500"/>
      <c r="AE8512" s="500"/>
      <c r="AF8512" s="500"/>
      <c r="AG8512" s="500"/>
      <c r="AH8512" s="500"/>
      <c r="AI8512" s="500"/>
      <c r="AJ8512" s="500"/>
      <c r="AK8512" s="500"/>
      <c r="AL8512" s="500"/>
      <c r="AM8512" s="500"/>
      <c r="AN8512" s="500"/>
      <c r="AO8512" s="500"/>
      <c r="AP8512" s="500"/>
    </row>
    <row r="8513" spans="1:42" ht="16.5" customHeight="1">
      <c r="A8513" s="439"/>
      <c r="B8513" s="439"/>
      <c r="C8513" s="439"/>
      <c r="D8513" s="439"/>
      <c r="E8513" s="439"/>
      <c r="F8513" s="439"/>
      <c r="G8513" s="451" t="s">
        <v>3406</v>
      </c>
      <c r="Z8513" s="500"/>
      <c r="AA8513" s="500"/>
      <c r="AB8513" s="500"/>
      <c r="AC8513" s="500"/>
      <c r="AD8513" s="500"/>
      <c r="AE8513" s="500"/>
      <c r="AF8513" s="500"/>
      <c r="AG8513" s="500"/>
      <c r="AH8513" s="500"/>
      <c r="AI8513" s="500"/>
      <c r="AJ8513" s="500"/>
      <c r="AK8513" s="500"/>
      <c r="AL8513" s="500"/>
      <c r="AM8513" s="500"/>
      <c r="AN8513" s="500"/>
      <c r="AO8513" s="500"/>
      <c r="AP8513" s="500"/>
    </row>
    <row r="8514" spans="1:42" ht="16.5" customHeight="1">
      <c r="A8514" s="439"/>
      <c r="B8514" s="439"/>
      <c r="C8514" s="439"/>
      <c r="D8514" s="439"/>
      <c r="E8514" s="439"/>
      <c r="F8514" s="439"/>
      <c r="G8514" s="451" t="s">
        <v>3406</v>
      </c>
      <c r="Z8514" s="500"/>
      <c r="AA8514" s="500"/>
      <c r="AB8514" s="500"/>
      <c r="AC8514" s="500"/>
      <c r="AD8514" s="500"/>
      <c r="AE8514" s="500"/>
      <c r="AF8514" s="500"/>
      <c r="AG8514" s="500"/>
      <c r="AH8514" s="500"/>
      <c r="AI8514" s="500"/>
      <c r="AJ8514" s="500"/>
      <c r="AK8514" s="500"/>
      <c r="AL8514" s="500"/>
      <c r="AM8514" s="500"/>
      <c r="AN8514" s="500"/>
      <c r="AO8514" s="500"/>
      <c r="AP8514" s="500"/>
    </row>
    <row r="8515" spans="1:42" ht="16.5" customHeight="1">
      <c r="A8515" s="439"/>
      <c r="B8515" s="439"/>
      <c r="C8515" s="439"/>
      <c r="D8515" s="439"/>
      <c r="E8515" s="439"/>
      <c r="F8515" s="439"/>
      <c r="G8515" s="451" t="s">
        <v>3406</v>
      </c>
      <c r="Z8515" s="500"/>
      <c r="AA8515" s="500"/>
      <c r="AB8515" s="500"/>
      <c r="AC8515" s="500"/>
      <c r="AD8515" s="500"/>
      <c r="AE8515" s="500"/>
      <c r="AF8515" s="500"/>
      <c r="AG8515" s="500"/>
      <c r="AH8515" s="500"/>
      <c r="AI8515" s="500"/>
      <c r="AJ8515" s="500"/>
      <c r="AK8515" s="500"/>
      <c r="AL8515" s="500"/>
      <c r="AM8515" s="500"/>
      <c r="AN8515" s="500"/>
      <c r="AO8515" s="500"/>
      <c r="AP8515" s="500"/>
    </row>
    <row r="8516" spans="1:42" ht="16.5" customHeight="1">
      <c r="A8516" s="434"/>
      <c r="B8516" s="437" t="s">
        <v>3496</v>
      </c>
      <c r="C8516" s="439"/>
      <c r="D8516" s="439"/>
      <c r="E8516" s="439"/>
      <c r="F8516" s="439"/>
      <c r="G8516" s="451" t="s">
        <v>3497</v>
      </c>
      <c r="Z8516" s="500"/>
      <c r="AA8516" s="500"/>
      <c r="AB8516" s="500"/>
      <c r="AC8516" s="500"/>
      <c r="AD8516" s="500"/>
      <c r="AE8516" s="500"/>
      <c r="AF8516" s="500"/>
      <c r="AG8516" s="500"/>
      <c r="AH8516" s="500"/>
      <c r="AI8516" s="500"/>
      <c r="AJ8516" s="500"/>
      <c r="AK8516" s="500"/>
      <c r="AL8516" s="500"/>
      <c r="AM8516" s="500"/>
      <c r="AN8516" s="500"/>
      <c r="AO8516" s="500"/>
      <c r="AP8516" s="500"/>
    </row>
    <row r="8517" spans="1:42" ht="16.5" customHeight="1">
      <c r="A8517" s="439"/>
      <c r="B8517" s="439"/>
      <c r="C8517" s="439"/>
      <c r="D8517" s="439"/>
      <c r="E8517" s="439"/>
      <c r="F8517" s="439"/>
      <c r="G8517" s="451" t="s">
        <v>3406</v>
      </c>
      <c r="Z8517" s="500"/>
      <c r="AA8517" s="500"/>
      <c r="AB8517" s="500"/>
      <c r="AC8517" s="500"/>
      <c r="AD8517" s="500"/>
      <c r="AE8517" s="500"/>
      <c r="AF8517" s="500"/>
      <c r="AG8517" s="500"/>
      <c r="AH8517" s="500"/>
      <c r="AI8517" s="500"/>
      <c r="AJ8517" s="500"/>
      <c r="AK8517" s="500"/>
      <c r="AL8517" s="500"/>
      <c r="AM8517" s="500"/>
      <c r="AN8517" s="500"/>
      <c r="AO8517" s="500"/>
      <c r="AP8517" s="500"/>
    </row>
    <row r="8518" spans="1:42" ht="16.5" customHeight="1">
      <c r="A8518" s="434" t="s">
        <v>4364</v>
      </c>
      <c r="B8518" s="505" t="str">
        <f>" 배관공(수도) : "&amp;TEXT(I8518,"#,##0"&amp;IF(I8518&lt;&gt;INT(I8518),".###",""))&amp;" * "&amp;AA8518&amp;" 인  / "&amp;AC8518&amp;" = "&amp;TEXT(C8518,"#,##0.0")&amp;""</f>
        <v xml:space="preserve"> 배관공(수도) : 262,580 * 0.17 인  / 6 = 7,439.7</v>
      </c>
      <c r="C8518" s="506">
        <f>E8518+D8518+F8518</f>
        <v>7439.7</v>
      </c>
      <c r="D8518" s="506">
        <f>IF(H8518=0,0,ROUNDDOWN(J8518*H8518,1))</f>
        <v>7439.7</v>
      </c>
      <c r="E8518" s="506">
        <f>IF(H8518=0,0,ROUNDDOWN(K8518*H8518,1))</f>
        <v>0</v>
      </c>
      <c r="F8518" s="506">
        <f>IF(H8518=0,0,ROUNDDOWN(L8518*H8518,1))</f>
        <v>0</v>
      </c>
      <c r="G8518" s="451" t="s">
        <v>4383</v>
      </c>
      <c r="H8518" s="507">
        <f>ROUNDUP(AE8518,14-LEN(ABS(INT(AE8518))))</f>
        <v>2.8333333333400001E-2</v>
      </c>
      <c r="I8518" s="508">
        <f>K8518+J8518+L8518</f>
        <v>262580</v>
      </c>
      <c r="J8518" s="509">
        <f>노무비목록표!E8</f>
        <v>262580</v>
      </c>
      <c r="M8518" s="501" t="s">
        <v>4366</v>
      </c>
      <c r="N8518" s="501" t="s">
        <v>3416</v>
      </c>
      <c r="O8518" s="501" t="s">
        <v>2355</v>
      </c>
      <c r="X8518" s="510" t="str">
        <f>노무비목록표!B8&amp;" / "&amp;노무비목록표!C8</f>
        <v xml:space="preserve">배관공(수도) / </v>
      </c>
      <c r="Y8518" s="433" t="str">
        <f ca="1">HYPERLINK("#"&amp;노무비목록표!G2&amp;"!A"&amp;ROW(노무비목록표!A8),"L00208 →")</f>
        <v>L00208 →</v>
      </c>
      <c r="Z8518" s="501" t="s">
        <v>3500</v>
      </c>
      <c r="AA8518" s="511">
        <v>0.17</v>
      </c>
      <c r="AB8518" s="501" t="s">
        <v>3428</v>
      </c>
      <c r="AC8518" s="515">
        <v>6</v>
      </c>
      <c r="AD8518" s="501" t="s">
        <v>3418</v>
      </c>
      <c r="AE8518" s="512">
        <f>1*AA8518/AC8518</f>
        <v>2.8333333333333335E-2</v>
      </c>
      <c r="AF8518" s="500"/>
      <c r="AG8518" s="500"/>
      <c r="AH8518" s="500"/>
      <c r="AI8518" s="500"/>
      <c r="AJ8518" s="500"/>
      <c r="AK8518" s="500"/>
      <c r="AL8518" s="500"/>
      <c r="AM8518" s="500"/>
      <c r="AN8518" s="500"/>
      <c r="AO8518" s="500"/>
      <c r="AP8518" s="500"/>
    </row>
    <row r="8519" spans="1:42" ht="16.5" customHeight="1">
      <c r="A8519" s="439"/>
      <c r="B8519" s="439"/>
      <c r="C8519" s="439"/>
      <c r="D8519" s="439"/>
      <c r="E8519" s="439"/>
      <c r="F8519" s="439"/>
      <c r="G8519" s="451" t="s">
        <v>3406</v>
      </c>
      <c r="Z8519" s="500"/>
      <c r="AA8519" s="500"/>
      <c r="AB8519" s="500"/>
      <c r="AC8519" s="500"/>
      <c r="AD8519" s="500"/>
      <c r="AE8519" s="500"/>
      <c r="AF8519" s="500"/>
      <c r="AG8519" s="500"/>
      <c r="AH8519" s="500"/>
      <c r="AI8519" s="500"/>
      <c r="AJ8519" s="500"/>
      <c r="AK8519" s="500"/>
      <c r="AL8519" s="500"/>
      <c r="AM8519" s="500"/>
      <c r="AN8519" s="500"/>
      <c r="AO8519" s="500"/>
      <c r="AP8519" s="500"/>
    </row>
    <row r="8520" spans="1:42" ht="16.5" customHeight="1">
      <c r="A8520" s="434" t="s">
        <v>3414</v>
      </c>
      <c r="B8520" s="505" t="str">
        <f>" 보통인부 : "&amp;TEXT(I8520,"#,##0"&amp;IF(I8520&lt;&gt;INT(I8520),".###",""))&amp;" * "&amp;AA8520&amp;" 인  / "&amp;AC8520&amp;" = "&amp;TEXT(C8520,"#,##0.0")&amp;""</f>
        <v xml:space="preserve"> 보통인부 : 172,068 * 0.08 인  / 6 = 2,294.2</v>
      </c>
      <c r="C8520" s="506">
        <f>E8520+D8520+F8520</f>
        <v>2294.1999999999998</v>
      </c>
      <c r="D8520" s="506">
        <f>IF(H8520=0,0,ROUNDDOWN(J8520*H8520,1))</f>
        <v>2294.1999999999998</v>
      </c>
      <c r="E8520" s="506">
        <f>IF(H8520=0,0,ROUNDDOWN(K8520*H8520,1))</f>
        <v>0</v>
      </c>
      <c r="F8520" s="506">
        <f>IF(H8520=0,0,ROUNDDOWN(L8520*H8520,1))</f>
        <v>0</v>
      </c>
      <c r="G8520" s="451" t="s">
        <v>4384</v>
      </c>
      <c r="H8520" s="507">
        <f>ROUNDUP(AE8520,14-LEN(ABS(INT(AE8520))))</f>
        <v>1.33333333334E-2</v>
      </c>
      <c r="I8520" s="508">
        <f>K8520+J8520+L8520</f>
        <v>172068</v>
      </c>
      <c r="J8520" s="509">
        <f>노무비목록표!E10</f>
        <v>172068</v>
      </c>
      <c r="M8520" s="501" t="s">
        <v>2363</v>
      </c>
      <c r="N8520" s="501" t="s">
        <v>3416</v>
      </c>
      <c r="O8520" s="501" t="s">
        <v>2355</v>
      </c>
      <c r="X8520" s="510" t="str">
        <f>노무비목록표!B10&amp;" / "&amp;노무비목록표!C10</f>
        <v xml:space="preserve">보통인부 / </v>
      </c>
      <c r="Y8520" s="433" t="str">
        <f ca="1">HYPERLINK("#"&amp;노무비목록표!G2&amp;"!A"&amp;ROW(노무비목록표!A10),"L00017 →")</f>
        <v>L00017 →</v>
      </c>
      <c r="Z8520" s="501" t="s">
        <v>3500</v>
      </c>
      <c r="AA8520" s="511">
        <v>0.08</v>
      </c>
      <c r="AB8520" s="501" t="s">
        <v>3428</v>
      </c>
      <c r="AC8520" s="515">
        <v>6</v>
      </c>
      <c r="AD8520" s="501" t="s">
        <v>3418</v>
      </c>
      <c r="AE8520" s="512">
        <f>1*AA8520/AC8520</f>
        <v>1.3333333333333334E-2</v>
      </c>
      <c r="AF8520" s="500"/>
      <c r="AG8520" s="500"/>
      <c r="AH8520" s="500"/>
      <c r="AI8520" s="500"/>
      <c r="AJ8520" s="500"/>
      <c r="AK8520" s="500"/>
      <c r="AL8520" s="500"/>
      <c r="AM8520" s="500"/>
      <c r="AN8520" s="500"/>
      <c r="AO8520" s="500"/>
      <c r="AP8520" s="500"/>
    </row>
    <row r="8521" spans="1:42" ht="16.5" customHeight="1">
      <c r="A8521" s="439"/>
      <c r="B8521" s="439"/>
      <c r="C8521" s="439"/>
      <c r="D8521" s="439"/>
      <c r="E8521" s="439"/>
      <c r="F8521" s="439"/>
      <c r="G8521" s="451" t="s">
        <v>3406</v>
      </c>
      <c r="Z8521" s="500"/>
      <c r="AA8521" s="500"/>
      <c r="AB8521" s="500"/>
      <c r="AC8521" s="500"/>
      <c r="AD8521" s="500"/>
      <c r="AE8521" s="500"/>
      <c r="AF8521" s="500"/>
      <c r="AG8521" s="500"/>
      <c r="AH8521" s="500"/>
      <c r="AI8521" s="500"/>
      <c r="AJ8521" s="500"/>
      <c r="AK8521" s="500"/>
      <c r="AL8521" s="500"/>
      <c r="AM8521" s="500"/>
      <c r="AN8521" s="500"/>
      <c r="AO8521" s="500"/>
      <c r="AP8521" s="500"/>
    </row>
    <row r="8522" spans="1:42" ht="16.5" customHeight="1">
      <c r="A8522" s="434"/>
      <c r="B8522" s="437" t="s">
        <v>3419</v>
      </c>
      <c r="C8522" s="513">
        <f>E8522+D8522+F8522</f>
        <v>9733.9</v>
      </c>
      <c r="D8522" s="513">
        <f>SUMIF(N8507:N8521,M8522,D8507:D8521)</f>
        <v>9733.9</v>
      </c>
      <c r="E8522" s="513">
        <f>SUMIF(N8507:N8521,M8522,E8507:E8521)</f>
        <v>0</v>
      </c>
      <c r="F8522" s="513">
        <f>SUMIF(N8507:N8521,M8522,F8507:F8521)</f>
        <v>0</v>
      </c>
      <c r="G8522" s="451" t="s">
        <v>3439</v>
      </c>
      <c r="M8522" s="501" t="s">
        <v>3416</v>
      </c>
      <c r="N8522" s="501" t="s">
        <v>3421</v>
      </c>
      <c r="Z8522" s="500"/>
      <c r="AA8522" s="500"/>
      <c r="AB8522" s="500"/>
      <c r="AC8522" s="500"/>
      <c r="AD8522" s="500"/>
      <c r="AE8522" s="500"/>
      <c r="AF8522" s="500"/>
      <c r="AG8522" s="500"/>
      <c r="AH8522" s="500"/>
      <c r="AI8522" s="500"/>
      <c r="AJ8522" s="500"/>
      <c r="AK8522" s="500"/>
      <c r="AL8522" s="500"/>
      <c r="AM8522" s="500"/>
      <c r="AN8522" s="500"/>
      <c r="AO8522" s="500"/>
      <c r="AP8522" s="500"/>
    </row>
    <row r="8523" spans="1:42" ht="16.5" customHeight="1">
      <c r="A8523" s="439"/>
      <c r="B8523" s="439"/>
      <c r="C8523" s="504"/>
      <c r="D8523" s="504"/>
      <c r="E8523" s="504"/>
      <c r="F8523" s="504"/>
      <c r="G8523" s="451" t="s">
        <v>3413</v>
      </c>
      <c r="Z8523" s="500"/>
      <c r="AA8523" s="500"/>
      <c r="AB8523" s="500"/>
      <c r="AC8523" s="500"/>
      <c r="AD8523" s="500"/>
      <c r="AE8523" s="500"/>
      <c r="AF8523" s="500"/>
      <c r="AG8523" s="500"/>
      <c r="AH8523" s="500"/>
      <c r="AI8523" s="500"/>
      <c r="AJ8523" s="500"/>
      <c r="AK8523" s="500"/>
      <c r="AL8523" s="500"/>
      <c r="AM8523" s="500"/>
      <c r="AN8523" s="500"/>
      <c r="AO8523" s="500"/>
      <c r="AP8523" s="500"/>
    </row>
    <row r="8524" spans="1:42" ht="16.5" customHeight="1">
      <c r="A8524" s="439"/>
      <c r="B8524" s="439"/>
      <c r="C8524" s="439"/>
      <c r="D8524" s="439"/>
      <c r="E8524" s="439"/>
      <c r="F8524" s="439"/>
      <c r="G8524" s="451" t="s">
        <v>3406</v>
      </c>
      <c r="Z8524" s="500"/>
      <c r="AA8524" s="500"/>
      <c r="AB8524" s="500"/>
      <c r="AC8524" s="500"/>
      <c r="AD8524" s="500"/>
      <c r="AE8524" s="500"/>
      <c r="AF8524" s="500"/>
      <c r="AG8524" s="500"/>
      <c r="AH8524" s="500"/>
      <c r="AI8524" s="500"/>
      <c r="AJ8524" s="500"/>
      <c r="AK8524" s="500"/>
      <c r="AL8524" s="500"/>
      <c r="AM8524" s="500"/>
      <c r="AN8524" s="500"/>
      <c r="AO8524" s="500"/>
      <c r="AP8524" s="500"/>
    </row>
    <row r="8525" spans="1:42" ht="16.5" customHeight="1">
      <c r="A8525" s="434"/>
      <c r="B8525" s="437" t="s">
        <v>4368</v>
      </c>
      <c r="C8525" s="439"/>
      <c r="D8525" s="439"/>
      <c r="E8525" s="439"/>
      <c r="F8525" s="439"/>
      <c r="G8525" s="451" t="s">
        <v>4369</v>
      </c>
      <c r="Z8525" s="500"/>
      <c r="AA8525" s="500"/>
      <c r="AB8525" s="500"/>
      <c r="AC8525" s="500"/>
      <c r="AD8525" s="500"/>
      <c r="AE8525" s="500"/>
      <c r="AF8525" s="500"/>
      <c r="AG8525" s="500"/>
      <c r="AH8525" s="500"/>
      <c r="AI8525" s="500"/>
      <c r="AJ8525" s="500"/>
      <c r="AK8525" s="500"/>
      <c r="AL8525" s="500"/>
      <c r="AM8525" s="500"/>
      <c r="AN8525" s="500"/>
      <c r="AO8525" s="500"/>
      <c r="AP8525" s="500"/>
    </row>
    <row r="8526" spans="1:42" ht="16.5" customHeight="1">
      <c r="A8526" s="439"/>
      <c r="B8526" s="439"/>
      <c r="C8526" s="439"/>
      <c r="D8526" s="439"/>
      <c r="E8526" s="439"/>
      <c r="F8526" s="439"/>
      <c r="G8526" s="451" t="s">
        <v>3406</v>
      </c>
      <c r="Z8526" s="500"/>
      <c r="AA8526" s="500"/>
      <c r="AB8526" s="500"/>
      <c r="AC8526" s="500"/>
      <c r="AD8526" s="500"/>
      <c r="AE8526" s="500"/>
      <c r="AF8526" s="500"/>
      <c r="AG8526" s="500"/>
      <c r="AH8526" s="500"/>
      <c r="AI8526" s="500"/>
      <c r="AJ8526" s="500"/>
      <c r="AK8526" s="500"/>
      <c r="AL8526" s="500"/>
      <c r="AM8526" s="500"/>
      <c r="AN8526" s="500"/>
      <c r="AO8526" s="500"/>
      <c r="AP8526" s="500"/>
    </row>
    <row r="8527" spans="1:42" ht="16.5" customHeight="1">
      <c r="A8527" s="434" t="s">
        <v>4370</v>
      </c>
      <c r="B8527" s="505" t="str">
        <f>" 노 무 비  : "&amp;TEXT(I8527,"#,##0"&amp;IF(I8527&lt;&gt;INT(I8527),".###",""))&amp;" * "&amp;AA8527&amp;" / "&amp;AC8527&amp;" = "&amp;TEXT(C8527,"#,##0.0")&amp;""</f>
        <v xml:space="preserve"> 노 무 비  : 49,778 * 0.2 / 6 = 1,659.2</v>
      </c>
      <c r="C8527" s="506">
        <f>E8527+D8527+F8527</f>
        <v>1659.2</v>
      </c>
      <c r="D8527" s="506">
        <f>IF(H8527=0,0,ROUNDDOWN(J8527*H8527,1))</f>
        <v>1659.2</v>
      </c>
      <c r="E8527" s="506">
        <f>IF(H8527=0,0,ROUNDDOWN(K8527*H8527,1))</f>
        <v>0</v>
      </c>
      <c r="F8527" s="506">
        <f>IF(H8527=0,0,ROUNDDOWN(L8527*H8527,1))</f>
        <v>0</v>
      </c>
      <c r="G8527" s="451" t="s">
        <v>4385</v>
      </c>
      <c r="H8527" s="507">
        <f>ROUNDUP(AE8527,14-LEN(ABS(INT(AE8527))))</f>
        <v>3.3333333333400002E-2</v>
      </c>
      <c r="I8527" s="508">
        <f>K8527+J8527+L8527</f>
        <v>49778</v>
      </c>
      <c r="J8527" s="509">
        <f>중기목록표!F20</f>
        <v>49778</v>
      </c>
      <c r="M8527" s="501" t="s">
        <v>4372</v>
      </c>
      <c r="N8527" s="501" t="s">
        <v>3416</v>
      </c>
      <c r="X8527" s="510" t="str">
        <f>중기목록표!B20&amp;" / "&amp;중기목록표!C20</f>
        <v>트럭탑재형 크레인 / 5톤</v>
      </c>
      <c r="Y8527" s="433" t="str">
        <f ca="1">HYPERLINK("#"&amp;중기목록표!J2&amp;"!A"&amp;ROW(중기목록표!A20),"X00265 →")</f>
        <v>X00265 →</v>
      </c>
      <c r="Z8527" s="501" t="s">
        <v>3500</v>
      </c>
      <c r="AA8527" s="511">
        <v>0.2</v>
      </c>
      <c r="AB8527" s="501" t="s">
        <v>3428</v>
      </c>
      <c r="AC8527" s="515">
        <v>6</v>
      </c>
      <c r="AD8527" s="501" t="s">
        <v>3418</v>
      </c>
      <c r="AE8527" s="512">
        <f>1*AA8527/AC8527</f>
        <v>3.3333333333333333E-2</v>
      </c>
      <c r="AF8527" s="500"/>
      <c r="AG8527" s="500"/>
      <c r="AH8527" s="500"/>
      <c r="AI8527" s="500"/>
      <c r="AJ8527" s="500"/>
      <c r="AK8527" s="500"/>
      <c r="AL8527" s="500"/>
      <c r="AM8527" s="500"/>
      <c r="AN8527" s="500"/>
      <c r="AO8527" s="500"/>
      <c r="AP8527" s="500"/>
    </row>
    <row r="8528" spans="1:42" ht="16.5" customHeight="1">
      <c r="A8528" s="439"/>
      <c r="B8528" s="439"/>
      <c r="C8528" s="439"/>
      <c r="D8528" s="439"/>
      <c r="E8528" s="439"/>
      <c r="F8528" s="439"/>
      <c r="G8528" s="451" t="s">
        <v>3406</v>
      </c>
      <c r="Z8528" s="500"/>
      <c r="AA8528" s="500"/>
      <c r="AB8528" s="500"/>
      <c r="AC8528" s="500"/>
      <c r="AD8528" s="500"/>
      <c r="AE8528" s="500"/>
      <c r="AF8528" s="500"/>
      <c r="AG8528" s="500"/>
      <c r="AH8528" s="500"/>
      <c r="AI8528" s="500"/>
      <c r="AJ8528" s="500"/>
      <c r="AK8528" s="500"/>
      <c r="AL8528" s="500"/>
      <c r="AM8528" s="500"/>
      <c r="AN8528" s="500"/>
      <c r="AO8528" s="500"/>
      <c r="AP8528" s="500"/>
    </row>
    <row r="8529" spans="1:42" ht="16.5" customHeight="1">
      <c r="A8529" s="434" t="s">
        <v>4373</v>
      </c>
      <c r="B8529" s="505" t="str">
        <f>" 재 료 비  : "&amp;TEXT(I8529,"#,##0"&amp;IF(I8529&lt;&gt;INT(I8529),".###",""))&amp;" * "&amp;AA8529&amp;" / "&amp;AC8529&amp;" = "&amp;TEXT(C8529,"#,##0.0")&amp;""</f>
        <v xml:space="preserve"> 재 료 비  : 8,439 * 0.2 / 6 = 281.3</v>
      </c>
      <c r="C8529" s="506">
        <f>E8529+D8529+F8529</f>
        <v>281.3</v>
      </c>
      <c r="D8529" s="506">
        <f>IF(H8529=0,0,ROUNDDOWN(J8529*H8529,1))</f>
        <v>0</v>
      </c>
      <c r="E8529" s="506">
        <f>IF(H8529=0,0,ROUNDDOWN(K8529*H8529,1))</f>
        <v>281.3</v>
      </c>
      <c r="F8529" s="506">
        <f>IF(H8529=0,0,ROUNDDOWN(L8529*H8529,1))</f>
        <v>0</v>
      </c>
      <c r="G8529" s="451" t="s">
        <v>4386</v>
      </c>
      <c r="H8529" s="507">
        <f>ROUNDUP(AE8529,14-LEN(ABS(INT(AE8529))))</f>
        <v>3.3333333333400002E-2</v>
      </c>
      <c r="I8529" s="508">
        <f>K8529+J8529+L8529</f>
        <v>8439</v>
      </c>
      <c r="K8529" s="509">
        <f>중기목록표!G20</f>
        <v>8439</v>
      </c>
      <c r="M8529" s="501" t="s">
        <v>4372</v>
      </c>
      <c r="N8529" s="501" t="s">
        <v>3416</v>
      </c>
      <c r="X8529" s="510" t="str">
        <f>중기목록표!B20&amp;" / "&amp;중기목록표!C20</f>
        <v>트럭탑재형 크레인 / 5톤</v>
      </c>
      <c r="Y8529" s="433" t="str">
        <f ca="1">HYPERLINK("#"&amp;중기목록표!J2&amp;"!A"&amp;ROW(중기목록표!A20),"X00265 →")</f>
        <v>X00265 →</v>
      </c>
      <c r="Z8529" s="501" t="s">
        <v>3500</v>
      </c>
      <c r="AA8529" s="511">
        <v>0.2</v>
      </c>
      <c r="AB8529" s="501" t="s">
        <v>3428</v>
      </c>
      <c r="AC8529" s="515">
        <v>6</v>
      </c>
      <c r="AD8529" s="501" t="s">
        <v>3418</v>
      </c>
      <c r="AE8529" s="512">
        <f>1*AA8529/AC8529</f>
        <v>3.3333333333333333E-2</v>
      </c>
      <c r="AF8529" s="500"/>
      <c r="AG8529" s="500"/>
      <c r="AH8529" s="500"/>
      <c r="AI8529" s="500"/>
      <c r="AJ8529" s="500"/>
      <c r="AK8529" s="500"/>
      <c r="AL8529" s="500"/>
      <c r="AM8529" s="500"/>
      <c r="AN8529" s="500"/>
      <c r="AO8529" s="500"/>
      <c r="AP8529" s="500"/>
    </row>
    <row r="8530" spans="1:42" ht="16.5" customHeight="1">
      <c r="A8530" s="439"/>
      <c r="B8530" s="439"/>
      <c r="C8530" s="439"/>
      <c r="D8530" s="439"/>
      <c r="E8530" s="439"/>
      <c r="F8530" s="439"/>
      <c r="G8530" s="451" t="s">
        <v>3406</v>
      </c>
      <c r="Z8530" s="500"/>
      <c r="AA8530" s="500"/>
      <c r="AB8530" s="500"/>
      <c r="AC8530" s="500"/>
      <c r="AD8530" s="500"/>
      <c r="AE8530" s="500"/>
      <c r="AF8530" s="500"/>
      <c r="AG8530" s="500"/>
      <c r="AH8530" s="500"/>
      <c r="AI8530" s="500"/>
      <c r="AJ8530" s="500"/>
      <c r="AK8530" s="500"/>
      <c r="AL8530" s="500"/>
      <c r="AM8530" s="500"/>
      <c r="AN8530" s="500"/>
      <c r="AO8530" s="500"/>
      <c r="AP8530" s="500"/>
    </row>
    <row r="8531" spans="1:42" ht="16.5" customHeight="1">
      <c r="A8531" s="434" t="s">
        <v>4375</v>
      </c>
      <c r="B8531" s="505" t="str">
        <f>" 경    비  : "&amp;TEXT(I8531,"#,##0"&amp;IF(I8531&lt;&gt;INT(I8531),".###",""))&amp;" * "&amp;AA8531&amp;" / "&amp;AC8531&amp;" = "&amp;TEXT(C8531,"#,##0.0")&amp;""</f>
        <v xml:space="preserve"> 경    비  : 11,117 * 0.2 / 6 = 370.5</v>
      </c>
      <c r="C8531" s="506">
        <f>E8531+D8531+F8531</f>
        <v>370.5</v>
      </c>
      <c r="D8531" s="506">
        <f>IF(H8531=0,0,ROUNDDOWN(J8531*H8531,1))</f>
        <v>0</v>
      </c>
      <c r="E8531" s="506">
        <f>IF(H8531=0,0,ROUNDDOWN(K8531*H8531,1))</f>
        <v>0</v>
      </c>
      <c r="F8531" s="506">
        <f>IF(H8531=0,0,ROUNDDOWN(L8531*H8531,1))</f>
        <v>370.5</v>
      </c>
      <c r="G8531" s="451" t="s">
        <v>4387</v>
      </c>
      <c r="H8531" s="507">
        <f>ROUNDUP(AE8531,14-LEN(ABS(INT(AE8531))))</f>
        <v>3.3333333333400002E-2</v>
      </c>
      <c r="I8531" s="508">
        <f>K8531+J8531+L8531</f>
        <v>11117</v>
      </c>
      <c r="L8531" s="509">
        <f>중기목록표!H20</f>
        <v>11117</v>
      </c>
      <c r="M8531" s="501" t="s">
        <v>4372</v>
      </c>
      <c r="N8531" s="501" t="s">
        <v>3416</v>
      </c>
      <c r="X8531" s="510" t="str">
        <f>중기목록표!B20&amp;" / "&amp;중기목록표!C20</f>
        <v>트럭탑재형 크레인 / 5톤</v>
      </c>
      <c r="Y8531" s="433" t="str">
        <f ca="1">HYPERLINK("#"&amp;중기목록표!J2&amp;"!A"&amp;ROW(중기목록표!A20),"X00265 →")</f>
        <v>X00265 →</v>
      </c>
      <c r="Z8531" s="501" t="s">
        <v>3500</v>
      </c>
      <c r="AA8531" s="511">
        <v>0.2</v>
      </c>
      <c r="AB8531" s="501" t="s">
        <v>3428</v>
      </c>
      <c r="AC8531" s="515">
        <v>6</v>
      </c>
      <c r="AD8531" s="501" t="s">
        <v>3418</v>
      </c>
      <c r="AE8531" s="512">
        <f>1*AA8531/AC8531</f>
        <v>3.3333333333333333E-2</v>
      </c>
      <c r="AF8531" s="500"/>
      <c r="AG8531" s="500"/>
      <c r="AH8531" s="500"/>
      <c r="AI8531" s="500"/>
      <c r="AJ8531" s="500"/>
      <c r="AK8531" s="500"/>
      <c r="AL8531" s="500"/>
      <c r="AM8531" s="500"/>
      <c r="AN8531" s="500"/>
      <c r="AO8531" s="500"/>
      <c r="AP8531" s="500"/>
    </row>
    <row r="8532" spans="1:42" ht="16.5" customHeight="1">
      <c r="A8532" s="439"/>
      <c r="B8532" s="439"/>
      <c r="C8532" s="439"/>
      <c r="D8532" s="439"/>
      <c r="E8532" s="439"/>
      <c r="F8532" s="439"/>
      <c r="G8532" s="451" t="s">
        <v>3406</v>
      </c>
      <c r="Z8532" s="500"/>
      <c r="AA8532" s="500"/>
      <c r="AB8532" s="500"/>
      <c r="AC8532" s="500"/>
      <c r="AD8532" s="500"/>
      <c r="AE8532" s="500"/>
      <c r="AF8532" s="500"/>
      <c r="AG8532" s="500"/>
      <c r="AH8532" s="500"/>
      <c r="AI8532" s="500"/>
      <c r="AJ8532" s="500"/>
      <c r="AK8532" s="500"/>
      <c r="AL8532" s="500"/>
      <c r="AM8532" s="500"/>
      <c r="AN8532" s="500"/>
      <c r="AO8532" s="500"/>
      <c r="AP8532" s="500"/>
    </row>
    <row r="8533" spans="1:42" ht="16.5" customHeight="1">
      <c r="A8533" s="434"/>
      <c r="B8533" s="437" t="s">
        <v>3419</v>
      </c>
      <c r="C8533" s="513">
        <f>E8533+D8533+F8533</f>
        <v>2311</v>
      </c>
      <c r="D8533" s="513">
        <f>SUMIF(N8523:N8532,M8533,D8523:D8532)</f>
        <v>1659.2</v>
      </c>
      <c r="E8533" s="513">
        <f>SUMIF(N8523:N8532,M8533,E8523:E8532)</f>
        <v>281.3</v>
      </c>
      <c r="F8533" s="513">
        <f>SUMIF(N8523:N8532,M8533,F8523:F8532)</f>
        <v>370.5</v>
      </c>
      <c r="G8533" s="451" t="s">
        <v>3420</v>
      </c>
      <c r="M8533" s="501" t="s">
        <v>3416</v>
      </c>
      <c r="N8533" s="501" t="s">
        <v>3421</v>
      </c>
      <c r="Z8533" s="500"/>
      <c r="AA8533" s="500"/>
      <c r="AB8533" s="500"/>
      <c r="AC8533" s="500"/>
      <c r="AD8533" s="500"/>
      <c r="AE8533" s="500"/>
      <c r="AF8533" s="500"/>
      <c r="AG8533" s="500"/>
      <c r="AH8533" s="500"/>
      <c r="AI8533" s="500"/>
      <c r="AJ8533" s="500"/>
      <c r="AK8533" s="500"/>
      <c r="AL8533" s="500"/>
      <c r="AM8533" s="500"/>
      <c r="AN8533" s="500"/>
      <c r="AO8533" s="500"/>
      <c r="AP8533" s="500"/>
    </row>
    <row r="8534" spans="1:42" ht="16.5" customHeight="1">
      <c r="A8534" s="439"/>
      <c r="B8534" s="439"/>
      <c r="C8534" s="504"/>
      <c r="D8534" s="504"/>
      <c r="E8534" s="504"/>
      <c r="F8534" s="504"/>
      <c r="G8534" s="451" t="s">
        <v>3406</v>
      </c>
      <c r="Z8534" s="500"/>
      <c r="AA8534" s="500"/>
      <c r="AB8534" s="500"/>
      <c r="AC8534" s="500"/>
      <c r="AD8534" s="500"/>
      <c r="AE8534" s="500"/>
      <c r="AF8534" s="500"/>
      <c r="AG8534" s="500"/>
      <c r="AH8534" s="500"/>
      <c r="AI8534" s="500"/>
      <c r="AJ8534" s="500"/>
      <c r="AK8534" s="500"/>
      <c r="AL8534" s="500"/>
      <c r="AM8534" s="500"/>
      <c r="AN8534" s="500"/>
      <c r="AO8534" s="500"/>
      <c r="AP8534" s="500"/>
    </row>
    <row r="8535" spans="1:42" ht="16.5" customHeight="1">
      <c r="A8535" s="439"/>
      <c r="B8535" s="439"/>
      <c r="C8535" s="439"/>
      <c r="D8535" s="439"/>
      <c r="E8535" s="439"/>
      <c r="F8535" s="439"/>
      <c r="G8535" s="451" t="s">
        <v>3406</v>
      </c>
      <c r="Z8535" s="500"/>
      <c r="AA8535" s="500"/>
      <c r="AB8535" s="500"/>
      <c r="AC8535" s="500"/>
      <c r="AD8535" s="500"/>
      <c r="AE8535" s="500"/>
      <c r="AF8535" s="500"/>
      <c r="AG8535" s="500"/>
      <c r="AH8535" s="500"/>
      <c r="AI8535" s="500"/>
      <c r="AJ8535" s="500"/>
      <c r="AK8535" s="500"/>
      <c r="AL8535" s="500"/>
      <c r="AM8535" s="500"/>
      <c r="AN8535" s="500"/>
      <c r="AO8535" s="500"/>
      <c r="AP8535" s="500"/>
    </row>
    <row r="8536" spans="1:42" ht="16.5" customHeight="1">
      <c r="A8536" s="434"/>
      <c r="B8536" s="505" t="str">
        <f>" 공구손료 및 잡재료비(노무비의 2%) : "&amp;TEXT(I8536,"#,##0.0")&amp;" * "&amp;AA8536&amp;" %  = "&amp;TEXT(C8536,"#,##0.0")&amp;""</f>
        <v xml:space="preserve"> 공구손료 및 잡재료비(노무비의 2%) : 9,733.9 * 2 %  = 194.6</v>
      </c>
      <c r="C8536" s="506">
        <f>E8536+D8536+F8536</f>
        <v>194.6</v>
      </c>
      <c r="D8536" s="506">
        <f>IF(H8536=0,0,ROUNDDOWN(J8536*H8536/100,1))</f>
        <v>0</v>
      </c>
      <c r="E8536" s="506">
        <f>IF(H8536=0,0,ROUNDDOWN(K8536*H8536/100,1))</f>
        <v>0</v>
      </c>
      <c r="F8536" s="506">
        <f>IF(H8536=0,0,ROUNDDOWN(L8536*H8536/100,1))</f>
        <v>194.6</v>
      </c>
      <c r="G8536" s="451" t="s">
        <v>4377</v>
      </c>
      <c r="H8536" s="507">
        <f>ROUNDUP(AC8536,14-LEN(ABS(INT(AC8536))))</f>
        <v>2</v>
      </c>
      <c r="I8536" s="508">
        <f>K8536+J8536+L8536</f>
        <v>9733.9</v>
      </c>
      <c r="J8536" s="456">
        <v>0</v>
      </c>
      <c r="K8536" s="456">
        <v>0</v>
      </c>
      <c r="L8536" s="509">
        <f>D8518+D8520</f>
        <v>9733.9</v>
      </c>
      <c r="M8536" s="501" t="s">
        <v>3743</v>
      </c>
      <c r="N8536" s="501" t="s">
        <v>3416</v>
      </c>
      <c r="Z8536" s="501" t="s">
        <v>3500</v>
      </c>
      <c r="AA8536" s="515">
        <v>2</v>
      </c>
      <c r="AB8536" s="501" t="s">
        <v>3418</v>
      </c>
      <c r="AC8536" s="512">
        <f>1*AA8536</f>
        <v>2</v>
      </c>
      <c r="AD8536" s="500"/>
      <c r="AE8536" s="500"/>
      <c r="AF8536" s="500"/>
      <c r="AG8536" s="500"/>
      <c r="AH8536" s="500"/>
      <c r="AI8536" s="500"/>
      <c r="AJ8536" s="500"/>
      <c r="AK8536" s="500"/>
      <c r="AL8536" s="500"/>
      <c r="AM8536" s="500"/>
      <c r="AN8536" s="500"/>
      <c r="AO8536" s="500"/>
      <c r="AP8536" s="500"/>
    </row>
    <row r="8537" spans="1:42" ht="16.5" customHeight="1">
      <c r="A8537" s="439"/>
      <c r="B8537" s="439"/>
      <c r="C8537" s="439"/>
      <c r="D8537" s="439"/>
      <c r="E8537" s="439"/>
      <c r="F8537" s="439"/>
      <c r="G8537" s="451" t="s">
        <v>3406</v>
      </c>
      <c r="Z8537" s="500"/>
      <c r="AA8537" s="500"/>
      <c r="AB8537" s="500"/>
      <c r="AC8537" s="500"/>
      <c r="AD8537" s="500"/>
      <c r="AE8537" s="500"/>
      <c r="AF8537" s="500"/>
      <c r="AG8537" s="500"/>
      <c r="AH8537" s="500"/>
      <c r="AI8537" s="500"/>
      <c r="AJ8537" s="500"/>
      <c r="AK8537" s="500"/>
      <c r="AL8537" s="500"/>
      <c r="AM8537" s="500"/>
      <c r="AN8537" s="500"/>
      <c r="AO8537" s="500"/>
      <c r="AP8537" s="500"/>
    </row>
    <row r="8538" spans="1:42" ht="16.5" customHeight="1">
      <c r="A8538" s="439"/>
      <c r="B8538" s="439"/>
      <c r="C8538" s="439"/>
      <c r="D8538" s="439"/>
      <c r="E8538" s="439"/>
      <c r="F8538" s="439"/>
      <c r="G8538" s="451" t="s">
        <v>3406</v>
      </c>
      <c r="Z8538" s="500"/>
      <c r="AA8538" s="500"/>
      <c r="AB8538" s="500"/>
      <c r="AC8538" s="500"/>
      <c r="AD8538" s="500"/>
      <c r="AE8538" s="500"/>
      <c r="AF8538" s="500"/>
      <c r="AG8538" s="500"/>
      <c r="AH8538" s="500"/>
      <c r="AI8538" s="500"/>
      <c r="AJ8538" s="500"/>
      <c r="AK8538" s="500"/>
      <c r="AL8538" s="500"/>
      <c r="AM8538" s="500"/>
      <c r="AN8538" s="500"/>
      <c r="AO8538" s="500"/>
      <c r="AP8538" s="500"/>
    </row>
    <row r="8539" spans="1:42" ht="16.5" customHeight="1">
      <c r="A8539" s="434"/>
      <c r="B8539" s="437" t="s">
        <v>3419</v>
      </c>
      <c r="C8539" s="513">
        <f>E8539+D8539+F8539</f>
        <v>194.6</v>
      </c>
      <c r="D8539" s="513">
        <f>SUMIF(N8534:N8538,M8539,D8534:D8538)</f>
        <v>0</v>
      </c>
      <c r="E8539" s="513">
        <f>SUMIF(N8534:N8538,M8539,E8534:E8538)</f>
        <v>0</v>
      </c>
      <c r="F8539" s="513">
        <f>SUMIF(N8534:N8538,M8539,F8534:F8538)</f>
        <v>194.6</v>
      </c>
      <c r="G8539" s="451" t="s">
        <v>3420</v>
      </c>
      <c r="M8539" s="501" t="s">
        <v>3416</v>
      </c>
      <c r="N8539" s="501" t="s">
        <v>3421</v>
      </c>
      <c r="Z8539" s="500"/>
      <c r="AA8539" s="500"/>
      <c r="AB8539" s="500"/>
      <c r="AC8539" s="500"/>
      <c r="AD8539" s="500"/>
      <c r="AE8539" s="500"/>
      <c r="AF8539" s="500"/>
      <c r="AG8539" s="500"/>
      <c r="AH8539" s="500"/>
      <c r="AI8539" s="500"/>
      <c r="AJ8539" s="500"/>
      <c r="AK8539" s="500"/>
      <c r="AL8539" s="500"/>
      <c r="AM8539" s="500"/>
      <c r="AN8539" s="500"/>
      <c r="AO8539" s="500"/>
      <c r="AP8539" s="500"/>
    </row>
    <row r="8540" spans="1:42" ht="16.5" customHeight="1">
      <c r="A8540" s="439"/>
      <c r="B8540" s="439"/>
      <c r="C8540" s="504"/>
      <c r="D8540" s="504"/>
      <c r="E8540" s="504"/>
      <c r="F8540" s="504"/>
      <c r="G8540" s="451" t="s">
        <v>3406</v>
      </c>
      <c r="Z8540" s="500"/>
      <c r="AA8540" s="500"/>
      <c r="AB8540" s="500"/>
      <c r="AC8540" s="500"/>
      <c r="AD8540" s="500"/>
      <c r="AE8540" s="500"/>
      <c r="AF8540" s="500"/>
      <c r="AG8540" s="500"/>
      <c r="AH8540" s="500"/>
      <c r="AI8540" s="500"/>
      <c r="AJ8540" s="500"/>
      <c r="AK8540" s="500"/>
      <c r="AL8540" s="500"/>
      <c r="AM8540" s="500"/>
      <c r="AN8540" s="500"/>
      <c r="AO8540" s="500"/>
      <c r="AP8540" s="500"/>
    </row>
    <row r="8541" spans="1:42" ht="16.5" customHeight="1">
      <c r="A8541" s="439"/>
      <c r="B8541" s="439"/>
      <c r="C8541" s="439"/>
      <c r="D8541" s="439"/>
      <c r="E8541" s="439"/>
      <c r="F8541" s="439"/>
      <c r="G8541" s="451" t="s">
        <v>3406</v>
      </c>
      <c r="Z8541" s="500"/>
      <c r="AA8541" s="500"/>
      <c r="AB8541" s="500"/>
      <c r="AC8541" s="500"/>
      <c r="AD8541" s="500"/>
      <c r="AE8541" s="500"/>
      <c r="AF8541" s="500"/>
      <c r="AG8541" s="500"/>
      <c r="AH8541" s="500"/>
      <c r="AI8541" s="500"/>
      <c r="AJ8541" s="500"/>
      <c r="AK8541" s="500"/>
      <c r="AL8541" s="500"/>
      <c r="AM8541" s="500"/>
      <c r="AN8541" s="500"/>
      <c r="AO8541" s="500"/>
      <c r="AP8541" s="500"/>
    </row>
    <row r="8542" spans="1:42" ht="16.5" customHeight="1">
      <c r="A8542" s="439"/>
      <c r="B8542" s="439"/>
      <c r="C8542" s="439"/>
      <c r="D8542" s="439"/>
      <c r="E8542" s="439"/>
      <c r="F8542" s="439"/>
      <c r="G8542" s="451" t="s">
        <v>3406</v>
      </c>
      <c r="Z8542" s="500"/>
      <c r="AA8542" s="500"/>
      <c r="AB8542" s="500"/>
      <c r="AC8542" s="500"/>
      <c r="AD8542" s="500"/>
      <c r="AE8542" s="500"/>
      <c r="AF8542" s="500"/>
      <c r="AG8542" s="500"/>
      <c r="AH8542" s="500"/>
      <c r="AI8542" s="500"/>
      <c r="AJ8542" s="500"/>
      <c r="AK8542" s="500"/>
      <c r="AL8542" s="500"/>
      <c r="AM8542" s="500"/>
      <c r="AN8542" s="500"/>
      <c r="AO8542" s="500"/>
      <c r="AP8542" s="500"/>
    </row>
    <row r="8543" spans="1:42" ht="16.5" customHeight="1">
      <c r="A8543" s="434"/>
      <c r="B8543" s="437" t="s">
        <v>3440</v>
      </c>
      <c r="C8543" s="513">
        <f>E8543+D8543+F8543</f>
        <v>12239.5</v>
      </c>
      <c r="D8543" s="513">
        <f>SUMIF(N8507:N8542,M8543,D8507:D8542)</f>
        <v>11393.1</v>
      </c>
      <c r="E8543" s="513">
        <f>SUMIF(N8507:N8542,M8543,E8507:E8542)</f>
        <v>281.3</v>
      </c>
      <c r="F8543" s="513">
        <f>SUMIF(N8507:N8542,M8543,F8507:F8542)</f>
        <v>565.1</v>
      </c>
      <c r="G8543" s="451" t="s">
        <v>3484</v>
      </c>
      <c r="M8543" s="501" t="s">
        <v>3421</v>
      </c>
      <c r="N8543" s="501" t="s">
        <v>2354</v>
      </c>
      <c r="Z8543" s="500"/>
      <c r="AA8543" s="500"/>
      <c r="AB8543" s="500"/>
      <c r="AC8543" s="500"/>
      <c r="AD8543" s="500"/>
      <c r="AE8543" s="500"/>
      <c r="AF8543" s="500"/>
      <c r="AG8543" s="500"/>
      <c r="AH8543" s="500"/>
      <c r="AI8543" s="500"/>
      <c r="AJ8543" s="500"/>
      <c r="AK8543" s="500"/>
      <c r="AL8543" s="500"/>
      <c r="AM8543" s="500"/>
      <c r="AN8543" s="500"/>
      <c r="AO8543" s="500"/>
      <c r="AP8543" s="500"/>
    </row>
    <row r="8544" spans="1:42" ht="16.5" customHeight="1">
      <c r="A8544" s="439"/>
      <c r="B8544" s="439"/>
      <c r="C8544" s="504"/>
      <c r="D8544" s="504"/>
      <c r="E8544" s="504"/>
      <c r="F8544" s="504"/>
      <c r="Z8544" s="500"/>
      <c r="AA8544" s="500"/>
      <c r="AB8544" s="500"/>
      <c r="AC8544" s="500"/>
      <c r="AD8544" s="500"/>
      <c r="AE8544" s="500"/>
      <c r="AF8544" s="500"/>
      <c r="AG8544" s="500"/>
      <c r="AH8544" s="500"/>
      <c r="AI8544" s="500"/>
      <c r="AJ8544" s="500"/>
      <c r="AK8544" s="500"/>
      <c r="AL8544" s="500"/>
      <c r="AM8544" s="500"/>
      <c r="AN8544" s="500"/>
      <c r="AO8544" s="500"/>
      <c r="AP8544" s="500"/>
    </row>
    <row r="8545" spans="1:42" ht="16.5" customHeight="1">
      <c r="A8545" s="439"/>
      <c r="B8545" s="439"/>
      <c r="C8545" s="439"/>
      <c r="D8545" s="439"/>
      <c r="E8545" s="439"/>
      <c r="F8545" s="439"/>
      <c r="Z8545" s="500"/>
      <c r="AA8545" s="500"/>
      <c r="AB8545" s="500"/>
      <c r="AC8545" s="500"/>
      <c r="AD8545" s="500"/>
      <c r="AE8545" s="500"/>
      <c r="AF8545" s="500"/>
      <c r="AG8545" s="500"/>
      <c r="AH8545" s="500"/>
      <c r="AI8545" s="500"/>
      <c r="AJ8545" s="500"/>
      <c r="AK8545" s="500"/>
      <c r="AL8545" s="500"/>
      <c r="AM8545" s="500"/>
      <c r="AN8545" s="500"/>
      <c r="AO8545" s="500"/>
      <c r="AP8545" s="500"/>
    </row>
    <row r="8546" spans="1:42" ht="16.5" customHeight="1">
      <c r="A8546" s="439"/>
      <c r="B8546" s="439"/>
      <c r="C8546" s="439"/>
      <c r="D8546" s="439"/>
      <c r="E8546" s="439"/>
      <c r="F8546" s="439"/>
      <c r="Z8546" s="500"/>
      <c r="AA8546" s="500"/>
      <c r="AB8546" s="500"/>
      <c r="AC8546" s="500"/>
      <c r="AD8546" s="500"/>
      <c r="AE8546" s="500"/>
      <c r="AF8546" s="500"/>
      <c r="AG8546" s="500"/>
      <c r="AH8546" s="500"/>
      <c r="AI8546" s="500"/>
      <c r="AJ8546" s="500"/>
      <c r="AK8546" s="500"/>
      <c r="AL8546" s="500"/>
      <c r="AM8546" s="500"/>
      <c r="AN8546" s="500"/>
      <c r="AO8546" s="500"/>
      <c r="AP8546" s="500"/>
    </row>
    <row r="8547" spans="1:42" ht="16.5" customHeight="1">
      <c r="A8547" s="439"/>
      <c r="B8547" s="439"/>
      <c r="C8547" s="439"/>
      <c r="D8547" s="439"/>
      <c r="E8547" s="439"/>
      <c r="F8547" s="439"/>
      <c r="Z8547" s="500"/>
      <c r="AA8547" s="500"/>
      <c r="AB8547" s="500"/>
      <c r="AC8547" s="500"/>
      <c r="AD8547" s="500"/>
      <c r="AE8547" s="500"/>
      <c r="AF8547" s="500"/>
      <c r="AG8547" s="500"/>
      <c r="AH8547" s="500"/>
      <c r="AI8547" s="500"/>
      <c r="AJ8547" s="500"/>
      <c r="AK8547" s="500"/>
      <c r="AL8547" s="500"/>
      <c r="AM8547" s="500"/>
      <c r="AN8547" s="500"/>
      <c r="AO8547" s="500"/>
      <c r="AP8547" s="500"/>
    </row>
    <row r="8548" spans="1:42" ht="16.5" customHeight="1">
      <c r="A8548" s="439"/>
      <c r="B8548" s="439"/>
      <c r="C8548" s="439"/>
      <c r="D8548" s="439"/>
      <c r="E8548" s="439"/>
      <c r="F8548" s="439"/>
      <c r="Z8548" s="500"/>
      <c r="AA8548" s="500"/>
      <c r="AB8548" s="500"/>
      <c r="AC8548" s="500"/>
      <c r="AD8548" s="500"/>
      <c r="AE8548" s="500"/>
      <c r="AF8548" s="500"/>
      <c r="AG8548" s="500"/>
      <c r="AH8548" s="500"/>
      <c r="AI8548" s="500"/>
      <c r="AJ8548" s="500"/>
      <c r="AK8548" s="500"/>
      <c r="AL8548" s="500"/>
      <c r="AM8548" s="500"/>
      <c r="AN8548" s="500"/>
      <c r="AO8548" s="500"/>
      <c r="AP8548" s="500"/>
    </row>
    <row r="8549" spans="1:42" ht="16.5" customHeight="1">
      <c r="A8549" s="439"/>
      <c r="B8549" s="439"/>
      <c r="C8549" s="439"/>
      <c r="D8549" s="439"/>
      <c r="E8549" s="439"/>
      <c r="F8549" s="439"/>
      <c r="Z8549" s="500"/>
      <c r="AA8549" s="500"/>
      <c r="AB8549" s="500"/>
      <c r="AC8549" s="500"/>
      <c r="AD8549" s="500"/>
      <c r="AE8549" s="500"/>
      <c r="AF8549" s="500"/>
      <c r="AG8549" s="500"/>
      <c r="AH8549" s="500"/>
      <c r="AI8549" s="500"/>
      <c r="AJ8549" s="500"/>
      <c r="AK8549" s="500"/>
      <c r="AL8549" s="500"/>
      <c r="AM8549" s="500"/>
      <c r="AN8549" s="500"/>
      <c r="AO8549" s="500"/>
      <c r="AP8549" s="500"/>
    </row>
    <row r="8550" spans="1:42" ht="16.5" customHeight="1">
      <c r="A8550" s="439"/>
      <c r="B8550" s="439"/>
      <c r="C8550" s="439"/>
      <c r="D8550" s="439"/>
      <c r="E8550" s="439"/>
      <c r="F8550" s="439"/>
      <c r="Z8550" s="500"/>
      <c r="AA8550" s="500"/>
      <c r="AB8550" s="500"/>
      <c r="AC8550" s="500"/>
      <c r="AD8550" s="500"/>
      <c r="AE8550" s="500"/>
      <c r="AF8550" s="500"/>
      <c r="AG8550" s="500"/>
      <c r="AH8550" s="500"/>
      <c r="AI8550" s="500"/>
      <c r="AJ8550" s="500"/>
      <c r="AK8550" s="500"/>
      <c r="AL8550" s="500"/>
      <c r="AM8550" s="500"/>
      <c r="AN8550" s="500"/>
      <c r="AO8550" s="500"/>
      <c r="AP8550" s="500"/>
    </row>
    <row r="8551" spans="1:42" ht="16.5" customHeight="1">
      <c r="A8551" s="439"/>
      <c r="B8551" s="439"/>
      <c r="C8551" s="439"/>
      <c r="D8551" s="439"/>
      <c r="E8551" s="439"/>
      <c r="F8551" s="439"/>
      <c r="Z8551" s="500"/>
      <c r="AA8551" s="500"/>
      <c r="AB8551" s="500"/>
      <c r="AC8551" s="500"/>
      <c r="AD8551" s="500"/>
      <c r="AE8551" s="500"/>
      <c r="AF8551" s="500"/>
      <c r="AG8551" s="500"/>
      <c r="AH8551" s="500"/>
      <c r="AI8551" s="500"/>
      <c r="AJ8551" s="500"/>
      <c r="AK8551" s="500"/>
      <c r="AL8551" s="500"/>
      <c r="AM8551" s="500"/>
      <c r="AN8551" s="500"/>
      <c r="AO8551" s="500"/>
      <c r="AP8551" s="500"/>
    </row>
    <row r="8552" spans="1:42" ht="16.5" customHeight="1">
      <c r="A8552" s="439"/>
      <c r="B8552" s="439"/>
      <c r="C8552" s="439"/>
      <c r="D8552" s="439"/>
      <c r="E8552" s="439"/>
      <c r="F8552" s="439"/>
      <c r="Z8552" s="500"/>
      <c r="AA8552" s="500"/>
      <c r="AB8552" s="500"/>
      <c r="AC8552" s="500"/>
      <c r="AD8552" s="500"/>
      <c r="AE8552" s="500"/>
      <c r="AF8552" s="500"/>
      <c r="AG8552" s="500"/>
      <c r="AH8552" s="500"/>
      <c r="AI8552" s="500"/>
      <c r="AJ8552" s="500"/>
      <c r="AK8552" s="500"/>
      <c r="AL8552" s="500"/>
      <c r="AM8552" s="500"/>
      <c r="AN8552" s="500"/>
      <c r="AO8552" s="500"/>
      <c r="AP8552" s="500"/>
    </row>
    <row r="8553" spans="1:42" ht="16.5" customHeight="1">
      <c r="A8553" s="497"/>
      <c r="B8553" s="497"/>
      <c r="C8553" s="497"/>
      <c r="D8553" s="497"/>
      <c r="E8553" s="497"/>
      <c r="F8553" s="497"/>
      <c r="Z8553" s="500"/>
      <c r="AA8553" s="500"/>
      <c r="AB8553" s="500"/>
      <c r="AC8553" s="500"/>
      <c r="AD8553" s="500"/>
      <c r="AE8553" s="500"/>
      <c r="AF8553" s="500"/>
      <c r="AG8553" s="500"/>
      <c r="AH8553" s="500"/>
      <c r="AI8553" s="500"/>
      <c r="AJ8553" s="500"/>
      <c r="AK8553" s="500"/>
      <c r="AL8553" s="500"/>
      <c r="AM8553" s="500"/>
      <c r="AN8553" s="500"/>
      <c r="AO8553" s="500"/>
      <c r="AP8553" s="500"/>
    </row>
    <row r="8554" spans="1:42" ht="16.5" customHeight="1">
      <c r="A8554" s="616" t="s">
        <v>3487</v>
      </c>
      <c r="B8554" s="605"/>
      <c r="C8554" s="446">
        <f>E8554+D8554+F8554</f>
        <v>12239</v>
      </c>
      <c r="D8554" s="453">
        <f>ROUNDDOWN(SUMIF(N8507:N8543,M8554,D8507:D8543),0)</f>
        <v>11393</v>
      </c>
      <c r="E8554" s="454">
        <f>ROUNDDOWN(SUMIF(N8507:N8543,M8554,E8507:E8543),0)</f>
        <v>281</v>
      </c>
      <c r="F8554" s="446">
        <f>ROUNDDOWN(SUMIF(N8507:N8543,M8554,F8507:F8543),0)</f>
        <v>565</v>
      </c>
      <c r="M8554" s="501" t="s">
        <v>2354</v>
      </c>
      <c r="Z8554" s="500"/>
      <c r="AA8554" s="500"/>
      <c r="AB8554" s="500"/>
      <c r="AC8554" s="500"/>
      <c r="AD8554" s="500"/>
      <c r="AE8554" s="500"/>
      <c r="AF8554" s="500"/>
      <c r="AG8554" s="500"/>
      <c r="AH8554" s="500"/>
      <c r="AI8554" s="500"/>
      <c r="AJ8554" s="500"/>
      <c r="AK8554" s="500"/>
      <c r="AL8554" s="500"/>
      <c r="AM8554" s="500"/>
      <c r="AN8554" s="500"/>
      <c r="AO8554" s="500"/>
      <c r="AP8554" s="500"/>
    </row>
    <row r="8555" spans="1:42" ht="16.5" customHeight="1">
      <c r="A8555" s="502" t="s">
        <v>3376</v>
      </c>
      <c r="B8555" s="503" t="s">
        <v>3392</v>
      </c>
      <c r="C8555" s="615">
        <f>C8604</f>
        <v>6156</v>
      </c>
      <c r="D8555" s="615">
        <f>D8604</f>
        <v>6156</v>
      </c>
      <c r="E8555" s="615">
        <f>E8604</f>
        <v>0</v>
      </c>
      <c r="F8555" s="615">
        <f>F8604</f>
        <v>0</v>
      </c>
      <c r="G8555" s="486" t="str">
        <f>HYPERLINK("#G"&amp;ROW(G8571),"_x0005_`BDCOD|D00939_x0007_`POSS|"&amp;ROW(G8557)&amp;"_x0007_`POSE|"&amp;ROW(G8571)&amp;"_x0007_`")</f>
        <v>_x0005_`BDCOD|D00939_x0007_`POSS|8557_x0007_`POSE|8571_x0007_`</v>
      </c>
      <c r="Z8555" s="500"/>
      <c r="AA8555" s="500"/>
      <c r="AB8555" s="500"/>
      <c r="AC8555" s="500"/>
      <c r="AD8555" s="500"/>
      <c r="AE8555" s="500"/>
      <c r="AF8555" s="500"/>
      <c r="AG8555" s="500"/>
      <c r="AH8555" s="500"/>
      <c r="AI8555" s="500"/>
      <c r="AJ8555" s="500"/>
      <c r="AK8555" s="500"/>
      <c r="AL8555" s="500"/>
      <c r="AM8555" s="500"/>
      <c r="AN8555" s="500"/>
      <c r="AO8555" s="500"/>
      <c r="AP8555" s="500"/>
    </row>
    <row r="8556" spans="1:42" ht="16.5" customHeight="1">
      <c r="A8556" s="485"/>
      <c r="B8556" s="503" t="s">
        <v>4388</v>
      </c>
      <c r="C8556" s="593"/>
      <c r="D8556" s="593"/>
      <c r="E8556" s="593"/>
      <c r="F8556" s="593"/>
      <c r="M8556" s="501" t="s">
        <v>3392</v>
      </c>
      <c r="Z8556" s="500"/>
      <c r="AA8556" s="500"/>
      <c r="AB8556" s="500"/>
      <c r="AC8556" s="500"/>
      <c r="AD8556" s="500"/>
      <c r="AE8556" s="500"/>
      <c r="AF8556" s="500"/>
      <c r="AG8556" s="500"/>
      <c r="AH8556" s="500"/>
      <c r="AI8556" s="500"/>
      <c r="AJ8556" s="500"/>
      <c r="AK8556" s="500"/>
      <c r="AL8556" s="500"/>
      <c r="AM8556" s="500"/>
      <c r="AN8556" s="500"/>
      <c r="AO8556" s="500"/>
      <c r="AP8556" s="500"/>
    </row>
    <row r="8557" spans="1:42" ht="16.5" customHeight="1">
      <c r="A8557" s="439"/>
      <c r="B8557" s="439"/>
      <c r="C8557" s="504"/>
      <c r="D8557" s="504"/>
      <c r="E8557" s="504"/>
      <c r="F8557" s="504"/>
      <c r="G8557" s="451" t="s">
        <v>3406</v>
      </c>
      <c r="Z8557" s="500"/>
      <c r="AA8557" s="500"/>
      <c r="AB8557" s="500"/>
      <c r="AC8557" s="500"/>
      <c r="AD8557" s="500"/>
      <c r="AE8557" s="500"/>
      <c r="AF8557" s="500"/>
      <c r="AG8557" s="500"/>
      <c r="AH8557" s="500"/>
      <c r="AI8557" s="500"/>
      <c r="AJ8557" s="500"/>
      <c r="AK8557" s="500"/>
      <c r="AL8557" s="500"/>
      <c r="AM8557" s="500"/>
      <c r="AN8557" s="500"/>
      <c r="AO8557" s="500"/>
      <c r="AP8557" s="500"/>
    </row>
    <row r="8558" spans="1:42" ht="16.5" customHeight="1">
      <c r="A8558" s="434"/>
      <c r="B8558" s="437" t="s">
        <v>4389</v>
      </c>
      <c r="C8558" s="439"/>
      <c r="D8558" s="439"/>
      <c r="E8558" s="439"/>
      <c r="F8558" s="439"/>
      <c r="G8558" s="451" t="s">
        <v>4390</v>
      </c>
      <c r="Z8558" s="500"/>
      <c r="AA8558" s="500"/>
      <c r="AB8558" s="500"/>
      <c r="AC8558" s="500"/>
      <c r="AD8558" s="500"/>
      <c r="AE8558" s="500"/>
      <c r="AF8558" s="500"/>
      <c r="AG8558" s="500"/>
      <c r="AH8558" s="500"/>
      <c r="AI8558" s="500"/>
      <c r="AJ8558" s="500"/>
      <c r="AK8558" s="500"/>
      <c r="AL8558" s="500"/>
      <c r="AM8558" s="500"/>
      <c r="AN8558" s="500"/>
      <c r="AO8558" s="500"/>
      <c r="AP8558" s="500"/>
    </row>
    <row r="8559" spans="1:42" ht="16.5" customHeight="1">
      <c r="A8559" s="439"/>
      <c r="B8559" s="439"/>
      <c r="C8559" s="439"/>
      <c r="D8559" s="439"/>
      <c r="E8559" s="439"/>
      <c r="F8559" s="439"/>
      <c r="G8559" s="451" t="s">
        <v>3406</v>
      </c>
      <c r="Z8559" s="500"/>
      <c r="AA8559" s="500"/>
      <c r="AB8559" s="500"/>
      <c r="AC8559" s="500"/>
      <c r="AD8559" s="500"/>
      <c r="AE8559" s="500"/>
      <c r="AF8559" s="500"/>
      <c r="AG8559" s="500"/>
      <c r="AH8559" s="500"/>
      <c r="AI8559" s="500"/>
      <c r="AJ8559" s="500"/>
      <c r="AK8559" s="500"/>
      <c r="AL8559" s="500"/>
      <c r="AM8559" s="500"/>
      <c r="AN8559" s="500"/>
      <c r="AO8559" s="500"/>
      <c r="AP8559" s="500"/>
    </row>
    <row r="8560" spans="1:42" ht="16.5" customHeight="1">
      <c r="A8560" s="439"/>
      <c r="B8560" s="439"/>
      <c r="C8560" s="439"/>
      <c r="D8560" s="439"/>
      <c r="E8560" s="439"/>
      <c r="F8560" s="439"/>
      <c r="G8560" s="451" t="s">
        <v>3406</v>
      </c>
      <c r="Z8560" s="500"/>
      <c r="AA8560" s="500"/>
      <c r="AB8560" s="500"/>
      <c r="AC8560" s="500"/>
      <c r="AD8560" s="500"/>
      <c r="AE8560" s="500"/>
      <c r="AF8560" s="500"/>
      <c r="AG8560" s="500"/>
      <c r="AH8560" s="500"/>
      <c r="AI8560" s="500"/>
      <c r="AJ8560" s="500"/>
      <c r="AK8560" s="500"/>
      <c r="AL8560" s="500"/>
      <c r="AM8560" s="500"/>
      <c r="AN8560" s="500"/>
      <c r="AO8560" s="500"/>
      <c r="AP8560" s="500"/>
    </row>
    <row r="8561" spans="1:42" ht="16.5" customHeight="1">
      <c r="A8561" s="434"/>
      <c r="B8561" s="437" t="s">
        <v>4178</v>
      </c>
      <c r="C8561" s="439"/>
      <c r="D8561" s="439"/>
      <c r="E8561" s="439"/>
      <c r="F8561" s="439"/>
      <c r="G8561" s="451" t="s">
        <v>4179</v>
      </c>
      <c r="Z8561" s="500"/>
      <c r="AA8561" s="500"/>
      <c r="AB8561" s="500"/>
      <c r="AC8561" s="500"/>
      <c r="AD8561" s="500"/>
      <c r="AE8561" s="500"/>
      <c r="AF8561" s="500"/>
      <c r="AG8561" s="500"/>
      <c r="AH8561" s="500"/>
      <c r="AI8561" s="500"/>
      <c r="AJ8561" s="500"/>
      <c r="AK8561" s="500"/>
      <c r="AL8561" s="500"/>
      <c r="AM8561" s="500"/>
      <c r="AN8561" s="500"/>
      <c r="AO8561" s="500"/>
      <c r="AP8561" s="500"/>
    </row>
    <row r="8562" spans="1:42" ht="16.5" customHeight="1">
      <c r="A8562" s="439"/>
      <c r="B8562" s="439"/>
      <c r="C8562" s="439"/>
      <c r="D8562" s="439"/>
      <c r="E8562" s="439"/>
      <c r="F8562" s="439"/>
      <c r="G8562" s="451" t="s">
        <v>3406</v>
      </c>
      <c r="Z8562" s="500"/>
      <c r="AA8562" s="500"/>
      <c r="AB8562" s="500"/>
      <c r="AC8562" s="500"/>
      <c r="AD8562" s="500"/>
      <c r="AE8562" s="500"/>
      <c r="AF8562" s="500"/>
      <c r="AG8562" s="500"/>
      <c r="AH8562" s="500"/>
      <c r="AI8562" s="500"/>
      <c r="AJ8562" s="500"/>
      <c r="AK8562" s="500"/>
      <c r="AL8562" s="500"/>
      <c r="AM8562" s="500"/>
      <c r="AN8562" s="500"/>
      <c r="AO8562" s="500"/>
      <c r="AP8562" s="500"/>
    </row>
    <row r="8563" spans="1:42" ht="16.5" customHeight="1">
      <c r="A8563" s="434"/>
      <c r="B8563" s="437" t="str">
        <f>"  조경공 1인, 보통인부 4인, 시공량 :  Q = "&amp;Z8563&amp;" ㎡ "</f>
        <v xml:space="preserve">  조경공 1인, 보통인부 4인, 시공량 :  Q = 150 ㎡ </v>
      </c>
      <c r="C8563" s="439"/>
      <c r="D8563" s="439"/>
      <c r="E8563" s="439"/>
      <c r="F8563" s="439"/>
      <c r="G8563" s="451" t="s">
        <v>4391</v>
      </c>
      <c r="Z8563" s="515">
        <v>150</v>
      </c>
      <c r="AA8563" s="501" t="s">
        <v>3418</v>
      </c>
      <c r="AB8563" s="512">
        <f>Z8563</f>
        <v>150</v>
      </c>
      <c r="AC8563" s="500"/>
      <c r="AD8563" s="500"/>
      <c r="AE8563" s="500"/>
      <c r="AF8563" s="500"/>
      <c r="AG8563" s="500"/>
      <c r="AH8563" s="500"/>
      <c r="AI8563" s="500"/>
      <c r="AJ8563" s="500"/>
      <c r="AK8563" s="500"/>
      <c r="AL8563" s="500"/>
      <c r="AM8563" s="500"/>
      <c r="AN8563" s="500"/>
      <c r="AO8563" s="500"/>
      <c r="AP8563" s="500"/>
    </row>
    <row r="8564" spans="1:42" ht="16.5" customHeight="1">
      <c r="A8564" s="439"/>
      <c r="B8564" s="439"/>
      <c r="C8564" s="439"/>
      <c r="D8564" s="439"/>
      <c r="E8564" s="439"/>
      <c r="F8564" s="439"/>
      <c r="G8564" s="451" t="s">
        <v>3406</v>
      </c>
      <c r="Z8564" s="500"/>
      <c r="AA8564" s="500"/>
      <c r="AB8564" s="500"/>
      <c r="AC8564" s="500"/>
      <c r="AD8564" s="500"/>
      <c r="AE8564" s="500"/>
      <c r="AF8564" s="500"/>
      <c r="AG8564" s="500"/>
      <c r="AH8564" s="500"/>
      <c r="AI8564" s="500"/>
      <c r="AJ8564" s="500"/>
      <c r="AK8564" s="500"/>
      <c r="AL8564" s="500"/>
      <c r="AM8564" s="500"/>
      <c r="AN8564" s="500"/>
      <c r="AO8564" s="500"/>
      <c r="AP8564" s="500"/>
    </row>
    <row r="8565" spans="1:42" ht="16.5" customHeight="1">
      <c r="A8565" s="434" t="s">
        <v>3498</v>
      </c>
      <c r="B8565" s="505" t="str">
        <f>" 조경공 : "&amp;TEXT(I8565,"#,##0"&amp;IF(I8565&lt;&gt;INT(I8565),".###",""))&amp;" * "&amp;AA8565&amp;" / Q = "&amp;TEXT(C8565,"#,##0.0")&amp;""</f>
        <v xml:space="preserve"> 조경공 : 235,204 * 1 / Q = 1,568.0</v>
      </c>
      <c r="C8565" s="506">
        <f>E8565+D8565+F8565</f>
        <v>1568</v>
      </c>
      <c r="D8565" s="506">
        <f>IF(H8565=0,0,ROUNDDOWN(J8565*H8565,1))</f>
        <v>1568</v>
      </c>
      <c r="E8565" s="506">
        <f>IF(H8565=0,0,ROUNDDOWN(K8565*H8565,1))</f>
        <v>0</v>
      </c>
      <c r="F8565" s="506">
        <f>IF(H8565=0,0,ROUNDDOWN(L8565*H8565,1))</f>
        <v>0</v>
      </c>
      <c r="G8565" s="451" t="s">
        <v>4181</v>
      </c>
      <c r="H8565" s="507">
        <f>ROUNDUP(AE8565,14-LEN(ABS(INT(AE8565))))</f>
        <v>6.6666666666999998E-3</v>
      </c>
      <c r="I8565" s="508">
        <f>K8565+J8565+L8565</f>
        <v>235204</v>
      </c>
      <c r="J8565" s="509">
        <f>노무비목록표!E15</f>
        <v>235204</v>
      </c>
      <c r="M8565" s="501" t="s">
        <v>2359</v>
      </c>
      <c r="N8565" s="501" t="s">
        <v>3416</v>
      </c>
      <c r="X8565" s="510" t="str">
        <f>노무비목록표!B15&amp;" / "&amp;노무비목록표!C15</f>
        <v xml:space="preserve">조경공 / </v>
      </c>
      <c r="Y8565" s="433" t="str">
        <f ca="1">HYPERLINK("#"&amp;노무비목록표!G2&amp;"!A"&amp;ROW(노무비목록표!A15),"L00184 →")</f>
        <v>L00184 →</v>
      </c>
      <c r="Z8565" s="501" t="s">
        <v>3500</v>
      </c>
      <c r="AA8565" s="515">
        <v>1</v>
      </c>
      <c r="AB8565" s="501" t="s">
        <v>3428</v>
      </c>
      <c r="AC8565" s="512">
        <f>AB8563</f>
        <v>150</v>
      </c>
      <c r="AD8565" s="501" t="s">
        <v>3418</v>
      </c>
      <c r="AE8565" s="512">
        <f>1*AA8565/AB8563</f>
        <v>6.6666666666666671E-3</v>
      </c>
      <c r="AF8565" s="500"/>
      <c r="AG8565" s="500"/>
      <c r="AH8565" s="500"/>
      <c r="AI8565" s="500"/>
      <c r="AJ8565" s="500"/>
      <c r="AK8565" s="500"/>
      <c r="AL8565" s="500"/>
      <c r="AM8565" s="500"/>
      <c r="AN8565" s="500"/>
      <c r="AO8565" s="500"/>
      <c r="AP8565" s="500"/>
    </row>
    <row r="8566" spans="1:42" ht="16.5" customHeight="1">
      <c r="A8566" s="439"/>
      <c r="B8566" s="439"/>
      <c r="C8566" s="439"/>
      <c r="D8566" s="439"/>
      <c r="E8566" s="439"/>
      <c r="F8566" s="439"/>
      <c r="G8566" s="451" t="s">
        <v>3406</v>
      </c>
      <c r="Z8566" s="500"/>
      <c r="AA8566" s="500"/>
      <c r="AB8566" s="500"/>
      <c r="AC8566" s="500"/>
      <c r="AD8566" s="500"/>
      <c r="AE8566" s="500"/>
      <c r="AF8566" s="500"/>
      <c r="AG8566" s="500"/>
      <c r="AH8566" s="500"/>
      <c r="AI8566" s="500"/>
      <c r="AJ8566" s="500"/>
      <c r="AK8566" s="500"/>
      <c r="AL8566" s="500"/>
      <c r="AM8566" s="500"/>
      <c r="AN8566" s="500"/>
      <c r="AO8566" s="500"/>
      <c r="AP8566" s="500"/>
    </row>
    <row r="8567" spans="1:42" ht="16.5" customHeight="1">
      <c r="A8567" s="439"/>
      <c r="B8567" s="439"/>
      <c r="C8567" s="439"/>
      <c r="D8567" s="439"/>
      <c r="E8567" s="439"/>
      <c r="F8567" s="439"/>
      <c r="G8567" s="451" t="s">
        <v>3406</v>
      </c>
      <c r="Z8567" s="500"/>
      <c r="AA8567" s="500"/>
      <c r="AB8567" s="500"/>
      <c r="AC8567" s="500"/>
      <c r="AD8567" s="500"/>
      <c r="AE8567" s="500"/>
      <c r="AF8567" s="500"/>
      <c r="AG8567" s="500"/>
      <c r="AH8567" s="500"/>
      <c r="AI8567" s="500"/>
      <c r="AJ8567" s="500"/>
      <c r="AK8567" s="500"/>
      <c r="AL8567" s="500"/>
      <c r="AM8567" s="500"/>
      <c r="AN8567" s="500"/>
      <c r="AO8567" s="500"/>
      <c r="AP8567" s="500"/>
    </row>
    <row r="8568" spans="1:42" ht="16.5" customHeight="1">
      <c r="A8568" s="434" t="s">
        <v>3414</v>
      </c>
      <c r="B8568" s="505" t="str">
        <f>" 보통인부 : "&amp;TEXT(I8568,"#,##0"&amp;IF(I8568&lt;&gt;INT(I8568),".###",""))&amp;" * "&amp;AA8568&amp;" / Q  = "&amp;TEXT(C8568,"#,##0.0")&amp;""</f>
        <v xml:space="preserve"> 보통인부 : 172,068 * 4 / Q  = 4,588.4</v>
      </c>
      <c r="C8568" s="506">
        <f>E8568+D8568+F8568</f>
        <v>4588.3999999999996</v>
      </c>
      <c r="D8568" s="506">
        <f>IF(H8568=0,0,ROUNDDOWN(J8568*H8568,1))</f>
        <v>4588.3999999999996</v>
      </c>
      <c r="E8568" s="506">
        <f>IF(H8568=0,0,ROUNDDOWN(K8568*H8568,1))</f>
        <v>0</v>
      </c>
      <c r="F8568" s="506">
        <f>IF(H8568=0,0,ROUNDDOWN(L8568*H8568,1))</f>
        <v>0</v>
      </c>
      <c r="G8568" s="451" t="s">
        <v>4182</v>
      </c>
      <c r="H8568" s="507">
        <f>ROUNDUP(AE8568,14-LEN(ABS(INT(AE8568))))</f>
        <v>2.6666666666699999E-2</v>
      </c>
      <c r="I8568" s="508">
        <f>K8568+J8568+L8568</f>
        <v>172068</v>
      </c>
      <c r="J8568" s="509">
        <f>노무비목록표!E10</f>
        <v>172068</v>
      </c>
      <c r="M8568" s="501" t="s">
        <v>2363</v>
      </c>
      <c r="N8568" s="501" t="s">
        <v>3416</v>
      </c>
      <c r="X8568" s="510" t="str">
        <f>노무비목록표!B10&amp;" / "&amp;노무비목록표!C10</f>
        <v xml:space="preserve">보통인부 / </v>
      </c>
      <c r="Y8568" s="433" t="str">
        <f ca="1">HYPERLINK("#"&amp;노무비목록표!G2&amp;"!A"&amp;ROW(노무비목록표!A10),"L00017 →")</f>
        <v>L00017 →</v>
      </c>
      <c r="Z8568" s="501" t="s">
        <v>3500</v>
      </c>
      <c r="AA8568" s="515">
        <v>4</v>
      </c>
      <c r="AB8568" s="501" t="s">
        <v>3428</v>
      </c>
      <c r="AC8568" s="512">
        <f>AB8563</f>
        <v>150</v>
      </c>
      <c r="AD8568" s="501" t="s">
        <v>3418</v>
      </c>
      <c r="AE8568" s="512">
        <f>1*AA8568/AB8563</f>
        <v>2.6666666666666668E-2</v>
      </c>
      <c r="AF8568" s="500"/>
      <c r="AG8568" s="500"/>
      <c r="AH8568" s="500"/>
      <c r="AI8568" s="500"/>
      <c r="AJ8568" s="500"/>
      <c r="AK8568" s="500"/>
      <c r="AL8568" s="500"/>
      <c r="AM8568" s="500"/>
      <c r="AN8568" s="500"/>
      <c r="AO8568" s="500"/>
      <c r="AP8568" s="500"/>
    </row>
    <row r="8569" spans="1:42" ht="16.5" customHeight="1">
      <c r="A8569" s="439"/>
      <c r="B8569" s="439"/>
      <c r="C8569" s="439"/>
      <c r="D8569" s="439"/>
      <c r="E8569" s="439"/>
      <c r="F8569" s="439"/>
      <c r="G8569" s="451" t="s">
        <v>3406</v>
      </c>
      <c r="Z8569" s="500"/>
      <c r="AA8569" s="500"/>
      <c r="AB8569" s="500"/>
      <c r="AC8569" s="500"/>
      <c r="AD8569" s="500"/>
      <c r="AE8569" s="500"/>
      <c r="AF8569" s="500"/>
      <c r="AG8569" s="500"/>
      <c r="AH8569" s="500"/>
      <c r="AI8569" s="500"/>
      <c r="AJ8569" s="500"/>
      <c r="AK8569" s="500"/>
      <c r="AL8569" s="500"/>
      <c r="AM8569" s="500"/>
      <c r="AN8569" s="500"/>
      <c r="AO8569" s="500"/>
      <c r="AP8569" s="500"/>
    </row>
    <row r="8570" spans="1:42" ht="16.5" customHeight="1">
      <c r="A8570" s="439"/>
      <c r="B8570" s="439"/>
      <c r="C8570" s="439"/>
      <c r="D8570" s="439"/>
      <c r="E8570" s="439"/>
      <c r="F8570" s="439"/>
      <c r="G8570" s="451" t="s">
        <v>3406</v>
      </c>
      <c r="Z8570" s="500"/>
      <c r="AA8570" s="500"/>
      <c r="AB8570" s="500"/>
      <c r="AC8570" s="500"/>
      <c r="AD8570" s="500"/>
      <c r="AE8570" s="500"/>
      <c r="AF8570" s="500"/>
      <c r="AG8570" s="500"/>
      <c r="AH8570" s="500"/>
      <c r="AI8570" s="500"/>
      <c r="AJ8570" s="500"/>
      <c r="AK8570" s="500"/>
      <c r="AL8570" s="500"/>
      <c r="AM8570" s="500"/>
      <c r="AN8570" s="500"/>
      <c r="AO8570" s="500"/>
      <c r="AP8570" s="500"/>
    </row>
    <row r="8571" spans="1:42" ht="16.5" customHeight="1">
      <c r="A8571" s="434"/>
      <c r="B8571" s="437" t="s">
        <v>3419</v>
      </c>
      <c r="C8571" s="513">
        <f>E8571+D8571+F8571</f>
        <v>6156.4</v>
      </c>
      <c r="D8571" s="513">
        <f>SUMIF(N8557:N8570,M8571,D8557:D8570)</f>
        <v>6156.4</v>
      </c>
      <c r="E8571" s="513">
        <f>SUMIF(N8557:N8570,M8571,E8557:E8570)</f>
        <v>0</v>
      </c>
      <c r="F8571" s="513">
        <f>SUMIF(N8557:N8570,M8571,F8557:F8570)</f>
        <v>0</v>
      </c>
      <c r="G8571" s="451" t="s">
        <v>3439</v>
      </c>
      <c r="M8571" s="501" t="s">
        <v>3416</v>
      </c>
      <c r="N8571" s="501" t="s">
        <v>2354</v>
      </c>
      <c r="Z8571" s="500"/>
      <c r="AA8571" s="500"/>
      <c r="AB8571" s="500"/>
      <c r="AC8571" s="500"/>
      <c r="AD8571" s="500"/>
      <c r="AE8571" s="500"/>
      <c r="AF8571" s="500"/>
      <c r="AG8571" s="500"/>
      <c r="AH8571" s="500"/>
      <c r="AI8571" s="500"/>
      <c r="AJ8571" s="500"/>
      <c r="AK8571" s="500"/>
      <c r="AL8571" s="500"/>
      <c r="AM8571" s="500"/>
      <c r="AN8571" s="500"/>
      <c r="AO8571" s="500"/>
      <c r="AP8571" s="500"/>
    </row>
    <row r="8572" spans="1:42" ht="16.5" customHeight="1">
      <c r="A8572" s="439"/>
      <c r="B8572" s="439"/>
      <c r="C8572" s="504"/>
      <c r="D8572" s="504"/>
      <c r="E8572" s="504"/>
      <c r="F8572" s="504"/>
      <c r="Z8572" s="500"/>
      <c r="AA8572" s="500"/>
      <c r="AB8572" s="500"/>
      <c r="AC8572" s="500"/>
      <c r="AD8572" s="500"/>
      <c r="AE8572" s="500"/>
      <c r="AF8572" s="500"/>
      <c r="AG8572" s="500"/>
      <c r="AH8572" s="500"/>
      <c r="AI8572" s="500"/>
      <c r="AJ8572" s="500"/>
      <c r="AK8572" s="500"/>
      <c r="AL8572" s="500"/>
      <c r="AM8572" s="500"/>
      <c r="AN8572" s="500"/>
      <c r="AO8572" s="500"/>
      <c r="AP8572" s="500"/>
    </row>
    <row r="8573" spans="1:42" ht="16.5" customHeight="1">
      <c r="A8573" s="439"/>
      <c r="B8573" s="439"/>
      <c r="C8573" s="439"/>
      <c r="D8573" s="439"/>
      <c r="E8573" s="439"/>
      <c r="F8573" s="439"/>
      <c r="Z8573" s="500"/>
      <c r="AA8573" s="500"/>
      <c r="AB8573" s="500"/>
      <c r="AC8573" s="500"/>
      <c r="AD8573" s="500"/>
      <c r="AE8573" s="500"/>
      <c r="AF8573" s="500"/>
      <c r="AG8573" s="500"/>
      <c r="AH8573" s="500"/>
      <c r="AI8573" s="500"/>
      <c r="AJ8573" s="500"/>
      <c r="AK8573" s="500"/>
      <c r="AL8573" s="500"/>
      <c r="AM8573" s="500"/>
      <c r="AN8573" s="500"/>
      <c r="AO8573" s="500"/>
      <c r="AP8573" s="500"/>
    </row>
    <row r="8574" spans="1:42" ht="16.5" customHeight="1">
      <c r="A8574" s="439"/>
      <c r="B8574" s="439"/>
      <c r="C8574" s="439"/>
      <c r="D8574" s="439"/>
      <c r="E8574" s="439"/>
      <c r="F8574" s="439"/>
      <c r="Z8574" s="500"/>
      <c r="AA8574" s="500"/>
      <c r="AB8574" s="500"/>
      <c r="AC8574" s="500"/>
      <c r="AD8574" s="500"/>
      <c r="AE8574" s="500"/>
      <c r="AF8574" s="500"/>
      <c r="AG8574" s="500"/>
      <c r="AH8574" s="500"/>
      <c r="AI8574" s="500"/>
      <c r="AJ8574" s="500"/>
      <c r="AK8574" s="500"/>
      <c r="AL8574" s="500"/>
      <c r="AM8574" s="500"/>
      <c r="AN8574" s="500"/>
      <c r="AO8574" s="500"/>
      <c r="AP8574" s="500"/>
    </row>
    <row r="8575" spans="1:42" ht="16.5" customHeight="1">
      <c r="A8575" s="439"/>
      <c r="B8575" s="439"/>
      <c r="C8575" s="439"/>
      <c r="D8575" s="439"/>
      <c r="E8575" s="439"/>
      <c r="F8575" s="439"/>
      <c r="Z8575" s="500"/>
      <c r="AA8575" s="500"/>
      <c r="AB8575" s="500"/>
      <c r="AC8575" s="500"/>
      <c r="AD8575" s="500"/>
      <c r="AE8575" s="500"/>
      <c r="AF8575" s="500"/>
      <c r="AG8575" s="500"/>
      <c r="AH8575" s="500"/>
      <c r="AI8575" s="500"/>
      <c r="AJ8575" s="500"/>
      <c r="AK8575" s="500"/>
      <c r="AL8575" s="500"/>
      <c r="AM8575" s="500"/>
      <c r="AN8575" s="500"/>
      <c r="AO8575" s="500"/>
      <c r="AP8575" s="500"/>
    </row>
    <row r="8576" spans="1:42" ht="16.5" customHeight="1">
      <c r="A8576" s="439"/>
      <c r="B8576" s="439"/>
      <c r="C8576" s="439"/>
      <c r="D8576" s="439"/>
      <c r="E8576" s="439"/>
      <c r="F8576" s="439"/>
      <c r="Z8576" s="500"/>
      <c r="AA8576" s="500"/>
      <c r="AB8576" s="500"/>
      <c r="AC8576" s="500"/>
      <c r="AD8576" s="500"/>
      <c r="AE8576" s="500"/>
      <c r="AF8576" s="500"/>
      <c r="AG8576" s="500"/>
      <c r="AH8576" s="500"/>
      <c r="AI8576" s="500"/>
      <c r="AJ8576" s="500"/>
      <c r="AK8576" s="500"/>
      <c r="AL8576" s="500"/>
      <c r="AM8576" s="500"/>
      <c r="AN8576" s="500"/>
      <c r="AO8576" s="500"/>
      <c r="AP8576" s="500"/>
    </row>
    <row r="8577" spans="1:42" ht="16.5" customHeight="1">
      <c r="A8577" s="439"/>
      <c r="B8577" s="439"/>
      <c r="C8577" s="439"/>
      <c r="D8577" s="439"/>
      <c r="E8577" s="439"/>
      <c r="F8577" s="439"/>
      <c r="Z8577" s="500"/>
      <c r="AA8577" s="500"/>
      <c r="AB8577" s="500"/>
      <c r="AC8577" s="500"/>
      <c r="AD8577" s="500"/>
      <c r="AE8577" s="500"/>
      <c r="AF8577" s="500"/>
      <c r="AG8577" s="500"/>
      <c r="AH8577" s="500"/>
      <c r="AI8577" s="500"/>
      <c r="AJ8577" s="500"/>
      <c r="AK8577" s="500"/>
      <c r="AL8577" s="500"/>
      <c r="AM8577" s="500"/>
      <c r="AN8577" s="500"/>
      <c r="AO8577" s="500"/>
      <c r="AP8577" s="500"/>
    </row>
    <row r="8578" spans="1:42" ht="16.5" customHeight="1">
      <c r="A8578" s="439"/>
      <c r="B8578" s="439"/>
      <c r="C8578" s="439"/>
      <c r="D8578" s="439"/>
      <c r="E8578" s="439"/>
      <c r="F8578" s="439"/>
      <c r="Z8578" s="500"/>
      <c r="AA8578" s="500"/>
      <c r="AB8578" s="500"/>
      <c r="AC8578" s="500"/>
      <c r="AD8578" s="500"/>
      <c r="AE8578" s="500"/>
      <c r="AF8578" s="500"/>
      <c r="AG8578" s="500"/>
      <c r="AH8578" s="500"/>
      <c r="AI8578" s="500"/>
      <c r="AJ8578" s="500"/>
      <c r="AK8578" s="500"/>
      <c r="AL8578" s="500"/>
      <c r="AM8578" s="500"/>
      <c r="AN8578" s="500"/>
      <c r="AO8578" s="500"/>
      <c r="AP8578" s="500"/>
    </row>
    <row r="8579" spans="1:42" ht="16.5" customHeight="1">
      <c r="A8579" s="439"/>
      <c r="B8579" s="439"/>
      <c r="C8579" s="439"/>
      <c r="D8579" s="439"/>
      <c r="E8579" s="439"/>
      <c r="F8579" s="439"/>
      <c r="Z8579" s="500"/>
      <c r="AA8579" s="500"/>
      <c r="AB8579" s="500"/>
      <c r="AC8579" s="500"/>
      <c r="AD8579" s="500"/>
      <c r="AE8579" s="500"/>
      <c r="AF8579" s="500"/>
      <c r="AG8579" s="500"/>
      <c r="AH8579" s="500"/>
      <c r="AI8579" s="500"/>
      <c r="AJ8579" s="500"/>
      <c r="AK8579" s="500"/>
      <c r="AL8579" s="500"/>
      <c r="AM8579" s="500"/>
      <c r="AN8579" s="500"/>
      <c r="AO8579" s="500"/>
      <c r="AP8579" s="500"/>
    </row>
    <row r="8580" spans="1:42" ht="16.5" customHeight="1">
      <c r="A8580" s="439"/>
      <c r="B8580" s="439"/>
      <c r="C8580" s="439"/>
      <c r="D8580" s="439"/>
      <c r="E8580" s="439"/>
      <c r="F8580" s="439"/>
      <c r="Z8580" s="500"/>
      <c r="AA8580" s="500"/>
      <c r="AB8580" s="500"/>
      <c r="AC8580" s="500"/>
      <c r="AD8580" s="500"/>
      <c r="AE8580" s="500"/>
      <c r="AF8580" s="500"/>
      <c r="AG8580" s="500"/>
      <c r="AH8580" s="500"/>
      <c r="AI8580" s="500"/>
      <c r="AJ8580" s="500"/>
      <c r="AK8580" s="500"/>
      <c r="AL8580" s="500"/>
      <c r="AM8580" s="500"/>
      <c r="AN8580" s="500"/>
      <c r="AO8580" s="500"/>
      <c r="AP8580" s="500"/>
    </row>
    <row r="8581" spans="1:42" ht="16.5" customHeight="1">
      <c r="A8581" s="439"/>
      <c r="B8581" s="439"/>
      <c r="C8581" s="439"/>
      <c r="D8581" s="439"/>
      <c r="E8581" s="439"/>
      <c r="F8581" s="439"/>
      <c r="Z8581" s="500"/>
      <c r="AA8581" s="500"/>
      <c r="AB8581" s="500"/>
      <c r="AC8581" s="500"/>
      <c r="AD8581" s="500"/>
      <c r="AE8581" s="500"/>
      <c r="AF8581" s="500"/>
      <c r="AG8581" s="500"/>
      <c r="AH8581" s="500"/>
      <c r="AI8581" s="500"/>
      <c r="AJ8581" s="500"/>
      <c r="AK8581" s="500"/>
      <c r="AL8581" s="500"/>
      <c r="AM8581" s="500"/>
      <c r="AN8581" s="500"/>
      <c r="AO8581" s="500"/>
      <c r="AP8581" s="500"/>
    </row>
    <row r="8582" spans="1:42" ht="16.5" customHeight="1">
      <c r="A8582" s="439"/>
      <c r="B8582" s="439"/>
      <c r="C8582" s="439"/>
      <c r="D8582" s="439"/>
      <c r="E8582" s="439"/>
      <c r="F8582" s="439"/>
      <c r="Z8582" s="500"/>
      <c r="AA8582" s="500"/>
      <c r="AB8582" s="500"/>
      <c r="AC8582" s="500"/>
      <c r="AD8582" s="500"/>
      <c r="AE8582" s="500"/>
      <c r="AF8582" s="500"/>
      <c r="AG8582" s="500"/>
      <c r="AH8582" s="500"/>
      <c r="AI8582" s="500"/>
      <c r="AJ8582" s="500"/>
      <c r="AK8582" s="500"/>
      <c r="AL8582" s="500"/>
      <c r="AM8582" s="500"/>
      <c r="AN8582" s="500"/>
      <c r="AO8582" s="500"/>
      <c r="AP8582" s="500"/>
    </row>
    <row r="8583" spans="1:42" ht="16.5" customHeight="1">
      <c r="A8583" s="439"/>
      <c r="B8583" s="439"/>
      <c r="C8583" s="439"/>
      <c r="D8583" s="439"/>
      <c r="E8583" s="439"/>
      <c r="F8583" s="439"/>
      <c r="Z8583" s="500"/>
      <c r="AA8583" s="500"/>
      <c r="AB8583" s="500"/>
      <c r="AC8583" s="500"/>
      <c r="AD8583" s="500"/>
      <c r="AE8583" s="500"/>
      <c r="AF8583" s="500"/>
      <c r="AG8583" s="500"/>
      <c r="AH8583" s="500"/>
      <c r="AI8583" s="500"/>
      <c r="AJ8583" s="500"/>
      <c r="AK8583" s="500"/>
      <c r="AL8583" s="500"/>
      <c r="AM8583" s="500"/>
      <c r="AN8583" s="500"/>
      <c r="AO8583" s="500"/>
      <c r="AP8583" s="500"/>
    </row>
    <row r="8584" spans="1:42" ht="16.5" customHeight="1">
      <c r="A8584" s="439"/>
      <c r="B8584" s="439"/>
      <c r="C8584" s="439"/>
      <c r="D8584" s="439"/>
      <c r="E8584" s="439"/>
      <c r="F8584" s="439"/>
      <c r="Z8584" s="500"/>
      <c r="AA8584" s="500"/>
      <c r="AB8584" s="500"/>
      <c r="AC8584" s="500"/>
      <c r="AD8584" s="500"/>
      <c r="AE8584" s="500"/>
      <c r="AF8584" s="500"/>
      <c r="AG8584" s="500"/>
      <c r="AH8584" s="500"/>
      <c r="AI8584" s="500"/>
      <c r="AJ8584" s="500"/>
      <c r="AK8584" s="500"/>
      <c r="AL8584" s="500"/>
      <c r="AM8584" s="500"/>
      <c r="AN8584" s="500"/>
      <c r="AO8584" s="500"/>
      <c r="AP8584" s="500"/>
    </row>
    <row r="8585" spans="1:42" ht="16.5" customHeight="1">
      <c r="A8585" s="439"/>
      <c r="B8585" s="439"/>
      <c r="C8585" s="439"/>
      <c r="D8585" s="439"/>
      <c r="E8585" s="439"/>
      <c r="F8585" s="439"/>
      <c r="Z8585" s="500"/>
      <c r="AA8585" s="500"/>
      <c r="AB8585" s="500"/>
      <c r="AC8585" s="500"/>
      <c r="AD8585" s="500"/>
      <c r="AE8585" s="500"/>
      <c r="AF8585" s="500"/>
      <c r="AG8585" s="500"/>
      <c r="AH8585" s="500"/>
      <c r="AI8585" s="500"/>
      <c r="AJ8585" s="500"/>
      <c r="AK8585" s="500"/>
      <c r="AL8585" s="500"/>
      <c r="AM8585" s="500"/>
      <c r="AN8585" s="500"/>
      <c r="AO8585" s="500"/>
      <c r="AP8585" s="500"/>
    </row>
    <row r="8586" spans="1:42" ht="16.5" customHeight="1">
      <c r="A8586" s="439"/>
      <c r="B8586" s="439"/>
      <c r="C8586" s="439"/>
      <c r="D8586" s="439"/>
      <c r="E8586" s="439"/>
      <c r="F8586" s="439"/>
      <c r="Z8586" s="500"/>
      <c r="AA8586" s="500"/>
      <c r="AB8586" s="500"/>
      <c r="AC8586" s="500"/>
      <c r="AD8586" s="500"/>
      <c r="AE8586" s="500"/>
      <c r="AF8586" s="500"/>
      <c r="AG8586" s="500"/>
      <c r="AH8586" s="500"/>
      <c r="AI8586" s="500"/>
      <c r="AJ8586" s="500"/>
      <c r="AK8586" s="500"/>
      <c r="AL8586" s="500"/>
      <c r="AM8586" s="500"/>
      <c r="AN8586" s="500"/>
      <c r="AO8586" s="500"/>
      <c r="AP8586" s="500"/>
    </row>
    <row r="8587" spans="1:42" ht="16.5" customHeight="1">
      <c r="A8587" s="439"/>
      <c r="B8587" s="439"/>
      <c r="C8587" s="439"/>
      <c r="D8587" s="439"/>
      <c r="E8587" s="439"/>
      <c r="F8587" s="439"/>
      <c r="Z8587" s="500"/>
      <c r="AA8587" s="500"/>
      <c r="AB8587" s="500"/>
      <c r="AC8587" s="500"/>
      <c r="AD8587" s="500"/>
      <c r="AE8587" s="500"/>
      <c r="AF8587" s="500"/>
      <c r="AG8587" s="500"/>
      <c r="AH8587" s="500"/>
      <c r="AI8587" s="500"/>
      <c r="AJ8587" s="500"/>
      <c r="AK8587" s="500"/>
      <c r="AL8587" s="500"/>
      <c r="AM8587" s="500"/>
      <c r="AN8587" s="500"/>
      <c r="AO8587" s="500"/>
      <c r="AP8587" s="500"/>
    </row>
    <row r="8588" spans="1:42" ht="16.5" customHeight="1">
      <c r="A8588" s="439"/>
      <c r="B8588" s="439"/>
      <c r="C8588" s="439"/>
      <c r="D8588" s="439"/>
      <c r="E8588" s="439"/>
      <c r="F8588" s="439"/>
      <c r="Z8588" s="500"/>
      <c r="AA8588" s="500"/>
      <c r="AB8588" s="500"/>
      <c r="AC8588" s="500"/>
      <c r="AD8588" s="500"/>
      <c r="AE8588" s="500"/>
      <c r="AF8588" s="500"/>
      <c r="AG8588" s="500"/>
      <c r="AH8588" s="500"/>
      <c r="AI8588" s="500"/>
      <c r="AJ8588" s="500"/>
      <c r="AK8588" s="500"/>
      <c r="AL8588" s="500"/>
      <c r="AM8588" s="500"/>
      <c r="AN8588" s="500"/>
      <c r="AO8588" s="500"/>
      <c r="AP8588" s="500"/>
    </row>
    <row r="8589" spans="1:42" ht="16.5" customHeight="1">
      <c r="A8589" s="439"/>
      <c r="B8589" s="439"/>
      <c r="C8589" s="439"/>
      <c r="D8589" s="439"/>
      <c r="E8589" s="439"/>
      <c r="F8589" s="439"/>
      <c r="Z8589" s="500"/>
      <c r="AA8589" s="500"/>
      <c r="AB8589" s="500"/>
      <c r="AC8589" s="500"/>
      <c r="AD8589" s="500"/>
      <c r="AE8589" s="500"/>
      <c r="AF8589" s="500"/>
      <c r="AG8589" s="500"/>
      <c r="AH8589" s="500"/>
      <c r="AI8589" s="500"/>
      <c r="AJ8589" s="500"/>
      <c r="AK8589" s="500"/>
      <c r="AL8589" s="500"/>
      <c r="AM8589" s="500"/>
      <c r="AN8589" s="500"/>
      <c r="AO8589" s="500"/>
      <c r="AP8589" s="500"/>
    </row>
    <row r="8590" spans="1:42" ht="16.5" customHeight="1">
      <c r="A8590" s="439"/>
      <c r="B8590" s="439"/>
      <c r="C8590" s="439"/>
      <c r="D8590" s="439"/>
      <c r="E8590" s="439"/>
      <c r="F8590" s="439"/>
      <c r="Z8590" s="500"/>
      <c r="AA8590" s="500"/>
      <c r="AB8590" s="500"/>
      <c r="AC8590" s="500"/>
      <c r="AD8590" s="500"/>
      <c r="AE8590" s="500"/>
      <c r="AF8590" s="500"/>
      <c r="AG8590" s="500"/>
      <c r="AH8590" s="500"/>
      <c r="AI8590" s="500"/>
      <c r="AJ8590" s="500"/>
      <c r="AK8590" s="500"/>
      <c r="AL8590" s="500"/>
      <c r="AM8590" s="500"/>
      <c r="AN8590" s="500"/>
      <c r="AO8590" s="500"/>
      <c r="AP8590" s="500"/>
    </row>
    <row r="8591" spans="1:42" ht="16.5" customHeight="1">
      <c r="A8591" s="439"/>
      <c r="B8591" s="439"/>
      <c r="C8591" s="439"/>
      <c r="D8591" s="439"/>
      <c r="E8591" s="439"/>
      <c r="F8591" s="439"/>
      <c r="Z8591" s="500"/>
      <c r="AA8591" s="500"/>
      <c r="AB8591" s="500"/>
      <c r="AC8591" s="500"/>
      <c r="AD8591" s="500"/>
      <c r="AE8591" s="500"/>
      <c r="AF8591" s="500"/>
      <c r="AG8591" s="500"/>
      <c r="AH8591" s="500"/>
      <c r="AI8591" s="500"/>
      <c r="AJ8591" s="500"/>
      <c r="AK8591" s="500"/>
      <c r="AL8591" s="500"/>
      <c r="AM8591" s="500"/>
      <c r="AN8591" s="500"/>
      <c r="AO8591" s="500"/>
      <c r="AP8591" s="500"/>
    </row>
    <row r="8592" spans="1:42" ht="16.5" customHeight="1">
      <c r="A8592" s="439"/>
      <c r="B8592" s="439"/>
      <c r="C8592" s="439"/>
      <c r="D8592" s="439"/>
      <c r="E8592" s="439"/>
      <c r="F8592" s="439"/>
      <c r="Z8592" s="500"/>
      <c r="AA8592" s="500"/>
      <c r="AB8592" s="500"/>
      <c r="AC8592" s="500"/>
      <c r="AD8592" s="500"/>
      <c r="AE8592" s="500"/>
      <c r="AF8592" s="500"/>
      <c r="AG8592" s="500"/>
      <c r="AH8592" s="500"/>
      <c r="AI8592" s="500"/>
      <c r="AJ8592" s="500"/>
      <c r="AK8592" s="500"/>
      <c r="AL8592" s="500"/>
      <c r="AM8592" s="500"/>
      <c r="AN8592" s="500"/>
      <c r="AO8592" s="500"/>
      <c r="AP8592" s="500"/>
    </row>
    <row r="8593" spans="1:42" ht="16.5" customHeight="1">
      <c r="A8593" s="439"/>
      <c r="B8593" s="439"/>
      <c r="C8593" s="439"/>
      <c r="D8593" s="439"/>
      <c r="E8593" s="439"/>
      <c r="F8593" s="439"/>
      <c r="Z8593" s="500"/>
      <c r="AA8593" s="500"/>
      <c r="AB8593" s="500"/>
      <c r="AC8593" s="500"/>
      <c r="AD8593" s="500"/>
      <c r="AE8593" s="500"/>
      <c r="AF8593" s="500"/>
      <c r="AG8593" s="500"/>
      <c r="AH8593" s="500"/>
      <c r="AI8593" s="500"/>
      <c r="AJ8593" s="500"/>
      <c r="AK8593" s="500"/>
      <c r="AL8593" s="500"/>
      <c r="AM8593" s="500"/>
      <c r="AN8593" s="500"/>
      <c r="AO8593" s="500"/>
      <c r="AP8593" s="500"/>
    </row>
    <row r="8594" spans="1:42" ht="16.5" customHeight="1">
      <c r="A8594" s="439"/>
      <c r="B8594" s="439"/>
      <c r="C8594" s="439"/>
      <c r="D8594" s="439"/>
      <c r="E8594" s="439"/>
      <c r="F8594" s="439"/>
      <c r="Z8594" s="500"/>
      <c r="AA8594" s="500"/>
      <c r="AB8594" s="500"/>
      <c r="AC8594" s="500"/>
      <c r="AD8594" s="500"/>
      <c r="AE8594" s="500"/>
      <c r="AF8594" s="500"/>
      <c r="AG8594" s="500"/>
      <c r="AH8594" s="500"/>
      <c r="AI8594" s="500"/>
      <c r="AJ8594" s="500"/>
      <c r="AK8594" s="500"/>
      <c r="AL8594" s="500"/>
      <c r="AM8594" s="500"/>
      <c r="AN8594" s="500"/>
      <c r="AO8594" s="500"/>
      <c r="AP8594" s="500"/>
    </row>
    <row r="8595" spans="1:42" ht="16.5" customHeight="1">
      <c r="A8595" s="439"/>
      <c r="B8595" s="439"/>
      <c r="C8595" s="439"/>
      <c r="D8595" s="439"/>
      <c r="E8595" s="439"/>
      <c r="F8595" s="439"/>
      <c r="Z8595" s="500"/>
      <c r="AA8595" s="500"/>
      <c r="AB8595" s="500"/>
      <c r="AC8595" s="500"/>
      <c r="AD8595" s="500"/>
      <c r="AE8595" s="500"/>
      <c r="AF8595" s="500"/>
      <c r="AG8595" s="500"/>
      <c r="AH8595" s="500"/>
      <c r="AI8595" s="500"/>
      <c r="AJ8595" s="500"/>
      <c r="AK8595" s="500"/>
      <c r="AL8595" s="500"/>
      <c r="AM8595" s="500"/>
      <c r="AN8595" s="500"/>
      <c r="AO8595" s="500"/>
      <c r="AP8595" s="500"/>
    </row>
    <row r="8596" spans="1:42" ht="16.5" customHeight="1">
      <c r="A8596" s="439"/>
      <c r="B8596" s="439"/>
      <c r="C8596" s="439"/>
      <c r="D8596" s="439"/>
      <c r="E8596" s="439"/>
      <c r="F8596" s="439"/>
      <c r="Z8596" s="500"/>
      <c r="AA8596" s="500"/>
      <c r="AB8596" s="500"/>
      <c r="AC8596" s="500"/>
      <c r="AD8596" s="500"/>
      <c r="AE8596" s="500"/>
      <c r="AF8596" s="500"/>
      <c r="AG8596" s="500"/>
      <c r="AH8596" s="500"/>
      <c r="AI8596" s="500"/>
      <c r="AJ8596" s="500"/>
      <c r="AK8596" s="500"/>
      <c r="AL8596" s="500"/>
      <c r="AM8596" s="500"/>
      <c r="AN8596" s="500"/>
      <c r="AO8596" s="500"/>
      <c r="AP8596" s="500"/>
    </row>
    <row r="8597" spans="1:42" ht="16.5" customHeight="1">
      <c r="A8597" s="439"/>
      <c r="B8597" s="439"/>
      <c r="C8597" s="439"/>
      <c r="D8597" s="439"/>
      <c r="E8597" s="439"/>
      <c r="F8597" s="439"/>
      <c r="Z8597" s="500"/>
      <c r="AA8597" s="500"/>
      <c r="AB8597" s="500"/>
      <c r="AC8597" s="500"/>
      <c r="AD8597" s="500"/>
      <c r="AE8597" s="500"/>
      <c r="AF8597" s="500"/>
      <c r="AG8597" s="500"/>
      <c r="AH8597" s="500"/>
      <c r="AI8597" s="500"/>
      <c r="AJ8597" s="500"/>
      <c r="AK8597" s="500"/>
      <c r="AL8597" s="500"/>
      <c r="AM8597" s="500"/>
      <c r="AN8597" s="500"/>
      <c r="AO8597" s="500"/>
      <c r="AP8597" s="500"/>
    </row>
    <row r="8598" spans="1:42" ht="16.5" customHeight="1">
      <c r="A8598" s="439"/>
      <c r="B8598" s="439"/>
      <c r="C8598" s="439"/>
      <c r="D8598" s="439"/>
      <c r="E8598" s="439"/>
      <c r="F8598" s="439"/>
      <c r="Z8598" s="500"/>
      <c r="AA8598" s="500"/>
      <c r="AB8598" s="500"/>
      <c r="AC8598" s="500"/>
      <c r="AD8598" s="500"/>
      <c r="AE8598" s="500"/>
      <c r="AF8598" s="500"/>
      <c r="AG8598" s="500"/>
      <c r="AH8598" s="500"/>
      <c r="AI8598" s="500"/>
      <c r="AJ8598" s="500"/>
      <c r="AK8598" s="500"/>
      <c r="AL8598" s="500"/>
      <c r="AM8598" s="500"/>
      <c r="AN8598" s="500"/>
      <c r="AO8598" s="500"/>
      <c r="AP8598" s="500"/>
    </row>
    <row r="8599" spans="1:42" ht="16.5" customHeight="1">
      <c r="A8599" s="439"/>
      <c r="B8599" s="439"/>
      <c r="C8599" s="439"/>
      <c r="D8599" s="439"/>
      <c r="E8599" s="439"/>
      <c r="F8599" s="439"/>
      <c r="Z8599" s="500"/>
      <c r="AA8599" s="500"/>
      <c r="AB8599" s="500"/>
      <c r="AC8599" s="500"/>
      <c r="AD8599" s="500"/>
      <c r="AE8599" s="500"/>
      <c r="AF8599" s="500"/>
      <c r="AG8599" s="500"/>
      <c r="AH8599" s="500"/>
      <c r="AI8599" s="500"/>
      <c r="AJ8599" s="500"/>
      <c r="AK8599" s="500"/>
      <c r="AL8599" s="500"/>
      <c r="AM8599" s="500"/>
      <c r="AN8599" s="500"/>
      <c r="AO8599" s="500"/>
      <c r="AP8599" s="500"/>
    </row>
    <row r="8600" spans="1:42" ht="16.5" customHeight="1">
      <c r="A8600" s="439"/>
      <c r="B8600" s="439"/>
      <c r="C8600" s="439"/>
      <c r="D8600" s="439"/>
      <c r="E8600" s="439"/>
      <c r="F8600" s="439"/>
      <c r="Z8600" s="500"/>
      <c r="AA8600" s="500"/>
      <c r="AB8600" s="500"/>
      <c r="AC8600" s="500"/>
      <c r="AD8600" s="500"/>
      <c r="AE8600" s="500"/>
      <c r="AF8600" s="500"/>
      <c r="AG8600" s="500"/>
      <c r="AH8600" s="500"/>
      <c r="AI8600" s="500"/>
      <c r="AJ8600" s="500"/>
      <c r="AK8600" s="500"/>
      <c r="AL8600" s="500"/>
      <c r="AM8600" s="500"/>
      <c r="AN8600" s="500"/>
      <c r="AO8600" s="500"/>
      <c r="AP8600" s="500"/>
    </row>
    <row r="8601" spans="1:42" ht="16.5" customHeight="1">
      <c r="A8601" s="439"/>
      <c r="B8601" s="439"/>
      <c r="C8601" s="439"/>
      <c r="D8601" s="439"/>
      <c r="E8601" s="439"/>
      <c r="F8601" s="439"/>
      <c r="Z8601" s="500"/>
      <c r="AA8601" s="500"/>
      <c r="AB8601" s="500"/>
      <c r="AC8601" s="500"/>
      <c r="AD8601" s="500"/>
      <c r="AE8601" s="500"/>
      <c r="AF8601" s="500"/>
      <c r="AG8601" s="500"/>
      <c r="AH8601" s="500"/>
      <c r="AI8601" s="500"/>
      <c r="AJ8601" s="500"/>
      <c r="AK8601" s="500"/>
      <c r="AL8601" s="500"/>
      <c r="AM8601" s="500"/>
      <c r="AN8601" s="500"/>
      <c r="AO8601" s="500"/>
      <c r="AP8601" s="500"/>
    </row>
    <row r="8602" spans="1:42" ht="16.5" customHeight="1">
      <c r="A8602" s="439"/>
      <c r="B8602" s="439"/>
      <c r="C8602" s="439"/>
      <c r="D8602" s="439"/>
      <c r="E8602" s="439"/>
      <c r="F8602" s="439"/>
      <c r="Z8602" s="500"/>
      <c r="AA8602" s="500"/>
      <c r="AB8602" s="500"/>
      <c r="AC8602" s="500"/>
      <c r="AD8602" s="500"/>
      <c r="AE8602" s="500"/>
      <c r="AF8602" s="500"/>
      <c r="AG8602" s="500"/>
      <c r="AH8602" s="500"/>
      <c r="AI8602" s="500"/>
      <c r="AJ8602" s="500"/>
      <c r="AK8602" s="500"/>
      <c r="AL8602" s="500"/>
      <c r="AM8602" s="500"/>
      <c r="AN8602" s="500"/>
      <c r="AO8602" s="500"/>
      <c r="AP8602" s="500"/>
    </row>
    <row r="8603" spans="1:42" ht="16.5" customHeight="1">
      <c r="A8603" s="497"/>
      <c r="B8603" s="497"/>
      <c r="C8603" s="497"/>
      <c r="D8603" s="497"/>
      <c r="E8603" s="497"/>
      <c r="F8603" s="497"/>
      <c r="Z8603" s="500"/>
      <c r="AA8603" s="500"/>
      <c r="AB8603" s="500"/>
      <c r="AC8603" s="500"/>
      <c r="AD8603" s="500"/>
      <c r="AE8603" s="500"/>
      <c r="AF8603" s="500"/>
      <c r="AG8603" s="500"/>
      <c r="AH8603" s="500"/>
      <c r="AI8603" s="500"/>
      <c r="AJ8603" s="500"/>
      <c r="AK8603" s="500"/>
      <c r="AL8603" s="500"/>
      <c r="AM8603" s="500"/>
      <c r="AN8603" s="500"/>
      <c r="AO8603" s="500"/>
      <c r="AP8603" s="500"/>
    </row>
    <row r="8604" spans="1:42" ht="16.5" customHeight="1">
      <c r="A8604" s="616" t="s">
        <v>3487</v>
      </c>
      <c r="B8604" s="605"/>
      <c r="C8604" s="446">
        <f>E8604+D8604+F8604</f>
        <v>6156</v>
      </c>
      <c r="D8604" s="453">
        <f>ROUNDDOWN(SUMIF(N8557:N8571,M8604,D8557:D8571),0)</f>
        <v>6156</v>
      </c>
      <c r="E8604" s="454">
        <f>ROUNDDOWN(SUMIF(N8557:N8571,M8604,E8557:E8571),0)</f>
        <v>0</v>
      </c>
      <c r="F8604" s="446">
        <f>ROUNDDOWN(SUMIF(N8557:N8571,M8604,F8557:F8571),0)</f>
        <v>0</v>
      </c>
      <c r="M8604" s="501" t="s">
        <v>2354</v>
      </c>
      <c r="Z8604" s="500"/>
      <c r="AA8604" s="500"/>
      <c r="AB8604" s="500"/>
      <c r="AC8604" s="500"/>
      <c r="AD8604" s="500"/>
      <c r="AE8604" s="500"/>
      <c r="AF8604" s="500"/>
      <c r="AG8604" s="500"/>
      <c r="AH8604" s="500"/>
      <c r="AI8604" s="500"/>
      <c r="AJ8604" s="500"/>
      <c r="AK8604" s="500"/>
      <c r="AL8604" s="500"/>
      <c r="AM8604" s="500"/>
      <c r="AN8604" s="500"/>
      <c r="AO8604" s="500"/>
      <c r="AP8604" s="500"/>
    </row>
    <row r="8605" spans="1:42" ht="16.5" customHeight="1">
      <c r="A8605" s="502"/>
      <c r="B8605" s="503" t="s">
        <v>2248</v>
      </c>
      <c r="C8605" s="615">
        <f>C8654</f>
        <v>23590</v>
      </c>
      <c r="D8605" s="615">
        <f>D8654</f>
        <v>0</v>
      </c>
      <c r="E8605" s="615">
        <f>E8654</f>
        <v>0</v>
      </c>
      <c r="F8605" s="615">
        <f>F8654</f>
        <v>23590</v>
      </c>
      <c r="G8605" s="486" t="str">
        <f>HYPERLINK("#G"&amp;ROW(G8611),"_x0005_`BDCOD|D01218_x0007_`POSS|"&amp;ROW(G8607)&amp;"_x0007_`POSE|"&amp;ROW(G8611)&amp;"_x0007_`")</f>
        <v>_x0005_`BDCOD|D01218_x0007_`POSS|8607_x0007_`POSE|8611_x0007_`</v>
      </c>
      <c r="Z8605" s="500"/>
      <c r="AA8605" s="500"/>
      <c r="AB8605" s="500"/>
      <c r="AC8605" s="500"/>
      <c r="AD8605" s="500"/>
      <c r="AE8605" s="500"/>
      <c r="AF8605" s="500"/>
      <c r="AG8605" s="500"/>
      <c r="AH8605" s="500"/>
      <c r="AI8605" s="500"/>
      <c r="AJ8605" s="500"/>
      <c r="AK8605" s="500"/>
      <c r="AL8605" s="500"/>
      <c r="AM8605" s="500"/>
      <c r="AN8605" s="500"/>
      <c r="AO8605" s="500"/>
      <c r="AP8605" s="500"/>
    </row>
    <row r="8606" spans="1:42" ht="16.5" customHeight="1">
      <c r="A8606" s="485"/>
      <c r="B8606" s="503" t="s">
        <v>4392</v>
      </c>
      <c r="C8606" s="593"/>
      <c r="D8606" s="593"/>
      <c r="E8606" s="593"/>
      <c r="F8606" s="593"/>
      <c r="M8606" s="501" t="s">
        <v>2248</v>
      </c>
      <c r="Z8606" s="500"/>
      <c r="AA8606" s="500"/>
      <c r="AB8606" s="500"/>
      <c r="AC8606" s="500"/>
      <c r="AD8606" s="500"/>
      <c r="AE8606" s="500"/>
      <c r="AF8606" s="500"/>
      <c r="AG8606" s="500"/>
      <c r="AH8606" s="500"/>
      <c r="AI8606" s="500"/>
      <c r="AJ8606" s="500"/>
      <c r="AK8606" s="500"/>
      <c r="AL8606" s="500"/>
      <c r="AM8606" s="500"/>
      <c r="AN8606" s="500"/>
      <c r="AO8606" s="500"/>
      <c r="AP8606" s="500"/>
    </row>
    <row r="8607" spans="1:42" ht="16.5" customHeight="1">
      <c r="A8607" s="439"/>
      <c r="B8607" s="439"/>
      <c r="C8607" s="504"/>
      <c r="D8607" s="504"/>
      <c r="E8607" s="504"/>
      <c r="F8607" s="504"/>
      <c r="G8607" s="451" t="s">
        <v>3406</v>
      </c>
      <c r="Z8607" s="500"/>
      <c r="AA8607" s="500"/>
      <c r="AB8607" s="500"/>
      <c r="AC8607" s="500"/>
      <c r="AD8607" s="500"/>
      <c r="AE8607" s="500"/>
      <c r="AF8607" s="500"/>
      <c r="AG8607" s="500"/>
      <c r="AH8607" s="500"/>
      <c r="AI8607" s="500"/>
      <c r="AJ8607" s="500"/>
      <c r="AK8607" s="500"/>
      <c r="AL8607" s="500"/>
      <c r="AM8607" s="500"/>
      <c r="AN8607" s="500"/>
      <c r="AO8607" s="500"/>
      <c r="AP8607" s="500"/>
    </row>
    <row r="8608" spans="1:42" ht="16.5" customHeight="1">
      <c r="A8608" s="434" t="s">
        <v>4393</v>
      </c>
      <c r="B8608" s="505" t="str">
        <f>" 폐기물 상차 및 운반 : "&amp;TEXT(I8608,"#,##0"&amp;IF(I8608&lt;&gt;INT(I8608),".###",""))&amp;" * "&amp;AA8608&amp;" Ton  = "&amp;TEXT(C8608,"#,##0.0")&amp;""</f>
        <v xml:space="preserve"> 폐기물 상차 및 운반 : 23,590 * 1 Ton  = 23,590.0</v>
      </c>
      <c r="C8608" s="506">
        <f>E8608+D8608+F8608</f>
        <v>23590</v>
      </c>
      <c r="D8608" s="506">
        <f>IF(H8608=0,0,ROUNDDOWN(J8608*H8608,1))</f>
        <v>0</v>
      </c>
      <c r="E8608" s="506">
        <f>IF(H8608=0,0,ROUNDDOWN(K8608*H8608,1))</f>
        <v>23590</v>
      </c>
      <c r="F8608" s="506">
        <f>IF(H8608=0,0,ROUNDDOWN(L8608*H8608,1))</f>
        <v>0</v>
      </c>
      <c r="G8608" s="451" t="s">
        <v>4394</v>
      </c>
      <c r="H8608" s="507">
        <f>ROUNDUP(AC8608,14-LEN(ABS(INT(AC8608))))</f>
        <v>1</v>
      </c>
      <c r="I8608" s="508">
        <f>K8608+J8608+L8608</f>
        <v>23590</v>
      </c>
      <c r="K8608" s="509">
        <f>재료비목록표!E102</f>
        <v>23590</v>
      </c>
      <c r="M8608" s="501" t="s">
        <v>4395</v>
      </c>
      <c r="N8608" s="501" t="s">
        <v>3421</v>
      </c>
      <c r="X8608" s="510" t="str">
        <f>재료비목록표!B102&amp;" / "&amp;재료비목록표!C102</f>
        <v>폐기물 상차 및 운반 / 30km이하,덤프15톤,건설폐재류</v>
      </c>
      <c r="Y8608" s="433" t="str">
        <f ca="1">HYPERLINK("#"&amp;재료비목록표!G2&amp;"!A"&amp;ROW(재료비목록표!A102),"M08786 →")</f>
        <v>M08786 →</v>
      </c>
      <c r="Z8608" s="501" t="s">
        <v>3500</v>
      </c>
      <c r="AA8608" s="515">
        <v>1</v>
      </c>
      <c r="AB8608" s="501" t="s">
        <v>3418</v>
      </c>
      <c r="AC8608" s="512">
        <f>1*AA8608</f>
        <v>1</v>
      </c>
      <c r="AD8608" s="500"/>
      <c r="AE8608" s="500"/>
      <c r="AF8608" s="500"/>
      <c r="AG8608" s="500"/>
      <c r="AH8608" s="500"/>
      <c r="AI8608" s="500"/>
      <c r="AJ8608" s="500"/>
      <c r="AK8608" s="500"/>
      <c r="AL8608" s="500"/>
      <c r="AM8608" s="500"/>
      <c r="AN8608" s="500"/>
      <c r="AO8608" s="500"/>
      <c r="AP8608" s="500"/>
    </row>
    <row r="8609" spans="1:42" ht="16.5" customHeight="1">
      <c r="A8609" s="439"/>
      <c r="B8609" s="439"/>
      <c r="C8609" s="439"/>
      <c r="D8609" s="439"/>
      <c r="E8609" s="439"/>
      <c r="F8609" s="439"/>
      <c r="G8609" s="451" t="s">
        <v>3406</v>
      </c>
      <c r="Z8609" s="500"/>
      <c r="AA8609" s="500"/>
      <c r="AB8609" s="500"/>
      <c r="AC8609" s="500"/>
      <c r="AD8609" s="500"/>
      <c r="AE8609" s="500"/>
      <c r="AF8609" s="500"/>
      <c r="AG8609" s="500"/>
      <c r="AH8609" s="500"/>
      <c r="AI8609" s="500"/>
      <c r="AJ8609" s="500"/>
      <c r="AK8609" s="500"/>
      <c r="AL8609" s="500"/>
      <c r="AM8609" s="500"/>
      <c r="AN8609" s="500"/>
      <c r="AO8609" s="500"/>
      <c r="AP8609" s="500"/>
    </row>
    <row r="8610" spans="1:42" ht="16.5" customHeight="1">
      <c r="A8610" s="439"/>
      <c r="B8610" s="439"/>
      <c r="C8610" s="439"/>
      <c r="D8610" s="439"/>
      <c r="E8610" s="439"/>
      <c r="F8610" s="439"/>
      <c r="G8610" s="451" t="s">
        <v>3406</v>
      </c>
      <c r="Z8610" s="500"/>
      <c r="AA8610" s="500"/>
      <c r="AB8610" s="500"/>
      <c r="AC8610" s="500"/>
      <c r="AD8610" s="500"/>
      <c r="AE8610" s="500"/>
      <c r="AF8610" s="500"/>
      <c r="AG8610" s="500"/>
      <c r="AH8610" s="500"/>
      <c r="AI8610" s="500"/>
      <c r="AJ8610" s="500"/>
      <c r="AK8610" s="500"/>
      <c r="AL8610" s="500"/>
      <c r="AM8610" s="500"/>
      <c r="AN8610" s="500"/>
      <c r="AO8610" s="500"/>
      <c r="AP8610" s="500"/>
    </row>
    <row r="8611" spans="1:42" ht="16.5" customHeight="1">
      <c r="A8611" s="434"/>
      <c r="B8611" s="437" t="s">
        <v>3440</v>
      </c>
      <c r="C8611" s="513">
        <f>E8611+D8611+F8611</f>
        <v>23590</v>
      </c>
      <c r="D8611" s="513">
        <f>SUMIF(N8607:N8610,M8611,D8607:D8610)</f>
        <v>0</v>
      </c>
      <c r="E8611" s="513">
        <f>SUMIF(N8607:N8610,M8611,E8607:E8610)</f>
        <v>23590</v>
      </c>
      <c r="F8611" s="513">
        <f>SUMIF(N8607:N8610,M8611,F8607:F8610)</f>
        <v>0</v>
      </c>
      <c r="G8611" s="451" t="s">
        <v>3484</v>
      </c>
      <c r="M8611" s="501" t="s">
        <v>3421</v>
      </c>
      <c r="N8611" s="501" t="s">
        <v>2354</v>
      </c>
      <c r="Z8611" s="500"/>
      <c r="AA8611" s="500"/>
      <c r="AB8611" s="500"/>
      <c r="AC8611" s="500"/>
      <c r="AD8611" s="500"/>
      <c r="AE8611" s="500"/>
      <c r="AF8611" s="500"/>
      <c r="AG8611" s="500"/>
      <c r="AH8611" s="500"/>
      <c r="AI8611" s="500"/>
      <c r="AJ8611" s="500"/>
      <c r="AK8611" s="500"/>
      <c r="AL8611" s="500"/>
      <c r="AM8611" s="500"/>
      <c r="AN8611" s="500"/>
      <c r="AO8611" s="500"/>
      <c r="AP8611" s="500"/>
    </row>
    <row r="8612" spans="1:42" ht="16.5" customHeight="1">
      <c r="A8612" s="439"/>
      <c r="B8612" s="439"/>
      <c r="C8612" s="504"/>
      <c r="D8612" s="504"/>
      <c r="E8612" s="504"/>
      <c r="F8612" s="504"/>
      <c r="Z8612" s="500"/>
      <c r="AA8612" s="500"/>
      <c r="AB8612" s="500"/>
      <c r="AC8612" s="500"/>
      <c r="AD8612" s="500"/>
      <c r="AE8612" s="500"/>
      <c r="AF8612" s="500"/>
      <c r="AG8612" s="500"/>
      <c r="AH8612" s="500"/>
      <c r="AI8612" s="500"/>
      <c r="AJ8612" s="500"/>
      <c r="AK8612" s="500"/>
      <c r="AL8612" s="500"/>
      <c r="AM8612" s="500"/>
      <c r="AN8612" s="500"/>
      <c r="AO8612" s="500"/>
      <c r="AP8612" s="500"/>
    </row>
    <row r="8613" spans="1:42" ht="16.5" customHeight="1">
      <c r="A8613" s="439"/>
      <c r="B8613" s="439"/>
      <c r="C8613" s="439"/>
      <c r="D8613" s="439"/>
      <c r="E8613" s="439"/>
      <c r="F8613" s="439"/>
      <c r="Z8613" s="500"/>
      <c r="AA8613" s="500"/>
      <c r="AB8613" s="500"/>
      <c r="AC8613" s="500"/>
      <c r="AD8613" s="500"/>
      <c r="AE8613" s="500"/>
      <c r="AF8613" s="500"/>
      <c r="AG8613" s="500"/>
      <c r="AH8613" s="500"/>
      <c r="AI8613" s="500"/>
      <c r="AJ8613" s="500"/>
      <c r="AK8613" s="500"/>
      <c r="AL8613" s="500"/>
      <c r="AM8613" s="500"/>
      <c r="AN8613" s="500"/>
      <c r="AO8613" s="500"/>
      <c r="AP8613" s="500"/>
    </row>
    <row r="8614" spans="1:42" ht="16.5" customHeight="1">
      <c r="A8614" s="439"/>
      <c r="B8614" s="439"/>
      <c r="C8614" s="439"/>
      <c r="D8614" s="439"/>
      <c r="E8614" s="439"/>
      <c r="F8614" s="439"/>
      <c r="Z8614" s="500"/>
      <c r="AA8614" s="500"/>
      <c r="AB8614" s="500"/>
      <c r="AC8614" s="500"/>
      <c r="AD8614" s="500"/>
      <c r="AE8614" s="500"/>
      <c r="AF8614" s="500"/>
      <c r="AG8614" s="500"/>
      <c r="AH8614" s="500"/>
      <c r="AI8614" s="500"/>
      <c r="AJ8614" s="500"/>
      <c r="AK8614" s="500"/>
      <c r="AL8614" s="500"/>
      <c r="AM8614" s="500"/>
      <c r="AN8614" s="500"/>
      <c r="AO8614" s="500"/>
      <c r="AP8614" s="500"/>
    </row>
    <row r="8615" spans="1:42" ht="16.5" customHeight="1">
      <c r="A8615" s="439"/>
      <c r="B8615" s="439"/>
      <c r="C8615" s="439"/>
      <c r="D8615" s="439"/>
      <c r="E8615" s="439"/>
      <c r="F8615" s="439"/>
      <c r="Z8615" s="500"/>
      <c r="AA8615" s="500"/>
      <c r="AB8615" s="500"/>
      <c r="AC8615" s="500"/>
      <c r="AD8615" s="500"/>
      <c r="AE8615" s="500"/>
      <c r="AF8615" s="500"/>
      <c r="AG8615" s="500"/>
      <c r="AH8615" s="500"/>
      <c r="AI8615" s="500"/>
      <c r="AJ8615" s="500"/>
      <c r="AK8615" s="500"/>
      <c r="AL8615" s="500"/>
      <c r="AM8615" s="500"/>
      <c r="AN8615" s="500"/>
      <c r="AO8615" s="500"/>
      <c r="AP8615" s="500"/>
    </row>
    <row r="8616" spans="1:42" ht="16.5" customHeight="1">
      <c r="A8616" s="439"/>
      <c r="B8616" s="439"/>
      <c r="C8616" s="439"/>
      <c r="D8616" s="439"/>
      <c r="E8616" s="439"/>
      <c r="F8616" s="439"/>
      <c r="Z8616" s="500"/>
      <c r="AA8616" s="500"/>
      <c r="AB8616" s="500"/>
      <c r="AC8616" s="500"/>
      <c r="AD8616" s="500"/>
      <c r="AE8616" s="500"/>
      <c r="AF8616" s="500"/>
      <c r="AG8616" s="500"/>
      <c r="AH8616" s="500"/>
      <c r="AI8616" s="500"/>
      <c r="AJ8616" s="500"/>
      <c r="AK8616" s="500"/>
      <c r="AL8616" s="500"/>
      <c r="AM8616" s="500"/>
      <c r="AN8616" s="500"/>
      <c r="AO8616" s="500"/>
      <c r="AP8616" s="500"/>
    </row>
    <row r="8617" spans="1:42" ht="16.5" customHeight="1">
      <c r="A8617" s="439"/>
      <c r="B8617" s="439"/>
      <c r="C8617" s="439"/>
      <c r="D8617" s="439"/>
      <c r="E8617" s="439"/>
      <c r="F8617" s="439"/>
      <c r="Z8617" s="500"/>
      <c r="AA8617" s="500"/>
      <c r="AB8617" s="500"/>
      <c r="AC8617" s="500"/>
      <c r="AD8617" s="500"/>
      <c r="AE8617" s="500"/>
      <c r="AF8617" s="500"/>
      <c r="AG8617" s="500"/>
      <c r="AH8617" s="500"/>
      <c r="AI8617" s="500"/>
      <c r="AJ8617" s="500"/>
      <c r="AK8617" s="500"/>
      <c r="AL8617" s="500"/>
      <c r="AM8617" s="500"/>
      <c r="AN8617" s="500"/>
      <c r="AO8617" s="500"/>
      <c r="AP8617" s="500"/>
    </row>
    <row r="8618" spans="1:42" ht="16.5" customHeight="1">
      <c r="A8618" s="439"/>
      <c r="B8618" s="439"/>
      <c r="C8618" s="439"/>
      <c r="D8618" s="439"/>
      <c r="E8618" s="439"/>
      <c r="F8618" s="439"/>
      <c r="Z8618" s="500"/>
      <c r="AA8618" s="500"/>
      <c r="AB8618" s="500"/>
      <c r="AC8618" s="500"/>
      <c r="AD8618" s="500"/>
      <c r="AE8618" s="500"/>
      <c r="AF8618" s="500"/>
      <c r="AG8618" s="500"/>
      <c r="AH8618" s="500"/>
      <c r="AI8618" s="500"/>
      <c r="AJ8618" s="500"/>
      <c r="AK8618" s="500"/>
      <c r="AL8618" s="500"/>
      <c r="AM8618" s="500"/>
      <c r="AN8618" s="500"/>
      <c r="AO8618" s="500"/>
      <c r="AP8618" s="500"/>
    </row>
    <row r="8619" spans="1:42" ht="16.5" customHeight="1">
      <c r="A8619" s="439"/>
      <c r="B8619" s="439"/>
      <c r="C8619" s="439"/>
      <c r="D8619" s="439"/>
      <c r="E8619" s="439"/>
      <c r="F8619" s="439"/>
      <c r="Z8619" s="500"/>
      <c r="AA8619" s="500"/>
      <c r="AB8619" s="500"/>
      <c r="AC8619" s="500"/>
      <c r="AD8619" s="500"/>
      <c r="AE8619" s="500"/>
      <c r="AF8619" s="500"/>
      <c r="AG8619" s="500"/>
      <c r="AH8619" s="500"/>
      <c r="AI8619" s="500"/>
      <c r="AJ8619" s="500"/>
      <c r="AK8619" s="500"/>
      <c r="AL8619" s="500"/>
      <c r="AM8619" s="500"/>
      <c r="AN8619" s="500"/>
      <c r="AO8619" s="500"/>
      <c r="AP8619" s="500"/>
    </row>
    <row r="8620" spans="1:42" ht="16.5" customHeight="1">
      <c r="A8620" s="439"/>
      <c r="B8620" s="439"/>
      <c r="C8620" s="439"/>
      <c r="D8620" s="439"/>
      <c r="E8620" s="439"/>
      <c r="F8620" s="439"/>
      <c r="Z8620" s="500"/>
      <c r="AA8620" s="500"/>
      <c r="AB8620" s="500"/>
      <c r="AC8620" s="500"/>
      <c r="AD8620" s="500"/>
      <c r="AE8620" s="500"/>
      <c r="AF8620" s="500"/>
      <c r="AG8620" s="500"/>
      <c r="AH8620" s="500"/>
      <c r="AI8620" s="500"/>
      <c r="AJ8620" s="500"/>
      <c r="AK8620" s="500"/>
      <c r="AL8620" s="500"/>
      <c r="AM8620" s="500"/>
      <c r="AN8620" s="500"/>
      <c r="AO8620" s="500"/>
      <c r="AP8620" s="500"/>
    </row>
    <row r="8621" spans="1:42" ht="16.5" customHeight="1">
      <c r="A8621" s="439"/>
      <c r="B8621" s="439"/>
      <c r="C8621" s="439"/>
      <c r="D8621" s="439"/>
      <c r="E8621" s="439"/>
      <c r="F8621" s="439"/>
      <c r="Z8621" s="500"/>
      <c r="AA8621" s="500"/>
      <c r="AB8621" s="500"/>
      <c r="AC8621" s="500"/>
      <c r="AD8621" s="500"/>
      <c r="AE8621" s="500"/>
      <c r="AF8621" s="500"/>
      <c r="AG8621" s="500"/>
      <c r="AH8621" s="500"/>
      <c r="AI8621" s="500"/>
      <c r="AJ8621" s="500"/>
      <c r="AK8621" s="500"/>
      <c r="AL8621" s="500"/>
      <c r="AM8621" s="500"/>
      <c r="AN8621" s="500"/>
      <c r="AO8621" s="500"/>
      <c r="AP8621" s="500"/>
    </row>
    <row r="8622" spans="1:42" ht="16.5" customHeight="1">
      <c r="A8622" s="439"/>
      <c r="B8622" s="439"/>
      <c r="C8622" s="439"/>
      <c r="D8622" s="439"/>
      <c r="E8622" s="439"/>
      <c r="F8622" s="439"/>
      <c r="Z8622" s="500"/>
      <c r="AA8622" s="500"/>
      <c r="AB8622" s="500"/>
      <c r="AC8622" s="500"/>
      <c r="AD8622" s="500"/>
      <c r="AE8622" s="500"/>
      <c r="AF8622" s="500"/>
      <c r="AG8622" s="500"/>
      <c r="AH8622" s="500"/>
      <c r="AI8622" s="500"/>
      <c r="AJ8622" s="500"/>
      <c r="AK8622" s="500"/>
      <c r="AL8622" s="500"/>
      <c r="AM8622" s="500"/>
      <c r="AN8622" s="500"/>
      <c r="AO8622" s="500"/>
      <c r="AP8622" s="500"/>
    </row>
    <row r="8623" spans="1:42" ht="16.5" customHeight="1">
      <c r="A8623" s="439"/>
      <c r="B8623" s="439"/>
      <c r="C8623" s="439"/>
      <c r="D8623" s="439"/>
      <c r="E8623" s="439"/>
      <c r="F8623" s="439"/>
      <c r="Z8623" s="500"/>
      <c r="AA8623" s="500"/>
      <c r="AB8623" s="500"/>
      <c r="AC8623" s="500"/>
      <c r="AD8623" s="500"/>
      <c r="AE8623" s="500"/>
      <c r="AF8623" s="500"/>
      <c r="AG8623" s="500"/>
      <c r="AH8623" s="500"/>
      <c r="AI8623" s="500"/>
      <c r="AJ8623" s="500"/>
      <c r="AK8623" s="500"/>
      <c r="AL8623" s="500"/>
      <c r="AM8623" s="500"/>
      <c r="AN8623" s="500"/>
      <c r="AO8623" s="500"/>
      <c r="AP8623" s="500"/>
    </row>
    <row r="8624" spans="1:42" ht="16.5" customHeight="1">
      <c r="A8624" s="439"/>
      <c r="B8624" s="439"/>
      <c r="C8624" s="439"/>
      <c r="D8624" s="439"/>
      <c r="E8624" s="439"/>
      <c r="F8624" s="439"/>
      <c r="Z8624" s="500"/>
      <c r="AA8624" s="500"/>
      <c r="AB8624" s="500"/>
      <c r="AC8624" s="500"/>
      <c r="AD8624" s="500"/>
      <c r="AE8624" s="500"/>
      <c r="AF8624" s="500"/>
      <c r="AG8624" s="500"/>
      <c r="AH8624" s="500"/>
      <c r="AI8624" s="500"/>
      <c r="AJ8624" s="500"/>
      <c r="AK8624" s="500"/>
      <c r="AL8624" s="500"/>
      <c r="AM8624" s="500"/>
      <c r="AN8624" s="500"/>
      <c r="AO8624" s="500"/>
      <c r="AP8624" s="500"/>
    </row>
    <row r="8625" spans="1:42" ht="16.5" customHeight="1">
      <c r="A8625" s="439"/>
      <c r="B8625" s="439"/>
      <c r="C8625" s="439"/>
      <c r="D8625" s="439"/>
      <c r="E8625" s="439"/>
      <c r="F8625" s="439"/>
      <c r="Z8625" s="500"/>
      <c r="AA8625" s="500"/>
      <c r="AB8625" s="500"/>
      <c r="AC8625" s="500"/>
      <c r="AD8625" s="500"/>
      <c r="AE8625" s="500"/>
      <c r="AF8625" s="500"/>
      <c r="AG8625" s="500"/>
      <c r="AH8625" s="500"/>
      <c r="AI8625" s="500"/>
      <c r="AJ8625" s="500"/>
      <c r="AK8625" s="500"/>
      <c r="AL8625" s="500"/>
      <c r="AM8625" s="500"/>
      <c r="AN8625" s="500"/>
      <c r="AO8625" s="500"/>
      <c r="AP8625" s="500"/>
    </row>
    <row r="8626" spans="1:42" ht="16.5" customHeight="1">
      <c r="A8626" s="439"/>
      <c r="B8626" s="439"/>
      <c r="C8626" s="439"/>
      <c r="D8626" s="439"/>
      <c r="E8626" s="439"/>
      <c r="F8626" s="439"/>
      <c r="Z8626" s="500"/>
      <c r="AA8626" s="500"/>
      <c r="AB8626" s="500"/>
      <c r="AC8626" s="500"/>
      <c r="AD8626" s="500"/>
      <c r="AE8626" s="500"/>
      <c r="AF8626" s="500"/>
      <c r="AG8626" s="500"/>
      <c r="AH8626" s="500"/>
      <c r="AI8626" s="500"/>
      <c r="AJ8626" s="500"/>
      <c r="AK8626" s="500"/>
      <c r="AL8626" s="500"/>
      <c r="AM8626" s="500"/>
      <c r="AN8626" s="500"/>
      <c r="AO8626" s="500"/>
      <c r="AP8626" s="500"/>
    </row>
    <row r="8627" spans="1:42" ht="16.5" customHeight="1">
      <c r="A8627" s="439"/>
      <c r="B8627" s="439"/>
      <c r="C8627" s="439"/>
      <c r="D8627" s="439"/>
      <c r="E8627" s="439"/>
      <c r="F8627" s="439"/>
      <c r="Z8627" s="500"/>
      <c r="AA8627" s="500"/>
      <c r="AB8627" s="500"/>
      <c r="AC8627" s="500"/>
      <c r="AD8627" s="500"/>
      <c r="AE8627" s="500"/>
      <c r="AF8627" s="500"/>
      <c r="AG8627" s="500"/>
      <c r="AH8627" s="500"/>
      <c r="AI8627" s="500"/>
      <c r="AJ8627" s="500"/>
      <c r="AK8627" s="500"/>
      <c r="AL8627" s="500"/>
      <c r="AM8627" s="500"/>
      <c r="AN8627" s="500"/>
      <c r="AO8627" s="500"/>
      <c r="AP8627" s="500"/>
    </row>
    <row r="8628" spans="1:42" ht="16.5" customHeight="1">
      <c r="A8628" s="439"/>
      <c r="B8628" s="439"/>
      <c r="C8628" s="439"/>
      <c r="D8628" s="439"/>
      <c r="E8628" s="439"/>
      <c r="F8628" s="439"/>
      <c r="Z8628" s="500"/>
      <c r="AA8628" s="500"/>
      <c r="AB8628" s="500"/>
      <c r="AC8628" s="500"/>
      <c r="AD8628" s="500"/>
      <c r="AE8628" s="500"/>
      <c r="AF8628" s="500"/>
      <c r="AG8628" s="500"/>
      <c r="AH8628" s="500"/>
      <c r="AI8628" s="500"/>
      <c r="AJ8628" s="500"/>
      <c r="AK8628" s="500"/>
      <c r="AL8628" s="500"/>
      <c r="AM8628" s="500"/>
      <c r="AN8628" s="500"/>
      <c r="AO8628" s="500"/>
      <c r="AP8628" s="500"/>
    </row>
    <row r="8629" spans="1:42" ht="16.5" customHeight="1">
      <c r="A8629" s="439"/>
      <c r="B8629" s="439"/>
      <c r="C8629" s="439"/>
      <c r="D8629" s="439"/>
      <c r="E8629" s="439"/>
      <c r="F8629" s="439"/>
      <c r="Z8629" s="500"/>
      <c r="AA8629" s="500"/>
      <c r="AB8629" s="500"/>
      <c r="AC8629" s="500"/>
      <c r="AD8629" s="500"/>
      <c r="AE8629" s="500"/>
      <c r="AF8629" s="500"/>
      <c r="AG8629" s="500"/>
      <c r="AH8629" s="500"/>
      <c r="AI8629" s="500"/>
      <c r="AJ8629" s="500"/>
      <c r="AK8629" s="500"/>
      <c r="AL8629" s="500"/>
      <c r="AM8629" s="500"/>
      <c r="AN8629" s="500"/>
      <c r="AO8629" s="500"/>
      <c r="AP8629" s="500"/>
    </row>
    <row r="8630" spans="1:42" ht="16.5" customHeight="1">
      <c r="A8630" s="439"/>
      <c r="B8630" s="439"/>
      <c r="C8630" s="439"/>
      <c r="D8630" s="439"/>
      <c r="E8630" s="439"/>
      <c r="F8630" s="439"/>
      <c r="Z8630" s="500"/>
      <c r="AA8630" s="500"/>
      <c r="AB8630" s="500"/>
      <c r="AC8630" s="500"/>
      <c r="AD8630" s="500"/>
      <c r="AE8630" s="500"/>
      <c r="AF8630" s="500"/>
      <c r="AG8630" s="500"/>
      <c r="AH8630" s="500"/>
      <c r="AI8630" s="500"/>
      <c r="AJ8630" s="500"/>
      <c r="AK8630" s="500"/>
      <c r="AL8630" s="500"/>
      <c r="AM8630" s="500"/>
      <c r="AN8630" s="500"/>
      <c r="AO8630" s="500"/>
      <c r="AP8630" s="500"/>
    </row>
    <row r="8631" spans="1:42" ht="16.5" customHeight="1">
      <c r="A8631" s="439"/>
      <c r="B8631" s="439"/>
      <c r="C8631" s="439"/>
      <c r="D8631" s="439"/>
      <c r="E8631" s="439"/>
      <c r="F8631" s="439"/>
      <c r="Z8631" s="500"/>
      <c r="AA8631" s="500"/>
      <c r="AB8631" s="500"/>
      <c r="AC8631" s="500"/>
      <c r="AD8631" s="500"/>
      <c r="AE8631" s="500"/>
      <c r="AF8631" s="500"/>
      <c r="AG8631" s="500"/>
      <c r="AH8631" s="500"/>
      <c r="AI8631" s="500"/>
      <c r="AJ8631" s="500"/>
      <c r="AK8631" s="500"/>
      <c r="AL8631" s="500"/>
      <c r="AM8631" s="500"/>
      <c r="AN8631" s="500"/>
      <c r="AO8631" s="500"/>
      <c r="AP8631" s="500"/>
    </row>
    <row r="8632" spans="1:42" ht="16.5" customHeight="1">
      <c r="A8632" s="439"/>
      <c r="B8632" s="439"/>
      <c r="C8632" s="439"/>
      <c r="D8632" s="439"/>
      <c r="E8632" s="439"/>
      <c r="F8632" s="439"/>
      <c r="Z8632" s="500"/>
      <c r="AA8632" s="500"/>
      <c r="AB8632" s="500"/>
      <c r="AC8632" s="500"/>
      <c r="AD8632" s="500"/>
      <c r="AE8632" s="500"/>
      <c r="AF8632" s="500"/>
      <c r="AG8632" s="500"/>
      <c r="AH8632" s="500"/>
      <c r="AI8632" s="500"/>
      <c r="AJ8632" s="500"/>
      <c r="AK8632" s="500"/>
      <c r="AL8632" s="500"/>
      <c r="AM8632" s="500"/>
      <c r="AN8632" s="500"/>
      <c r="AO8632" s="500"/>
      <c r="AP8632" s="500"/>
    </row>
    <row r="8633" spans="1:42" ht="16.5" customHeight="1">
      <c r="A8633" s="439"/>
      <c r="B8633" s="439"/>
      <c r="C8633" s="439"/>
      <c r="D8633" s="439"/>
      <c r="E8633" s="439"/>
      <c r="F8633" s="439"/>
      <c r="Z8633" s="500"/>
      <c r="AA8633" s="500"/>
      <c r="AB8633" s="500"/>
      <c r="AC8633" s="500"/>
      <c r="AD8633" s="500"/>
      <c r="AE8633" s="500"/>
      <c r="AF8633" s="500"/>
      <c r="AG8633" s="500"/>
      <c r="AH8633" s="500"/>
      <c r="AI8633" s="500"/>
      <c r="AJ8633" s="500"/>
      <c r="AK8633" s="500"/>
      <c r="AL8633" s="500"/>
      <c r="AM8633" s="500"/>
      <c r="AN8633" s="500"/>
      <c r="AO8633" s="500"/>
      <c r="AP8633" s="500"/>
    </row>
    <row r="8634" spans="1:42" ht="16.5" customHeight="1">
      <c r="A8634" s="439"/>
      <c r="B8634" s="439"/>
      <c r="C8634" s="439"/>
      <c r="D8634" s="439"/>
      <c r="E8634" s="439"/>
      <c r="F8634" s="439"/>
      <c r="Z8634" s="500"/>
      <c r="AA8634" s="500"/>
      <c r="AB8634" s="500"/>
      <c r="AC8634" s="500"/>
      <c r="AD8634" s="500"/>
      <c r="AE8634" s="500"/>
      <c r="AF8634" s="500"/>
      <c r="AG8634" s="500"/>
      <c r="AH8634" s="500"/>
      <c r="AI8634" s="500"/>
      <c r="AJ8634" s="500"/>
      <c r="AK8634" s="500"/>
      <c r="AL8634" s="500"/>
      <c r="AM8634" s="500"/>
      <c r="AN8634" s="500"/>
      <c r="AO8634" s="500"/>
      <c r="AP8634" s="500"/>
    </row>
    <row r="8635" spans="1:42" ht="16.5" customHeight="1">
      <c r="A8635" s="439"/>
      <c r="B8635" s="439"/>
      <c r="C8635" s="439"/>
      <c r="D8635" s="439"/>
      <c r="E8635" s="439"/>
      <c r="F8635" s="439"/>
      <c r="Z8635" s="500"/>
      <c r="AA8635" s="500"/>
      <c r="AB8635" s="500"/>
      <c r="AC8635" s="500"/>
      <c r="AD8635" s="500"/>
      <c r="AE8635" s="500"/>
      <c r="AF8635" s="500"/>
      <c r="AG8635" s="500"/>
      <c r="AH8635" s="500"/>
      <c r="AI8635" s="500"/>
      <c r="AJ8635" s="500"/>
      <c r="AK8635" s="500"/>
      <c r="AL8635" s="500"/>
      <c r="AM8635" s="500"/>
      <c r="AN8635" s="500"/>
      <c r="AO8635" s="500"/>
      <c r="AP8635" s="500"/>
    </row>
    <row r="8636" spans="1:42" ht="16.5" customHeight="1">
      <c r="A8636" s="439"/>
      <c r="B8636" s="439"/>
      <c r="C8636" s="439"/>
      <c r="D8636" s="439"/>
      <c r="E8636" s="439"/>
      <c r="F8636" s="439"/>
      <c r="Z8636" s="500"/>
      <c r="AA8636" s="500"/>
      <c r="AB8636" s="500"/>
      <c r="AC8636" s="500"/>
      <c r="AD8636" s="500"/>
      <c r="AE8636" s="500"/>
      <c r="AF8636" s="500"/>
      <c r="AG8636" s="500"/>
      <c r="AH8636" s="500"/>
      <c r="AI8636" s="500"/>
      <c r="AJ8636" s="500"/>
      <c r="AK8636" s="500"/>
      <c r="AL8636" s="500"/>
      <c r="AM8636" s="500"/>
      <c r="AN8636" s="500"/>
      <c r="AO8636" s="500"/>
      <c r="AP8636" s="500"/>
    </row>
    <row r="8637" spans="1:42" ht="16.5" customHeight="1">
      <c r="A8637" s="439"/>
      <c r="B8637" s="439"/>
      <c r="C8637" s="439"/>
      <c r="D8637" s="439"/>
      <c r="E8637" s="439"/>
      <c r="F8637" s="439"/>
      <c r="Z8637" s="500"/>
      <c r="AA8637" s="500"/>
      <c r="AB8637" s="500"/>
      <c r="AC8637" s="500"/>
      <c r="AD8637" s="500"/>
      <c r="AE8637" s="500"/>
      <c r="AF8637" s="500"/>
      <c r="AG8637" s="500"/>
      <c r="AH8637" s="500"/>
      <c r="AI8637" s="500"/>
      <c r="AJ8637" s="500"/>
      <c r="AK8637" s="500"/>
      <c r="AL8637" s="500"/>
      <c r="AM8637" s="500"/>
      <c r="AN8637" s="500"/>
      <c r="AO8637" s="500"/>
      <c r="AP8637" s="500"/>
    </row>
    <row r="8638" spans="1:42" ht="16.5" customHeight="1">
      <c r="A8638" s="439"/>
      <c r="B8638" s="439"/>
      <c r="C8638" s="439"/>
      <c r="D8638" s="439"/>
      <c r="E8638" s="439"/>
      <c r="F8638" s="439"/>
      <c r="Z8638" s="500"/>
      <c r="AA8638" s="500"/>
      <c r="AB8638" s="500"/>
      <c r="AC8638" s="500"/>
      <c r="AD8638" s="500"/>
      <c r="AE8638" s="500"/>
      <c r="AF8638" s="500"/>
      <c r="AG8638" s="500"/>
      <c r="AH8638" s="500"/>
      <c r="AI8638" s="500"/>
      <c r="AJ8638" s="500"/>
      <c r="AK8638" s="500"/>
      <c r="AL8638" s="500"/>
      <c r="AM8638" s="500"/>
      <c r="AN8638" s="500"/>
      <c r="AO8638" s="500"/>
      <c r="AP8638" s="500"/>
    </row>
    <row r="8639" spans="1:42" ht="16.5" customHeight="1">
      <c r="A8639" s="439"/>
      <c r="B8639" s="439"/>
      <c r="C8639" s="439"/>
      <c r="D8639" s="439"/>
      <c r="E8639" s="439"/>
      <c r="F8639" s="439"/>
      <c r="Z8639" s="500"/>
      <c r="AA8639" s="500"/>
      <c r="AB8639" s="500"/>
      <c r="AC8639" s="500"/>
      <c r="AD8639" s="500"/>
      <c r="AE8639" s="500"/>
      <c r="AF8639" s="500"/>
      <c r="AG8639" s="500"/>
      <c r="AH8639" s="500"/>
      <c r="AI8639" s="500"/>
      <c r="AJ8639" s="500"/>
      <c r="AK8639" s="500"/>
      <c r="AL8639" s="500"/>
      <c r="AM8639" s="500"/>
      <c r="AN8639" s="500"/>
      <c r="AO8639" s="500"/>
      <c r="AP8639" s="500"/>
    </row>
    <row r="8640" spans="1:42" ht="16.5" customHeight="1">
      <c r="A8640" s="439"/>
      <c r="B8640" s="439"/>
      <c r="C8640" s="439"/>
      <c r="D8640" s="439"/>
      <c r="E8640" s="439"/>
      <c r="F8640" s="439"/>
      <c r="Z8640" s="500"/>
      <c r="AA8640" s="500"/>
      <c r="AB8640" s="500"/>
      <c r="AC8640" s="500"/>
      <c r="AD8640" s="500"/>
      <c r="AE8640" s="500"/>
      <c r="AF8640" s="500"/>
      <c r="AG8640" s="500"/>
      <c r="AH8640" s="500"/>
      <c r="AI8640" s="500"/>
      <c r="AJ8640" s="500"/>
      <c r="AK8640" s="500"/>
      <c r="AL8640" s="500"/>
      <c r="AM8640" s="500"/>
      <c r="AN8640" s="500"/>
      <c r="AO8640" s="500"/>
      <c r="AP8640" s="500"/>
    </row>
    <row r="8641" spans="1:42" ht="16.5" customHeight="1">
      <c r="A8641" s="439"/>
      <c r="B8641" s="439"/>
      <c r="C8641" s="439"/>
      <c r="D8641" s="439"/>
      <c r="E8641" s="439"/>
      <c r="F8641" s="439"/>
      <c r="Z8641" s="500"/>
      <c r="AA8641" s="500"/>
      <c r="AB8641" s="500"/>
      <c r="AC8641" s="500"/>
      <c r="AD8641" s="500"/>
      <c r="AE8641" s="500"/>
      <c r="AF8641" s="500"/>
      <c r="AG8641" s="500"/>
      <c r="AH8641" s="500"/>
      <c r="AI8641" s="500"/>
      <c r="AJ8641" s="500"/>
      <c r="AK8641" s="500"/>
      <c r="AL8641" s="500"/>
      <c r="AM8641" s="500"/>
      <c r="AN8641" s="500"/>
      <c r="AO8641" s="500"/>
      <c r="AP8641" s="500"/>
    </row>
    <row r="8642" spans="1:42" ht="16.5" customHeight="1">
      <c r="A8642" s="439"/>
      <c r="B8642" s="439"/>
      <c r="C8642" s="439"/>
      <c r="D8642" s="439"/>
      <c r="E8642" s="439"/>
      <c r="F8642" s="439"/>
      <c r="Z8642" s="500"/>
      <c r="AA8642" s="500"/>
      <c r="AB8642" s="500"/>
      <c r="AC8642" s="500"/>
      <c r="AD8642" s="500"/>
      <c r="AE8642" s="500"/>
      <c r="AF8642" s="500"/>
      <c r="AG8642" s="500"/>
      <c r="AH8642" s="500"/>
      <c r="AI8642" s="500"/>
      <c r="AJ8642" s="500"/>
      <c r="AK8642" s="500"/>
      <c r="AL8642" s="500"/>
      <c r="AM8642" s="500"/>
      <c r="AN8642" s="500"/>
      <c r="AO8642" s="500"/>
      <c r="AP8642" s="500"/>
    </row>
    <row r="8643" spans="1:42" ht="16.5" customHeight="1">
      <c r="A8643" s="439"/>
      <c r="B8643" s="439"/>
      <c r="C8643" s="439"/>
      <c r="D8643" s="439"/>
      <c r="E8643" s="439"/>
      <c r="F8643" s="439"/>
      <c r="Z8643" s="500"/>
      <c r="AA8643" s="500"/>
      <c r="AB8643" s="500"/>
      <c r="AC8643" s="500"/>
      <c r="AD8643" s="500"/>
      <c r="AE8643" s="500"/>
      <c r="AF8643" s="500"/>
      <c r="AG8643" s="500"/>
      <c r="AH8643" s="500"/>
      <c r="AI8643" s="500"/>
      <c r="AJ8643" s="500"/>
      <c r="AK8643" s="500"/>
      <c r="AL8643" s="500"/>
      <c r="AM8643" s="500"/>
      <c r="AN8643" s="500"/>
      <c r="AO8643" s="500"/>
      <c r="AP8643" s="500"/>
    </row>
    <row r="8644" spans="1:42" ht="16.5" customHeight="1">
      <c r="A8644" s="439"/>
      <c r="B8644" s="439"/>
      <c r="C8644" s="439"/>
      <c r="D8644" s="439"/>
      <c r="E8644" s="439"/>
      <c r="F8644" s="439"/>
      <c r="Z8644" s="500"/>
      <c r="AA8644" s="500"/>
      <c r="AB8644" s="500"/>
      <c r="AC8644" s="500"/>
      <c r="AD8644" s="500"/>
      <c r="AE8644" s="500"/>
      <c r="AF8644" s="500"/>
      <c r="AG8644" s="500"/>
      <c r="AH8644" s="500"/>
      <c r="AI8644" s="500"/>
      <c r="AJ8644" s="500"/>
      <c r="AK8644" s="500"/>
      <c r="AL8644" s="500"/>
      <c r="AM8644" s="500"/>
      <c r="AN8644" s="500"/>
      <c r="AO8644" s="500"/>
      <c r="AP8644" s="500"/>
    </row>
    <row r="8645" spans="1:42" ht="16.5" customHeight="1">
      <c r="A8645" s="439"/>
      <c r="B8645" s="439"/>
      <c r="C8645" s="439"/>
      <c r="D8645" s="439"/>
      <c r="E8645" s="439"/>
      <c r="F8645" s="439"/>
      <c r="Z8645" s="500"/>
      <c r="AA8645" s="500"/>
      <c r="AB8645" s="500"/>
      <c r="AC8645" s="500"/>
      <c r="AD8645" s="500"/>
      <c r="AE8645" s="500"/>
      <c r="AF8645" s="500"/>
      <c r="AG8645" s="500"/>
      <c r="AH8645" s="500"/>
      <c r="AI8645" s="500"/>
      <c r="AJ8645" s="500"/>
      <c r="AK8645" s="500"/>
      <c r="AL8645" s="500"/>
      <c r="AM8645" s="500"/>
      <c r="AN8645" s="500"/>
      <c r="AO8645" s="500"/>
      <c r="AP8645" s="500"/>
    </row>
    <row r="8646" spans="1:42" ht="16.5" customHeight="1">
      <c r="A8646" s="439"/>
      <c r="B8646" s="439"/>
      <c r="C8646" s="439"/>
      <c r="D8646" s="439"/>
      <c r="E8646" s="439"/>
      <c r="F8646" s="439"/>
      <c r="Z8646" s="500"/>
      <c r="AA8646" s="500"/>
      <c r="AB8646" s="500"/>
      <c r="AC8646" s="500"/>
      <c r="AD8646" s="500"/>
      <c r="AE8646" s="500"/>
      <c r="AF8646" s="500"/>
      <c r="AG8646" s="500"/>
      <c r="AH8646" s="500"/>
      <c r="AI8646" s="500"/>
      <c r="AJ8646" s="500"/>
      <c r="AK8646" s="500"/>
      <c r="AL8646" s="500"/>
      <c r="AM8646" s="500"/>
      <c r="AN8646" s="500"/>
      <c r="AO8646" s="500"/>
      <c r="AP8646" s="500"/>
    </row>
    <row r="8647" spans="1:42" ht="16.5" customHeight="1">
      <c r="A8647" s="439"/>
      <c r="B8647" s="439"/>
      <c r="C8647" s="439"/>
      <c r="D8647" s="439"/>
      <c r="E8647" s="439"/>
      <c r="F8647" s="439"/>
      <c r="Z8647" s="500"/>
      <c r="AA8647" s="500"/>
      <c r="AB8647" s="500"/>
      <c r="AC8647" s="500"/>
      <c r="AD8647" s="500"/>
      <c r="AE8647" s="500"/>
      <c r="AF8647" s="500"/>
      <c r="AG8647" s="500"/>
      <c r="AH8647" s="500"/>
      <c r="AI8647" s="500"/>
      <c r="AJ8647" s="500"/>
      <c r="AK8647" s="500"/>
      <c r="AL8647" s="500"/>
      <c r="AM8647" s="500"/>
      <c r="AN8647" s="500"/>
      <c r="AO8647" s="500"/>
      <c r="AP8647" s="500"/>
    </row>
    <row r="8648" spans="1:42" ht="16.5" customHeight="1">
      <c r="A8648" s="439"/>
      <c r="B8648" s="439"/>
      <c r="C8648" s="439"/>
      <c r="D8648" s="439"/>
      <c r="E8648" s="439"/>
      <c r="F8648" s="439"/>
      <c r="Z8648" s="500"/>
      <c r="AA8648" s="500"/>
      <c r="AB8648" s="500"/>
      <c r="AC8648" s="500"/>
      <c r="AD8648" s="500"/>
      <c r="AE8648" s="500"/>
      <c r="AF8648" s="500"/>
      <c r="AG8648" s="500"/>
      <c r="AH8648" s="500"/>
      <c r="AI8648" s="500"/>
      <c r="AJ8648" s="500"/>
      <c r="AK8648" s="500"/>
      <c r="AL8648" s="500"/>
      <c r="AM8648" s="500"/>
      <c r="AN8648" s="500"/>
      <c r="AO8648" s="500"/>
      <c r="AP8648" s="500"/>
    </row>
    <row r="8649" spans="1:42" ht="16.5" customHeight="1">
      <c r="A8649" s="439"/>
      <c r="B8649" s="439"/>
      <c r="C8649" s="439"/>
      <c r="D8649" s="439"/>
      <c r="E8649" s="439"/>
      <c r="F8649" s="439"/>
      <c r="Z8649" s="500"/>
      <c r="AA8649" s="500"/>
      <c r="AB8649" s="500"/>
      <c r="AC8649" s="500"/>
      <c r="AD8649" s="500"/>
      <c r="AE8649" s="500"/>
      <c r="AF8649" s="500"/>
      <c r="AG8649" s="500"/>
      <c r="AH8649" s="500"/>
      <c r="AI8649" s="500"/>
      <c r="AJ8649" s="500"/>
      <c r="AK8649" s="500"/>
      <c r="AL8649" s="500"/>
      <c r="AM8649" s="500"/>
      <c r="AN8649" s="500"/>
      <c r="AO8649" s="500"/>
      <c r="AP8649" s="500"/>
    </row>
    <row r="8650" spans="1:42" ht="16.5" customHeight="1">
      <c r="A8650" s="439"/>
      <c r="B8650" s="439"/>
      <c r="C8650" s="439"/>
      <c r="D8650" s="439"/>
      <c r="E8650" s="439"/>
      <c r="F8650" s="439"/>
      <c r="Z8650" s="500"/>
      <c r="AA8650" s="500"/>
      <c r="AB8650" s="500"/>
      <c r="AC8650" s="500"/>
      <c r="AD8650" s="500"/>
      <c r="AE8650" s="500"/>
      <c r="AF8650" s="500"/>
      <c r="AG8650" s="500"/>
      <c r="AH8650" s="500"/>
      <c r="AI8650" s="500"/>
      <c r="AJ8650" s="500"/>
      <c r="AK8650" s="500"/>
      <c r="AL8650" s="500"/>
      <c r="AM8650" s="500"/>
      <c r="AN8650" s="500"/>
      <c r="AO8650" s="500"/>
      <c r="AP8650" s="500"/>
    </row>
    <row r="8651" spans="1:42" ht="16.5" customHeight="1">
      <c r="A8651" s="439"/>
      <c r="B8651" s="439"/>
      <c r="C8651" s="439"/>
      <c r="D8651" s="439"/>
      <c r="E8651" s="439"/>
      <c r="F8651" s="439"/>
      <c r="Z8651" s="500"/>
      <c r="AA8651" s="500"/>
      <c r="AB8651" s="500"/>
      <c r="AC8651" s="500"/>
      <c r="AD8651" s="500"/>
      <c r="AE8651" s="500"/>
      <c r="AF8651" s="500"/>
      <c r="AG8651" s="500"/>
      <c r="AH8651" s="500"/>
      <c r="AI8651" s="500"/>
      <c r="AJ8651" s="500"/>
      <c r="AK8651" s="500"/>
      <c r="AL8651" s="500"/>
      <c r="AM8651" s="500"/>
      <c r="AN8651" s="500"/>
      <c r="AO8651" s="500"/>
      <c r="AP8651" s="500"/>
    </row>
    <row r="8652" spans="1:42" ht="16.5" customHeight="1">
      <c r="A8652" s="439"/>
      <c r="B8652" s="439"/>
      <c r="C8652" s="439"/>
      <c r="D8652" s="439"/>
      <c r="E8652" s="439"/>
      <c r="F8652" s="439"/>
      <c r="Z8652" s="500"/>
      <c r="AA8652" s="500"/>
      <c r="AB8652" s="500"/>
      <c r="AC8652" s="500"/>
      <c r="AD8652" s="500"/>
      <c r="AE8652" s="500"/>
      <c r="AF8652" s="500"/>
      <c r="AG8652" s="500"/>
      <c r="AH8652" s="500"/>
      <c r="AI8652" s="500"/>
      <c r="AJ8652" s="500"/>
      <c r="AK8652" s="500"/>
      <c r="AL8652" s="500"/>
      <c r="AM8652" s="500"/>
      <c r="AN8652" s="500"/>
      <c r="AO8652" s="500"/>
      <c r="AP8652" s="500"/>
    </row>
    <row r="8653" spans="1:42" ht="16.5" customHeight="1">
      <c r="A8653" s="497"/>
      <c r="B8653" s="497"/>
      <c r="C8653" s="497"/>
      <c r="D8653" s="497"/>
      <c r="E8653" s="497"/>
      <c r="F8653" s="497"/>
      <c r="Z8653" s="500"/>
      <c r="AA8653" s="500"/>
      <c r="AB8653" s="500"/>
      <c r="AC8653" s="500"/>
      <c r="AD8653" s="500"/>
      <c r="AE8653" s="500"/>
      <c r="AF8653" s="500"/>
      <c r="AG8653" s="500"/>
      <c r="AH8653" s="500"/>
      <c r="AI8653" s="500"/>
      <c r="AJ8653" s="500"/>
      <c r="AK8653" s="500"/>
      <c r="AL8653" s="500"/>
      <c r="AM8653" s="500"/>
      <c r="AN8653" s="500"/>
      <c r="AO8653" s="500"/>
      <c r="AP8653" s="500"/>
    </row>
    <row r="8654" spans="1:42" ht="16.5" customHeight="1">
      <c r="A8654" s="616" t="s">
        <v>4396</v>
      </c>
      <c r="B8654" s="605"/>
      <c r="C8654" s="446">
        <f>E8654+D8654+F8654</f>
        <v>23590</v>
      </c>
      <c r="D8654" s="464">
        <v>0</v>
      </c>
      <c r="E8654" s="465">
        <v>0</v>
      </c>
      <c r="F8654" s="446">
        <f>ROUNDDOWN(SUMIF(N8607:N8611,M8654,E8607:E8611),0)+ROUNDDOWN(SUMIF(N8607:N8611,M8654,D8607:D8611),0)+ROUNDDOWN(SUMIF(N8607:N8611,M8654,F8607:F8611),0)</f>
        <v>23590</v>
      </c>
      <c r="M8654" s="501" t="s">
        <v>2354</v>
      </c>
      <c r="Z8654" s="500"/>
      <c r="AA8654" s="500"/>
      <c r="AB8654" s="500"/>
      <c r="AC8654" s="500"/>
      <c r="AD8654" s="500"/>
      <c r="AE8654" s="500"/>
      <c r="AF8654" s="500"/>
      <c r="AG8654" s="500"/>
      <c r="AH8654" s="500"/>
      <c r="AI8654" s="500"/>
      <c r="AJ8654" s="500"/>
      <c r="AK8654" s="500"/>
      <c r="AL8654" s="500"/>
      <c r="AM8654" s="500"/>
      <c r="AN8654" s="500"/>
      <c r="AO8654" s="500"/>
      <c r="AP8654" s="500"/>
    </row>
    <row r="8655" spans="1:42" ht="16.5" customHeight="1">
      <c r="A8655" s="502"/>
      <c r="B8655" s="503" t="s">
        <v>2256</v>
      </c>
      <c r="C8655" s="615">
        <f>C8704</f>
        <v>23590</v>
      </c>
      <c r="D8655" s="615">
        <f>D8704</f>
        <v>0</v>
      </c>
      <c r="E8655" s="615">
        <f>E8704</f>
        <v>0</v>
      </c>
      <c r="F8655" s="615">
        <f>F8704</f>
        <v>23590</v>
      </c>
      <c r="G8655" s="486" t="str">
        <f>HYPERLINK("#G"&amp;ROW(G8661),"_x0005_`BDCOD|D01220_x0007_`POSS|"&amp;ROW(G8657)&amp;"_x0007_`POSE|"&amp;ROW(G8661)&amp;"_x0007_`")</f>
        <v>_x0005_`BDCOD|D01220_x0007_`POSS|8657_x0007_`POSE|8661_x0007_`</v>
      </c>
      <c r="Z8655" s="500"/>
      <c r="AA8655" s="500"/>
      <c r="AB8655" s="500"/>
      <c r="AC8655" s="500"/>
      <c r="AD8655" s="500"/>
      <c r="AE8655" s="500"/>
      <c r="AF8655" s="500"/>
      <c r="AG8655" s="500"/>
      <c r="AH8655" s="500"/>
      <c r="AI8655" s="500"/>
      <c r="AJ8655" s="500"/>
      <c r="AK8655" s="500"/>
      <c r="AL8655" s="500"/>
      <c r="AM8655" s="500"/>
      <c r="AN8655" s="500"/>
      <c r="AO8655" s="500"/>
      <c r="AP8655" s="500"/>
    </row>
    <row r="8656" spans="1:42" ht="16.5" customHeight="1">
      <c r="A8656" s="485"/>
      <c r="B8656" s="503" t="s">
        <v>4397</v>
      </c>
      <c r="C8656" s="593"/>
      <c r="D8656" s="593"/>
      <c r="E8656" s="593"/>
      <c r="F8656" s="593"/>
      <c r="M8656" s="501" t="s">
        <v>2256</v>
      </c>
      <c r="Z8656" s="500"/>
      <c r="AA8656" s="500"/>
      <c r="AB8656" s="500"/>
      <c r="AC8656" s="500"/>
      <c r="AD8656" s="500"/>
      <c r="AE8656" s="500"/>
      <c r="AF8656" s="500"/>
      <c r="AG8656" s="500"/>
      <c r="AH8656" s="500"/>
      <c r="AI8656" s="500"/>
      <c r="AJ8656" s="500"/>
      <c r="AK8656" s="500"/>
      <c r="AL8656" s="500"/>
      <c r="AM8656" s="500"/>
      <c r="AN8656" s="500"/>
      <c r="AO8656" s="500"/>
      <c r="AP8656" s="500"/>
    </row>
    <row r="8657" spans="1:42" ht="16.5" customHeight="1">
      <c r="A8657" s="439"/>
      <c r="B8657" s="439"/>
      <c r="C8657" s="504"/>
      <c r="D8657" s="504"/>
      <c r="E8657" s="504"/>
      <c r="F8657" s="504"/>
      <c r="G8657" s="451" t="s">
        <v>3406</v>
      </c>
      <c r="Z8657" s="500"/>
      <c r="AA8657" s="500"/>
      <c r="AB8657" s="500"/>
      <c r="AC8657" s="500"/>
      <c r="AD8657" s="500"/>
      <c r="AE8657" s="500"/>
      <c r="AF8657" s="500"/>
      <c r="AG8657" s="500"/>
      <c r="AH8657" s="500"/>
      <c r="AI8657" s="500"/>
      <c r="AJ8657" s="500"/>
      <c r="AK8657" s="500"/>
      <c r="AL8657" s="500"/>
      <c r="AM8657" s="500"/>
      <c r="AN8657" s="500"/>
      <c r="AO8657" s="500"/>
      <c r="AP8657" s="500"/>
    </row>
    <row r="8658" spans="1:42" ht="16.5" customHeight="1">
      <c r="A8658" s="434" t="s">
        <v>4398</v>
      </c>
      <c r="B8658" s="505" t="str">
        <f>" 폐기물 상차 및 운반 : "&amp;TEXT(I8658,"#,##0"&amp;IF(I8658&lt;&gt;INT(I8658),".###",""))&amp;" * "&amp;AA8658&amp;" Ton  = "&amp;TEXT(C8658,"#,##0.0")&amp;""</f>
        <v xml:space="preserve"> 폐기물 상차 및 운반 : 23,590 * 1 Ton  = 23,590.0</v>
      </c>
      <c r="C8658" s="506">
        <f>E8658+D8658+F8658</f>
        <v>23590</v>
      </c>
      <c r="D8658" s="506">
        <f>IF(H8658=0,0,ROUNDDOWN(J8658*H8658,1))</f>
        <v>0</v>
      </c>
      <c r="E8658" s="506">
        <f>IF(H8658=0,0,ROUNDDOWN(K8658*H8658,1))</f>
        <v>23590</v>
      </c>
      <c r="F8658" s="506">
        <f>IF(H8658=0,0,ROUNDDOWN(L8658*H8658,1))</f>
        <v>0</v>
      </c>
      <c r="G8658" s="451" t="s">
        <v>4399</v>
      </c>
      <c r="H8658" s="507">
        <f>ROUNDUP(AC8658,14-LEN(ABS(INT(AC8658))))</f>
        <v>1</v>
      </c>
      <c r="I8658" s="508">
        <f>K8658+J8658+L8658</f>
        <v>23590</v>
      </c>
      <c r="K8658" s="509">
        <f>재료비목록표!E103</f>
        <v>23590</v>
      </c>
      <c r="M8658" s="501" t="s">
        <v>4400</v>
      </c>
      <c r="N8658" s="501" t="s">
        <v>3421</v>
      </c>
      <c r="X8658" s="510" t="str">
        <f>재료비목록표!B103&amp;" / "&amp;재료비목록표!C103</f>
        <v>폐기물 상차 및 운반 / 30km이하,덤프15톤,폐콘크리트</v>
      </c>
      <c r="Y8658" s="433" t="str">
        <f ca="1">HYPERLINK("#"&amp;재료비목록표!G2&amp;"!A"&amp;ROW(재료비목록표!A103),"M08782 →")</f>
        <v>M08782 →</v>
      </c>
      <c r="Z8658" s="501" t="s">
        <v>3500</v>
      </c>
      <c r="AA8658" s="515">
        <v>1</v>
      </c>
      <c r="AB8658" s="501" t="s">
        <v>3418</v>
      </c>
      <c r="AC8658" s="512">
        <f>1*AA8658</f>
        <v>1</v>
      </c>
      <c r="AD8658" s="500"/>
      <c r="AE8658" s="500"/>
      <c r="AF8658" s="500"/>
      <c r="AG8658" s="500"/>
      <c r="AH8658" s="500"/>
      <c r="AI8658" s="500"/>
      <c r="AJ8658" s="500"/>
      <c r="AK8658" s="500"/>
      <c r="AL8658" s="500"/>
      <c r="AM8658" s="500"/>
      <c r="AN8658" s="500"/>
      <c r="AO8658" s="500"/>
      <c r="AP8658" s="500"/>
    </row>
    <row r="8659" spans="1:42" ht="16.5" customHeight="1">
      <c r="A8659" s="439"/>
      <c r="B8659" s="439"/>
      <c r="C8659" s="439"/>
      <c r="D8659" s="439"/>
      <c r="E8659" s="439"/>
      <c r="F8659" s="439"/>
      <c r="G8659" s="451" t="s">
        <v>3406</v>
      </c>
      <c r="Z8659" s="500"/>
      <c r="AA8659" s="500"/>
      <c r="AB8659" s="500"/>
      <c r="AC8659" s="500"/>
      <c r="AD8659" s="500"/>
      <c r="AE8659" s="500"/>
      <c r="AF8659" s="500"/>
      <c r="AG8659" s="500"/>
      <c r="AH8659" s="500"/>
      <c r="AI8659" s="500"/>
      <c r="AJ8659" s="500"/>
      <c r="AK8659" s="500"/>
      <c r="AL8659" s="500"/>
      <c r="AM8659" s="500"/>
      <c r="AN8659" s="500"/>
      <c r="AO8659" s="500"/>
      <c r="AP8659" s="500"/>
    </row>
    <row r="8660" spans="1:42" ht="16.5" customHeight="1">
      <c r="A8660" s="439"/>
      <c r="B8660" s="439"/>
      <c r="C8660" s="439"/>
      <c r="D8660" s="439"/>
      <c r="E8660" s="439"/>
      <c r="F8660" s="439"/>
      <c r="G8660" s="451" t="s">
        <v>3406</v>
      </c>
      <c r="Z8660" s="500"/>
      <c r="AA8660" s="500"/>
      <c r="AB8660" s="500"/>
      <c r="AC8660" s="500"/>
      <c r="AD8660" s="500"/>
      <c r="AE8660" s="500"/>
      <c r="AF8660" s="500"/>
      <c r="AG8660" s="500"/>
      <c r="AH8660" s="500"/>
      <c r="AI8660" s="500"/>
      <c r="AJ8660" s="500"/>
      <c r="AK8660" s="500"/>
      <c r="AL8660" s="500"/>
      <c r="AM8660" s="500"/>
      <c r="AN8660" s="500"/>
      <c r="AO8660" s="500"/>
      <c r="AP8660" s="500"/>
    </row>
    <row r="8661" spans="1:42" ht="16.5" customHeight="1">
      <c r="A8661" s="434"/>
      <c r="B8661" s="437" t="s">
        <v>3440</v>
      </c>
      <c r="C8661" s="513">
        <f>E8661+D8661+F8661</f>
        <v>23590</v>
      </c>
      <c r="D8661" s="513">
        <f>SUMIF(N8657:N8660,M8661,D8657:D8660)</f>
        <v>0</v>
      </c>
      <c r="E8661" s="513">
        <f>SUMIF(N8657:N8660,M8661,E8657:E8660)</f>
        <v>23590</v>
      </c>
      <c r="F8661" s="513">
        <f>SUMIF(N8657:N8660,M8661,F8657:F8660)</f>
        <v>0</v>
      </c>
      <c r="G8661" s="451" t="s">
        <v>3484</v>
      </c>
      <c r="M8661" s="501" t="s">
        <v>3421</v>
      </c>
      <c r="N8661" s="501" t="s">
        <v>2354</v>
      </c>
      <c r="Z8661" s="500"/>
      <c r="AA8661" s="500"/>
      <c r="AB8661" s="500"/>
      <c r="AC8661" s="500"/>
      <c r="AD8661" s="500"/>
      <c r="AE8661" s="500"/>
      <c r="AF8661" s="500"/>
      <c r="AG8661" s="500"/>
      <c r="AH8661" s="500"/>
      <c r="AI8661" s="500"/>
      <c r="AJ8661" s="500"/>
      <c r="AK8661" s="500"/>
      <c r="AL8661" s="500"/>
      <c r="AM8661" s="500"/>
      <c r="AN8661" s="500"/>
      <c r="AO8661" s="500"/>
      <c r="AP8661" s="500"/>
    </row>
    <row r="8662" spans="1:42" ht="16.5" customHeight="1">
      <c r="A8662" s="439"/>
      <c r="B8662" s="439"/>
      <c r="C8662" s="504"/>
      <c r="D8662" s="504"/>
      <c r="E8662" s="504"/>
      <c r="F8662" s="504"/>
      <c r="Z8662" s="500"/>
      <c r="AA8662" s="500"/>
      <c r="AB8662" s="500"/>
      <c r="AC8662" s="500"/>
      <c r="AD8662" s="500"/>
      <c r="AE8662" s="500"/>
      <c r="AF8662" s="500"/>
      <c r="AG8662" s="500"/>
      <c r="AH8662" s="500"/>
      <c r="AI8662" s="500"/>
      <c r="AJ8662" s="500"/>
      <c r="AK8662" s="500"/>
      <c r="AL8662" s="500"/>
      <c r="AM8662" s="500"/>
      <c r="AN8662" s="500"/>
      <c r="AO8662" s="500"/>
      <c r="AP8662" s="500"/>
    </row>
    <row r="8663" spans="1:42" ht="16.5" customHeight="1">
      <c r="A8663" s="439"/>
      <c r="B8663" s="439"/>
      <c r="C8663" s="439"/>
      <c r="D8663" s="439"/>
      <c r="E8663" s="439"/>
      <c r="F8663" s="439"/>
      <c r="Z8663" s="500"/>
      <c r="AA8663" s="500"/>
      <c r="AB8663" s="500"/>
      <c r="AC8663" s="500"/>
      <c r="AD8663" s="500"/>
      <c r="AE8663" s="500"/>
      <c r="AF8663" s="500"/>
      <c r="AG8663" s="500"/>
      <c r="AH8663" s="500"/>
      <c r="AI8663" s="500"/>
      <c r="AJ8663" s="500"/>
      <c r="AK8663" s="500"/>
      <c r="AL8663" s="500"/>
      <c r="AM8663" s="500"/>
      <c r="AN8663" s="500"/>
      <c r="AO8663" s="500"/>
      <c r="AP8663" s="500"/>
    </row>
    <row r="8664" spans="1:42" ht="16.5" customHeight="1">
      <c r="A8664" s="439"/>
      <c r="B8664" s="439"/>
      <c r="C8664" s="439"/>
      <c r="D8664" s="439"/>
      <c r="E8664" s="439"/>
      <c r="F8664" s="439"/>
      <c r="Z8664" s="500"/>
      <c r="AA8664" s="500"/>
      <c r="AB8664" s="500"/>
      <c r="AC8664" s="500"/>
      <c r="AD8664" s="500"/>
      <c r="AE8664" s="500"/>
      <c r="AF8664" s="500"/>
      <c r="AG8664" s="500"/>
      <c r="AH8664" s="500"/>
      <c r="AI8664" s="500"/>
      <c r="AJ8664" s="500"/>
      <c r="AK8664" s="500"/>
      <c r="AL8664" s="500"/>
      <c r="AM8664" s="500"/>
      <c r="AN8664" s="500"/>
      <c r="AO8664" s="500"/>
      <c r="AP8664" s="500"/>
    </row>
    <row r="8665" spans="1:42" ht="16.5" customHeight="1">
      <c r="A8665" s="439"/>
      <c r="B8665" s="439"/>
      <c r="C8665" s="439"/>
      <c r="D8665" s="439"/>
      <c r="E8665" s="439"/>
      <c r="F8665" s="439"/>
      <c r="Z8665" s="500"/>
      <c r="AA8665" s="500"/>
      <c r="AB8665" s="500"/>
      <c r="AC8665" s="500"/>
      <c r="AD8665" s="500"/>
      <c r="AE8665" s="500"/>
      <c r="AF8665" s="500"/>
      <c r="AG8665" s="500"/>
      <c r="AH8665" s="500"/>
      <c r="AI8665" s="500"/>
      <c r="AJ8665" s="500"/>
      <c r="AK8665" s="500"/>
      <c r="AL8665" s="500"/>
      <c r="AM8665" s="500"/>
      <c r="AN8665" s="500"/>
      <c r="AO8665" s="500"/>
      <c r="AP8665" s="500"/>
    </row>
    <row r="8666" spans="1:42" ht="16.5" customHeight="1">
      <c r="A8666" s="439"/>
      <c r="B8666" s="439"/>
      <c r="C8666" s="439"/>
      <c r="D8666" s="439"/>
      <c r="E8666" s="439"/>
      <c r="F8666" s="439"/>
      <c r="Z8666" s="500"/>
      <c r="AA8666" s="500"/>
      <c r="AB8666" s="500"/>
      <c r="AC8666" s="500"/>
      <c r="AD8666" s="500"/>
      <c r="AE8666" s="500"/>
      <c r="AF8666" s="500"/>
      <c r="AG8666" s="500"/>
      <c r="AH8666" s="500"/>
      <c r="AI8666" s="500"/>
      <c r="AJ8666" s="500"/>
      <c r="AK8666" s="500"/>
      <c r="AL8666" s="500"/>
      <c r="AM8666" s="500"/>
      <c r="AN8666" s="500"/>
      <c r="AO8666" s="500"/>
      <c r="AP8666" s="500"/>
    </row>
    <row r="8667" spans="1:42" ht="16.5" customHeight="1">
      <c r="A8667" s="439"/>
      <c r="B8667" s="439"/>
      <c r="C8667" s="439"/>
      <c r="D8667" s="439"/>
      <c r="E8667" s="439"/>
      <c r="F8667" s="439"/>
      <c r="Z8667" s="500"/>
      <c r="AA8667" s="500"/>
      <c r="AB8667" s="500"/>
      <c r="AC8667" s="500"/>
      <c r="AD8667" s="500"/>
      <c r="AE8667" s="500"/>
      <c r="AF8667" s="500"/>
      <c r="AG8667" s="500"/>
      <c r="AH8667" s="500"/>
      <c r="AI8667" s="500"/>
      <c r="AJ8667" s="500"/>
      <c r="AK8667" s="500"/>
      <c r="AL8667" s="500"/>
      <c r="AM8667" s="500"/>
      <c r="AN8667" s="500"/>
      <c r="AO8667" s="500"/>
      <c r="AP8667" s="500"/>
    </row>
    <row r="8668" spans="1:42" ht="16.5" customHeight="1">
      <c r="A8668" s="439"/>
      <c r="B8668" s="439"/>
      <c r="C8668" s="439"/>
      <c r="D8668" s="439"/>
      <c r="E8668" s="439"/>
      <c r="F8668" s="439"/>
      <c r="Z8668" s="500"/>
      <c r="AA8668" s="500"/>
      <c r="AB8668" s="500"/>
      <c r="AC8668" s="500"/>
      <c r="AD8668" s="500"/>
      <c r="AE8668" s="500"/>
      <c r="AF8668" s="500"/>
      <c r="AG8668" s="500"/>
      <c r="AH8668" s="500"/>
      <c r="AI8668" s="500"/>
      <c r="AJ8668" s="500"/>
      <c r="AK8668" s="500"/>
      <c r="AL8668" s="500"/>
      <c r="AM8668" s="500"/>
      <c r="AN8668" s="500"/>
      <c r="AO8668" s="500"/>
      <c r="AP8668" s="500"/>
    </row>
    <row r="8669" spans="1:42" ht="16.5" customHeight="1">
      <c r="A8669" s="439"/>
      <c r="B8669" s="439"/>
      <c r="C8669" s="439"/>
      <c r="D8669" s="439"/>
      <c r="E8669" s="439"/>
      <c r="F8669" s="439"/>
      <c r="Z8669" s="500"/>
      <c r="AA8669" s="500"/>
      <c r="AB8669" s="500"/>
      <c r="AC8669" s="500"/>
      <c r="AD8669" s="500"/>
      <c r="AE8669" s="500"/>
      <c r="AF8669" s="500"/>
      <c r="AG8669" s="500"/>
      <c r="AH8669" s="500"/>
      <c r="AI8669" s="500"/>
      <c r="AJ8669" s="500"/>
      <c r="AK8669" s="500"/>
      <c r="AL8669" s="500"/>
      <c r="AM8669" s="500"/>
      <c r="AN8669" s="500"/>
      <c r="AO8669" s="500"/>
      <c r="AP8669" s="500"/>
    </row>
    <row r="8670" spans="1:42" ht="16.5" customHeight="1">
      <c r="A8670" s="439"/>
      <c r="B8670" s="439"/>
      <c r="C8670" s="439"/>
      <c r="D8670" s="439"/>
      <c r="E8670" s="439"/>
      <c r="F8670" s="439"/>
      <c r="Z8670" s="500"/>
      <c r="AA8670" s="500"/>
      <c r="AB8670" s="500"/>
      <c r="AC8670" s="500"/>
      <c r="AD8670" s="500"/>
      <c r="AE8670" s="500"/>
      <c r="AF8670" s="500"/>
      <c r="AG8670" s="500"/>
      <c r="AH8670" s="500"/>
      <c r="AI8670" s="500"/>
      <c r="AJ8670" s="500"/>
      <c r="AK8670" s="500"/>
      <c r="AL8670" s="500"/>
      <c r="AM8670" s="500"/>
      <c r="AN8670" s="500"/>
      <c r="AO8670" s="500"/>
      <c r="AP8670" s="500"/>
    </row>
    <row r="8671" spans="1:42" ht="16.5" customHeight="1">
      <c r="A8671" s="439"/>
      <c r="B8671" s="439"/>
      <c r="C8671" s="439"/>
      <c r="D8671" s="439"/>
      <c r="E8671" s="439"/>
      <c r="F8671" s="439"/>
      <c r="Z8671" s="500"/>
      <c r="AA8671" s="500"/>
      <c r="AB8671" s="500"/>
      <c r="AC8671" s="500"/>
      <c r="AD8671" s="500"/>
      <c r="AE8671" s="500"/>
      <c r="AF8671" s="500"/>
      <c r="AG8671" s="500"/>
      <c r="AH8671" s="500"/>
      <c r="AI8671" s="500"/>
      <c r="AJ8671" s="500"/>
      <c r="AK8671" s="500"/>
      <c r="AL8671" s="500"/>
      <c r="AM8671" s="500"/>
      <c r="AN8671" s="500"/>
      <c r="AO8671" s="500"/>
      <c r="AP8671" s="500"/>
    </row>
    <row r="8672" spans="1:42" ht="16.5" customHeight="1">
      <c r="A8672" s="439"/>
      <c r="B8672" s="439"/>
      <c r="C8672" s="439"/>
      <c r="D8672" s="439"/>
      <c r="E8672" s="439"/>
      <c r="F8672" s="439"/>
      <c r="Z8672" s="500"/>
      <c r="AA8672" s="500"/>
      <c r="AB8672" s="500"/>
      <c r="AC8672" s="500"/>
      <c r="AD8672" s="500"/>
      <c r="AE8672" s="500"/>
      <c r="AF8672" s="500"/>
      <c r="AG8672" s="500"/>
      <c r="AH8672" s="500"/>
      <c r="AI8672" s="500"/>
      <c r="AJ8672" s="500"/>
      <c r="AK8672" s="500"/>
      <c r="AL8672" s="500"/>
      <c r="AM8672" s="500"/>
      <c r="AN8672" s="500"/>
      <c r="AO8672" s="500"/>
      <c r="AP8672" s="500"/>
    </row>
    <row r="8673" spans="1:42" ht="16.5" customHeight="1">
      <c r="A8673" s="439"/>
      <c r="B8673" s="439"/>
      <c r="C8673" s="439"/>
      <c r="D8673" s="439"/>
      <c r="E8673" s="439"/>
      <c r="F8673" s="439"/>
      <c r="Z8673" s="500"/>
      <c r="AA8673" s="500"/>
      <c r="AB8673" s="500"/>
      <c r="AC8673" s="500"/>
      <c r="AD8673" s="500"/>
      <c r="AE8673" s="500"/>
      <c r="AF8673" s="500"/>
      <c r="AG8673" s="500"/>
      <c r="AH8673" s="500"/>
      <c r="AI8673" s="500"/>
      <c r="AJ8673" s="500"/>
      <c r="AK8673" s="500"/>
      <c r="AL8673" s="500"/>
      <c r="AM8673" s="500"/>
      <c r="AN8673" s="500"/>
      <c r="AO8673" s="500"/>
      <c r="AP8673" s="500"/>
    </row>
    <row r="8674" spans="1:42" ht="16.5" customHeight="1">
      <c r="A8674" s="439"/>
      <c r="B8674" s="439"/>
      <c r="C8674" s="439"/>
      <c r="D8674" s="439"/>
      <c r="E8674" s="439"/>
      <c r="F8674" s="439"/>
      <c r="Z8674" s="500"/>
      <c r="AA8674" s="500"/>
      <c r="AB8674" s="500"/>
      <c r="AC8674" s="500"/>
      <c r="AD8674" s="500"/>
      <c r="AE8674" s="500"/>
      <c r="AF8674" s="500"/>
      <c r="AG8674" s="500"/>
      <c r="AH8674" s="500"/>
      <c r="AI8674" s="500"/>
      <c r="AJ8674" s="500"/>
      <c r="AK8674" s="500"/>
      <c r="AL8674" s="500"/>
      <c r="AM8674" s="500"/>
      <c r="AN8674" s="500"/>
      <c r="AO8674" s="500"/>
      <c r="AP8674" s="500"/>
    </row>
    <row r="8675" spans="1:42" ht="16.5" customHeight="1">
      <c r="A8675" s="439"/>
      <c r="B8675" s="439"/>
      <c r="C8675" s="439"/>
      <c r="D8675" s="439"/>
      <c r="E8675" s="439"/>
      <c r="F8675" s="439"/>
      <c r="Z8675" s="500"/>
      <c r="AA8675" s="500"/>
      <c r="AB8675" s="500"/>
      <c r="AC8675" s="500"/>
      <c r="AD8675" s="500"/>
      <c r="AE8675" s="500"/>
      <c r="AF8675" s="500"/>
      <c r="AG8675" s="500"/>
      <c r="AH8675" s="500"/>
      <c r="AI8675" s="500"/>
      <c r="AJ8675" s="500"/>
      <c r="AK8675" s="500"/>
      <c r="AL8675" s="500"/>
      <c r="AM8675" s="500"/>
      <c r="AN8675" s="500"/>
      <c r="AO8675" s="500"/>
      <c r="AP8675" s="500"/>
    </row>
    <row r="8676" spans="1:42" ht="16.5" customHeight="1">
      <c r="A8676" s="439"/>
      <c r="B8676" s="439"/>
      <c r="C8676" s="439"/>
      <c r="D8676" s="439"/>
      <c r="E8676" s="439"/>
      <c r="F8676" s="439"/>
      <c r="Z8676" s="500"/>
      <c r="AA8676" s="500"/>
      <c r="AB8676" s="500"/>
      <c r="AC8676" s="500"/>
      <c r="AD8676" s="500"/>
      <c r="AE8676" s="500"/>
      <c r="AF8676" s="500"/>
      <c r="AG8676" s="500"/>
      <c r="AH8676" s="500"/>
      <c r="AI8676" s="500"/>
      <c r="AJ8676" s="500"/>
      <c r="AK8676" s="500"/>
      <c r="AL8676" s="500"/>
      <c r="AM8676" s="500"/>
      <c r="AN8676" s="500"/>
      <c r="AO8676" s="500"/>
      <c r="AP8676" s="500"/>
    </row>
    <row r="8677" spans="1:42" ht="16.5" customHeight="1">
      <c r="A8677" s="439"/>
      <c r="B8677" s="439"/>
      <c r="C8677" s="439"/>
      <c r="D8677" s="439"/>
      <c r="E8677" s="439"/>
      <c r="F8677" s="439"/>
      <c r="Z8677" s="500"/>
      <c r="AA8677" s="500"/>
      <c r="AB8677" s="500"/>
      <c r="AC8677" s="500"/>
      <c r="AD8677" s="500"/>
      <c r="AE8677" s="500"/>
      <c r="AF8677" s="500"/>
      <c r="AG8677" s="500"/>
      <c r="AH8677" s="500"/>
      <c r="AI8677" s="500"/>
      <c r="AJ8677" s="500"/>
      <c r="AK8677" s="500"/>
      <c r="AL8677" s="500"/>
      <c r="AM8677" s="500"/>
      <c r="AN8677" s="500"/>
      <c r="AO8677" s="500"/>
      <c r="AP8677" s="500"/>
    </row>
    <row r="8678" spans="1:42" ht="16.5" customHeight="1">
      <c r="A8678" s="439"/>
      <c r="B8678" s="439"/>
      <c r="C8678" s="439"/>
      <c r="D8678" s="439"/>
      <c r="E8678" s="439"/>
      <c r="F8678" s="439"/>
      <c r="Z8678" s="500"/>
      <c r="AA8678" s="500"/>
      <c r="AB8678" s="500"/>
      <c r="AC8678" s="500"/>
      <c r="AD8678" s="500"/>
      <c r="AE8678" s="500"/>
      <c r="AF8678" s="500"/>
      <c r="AG8678" s="500"/>
      <c r="AH8678" s="500"/>
      <c r="AI8678" s="500"/>
      <c r="AJ8678" s="500"/>
      <c r="AK8678" s="500"/>
      <c r="AL8678" s="500"/>
      <c r="AM8678" s="500"/>
      <c r="AN8678" s="500"/>
      <c r="AO8678" s="500"/>
      <c r="AP8678" s="500"/>
    </row>
    <row r="8679" spans="1:42" ht="16.5" customHeight="1">
      <c r="A8679" s="439"/>
      <c r="B8679" s="439"/>
      <c r="C8679" s="439"/>
      <c r="D8679" s="439"/>
      <c r="E8679" s="439"/>
      <c r="F8679" s="439"/>
      <c r="Z8679" s="500"/>
      <c r="AA8679" s="500"/>
      <c r="AB8679" s="500"/>
      <c r="AC8679" s="500"/>
      <c r="AD8679" s="500"/>
      <c r="AE8679" s="500"/>
      <c r="AF8679" s="500"/>
      <c r="AG8679" s="500"/>
      <c r="AH8679" s="500"/>
      <c r="AI8679" s="500"/>
      <c r="AJ8679" s="500"/>
      <c r="AK8679" s="500"/>
      <c r="AL8679" s="500"/>
      <c r="AM8679" s="500"/>
      <c r="AN8679" s="500"/>
      <c r="AO8679" s="500"/>
      <c r="AP8679" s="500"/>
    </row>
    <row r="8680" spans="1:42" ht="16.5" customHeight="1">
      <c r="A8680" s="439"/>
      <c r="B8680" s="439"/>
      <c r="C8680" s="439"/>
      <c r="D8680" s="439"/>
      <c r="E8680" s="439"/>
      <c r="F8680" s="439"/>
      <c r="Z8680" s="500"/>
      <c r="AA8680" s="500"/>
      <c r="AB8680" s="500"/>
      <c r="AC8680" s="500"/>
      <c r="AD8680" s="500"/>
      <c r="AE8680" s="500"/>
      <c r="AF8680" s="500"/>
      <c r="AG8680" s="500"/>
      <c r="AH8680" s="500"/>
      <c r="AI8680" s="500"/>
      <c r="AJ8680" s="500"/>
      <c r="AK8680" s="500"/>
      <c r="AL8680" s="500"/>
      <c r="AM8680" s="500"/>
      <c r="AN8680" s="500"/>
      <c r="AO8680" s="500"/>
      <c r="AP8680" s="500"/>
    </row>
    <row r="8681" spans="1:42" ht="16.5" customHeight="1">
      <c r="A8681" s="439"/>
      <c r="B8681" s="439"/>
      <c r="C8681" s="439"/>
      <c r="D8681" s="439"/>
      <c r="E8681" s="439"/>
      <c r="F8681" s="439"/>
      <c r="Z8681" s="500"/>
      <c r="AA8681" s="500"/>
      <c r="AB8681" s="500"/>
      <c r="AC8681" s="500"/>
      <c r="AD8681" s="500"/>
      <c r="AE8681" s="500"/>
      <c r="AF8681" s="500"/>
      <c r="AG8681" s="500"/>
      <c r="AH8681" s="500"/>
      <c r="AI8681" s="500"/>
      <c r="AJ8681" s="500"/>
      <c r="AK8681" s="500"/>
      <c r="AL8681" s="500"/>
      <c r="AM8681" s="500"/>
      <c r="AN8681" s="500"/>
      <c r="AO8681" s="500"/>
      <c r="AP8681" s="500"/>
    </row>
    <row r="8682" spans="1:42" ht="16.5" customHeight="1">
      <c r="A8682" s="439"/>
      <c r="B8682" s="439"/>
      <c r="C8682" s="439"/>
      <c r="D8682" s="439"/>
      <c r="E8682" s="439"/>
      <c r="F8682" s="439"/>
      <c r="Z8682" s="500"/>
      <c r="AA8682" s="500"/>
      <c r="AB8682" s="500"/>
      <c r="AC8682" s="500"/>
      <c r="AD8682" s="500"/>
      <c r="AE8682" s="500"/>
      <c r="AF8682" s="500"/>
      <c r="AG8682" s="500"/>
      <c r="AH8682" s="500"/>
      <c r="AI8682" s="500"/>
      <c r="AJ8682" s="500"/>
      <c r="AK8682" s="500"/>
      <c r="AL8682" s="500"/>
      <c r="AM8682" s="500"/>
      <c r="AN8682" s="500"/>
      <c r="AO8682" s="500"/>
      <c r="AP8682" s="500"/>
    </row>
    <row r="8683" spans="1:42" ht="16.5" customHeight="1">
      <c r="A8683" s="439"/>
      <c r="B8683" s="439"/>
      <c r="C8683" s="439"/>
      <c r="D8683" s="439"/>
      <c r="E8683" s="439"/>
      <c r="F8683" s="439"/>
      <c r="Z8683" s="500"/>
      <c r="AA8683" s="500"/>
      <c r="AB8683" s="500"/>
      <c r="AC8683" s="500"/>
      <c r="AD8683" s="500"/>
      <c r="AE8683" s="500"/>
      <c r="AF8683" s="500"/>
      <c r="AG8683" s="500"/>
      <c r="AH8683" s="500"/>
      <c r="AI8683" s="500"/>
      <c r="AJ8683" s="500"/>
      <c r="AK8683" s="500"/>
      <c r="AL8683" s="500"/>
      <c r="AM8683" s="500"/>
      <c r="AN8683" s="500"/>
      <c r="AO8683" s="500"/>
      <c r="AP8683" s="500"/>
    </row>
    <row r="8684" spans="1:42" ht="16.5" customHeight="1">
      <c r="A8684" s="439"/>
      <c r="B8684" s="439"/>
      <c r="C8684" s="439"/>
      <c r="D8684" s="439"/>
      <c r="E8684" s="439"/>
      <c r="F8684" s="439"/>
      <c r="Z8684" s="500"/>
      <c r="AA8684" s="500"/>
      <c r="AB8684" s="500"/>
      <c r="AC8684" s="500"/>
      <c r="AD8684" s="500"/>
      <c r="AE8684" s="500"/>
      <c r="AF8684" s="500"/>
      <c r="AG8684" s="500"/>
      <c r="AH8684" s="500"/>
      <c r="AI8684" s="500"/>
      <c r="AJ8684" s="500"/>
      <c r="AK8684" s="500"/>
      <c r="AL8684" s="500"/>
      <c r="AM8684" s="500"/>
      <c r="AN8684" s="500"/>
      <c r="AO8684" s="500"/>
      <c r="AP8684" s="500"/>
    </row>
    <row r="8685" spans="1:42" ht="16.5" customHeight="1">
      <c r="A8685" s="439"/>
      <c r="B8685" s="439"/>
      <c r="C8685" s="439"/>
      <c r="D8685" s="439"/>
      <c r="E8685" s="439"/>
      <c r="F8685" s="439"/>
      <c r="Z8685" s="500"/>
      <c r="AA8685" s="500"/>
      <c r="AB8685" s="500"/>
      <c r="AC8685" s="500"/>
      <c r="AD8685" s="500"/>
      <c r="AE8685" s="500"/>
      <c r="AF8685" s="500"/>
      <c r="AG8685" s="500"/>
      <c r="AH8685" s="500"/>
      <c r="AI8685" s="500"/>
      <c r="AJ8685" s="500"/>
      <c r="AK8685" s="500"/>
      <c r="AL8685" s="500"/>
      <c r="AM8685" s="500"/>
      <c r="AN8685" s="500"/>
      <c r="AO8685" s="500"/>
      <c r="AP8685" s="500"/>
    </row>
    <row r="8686" spans="1:42" ht="16.5" customHeight="1">
      <c r="A8686" s="439"/>
      <c r="B8686" s="439"/>
      <c r="C8686" s="439"/>
      <c r="D8686" s="439"/>
      <c r="E8686" s="439"/>
      <c r="F8686" s="439"/>
      <c r="Z8686" s="500"/>
      <c r="AA8686" s="500"/>
      <c r="AB8686" s="500"/>
      <c r="AC8686" s="500"/>
      <c r="AD8686" s="500"/>
      <c r="AE8686" s="500"/>
      <c r="AF8686" s="500"/>
      <c r="AG8686" s="500"/>
      <c r="AH8686" s="500"/>
      <c r="AI8686" s="500"/>
      <c r="AJ8686" s="500"/>
      <c r="AK8686" s="500"/>
      <c r="AL8686" s="500"/>
      <c r="AM8686" s="500"/>
      <c r="AN8686" s="500"/>
      <c r="AO8686" s="500"/>
      <c r="AP8686" s="500"/>
    </row>
    <row r="8687" spans="1:42" ht="16.5" customHeight="1">
      <c r="A8687" s="439"/>
      <c r="B8687" s="439"/>
      <c r="C8687" s="439"/>
      <c r="D8687" s="439"/>
      <c r="E8687" s="439"/>
      <c r="F8687" s="439"/>
      <c r="Z8687" s="500"/>
      <c r="AA8687" s="500"/>
      <c r="AB8687" s="500"/>
      <c r="AC8687" s="500"/>
      <c r="AD8687" s="500"/>
      <c r="AE8687" s="500"/>
      <c r="AF8687" s="500"/>
      <c r="AG8687" s="500"/>
      <c r="AH8687" s="500"/>
      <c r="AI8687" s="500"/>
      <c r="AJ8687" s="500"/>
      <c r="AK8687" s="500"/>
      <c r="AL8687" s="500"/>
      <c r="AM8687" s="500"/>
      <c r="AN8687" s="500"/>
      <c r="AO8687" s="500"/>
      <c r="AP8687" s="500"/>
    </row>
    <row r="8688" spans="1:42" ht="16.5" customHeight="1">
      <c r="A8688" s="439"/>
      <c r="B8688" s="439"/>
      <c r="C8688" s="439"/>
      <c r="D8688" s="439"/>
      <c r="E8688" s="439"/>
      <c r="F8688" s="439"/>
      <c r="Z8688" s="500"/>
      <c r="AA8688" s="500"/>
      <c r="AB8688" s="500"/>
      <c r="AC8688" s="500"/>
      <c r="AD8688" s="500"/>
      <c r="AE8688" s="500"/>
      <c r="AF8688" s="500"/>
      <c r="AG8688" s="500"/>
      <c r="AH8688" s="500"/>
      <c r="AI8688" s="500"/>
      <c r="AJ8688" s="500"/>
      <c r="AK8688" s="500"/>
      <c r="AL8688" s="500"/>
      <c r="AM8688" s="500"/>
      <c r="AN8688" s="500"/>
      <c r="AO8688" s="500"/>
      <c r="AP8688" s="500"/>
    </row>
    <row r="8689" spans="1:42" ht="16.5" customHeight="1">
      <c r="A8689" s="439"/>
      <c r="B8689" s="439"/>
      <c r="C8689" s="439"/>
      <c r="D8689" s="439"/>
      <c r="E8689" s="439"/>
      <c r="F8689" s="439"/>
      <c r="Z8689" s="500"/>
      <c r="AA8689" s="500"/>
      <c r="AB8689" s="500"/>
      <c r="AC8689" s="500"/>
      <c r="AD8689" s="500"/>
      <c r="AE8689" s="500"/>
      <c r="AF8689" s="500"/>
      <c r="AG8689" s="500"/>
      <c r="AH8689" s="500"/>
      <c r="AI8689" s="500"/>
      <c r="AJ8689" s="500"/>
      <c r="AK8689" s="500"/>
      <c r="AL8689" s="500"/>
      <c r="AM8689" s="500"/>
      <c r="AN8689" s="500"/>
      <c r="AO8689" s="500"/>
      <c r="AP8689" s="500"/>
    </row>
    <row r="8690" spans="1:42" ht="16.5" customHeight="1">
      <c r="A8690" s="439"/>
      <c r="B8690" s="439"/>
      <c r="C8690" s="439"/>
      <c r="D8690" s="439"/>
      <c r="E8690" s="439"/>
      <c r="F8690" s="439"/>
      <c r="Z8690" s="500"/>
      <c r="AA8690" s="500"/>
      <c r="AB8690" s="500"/>
      <c r="AC8690" s="500"/>
      <c r="AD8690" s="500"/>
      <c r="AE8690" s="500"/>
      <c r="AF8690" s="500"/>
      <c r="AG8690" s="500"/>
      <c r="AH8690" s="500"/>
      <c r="AI8690" s="500"/>
      <c r="AJ8690" s="500"/>
      <c r="AK8690" s="500"/>
      <c r="AL8690" s="500"/>
      <c r="AM8690" s="500"/>
      <c r="AN8690" s="500"/>
      <c r="AO8690" s="500"/>
      <c r="AP8690" s="500"/>
    </row>
    <row r="8691" spans="1:42" ht="16.5" customHeight="1">
      <c r="A8691" s="439"/>
      <c r="B8691" s="439"/>
      <c r="C8691" s="439"/>
      <c r="D8691" s="439"/>
      <c r="E8691" s="439"/>
      <c r="F8691" s="439"/>
      <c r="Z8691" s="500"/>
      <c r="AA8691" s="500"/>
      <c r="AB8691" s="500"/>
      <c r="AC8691" s="500"/>
      <c r="AD8691" s="500"/>
      <c r="AE8691" s="500"/>
      <c r="AF8691" s="500"/>
      <c r="AG8691" s="500"/>
      <c r="AH8691" s="500"/>
      <c r="AI8691" s="500"/>
      <c r="AJ8691" s="500"/>
      <c r="AK8691" s="500"/>
      <c r="AL8691" s="500"/>
      <c r="AM8691" s="500"/>
      <c r="AN8691" s="500"/>
      <c r="AO8691" s="500"/>
      <c r="AP8691" s="500"/>
    </row>
    <row r="8692" spans="1:42" ht="16.5" customHeight="1">
      <c r="A8692" s="439"/>
      <c r="B8692" s="439"/>
      <c r="C8692" s="439"/>
      <c r="D8692" s="439"/>
      <c r="E8692" s="439"/>
      <c r="F8692" s="439"/>
      <c r="Z8692" s="500"/>
      <c r="AA8692" s="500"/>
      <c r="AB8692" s="500"/>
      <c r="AC8692" s="500"/>
      <c r="AD8692" s="500"/>
      <c r="AE8692" s="500"/>
      <c r="AF8692" s="500"/>
      <c r="AG8692" s="500"/>
      <c r="AH8692" s="500"/>
      <c r="AI8692" s="500"/>
      <c r="AJ8692" s="500"/>
      <c r="AK8692" s="500"/>
      <c r="AL8692" s="500"/>
      <c r="AM8692" s="500"/>
      <c r="AN8692" s="500"/>
      <c r="AO8692" s="500"/>
      <c r="AP8692" s="500"/>
    </row>
    <row r="8693" spans="1:42" ht="16.5" customHeight="1">
      <c r="A8693" s="439"/>
      <c r="B8693" s="439"/>
      <c r="C8693" s="439"/>
      <c r="D8693" s="439"/>
      <c r="E8693" s="439"/>
      <c r="F8693" s="439"/>
      <c r="Z8693" s="500"/>
      <c r="AA8693" s="500"/>
      <c r="AB8693" s="500"/>
      <c r="AC8693" s="500"/>
      <c r="AD8693" s="500"/>
      <c r="AE8693" s="500"/>
      <c r="AF8693" s="500"/>
      <c r="AG8693" s="500"/>
      <c r="AH8693" s="500"/>
      <c r="AI8693" s="500"/>
      <c r="AJ8693" s="500"/>
      <c r="AK8693" s="500"/>
      <c r="AL8693" s="500"/>
      <c r="AM8693" s="500"/>
      <c r="AN8693" s="500"/>
      <c r="AO8693" s="500"/>
      <c r="AP8693" s="500"/>
    </row>
    <row r="8694" spans="1:42" ht="16.5" customHeight="1">
      <c r="A8694" s="439"/>
      <c r="B8694" s="439"/>
      <c r="C8694" s="439"/>
      <c r="D8694" s="439"/>
      <c r="E8694" s="439"/>
      <c r="F8694" s="439"/>
      <c r="Z8694" s="500"/>
      <c r="AA8694" s="500"/>
      <c r="AB8694" s="500"/>
      <c r="AC8694" s="500"/>
      <c r="AD8694" s="500"/>
      <c r="AE8694" s="500"/>
      <c r="AF8694" s="500"/>
      <c r="AG8694" s="500"/>
      <c r="AH8694" s="500"/>
      <c r="AI8694" s="500"/>
      <c r="AJ8694" s="500"/>
      <c r="AK8694" s="500"/>
      <c r="AL8694" s="500"/>
      <c r="AM8694" s="500"/>
      <c r="AN8694" s="500"/>
      <c r="AO8694" s="500"/>
      <c r="AP8694" s="500"/>
    </row>
    <row r="8695" spans="1:42" ht="16.5" customHeight="1">
      <c r="A8695" s="439"/>
      <c r="B8695" s="439"/>
      <c r="C8695" s="439"/>
      <c r="D8695" s="439"/>
      <c r="E8695" s="439"/>
      <c r="F8695" s="439"/>
      <c r="Z8695" s="500"/>
      <c r="AA8695" s="500"/>
      <c r="AB8695" s="500"/>
      <c r="AC8695" s="500"/>
      <c r="AD8695" s="500"/>
      <c r="AE8695" s="500"/>
      <c r="AF8695" s="500"/>
      <c r="AG8695" s="500"/>
      <c r="AH8695" s="500"/>
      <c r="AI8695" s="500"/>
      <c r="AJ8695" s="500"/>
      <c r="AK8695" s="500"/>
      <c r="AL8695" s="500"/>
      <c r="AM8695" s="500"/>
      <c r="AN8695" s="500"/>
      <c r="AO8695" s="500"/>
      <c r="AP8695" s="500"/>
    </row>
    <row r="8696" spans="1:42" ht="16.5" customHeight="1">
      <c r="A8696" s="439"/>
      <c r="B8696" s="439"/>
      <c r="C8696" s="439"/>
      <c r="D8696" s="439"/>
      <c r="E8696" s="439"/>
      <c r="F8696" s="439"/>
      <c r="Z8696" s="500"/>
      <c r="AA8696" s="500"/>
      <c r="AB8696" s="500"/>
      <c r="AC8696" s="500"/>
      <c r="AD8696" s="500"/>
      <c r="AE8696" s="500"/>
      <c r="AF8696" s="500"/>
      <c r="AG8696" s="500"/>
      <c r="AH8696" s="500"/>
      <c r="AI8696" s="500"/>
      <c r="AJ8696" s="500"/>
      <c r="AK8696" s="500"/>
      <c r="AL8696" s="500"/>
      <c r="AM8696" s="500"/>
      <c r="AN8696" s="500"/>
      <c r="AO8696" s="500"/>
      <c r="AP8696" s="500"/>
    </row>
    <row r="8697" spans="1:42" ht="16.5" customHeight="1">
      <c r="A8697" s="439"/>
      <c r="B8697" s="439"/>
      <c r="C8697" s="439"/>
      <c r="D8697" s="439"/>
      <c r="E8697" s="439"/>
      <c r="F8697" s="439"/>
      <c r="Z8697" s="500"/>
      <c r="AA8697" s="500"/>
      <c r="AB8697" s="500"/>
      <c r="AC8697" s="500"/>
      <c r="AD8697" s="500"/>
      <c r="AE8697" s="500"/>
      <c r="AF8697" s="500"/>
      <c r="AG8697" s="500"/>
      <c r="AH8697" s="500"/>
      <c r="AI8697" s="500"/>
      <c r="AJ8697" s="500"/>
      <c r="AK8697" s="500"/>
      <c r="AL8697" s="500"/>
      <c r="AM8697" s="500"/>
      <c r="AN8697" s="500"/>
      <c r="AO8697" s="500"/>
      <c r="AP8697" s="500"/>
    </row>
    <row r="8698" spans="1:42" ht="16.5" customHeight="1">
      <c r="A8698" s="439"/>
      <c r="B8698" s="439"/>
      <c r="C8698" s="439"/>
      <c r="D8698" s="439"/>
      <c r="E8698" s="439"/>
      <c r="F8698" s="439"/>
      <c r="Z8698" s="500"/>
      <c r="AA8698" s="500"/>
      <c r="AB8698" s="500"/>
      <c r="AC8698" s="500"/>
      <c r="AD8698" s="500"/>
      <c r="AE8698" s="500"/>
      <c r="AF8698" s="500"/>
      <c r="AG8698" s="500"/>
      <c r="AH8698" s="500"/>
      <c r="AI8698" s="500"/>
      <c r="AJ8698" s="500"/>
      <c r="AK8698" s="500"/>
      <c r="AL8698" s="500"/>
      <c r="AM8698" s="500"/>
      <c r="AN8698" s="500"/>
      <c r="AO8698" s="500"/>
      <c r="AP8698" s="500"/>
    </row>
    <row r="8699" spans="1:42" ht="16.5" customHeight="1">
      <c r="A8699" s="439"/>
      <c r="B8699" s="439"/>
      <c r="C8699" s="439"/>
      <c r="D8699" s="439"/>
      <c r="E8699" s="439"/>
      <c r="F8699" s="439"/>
      <c r="Z8699" s="500"/>
      <c r="AA8699" s="500"/>
      <c r="AB8699" s="500"/>
      <c r="AC8699" s="500"/>
      <c r="AD8699" s="500"/>
      <c r="AE8699" s="500"/>
      <c r="AF8699" s="500"/>
      <c r="AG8699" s="500"/>
      <c r="AH8699" s="500"/>
      <c r="AI8699" s="500"/>
      <c r="AJ8699" s="500"/>
      <c r="AK8699" s="500"/>
      <c r="AL8699" s="500"/>
      <c r="AM8699" s="500"/>
      <c r="AN8699" s="500"/>
      <c r="AO8699" s="500"/>
      <c r="AP8699" s="500"/>
    </row>
    <row r="8700" spans="1:42" ht="16.5" customHeight="1">
      <c r="A8700" s="439"/>
      <c r="B8700" s="439"/>
      <c r="C8700" s="439"/>
      <c r="D8700" s="439"/>
      <c r="E8700" s="439"/>
      <c r="F8700" s="439"/>
      <c r="Z8700" s="500"/>
      <c r="AA8700" s="500"/>
      <c r="AB8700" s="500"/>
      <c r="AC8700" s="500"/>
      <c r="AD8700" s="500"/>
      <c r="AE8700" s="500"/>
      <c r="AF8700" s="500"/>
      <c r="AG8700" s="500"/>
      <c r="AH8700" s="500"/>
      <c r="AI8700" s="500"/>
      <c r="AJ8700" s="500"/>
      <c r="AK8700" s="500"/>
      <c r="AL8700" s="500"/>
      <c r="AM8700" s="500"/>
      <c r="AN8700" s="500"/>
      <c r="AO8700" s="500"/>
      <c r="AP8700" s="500"/>
    </row>
    <row r="8701" spans="1:42" ht="16.5" customHeight="1">
      <c r="A8701" s="439"/>
      <c r="B8701" s="439"/>
      <c r="C8701" s="439"/>
      <c r="D8701" s="439"/>
      <c r="E8701" s="439"/>
      <c r="F8701" s="439"/>
      <c r="Z8701" s="500"/>
      <c r="AA8701" s="500"/>
      <c r="AB8701" s="500"/>
      <c r="AC8701" s="500"/>
      <c r="AD8701" s="500"/>
      <c r="AE8701" s="500"/>
      <c r="AF8701" s="500"/>
      <c r="AG8701" s="500"/>
      <c r="AH8701" s="500"/>
      <c r="AI8701" s="500"/>
      <c r="AJ8701" s="500"/>
      <c r="AK8701" s="500"/>
      <c r="AL8701" s="500"/>
      <c r="AM8701" s="500"/>
      <c r="AN8701" s="500"/>
      <c r="AO8701" s="500"/>
      <c r="AP8701" s="500"/>
    </row>
    <row r="8702" spans="1:42" ht="16.5" customHeight="1">
      <c r="A8702" s="439"/>
      <c r="B8702" s="439"/>
      <c r="C8702" s="439"/>
      <c r="D8702" s="439"/>
      <c r="E8702" s="439"/>
      <c r="F8702" s="439"/>
      <c r="Z8702" s="500"/>
      <c r="AA8702" s="500"/>
      <c r="AB8702" s="500"/>
      <c r="AC8702" s="500"/>
      <c r="AD8702" s="500"/>
      <c r="AE8702" s="500"/>
      <c r="AF8702" s="500"/>
      <c r="AG8702" s="500"/>
      <c r="AH8702" s="500"/>
      <c r="AI8702" s="500"/>
      <c r="AJ8702" s="500"/>
      <c r="AK8702" s="500"/>
      <c r="AL8702" s="500"/>
      <c r="AM8702" s="500"/>
      <c r="AN8702" s="500"/>
      <c r="AO8702" s="500"/>
      <c r="AP8702" s="500"/>
    </row>
    <row r="8703" spans="1:42" ht="16.5" customHeight="1">
      <c r="A8703" s="497"/>
      <c r="B8703" s="497"/>
      <c r="C8703" s="497"/>
      <c r="D8703" s="497"/>
      <c r="E8703" s="497"/>
      <c r="F8703" s="497"/>
      <c r="Z8703" s="500"/>
      <c r="AA8703" s="500"/>
      <c r="AB8703" s="500"/>
      <c r="AC8703" s="500"/>
      <c r="AD8703" s="500"/>
      <c r="AE8703" s="500"/>
      <c r="AF8703" s="500"/>
      <c r="AG8703" s="500"/>
      <c r="AH8703" s="500"/>
      <c r="AI8703" s="500"/>
      <c r="AJ8703" s="500"/>
      <c r="AK8703" s="500"/>
      <c r="AL8703" s="500"/>
      <c r="AM8703" s="500"/>
      <c r="AN8703" s="500"/>
      <c r="AO8703" s="500"/>
      <c r="AP8703" s="500"/>
    </row>
    <row r="8704" spans="1:42" ht="16.5" customHeight="1">
      <c r="A8704" s="616" t="s">
        <v>4396</v>
      </c>
      <c r="B8704" s="605"/>
      <c r="C8704" s="446">
        <f>E8704+D8704+F8704</f>
        <v>23590</v>
      </c>
      <c r="D8704" s="464">
        <v>0</v>
      </c>
      <c r="E8704" s="465">
        <v>0</v>
      </c>
      <c r="F8704" s="446">
        <f>ROUNDDOWN(SUMIF(N8657:N8661,M8704,E8657:E8661),0)+ROUNDDOWN(SUMIF(N8657:N8661,M8704,D8657:D8661),0)+ROUNDDOWN(SUMIF(N8657:N8661,M8704,F8657:F8661),0)</f>
        <v>23590</v>
      </c>
      <c r="M8704" s="501" t="s">
        <v>2354</v>
      </c>
      <c r="Z8704" s="500"/>
      <c r="AA8704" s="500"/>
      <c r="AB8704" s="500"/>
      <c r="AC8704" s="500"/>
      <c r="AD8704" s="500"/>
      <c r="AE8704" s="500"/>
      <c r="AF8704" s="500"/>
      <c r="AG8704" s="500"/>
      <c r="AH8704" s="500"/>
      <c r="AI8704" s="500"/>
      <c r="AJ8704" s="500"/>
      <c r="AK8704" s="500"/>
      <c r="AL8704" s="500"/>
      <c r="AM8704" s="500"/>
      <c r="AN8704" s="500"/>
      <c r="AO8704" s="500"/>
      <c r="AP8704" s="500"/>
    </row>
    <row r="8705" spans="1:42" ht="16.5" customHeight="1">
      <c r="A8705" s="502"/>
      <c r="B8705" s="503" t="s">
        <v>2252</v>
      </c>
      <c r="C8705" s="615">
        <f>C8754</f>
        <v>81350</v>
      </c>
      <c r="D8705" s="615">
        <f>D8754</f>
        <v>0</v>
      </c>
      <c r="E8705" s="615">
        <f>E8754</f>
        <v>0</v>
      </c>
      <c r="F8705" s="615">
        <f>F8754</f>
        <v>81350</v>
      </c>
      <c r="G8705" s="486" t="str">
        <f>HYPERLINK("#G"&amp;ROW(G8711),"_x0005_`BDCOD|D01219_x0007_`POSS|"&amp;ROW(G8707)&amp;"_x0007_`POSE|"&amp;ROW(G8711)&amp;"_x0007_`")</f>
        <v>_x0005_`BDCOD|D01219_x0007_`POSS|8707_x0007_`POSE|8711_x0007_`</v>
      </c>
      <c r="Z8705" s="500"/>
      <c r="AA8705" s="500"/>
      <c r="AB8705" s="500"/>
      <c r="AC8705" s="500"/>
      <c r="AD8705" s="500"/>
      <c r="AE8705" s="500"/>
      <c r="AF8705" s="500"/>
      <c r="AG8705" s="500"/>
      <c r="AH8705" s="500"/>
      <c r="AI8705" s="500"/>
      <c r="AJ8705" s="500"/>
      <c r="AK8705" s="500"/>
      <c r="AL8705" s="500"/>
      <c r="AM8705" s="500"/>
      <c r="AN8705" s="500"/>
      <c r="AO8705" s="500"/>
      <c r="AP8705" s="500"/>
    </row>
    <row r="8706" spans="1:42" ht="16.5" customHeight="1">
      <c r="A8706" s="485"/>
      <c r="B8706" s="503" t="s">
        <v>4401</v>
      </c>
      <c r="C8706" s="593"/>
      <c r="D8706" s="593"/>
      <c r="E8706" s="593"/>
      <c r="F8706" s="593"/>
      <c r="M8706" s="501" t="s">
        <v>2252</v>
      </c>
      <c r="Z8706" s="500"/>
      <c r="AA8706" s="500"/>
      <c r="AB8706" s="500"/>
      <c r="AC8706" s="500"/>
      <c r="AD8706" s="500"/>
      <c r="AE8706" s="500"/>
      <c r="AF8706" s="500"/>
      <c r="AG8706" s="500"/>
      <c r="AH8706" s="500"/>
      <c r="AI8706" s="500"/>
      <c r="AJ8706" s="500"/>
      <c r="AK8706" s="500"/>
      <c r="AL8706" s="500"/>
      <c r="AM8706" s="500"/>
      <c r="AN8706" s="500"/>
      <c r="AO8706" s="500"/>
      <c r="AP8706" s="500"/>
    </row>
    <row r="8707" spans="1:42" ht="16.5" customHeight="1">
      <c r="A8707" s="439"/>
      <c r="B8707" s="439"/>
      <c r="C8707" s="504"/>
      <c r="D8707" s="504"/>
      <c r="E8707" s="504"/>
      <c r="F8707" s="504"/>
      <c r="G8707" s="451" t="s">
        <v>3406</v>
      </c>
      <c r="Z8707" s="500"/>
      <c r="AA8707" s="500"/>
      <c r="AB8707" s="500"/>
      <c r="AC8707" s="500"/>
      <c r="AD8707" s="500"/>
      <c r="AE8707" s="500"/>
      <c r="AF8707" s="500"/>
      <c r="AG8707" s="500"/>
      <c r="AH8707" s="500"/>
      <c r="AI8707" s="500"/>
      <c r="AJ8707" s="500"/>
      <c r="AK8707" s="500"/>
      <c r="AL8707" s="500"/>
      <c r="AM8707" s="500"/>
      <c r="AN8707" s="500"/>
      <c r="AO8707" s="500"/>
      <c r="AP8707" s="500"/>
    </row>
    <row r="8708" spans="1:42" ht="16.5" customHeight="1">
      <c r="A8708" s="434" t="s">
        <v>4402</v>
      </c>
      <c r="B8708" s="505" t="str">
        <f>" 폐기물 상차 및 운반 : "&amp;TEXT(I8708,"#,##0"&amp;IF(I8708&lt;&gt;INT(I8708),".###",""))&amp;" * "&amp;AA8708&amp;" Ton  = "&amp;TEXT(C8708,"#,##0.0")&amp;""</f>
        <v xml:space="preserve"> 폐기물 상차 및 운반 : 81,350 * 1 Ton  = 81,350.0</v>
      </c>
      <c r="C8708" s="506">
        <f>E8708+D8708+F8708</f>
        <v>81350</v>
      </c>
      <c r="D8708" s="506">
        <f>IF(H8708=0,0,ROUNDDOWN(J8708*H8708,1))</f>
        <v>0</v>
      </c>
      <c r="E8708" s="506">
        <f>IF(H8708=0,0,ROUNDDOWN(K8708*H8708,1))</f>
        <v>81350</v>
      </c>
      <c r="F8708" s="506">
        <f>IF(H8708=0,0,ROUNDDOWN(L8708*H8708,1))</f>
        <v>0</v>
      </c>
      <c r="G8708" s="451" t="s">
        <v>4403</v>
      </c>
      <c r="H8708" s="507">
        <f>ROUNDUP(AC8708,14-LEN(ABS(INT(AC8708))))</f>
        <v>1</v>
      </c>
      <c r="I8708" s="508">
        <f>K8708+J8708+L8708</f>
        <v>81350</v>
      </c>
      <c r="K8708" s="509">
        <f>재료비목록표!E104</f>
        <v>81350</v>
      </c>
      <c r="M8708" s="501" t="s">
        <v>4404</v>
      </c>
      <c r="N8708" s="501" t="s">
        <v>3421</v>
      </c>
      <c r="X8708" s="510" t="str">
        <f>재료비목록표!B104&amp;" / "&amp;재료비목록표!C104</f>
        <v>폐기물 상차 및 운반 / 30km이하,암롤16톤,혼합건설폐기물</v>
      </c>
      <c r="Y8708" s="433" t="str">
        <f ca="1">HYPERLINK("#"&amp;재료비목록표!G2&amp;"!A"&amp;ROW(재료비목록표!A104),"M08787 →")</f>
        <v>M08787 →</v>
      </c>
      <c r="Z8708" s="501" t="s">
        <v>3500</v>
      </c>
      <c r="AA8708" s="515">
        <v>1</v>
      </c>
      <c r="AB8708" s="501" t="s">
        <v>3418</v>
      </c>
      <c r="AC8708" s="512">
        <f>1*AA8708</f>
        <v>1</v>
      </c>
      <c r="AD8708" s="500"/>
      <c r="AE8708" s="500"/>
      <c r="AF8708" s="500"/>
      <c r="AG8708" s="500"/>
      <c r="AH8708" s="500"/>
      <c r="AI8708" s="500"/>
      <c r="AJ8708" s="500"/>
      <c r="AK8708" s="500"/>
      <c r="AL8708" s="500"/>
      <c r="AM8708" s="500"/>
      <c r="AN8708" s="500"/>
      <c r="AO8708" s="500"/>
      <c r="AP8708" s="500"/>
    </row>
    <row r="8709" spans="1:42" ht="16.5" customHeight="1">
      <c r="A8709" s="439"/>
      <c r="B8709" s="439"/>
      <c r="C8709" s="439"/>
      <c r="D8709" s="439"/>
      <c r="E8709" s="439"/>
      <c r="F8709" s="439"/>
      <c r="G8709" s="451" t="s">
        <v>3406</v>
      </c>
      <c r="Z8709" s="500"/>
      <c r="AA8709" s="500"/>
      <c r="AB8709" s="500"/>
      <c r="AC8709" s="500"/>
      <c r="AD8709" s="500"/>
      <c r="AE8709" s="500"/>
      <c r="AF8709" s="500"/>
      <c r="AG8709" s="500"/>
      <c r="AH8709" s="500"/>
      <c r="AI8709" s="500"/>
      <c r="AJ8709" s="500"/>
      <c r="AK8709" s="500"/>
      <c r="AL8709" s="500"/>
      <c r="AM8709" s="500"/>
      <c r="AN8709" s="500"/>
      <c r="AO8709" s="500"/>
      <c r="AP8709" s="500"/>
    </row>
    <row r="8710" spans="1:42" ht="16.5" customHeight="1">
      <c r="A8710" s="439"/>
      <c r="B8710" s="439"/>
      <c r="C8710" s="439"/>
      <c r="D8710" s="439"/>
      <c r="E8710" s="439"/>
      <c r="F8710" s="439"/>
      <c r="G8710" s="451" t="s">
        <v>3406</v>
      </c>
      <c r="Z8710" s="500"/>
      <c r="AA8710" s="500"/>
      <c r="AB8710" s="500"/>
      <c r="AC8710" s="500"/>
      <c r="AD8710" s="500"/>
      <c r="AE8710" s="500"/>
      <c r="AF8710" s="500"/>
      <c r="AG8710" s="500"/>
      <c r="AH8710" s="500"/>
      <c r="AI8710" s="500"/>
      <c r="AJ8710" s="500"/>
      <c r="AK8710" s="500"/>
      <c r="AL8710" s="500"/>
      <c r="AM8710" s="500"/>
      <c r="AN8710" s="500"/>
      <c r="AO8710" s="500"/>
      <c r="AP8710" s="500"/>
    </row>
    <row r="8711" spans="1:42" ht="16.5" customHeight="1">
      <c r="A8711" s="434"/>
      <c r="B8711" s="437" t="s">
        <v>3440</v>
      </c>
      <c r="C8711" s="513">
        <f>E8711+D8711+F8711</f>
        <v>81350</v>
      </c>
      <c r="D8711" s="513">
        <f>SUMIF(N8707:N8710,M8711,D8707:D8710)</f>
        <v>0</v>
      </c>
      <c r="E8711" s="513">
        <f>SUMIF(N8707:N8710,M8711,E8707:E8710)</f>
        <v>81350</v>
      </c>
      <c r="F8711" s="513">
        <f>SUMIF(N8707:N8710,M8711,F8707:F8710)</f>
        <v>0</v>
      </c>
      <c r="G8711" s="451" t="s">
        <v>3484</v>
      </c>
      <c r="M8711" s="501" t="s">
        <v>3421</v>
      </c>
      <c r="N8711" s="501" t="s">
        <v>2354</v>
      </c>
      <c r="Z8711" s="500"/>
      <c r="AA8711" s="500"/>
      <c r="AB8711" s="500"/>
      <c r="AC8711" s="500"/>
      <c r="AD8711" s="500"/>
      <c r="AE8711" s="500"/>
      <c r="AF8711" s="500"/>
      <c r="AG8711" s="500"/>
      <c r="AH8711" s="500"/>
      <c r="AI8711" s="500"/>
      <c r="AJ8711" s="500"/>
      <c r="AK8711" s="500"/>
      <c r="AL8711" s="500"/>
      <c r="AM8711" s="500"/>
      <c r="AN8711" s="500"/>
      <c r="AO8711" s="500"/>
      <c r="AP8711" s="500"/>
    </row>
    <row r="8712" spans="1:42" ht="16.5" customHeight="1">
      <c r="A8712" s="439"/>
      <c r="B8712" s="439"/>
      <c r="C8712" s="504"/>
      <c r="D8712" s="504"/>
      <c r="E8712" s="504"/>
      <c r="F8712" s="504"/>
      <c r="Z8712" s="500"/>
      <c r="AA8712" s="500"/>
      <c r="AB8712" s="500"/>
      <c r="AC8712" s="500"/>
      <c r="AD8712" s="500"/>
      <c r="AE8712" s="500"/>
      <c r="AF8712" s="500"/>
      <c r="AG8712" s="500"/>
      <c r="AH8712" s="500"/>
      <c r="AI8712" s="500"/>
      <c r="AJ8712" s="500"/>
      <c r="AK8712" s="500"/>
      <c r="AL8712" s="500"/>
      <c r="AM8712" s="500"/>
      <c r="AN8712" s="500"/>
      <c r="AO8712" s="500"/>
      <c r="AP8712" s="500"/>
    </row>
    <row r="8713" spans="1:42" ht="16.5" customHeight="1">
      <c r="A8713" s="439"/>
      <c r="B8713" s="439"/>
      <c r="C8713" s="439"/>
      <c r="D8713" s="439"/>
      <c r="E8713" s="439"/>
      <c r="F8713" s="439"/>
      <c r="Z8713" s="500"/>
      <c r="AA8713" s="500"/>
      <c r="AB8713" s="500"/>
      <c r="AC8713" s="500"/>
      <c r="AD8713" s="500"/>
      <c r="AE8713" s="500"/>
      <c r="AF8713" s="500"/>
      <c r="AG8713" s="500"/>
      <c r="AH8713" s="500"/>
      <c r="AI8713" s="500"/>
      <c r="AJ8713" s="500"/>
      <c r="AK8713" s="500"/>
      <c r="AL8713" s="500"/>
      <c r="AM8713" s="500"/>
      <c r="AN8713" s="500"/>
      <c r="AO8713" s="500"/>
      <c r="AP8713" s="500"/>
    </row>
    <row r="8714" spans="1:42" ht="16.5" customHeight="1">
      <c r="A8714" s="439"/>
      <c r="B8714" s="439"/>
      <c r="C8714" s="439"/>
      <c r="D8714" s="439"/>
      <c r="E8714" s="439"/>
      <c r="F8714" s="439"/>
      <c r="Z8714" s="500"/>
      <c r="AA8714" s="500"/>
      <c r="AB8714" s="500"/>
      <c r="AC8714" s="500"/>
      <c r="AD8714" s="500"/>
      <c r="AE8714" s="500"/>
      <c r="AF8714" s="500"/>
      <c r="AG8714" s="500"/>
      <c r="AH8714" s="500"/>
      <c r="AI8714" s="500"/>
      <c r="AJ8714" s="500"/>
      <c r="AK8714" s="500"/>
      <c r="AL8714" s="500"/>
      <c r="AM8714" s="500"/>
      <c r="AN8714" s="500"/>
      <c r="AO8714" s="500"/>
      <c r="AP8714" s="500"/>
    </row>
    <row r="8715" spans="1:42" ht="16.5" customHeight="1">
      <c r="A8715" s="439"/>
      <c r="B8715" s="439"/>
      <c r="C8715" s="439"/>
      <c r="D8715" s="439"/>
      <c r="E8715" s="439"/>
      <c r="F8715" s="439"/>
      <c r="Z8715" s="500"/>
      <c r="AA8715" s="500"/>
      <c r="AB8715" s="500"/>
      <c r="AC8715" s="500"/>
      <c r="AD8715" s="500"/>
      <c r="AE8715" s="500"/>
      <c r="AF8715" s="500"/>
      <c r="AG8715" s="500"/>
      <c r="AH8715" s="500"/>
      <c r="AI8715" s="500"/>
      <c r="AJ8715" s="500"/>
      <c r="AK8715" s="500"/>
      <c r="AL8715" s="500"/>
      <c r="AM8715" s="500"/>
      <c r="AN8715" s="500"/>
      <c r="AO8715" s="500"/>
      <c r="AP8715" s="500"/>
    </row>
    <row r="8716" spans="1:42" ht="16.5" customHeight="1">
      <c r="A8716" s="439"/>
      <c r="B8716" s="439"/>
      <c r="C8716" s="439"/>
      <c r="D8716" s="439"/>
      <c r="E8716" s="439"/>
      <c r="F8716" s="439"/>
      <c r="Z8716" s="500"/>
      <c r="AA8716" s="500"/>
      <c r="AB8716" s="500"/>
      <c r="AC8716" s="500"/>
      <c r="AD8716" s="500"/>
      <c r="AE8716" s="500"/>
      <c r="AF8716" s="500"/>
      <c r="AG8716" s="500"/>
      <c r="AH8716" s="500"/>
      <c r="AI8716" s="500"/>
      <c r="AJ8716" s="500"/>
      <c r="AK8716" s="500"/>
      <c r="AL8716" s="500"/>
      <c r="AM8716" s="500"/>
      <c r="AN8716" s="500"/>
      <c r="AO8716" s="500"/>
      <c r="AP8716" s="500"/>
    </row>
    <row r="8717" spans="1:42" ht="16.5" customHeight="1">
      <c r="A8717" s="439"/>
      <c r="B8717" s="439"/>
      <c r="C8717" s="439"/>
      <c r="D8717" s="439"/>
      <c r="E8717" s="439"/>
      <c r="F8717" s="439"/>
      <c r="Z8717" s="500"/>
      <c r="AA8717" s="500"/>
      <c r="AB8717" s="500"/>
      <c r="AC8717" s="500"/>
      <c r="AD8717" s="500"/>
      <c r="AE8717" s="500"/>
      <c r="AF8717" s="500"/>
      <c r="AG8717" s="500"/>
      <c r="AH8717" s="500"/>
      <c r="AI8717" s="500"/>
      <c r="AJ8717" s="500"/>
      <c r="AK8717" s="500"/>
      <c r="AL8717" s="500"/>
      <c r="AM8717" s="500"/>
      <c r="AN8717" s="500"/>
      <c r="AO8717" s="500"/>
      <c r="AP8717" s="500"/>
    </row>
    <row r="8718" spans="1:42" ht="16.5" customHeight="1">
      <c r="A8718" s="439"/>
      <c r="B8718" s="439"/>
      <c r="C8718" s="439"/>
      <c r="D8718" s="439"/>
      <c r="E8718" s="439"/>
      <c r="F8718" s="439"/>
      <c r="Z8718" s="500"/>
      <c r="AA8718" s="500"/>
      <c r="AB8718" s="500"/>
      <c r="AC8718" s="500"/>
      <c r="AD8718" s="500"/>
      <c r="AE8718" s="500"/>
      <c r="AF8718" s="500"/>
      <c r="AG8718" s="500"/>
      <c r="AH8718" s="500"/>
      <c r="AI8718" s="500"/>
      <c r="AJ8718" s="500"/>
      <c r="AK8718" s="500"/>
      <c r="AL8718" s="500"/>
      <c r="AM8718" s="500"/>
      <c r="AN8718" s="500"/>
      <c r="AO8718" s="500"/>
      <c r="AP8718" s="500"/>
    </row>
    <row r="8719" spans="1:42" ht="16.5" customHeight="1">
      <c r="A8719" s="439"/>
      <c r="B8719" s="439"/>
      <c r="C8719" s="439"/>
      <c r="D8719" s="439"/>
      <c r="E8719" s="439"/>
      <c r="F8719" s="439"/>
      <c r="Z8719" s="500"/>
      <c r="AA8719" s="500"/>
      <c r="AB8719" s="500"/>
      <c r="AC8719" s="500"/>
      <c r="AD8719" s="500"/>
      <c r="AE8719" s="500"/>
      <c r="AF8719" s="500"/>
      <c r="AG8719" s="500"/>
      <c r="AH8719" s="500"/>
      <c r="AI8719" s="500"/>
      <c r="AJ8719" s="500"/>
      <c r="AK8719" s="500"/>
      <c r="AL8719" s="500"/>
      <c r="AM8719" s="500"/>
      <c r="AN8719" s="500"/>
      <c r="AO8719" s="500"/>
      <c r="AP8719" s="500"/>
    </row>
    <row r="8720" spans="1:42" ht="16.5" customHeight="1">
      <c r="A8720" s="439"/>
      <c r="B8720" s="439"/>
      <c r="C8720" s="439"/>
      <c r="D8720" s="439"/>
      <c r="E8720" s="439"/>
      <c r="F8720" s="439"/>
      <c r="Z8720" s="500"/>
      <c r="AA8720" s="500"/>
      <c r="AB8720" s="500"/>
      <c r="AC8720" s="500"/>
      <c r="AD8720" s="500"/>
      <c r="AE8720" s="500"/>
      <c r="AF8720" s="500"/>
      <c r="AG8720" s="500"/>
      <c r="AH8720" s="500"/>
      <c r="AI8720" s="500"/>
      <c r="AJ8720" s="500"/>
      <c r="AK8720" s="500"/>
      <c r="AL8720" s="500"/>
      <c r="AM8720" s="500"/>
      <c r="AN8720" s="500"/>
      <c r="AO8720" s="500"/>
      <c r="AP8720" s="500"/>
    </row>
    <row r="8721" spans="1:42" ht="16.5" customHeight="1">
      <c r="A8721" s="439"/>
      <c r="B8721" s="439"/>
      <c r="C8721" s="439"/>
      <c r="D8721" s="439"/>
      <c r="E8721" s="439"/>
      <c r="F8721" s="439"/>
      <c r="Z8721" s="500"/>
      <c r="AA8721" s="500"/>
      <c r="AB8721" s="500"/>
      <c r="AC8721" s="500"/>
      <c r="AD8721" s="500"/>
      <c r="AE8721" s="500"/>
      <c r="AF8721" s="500"/>
      <c r="AG8721" s="500"/>
      <c r="AH8721" s="500"/>
      <c r="AI8721" s="500"/>
      <c r="AJ8721" s="500"/>
      <c r="AK8721" s="500"/>
      <c r="AL8721" s="500"/>
      <c r="AM8721" s="500"/>
      <c r="AN8721" s="500"/>
      <c r="AO8721" s="500"/>
      <c r="AP8721" s="500"/>
    </row>
    <row r="8722" spans="1:42" ht="16.5" customHeight="1">
      <c r="A8722" s="439"/>
      <c r="B8722" s="439"/>
      <c r="C8722" s="439"/>
      <c r="D8722" s="439"/>
      <c r="E8722" s="439"/>
      <c r="F8722" s="439"/>
      <c r="Z8722" s="500"/>
      <c r="AA8722" s="500"/>
      <c r="AB8722" s="500"/>
      <c r="AC8722" s="500"/>
      <c r="AD8722" s="500"/>
      <c r="AE8722" s="500"/>
      <c r="AF8722" s="500"/>
      <c r="AG8722" s="500"/>
      <c r="AH8722" s="500"/>
      <c r="AI8722" s="500"/>
      <c r="AJ8722" s="500"/>
      <c r="AK8722" s="500"/>
      <c r="AL8722" s="500"/>
      <c r="AM8722" s="500"/>
      <c r="AN8722" s="500"/>
      <c r="AO8722" s="500"/>
      <c r="AP8722" s="500"/>
    </row>
    <row r="8723" spans="1:42" ht="16.5" customHeight="1">
      <c r="A8723" s="439"/>
      <c r="B8723" s="439"/>
      <c r="C8723" s="439"/>
      <c r="D8723" s="439"/>
      <c r="E8723" s="439"/>
      <c r="F8723" s="439"/>
      <c r="Z8723" s="500"/>
      <c r="AA8723" s="500"/>
      <c r="AB8723" s="500"/>
      <c r="AC8723" s="500"/>
      <c r="AD8723" s="500"/>
      <c r="AE8723" s="500"/>
      <c r="AF8723" s="500"/>
      <c r="AG8723" s="500"/>
      <c r="AH8723" s="500"/>
      <c r="AI8723" s="500"/>
      <c r="AJ8723" s="500"/>
      <c r="AK8723" s="500"/>
      <c r="AL8723" s="500"/>
      <c r="AM8723" s="500"/>
      <c r="AN8723" s="500"/>
      <c r="AO8723" s="500"/>
      <c r="AP8723" s="500"/>
    </row>
    <row r="8724" spans="1:42" ht="16.5" customHeight="1">
      <c r="A8724" s="439"/>
      <c r="B8724" s="439"/>
      <c r="C8724" s="439"/>
      <c r="D8724" s="439"/>
      <c r="E8724" s="439"/>
      <c r="F8724" s="439"/>
      <c r="Z8724" s="500"/>
      <c r="AA8724" s="500"/>
      <c r="AB8724" s="500"/>
      <c r="AC8724" s="500"/>
      <c r="AD8724" s="500"/>
      <c r="AE8724" s="500"/>
      <c r="AF8724" s="500"/>
      <c r="AG8724" s="500"/>
      <c r="AH8724" s="500"/>
      <c r="AI8724" s="500"/>
      <c r="AJ8724" s="500"/>
      <c r="AK8724" s="500"/>
      <c r="AL8724" s="500"/>
      <c r="AM8724" s="500"/>
      <c r="AN8724" s="500"/>
      <c r="AO8724" s="500"/>
      <c r="AP8724" s="500"/>
    </row>
    <row r="8725" spans="1:42" ht="16.5" customHeight="1">
      <c r="A8725" s="439"/>
      <c r="B8725" s="439"/>
      <c r="C8725" s="439"/>
      <c r="D8725" s="439"/>
      <c r="E8725" s="439"/>
      <c r="F8725" s="439"/>
      <c r="Z8725" s="500"/>
      <c r="AA8725" s="500"/>
      <c r="AB8725" s="500"/>
      <c r="AC8725" s="500"/>
      <c r="AD8725" s="500"/>
      <c r="AE8725" s="500"/>
      <c r="AF8725" s="500"/>
      <c r="AG8725" s="500"/>
      <c r="AH8725" s="500"/>
      <c r="AI8725" s="500"/>
      <c r="AJ8725" s="500"/>
      <c r="AK8725" s="500"/>
      <c r="AL8725" s="500"/>
      <c r="AM8725" s="500"/>
      <c r="AN8725" s="500"/>
      <c r="AO8725" s="500"/>
      <c r="AP8725" s="500"/>
    </row>
    <row r="8726" spans="1:42" ht="16.5" customHeight="1">
      <c r="A8726" s="439"/>
      <c r="B8726" s="439"/>
      <c r="C8726" s="439"/>
      <c r="D8726" s="439"/>
      <c r="E8726" s="439"/>
      <c r="F8726" s="439"/>
      <c r="Z8726" s="500"/>
      <c r="AA8726" s="500"/>
      <c r="AB8726" s="500"/>
      <c r="AC8726" s="500"/>
      <c r="AD8726" s="500"/>
      <c r="AE8726" s="500"/>
      <c r="AF8726" s="500"/>
      <c r="AG8726" s="500"/>
      <c r="AH8726" s="500"/>
      <c r="AI8726" s="500"/>
      <c r="AJ8726" s="500"/>
      <c r="AK8726" s="500"/>
      <c r="AL8726" s="500"/>
      <c r="AM8726" s="500"/>
      <c r="AN8726" s="500"/>
      <c r="AO8726" s="500"/>
      <c r="AP8726" s="500"/>
    </row>
    <row r="8727" spans="1:42" ht="16.5" customHeight="1">
      <c r="A8727" s="439"/>
      <c r="B8727" s="439"/>
      <c r="C8727" s="439"/>
      <c r="D8727" s="439"/>
      <c r="E8727" s="439"/>
      <c r="F8727" s="439"/>
      <c r="Z8727" s="500"/>
      <c r="AA8727" s="500"/>
      <c r="AB8727" s="500"/>
      <c r="AC8727" s="500"/>
      <c r="AD8727" s="500"/>
      <c r="AE8727" s="500"/>
      <c r="AF8727" s="500"/>
      <c r="AG8727" s="500"/>
      <c r="AH8727" s="500"/>
      <c r="AI8727" s="500"/>
      <c r="AJ8727" s="500"/>
      <c r="AK8727" s="500"/>
      <c r="AL8727" s="500"/>
      <c r="AM8727" s="500"/>
      <c r="AN8727" s="500"/>
      <c r="AO8727" s="500"/>
      <c r="AP8727" s="500"/>
    </row>
    <row r="8728" spans="1:42" ht="16.5" customHeight="1">
      <c r="A8728" s="439"/>
      <c r="B8728" s="439"/>
      <c r="C8728" s="439"/>
      <c r="D8728" s="439"/>
      <c r="E8728" s="439"/>
      <c r="F8728" s="439"/>
      <c r="Z8728" s="500"/>
      <c r="AA8728" s="500"/>
      <c r="AB8728" s="500"/>
      <c r="AC8728" s="500"/>
      <c r="AD8728" s="500"/>
      <c r="AE8728" s="500"/>
      <c r="AF8728" s="500"/>
      <c r="AG8728" s="500"/>
      <c r="AH8728" s="500"/>
      <c r="AI8728" s="500"/>
      <c r="AJ8728" s="500"/>
      <c r="AK8728" s="500"/>
      <c r="AL8728" s="500"/>
      <c r="AM8728" s="500"/>
      <c r="AN8728" s="500"/>
      <c r="AO8728" s="500"/>
      <c r="AP8728" s="500"/>
    </row>
    <row r="8729" spans="1:42" ht="16.5" customHeight="1">
      <c r="A8729" s="439"/>
      <c r="B8729" s="439"/>
      <c r="C8729" s="439"/>
      <c r="D8729" s="439"/>
      <c r="E8729" s="439"/>
      <c r="F8729" s="439"/>
      <c r="Z8729" s="500"/>
      <c r="AA8729" s="500"/>
      <c r="AB8729" s="500"/>
      <c r="AC8729" s="500"/>
      <c r="AD8729" s="500"/>
      <c r="AE8729" s="500"/>
      <c r="AF8729" s="500"/>
      <c r="AG8729" s="500"/>
      <c r="AH8729" s="500"/>
      <c r="AI8729" s="500"/>
      <c r="AJ8729" s="500"/>
      <c r="AK8729" s="500"/>
      <c r="AL8729" s="500"/>
      <c r="AM8729" s="500"/>
      <c r="AN8729" s="500"/>
      <c r="AO8729" s="500"/>
      <c r="AP8729" s="500"/>
    </row>
    <row r="8730" spans="1:42" ht="16.5" customHeight="1">
      <c r="A8730" s="439"/>
      <c r="B8730" s="439"/>
      <c r="C8730" s="439"/>
      <c r="D8730" s="439"/>
      <c r="E8730" s="439"/>
      <c r="F8730" s="439"/>
      <c r="Z8730" s="500"/>
      <c r="AA8730" s="500"/>
      <c r="AB8730" s="500"/>
      <c r="AC8730" s="500"/>
      <c r="AD8730" s="500"/>
      <c r="AE8730" s="500"/>
      <c r="AF8730" s="500"/>
      <c r="AG8730" s="500"/>
      <c r="AH8730" s="500"/>
      <c r="AI8730" s="500"/>
      <c r="AJ8730" s="500"/>
      <c r="AK8730" s="500"/>
      <c r="AL8730" s="500"/>
      <c r="AM8730" s="500"/>
      <c r="AN8730" s="500"/>
      <c r="AO8730" s="500"/>
      <c r="AP8730" s="500"/>
    </row>
    <row r="8731" spans="1:42" ht="16.5" customHeight="1">
      <c r="A8731" s="439"/>
      <c r="B8731" s="439"/>
      <c r="C8731" s="439"/>
      <c r="D8731" s="439"/>
      <c r="E8731" s="439"/>
      <c r="F8731" s="439"/>
      <c r="Z8731" s="500"/>
      <c r="AA8731" s="500"/>
      <c r="AB8731" s="500"/>
      <c r="AC8731" s="500"/>
      <c r="AD8731" s="500"/>
      <c r="AE8731" s="500"/>
      <c r="AF8731" s="500"/>
      <c r="AG8731" s="500"/>
      <c r="AH8731" s="500"/>
      <c r="AI8731" s="500"/>
      <c r="AJ8731" s="500"/>
      <c r="AK8731" s="500"/>
      <c r="AL8731" s="500"/>
      <c r="AM8731" s="500"/>
      <c r="AN8731" s="500"/>
      <c r="AO8731" s="500"/>
      <c r="AP8731" s="500"/>
    </row>
    <row r="8732" spans="1:42" ht="16.5" customHeight="1">
      <c r="A8732" s="439"/>
      <c r="B8732" s="439"/>
      <c r="C8732" s="439"/>
      <c r="D8732" s="439"/>
      <c r="E8732" s="439"/>
      <c r="F8732" s="439"/>
      <c r="Z8732" s="500"/>
      <c r="AA8732" s="500"/>
      <c r="AB8732" s="500"/>
      <c r="AC8732" s="500"/>
      <c r="AD8732" s="500"/>
      <c r="AE8732" s="500"/>
      <c r="AF8732" s="500"/>
      <c r="AG8732" s="500"/>
      <c r="AH8732" s="500"/>
      <c r="AI8732" s="500"/>
      <c r="AJ8732" s="500"/>
      <c r="AK8732" s="500"/>
      <c r="AL8732" s="500"/>
      <c r="AM8732" s="500"/>
      <c r="AN8732" s="500"/>
      <c r="AO8732" s="500"/>
      <c r="AP8732" s="500"/>
    </row>
    <row r="8733" spans="1:42" ht="16.5" customHeight="1">
      <c r="A8733" s="439"/>
      <c r="B8733" s="439"/>
      <c r="C8733" s="439"/>
      <c r="D8733" s="439"/>
      <c r="E8733" s="439"/>
      <c r="F8733" s="439"/>
      <c r="Z8733" s="500"/>
      <c r="AA8733" s="500"/>
      <c r="AB8733" s="500"/>
      <c r="AC8733" s="500"/>
      <c r="AD8733" s="500"/>
      <c r="AE8733" s="500"/>
      <c r="AF8733" s="500"/>
      <c r="AG8733" s="500"/>
      <c r="AH8733" s="500"/>
      <c r="AI8733" s="500"/>
      <c r="AJ8733" s="500"/>
      <c r="AK8733" s="500"/>
      <c r="AL8733" s="500"/>
      <c r="AM8733" s="500"/>
      <c r="AN8733" s="500"/>
      <c r="AO8733" s="500"/>
      <c r="AP8733" s="500"/>
    </row>
    <row r="8734" spans="1:42" ht="16.5" customHeight="1">
      <c r="A8734" s="439"/>
      <c r="B8734" s="439"/>
      <c r="C8734" s="439"/>
      <c r="D8734" s="439"/>
      <c r="E8734" s="439"/>
      <c r="F8734" s="439"/>
      <c r="Z8734" s="500"/>
      <c r="AA8734" s="500"/>
      <c r="AB8734" s="500"/>
      <c r="AC8734" s="500"/>
      <c r="AD8734" s="500"/>
      <c r="AE8734" s="500"/>
      <c r="AF8734" s="500"/>
      <c r="AG8734" s="500"/>
      <c r="AH8734" s="500"/>
      <c r="AI8734" s="500"/>
      <c r="AJ8734" s="500"/>
      <c r="AK8734" s="500"/>
      <c r="AL8734" s="500"/>
      <c r="AM8734" s="500"/>
      <c r="AN8734" s="500"/>
      <c r="AO8734" s="500"/>
      <c r="AP8734" s="500"/>
    </row>
    <row r="8735" spans="1:42" ht="16.5" customHeight="1">
      <c r="A8735" s="439"/>
      <c r="B8735" s="439"/>
      <c r="C8735" s="439"/>
      <c r="D8735" s="439"/>
      <c r="E8735" s="439"/>
      <c r="F8735" s="439"/>
      <c r="Z8735" s="500"/>
      <c r="AA8735" s="500"/>
      <c r="AB8735" s="500"/>
      <c r="AC8735" s="500"/>
      <c r="AD8735" s="500"/>
      <c r="AE8735" s="500"/>
      <c r="AF8735" s="500"/>
      <c r="AG8735" s="500"/>
      <c r="AH8735" s="500"/>
      <c r="AI8735" s="500"/>
      <c r="AJ8735" s="500"/>
      <c r="AK8735" s="500"/>
      <c r="AL8735" s="500"/>
      <c r="AM8735" s="500"/>
      <c r="AN8735" s="500"/>
      <c r="AO8735" s="500"/>
      <c r="AP8735" s="500"/>
    </row>
    <row r="8736" spans="1:42" ht="16.5" customHeight="1">
      <c r="A8736" s="439"/>
      <c r="B8736" s="439"/>
      <c r="C8736" s="439"/>
      <c r="D8736" s="439"/>
      <c r="E8736" s="439"/>
      <c r="F8736" s="439"/>
      <c r="Z8736" s="500"/>
      <c r="AA8736" s="500"/>
      <c r="AB8736" s="500"/>
      <c r="AC8736" s="500"/>
      <c r="AD8736" s="500"/>
      <c r="AE8736" s="500"/>
      <c r="AF8736" s="500"/>
      <c r="AG8736" s="500"/>
      <c r="AH8736" s="500"/>
      <c r="AI8736" s="500"/>
      <c r="AJ8736" s="500"/>
      <c r="AK8736" s="500"/>
      <c r="AL8736" s="500"/>
      <c r="AM8736" s="500"/>
      <c r="AN8736" s="500"/>
      <c r="AO8736" s="500"/>
      <c r="AP8736" s="500"/>
    </row>
    <row r="8737" spans="1:42" ht="16.5" customHeight="1">
      <c r="A8737" s="439"/>
      <c r="B8737" s="439"/>
      <c r="C8737" s="439"/>
      <c r="D8737" s="439"/>
      <c r="E8737" s="439"/>
      <c r="F8737" s="439"/>
      <c r="Z8737" s="500"/>
      <c r="AA8737" s="500"/>
      <c r="AB8737" s="500"/>
      <c r="AC8737" s="500"/>
      <c r="AD8737" s="500"/>
      <c r="AE8737" s="500"/>
      <c r="AF8737" s="500"/>
      <c r="AG8737" s="500"/>
      <c r="AH8737" s="500"/>
      <c r="AI8737" s="500"/>
      <c r="AJ8737" s="500"/>
      <c r="AK8737" s="500"/>
      <c r="AL8737" s="500"/>
      <c r="AM8737" s="500"/>
      <c r="AN8737" s="500"/>
      <c r="AO8737" s="500"/>
      <c r="AP8737" s="500"/>
    </row>
    <row r="8738" spans="1:42" ht="16.5" customHeight="1">
      <c r="A8738" s="439"/>
      <c r="B8738" s="439"/>
      <c r="C8738" s="439"/>
      <c r="D8738" s="439"/>
      <c r="E8738" s="439"/>
      <c r="F8738" s="439"/>
      <c r="Z8738" s="500"/>
      <c r="AA8738" s="500"/>
      <c r="AB8738" s="500"/>
      <c r="AC8738" s="500"/>
      <c r="AD8738" s="500"/>
      <c r="AE8738" s="500"/>
      <c r="AF8738" s="500"/>
      <c r="AG8738" s="500"/>
      <c r="AH8738" s="500"/>
      <c r="AI8738" s="500"/>
      <c r="AJ8738" s="500"/>
      <c r="AK8738" s="500"/>
      <c r="AL8738" s="500"/>
      <c r="AM8738" s="500"/>
      <c r="AN8738" s="500"/>
      <c r="AO8738" s="500"/>
      <c r="AP8738" s="500"/>
    </row>
    <row r="8739" spans="1:42" ht="16.5" customHeight="1">
      <c r="A8739" s="439"/>
      <c r="B8739" s="439"/>
      <c r="C8739" s="439"/>
      <c r="D8739" s="439"/>
      <c r="E8739" s="439"/>
      <c r="F8739" s="439"/>
      <c r="Z8739" s="500"/>
      <c r="AA8739" s="500"/>
      <c r="AB8739" s="500"/>
      <c r="AC8739" s="500"/>
      <c r="AD8739" s="500"/>
      <c r="AE8739" s="500"/>
      <c r="AF8739" s="500"/>
      <c r="AG8739" s="500"/>
      <c r="AH8739" s="500"/>
      <c r="AI8739" s="500"/>
      <c r="AJ8739" s="500"/>
      <c r="AK8739" s="500"/>
      <c r="AL8739" s="500"/>
      <c r="AM8739" s="500"/>
      <c r="AN8739" s="500"/>
      <c r="AO8739" s="500"/>
      <c r="AP8739" s="500"/>
    </row>
    <row r="8740" spans="1:42" ht="16.5" customHeight="1">
      <c r="A8740" s="439"/>
      <c r="B8740" s="439"/>
      <c r="C8740" s="439"/>
      <c r="D8740" s="439"/>
      <c r="E8740" s="439"/>
      <c r="F8740" s="439"/>
      <c r="Z8740" s="500"/>
      <c r="AA8740" s="500"/>
      <c r="AB8740" s="500"/>
      <c r="AC8740" s="500"/>
      <c r="AD8740" s="500"/>
      <c r="AE8740" s="500"/>
      <c r="AF8740" s="500"/>
      <c r="AG8740" s="500"/>
      <c r="AH8740" s="500"/>
      <c r="AI8740" s="500"/>
      <c r="AJ8740" s="500"/>
      <c r="AK8740" s="500"/>
      <c r="AL8740" s="500"/>
      <c r="AM8740" s="500"/>
      <c r="AN8740" s="500"/>
      <c r="AO8740" s="500"/>
      <c r="AP8740" s="500"/>
    </row>
    <row r="8741" spans="1:42" ht="16.5" customHeight="1">
      <c r="A8741" s="439"/>
      <c r="B8741" s="439"/>
      <c r="C8741" s="439"/>
      <c r="D8741" s="439"/>
      <c r="E8741" s="439"/>
      <c r="F8741" s="439"/>
      <c r="Z8741" s="500"/>
      <c r="AA8741" s="500"/>
      <c r="AB8741" s="500"/>
      <c r="AC8741" s="500"/>
      <c r="AD8741" s="500"/>
      <c r="AE8741" s="500"/>
      <c r="AF8741" s="500"/>
      <c r="AG8741" s="500"/>
      <c r="AH8741" s="500"/>
      <c r="AI8741" s="500"/>
      <c r="AJ8741" s="500"/>
      <c r="AK8741" s="500"/>
      <c r="AL8741" s="500"/>
      <c r="AM8741" s="500"/>
      <c r="AN8741" s="500"/>
      <c r="AO8741" s="500"/>
      <c r="AP8741" s="500"/>
    </row>
    <row r="8742" spans="1:42" ht="16.5" customHeight="1">
      <c r="A8742" s="439"/>
      <c r="B8742" s="439"/>
      <c r="C8742" s="439"/>
      <c r="D8742" s="439"/>
      <c r="E8742" s="439"/>
      <c r="F8742" s="439"/>
      <c r="Z8742" s="500"/>
      <c r="AA8742" s="500"/>
      <c r="AB8742" s="500"/>
      <c r="AC8742" s="500"/>
      <c r="AD8742" s="500"/>
      <c r="AE8742" s="500"/>
      <c r="AF8742" s="500"/>
      <c r="AG8742" s="500"/>
      <c r="AH8742" s="500"/>
      <c r="AI8742" s="500"/>
      <c r="AJ8742" s="500"/>
      <c r="AK8742" s="500"/>
      <c r="AL8742" s="500"/>
      <c r="AM8742" s="500"/>
      <c r="AN8742" s="500"/>
      <c r="AO8742" s="500"/>
      <c r="AP8742" s="500"/>
    </row>
    <row r="8743" spans="1:42" ht="16.5" customHeight="1">
      <c r="A8743" s="439"/>
      <c r="B8743" s="439"/>
      <c r="C8743" s="439"/>
      <c r="D8743" s="439"/>
      <c r="E8743" s="439"/>
      <c r="F8743" s="439"/>
      <c r="Z8743" s="500"/>
      <c r="AA8743" s="500"/>
      <c r="AB8743" s="500"/>
      <c r="AC8743" s="500"/>
      <c r="AD8743" s="500"/>
      <c r="AE8743" s="500"/>
      <c r="AF8743" s="500"/>
      <c r="AG8743" s="500"/>
      <c r="AH8743" s="500"/>
      <c r="AI8743" s="500"/>
      <c r="AJ8743" s="500"/>
      <c r="AK8743" s="500"/>
      <c r="AL8743" s="500"/>
      <c r="AM8743" s="500"/>
      <c r="AN8743" s="500"/>
      <c r="AO8743" s="500"/>
      <c r="AP8743" s="500"/>
    </row>
    <row r="8744" spans="1:42" ht="16.5" customHeight="1">
      <c r="A8744" s="439"/>
      <c r="B8744" s="439"/>
      <c r="C8744" s="439"/>
      <c r="D8744" s="439"/>
      <c r="E8744" s="439"/>
      <c r="F8744" s="439"/>
      <c r="Z8744" s="500"/>
      <c r="AA8744" s="500"/>
      <c r="AB8744" s="500"/>
      <c r="AC8744" s="500"/>
      <c r="AD8744" s="500"/>
      <c r="AE8744" s="500"/>
      <c r="AF8744" s="500"/>
      <c r="AG8744" s="500"/>
      <c r="AH8744" s="500"/>
      <c r="AI8744" s="500"/>
      <c r="AJ8744" s="500"/>
      <c r="AK8744" s="500"/>
      <c r="AL8744" s="500"/>
      <c r="AM8744" s="500"/>
      <c r="AN8744" s="500"/>
      <c r="AO8744" s="500"/>
      <c r="AP8744" s="500"/>
    </row>
    <row r="8745" spans="1:42" ht="16.5" customHeight="1">
      <c r="A8745" s="439"/>
      <c r="B8745" s="439"/>
      <c r="C8745" s="439"/>
      <c r="D8745" s="439"/>
      <c r="E8745" s="439"/>
      <c r="F8745" s="439"/>
      <c r="Z8745" s="500"/>
      <c r="AA8745" s="500"/>
      <c r="AB8745" s="500"/>
      <c r="AC8745" s="500"/>
      <c r="AD8745" s="500"/>
      <c r="AE8745" s="500"/>
      <c r="AF8745" s="500"/>
      <c r="AG8745" s="500"/>
      <c r="AH8745" s="500"/>
      <c r="AI8745" s="500"/>
      <c r="AJ8745" s="500"/>
      <c r="AK8745" s="500"/>
      <c r="AL8745" s="500"/>
      <c r="AM8745" s="500"/>
      <c r="AN8745" s="500"/>
      <c r="AO8745" s="500"/>
      <c r="AP8745" s="500"/>
    </row>
    <row r="8746" spans="1:42" ht="16.5" customHeight="1">
      <c r="A8746" s="439"/>
      <c r="B8746" s="439"/>
      <c r="C8746" s="439"/>
      <c r="D8746" s="439"/>
      <c r="E8746" s="439"/>
      <c r="F8746" s="439"/>
      <c r="Z8746" s="500"/>
      <c r="AA8746" s="500"/>
      <c r="AB8746" s="500"/>
      <c r="AC8746" s="500"/>
      <c r="AD8746" s="500"/>
      <c r="AE8746" s="500"/>
      <c r="AF8746" s="500"/>
      <c r="AG8746" s="500"/>
      <c r="AH8746" s="500"/>
      <c r="AI8746" s="500"/>
      <c r="AJ8746" s="500"/>
      <c r="AK8746" s="500"/>
      <c r="AL8746" s="500"/>
      <c r="AM8746" s="500"/>
      <c r="AN8746" s="500"/>
      <c r="AO8746" s="500"/>
      <c r="AP8746" s="500"/>
    </row>
    <row r="8747" spans="1:42" ht="16.5" customHeight="1">
      <c r="A8747" s="439"/>
      <c r="B8747" s="439"/>
      <c r="C8747" s="439"/>
      <c r="D8747" s="439"/>
      <c r="E8747" s="439"/>
      <c r="F8747" s="439"/>
      <c r="Z8747" s="500"/>
      <c r="AA8747" s="500"/>
      <c r="AB8747" s="500"/>
      <c r="AC8747" s="500"/>
      <c r="AD8747" s="500"/>
      <c r="AE8747" s="500"/>
      <c r="AF8747" s="500"/>
      <c r="AG8747" s="500"/>
      <c r="AH8747" s="500"/>
      <c r="AI8747" s="500"/>
      <c r="AJ8747" s="500"/>
      <c r="AK8747" s="500"/>
      <c r="AL8747" s="500"/>
      <c r="AM8747" s="500"/>
      <c r="AN8747" s="500"/>
      <c r="AO8747" s="500"/>
      <c r="AP8747" s="500"/>
    </row>
    <row r="8748" spans="1:42" ht="16.5" customHeight="1">
      <c r="A8748" s="439"/>
      <c r="B8748" s="439"/>
      <c r="C8748" s="439"/>
      <c r="D8748" s="439"/>
      <c r="E8748" s="439"/>
      <c r="F8748" s="439"/>
      <c r="Z8748" s="500"/>
      <c r="AA8748" s="500"/>
      <c r="AB8748" s="500"/>
      <c r="AC8748" s="500"/>
      <c r="AD8748" s="500"/>
      <c r="AE8748" s="500"/>
      <c r="AF8748" s="500"/>
      <c r="AG8748" s="500"/>
      <c r="AH8748" s="500"/>
      <c r="AI8748" s="500"/>
      <c r="AJ8748" s="500"/>
      <c r="AK8748" s="500"/>
      <c r="AL8748" s="500"/>
      <c r="AM8748" s="500"/>
      <c r="AN8748" s="500"/>
      <c r="AO8748" s="500"/>
      <c r="AP8748" s="500"/>
    </row>
    <row r="8749" spans="1:42" ht="16.5" customHeight="1">
      <c r="A8749" s="439"/>
      <c r="B8749" s="439"/>
      <c r="C8749" s="439"/>
      <c r="D8749" s="439"/>
      <c r="E8749" s="439"/>
      <c r="F8749" s="439"/>
      <c r="Z8749" s="500"/>
      <c r="AA8749" s="500"/>
      <c r="AB8749" s="500"/>
      <c r="AC8749" s="500"/>
      <c r="AD8749" s="500"/>
      <c r="AE8749" s="500"/>
      <c r="AF8749" s="500"/>
      <c r="AG8749" s="500"/>
      <c r="AH8749" s="500"/>
      <c r="AI8749" s="500"/>
      <c r="AJ8749" s="500"/>
      <c r="AK8749" s="500"/>
      <c r="AL8749" s="500"/>
      <c r="AM8749" s="500"/>
      <c r="AN8749" s="500"/>
      <c r="AO8749" s="500"/>
      <c r="AP8749" s="500"/>
    </row>
    <row r="8750" spans="1:42" ht="16.5" customHeight="1">
      <c r="A8750" s="439"/>
      <c r="B8750" s="439"/>
      <c r="C8750" s="439"/>
      <c r="D8750" s="439"/>
      <c r="E8750" s="439"/>
      <c r="F8750" s="439"/>
      <c r="Z8750" s="500"/>
      <c r="AA8750" s="500"/>
      <c r="AB8750" s="500"/>
      <c r="AC8750" s="500"/>
      <c r="AD8750" s="500"/>
      <c r="AE8750" s="500"/>
      <c r="AF8750" s="500"/>
      <c r="AG8750" s="500"/>
      <c r="AH8750" s="500"/>
      <c r="AI8750" s="500"/>
      <c r="AJ8750" s="500"/>
      <c r="AK8750" s="500"/>
      <c r="AL8750" s="500"/>
      <c r="AM8750" s="500"/>
      <c r="AN8750" s="500"/>
      <c r="AO8750" s="500"/>
      <c r="AP8750" s="500"/>
    </row>
    <row r="8751" spans="1:42" ht="16.5" customHeight="1">
      <c r="A8751" s="439"/>
      <c r="B8751" s="439"/>
      <c r="C8751" s="439"/>
      <c r="D8751" s="439"/>
      <c r="E8751" s="439"/>
      <c r="F8751" s="439"/>
      <c r="Z8751" s="500"/>
      <c r="AA8751" s="500"/>
      <c r="AB8751" s="500"/>
      <c r="AC8751" s="500"/>
      <c r="AD8751" s="500"/>
      <c r="AE8751" s="500"/>
      <c r="AF8751" s="500"/>
      <c r="AG8751" s="500"/>
      <c r="AH8751" s="500"/>
      <c r="AI8751" s="500"/>
      <c r="AJ8751" s="500"/>
      <c r="AK8751" s="500"/>
      <c r="AL8751" s="500"/>
      <c r="AM8751" s="500"/>
      <c r="AN8751" s="500"/>
      <c r="AO8751" s="500"/>
      <c r="AP8751" s="500"/>
    </row>
    <row r="8752" spans="1:42" ht="16.5" customHeight="1">
      <c r="A8752" s="439"/>
      <c r="B8752" s="439"/>
      <c r="C8752" s="439"/>
      <c r="D8752" s="439"/>
      <c r="E8752" s="439"/>
      <c r="F8752" s="439"/>
      <c r="Z8752" s="500"/>
      <c r="AA8752" s="500"/>
      <c r="AB8752" s="500"/>
      <c r="AC8752" s="500"/>
      <c r="AD8752" s="500"/>
      <c r="AE8752" s="500"/>
      <c r="AF8752" s="500"/>
      <c r="AG8752" s="500"/>
      <c r="AH8752" s="500"/>
      <c r="AI8752" s="500"/>
      <c r="AJ8752" s="500"/>
      <c r="AK8752" s="500"/>
      <c r="AL8752" s="500"/>
      <c r="AM8752" s="500"/>
      <c r="AN8752" s="500"/>
      <c r="AO8752" s="500"/>
      <c r="AP8752" s="500"/>
    </row>
    <row r="8753" spans="1:42" ht="16.5" customHeight="1">
      <c r="A8753" s="497"/>
      <c r="B8753" s="497"/>
      <c r="C8753" s="497"/>
      <c r="D8753" s="497"/>
      <c r="E8753" s="497"/>
      <c r="F8753" s="497"/>
      <c r="Z8753" s="500"/>
      <c r="AA8753" s="500"/>
      <c r="AB8753" s="500"/>
      <c r="AC8753" s="500"/>
      <c r="AD8753" s="500"/>
      <c r="AE8753" s="500"/>
      <c r="AF8753" s="500"/>
      <c r="AG8753" s="500"/>
      <c r="AH8753" s="500"/>
      <c r="AI8753" s="500"/>
      <c r="AJ8753" s="500"/>
      <c r="AK8753" s="500"/>
      <c r="AL8753" s="500"/>
      <c r="AM8753" s="500"/>
      <c r="AN8753" s="500"/>
      <c r="AO8753" s="500"/>
      <c r="AP8753" s="500"/>
    </row>
    <row r="8754" spans="1:42" ht="16.5" customHeight="1">
      <c r="A8754" s="616" t="s">
        <v>4396</v>
      </c>
      <c r="B8754" s="605"/>
      <c r="C8754" s="446">
        <f>E8754+D8754+F8754</f>
        <v>81350</v>
      </c>
      <c r="D8754" s="464">
        <v>0</v>
      </c>
      <c r="E8754" s="465">
        <v>0</v>
      </c>
      <c r="F8754" s="446">
        <f>ROUNDDOWN(SUMIF(N8707:N8711,M8754,E8707:E8711),0)+ROUNDDOWN(SUMIF(N8707:N8711,M8754,D8707:D8711),0)+ROUNDDOWN(SUMIF(N8707:N8711,M8754,F8707:F8711),0)</f>
        <v>81350</v>
      </c>
      <c r="M8754" s="501" t="s">
        <v>2354</v>
      </c>
      <c r="Z8754" s="500"/>
      <c r="AA8754" s="500"/>
      <c r="AB8754" s="500"/>
      <c r="AC8754" s="500"/>
      <c r="AD8754" s="500"/>
      <c r="AE8754" s="500"/>
      <c r="AF8754" s="500"/>
      <c r="AG8754" s="500"/>
      <c r="AH8754" s="500"/>
      <c r="AI8754" s="500"/>
      <c r="AJ8754" s="500"/>
      <c r="AK8754" s="500"/>
      <c r="AL8754" s="500"/>
      <c r="AM8754" s="500"/>
      <c r="AN8754" s="500"/>
      <c r="AO8754" s="500"/>
      <c r="AP8754" s="500"/>
    </row>
    <row r="8755" spans="1:42" ht="16.5" customHeight="1">
      <c r="A8755" s="502"/>
      <c r="B8755" s="503" t="s">
        <v>2260</v>
      </c>
      <c r="C8755" s="615">
        <f>C8804</f>
        <v>14991</v>
      </c>
      <c r="D8755" s="615">
        <f>D8804</f>
        <v>0</v>
      </c>
      <c r="E8755" s="615">
        <f>E8804</f>
        <v>0</v>
      </c>
      <c r="F8755" s="615">
        <f>F8804</f>
        <v>14991</v>
      </c>
      <c r="G8755" s="486" t="str">
        <f>HYPERLINK("#G"&amp;ROW(G8761),"_x0005_`BDCOD|D01221_x0007_`POSS|"&amp;ROW(G8757)&amp;"_x0007_`POSE|"&amp;ROW(G8761)&amp;"_x0007_`")</f>
        <v>_x0005_`BDCOD|D01221_x0007_`POSS|8757_x0007_`POSE|8761_x0007_`</v>
      </c>
      <c r="Z8755" s="500"/>
      <c r="AA8755" s="500"/>
      <c r="AB8755" s="500"/>
      <c r="AC8755" s="500"/>
      <c r="AD8755" s="500"/>
      <c r="AE8755" s="500"/>
      <c r="AF8755" s="500"/>
      <c r="AG8755" s="500"/>
      <c r="AH8755" s="500"/>
      <c r="AI8755" s="500"/>
      <c r="AJ8755" s="500"/>
      <c r="AK8755" s="500"/>
      <c r="AL8755" s="500"/>
      <c r="AM8755" s="500"/>
      <c r="AN8755" s="500"/>
      <c r="AO8755" s="500"/>
      <c r="AP8755" s="500"/>
    </row>
    <row r="8756" spans="1:42" ht="16.5" customHeight="1">
      <c r="A8756" s="485"/>
      <c r="B8756" s="503" t="s">
        <v>4405</v>
      </c>
      <c r="C8756" s="593"/>
      <c r="D8756" s="593"/>
      <c r="E8756" s="593"/>
      <c r="F8756" s="593"/>
      <c r="M8756" s="501" t="s">
        <v>2260</v>
      </c>
      <c r="Z8756" s="500"/>
      <c r="AA8756" s="500"/>
      <c r="AB8756" s="500"/>
      <c r="AC8756" s="500"/>
      <c r="AD8756" s="500"/>
      <c r="AE8756" s="500"/>
      <c r="AF8756" s="500"/>
      <c r="AG8756" s="500"/>
      <c r="AH8756" s="500"/>
      <c r="AI8756" s="500"/>
      <c r="AJ8756" s="500"/>
      <c r="AK8756" s="500"/>
      <c r="AL8756" s="500"/>
      <c r="AM8756" s="500"/>
      <c r="AN8756" s="500"/>
      <c r="AO8756" s="500"/>
      <c r="AP8756" s="500"/>
    </row>
    <row r="8757" spans="1:42" ht="16.5" customHeight="1">
      <c r="A8757" s="439"/>
      <c r="B8757" s="439"/>
      <c r="C8757" s="504"/>
      <c r="D8757" s="504"/>
      <c r="E8757" s="504"/>
      <c r="F8757" s="504"/>
      <c r="G8757" s="451" t="s">
        <v>3406</v>
      </c>
      <c r="Z8757" s="500"/>
      <c r="AA8757" s="500"/>
      <c r="AB8757" s="500"/>
      <c r="AC8757" s="500"/>
      <c r="AD8757" s="500"/>
      <c r="AE8757" s="500"/>
      <c r="AF8757" s="500"/>
      <c r="AG8757" s="500"/>
      <c r="AH8757" s="500"/>
      <c r="AI8757" s="500"/>
      <c r="AJ8757" s="500"/>
      <c r="AK8757" s="500"/>
      <c r="AL8757" s="500"/>
      <c r="AM8757" s="500"/>
      <c r="AN8757" s="500"/>
      <c r="AO8757" s="500"/>
      <c r="AP8757" s="500"/>
    </row>
    <row r="8758" spans="1:42" ht="16.5" customHeight="1">
      <c r="A8758" s="434" t="s">
        <v>4406</v>
      </c>
      <c r="B8758" s="505" t="str">
        <f>" 폐기물 상차 및 운반 : "&amp;TEXT(I8758,"#,##0"&amp;IF(I8758&lt;&gt;INT(I8758),".###",""))&amp;" * "&amp;AA8758&amp;" Ton  = "&amp;TEXT(C8758,"#,##0.0")&amp;""</f>
        <v xml:space="preserve"> 폐기물 상차 및 운반 : 14,991 * 1 Ton  = 14,991.0</v>
      </c>
      <c r="C8758" s="506">
        <f>E8758+D8758+F8758</f>
        <v>14991</v>
      </c>
      <c r="D8758" s="506">
        <f>IF(H8758=0,0,ROUNDDOWN(J8758*H8758,1))</f>
        <v>0</v>
      </c>
      <c r="E8758" s="506">
        <f>IF(H8758=0,0,ROUNDDOWN(K8758*H8758,1))</f>
        <v>14991</v>
      </c>
      <c r="F8758" s="506">
        <f>IF(H8758=0,0,ROUNDDOWN(L8758*H8758,1))</f>
        <v>0</v>
      </c>
      <c r="G8758" s="451" t="s">
        <v>4407</v>
      </c>
      <c r="H8758" s="507">
        <f>ROUNDUP(AC8758,14-LEN(ABS(INT(AC8758))))</f>
        <v>1</v>
      </c>
      <c r="I8758" s="508">
        <f>K8758+J8758+L8758</f>
        <v>14991</v>
      </c>
      <c r="K8758" s="509">
        <f>재료비목록표!E105</f>
        <v>14991</v>
      </c>
      <c r="M8758" s="501" t="s">
        <v>4408</v>
      </c>
      <c r="N8758" s="501" t="s">
        <v>3421</v>
      </c>
      <c r="X8758" s="510" t="str">
        <f>재료비목록표!B105&amp;" / "&amp;재료비목록표!C105</f>
        <v>폐기물 상차 및 운반 / 30km이하,집게5톤,폐목재</v>
      </c>
      <c r="Y8758" s="433" t="str">
        <f ca="1">HYPERLINK("#"&amp;재료비목록표!G2&amp;"!A"&amp;ROW(재료비목록표!A105),"M08780 →")</f>
        <v>M08780 →</v>
      </c>
      <c r="Z8758" s="501" t="s">
        <v>3500</v>
      </c>
      <c r="AA8758" s="515">
        <v>1</v>
      </c>
      <c r="AB8758" s="501" t="s">
        <v>3418</v>
      </c>
      <c r="AC8758" s="512">
        <f>1*AA8758</f>
        <v>1</v>
      </c>
      <c r="AD8758" s="500"/>
      <c r="AE8758" s="500"/>
      <c r="AF8758" s="500"/>
      <c r="AG8758" s="500"/>
      <c r="AH8758" s="500"/>
      <c r="AI8758" s="500"/>
      <c r="AJ8758" s="500"/>
      <c r="AK8758" s="500"/>
      <c r="AL8758" s="500"/>
      <c r="AM8758" s="500"/>
      <c r="AN8758" s="500"/>
      <c r="AO8758" s="500"/>
      <c r="AP8758" s="500"/>
    </row>
    <row r="8759" spans="1:42" ht="16.5" customHeight="1">
      <c r="A8759" s="439"/>
      <c r="B8759" s="439"/>
      <c r="C8759" s="439"/>
      <c r="D8759" s="439"/>
      <c r="E8759" s="439"/>
      <c r="F8759" s="439"/>
      <c r="G8759" s="451" t="s">
        <v>3406</v>
      </c>
      <c r="Z8759" s="500"/>
      <c r="AA8759" s="500"/>
      <c r="AB8759" s="500"/>
      <c r="AC8759" s="500"/>
      <c r="AD8759" s="500"/>
      <c r="AE8759" s="500"/>
      <c r="AF8759" s="500"/>
      <c r="AG8759" s="500"/>
      <c r="AH8759" s="500"/>
      <c r="AI8759" s="500"/>
      <c r="AJ8759" s="500"/>
      <c r="AK8759" s="500"/>
      <c r="AL8759" s="500"/>
      <c r="AM8759" s="500"/>
      <c r="AN8759" s="500"/>
      <c r="AO8759" s="500"/>
      <c r="AP8759" s="500"/>
    </row>
    <row r="8760" spans="1:42" ht="16.5" customHeight="1">
      <c r="A8760" s="439"/>
      <c r="B8760" s="439"/>
      <c r="C8760" s="439"/>
      <c r="D8760" s="439"/>
      <c r="E8760" s="439"/>
      <c r="F8760" s="439"/>
      <c r="G8760" s="451" t="s">
        <v>3406</v>
      </c>
      <c r="Z8760" s="500"/>
      <c r="AA8760" s="500"/>
      <c r="AB8760" s="500"/>
      <c r="AC8760" s="500"/>
      <c r="AD8760" s="500"/>
      <c r="AE8760" s="500"/>
      <c r="AF8760" s="500"/>
      <c r="AG8760" s="500"/>
      <c r="AH8760" s="500"/>
      <c r="AI8760" s="500"/>
      <c r="AJ8760" s="500"/>
      <c r="AK8760" s="500"/>
      <c r="AL8760" s="500"/>
      <c r="AM8760" s="500"/>
      <c r="AN8760" s="500"/>
      <c r="AO8760" s="500"/>
      <c r="AP8760" s="500"/>
    </row>
    <row r="8761" spans="1:42" ht="16.5" customHeight="1">
      <c r="A8761" s="434"/>
      <c r="B8761" s="437" t="s">
        <v>3440</v>
      </c>
      <c r="C8761" s="513">
        <f>E8761+D8761+F8761</f>
        <v>14991</v>
      </c>
      <c r="D8761" s="513">
        <f>SUMIF(N8757:N8760,M8761,D8757:D8760)</f>
        <v>0</v>
      </c>
      <c r="E8761" s="513">
        <f>SUMIF(N8757:N8760,M8761,E8757:E8760)</f>
        <v>14991</v>
      </c>
      <c r="F8761" s="513">
        <f>SUMIF(N8757:N8760,M8761,F8757:F8760)</f>
        <v>0</v>
      </c>
      <c r="G8761" s="451" t="s">
        <v>3484</v>
      </c>
      <c r="M8761" s="501" t="s">
        <v>3421</v>
      </c>
      <c r="N8761" s="501" t="s">
        <v>2354</v>
      </c>
      <c r="Z8761" s="500"/>
      <c r="AA8761" s="500"/>
      <c r="AB8761" s="500"/>
      <c r="AC8761" s="500"/>
      <c r="AD8761" s="500"/>
      <c r="AE8761" s="500"/>
      <c r="AF8761" s="500"/>
      <c r="AG8761" s="500"/>
      <c r="AH8761" s="500"/>
      <c r="AI8761" s="500"/>
      <c r="AJ8761" s="500"/>
      <c r="AK8761" s="500"/>
      <c r="AL8761" s="500"/>
      <c r="AM8761" s="500"/>
      <c r="AN8761" s="500"/>
      <c r="AO8761" s="500"/>
      <c r="AP8761" s="500"/>
    </row>
    <row r="8762" spans="1:42" ht="16.5" customHeight="1">
      <c r="A8762" s="439"/>
      <c r="B8762" s="439"/>
      <c r="C8762" s="504"/>
      <c r="D8762" s="504"/>
      <c r="E8762" s="504"/>
      <c r="F8762" s="504"/>
      <c r="Z8762" s="500"/>
      <c r="AA8762" s="500"/>
      <c r="AB8762" s="500"/>
      <c r="AC8762" s="500"/>
      <c r="AD8762" s="500"/>
      <c r="AE8762" s="500"/>
      <c r="AF8762" s="500"/>
      <c r="AG8762" s="500"/>
      <c r="AH8762" s="500"/>
      <c r="AI8762" s="500"/>
      <c r="AJ8762" s="500"/>
      <c r="AK8762" s="500"/>
      <c r="AL8762" s="500"/>
      <c r="AM8762" s="500"/>
      <c r="AN8762" s="500"/>
      <c r="AO8762" s="500"/>
      <c r="AP8762" s="500"/>
    </row>
    <row r="8763" spans="1:42" ht="16.5" customHeight="1">
      <c r="A8763" s="439"/>
      <c r="B8763" s="439"/>
      <c r="C8763" s="439"/>
      <c r="D8763" s="439"/>
      <c r="E8763" s="439"/>
      <c r="F8763" s="439"/>
      <c r="Z8763" s="500"/>
      <c r="AA8763" s="500"/>
      <c r="AB8763" s="500"/>
      <c r="AC8763" s="500"/>
      <c r="AD8763" s="500"/>
      <c r="AE8763" s="500"/>
      <c r="AF8763" s="500"/>
      <c r="AG8763" s="500"/>
      <c r="AH8763" s="500"/>
      <c r="AI8763" s="500"/>
      <c r="AJ8763" s="500"/>
      <c r="AK8763" s="500"/>
      <c r="AL8763" s="500"/>
      <c r="AM8763" s="500"/>
      <c r="AN8763" s="500"/>
      <c r="AO8763" s="500"/>
      <c r="AP8763" s="500"/>
    </row>
    <row r="8764" spans="1:42" ht="16.5" customHeight="1">
      <c r="A8764" s="439"/>
      <c r="B8764" s="439"/>
      <c r="C8764" s="439"/>
      <c r="D8764" s="439"/>
      <c r="E8764" s="439"/>
      <c r="F8764" s="439"/>
      <c r="Z8764" s="500"/>
      <c r="AA8764" s="500"/>
      <c r="AB8764" s="500"/>
      <c r="AC8764" s="500"/>
      <c r="AD8764" s="500"/>
      <c r="AE8764" s="500"/>
      <c r="AF8764" s="500"/>
      <c r="AG8764" s="500"/>
      <c r="AH8764" s="500"/>
      <c r="AI8764" s="500"/>
      <c r="AJ8764" s="500"/>
      <c r="AK8764" s="500"/>
      <c r="AL8764" s="500"/>
      <c r="AM8764" s="500"/>
      <c r="AN8764" s="500"/>
      <c r="AO8764" s="500"/>
      <c r="AP8764" s="500"/>
    </row>
    <row r="8765" spans="1:42" ht="16.5" customHeight="1">
      <c r="A8765" s="439"/>
      <c r="B8765" s="439"/>
      <c r="C8765" s="439"/>
      <c r="D8765" s="439"/>
      <c r="E8765" s="439"/>
      <c r="F8765" s="439"/>
      <c r="Z8765" s="500"/>
      <c r="AA8765" s="500"/>
      <c r="AB8765" s="500"/>
      <c r="AC8765" s="500"/>
      <c r="AD8765" s="500"/>
      <c r="AE8765" s="500"/>
      <c r="AF8765" s="500"/>
      <c r="AG8765" s="500"/>
      <c r="AH8765" s="500"/>
      <c r="AI8765" s="500"/>
      <c r="AJ8765" s="500"/>
      <c r="AK8765" s="500"/>
      <c r="AL8765" s="500"/>
      <c r="AM8765" s="500"/>
      <c r="AN8765" s="500"/>
      <c r="AO8765" s="500"/>
      <c r="AP8765" s="500"/>
    </row>
    <row r="8766" spans="1:42" ht="16.5" customHeight="1">
      <c r="A8766" s="439"/>
      <c r="B8766" s="439"/>
      <c r="C8766" s="439"/>
      <c r="D8766" s="439"/>
      <c r="E8766" s="439"/>
      <c r="F8766" s="439"/>
      <c r="Z8766" s="500"/>
      <c r="AA8766" s="500"/>
      <c r="AB8766" s="500"/>
      <c r="AC8766" s="500"/>
      <c r="AD8766" s="500"/>
      <c r="AE8766" s="500"/>
      <c r="AF8766" s="500"/>
      <c r="AG8766" s="500"/>
      <c r="AH8766" s="500"/>
      <c r="AI8766" s="500"/>
      <c r="AJ8766" s="500"/>
      <c r="AK8766" s="500"/>
      <c r="AL8766" s="500"/>
      <c r="AM8766" s="500"/>
      <c r="AN8766" s="500"/>
      <c r="AO8766" s="500"/>
      <c r="AP8766" s="500"/>
    </row>
    <row r="8767" spans="1:42" ht="16.5" customHeight="1">
      <c r="A8767" s="439"/>
      <c r="B8767" s="439"/>
      <c r="C8767" s="439"/>
      <c r="D8767" s="439"/>
      <c r="E8767" s="439"/>
      <c r="F8767" s="439"/>
      <c r="Z8767" s="500"/>
      <c r="AA8767" s="500"/>
      <c r="AB8767" s="500"/>
      <c r="AC8767" s="500"/>
      <c r="AD8767" s="500"/>
      <c r="AE8767" s="500"/>
      <c r="AF8767" s="500"/>
      <c r="AG8767" s="500"/>
      <c r="AH8767" s="500"/>
      <c r="AI8767" s="500"/>
      <c r="AJ8767" s="500"/>
      <c r="AK8767" s="500"/>
      <c r="AL8767" s="500"/>
      <c r="AM8767" s="500"/>
      <c r="AN8767" s="500"/>
      <c r="AO8767" s="500"/>
      <c r="AP8767" s="500"/>
    </row>
    <row r="8768" spans="1:42" ht="16.5" customHeight="1">
      <c r="A8768" s="439"/>
      <c r="B8768" s="439"/>
      <c r="C8768" s="439"/>
      <c r="D8768" s="439"/>
      <c r="E8768" s="439"/>
      <c r="F8768" s="439"/>
      <c r="Z8768" s="500"/>
      <c r="AA8768" s="500"/>
      <c r="AB8768" s="500"/>
      <c r="AC8768" s="500"/>
      <c r="AD8768" s="500"/>
      <c r="AE8768" s="500"/>
      <c r="AF8768" s="500"/>
      <c r="AG8768" s="500"/>
      <c r="AH8768" s="500"/>
      <c r="AI8768" s="500"/>
      <c r="AJ8768" s="500"/>
      <c r="AK8768" s="500"/>
      <c r="AL8768" s="500"/>
      <c r="AM8768" s="500"/>
      <c r="AN8768" s="500"/>
      <c r="AO8768" s="500"/>
      <c r="AP8768" s="500"/>
    </row>
    <row r="8769" spans="1:42" ht="16.5" customHeight="1">
      <c r="A8769" s="439"/>
      <c r="B8769" s="439"/>
      <c r="C8769" s="439"/>
      <c r="D8769" s="439"/>
      <c r="E8769" s="439"/>
      <c r="F8769" s="439"/>
      <c r="Z8769" s="500"/>
      <c r="AA8769" s="500"/>
      <c r="AB8769" s="500"/>
      <c r="AC8769" s="500"/>
      <c r="AD8769" s="500"/>
      <c r="AE8769" s="500"/>
      <c r="AF8769" s="500"/>
      <c r="AG8769" s="500"/>
      <c r="AH8769" s="500"/>
      <c r="AI8769" s="500"/>
      <c r="AJ8769" s="500"/>
      <c r="AK8769" s="500"/>
      <c r="AL8769" s="500"/>
      <c r="AM8769" s="500"/>
      <c r="AN8769" s="500"/>
      <c r="AO8769" s="500"/>
      <c r="AP8769" s="500"/>
    </row>
    <row r="8770" spans="1:42" ht="16.5" customHeight="1">
      <c r="A8770" s="439"/>
      <c r="B8770" s="439"/>
      <c r="C8770" s="439"/>
      <c r="D8770" s="439"/>
      <c r="E8770" s="439"/>
      <c r="F8770" s="439"/>
      <c r="Z8770" s="500"/>
      <c r="AA8770" s="500"/>
      <c r="AB8770" s="500"/>
      <c r="AC8770" s="500"/>
      <c r="AD8770" s="500"/>
      <c r="AE8770" s="500"/>
      <c r="AF8770" s="500"/>
      <c r="AG8770" s="500"/>
      <c r="AH8770" s="500"/>
      <c r="AI8770" s="500"/>
      <c r="AJ8770" s="500"/>
      <c r="AK8770" s="500"/>
      <c r="AL8770" s="500"/>
      <c r="AM8770" s="500"/>
      <c r="AN8770" s="500"/>
      <c r="AO8770" s="500"/>
      <c r="AP8770" s="500"/>
    </row>
    <row r="8771" spans="1:42" ht="16.5" customHeight="1">
      <c r="A8771" s="439"/>
      <c r="B8771" s="439"/>
      <c r="C8771" s="439"/>
      <c r="D8771" s="439"/>
      <c r="E8771" s="439"/>
      <c r="F8771" s="439"/>
      <c r="Z8771" s="500"/>
      <c r="AA8771" s="500"/>
      <c r="AB8771" s="500"/>
      <c r="AC8771" s="500"/>
      <c r="AD8771" s="500"/>
      <c r="AE8771" s="500"/>
      <c r="AF8771" s="500"/>
      <c r="AG8771" s="500"/>
      <c r="AH8771" s="500"/>
      <c r="AI8771" s="500"/>
      <c r="AJ8771" s="500"/>
      <c r="AK8771" s="500"/>
      <c r="AL8771" s="500"/>
      <c r="AM8771" s="500"/>
      <c r="AN8771" s="500"/>
      <c r="AO8771" s="500"/>
      <c r="AP8771" s="500"/>
    </row>
    <row r="8772" spans="1:42" ht="16.5" customHeight="1">
      <c r="A8772" s="439"/>
      <c r="B8772" s="439"/>
      <c r="C8772" s="439"/>
      <c r="D8772" s="439"/>
      <c r="E8772" s="439"/>
      <c r="F8772" s="439"/>
      <c r="Z8772" s="500"/>
      <c r="AA8772" s="500"/>
      <c r="AB8772" s="500"/>
      <c r="AC8772" s="500"/>
      <c r="AD8772" s="500"/>
      <c r="AE8772" s="500"/>
      <c r="AF8772" s="500"/>
      <c r="AG8772" s="500"/>
      <c r="AH8772" s="500"/>
      <c r="AI8772" s="500"/>
      <c r="AJ8772" s="500"/>
      <c r="AK8772" s="500"/>
      <c r="AL8772" s="500"/>
      <c r="AM8772" s="500"/>
      <c r="AN8772" s="500"/>
      <c r="AO8772" s="500"/>
      <c r="AP8772" s="500"/>
    </row>
    <row r="8773" spans="1:42" ht="16.5" customHeight="1">
      <c r="A8773" s="439"/>
      <c r="B8773" s="439"/>
      <c r="C8773" s="439"/>
      <c r="D8773" s="439"/>
      <c r="E8773" s="439"/>
      <c r="F8773" s="439"/>
      <c r="Z8773" s="500"/>
      <c r="AA8773" s="500"/>
      <c r="AB8773" s="500"/>
      <c r="AC8773" s="500"/>
      <c r="AD8773" s="500"/>
      <c r="AE8773" s="500"/>
      <c r="AF8773" s="500"/>
      <c r="AG8773" s="500"/>
      <c r="AH8773" s="500"/>
      <c r="AI8773" s="500"/>
      <c r="AJ8773" s="500"/>
      <c r="AK8773" s="500"/>
      <c r="AL8773" s="500"/>
      <c r="AM8773" s="500"/>
      <c r="AN8773" s="500"/>
      <c r="AO8773" s="500"/>
      <c r="AP8773" s="500"/>
    </row>
    <row r="8774" spans="1:42" ht="16.5" customHeight="1">
      <c r="A8774" s="439"/>
      <c r="B8774" s="439"/>
      <c r="C8774" s="439"/>
      <c r="D8774" s="439"/>
      <c r="E8774" s="439"/>
      <c r="F8774" s="439"/>
      <c r="Z8774" s="500"/>
      <c r="AA8774" s="500"/>
      <c r="AB8774" s="500"/>
      <c r="AC8774" s="500"/>
      <c r="AD8774" s="500"/>
      <c r="AE8774" s="500"/>
      <c r="AF8774" s="500"/>
      <c r="AG8774" s="500"/>
      <c r="AH8774" s="500"/>
      <c r="AI8774" s="500"/>
      <c r="AJ8774" s="500"/>
      <c r="AK8774" s="500"/>
      <c r="AL8774" s="500"/>
      <c r="AM8774" s="500"/>
      <c r="AN8774" s="500"/>
      <c r="AO8774" s="500"/>
      <c r="AP8774" s="500"/>
    </row>
    <row r="8775" spans="1:42" ht="16.5" customHeight="1">
      <c r="A8775" s="439"/>
      <c r="B8775" s="439"/>
      <c r="C8775" s="439"/>
      <c r="D8775" s="439"/>
      <c r="E8775" s="439"/>
      <c r="F8775" s="439"/>
      <c r="Z8775" s="500"/>
      <c r="AA8775" s="500"/>
      <c r="AB8775" s="500"/>
      <c r="AC8775" s="500"/>
      <c r="AD8775" s="500"/>
      <c r="AE8775" s="500"/>
      <c r="AF8775" s="500"/>
      <c r="AG8775" s="500"/>
      <c r="AH8775" s="500"/>
      <c r="AI8775" s="500"/>
      <c r="AJ8775" s="500"/>
      <c r="AK8775" s="500"/>
      <c r="AL8775" s="500"/>
      <c r="AM8775" s="500"/>
      <c r="AN8775" s="500"/>
      <c r="AO8775" s="500"/>
      <c r="AP8775" s="500"/>
    </row>
    <row r="8776" spans="1:42" ht="16.5" customHeight="1">
      <c r="A8776" s="439"/>
      <c r="B8776" s="439"/>
      <c r="C8776" s="439"/>
      <c r="D8776" s="439"/>
      <c r="E8776" s="439"/>
      <c r="F8776" s="439"/>
      <c r="Z8776" s="500"/>
      <c r="AA8776" s="500"/>
      <c r="AB8776" s="500"/>
      <c r="AC8776" s="500"/>
      <c r="AD8776" s="500"/>
      <c r="AE8776" s="500"/>
      <c r="AF8776" s="500"/>
      <c r="AG8776" s="500"/>
      <c r="AH8776" s="500"/>
      <c r="AI8776" s="500"/>
      <c r="AJ8776" s="500"/>
      <c r="AK8776" s="500"/>
      <c r="AL8776" s="500"/>
      <c r="AM8776" s="500"/>
      <c r="AN8776" s="500"/>
      <c r="AO8776" s="500"/>
      <c r="AP8776" s="500"/>
    </row>
    <row r="8777" spans="1:42" ht="16.5" customHeight="1">
      <c r="A8777" s="439"/>
      <c r="B8777" s="439"/>
      <c r="C8777" s="439"/>
      <c r="D8777" s="439"/>
      <c r="E8777" s="439"/>
      <c r="F8777" s="439"/>
      <c r="Z8777" s="500"/>
      <c r="AA8777" s="500"/>
      <c r="AB8777" s="500"/>
      <c r="AC8777" s="500"/>
      <c r="AD8777" s="500"/>
      <c r="AE8777" s="500"/>
      <c r="AF8777" s="500"/>
      <c r="AG8777" s="500"/>
      <c r="AH8777" s="500"/>
      <c r="AI8777" s="500"/>
      <c r="AJ8777" s="500"/>
      <c r="AK8777" s="500"/>
      <c r="AL8777" s="500"/>
      <c r="AM8777" s="500"/>
      <c r="AN8777" s="500"/>
      <c r="AO8777" s="500"/>
      <c r="AP8777" s="500"/>
    </row>
    <row r="8778" spans="1:42" ht="16.5" customHeight="1">
      <c r="A8778" s="439"/>
      <c r="B8778" s="439"/>
      <c r="C8778" s="439"/>
      <c r="D8778" s="439"/>
      <c r="E8778" s="439"/>
      <c r="F8778" s="439"/>
      <c r="Z8778" s="500"/>
      <c r="AA8778" s="500"/>
      <c r="AB8778" s="500"/>
      <c r="AC8778" s="500"/>
      <c r="AD8778" s="500"/>
      <c r="AE8778" s="500"/>
      <c r="AF8778" s="500"/>
      <c r="AG8778" s="500"/>
      <c r="AH8778" s="500"/>
      <c r="AI8778" s="500"/>
      <c r="AJ8778" s="500"/>
      <c r="AK8778" s="500"/>
      <c r="AL8778" s="500"/>
      <c r="AM8778" s="500"/>
      <c r="AN8778" s="500"/>
      <c r="AO8778" s="500"/>
      <c r="AP8778" s="500"/>
    </row>
    <row r="8779" spans="1:42" ht="16.5" customHeight="1">
      <c r="A8779" s="439"/>
      <c r="B8779" s="439"/>
      <c r="C8779" s="439"/>
      <c r="D8779" s="439"/>
      <c r="E8779" s="439"/>
      <c r="F8779" s="439"/>
      <c r="Z8779" s="500"/>
      <c r="AA8779" s="500"/>
      <c r="AB8779" s="500"/>
      <c r="AC8779" s="500"/>
      <c r="AD8779" s="500"/>
      <c r="AE8779" s="500"/>
      <c r="AF8779" s="500"/>
      <c r="AG8779" s="500"/>
      <c r="AH8779" s="500"/>
      <c r="AI8779" s="500"/>
      <c r="AJ8779" s="500"/>
      <c r="AK8779" s="500"/>
      <c r="AL8779" s="500"/>
      <c r="AM8779" s="500"/>
      <c r="AN8779" s="500"/>
      <c r="AO8779" s="500"/>
      <c r="AP8779" s="500"/>
    </row>
    <row r="8780" spans="1:42" ht="16.5" customHeight="1">
      <c r="A8780" s="439"/>
      <c r="B8780" s="439"/>
      <c r="C8780" s="439"/>
      <c r="D8780" s="439"/>
      <c r="E8780" s="439"/>
      <c r="F8780" s="439"/>
      <c r="Z8780" s="500"/>
      <c r="AA8780" s="500"/>
      <c r="AB8780" s="500"/>
      <c r="AC8780" s="500"/>
      <c r="AD8780" s="500"/>
      <c r="AE8780" s="500"/>
      <c r="AF8780" s="500"/>
      <c r="AG8780" s="500"/>
      <c r="AH8780" s="500"/>
      <c r="AI8780" s="500"/>
      <c r="AJ8780" s="500"/>
      <c r="AK8780" s="500"/>
      <c r="AL8780" s="500"/>
      <c r="AM8780" s="500"/>
      <c r="AN8780" s="500"/>
      <c r="AO8780" s="500"/>
      <c r="AP8780" s="500"/>
    </row>
    <row r="8781" spans="1:42" ht="16.5" customHeight="1">
      <c r="A8781" s="439"/>
      <c r="B8781" s="439"/>
      <c r="C8781" s="439"/>
      <c r="D8781" s="439"/>
      <c r="E8781" s="439"/>
      <c r="F8781" s="439"/>
      <c r="Z8781" s="500"/>
      <c r="AA8781" s="500"/>
      <c r="AB8781" s="500"/>
      <c r="AC8781" s="500"/>
      <c r="AD8781" s="500"/>
      <c r="AE8781" s="500"/>
      <c r="AF8781" s="500"/>
      <c r="AG8781" s="500"/>
      <c r="AH8781" s="500"/>
      <c r="AI8781" s="500"/>
      <c r="AJ8781" s="500"/>
      <c r="AK8781" s="500"/>
      <c r="AL8781" s="500"/>
      <c r="AM8781" s="500"/>
      <c r="AN8781" s="500"/>
      <c r="AO8781" s="500"/>
      <c r="AP8781" s="500"/>
    </row>
    <row r="8782" spans="1:42" ht="16.5" customHeight="1">
      <c r="A8782" s="439"/>
      <c r="B8782" s="439"/>
      <c r="C8782" s="439"/>
      <c r="D8782" s="439"/>
      <c r="E8782" s="439"/>
      <c r="F8782" s="439"/>
      <c r="Z8782" s="500"/>
      <c r="AA8782" s="500"/>
      <c r="AB8782" s="500"/>
      <c r="AC8782" s="500"/>
      <c r="AD8782" s="500"/>
      <c r="AE8782" s="500"/>
      <c r="AF8782" s="500"/>
      <c r="AG8782" s="500"/>
      <c r="AH8782" s="500"/>
      <c r="AI8782" s="500"/>
      <c r="AJ8782" s="500"/>
      <c r="AK8782" s="500"/>
      <c r="AL8782" s="500"/>
      <c r="AM8782" s="500"/>
      <c r="AN8782" s="500"/>
      <c r="AO8782" s="500"/>
      <c r="AP8782" s="500"/>
    </row>
    <row r="8783" spans="1:42" ht="16.5" customHeight="1">
      <c r="A8783" s="439"/>
      <c r="B8783" s="439"/>
      <c r="C8783" s="439"/>
      <c r="D8783" s="439"/>
      <c r="E8783" s="439"/>
      <c r="F8783" s="439"/>
      <c r="Z8783" s="500"/>
      <c r="AA8783" s="500"/>
      <c r="AB8783" s="500"/>
      <c r="AC8783" s="500"/>
      <c r="AD8783" s="500"/>
      <c r="AE8783" s="500"/>
      <c r="AF8783" s="500"/>
      <c r="AG8783" s="500"/>
      <c r="AH8783" s="500"/>
      <c r="AI8783" s="500"/>
      <c r="AJ8783" s="500"/>
      <c r="AK8783" s="500"/>
      <c r="AL8783" s="500"/>
      <c r="AM8783" s="500"/>
      <c r="AN8783" s="500"/>
      <c r="AO8783" s="500"/>
      <c r="AP8783" s="500"/>
    </row>
    <row r="8784" spans="1:42" ht="16.5" customHeight="1">
      <c r="A8784" s="439"/>
      <c r="B8784" s="439"/>
      <c r="C8784" s="439"/>
      <c r="D8784" s="439"/>
      <c r="E8784" s="439"/>
      <c r="F8784" s="439"/>
      <c r="Z8784" s="500"/>
      <c r="AA8784" s="500"/>
      <c r="AB8784" s="500"/>
      <c r="AC8784" s="500"/>
      <c r="AD8784" s="500"/>
      <c r="AE8784" s="500"/>
      <c r="AF8784" s="500"/>
      <c r="AG8784" s="500"/>
      <c r="AH8784" s="500"/>
      <c r="AI8784" s="500"/>
      <c r="AJ8784" s="500"/>
      <c r="AK8784" s="500"/>
      <c r="AL8784" s="500"/>
      <c r="AM8784" s="500"/>
      <c r="AN8784" s="500"/>
      <c r="AO8784" s="500"/>
      <c r="AP8784" s="500"/>
    </row>
    <row r="8785" spans="1:42" ht="16.5" customHeight="1">
      <c r="A8785" s="439"/>
      <c r="B8785" s="439"/>
      <c r="C8785" s="439"/>
      <c r="D8785" s="439"/>
      <c r="E8785" s="439"/>
      <c r="F8785" s="439"/>
      <c r="Z8785" s="500"/>
      <c r="AA8785" s="500"/>
      <c r="AB8785" s="500"/>
      <c r="AC8785" s="500"/>
      <c r="AD8785" s="500"/>
      <c r="AE8785" s="500"/>
      <c r="AF8785" s="500"/>
      <c r="AG8785" s="500"/>
      <c r="AH8785" s="500"/>
      <c r="AI8785" s="500"/>
      <c r="AJ8785" s="500"/>
      <c r="AK8785" s="500"/>
      <c r="AL8785" s="500"/>
      <c r="AM8785" s="500"/>
      <c r="AN8785" s="500"/>
      <c r="AO8785" s="500"/>
      <c r="AP8785" s="500"/>
    </row>
    <row r="8786" spans="1:42" ht="16.5" customHeight="1">
      <c r="A8786" s="439"/>
      <c r="B8786" s="439"/>
      <c r="C8786" s="439"/>
      <c r="D8786" s="439"/>
      <c r="E8786" s="439"/>
      <c r="F8786" s="439"/>
      <c r="Z8786" s="500"/>
      <c r="AA8786" s="500"/>
      <c r="AB8786" s="500"/>
      <c r="AC8786" s="500"/>
      <c r="AD8786" s="500"/>
      <c r="AE8786" s="500"/>
      <c r="AF8786" s="500"/>
      <c r="AG8786" s="500"/>
      <c r="AH8786" s="500"/>
      <c r="AI8786" s="500"/>
      <c r="AJ8786" s="500"/>
      <c r="AK8786" s="500"/>
      <c r="AL8786" s="500"/>
      <c r="AM8786" s="500"/>
      <c r="AN8786" s="500"/>
      <c r="AO8786" s="500"/>
      <c r="AP8786" s="500"/>
    </row>
    <row r="8787" spans="1:42" ht="16.5" customHeight="1">
      <c r="A8787" s="439"/>
      <c r="B8787" s="439"/>
      <c r="C8787" s="439"/>
      <c r="D8787" s="439"/>
      <c r="E8787" s="439"/>
      <c r="F8787" s="439"/>
      <c r="Z8787" s="500"/>
      <c r="AA8787" s="500"/>
      <c r="AB8787" s="500"/>
      <c r="AC8787" s="500"/>
      <c r="AD8787" s="500"/>
      <c r="AE8787" s="500"/>
      <c r="AF8787" s="500"/>
      <c r="AG8787" s="500"/>
      <c r="AH8787" s="500"/>
      <c r="AI8787" s="500"/>
      <c r="AJ8787" s="500"/>
      <c r="AK8787" s="500"/>
      <c r="AL8787" s="500"/>
      <c r="AM8787" s="500"/>
      <c r="AN8787" s="500"/>
      <c r="AO8787" s="500"/>
      <c r="AP8787" s="500"/>
    </row>
    <row r="8788" spans="1:42" ht="16.5" customHeight="1">
      <c r="A8788" s="439"/>
      <c r="B8788" s="439"/>
      <c r="C8788" s="439"/>
      <c r="D8788" s="439"/>
      <c r="E8788" s="439"/>
      <c r="F8788" s="439"/>
      <c r="Z8788" s="500"/>
      <c r="AA8788" s="500"/>
      <c r="AB8788" s="500"/>
      <c r="AC8788" s="500"/>
      <c r="AD8788" s="500"/>
      <c r="AE8788" s="500"/>
      <c r="AF8788" s="500"/>
      <c r="AG8788" s="500"/>
      <c r="AH8788" s="500"/>
      <c r="AI8788" s="500"/>
      <c r="AJ8788" s="500"/>
      <c r="AK8788" s="500"/>
      <c r="AL8788" s="500"/>
      <c r="AM8788" s="500"/>
      <c r="AN8788" s="500"/>
      <c r="AO8788" s="500"/>
      <c r="AP8788" s="500"/>
    </row>
    <row r="8789" spans="1:42" ht="16.5" customHeight="1">
      <c r="A8789" s="439"/>
      <c r="B8789" s="439"/>
      <c r="C8789" s="439"/>
      <c r="D8789" s="439"/>
      <c r="E8789" s="439"/>
      <c r="F8789" s="439"/>
      <c r="Z8789" s="500"/>
      <c r="AA8789" s="500"/>
      <c r="AB8789" s="500"/>
      <c r="AC8789" s="500"/>
      <c r="AD8789" s="500"/>
      <c r="AE8789" s="500"/>
      <c r="AF8789" s="500"/>
      <c r="AG8789" s="500"/>
      <c r="AH8789" s="500"/>
      <c r="AI8789" s="500"/>
      <c r="AJ8789" s="500"/>
      <c r="AK8789" s="500"/>
      <c r="AL8789" s="500"/>
      <c r="AM8789" s="500"/>
      <c r="AN8789" s="500"/>
      <c r="AO8789" s="500"/>
      <c r="AP8789" s="500"/>
    </row>
    <row r="8790" spans="1:42" ht="16.5" customHeight="1">
      <c r="A8790" s="439"/>
      <c r="B8790" s="439"/>
      <c r="C8790" s="439"/>
      <c r="D8790" s="439"/>
      <c r="E8790" s="439"/>
      <c r="F8790" s="439"/>
      <c r="Z8790" s="500"/>
      <c r="AA8790" s="500"/>
      <c r="AB8790" s="500"/>
      <c r="AC8790" s="500"/>
      <c r="AD8790" s="500"/>
      <c r="AE8790" s="500"/>
      <c r="AF8790" s="500"/>
      <c r="AG8790" s="500"/>
      <c r="AH8790" s="500"/>
      <c r="AI8790" s="500"/>
      <c r="AJ8790" s="500"/>
      <c r="AK8790" s="500"/>
      <c r="AL8790" s="500"/>
      <c r="AM8790" s="500"/>
      <c r="AN8790" s="500"/>
      <c r="AO8790" s="500"/>
      <c r="AP8790" s="500"/>
    </row>
    <row r="8791" spans="1:42" ht="16.5" customHeight="1">
      <c r="A8791" s="439"/>
      <c r="B8791" s="439"/>
      <c r="C8791" s="439"/>
      <c r="D8791" s="439"/>
      <c r="E8791" s="439"/>
      <c r="F8791" s="439"/>
      <c r="Z8791" s="500"/>
      <c r="AA8791" s="500"/>
      <c r="AB8791" s="500"/>
      <c r="AC8791" s="500"/>
      <c r="AD8791" s="500"/>
      <c r="AE8791" s="500"/>
      <c r="AF8791" s="500"/>
      <c r="AG8791" s="500"/>
      <c r="AH8791" s="500"/>
      <c r="AI8791" s="500"/>
      <c r="AJ8791" s="500"/>
      <c r="AK8791" s="500"/>
      <c r="AL8791" s="500"/>
      <c r="AM8791" s="500"/>
      <c r="AN8791" s="500"/>
      <c r="AO8791" s="500"/>
      <c r="AP8791" s="500"/>
    </row>
    <row r="8792" spans="1:42" ht="16.5" customHeight="1">
      <c r="A8792" s="439"/>
      <c r="B8792" s="439"/>
      <c r="C8792" s="439"/>
      <c r="D8792" s="439"/>
      <c r="E8792" s="439"/>
      <c r="F8792" s="439"/>
      <c r="Z8792" s="500"/>
      <c r="AA8792" s="500"/>
      <c r="AB8792" s="500"/>
      <c r="AC8792" s="500"/>
      <c r="AD8792" s="500"/>
      <c r="AE8792" s="500"/>
      <c r="AF8792" s="500"/>
      <c r="AG8792" s="500"/>
      <c r="AH8792" s="500"/>
      <c r="AI8792" s="500"/>
      <c r="AJ8792" s="500"/>
      <c r="AK8792" s="500"/>
      <c r="AL8792" s="500"/>
      <c r="AM8792" s="500"/>
      <c r="AN8792" s="500"/>
      <c r="AO8792" s="500"/>
      <c r="AP8792" s="500"/>
    </row>
    <row r="8793" spans="1:42" ht="16.5" customHeight="1">
      <c r="A8793" s="439"/>
      <c r="B8793" s="439"/>
      <c r="C8793" s="439"/>
      <c r="D8793" s="439"/>
      <c r="E8793" s="439"/>
      <c r="F8793" s="439"/>
      <c r="Z8793" s="500"/>
      <c r="AA8793" s="500"/>
      <c r="AB8793" s="500"/>
      <c r="AC8793" s="500"/>
      <c r="AD8793" s="500"/>
      <c r="AE8793" s="500"/>
      <c r="AF8793" s="500"/>
      <c r="AG8793" s="500"/>
      <c r="AH8793" s="500"/>
      <c r="AI8793" s="500"/>
      <c r="AJ8793" s="500"/>
      <c r="AK8793" s="500"/>
      <c r="AL8793" s="500"/>
      <c r="AM8793" s="500"/>
      <c r="AN8793" s="500"/>
      <c r="AO8793" s="500"/>
      <c r="AP8793" s="500"/>
    </row>
    <row r="8794" spans="1:42" ht="16.5" customHeight="1">
      <c r="A8794" s="439"/>
      <c r="B8794" s="439"/>
      <c r="C8794" s="439"/>
      <c r="D8794" s="439"/>
      <c r="E8794" s="439"/>
      <c r="F8794" s="439"/>
      <c r="Z8794" s="500"/>
      <c r="AA8794" s="500"/>
      <c r="AB8794" s="500"/>
      <c r="AC8794" s="500"/>
      <c r="AD8794" s="500"/>
      <c r="AE8794" s="500"/>
      <c r="AF8794" s="500"/>
      <c r="AG8794" s="500"/>
      <c r="AH8794" s="500"/>
      <c r="AI8794" s="500"/>
      <c r="AJ8794" s="500"/>
      <c r="AK8794" s="500"/>
      <c r="AL8794" s="500"/>
      <c r="AM8794" s="500"/>
      <c r="AN8794" s="500"/>
      <c r="AO8794" s="500"/>
      <c r="AP8794" s="500"/>
    </row>
    <row r="8795" spans="1:42" ht="16.5" customHeight="1">
      <c r="A8795" s="439"/>
      <c r="B8795" s="439"/>
      <c r="C8795" s="439"/>
      <c r="D8795" s="439"/>
      <c r="E8795" s="439"/>
      <c r="F8795" s="439"/>
      <c r="Z8795" s="500"/>
      <c r="AA8795" s="500"/>
      <c r="AB8795" s="500"/>
      <c r="AC8795" s="500"/>
      <c r="AD8795" s="500"/>
      <c r="AE8795" s="500"/>
      <c r="AF8795" s="500"/>
      <c r="AG8795" s="500"/>
      <c r="AH8795" s="500"/>
      <c r="AI8795" s="500"/>
      <c r="AJ8795" s="500"/>
      <c r="AK8795" s="500"/>
      <c r="AL8795" s="500"/>
      <c r="AM8795" s="500"/>
      <c r="AN8795" s="500"/>
      <c r="AO8795" s="500"/>
      <c r="AP8795" s="500"/>
    </row>
    <row r="8796" spans="1:42" ht="16.5" customHeight="1">
      <c r="A8796" s="439"/>
      <c r="B8796" s="439"/>
      <c r="C8796" s="439"/>
      <c r="D8796" s="439"/>
      <c r="E8796" s="439"/>
      <c r="F8796" s="439"/>
      <c r="Z8796" s="500"/>
      <c r="AA8796" s="500"/>
      <c r="AB8796" s="500"/>
      <c r="AC8796" s="500"/>
      <c r="AD8796" s="500"/>
      <c r="AE8796" s="500"/>
      <c r="AF8796" s="500"/>
      <c r="AG8796" s="500"/>
      <c r="AH8796" s="500"/>
      <c r="AI8796" s="500"/>
      <c r="AJ8796" s="500"/>
      <c r="AK8796" s="500"/>
      <c r="AL8796" s="500"/>
      <c r="AM8796" s="500"/>
      <c r="AN8796" s="500"/>
      <c r="AO8796" s="500"/>
      <c r="AP8796" s="500"/>
    </row>
    <row r="8797" spans="1:42" ht="16.5" customHeight="1">
      <c r="A8797" s="439"/>
      <c r="B8797" s="439"/>
      <c r="C8797" s="439"/>
      <c r="D8797" s="439"/>
      <c r="E8797" s="439"/>
      <c r="F8797" s="439"/>
      <c r="Z8797" s="500"/>
      <c r="AA8797" s="500"/>
      <c r="AB8797" s="500"/>
      <c r="AC8797" s="500"/>
      <c r="AD8797" s="500"/>
      <c r="AE8797" s="500"/>
      <c r="AF8797" s="500"/>
      <c r="AG8797" s="500"/>
      <c r="AH8797" s="500"/>
      <c r="AI8797" s="500"/>
      <c r="AJ8797" s="500"/>
      <c r="AK8797" s="500"/>
      <c r="AL8797" s="500"/>
      <c r="AM8797" s="500"/>
      <c r="AN8797" s="500"/>
      <c r="AO8797" s="500"/>
      <c r="AP8797" s="500"/>
    </row>
    <row r="8798" spans="1:42" ht="16.5" customHeight="1">
      <c r="A8798" s="439"/>
      <c r="B8798" s="439"/>
      <c r="C8798" s="439"/>
      <c r="D8798" s="439"/>
      <c r="E8798" s="439"/>
      <c r="F8798" s="439"/>
      <c r="Z8798" s="500"/>
      <c r="AA8798" s="500"/>
      <c r="AB8798" s="500"/>
      <c r="AC8798" s="500"/>
      <c r="AD8798" s="500"/>
      <c r="AE8798" s="500"/>
      <c r="AF8798" s="500"/>
      <c r="AG8798" s="500"/>
      <c r="AH8798" s="500"/>
      <c r="AI8798" s="500"/>
      <c r="AJ8798" s="500"/>
      <c r="AK8798" s="500"/>
      <c r="AL8798" s="500"/>
      <c r="AM8798" s="500"/>
      <c r="AN8798" s="500"/>
      <c r="AO8798" s="500"/>
      <c r="AP8798" s="500"/>
    </row>
    <row r="8799" spans="1:42" ht="16.5" customHeight="1">
      <c r="A8799" s="439"/>
      <c r="B8799" s="439"/>
      <c r="C8799" s="439"/>
      <c r="D8799" s="439"/>
      <c r="E8799" s="439"/>
      <c r="F8799" s="439"/>
      <c r="Z8799" s="500"/>
      <c r="AA8799" s="500"/>
      <c r="AB8799" s="500"/>
      <c r="AC8799" s="500"/>
      <c r="AD8799" s="500"/>
      <c r="AE8799" s="500"/>
      <c r="AF8799" s="500"/>
      <c r="AG8799" s="500"/>
      <c r="AH8799" s="500"/>
      <c r="AI8799" s="500"/>
      <c r="AJ8799" s="500"/>
      <c r="AK8799" s="500"/>
      <c r="AL8799" s="500"/>
      <c r="AM8799" s="500"/>
      <c r="AN8799" s="500"/>
      <c r="AO8799" s="500"/>
      <c r="AP8799" s="500"/>
    </row>
    <row r="8800" spans="1:42" ht="16.5" customHeight="1">
      <c r="A8800" s="439"/>
      <c r="B8800" s="439"/>
      <c r="C8800" s="439"/>
      <c r="D8800" s="439"/>
      <c r="E8800" s="439"/>
      <c r="F8800" s="439"/>
      <c r="Z8800" s="500"/>
      <c r="AA8800" s="500"/>
      <c r="AB8800" s="500"/>
      <c r="AC8800" s="500"/>
      <c r="AD8800" s="500"/>
      <c r="AE8800" s="500"/>
      <c r="AF8800" s="500"/>
      <c r="AG8800" s="500"/>
      <c r="AH8800" s="500"/>
      <c r="AI8800" s="500"/>
      <c r="AJ8800" s="500"/>
      <c r="AK8800" s="500"/>
      <c r="AL8800" s="500"/>
      <c r="AM8800" s="500"/>
      <c r="AN8800" s="500"/>
      <c r="AO8800" s="500"/>
      <c r="AP8800" s="500"/>
    </row>
    <row r="8801" spans="1:42" ht="16.5" customHeight="1">
      <c r="A8801" s="439"/>
      <c r="B8801" s="439"/>
      <c r="C8801" s="439"/>
      <c r="D8801" s="439"/>
      <c r="E8801" s="439"/>
      <c r="F8801" s="439"/>
      <c r="Z8801" s="500"/>
      <c r="AA8801" s="500"/>
      <c r="AB8801" s="500"/>
      <c r="AC8801" s="500"/>
      <c r="AD8801" s="500"/>
      <c r="AE8801" s="500"/>
      <c r="AF8801" s="500"/>
      <c r="AG8801" s="500"/>
      <c r="AH8801" s="500"/>
      <c r="AI8801" s="500"/>
      <c r="AJ8801" s="500"/>
      <c r="AK8801" s="500"/>
      <c r="AL8801" s="500"/>
      <c r="AM8801" s="500"/>
      <c r="AN8801" s="500"/>
      <c r="AO8801" s="500"/>
      <c r="AP8801" s="500"/>
    </row>
    <row r="8802" spans="1:42" ht="16.5" customHeight="1">
      <c r="A8802" s="439"/>
      <c r="B8802" s="439"/>
      <c r="C8802" s="439"/>
      <c r="D8802" s="439"/>
      <c r="E8802" s="439"/>
      <c r="F8802" s="439"/>
      <c r="Z8802" s="500"/>
      <c r="AA8802" s="500"/>
      <c r="AB8802" s="500"/>
      <c r="AC8802" s="500"/>
      <c r="AD8802" s="500"/>
      <c r="AE8802" s="500"/>
      <c r="AF8802" s="500"/>
      <c r="AG8802" s="500"/>
      <c r="AH8802" s="500"/>
      <c r="AI8802" s="500"/>
      <c r="AJ8802" s="500"/>
      <c r="AK8802" s="500"/>
      <c r="AL8802" s="500"/>
      <c r="AM8802" s="500"/>
      <c r="AN8802" s="500"/>
      <c r="AO8802" s="500"/>
      <c r="AP8802" s="500"/>
    </row>
    <row r="8803" spans="1:42" ht="16.5" customHeight="1">
      <c r="A8803" s="497"/>
      <c r="B8803" s="497"/>
      <c r="C8803" s="497"/>
      <c r="D8803" s="497"/>
      <c r="E8803" s="497"/>
      <c r="F8803" s="497"/>
      <c r="Z8803" s="500"/>
      <c r="AA8803" s="500"/>
      <c r="AB8803" s="500"/>
      <c r="AC8803" s="500"/>
      <c r="AD8803" s="500"/>
      <c r="AE8803" s="500"/>
      <c r="AF8803" s="500"/>
      <c r="AG8803" s="500"/>
      <c r="AH8803" s="500"/>
      <c r="AI8803" s="500"/>
      <c r="AJ8803" s="500"/>
      <c r="AK8803" s="500"/>
      <c r="AL8803" s="500"/>
      <c r="AM8803" s="500"/>
      <c r="AN8803" s="500"/>
      <c r="AO8803" s="500"/>
      <c r="AP8803" s="500"/>
    </row>
    <row r="8804" spans="1:42" ht="16.5" customHeight="1">
      <c r="A8804" s="616" t="s">
        <v>4396</v>
      </c>
      <c r="B8804" s="605"/>
      <c r="C8804" s="446">
        <f>E8804+D8804+F8804</f>
        <v>14991</v>
      </c>
      <c r="D8804" s="464">
        <v>0</v>
      </c>
      <c r="E8804" s="465">
        <v>0</v>
      </c>
      <c r="F8804" s="446">
        <f>ROUNDDOWN(SUMIF(N8757:N8761,M8804,E8757:E8761),0)+ROUNDDOWN(SUMIF(N8757:N8761,M8804,D8757:D8761),0)+ROUNDDOWN(SUMIF(N8757:N8761,M8804,F8757:F8761),0)</f>
        <v>14991</v>
      </c>
      <c r="M8804" s="501" t="s">
        <v>2354</v>
      </c>
      <c r="Z8804" s="500"/>
      <c r="AA8804" s="500"/>
      <c r="AB8804" s="500"/>
      <c r="AC8804" s="500"/>
      <c r="AD8804" s="500"/>
      <c r="AE8804" s="500"/>
      <c r="AF8804" s="500"/>
      <c r="AG8804" s="500"/>
      <c r="AH8804" s="500"/>
      <c r="AI8804" s="500"/>
      <c r="AJ8804" s="500"/>
      <c r="AK8804" s="500"/>
      <c r="AL8804" s="500"/>
      <c r="AM8804" s="500"/>
      <c r="AN8804" s="500"/>
      <c r="AO8804" s="500"/>
      <c r="AP8804" s="500"/>
    </row>
    <row r="8805" spans="1:42" ht="16.5" customHeight="1">
      <c r="A8805" s="502"/>
      <c r="B8805" s="503" t="s">
        <v>2265</v>
      </c>
      <c r="C8805" s="615">
        <f>C8854</f>
        <v>62000</v>
      </c>
      <c r="D8805" s="615">
        <f>D8854</f>
        <v>0</v>
      </c>
      <c r="E8805" s="615">
        <f>E8854</f>
        <v>0</v>
      </c>
      <c r="F8805" s="615">
        <f>F8854</f>
        <v>62000</v>
      </c>
      <c r="G8805" s="486" t="str">
        <f>HYPERLINK("#G"&amp;ROW(G8811),"_x0005_`BDCOD|D01222_x0007_`POSS|"&amp;ROW(G8807)&amp;"_x0007_`POSE|"&amp;ROW(G8811)&amp;"_x0007_`")</f>
        <v>_x0005_`BDCOD|D01222_x0007_`POSS|8807_x0007_`POSE|8811_x0007_`</v>
      </c>
      <c r="Z8805" s="500"/>
      <c r="AA8805" s="500"/>
      <c r="AB8805" s="500"/>
      <c r="AC8805" s="500"/>
      <c r="AD8805" s="500"/>
      <c r="AE8805" s="500"/>
      <c r="AF8805" s="500"/>
      <c r="AG8805" s="500"/>
      <c r="AH8805" s="500"/>
      <c r="AI8805" s="500"/>
      <c r="AJ8805" s="500"/>
      <c r="AK8805" s="500"/>
      <c r="AL8805" s="500"/>
      <c r="AM8805" s="500"/>
      <c r="AN8805" s="500"/>
      <c r="AO8805" s="500"/>
      <c r="AP8805" s="500"/>
    </row>
    <row r="8806" spans="1:42" ht="16.5" customHeight="1">
      <c r="A8806" s="485"/>
      <c r="B8806" s="503" t="s">
        <v>4409</v>
      </c>
      <c r="C8806" s="593"/>
      <c r="D8806" s="593"/>
      <c r="E8806" s="593"/>
      <c r="F8806" s="593"/>
      <c r="M8806" s="501" t="s">
        <v>2265</v>
      </c>
      <c r="Z8806" s="500"/>
      <c r="AA8806" s="500"/>
      <c r="AB8806" s="500"/>
      <c r="AC8806" s="500"/>
      <c r="AD8806" s="500"/>
      <c r="AE8806" s="500"/>
      <c r="AF8806" s="500"/>
      <c r="AG8806" s="500"/>
      <c r="AH8806" s="500"/>
      <c r="AI8806" s="500"/>
      <c r="AJ8806" s="500"/>
      <c r="AK8806" s="500"/>
      <c r="AL8806" s="500"/>
      <c r="AM8806" s="500"/>
      <c r="AN8806" s="500"/>
      <c r="AO8806" s="500"/>
      <c r="AP8806" s="500"/>
    </row>
    <row r="8807" spans="1:42" ht="16.5" customHeight="1">
      <c r="A8807" s="439"/>
      <c r="B8807" s="439"/>
      <c r="C8807" s="504"/>
      <c r="D8807" s="504"/>
      <c r="E8807" s="504"/>
      <c r="F8807" s="504"/>
      <c r="G8807" s="451" t="s">
        <v>3406</v>
      </c>
      <c r="Z8807" s="500"/>
      <c r="AA8807" s="500"/>
      <c r="AB8807" s="500"/>
      <c r="AC8807" s="500"/>
      <c r="AD8807" s="500"/>
      <c r="AE8807" s="500"/>
      <c r="AF8807" s="500"/>
      <c r="AG8807" s="500"/>
      <c r="AH8807" s="500"/>
      <c r="AI8807" s="500"/>
      <c r="AJ8807" s="500"/>
      <c r="AK8807" s="500"/>
      <c r="AL8807" s="500"/>
      <c r="AM8807" s="500"/>
      <c r="AN8807" s="500"/>
      <c r="AO8807" s="500"/>
      <c r="AP8807" s="500"/>
    </row>
    <row r="8808" spans="1:42" ht="16.5" customHeight="1">
      <c r="A8808" s="434" t="s">
        <v>4410</v>
      </c>
      <c r="B8808" s="505" t="str">
        <f>" 폐기물 처리 : "&amp;TEXT(I8808,"#,##0"&amp;IF(I8808&lt;&gt;INT(I8808),".###",""))&amp;" * "&amp;AA8808&amp;" Ton  = "&amp;TEXT(C8808,"#,##0.0")&amp;""</f>
        <v xml:space="preserve"> 폐기물 처리 : 62,000 * 1 Ton  = 62,000.0</v>
      </c>
      <c r="C8808" s="506">
        <f>E8808+D8808+F8808</f>
        <v>62000</v>
      </c>
      <c r="D8808" s="506">
        <f>IF(H8808=0,0,ROUNDDOWN(J8808*H8808,1))</f>
        <v>0</v>
      </c>
      <c r="E8808" s="506">
        <f>IF(H8808=0,0,ROUNDDOWN(K8808*H8808,1))</f>
        <v>62000</v>
      </c>
      <c r="F8808" s="506">
        <f>IF(H8808=0,0,ROUNDDOWN(L8808*H8808,1))</f>
        <v>0</v>
      </c>
      <c r="G8808" s="451" t="s">
        <v>4411</v>
      </c>
      <c r="H8808" s="507">
        <f>ROUNDUP(AC8808,14-LEN(ABS(INT(AC8808))))</f>
        <v>1</v>
      </c>
      <c r="I8808" s="508">
        <f>K8808+J8808+L8808</f>
        <v>62000</v>
      </c>
      <c r="K8808" s="509">
        <f>재료비목록표!E106</f>
        <v>62000</v>
      </c>
      <c r="M8808" s="501" t="s">
        <v>4412</v>
      </c>
      <c r="N8808" s="501" t="s">
        <v>3421</v>
      </c>
      <c r="X8808" s="510" t="str">
        <f>재료비목록표!B106&amp;" / "&amp;재료비목록표!C106</f>
        <v>폐기물 처리 / 건설폐기물</v>
      </c>
      <c r="Y8808" s="433" t="str">
        <f ca="1">HYPERLINK("#"&amp;재료비목록표!G2&amp;"!A"&amp;ROW(재료비목록표!A106),"M08785 →")</f>
        <v>M08785 →</v>
      </c>
      <c r="Z8808" s="501" t="s">
        <v>3500</v>
      </c>
      <c r="AA8808" s="515">
        <v>1</v>
      </c>
      <c r="AB8808" s="501" t="s">
        <v>3418</v>
      </c>
      <c r="AC8808" s="512">
        <f>1*AA8808</f>
        <v>1</v>
      </c>
      <c r="AD8808" s="500"/>
      <c r="AE8808" s="500"/>
      <c r="AF8808" s="500"/>
      <c r="AG8808" s="500"/>
      <c r="AH8808" s="500"/>
      <c r="AI8808" s="500"/>
      <c r="AJ8808" s="500"/>
      <c r="AK8808" s="500"/>
      <c r="AL8808" s="500"/>
      <c r="AM8808" s="500"/>
      <c r="AN8808" s="500"/>
      <c r="AO8808" s="500"/>
      <c r="AP8808" s="500"/>
    </row>
    <row r="8809" spans="1:42" ht="16.5" customHeight="1">
      <c r="A8809" s="439"/>
      <c r="B8809" s="439"/>
      <c r="C8809" s="439"/>
      <c r="D8809" s="439"/>
      <c r="E8809" s="439"/>
      <c r="F8809" s="439"/>
      <c r="G8809" s="451" t="s">
        <v>3406</v>
      </c>
      <c r="Z8809" s="500"/>
      <c r="AA8809" s="500"/>
      <c r="AB8809" s="500"/>
      <c r="AC8809" s="500"/>
      <c r="AD8809" s="500"/>
      <c r="AE8809" s="500"/>
      <c r="AF8809" s="500"/>
      <c r="AG8809" s="500"/>
      <c r="AH8809" s="500"/>
      <c r="AI8809" s="500"/>
      <c r="AJ8809" s="500"/>
      <c r="AK8809" s="500"/>
      <c r="AL8809" s="500"/>
      <c r="AM8809" s="500"/>
      <c r="AN8809" s="500"/>
      <c r="AO8809" s="500"/>
      <c r="AP8809" s="500"/>
    </row>
    <row r="8810" spans="1:42" ht="16.5" customHeight="1">
      <c r="A8810" s="439"/>
      <c r="B8810" s="439"/>
      <c r="C8810" s="439"/>
      <c r="D8810" s="439"/>
      <c r="E8810" s="439"/>
      <c r="F8810" s="439"/>
      <c r="G8810" s="451" t="s">
        <v>3406</v>
      </c>
      <c r="Z8810" s="500"/>
      <c r="AA8810" s="500"/>
      <c r="AB8810" s="500"/>
      <c r="AC8810" s="500"/>
      <c r="AD8810" s="500"/>
      <c r="AE8810" s="500"/>
      <c r="AF8810" s="500"/>
      <c r="AG8810" s="500"/>
      <c r="AH8810" s="500"/>
      <c r="AI8810" s="500"/>
      <c r="AJ8810" s="500"/>
      <c r="AK8810" s="500"/>
      <c r="AL8810" s="500"/>
      <c r="AM8810" s="500"/>
      <c r="AN8810" s="500"/>
      <c r="AO8810" s="500"/>
      <c r="AP8810" s="500"/>
    </row>
    <row r="8811" spans="1:42" ht="16.5" customHeight="1">
      <c r="A8811" s="434"/>
      <c r="B8811" s="437" t="s">
        <v>3440</v>
      </c>
      <c r="C8811" s="513">
        <f>E8811+D8811+F8811</f>
        <v>62000</v>
      </c>
      <c r="D8811" s="513">
        <f>SUMIF(N8807:N8810,M8811,D8807:D8810)</f>
        <v>0</v>
      </c>
      <c r="E8811" s="513">
        <f>SUMIF(N8807:N8810,M8811,E8807:E8810)</f>
        <v>62000</v>
      </c>
      <c r="F8811" s="513">
        <f>SUMIF(N8807:N8810,M8811,F8807:F8810)</f>
        <v>0</v>
      </c>
      <c r="G8811" s="451" t="s">
        <v>3484</v>
      </c>
      <c r="M8811" s="501" t="s">
        <v>3421</v>
      </c>
      <c r="N8811" s="501" t="s">
        <v>2354</v>
      </c>
      <c r="Z8811" s="500"/>
      <c r="AA8811" s="500"/>
      <c r="AB8811" s="500"/>
      <c r="AC8811" s="500"/>
      <c r="AD8811" s="500"/>
      <c r="AE8811" s="500"/>
      <c r="AF8811" s="500"/>
      <c r="AG8811" s="500"/>
      <c r="AH8811" s="500"/>
      <c r="AI8811" s="500"/>
      <c r="AJ8811" s="500"/>
      <c r="AK8811" s="500"/>
      <c r="AL8811" s="500"/>
      <c r="AM8811" s="500"/>
      <c r="AN8811" s="500"/>
      <c r="AO8811" s="500"/>
      <c r="AP8811" s="500"/>
    </row>
    <row r="8812" spans="1:42" ht="16.5" customHeight="1">
      <c r="A8812" s="439"/>
      <c r="B8812" s="439"/>
      <c r="C8812" s="504"/>
      <c r="D8812" s="504"/>
      <c r="E8812" s="504"/>
      <c r="F8812" s="504"/>
      <c r="Z8812" s="500"/>
      <c r="AA8812" s="500"/>
      <c r="AB8812" s="500"/>
      <c r="AC8812" s="500"/>
      <c r="AD8812" s="500"/>
      <c r="AE8812" s="500"/>
      <c r="AF8812" s="500"/>
      <c r="AG8812" s="500"/>
      <c r="AH8812" s="500"/>
      <c r="AI8812" s="500"/>
      <c r="AJ8812" s="500"/>
      <c r="AK8812" s="500"/>
      <c r="AL8812" s="500"/>
      <c r="AM8812" s="500"/>
      <c r="AN8812" s="500"/>
      <c r="AO8812" s="500"/>
      <c r="AP8812" s="500"/>
    </row>
    <row r="8813" spans="1:42" ht="16.5" customHeight="1">
      <c r="A8813" s="439"/>
      <c r="B8813" s="439"/>
      <c r="C8813" s="439"/>
      <c r="D8813" s="439"/>
      <c r="E8813" s="439"/>
      <c r="F8813" s="439"/>
      <c r="Z8813" s="500"/>
      <c r="AA8813" s="500"/>
      <c r="AB8813" s="500"/>
      <c r="AC8813" s="500"/>
      <c r="AD8813" s="500"/>
      <c r="AE8813" s="500"/>
      <c r="AF8813" s="500"/>
      <c r="AG8813" s="500"/>
      <c r="AH8813" s="500"/>
      <c r="AI8813" s="500"/>
      <c r="AJ8813" s="500"/>
      <c r="AK8813" s="500"/>
      <c r="AL8813" s="500"/>
      <c r="AM8813" s="500"/>
      <c r="AN8813" s="500"/>
      <c r="AO8813" s="500"/>
      <c r="AP8813" s="500"/>
    </row>
    <row r="8814" spans="1:42" ht="16.5" customHeight="1">
      <c r="A8814" s="439"/>
      <c r="B8814" s="439"/>
      <c r="C8814" s="439"/>
      <c r="D8814" s="439"/>
      <c r="E8814" s="439"/>
      <c r="F8814" s="439"/>
      <c r="Z8814" s="500"/>
      <c r="AA8814" s="500"/>
      <c r="AB8814" s="500"/>
      <c r="AC8814" s="500"/>
      <c r="AD8814" s="500"/>
      <c r="AE8814" s="500"/>
      <c r="AF8814" s="500"/>
      <c r="AG8814" s="500"/>
      <c r="AH8814" s="500"/>
      <c r="AI8814" s="500"/>
      <c r="AJ8814" s="500"/>
      <c r="AK8814" s="500"/>
      <c r="AL8814" s="500"/>
      <c r="AM8814" s="500"/>
      <c r="AN8814" s="500"/>
      <c r="AO8814" s="500"/>
      <c r="AP8814" s="500"/>
    </row>
    <row r="8815" spans="1:42" ht="16.5" customHeight="1">
      <c r="A8815" s="439"/>
      <c r="B8815" s="439"/>
      <c r="C8815" s="439"/>
      <c r="D8815" s="439"/>
      <c r="E8815" s="439"/>
      <c r="F8815" s="439"/>
      <c r="Z8815" s="500"/>
      <c r="AA8815" s="500"/>
      <c r="AB8815" s="500"/>
      <c r="AC8815" s="500"/>
      <c r="AD8815" s="500"/>
      <c r="AE8815" s="500"/>
      <c r="AF8815" s="500"/>
      <c r="AG8815" s="500"/>
      <c r="AH8815" s="500"/>
      <c r="AI8815" s="500"/>
      <c r="AJ8815" s="500"/>
      <c r="AK8815" s="500"/>
      <c r="AL8815" s="500"/>
      <c r="AM8815" s="500"/>
      <c r="AN8815" s="500"/>
      <c r="AO8815" s="500"/>
      <c r="AP8815" s="500"/>
    </row>
    <row r="8816" spans="1:42" ht="16.5" customHeight="1">
      <c r="A8816" s="439"/>
      <c r="B8816" s="439"/>
      <c r="C8816" s="439"/>
      <c r="D8816" s="439"/>
      <c r="E8816" s="439"/>
      <c r="F8816" s="439"/>
      <c r="Z8816" s="500"/>
      <c r="AA8816" s="500"/>
      <c r="AB8816" s="500"/>
      <c r="AC8816" s="500"/>
      <c r="AD8816" s="500"/>
      <c r="AE8816" s="500"/>
      <c r="AF8816" s="500"/>
      <c r="AG8816" s="500"/>
      <c r="AH8816" s="500"/>
      <c r="AI8816" s="500"/>
      <c r="AJ8816" s="500"/>
      <c r="AK8816" s="500"/>
      <c r="AL8816" s="500"/>
      <c r="AM8816" s="500"/>
      <c r="AN8816" s="500"/>
      <c r="AO8816" s="500"/>
      <c r="AP8816" s="500"/>
    </row>
    <row r="8817" spans="1:42" ht="16.5" customHeight="1">
      <c r="A8817" s="439"/>
      <c r="B8817" s="439"/>
      <c r="C8817" s="439"/>
      <c r="D8817" s="439"/>
      <c r="E8817" s="439"/>
      <c r="F8817" s="439"/>
      <c r="Z8817" s="500"/>
      <c r="AA8817" s="500"/>
      <c r="AB8817" s="500"/>
      <c r="AC8817" s="500"/>
      <c r="AD8817" s="500"/>
      <c r="AE8817" s="500"/>
      <c r="AF8817" s="500"/>
      <c r="AG8817" s="500"/>
      <c r="AH8817" s="500"/>
      <c r="AI8817" s="500"/>
      <c r="AJ8817" s="500"/>
      <c r="AK8817" s="500"/>
      <c r="AL8817" s="500"/>
      <c r="AM8817" s="500"/>
      <c r="AN8817" s="500"/>
      <c r="AO8817" s="500"/>
      <c r="AP8817" s="500"/>
    </row>
    <row r="8818" spans="1:42" ht="16.5" customHeight="1">
      <c r="A8818" s="439"/>
      <c r="B8818" s="439"/>
      <c r="C8818" s="439"/>
      <c r="D8818" s="439"/>
      <c r="E8818" s="439"/>
      <c r="F8818" s="439"/>
      <c r="Z8818" s="500"/>
      <c r="AA8818" s="500"/>
      <c r="AB8818" s="500"/>
      <c r="AC8818" s="500"/>
      <c r="AD8818" s="500"/>
      <c r="AE8818" s="500"/>
      <c r="AF8818" s="500"/>
      <c r="AG8818" s="500"/>
      <c r="AH8818" s="500"/>
      <c r="AI8818" s="500"/>
      <c r="AJ8818" s="500"/>
      <c r="AK8818" s="500"/>
      <c r="AL8818" s="500"/>
      <c r="AM8818" s="500"/>
      <c r="AN8818" s="500"/>
      <c r="AO8818" s="500"/>
      <c r="AP8818" s="500"/>
    </row>
    <row r="8819" spans="1:42" ht="16.5" customHeight="1">
      <c r="A8819" s="439"/>
      <c r="B8819" s="439"/>
      <c r="C8819" s="439"/>
      <c r="D8819" s="439"/>
      <c r="E8819" s="439"/>
      <c r="F8819" s="439"/>
      <c r="Z8819" s="500"/>
      <c r="AA8819" s="500"/>
      <c r="AB8819" s="500"/>
      <c r="AC8819" s="500"/>
      <c r="AD8819" s="500"/>
      <c r="AE8819" s="500"/>
      <c r="AF8819" s="500"/>
      <c r="AG8819" s="500"/>
      <c r="AH8819" s="500"/>
      <c r="AI8819" s="500"/>
      <c r="AJ8819" s="500"/>
      <c r="AK8819" s="500"/>
      <c r="AL8819" s="500"/>
      <c r="AM8819" s="500"/>
      <c r="AN8819" s="500"/>
      <c r="AO8819" s="500"/>
      <c r="AP8819" s="500"/>
    </row>
    <row r="8820" spans="1:42" ht="16.5" customHeight="1">
      <c r="A8820" s="439"/>
      <c r="B8820" s="439"/>
      <c r="C8820" s="439"/>
      <c r="D8820" s="439"/>
      <c r="E8820" s="439"/>
      <c r="F8820" s="439"/>
      <c r="Z8820" s="500"/>
      <c r="AA8820" s="500"/>
      <c r="AB8820" s="500"/>
      <c r="AC8820" s="500"/>
      <c r="AD8820" s="500"/>
      <c r="AE8820" s="500"/>
      <c r="AF8820" s="500"/>
      <c r="AG8820" s="500"/>
      <c r="AH8820" s="500"/>
      <c r="AI8820" s="500"/>
      <c r="AJ8820" s="500"/>
      <c r="AK8820" s="500"/>
      <c r="AL8820" s="500"/>
      <c r="AM8820" s="500"/>
      <c r="AN8820" s="500"/>
      <c r="AO8820" s="500"/>
      <c r="AP8820" s="500"/>
    </row>
    <row r="8821" spans="1:42" ht="16.5" customHeight="1">
      <c r="A8821" s="439"/>
      <c r="B8821" s="439"/>
      <c r="C8821" s="439"/>
      <c r="D8821" s="439"/>
      <c r="E8821" s="439"/>
      <c r="F8821" s="439"/>
      <c r="Z8821" s="500"/>
      <c r="AA8821" s="500"/>
      <c r="AB8821" s="500"/>
      <c r="AC8821" s="500"/>
      <c r="AD8821" s="500"/>
      <c r="AE8821" s="500"/>
      <c r="AF8821" s="500"/>
      <c r="AG8821" s="500"/>
      <c r="AH8821" s="500"/>
      <c r="AI8821" s="500"/>
      <c r="AJ8821" s="500"/>
      <c r="AK8821" s="500"/>
      <c r="AL8821" s="500"/>
      <c r="AM8821" s="500"/>
      <c r="AN8821" s="500"/>
      <c r="AO8821" s="500"/>
      <c r="AP8821" s="500"/>
    </row>
    <row r="8822" spans="1:42" ht="16.5" customHeight="1">
      <c r="A8822" s="439"/>
      <c r="B8822" s="439"/>
      <c r="C8822" s="439"/>
      <c r="D8822" s="439"/>
      <c r="E8822" s="439"/>
      <c r="F8822" s="439"/>
      <c r="Z8822" s="500"/>
      <c r="AA8822" s="500"/>
      <c r="AB8822" s="500"/>
      <c r="AC8822" s="500"/>
      <c r="AD8822" s="500"/>
      <c r="AE8822" s="500"/>
      <c r="AF8822" s="500"/>
      <c r="AG8822" s="500"/>
      <c r="AH8822" s="500"/>
      <c r="AI8822" s="500"/>
      <c r="AJ8822" s="500"/>
      <c r="AK8822" s="500"/>
      <c r="AL8822" s="500"/>
      <c r="AM8822" s="500"/>
      <c r="AN8822" s="500"/>
      <c r="AO8822" s="500"/>
      <c r="AP8822" s="500"/>
    </row>
    <row r="8823" spans="1:42" ht="16.5" customHeight="1">
      <c r="A8823" s="439"/>
      <c r="B8823" s="439"/>
      <c r="C8823" s="439"/>
      <c r="D8823" s="439"/>
      <c r="E8823" s="439"/>
      <c r="F8823" s="439"/>
      <c r="Z8823" s="500"/>
      <c r="AA8823" s="500"/>
      <c r="AB8823" s="500"/>
      <c r="AC8823" s="500"/>
      <c r="AD8823" s="500"/>
      <c r="AE8823" s="500"/>
      <c r="AF8823" s="500"/>
      <c r="AG8823" s="500"/>
      <c r="AH8823" s="500"/>
      <c r="AI8823" s="500"/>
      <c r="AJ8823" s="500"/>
      <c r="AK8823" s="500"/>
      <c r="AL8823" s="500"/>
      <c r="AM8823" s="500"/>
      <c r="AN8823" s="500"/>
      <c r="AO8823" s="500"/>
      <c r="AP8823" s="500"/>
    </row>
    <row r="8824" spans="1:42" ht="16.5" customHeight="1">
      <c r="A8824" s="439"/>
      <c r="B8824" s="439"/>
      <c r="C8824" s="439"/>
      <c r="D8824" s="439"/>
      <c r="E8824" s="439"/>
      <c r="F8824" s="439"/>
      <c r="Z8824" s="500"/>
      <c r="AA8824" s="500"/>
      <c r="AB8824" s="500"/>
      <c r="AC8824" s="500"/>
      <c r="AD8824" s="500"/>
      <c r="AE8824" s="500"/>
      <c r="AF8824" s="500"/>
      <c r="AG8824" s="500"/>
      <c r="AH8824" s="500"/>
      <c r="AI8824" s="500"/>
      <c r="AJ8824" s="500"/>
      <c r="AK8824" s="500"/>
      <c r="AL8824" s="500"/>
      <c r="AM8824" s="500"/>
      <c r="AN8824" s="500"/>
      <c r="AO8824" s="500"/>
      <c r="AP8824" s="500"/>
    </row>
    <row r="8825" spans="1:42" ht="16.5" customHeight="1">
      <c r="A8825" s="439"/>
      <c r="B8825" s="439"/>
      <c r="C8825" s="439"/>
      <c r="D8825" s="439"/>
      <c r="E8825" s="439"/>
      <c r="F8825" s="439"/>
      <c r="Z8825" s="500"/>
      <c r="AA8825" s="500"/>
      <c r="AB8825" s="500"/>
      <c r="AC8825" s="500"/>
      <c r="AD8825" s="500"/>
      <c r="AE8825" s="500"/>
      <c r="AF8825" s="500"/>
      <c r="AG8825" s="500"/>
      <c r="AH8825" s="500"/>
      <c r="AI8825" s="500"/>
      <c r="AJ8825" s="500"/>
      <c r="AK8825" s="500"/>
      <c r="AL8825" s="500"/>
      <c r="AM8825" s="500"/>
      <c r="AN8825" s="500"/>
      <c r="AO8825" s="500"/>
      <c r="AP8825" s="500"/>
    </row>
    <row r="8826" spans="1:42" ht="16.5" customHeight="1">
      <c r="A8826" s="439"/>
      <c r="B8826" s="439"/>
      <c r="C8826" s="439"/>
      <c r="D8826" s="439"/>
      <c r="E8826" s="439"/>
      <c r="F8826" s="439"/>
      <c r="Z8826" s="500"/>
      <c r="AA8826" s="500"/>
      <c r="AB8826" s="500"/>
      <c r="AC8826" s="500"/>
      <c r="AD8826" s="500"/>
      <c r="AE8826" s="500"/>
      <c r="AF8826" s="500"/>
      <c r="AG8826" s="500"/>
      <c r="AH8826" s="500"/>
      <c r="AI8826" s="500"/>
      <c r="AJ8826" s="500"/>
      <c r="AK8826" s="500"/>
      <c r="AL8826" s="500"/>
      <c r="AM8826" s="500"/>
      <c r="AN8826" s="500"/>
      <c r="AO8826" s="500"/>
      <c r="AP8826" s="500"/>
    </row>
    <row r="8827" spans="1:42" ht="16.5" customHeight="1">
      <c r="A8827" s="439"/>
      <c r="B8827" s="439"/>
      <c r="C8827" s="439"/>
      <c r="D8827" s="439"/>
      <c r="E8827" s="439"/>
      <c r="F8827" s="439"/>
      <c r="Z8827" s="500"/>
      <c r="AA8827" s="500"/>
      <c r="AB8827" s="500"/>
      <c r="AC8827" s="500"/>
      <c r="AD8827" s="500"/>
      <c r="AE8827" s="500"/>
      <c r="AF8827" s="500"/>
      <c r="AG8827" s="500"/>
      <c r="AH8827" s="500"/>
      <c r="AI8827" s="500"/>
      <c r="AJ8827" s="500"/>
      <c r="AK8827" s="500"/>
      <c r="AL8827" s="500"/>
      <c r="AM8827" s="500"/>
      <c r="AN8827" s="500"/>
      <c r="AO8827" s="500"/>
      <c r="AP8827" s="500"/>
    </row>
    <row r="8828" spans="1:42" ht="16.5" customHeight="1">
      <c r="A8828" s="439"/>
      <c r="B8828" s="439"/>
      <c r="C8828" s="439"/>
      <c r="D8828" s="439"/>
      <c r="E8828" s="439"/>
      <c r="F8828" s="439"/>
      <c r="Z8828" s="500"/>
      <c r="AA8828" s="500"/>
      <c r="AB8828" s="500"/>
      <c r="AC8828" s="500"/>
      <c r="AD8828" s="500"/>
      <c r="AE8828" s="500"/>
      <c r="AF8828" s="500"/>
      <c r="AG8828" s="500"/>
      <c r="AH8828" s="500"/>
      <c r="AI8828" s="500"/>
      <c r="AJ8828" s="500"/>
      <c r="AK8828" s="500"/>
      <c r="AL8828" s="500"/>
      <c r="AM8828" s="500"/>
      <c r="AN8828" s="500"/>
      <c r="AO8828" s="500"/>
      <c r="AP8828" s="500"/>
    </row>
    <row r="8829" spans="1:42" ht="16.5" customHeight="1">
      <c r="A8829" s="439"/>
      <c r="B8829" s="439"/>
      <c r="C8829" s="439"/>
      <c r="D8829" s="439"/>
      <c r="E8829" s="439"/>
      <c r="F8829" s="439"/>
      <c r="Z8829" s="500"/>
      <c r="AA8829" s="500"/>
      <c r="AB8829" s="500"/>
      <c r="AC8829" s="500"/>
      <c r="AD8829" s="500"/>
      <c r="AE8829" s="500"/>
      <c r="AF8829" s="500"/>
      <c r="AG8829" s="500"/>
      <c r="AH8829" s="500"/>
      <c r="AI8829" s="500"/>
      <c r="AJ8829" s="500"/>
      <c r="AK8829" s="500"/>
      <c r="AL8829" s="500"/>
      <c r="AM8829" s="500"/>
      <c r="AN8829" s="500"/>
      <c r="AO8829" s="500"/>
      <c r="AP8829" s="500"/>
    </row>
    <row r="8830" spans="1:42" ht="16.5" customHeight="1">
      <c r="A8830" s="439"/>
      <c r="B8830" s="439"/>
      <c r="C8830" s="439"/>
      <c r="D8830" s="439"/>
      <c r="E8830" s="439"/>
      <c r="F8830" s="439"/>
      <c r="Z8830" s="500"/>
      <c r="AA8830" s="500"/>
      <c r="AB8830" s="500"/>
      <c r="AC8830" s="500"/>
      <c r="AD8830" s="500"/>
      <c r="AE8830" s="500"/>
      <c r="AF8830" s="500"/>
      <c r="AG8830" s="500"/>
      <c r="AH8830" s="500"/>
      <c r="AI8830" s="500"/>
      <c r="AJ8830" s="500"/>
      <c r="AK8830" s="500"/>
      <c r="AL8830" s="500"/>
      <c r="AM8830" s="500"/>
      <c r="AN8830" s="500"/>
      <c r="AO8830" s="500"/>
      <c r="AP8830" s="500"/>
    </row>
    <row r="8831" spans="1:42" ht="16.5" customHeight="1">
      <c r="A8831" s="439"/>
      <c r="B8831" s="439"/>
      <c r="C8831" s="439"/>
      <c r="D8831" s="439"/>
      <c r="E8831" s="439"/>
      <c r="F8831" s="439"/>
      <c r="Z8831" s="500"/>
      <c r="AA8831" s="500"/>
      <c r="AB8831" s="500"/>
      <c r="AC8831" s="500"/>
      <c r="AD8831" s="500"/>
      <c r="AE8831" s="500"/>
      <c r="AF8831" s="500"/>
      <c r="AG8831" s="500"/>
      <c r="AH8831" s="500"/>
      <c r="AI8831" s="500"/>
      <c r="AJ8831" s="500"/>
      <c r="AK8831" s="500"/>
      <c r="AL8831" s="500"/>
      <c r="AM8831" s="500"/>
      <c r="AN8831" s="500"/>
      <c r="AO8831" s="500"/>
      <c r="AP8831" s="500"/>
    </row>
    <row r="8832" spans="1:42" ht="16.5" customHeight="1">
      <c r="A8832" s="439"/>
      <c r="B8832" s="439"/>
      <c r="C8832" s="439"/>
      <c r="D8832" s="439"/>
      <c r="E8832" s="439"/>
      <c r="F8832" s="439"/>
      <c r="Z8832" s="500"/>
      <c r="AA8832" s="500"/>
      <c r="AB8832" s="500"/>
      <c r="AC8832" s="500"/>
      <c r="AD8832" s="500"/>
      <c r="AE8832" s="500"/>
      <c r="AF8832" s="500"/>
      <c r="AG8832" s="500"/>
      <c r="AH8832" s="500"/>
      <c r="AI8832" s="500"/>
      <c r="AJ8832" s="500"/>
      <c r="AK8832" s="500"/>
      <c r="AL8832" s="500"/>
      <c r="AM8832" s="500"/>
      <c r="AN8832" s="500"/>
      <c r="AO8832" s="500"/>
      <c r="AP8832" s="500"/>
    </row>
    <row r="8833" spans="1:42" ht="16.5" customHeight="1">
      <c r="A8833" s="439"/>
      <c r="B8833" s="439"/>
      <c r="C8833" s="439"/>
      <c r="D8833" s="439"/>
      <c r="E8833" s="439"/>
      <c r="F8833" s="439"/>
      <c r="Z8833" s="500"/>
      <c r="AA8833" s="500"/>
      <c r="AB8833" s="500"/>
      <c r="AC8833" s="500"/>
      <c r="AD8833" s="500"/>
      <c r="AE8833" s="500"/>
      <c r="AF8833" s="500"/>
      <c r="AG8833" s="500"/>
      <c r="AH8833" s="500"/>
      <c r="AI8833" s="500"/>
      <c r="AJ8833" s="500"/>
      <c r="AK8833" s="500"/>
      <c r="AL8833" s="500"/>
      <c r="AM8833" s="500"/>
      <c r="AN8833" s="500"/>
      <c r="AO8833" s="500"/>
      <c r="AP8833" s="500"/>
    </row>
    <row r="8834" spans="1:42" ht="16.5" customHeight="1">
      <c r="A8834" s="439"/>
      <c r="B8834" s="439"/>
      <c r="C8834" s="439"/>
      <c r="D8834" s="439"/>
      <c r="E8834" s="439"/>
      <c r="F8834" s="439"/>
      <c r="Z8834" s="500"/>
      <c r="AA8834" s="500"/>
      <c r="AB8834" s="500"/>
      <c r="AC8834" s="500"/>
      <c r="AD8834" s="500"/>
      <c r="AE8834" s="500"/>
      <c r="AF8834" s="500"/>
      <c r="AG8834" s="500"/>
      <c r="AH8834" s="500"/>
      <c r="AI8834" s="500"/>
      <c r="AJ8834" s="500"/>
      <c r="AK8834" s="500"/>
      <c r="AL8834" s="500"/>
      <c r="AM8834" s="500"/>
      <c r="AN8834" s="500"/>
      <c r="AO8834" s="500"/>
      <c r="AP8834" s="500"/>
    </row>
    <row r="8835" spans="1:42" ht="16.5" customHeight="1">
      <c r="A8835" s="439"/>
      <c r="B8835" s="439"/>
      <c r="C8835" s="439"/>
      <c r="D8835" s="439"/>
      <c r="E8835" s="439"/>
      <c r="F8835" s="439"/>
      <c r="Z8835" s="500"/>
      <c r="AA8835" s="500"/>
      <c r="AB8835" s="500"/>
      <c r="AC8835" s="500"/>
      <c r="AD8835" s="500"/>
      <c r="AE8835" s="500"/>
      <c r="AF8835" s="500"/>
      <c r="AG8835" s="500"/>
      <c r="AH8835" s="500"/>
      <c r="AI8835" s="500"/>
      <c r="AJ8835" s="500"/>
      <c r="AK8835" s="500"/>
      <c r="AL8835" s="500"/>
      <c r="AM8835" s="500"/>
      <c r="AN8835" s="500"/>
      <c r="AO8835" s="500"/>
      <c r="AP8835" s="500"/>
    </row>
    <row r="8836" spans="1:42" ht="16.5" customHeight="1">
      <c r="A8836" s="439"/>
      <c r="B8836" s="439"/>
      <c r="C8836" s="439"/>
      <c r="D8836" s="439"/>
      <c r="E8836" s="439"/>
      <c r="F8836" s="439"/>
      <c r="Z8836" s="500"/>
      <c r="AA8836" s="500"/>
      <c r="AB8836" s="500"/>
      <c r="AC8836" s="500"/>
      <c r="AD8836" s="500"/>
      <c r="AE8836" s="500"/>
      <c r="AF8836" s="500"/>
      <c r="AG8836" s="500"/>
      <c r="AH8836" s="500"/>
      <c r="AI8836" s="500"/>
      <c r="AJ8836" s="500"/>
      <c r="AK8836" s="500"/>
      <c r="AL8836" s="500"/>
      <c r="AM8836" s="500"/>
      <c r="AN8836" s="500"/>
      <c r="AO8836" s="500"/>
      <c r="AP8836" s="500"/>
    </row>
    <row r="8837" spans="1:42" ht="16.5" customHeight="1">
      <c r="A8837" s="439"/>
      <c r="B8837" s="439"/>
      <c r="C8837" s="439"/>
      <c r="D8837" s="439"/>
      <c r="E8837" s="439"/>
      <c r="F8837" s="439"/>
      <c r="Z8837" s="500"/>
      <c r="AA8837" s="500"/>
      <c r="AB8837" s="500"/>
      <c r="AC8837" s="500"/>
      <c r="AD8837" s="500"/>
      <c r="AE8837" s="500"/>
      <c r="AF8837" s="500"/>
      <c r="AG8837" s="500"/>
      <c r="AH8837" s="500"/>
      <c r="AI8837" s="500"/>
      <c r="AJ8837" s="500"/>
      <c r="AK8837" s="500"/>
      <c r="AL8837" s="500"/>
      <c r="AM8837" s="500"/>
      <c r="AN8837" s="500"/>
      <c r="AO8837" s="500"/>
      <c r="AP8837" s="500"/>
    </row>
    <row r="8838" spans="1:42" ht="16.5" customHeight="1">
      <c r="A8838" s="439"/>
      <c r="B8838" s="439"/>
      <c r="C8838" s="439"/>
      <c r="D8838" s="439"/>
      <c r="E8838" s="439"/>
      <c r="F8838" s="439"/>
      <c r="Z8838" s="500"/>
      <c r="AA8838" s="500"/>
      <c r="AB8838" s="500"/>
      <c r="AC8838" s="500"/>
      <c r="AD8838" s="500"/>
      <c r="AE8838" s="500"/>
      <c r="AF8838" s="500"/>
      <c r="AG8838" s="500"/>
      <c r="AH8838" s="500"/>
      <c r="AI8838" s="500"/>
      <c r="AJ8838" s="500"/>
      <c r="AK8838" s="500"/>
      <c r="AL8838" s="500"/>
      <c r="AM8838" s="500"/>
      <c r="AN8838" s="500"/>
      <c r="AO8838" s="500"/>
      <c r="AP8838" s="500"/>
    </row>
    <row r="8839" spans="1:42" ht="16.5" customHeight="1">
      <c r="A8839" s="439"/>
      <c r="B8839" s="439"/>
      <c r="C8839" s="439"/>
      <c r="D8839" s="439"/>
      <c r="E8839" s="439"/>
      <c r="F8839" s="439"/>
      <c r="Z8839" s="500"/>
      <c r="AA8839" s="500"/>
      <c r="AB8839" s="500"/>
      <c r="AC8839" s="500"/>
      <c r="AD8839" s="500"/>
      <c r="AE8839" s="500"/>
      <c r="AF8839" s="500"/>
      <c r="AG8839" s="500"/>
      <c r="AH8839" s="500"/>
      <c r="AI8839" s="500"/>
      <c r="AJ8839" s="500"/>
      <c r="AK8839" s="500"/>
      <c r="AL8839" s="500"/>
      <c r="AM8839" s="500"/>
      <c r="AN8839" s="500"/>
      <c r="AO8839" s="500"/>
      <c r="AP8839" s="500"/>
    </row>
    <row r="8840" spans="1:42" ht="16.5" customHeight="1">
      <c r="A8840" s="439"/>
      <c r="B8840" s="439"/>
      <c r="C8840" s="439"/>
      <c r="D8840" s="439"/>
      <c r="E8840" s="439"/>
      <c r="F8840" s="439"/>
      <c r="Z8840" s="500"/>
      <c r="AA8840" s="500"/>
      <c r="AB8840" s="500"/>
      <c r="AC8840" s="500"/>
      <c r="AD8840" s="500"/>
      <c r="AE8840" s="500"/>
      <c r="AF8840" s="500"/>
      <c r="AG8840" s="500"/>
      <c r="AH8840" s="500"/>
      <c r="AI8840" s="500"/>
      <c r="AJ8840" s="500"/>
      <c r="AK8840" s="500"/>
      <c r="AL8840" s="500"/>
      <c r="AM8840" s="500"/>
      <c r="AN8840" s="500"/>
      <c r="AO8840" s="500"/>
      <c r="AP8840" s="500"/>
    </row>
    <row r="8841" spans="1:42" ht="16.5" customHeight="1">
      <c r="A8841" s="439"/>
      <c r="B8841" s="439"/>
      <c r="C8841" s="439"/>
      <c r="D8841" s="439"/>
      <c r="E8841" s="439"/>
      <c r="F8841" s="439"/>
      <c r="Z8841" s="500"/>
      <c r="AA8841" s="500"/>
      <c r="AB8841" s="500"/>
      <c r="AC8841" s="500"/>
      <c r="AD8841" s="500"/>
      <c r="AE8841" s="500"/>
      <c r="AF8841" s="500"/>
      <c r="AG8841" s="500"/>
      <c r="AH8841" s="500"/>
      <c r="AI8841" s="500"/>
      <c r="AJ8841" s="500"/>
      <c r="AK8841" s="500"/>
      <c r="AL8841" s="500"/>
      <c r="AM8841" s="500"/>
      <c r="AN8841" s="500"/>
      <c r="AO8841" s="500"/>
      <c r="AP8841" s="500"/>
    </row>
    <row r="8842" spans="1:42" ht="16.5" customHeight="1">
      <c r="A8842" s="439"/>
      <c r="B8842" s="439"/>
      <c r="C8842" s="439"/>
      <c r="D8842" s="439"/>
      <c r="E8842" s="439"/>
      <c r="F8842" s="439"/>
      <c r="Z8842" s="500"/>
      <c r="AA8842" s="500"/>
      <c r="AB8842" s="500"/>
      <c r="AC8842" s="500"/>
      <c r="AD8842" s="500"/>
      <c r="AE8842" s="500"/>
      <c r="AF8842" s="500"/>
      <c r="AG8842" s="500"/>
      <c r="AH8842" s="500"/>
      <c r="AI8842" s="500"/>
      <c r="AJ8842" s="500"/>
      <c r="AK8842" s="500"/>
      <c r="AL8842" s="500"/>
      <c r="AM8842" s="500"/>
      <c r="AN8842" s="500"/>
      <c r="AO8842" s="500"/>
      <c r="AP8842" s="500"/>
    </row>
    <row r="8843" spans="1:42" ht="16.5" customHeight="1">
      <c r="A8843" s="439"/>
      <c r="B8843" s="439"/>
      <c r="C8843" s="439"/>
      <c r="D8843" s="439"/>
      <c r="E8843" s="439"/>
      <c r="F8843" s="439"/>
      <c r="Z8843" s="500"/>
      <c r="AA8843" s="500"/>
      <c r="AB8843" s="500"/>
      <c r="AC8843" s="500"/>
      <c r="AD8843" s="500"/>
      <c r="AE8843" s="500"/>
      <c r="AF8843" s="500"/>
      <c r="AG8843" s="500"/>
      <c r="AH8843" s="500"/>
      <c r="AI8843" s="500"/>
      <c r="AJ8843" s="500"/>
      <c r="AK8843" s="500"/>
      <c r="AL8843" s="500"/>
      <c r="AM8843" s="500"/>
      <c r="AN8843" s="500"/>
      <c r="AO8843" s="500"/>
      <c r="AP8843" s="500"/>
    </row>
    <row r="8844" spans="1:42" ht="16.5" customHeight="1">
      <c r="A8844" s="439"/>
      <c r="B8844" s="439"/>
      <c r="C8844" s="439"/>
      <c r="D8844" s="439"/>
      <c r="E8844" s="439"/>
      <c r="F8844" s="439"/>
      <c r="Z8844" s="500"/>
      <c r="AA8844" s="500"/>
      <c r="AB8844" s="500"/>
      <c r="AC8844" s="500"/>
      <c r="AD8844" s="500"/>
      <c r="AE8844" s="500"/>
      <c r="AF8844" s="500"/>
      <c r="AG8844" s="500"/>
      <c r="AH8844" s="500"/>
      <c r="AI8844" s="500"/>
      <c r="AJ8844" s="500"/>
      <c r="AK8844" s="500"/>
      <c r="AL8844" s="500"/>
      <c r="AM8844" s="500"/>
      <c r="AN8844" s="500"/>
      <c r="AO8844" s="500"/>
      <c r="AP8844" s="500"/>
    </row>
    <row r="8845" spans="1:42" ht="16.5" customHeight="1">
      <c r="A8845" s="439"/>
      <c r="B8845" s="439"/>
      <c r="C8845" s="439"/>
      <c r="D8845" s="439"/>
      <c r="E8845" s="439"/>
      <c r="F8845" s="439"/>
      <c r="Z8845" s="500"/>
      <c r="AA8845" s="500"/>
      <c r="AB8845" s="500"/>
      <c r="AC8845" s="500"/>
      <c r="AD8845" s="500"/>
      <c r="AE8845" s="500"/>
      <c r="AF8845" s="500"/>
      <c r="AG8845" s="500"/>
      <c r="AH8845" s="500"/>
      <c r="AI8845" s="500"/>
      <c r="AJ8845" s="500"/>
      <c r="AK8845" s="500"/>
      <c r="AL8845" s="500"/>
      <c r="AM8845" s="500"/>
      <c r="AN8845" s="500"/>
      <c r="AO8845" s="500"/>
      <c r="AP8845" s="500"/>
    </row>
    <row r="8846" spans="1:42" ht="16.5" customHeight="1">
      <c r="A8846" s="439"/>
      <c r="B8846" s="439"/>
      <c r="C8846" s="439"/>
      <c r="D8846" s="439"/>
      <c r="E8846" s="439"/>
      <c r="F8846" s="439"/>
      <c r="Z8846" s="500"/>
      <c r="AA8846" s="500"/>
      <c r="AB8846" s="500"/>
      <c r="AC8846" s="500"/>
      <c r="AD8846" s="500"/>
      <c r="AE8846" s="500"/>
      <c r="AF8846" s="500"/>
      <c r="AG8846" s="500"/>
      <c r="AH8846" s="500"/>
      <c r="AI8846" s="500"/>
      <c r="AJ8846" s="500"/>
      <c r="AK8846" s="500"/>
      <c r="AL8846" s="500"/>
      <c r="AM8846" s="500"/>
      <c r="AN8846" s="500"/>
      <c r="AO8846" s="500"/>
      <c r="AP8846" s="500"/>
    </row>
    <row r="8847" spans="1:42" ht="16.5" customHeight="1">
      <c r="A8847" s="439"/>
      <c r="B8847" s="439"/>
      <c r="C8847" s="439"/>
      <c r="D8847" s="439"/>
      <c r="E8847" s="439"/>
      <c r="F8847" s="439"/>
      <c r="Z8847" s="500"/>
      <c r="AA8847" s="500"/>
      <c r="AB8847" s="500"/>
      <c r="AC8847" s="500"/>
      <c r="AD8847" s="500"/>
      <c r="AE8847" s="500"/>
      <c r="AF8847" s="500"/>
      <c r="AG8847" s="500"/>
      <c r="AH8847" s="500"/>
      <c r="AI8847" s="500"/>
      <c r="AJ8847" s="500"/>
      <c r="AK8847" s="500"/>
      <c r="AL8847" s="500"/>
      <c r="AM8847" s="500"/>
      <c r="AN8847" s="500"/>
      <c r="AO8847" s="500"/>
      <c r="AP8847" s="500"/>
    </row>
    <row r="8848" spans="1:42" ht="16.5" customHeight="1">
      <c r="A8848" s="439"/>
      <c r="B8848" s="439"/>
      <c r="C8848" s="439"/>
      <c r="D8848" s="439"/>
      <c r="E8848" s="439"/>
      <c r="F8848" s="439"/>
      <c r="Z8848" s="500"/>
      <c r="AA8848" s="500"/>
      <c r="AB8848" s="500"/>
      <c r="AC8848" s="500"/>
      <c r="AD8848" s="500"/>
      <c r="AE8848" s="500"/>
      <c r="AF8848" s="500"/>
      <c r="AG8848" s="500"/>
      <c r="AH8848" s="500"/>
      <c r="AI8848" s="500"/>
      <c r="AJ8848" s="500"/>
      <c r="AK8848" s="500"/>
      <c r="AL8848" s="500"/>
      <c r="AM8848" s="500"/>
      <c r="AN8848" s="500"/>
      <c r="AO8848" s="500"/>
      <c r="AP8848" s="500"/>
    </row>
    <row r="8849" spans="1:42" ht="16.5" customHeight="1">
      <c r="A8849" s="439"/>
      <c r="B8849" s="439"/>
      <c r="C8849" s="439"/>
      <c r="D8849" s="439"/>
      <c r="E8849" s="439"/>
      <c r="F8849" s="439"/>
      <c r="Z8849" s="500"/>
      <c r="AA8849" s="500"/>
      <c r="AB8849" s="500"/>
      <c r="AC8849" s="500"/>
      <c r="AD8849" s="500"/>
      <c r="AE8849" s="500"/>
      <c r="AF8849" s="500"/>
      <c r="AG8849" s="500"/>
      <c r="AH8849" s="500"/>
      <c r="AI8849" s="500"/>
      <c r="AJ8849" s="500"/>
      <c r="AK8849" s="500"/>
      <c r="AL8849" s="500"/>
      <c r="AM8849" s="500"/>
      <c r="AN8849" s="500"/>
      <c r="AO8849" s="500"/>
      <c r="AP8849" s="500"/>
    </row>
    <row r="8850" spans="1:42" ht="16.5" customHeight="1">
      <c r="A8850" s="439"/>
      <c r="B8850" s="439"/>
      <c r="C8850" s="439"/>
      <c r="D8850" s="439"/>
      <c r="E8850" s="439"/>
      <c r="F8850" s="439"/>
      <c r="Z8850" s="500"/>
      <c r="AA8850" s="500"/>
      <c r="AB8850" s="500"/>
      <c r="AC8850" s="500"/>
      <c r="AD8850" s="500"/>
      <c r="AE8850" s="500"/>
      <c r="AF8850" s="500"/>
      <c r="AG8850" s="500"/>
      <c r="AH8850" s="500"/>
      <c r="AI8850" s="500"/>
      <c r="AJ8850" s="500"/>
      <c r="AK8850" s="500"/>
      <c r="AL8850" s="500"/>
      <c r="AM8850" s="500"/>
      <c r="AN8850" s="500"/>
      <c r="AO8850" s="500"/>
      <c r="AP8850" s="500"/>
    </row>
    <row r="8851" spans="1:42" ht="16.5" customHeight="1">
      <c r="A8851" s="439"/>
      <c r="B8851" s="439"/>
      <c r="C8851" s="439"/>
      <c r="D8851" s="439"/>
      <c r="E8851" s="439"/>
      <c r="F8851" s="439"/>
      <c r="Z8851" s="500"/>
      <c r="AA8851" s="500"/>
      <c r="AB8851" s="500"/>
      <c r="AC8851" s="500"/>
      <c r="AD8851" s="500"/>
      <c r="AE8851" s="500"/>
      <c r="AF8851" s="500"/>
      <c r="AG8851" s="500"/>
      <c r="AH8851" s="500"/>
      <c r="AI8851" s="500"/>
      <c r="AJ8851" s="500"/>
      <c r="AK8851" s="500"/>
      <c r="AL8851" s="500"/>
      <c r="AM8851" s="500"/>
      <c r="AN8851" s="500"/>
      <c r="AO8851" s="500"/>
      <c r="AP8851" s="500"/>
    </row>
    <row r="8852" spans="1:42" ht="16.5" customHeight="1">
      <c r="A8852" s="439"/>
      <c r="B8852" s="439"/>
      <c r="C8852" s="439"/>
      <c r="D8852" s="439"/>
      <c r="E8852" s="439"/>
      <c r="F8852" s="439"/>
      <c r="Z8852" s="500"/>
      <c r="AA8852" s="500"/>
      <c r="AB8852" s="500"/>
      <c r="AC8852" s="500"/>
      <c r="AD8852" s="500"/>
      <c r="AE8852" s="500"/>
      <c r="AF8852" s="500"/>
      <c r="AG8852" s="500"/>
      <c r="AH8852" s="500"/>
      <c r="AI8852" s="500"/>
      <c r="AJ8852" s="500"/>
      <c r="AK8852" s="500"/>
      <c r="AL8852" s="500"/>
      <c r="AM8852" s="500"/>
      <c r="AN8852" s="500"/>
      <c r="AO8852" s="500"/>
      <c r="AP8852" s="500"/>
    </row>
    <row r="8853" spans="1:42" ht="16.5" customHeight="1">
      <c r="A8853" s="497"/>
      <c r="B8853" s="497"/>
      <c r="C8853" s="497"/>
      <c r="D8853" s="497"/>
      <c r="E8853" s="497"/>
      <c r="F8853" s="497"/>
      <c r="Z8853" s="500"/>
      <c r="AA8853" s="500"/>
      <c r="AB8853" s="500"/>
      <c r="AC8853" s="500"/>
      <c r="AD8853" s="500"/>
      <c r="AE8853" s="500"/>
      <c r="AF8853" s="500"/>
      <c r="AG8853" s="500"/>
      <c r="AH8853" s="500"/>
      <c r="AI8853" s="500"/>
      <c r="AJ8853" s="500"/>
      <c r="AK8853" s="500"/>
      <c r="AL8853" s="500"/>
      <c r="AM8853" s="500"/>
      <c r="AN8853" s="500"/>
      <c r="AO8853" s="500"/>
      <c r="AP8853" s="500"/>
    </row>
    <row r="8854" spans="1:42" ht="16.5" customHeight="1">
      <c r="A8854" s="616" t="s">
        <v>4396</v>
      </c>
      <c r="B8854" s="605"/>
      <c r="C8854" s="446">
        <f>E8854+D8854+F8854</f>
        <v>62000</v>
      </c>
      <c r="D8854" s="464">
        <v>0</v>
      </c>
      <c r="E8854" s="465">
        <v>0</v>
      </c>
      <c r="F8854" s="446">
        <f>ROUNDDOWN(SUMIF(N8807:N8811,M8854,E8807:E8811),0)+ROUNDDOWN(SUMIF(N8807:N8811,M8854,D8807:D8811),0)+ROUNDDOWN(SUMIF(N8807:N8811,M8854,F8807:F8811),0)</f>
        <v>62000</v>
      </c>
      <c r="M8854" s="501" t="s">
        <v>2354</v>
      </c>
      <c r="Z8854" s="500"/>
      <c r="AA8854" s="500"/>
      <c r="AB8854" s="500"/>
      <c r="AC8854" s="500"/>
      <c r="AD8854" s="500"/>
      <c r="AE8854" s="500"/>
      <c r="AF8854" s="500"/>
      <c r="AG8854" s="500"/>
      <c r="AH8854" s="500"/>
      <c r="AI8854" s="500"/>
      <c r="AJ8854" s="500"/>
      <c r="AK8854" s="500"/>
      <c r="AL8854" s="500"/>
      <c r="AM8854" s="500"/>
      <c r="AN8854" s="500"/>
      <c r="AO8854" s="500"/>
      <c r="AP8854" s="500"/>
    </row>
    <row r="8855" spans="1:42" ht="16.5" customHeight="1">
      <c r="A8855" s="502"/>
      <c r="B8855" s="503" t="s">
        <v>2273</v>
      </c>
      <c r="C8855" s="615">
        <f>C8904</f>
        <v>40910</v>
      </c>
      <c r="D8855" s="615">
        <f>D8904</f>
        <v>0</v>
      </c>
      <c r="E8855" s="615">
        <f>E8904</f>
        <v>0</v>
      </c>
      <c r="F8855" s="615">
        <f>F8904</f>
        <v>40910</v>
      </c>
      <c r="G8855" s="486" t="str">
        <f>HYPERLINK("#G"&amp;ROW(G8861),"_x0005_`BDCOD|D01224_x0007_`POSS|"&amp;ROW(G8857)&amp;"_x0007_`POSE|"&amp;ROW(G8861)&amp;"_x0007_`")</f>
        <v>_x0005_`BDCOD|D01224_x0007_`POSS|8857_x0007_`POSE|8861_x0007_`</v>
      </c>
      <c r="Z8855" s="500"/>
      <c r="AA8855" s="500"/>
      <c r="AB8855" s="500"/>
      <c r="AC8855" s="500"/>
      <c r="AD8855" s="500"/>
      <c r="AE8855" s="500"/>
      <c r="AF8855" s="500"/>
      <c r="AG8855" s="500"/>
      <c r="AH8855" s="500"/>
      <c r="AI8855" s="500"/>
      <c r="AJ8855" s="500"/>
      <c r="AK8855" s="500"/>
      <c r="AL8855" s="500"/>
      <c r="AM8855" s="500"/>
      <c r="AN8855" s="500"/>
      <c r="AO8855" s="500"/>
      <c r="AP8855" s="500"/>
    </row>
    <row r="8856" spans="1:42" ht="16.5" customHeight="1">
      <c r="A8856" s="485"/>
      <c r="B8856" s="503" t="s">
        <v>4413</v>
      </c>
      <c r="C8856" s="593"/>
      <c r="D8856" s="593"/>
      <c r="E8856" s="593"/>
      <c r="F8856" s="593"/>
      <c r="M8856" s="501" t="s">
        <v>2273</v>
      </c>
      <c r="Z8856" s="500"/>
      <c r="AA8856" s="500"/>
      <c r="AB8856" s="500"/>
      <c r="AC8856" s="500"/>
      <c r="AD8856" s="500"/>
      <c r="AE8856" s="500"/>
      <c r="AF8856" s="500"/>
      <c r="AG8856" s="500"/>
      <c r="AH8856" s="500"/>
      <c r="AI8856" s="500"/>
      <c r="AJ8856" s="500"/>
      <c r="AK8856" s="500"/>
      <c r="AL8856" s="500"/>
      <c r="AM8856" s="500"/>
      <c r="AN8856" s="500"/>
      <c r="AO8856" s="500"/>
      <c r="AP8856" s="500"/>
    </row>
    <row r="8857" spans="1:42" ht="16.5" customHeight="1">
      <c r="A8857" s="439"/>
      <c r="B8857" s="439"/>
      <c r="C8857" s="504"/>
      <c r="D8857" s="504"/>
      <c r="E8857" s="504"/>
      <c r="F8857" s="504"/>
      <c r="G8857" s="451" t="s">
        <v>3406</v>
      </c>
      <c r="Z8857" s="500"/>
      <c r="AA8857" s="500"/>
      <c r="AB8857" s="500"/>
      <c r="AC8857" s="500"/>
      <c r="AD8857" s="500"/>
      <c r="AE8857" s="500"/>
      <c r="AF8857" s="500"/>
      <c r="AG8857" s="500"/>
      <c r="AH8857" s="500"/>
      <c r="AI8857" s="500"/>
      <c r="AJ8857" s="500"/>
      <c r="AK8857" s="500"/>
      <c r="AL8857" s="500"/>
      <c r="AM8857" s="500"/>
      <c r="AN8857" s="500"/>
      <c r="AO8857" s="500"/>
      <c r="AP8857" s="500"/>
    </row>
    <row r="8858" spans="1:42" ht="16.5" customHeight="1">
      <c r="A8858" s="434" t="s">
        <v>4414</v>
      </c>
      <c r="B8858" s="505" t="str">
        <f>" 폐기물 처리 : "&amp;TEXT(I8858,"#,##0"&amp;IF(I8858&lt;&gt;INT(I8858),".###",""))&amp;" * "&amp;AA8858&amp;" Ton  = "&amp;TEXT(C8858,"#,##0.0")&amp;""</f>
        <v xml:space="preserve"> 폐기물 처리 : 40,910 * 1 Ton  = 40,910.0</v>
      </c>
      <c r="C8858" s="506">
        <f>E8858+D8858+F8858</f>
        <v>40910</v>
      </c>
      <c r="D8858" s="506">
        <f>IF(H8858=0,0,ROUNDDOWN(J8858*H8858,1))</f>
        <v>0</v>
      </c>
      <c r="E8858" s="506">
        <f>IF(H8858=0,0,ROUNDDOWN(K8858*H8858,1))</f>
        <v>40910</v>
      </c>
      <c r="F8858" s="506">
        <f>IF(H8858=0,0,ROUNDDOWN(L8858*H8858,1))</f>
        <v>0</v>
      </c>
      <c r="G8858" s="451" t="s">
        <v>4415</v>
      </c>
      <c r="H8858" s="507">
        <f>ROUNDUP(AC8858,14-LEN(ABS(INT(AC8858))))</f>
        <v>1</v>
      </c>
      <c r="I8858" s="508">
        <f>K8858+J8858+L8858</f>
        <v>40910</v>
      </c>
      <c r="K8858" s="509">
        <f>재료비목록표!E107</f>
        <v>40910</v>
      </c>
      <c r="M8858" s="501" t="s">
        <v>4416</v>
      </c>
      <c r="N8858" s="501" t="s">
        <v>3421</v>
      </c>
      <c r="X8858" s="510" t="str">
        <f>재료비목록표!B107&amp;" / "&amp;재료비목록표!C107</f>
        <v>폐기물 처리 / 폐목재</v>
      </c>
      <c r="Y8858" s="433" t="str">
        <f ca="1">HYPERLINK("#"&amp;재료비목록표!G2&amp;"!A"&amp;ROW(재료비목록표!A107),"M01268 →")</f>
        <v>M01268 →</v>
      </c>
      <c r="Z8858" s="501" t="s">
        <v>3500</v>
      </c>
      <c r="AA8858" s="515">
        <v>1</v>
      </c>
      <c r="AB8858" s="501" t="s">
        <v>3418</v>
      </c>
      <c r="AC8858" s="512">
        <f>1*AA8858</f>
        <v>1</v>
      </c>
      <c r="AD8858" s="500"/>
      <c r="AE8858" s="500"/>
      <c r="AF8858" s="500"/>
      <c r="AG8858" s="500"/>
      <c r="AH8858" s="500"/>
      <c r="AI8858" s="500"/>
      <c r="AJ8858" s="500"/>
      <c r="AK8858" s="500"/>
      <c r="AL8858" s="500"/>
      <c r="AM8858" s="500"/>
      <c r="AN8858" s="500"/>
      <c r="AO8858" s="500"/>
      <c r="AP8858" s="500"/>
    </row>
    <row r="8859" spans="1:42" ht="16.5" customHeight="1">
      <c r="A8859" s="439"/>
      <c r="B8859" s="439"/>
      <c r="C8859" s="439"/>
      <c r="D8859" s="439"/>
      <c r="E8859" s="439"/>
      <c r="F8859" s="439"/>
      <c r="G8859" s="451" t="s">
        <v>3406</v>
      </c>
      <c r="Z8859" s="500"/>
      <c r="AA8859" s="500"/>
      <c r="AB8859" s="500"/>
      <c r="AC8859" s="500"/>
      <c r="AD8859" s="500"/>
      <c r="AE8859" s="500"/>
      <c r="AF8859" s="500"/>
      <c r="AG8859" s="500"/>
      <c r="AH8859" s="500"/>
      <c r="AI8859" s="500"/>
      <c r="AJ8859" s="500"/>
      <c r="AK8859" s="500"/>
      <c r="AL8859" s="500"/>
      <c r="AM8859" s="500"/>
      <c r="AN8859" s="500"/>
      <c r="AO8859" s="500"/>
      <c r="AP8859" s="500"/>
    </row>
    <row r="8860" spans="1:42" ht="16.5" customHeight="1">
      <c r="A8860" s="439"/>
      <c r="B8860" s="439"/>
      <c r="C8860" s="439"/>
      <c r="D8860" s="439"/>
      <c r="E8860" s="439"/>
      <c r="F8860" s="439"/>
      <c r="G8860" s="451" t="s">
        <v>3406</v>
      </c>
      <c r="Z8860" s="500"/>
      <c r="AA8860" s="500"/>
      <c r="AB8860" s="500"/>
      <c r="AC8860" s="500"/>
      <c r="AD8860" s="500"/>
      <c r="AE8860" s="500"/>
      <c r="AF8860" s="500"/>
      <c r="AG8860" s="500"/>
      <c r="AH8860" s="500"/>
      <c r="AI8860" s="500"/>
      <c r="AJ8860" s="500"/>
      <c r="AK8860" s="500"/>
      <c r="AL8860" s="500"/>
      <c r="AM8860" s="500"/>
      <c r="AN8860" s="500"/>
      <c r="AO8860" s="500"/>
      <c r="AP8860" s="500"/>
    </row>
    <row r="8861" spans="1:42" ht="16.5" customHeight="1">
      <c r="A8861" s="434"/>
      <c r="B8861" s="437" t="s">
        <v>3440</v>
      </c>
      <c r="C8861" s="513">
        <f>E8861+D8861+F8861</f>
        <v>40910</v>
      </c>
      <c r="D8861" s="513">
        <f>SUMIF(N8857:N8860,M8861,D8857:D8860)</f>
        <v>0</v>
      </c>
      <c r="E8861" s="513">
        <f>SUMIF(N8857:N8860,M8861,E8857:E8860)</f>
        <v>40910</v>
      </c>
      <c r="F8861" s="513">
        <f>SUMIF(N8857:N8860,M8861,F8857:F8860)</f>
        <v>0</v>
      </c>
      <c r="G8861" s="451" t="s">
        <v>3484</v>
      </c>
      <c r="M8861" s="501" t="s">
        <v>3421</v>
      </c>
      <c r="N8861" s="501" t="s">
        <v>2354</v>
      </c>
      <c r="Z8861" s="500"/>
      <c r="AA8861" s="500"/>
      <c r="AB8861" s="500"/>
      <c r="AC8861" s="500"/>
      <c r="AD8861" s="500"/>
      <c r="AE8861" s="500"/>
      <c r="AF8861" s="500"/>
      <c r="AG8861" s="500"/>
      <c r="AH8861" s="500"/>
      <c r="AI8861" s="500"/>
      <c r="AJ8861" s="500"/>
      <c r="AK8861" s="500"/>
      <c r="AL8861" s="500"/>
      <c r="AM8861" s="500"/>
      <c r="AN8861" s="500"/>
      <c r="AO8861" s="500"/>
      <c r="AP8861" s="500"/>
    </row>
    <row r="8862" spans="1:42" ht="16.5" customHeight="1">
      <c r="A8862" s="439"/>
      <c r="B8862" s="439"/>
      <c r="C8862" s="504"/>
      <c r="D8862" s="504"/>
      <c r="E8862" s="504"/>
      <c r="F8862" s="504"/>
      <c r="Z8862" s="500"/>
      <c r="AA8862" s="500"/>
      <c r="AB8862" s="500"/>
      <c r="AC8862" s="500"/>
      <c r="AD8862" s="500"/>
      <c r="AE8862" s="500"/>
      <c r="AF8862" s="500"/>
      <c r="AG8862" s="500"/>
      <c r="AH8862" s="500"/>
      <c r="AI8862" s="500"/>
      <c r="AJ8862" s="500"/>
      <c r="AK8862" s="500"/>
      <c r="AL8862" s="500"/>
      <c r="AM8862" s="500"/>
      <c r="AN8862" s="500"/>
      <c r="AO8862" s="500"/>
      <c r="AP8862" s="500"/>
    </row>
    <row r="8863" spans="1:42" ht="16.5" customHeight="1">
      <c r="A8863" s="439"/>
      <c r="B8863" s="439"/>
      <c r="C8863" s="439"/>
      <c r="D8863" s="439"/>
      <c r="E8863" s="439"/>
      <c r="F8863" s="439"/>
      <c r="Z8863" s="500"/>
      <c r="AA8863" s="500"/>
      <c r="AB8863" s="500"/>
      <c r="AC8863" s="500"/>
      <c r="AD8863" s="500"/>
      <c r="AE8863" s="500"/>
      <c r="AF8863" s="500"/>
      <c r="AG8863" s="500"/>
      <c r="AH8863" s="500"/>
      <c r="AI8863" s="500"/>
      <c r="AJ8863" s="500"/>
      <c r="AK8863" s="500"/>
      <c r="AL8863" s="500"/>
      <c r="AM8863" s="500"/>
      <c r="AN8863" s="500"/>
      <c r="AO8863" s="500"/>
      <c r="AP8863" s="500"/>
    </row>
    <row r="8864" spans="1:42" ht="16.5" customHeight="1">
      <c r="A8864" s="439"/>
      <c r="B8864" s="439"/>
      <c r="C8864" s="439"/>
      <c r="D8864" s="439"/>
      <c r="E8864" s="439"/>
      <c r="F8864" s="439"/>
      <c r="Z8864" s="500"/>
      <c r="AA8864" s="500"/>
      <c r="AB8864" s="500"/>
      <c r="AC8864" s="500"/>
      <c r="AD8864" s="500"/>
      <c r="AE8864" s="500"/>
      <c r="AF8864" s="500"/>
      <c r="AG8864" s="500"/>
      <c r="AH8864" s="500"/>
      <c r="AI8864" s="500"/>
      <c r="AJ8864" s="500"/>
      <c r="AK8864" s="500"/>
      <c r="AL8864" s="500"/>
      <c r="AM8864" s="500"/>
      <c r="AN8864" s="500"/>
      <c r="AO8864" s="500"/>
      <c r="AP8864" s="500"/>
    </row>
    <row r="8865" spans="1:42" ht="16.5" customHeight="1">
      <c r="A8865" s="439"/>
      <c r="B8865" s="439"/>
      <c r="C8865" s="439"/>
      <c r="D8865" s="439"/>
      <c r="E8865" s="439"/>
      <c r="F8865" s="439"/>
      <c r="Z8865" s="500"/>
      <c r="AA8865" s="500"/>
      <c r="AB8865" s="500"/>
      <c r="AC8865" s="500"/>
      <c r="AD8865" s="500"/>
      <c r="AE8865" s="500"/>
      <c r="AF8865" s="500"/>
      <c r="AG8865" s="500"/>
      <c r="AH8865" s="500"/>
      <c r="AI8865" s="500"/>
      <c r="AJ8865" s="500"/>
      <c r="AK8865" s="500"/>
      <c r="AL8865" s="500"/>
      <c r="AM8865" s="500"/>
      <c r="AN8865" s="500"/>
      <c r="AO8865" s="500"/>
      <c r="AP8865" s="500"/>
    </row>
    <row r="8866" spans="1:42" ht="16.5" customHeight="1">
      <c r="A8866" s="439"/>
      <c r="B8866" s="439"/>
      <c r="C8866" s="439"/>
      <c r="D8866" s="439"/>
      <c r="E8866" s="439"/>
      <c r="F8866" s="439"/>
      <c r="Z8866" s="500"/>
      <c r="AA8866" s="500"/>
      <c r="AB8866" s="500"/>
      <c r="AC8866" s="500"/>
      <c r="AD8866" s="500"/>
      <c r="AE8866" s="500"/>
      <c r="AF8866" s="500"/>
      <c r="AG8866" s="500"/>
      <c r="AH8866" s="500"/>
      <c r="AI8866" s="500"/>
      <c r="AJ8866" s="500"/>
      <c r="AK8866" s="500"/>
      <c r="AL8866" s="500"/>
      <c r="AM8866" s="500"/>
      <c r="AN8866" s="500"/>
      <c r="AO8866" s="500"/>
      <c r="AP8866" s="500"/>
    </row>
    <row r="8867" spans="1:42" ht="16.5" customHeight="1">
      <c r="A8867" s="439"/>
      <c r="B8867" s="439"/>
      <c r="C8867" s="439"/>
      <c r="D8867" s="439"/>
      <c r="E8867" s="439"/>
      <c r="F8867" s="439"/>
      <c r="Z8867" s="500"/>
      <c r="AA8867" s="500"/>
      <c r="AB8867" s="500"/>
      <c r="AC8867" s="500"/>
      <c r="AD8867" s="500"/>
      <c r="AE8867" s="500"/>
      <c r="AF8867" s="500"/>
      <c r="AG8867" s="500"/>
      <c r="AH8867" s="500"/>
      <c r="AI8867" s="500"/>
      <c r="AJ8867" s="500"/>
      <c r="AK8867" s="500"/>
      <c r="AL8867" s="500"/>
      <c r="AM8867" s="500"/>
      <c r="AN8867" s="500"/>
      <c r="AO8867" s="500"/>
      <c r="AP8867" s="500"/>
    </row>
    <row r="8868" spans="1:42" ht="16.5" customHeight="1">
      <c r="A8868" s="439"/>
      <c r="B8868" s="439"/>
      <c r="C8868" s="439"/>
      <c r="D8868" s="439"/>
      <c r="E8868" s="439"/>
      <c r="F8868" s="439"/>
      <c r="Z8868" s="500"/>
      <c r="AA8868" s="500"/>
      <c r="AB8868" s="500"/>
      <c r="AC8868" s="500"/>
      <c r="AD8868" s="500"/>
      <c r="AE8868" s="500"/>
      <c r="AF8868" s="500"/>
      <c r="AG8868" s="500"/>
      <c r="AH8868" s="500"/>
      <c r="AI8868" s="500"/>
      <c r="AJ8868" s="500"/>
      <c r="AK8868" s="500"/>
      <c r="AL8868" s="500"/>
      <c r="AM8868" s="500"/>
      <c r="AN8868" s="500"/>
      <c r="AO8868" s="500"/>
      <c r="AP8868" s="500"/>
    </row>
    <row r="8869" spans="1:42" ht="16.5" customHeight="1">
      <c r="A8869" s="439"/>
      <c r="B8869" s="439"/>
      <c r="C8869" s="439"/>
      <c r="D8869" s="439"/>
      <c r="E8869" s="439"/>
      <c r="F8869" s="439"/>
      <c r="Z8869" s="500"/>
      <c r="AA8869" s="500"/>
      <c r="AB8869" s="500"/>
      <c r="AC8869" s="500"/>
      <c r="AD8869" s="500"/>
      <c r="AE8869" s="500"/>
      <c r="AF8869" s="500"/>
      <c r="AG8869" s="500"/>
      <c r="AH8869" s="500"/>
      <c r="AI8869" s="500"/>
      <c r="AJ8869" s="500"/>
      <c r="AK8869" s="500"/>
      <c r="AL8869" s="500"/>
      <c r="AM8869" s="500"/>
      <c r="AN8869" s="500"/>
      <c r="AO8869" s="500"/>
      <c r="AP8869" s="500"/>
    </row>
    <row r="8870" spans="1:42" ht="16.5" customHeight="1">
      <c r="A8870" s="439"/>
      <c r="B8870" s="439"/>
      <c r="C8870" s="439"/>
      <c r="D8870" s="439"/>
      <c r="E8870" s="439"/>
      <c r="F8870" s="439"/>
      <c r="Z8870" s="500"/>
      <c r="AA8870" s="500"/>
      <c r="AB8870" s="500"/>
      <c r="AC8870" s="500"/>
      <c r="AD8870" s="500"/>
      <c r="AE8870" s="500"/>
      <c r="AF8870" s="500"/>
      <c r="AG8870" s="500"/>
      <c r="AH8870" s="500"/>
      <c r="AI8870" s="500"/>
      <c r="AJ8870" s="500"/>
      <c r="AK8870" s="500"/>
      <c r="AL8870" s="500"/>
      <c r="AM8870" s="500"/>
      <c r="AN8870" s="500"/>
      <c r="AO8870" s="500"/>
      <c r="AP8870" s="500"/>
    </row>
    <row r="8871" spans="1:42" ht="16.5" customHeight="1">
      <c r="A8871" s="439"/>
      <c r="B8871" s="439"/>
      <c r="C8871" s="439"/>
      <c r="D8871" s="439"/>
      <c r="E8871" s="439"/>
      <c r="F8871" s="439"/>
      <c r="Z8871" s="500"/>
      <c r="AA8871" s="500"/>
      <c r="AB8871" s="500"/>
      <c r="AC8871" s="500"/>
      <c r="AD8871" s="500"/>
      <c r="AE8871" s="500"/>
      <c r="AF8871" s="500"/>
      <c r="AG8871" s="500"/>
      <c r="AH8871" s="500"/>
      <c r="AI8871" s="500"/>
      <c r="AJ8871" s="500"/>
      <c r="AK8871" s="500"/>
      <c r="AL8871" s="500"/>
      <c r="AM8871" s="500"/>
      <c r="AN8871" s="500"/>
      <c r="AO8871" s="500"/>
      <c r="AP8871" s="500"/>
    </row>
    <row r="8872" spans="1:42" ht="16.5" customHeight="1">
      <c r="A8872" s="439"/>
      <c r="B8872" s="439"/>
      <c r="C8872" s="439"/>
      <c r="D8872" s="439"/>
      <c r="E8872" s="439"/>
      <c r="F8872" s="439"/>
      <c r="Z8872" s="500"/>
      <c r="AA8872" s="500"/>
      <c r="AB8872" s="500"/>
      <c r="AC8872" s="500"/>
      <c r="AD8872" s="500"/>
      <c r="AE8872" s="500"/>
      <c r="AF8872" s="500"/>
      <c r="AG8872" s="500"/>
      <c r="AH8872" s="500"/>
      <c r="AI8872" s="500"/>
      <c r="AJ8872" s="500"/>
      <c r="AK8872" s="500"/>
      <c r="AL8872" s="500"/>
      <c r="AM8872" s="500"/>
      <c r="AN8872" s="500"/>
      <c r="AO8872" s="500"/>
      <c r="AP8872" s="500"/>
    </row>
    <row r="8873" spans="1:42" ht="16.5" customHeight="1">
      <c r="A8873" s="439"/>
      <c r="B8873" s="439"/>
      <c r="C8873" s="439"/>
      <c r="D8873" s="439"/>
      <c r="E8873" s="439"/>
      <c r="F8873" s="439"/>
      <c r="Z8873" s="500"/>
      <c r="AA8873" s="500"/>
      <c r="AB8873" s="500"/>
      <c r="AC8873" s="500"/>
      <c r="AD8873" s="500"/>
      <c r="AE8873" s="500"/>
      <c r="AF8873" s="500"/>
      <c r="AG8873" s="500"/>
      <c r="AH8873" s="500"/>
      <c r="AI8873" s="500"/>
      <c r="AJ8873" s="500"/>
      <c r="AK8873" s="500"/>
      <c r="AL8873" s="500"/>
      <c r="AM8873" s="500"/>
      <c r="AN8873" s="500"/>
      <c r="AO8873" s="500"/>
      <c r="AP8873" s="500"/>
    </row>
    <row r="8874" spans="1:42" ht="16.5" customHeight="1">
      <c r="A8874" s="439"/>
      <c r="B8874" s="439"/>
      <c r="C8874" s="439"/>
      <c r="D8874" s="439"/>
      <c r="E8874" s="439"/>
      <c r="F8874" s="439"/>
      <c r="Z8874" s="500"/>
      <c r="AA8874" s="500"/>
      <c r="AB8874" s="500"/>
      <c r="AC8874" s="500"/>
      <c r="AD8874" s="500"/>
      <c r="AE8874" s="500"/>
      <c r="AF8874" s="500"/>
      <c r="AG8874" s="500"/>
      <c r="AH8874" s="500"/>
      <c r="AI8874" s="500"/>
      <c r="AJ8874" s="500"/>
      <c r="AK8874" s="500"/>
      <c r="AL8874" s="500"/>
      <c r="AM8874" s="500"/>
      <c r="AN8874" s="500"/>
      <c r="AO8874" s="500"/>
      <c r="AP8874" s="500"/>
    </row>
    <row r="8875" spans="1:42" ht="16.5" customHeight="1">
      <c r="A8875" s="439"/>
      <c r="B8875" s="439"/>
      <c r="C8875" s="439"/>
      <c r="D8875" s="439"/>
      <c r="E8875" s="439"/>
      <c r="F8875" s="439"/>
      <c r="Z8875" s="500"/>
      <c r="AA8875" s="500"/>
      <c r="AB8875" s="500"/>
      <c r="AC8875" s="500"/>
      <c r="AD8875" s="500"/>
      <c r="AE8875" s="500"/>
      <c r="AF8875" s="500"/>
      <c r="AG8875" s="500"/>
      <c r="AH8875" s="500"/>
      <c r="AI8875" s="500"/>
      <c r="AJ8875" s="500"/>
      <c r="AK8875" s="500"/>
      <c r="AL8875" s="500"/>
      <c r="AM8875" s="500"/>
      <c r="AN8875" s="500"/>
      <c r="AO8875" s="500"/>
      <c r="AP8875" s="500"/>
    </row>
    <row r="8876" spans="1:42" ht="16.5" customHeight="1">
      <c r="A8876" s="439"/>
      <c r="B8876" s="439"/>
      <c r="C8876" s="439"/>
      <c r="D8876" s="439"/>
      <c r="E8876" s="439"/>
      <c r="F8876" s="439"/>
      <c r="Z8876" s="500"/>
      <c r="AA8876" s="500"/>
      <c r="AB8876" s="500"/>
      <c r="AC8876" s="500"/>
      <c r="AD8876" s="500"/>
      <c r="AE8876" s="500"/>
      <c r="AF8876" s="500"/>
      <c r="AG8876" s="500"/>
      <c r="AH8876" s="500"/>
      <c r="AI8876" s="500"/>
      <c r="AJ8876" s="500"/>
      <c r="AK8876" s="500"/>
      <c r="AL8876" s="500"/>
      <c r="AM8876" s="500"/>
      <c r="AN8876" s="500"/>
      <c r="AO8876" s="500"/>
      <c r="AP8876" s="500"/>
    </row>
    <row r="8877" spans="1:42" ht="16.5" customHeight="1">
      <c r="A8877" s="439"/>
      <c r="B8877" s="439"/>
      <c r="C8877" s="439"/>
      <c r="D8877" s="439"/>
      <c r="E8877" s="439"/>
      <c r="F8877" s="439"/>
      <c r="Z8877" s="500"/>
      <c r="AA8877" s="500"/>
      <c r="AB8877" s="500"/>
      <c r="AC8877" s="500"/>
      <c r="AD8877" s="500"/>
      <c r="AE8877" s="500"/>
      <c r="AF8877" s="500"/>
      <c r="AG8877" s="500"/>
      <c r="AH8877" s="500"/>
      <c r="AI8877" s="500"/>
      <c r="AJ8877" s="500"/>
      <c r="AK8877" s="500"/>
      <c r="AL8877" s="500"/>
      <c r="AM8877" s="500"/>
      <c r="AN8877" s="500"/>
      <c r="AO8877" s="500"/>
      <c r="AP8877" s="500"/>
    </row>
    <row r="8878" spans="1:42" ht="16.5" customHeight="1">
      <c r="A8878" s="439"/>
      <c r="B8878" s="439"/>
      <c r="C8878" s="439"/>
      <c r="D8878" s="439"/>
      <c r="E8878" s="439"/>
      <c r="F8878" s="439"/>
      <c r="Z8878" s="500"/>
      <c r="AA8878" s="500"/>
      <c r="AB8878" s="500"/>
      <c r="AC8878" s="500"/>
      <c r="AD8878" s="500"/>
      <c r="AE8878" s="500"/>
      <c r="AF8878" s="500"/>
      <c r="AG8878" s="500"/>
      <c r="AH8878" s="500"/>
      <c r="AI8878" s="500"/>
      <c r="AJ8878" s="500"/>
      <c r="AK8878" s="500"/>
      <c r="AL8878" s="500"/>
      <c r="AM8878" s="500"/>
      <c r="AN8878" s="500"/>
      <c r="AO8878" s="500"/>
      <c r="AP8878" s="500"/>
    </row>
    <row r="8879" spans="1:42" ht="16.5" customHeight="1">
      <c r="A8879" s="439"/>
      <c r="B8879" s="439"/>
      <c r="C8879" s="439"/>
      <c r="D8879" s="439"/>
      <c r="E8879" s="439"/>
      <c r="F8879" s="439"/>
      <c r="Z8879" s="500"/>
      <c r="AA8879" s="500"/>
      <c r="AB8879" s="500"/>
      <c r="AC8879" s="500"/>
      <c r="AD8879" s="500"/>
      <c r="AE8879" s="500"/>
      <c r="AF8879" s="500"/>
      <c r="AG8879" s="500"/>
      <c r="AH8879" s="500"/>
      <c r="AI8879" s="500"/>
      <c r="AJ8879" s="500"/>
      <c r="AK8879" s="500"/>
      <c r="AL8879" s="500"/>
      <c r="AM8879" s="500"/>
      <c r="AN8879" s="500"/>
      <c r="AO8879" s="500"/>
      <c r="AP8879" s="500"/>
    </row>
    <row r="8880" spans="1:42" ht="16.5" customHeight="1">
      <c r="A8880" s="439"/>
      <c r="B8880" s="439"/>
      <c r="C8880" s="439"/>
      <c r="D8880" s="439"/>
      <c r="E8880" s="439"/>
      <c r="F8880" s="439"/>
      <c r="Z8880" s="500"/>
      <c r="AA8880" s="500"/>
      <c r="AB8880" s="500"/>
      <c r="AC8880" s="500"/>
      <c r="AD8880" s="500"/>
      <c r="AE8880" s="500"/>
      <c r="AF8880" s="500"/>
      <c r="AG8880" s="500"/>
      <c r="AH8880" s="500"/>
      <c r="AI8880" s="500"/>
      <c r="AJ8880" s="500"/>
      <c r="AK8880" s="500"/>
      <c r="AL8880" s="500"/>
      <c r="AM8880" s="500"/>
      <c r="AN8880" s="500"/>
      <c r="AO8880" s="500"/>
      <c r="AP8880" s="500"/>
    </row>
    <row r="8881" spans="1:42" ht="16.5" customHeight="1">
      <c r="A8881" s="439"/>
      <c r="B8881" s="439"/>
      <c r="C8881" s="439"/>
      <c r="D8881" s="439"/>
      <c r="E8881" s="439"/>
      <c r="F8881" s="439"/>
      <c r="Z8881" s="500"/>
      <c r="AA8881" s="500"/>
      <c r="AB8881" s="500"/>
      <c r="AC8881" s="500"/>
      <c r="AD8881" s="500"/>
      <c r="AE8881" s="500"/>
      <c r="AF8881" s="500"/>
      <c r="AG8881" s="500"/>
      <c r="AH8881" s="500"/>
      <c r="AI8881" s="500"/>
      <c r="AJ8881" s="500"/>
      <c r="AK8881" s="500"/>
      <c r="AL8881" s="500"/>
      <c r="AM8881" s="500"/>
      <c r="AN8881" s="500"/>
      <c r="AO8881" s="500"/>
      <c r="AP8881" s="500"/>
    </row>
    <row r="8882" spans="1:42" ht="16.5" customHeight="1">
      <c r="A8882" s="439"/>
      <c r="B8882" s="439"/>
      <c r="C8882" s="439"/>
      <c r="D8882" s="439"/>
      <c r="E8882" s="439"/>
      <c r="F8882" s="439"/>
      <c r="Z8882" s="500"/>
      <c r="AA8882" s="500"/>
      <c r="AB8882" s="500"/>
      <c r="AC8882" s="500"/>
      <c r="AD8882" s="500"/>
      <c r="AE8882" s="500"/>
      <c r="AF8882" s="500"/>
      <c r="AG8882" s="500"/>
      <c r="AH8882" s="500"/>
      <c r="AI8882" s="500"/>
      <c r="AJ8882" s="500"/>
      <c r="AK8882" s="500"/>
      <c r="AL8882" s="500"/>
      <c r="AM8882" s="500"/>
      <c r="AN8882" s="500"/>
      <c r="AO8882" s="500"/>
      <c r="AP8882" s="500"/>
    </row>
    <row r="8883" spans="1:42" ht="16.5" customHeight="1">
      <c r="A8883" s="439"/>
      <c r="B8883" s="439"/>
      <c r="C8883" s="439"/>
      <c r="D8883" s="439"/>
      <c r="E8883" s="439"/>
      <c r="F8883" s="439"/>
      <c r="Z8883" s="500"/>
      <c r="AA8883" s="500"/>
      <c r="AB8883" s="500"/>
      <c r="AC8883" s="500"/>
      <c r="AD8883" s="500"/>
      <c r="AE8883" s="500"/>
      <c r="AF8883" s="500"/>
      <c r="AG8883" s="500"/>
      <c r="AH8883" s="500"/>
      <c r="AI8883" s="500"/>
      <c r="AJ8883" s="500"/>
      <c r="AK8883" s="500"/>
      <c r="AL8883" s="500"/>
      <c r="AM8883" s="500"/>
      <c r="AN8883" s="500"/>
      <c r="AO8883" s="500"/>
      <c r="AP8883" s="500"/>
    </row>
    <row r="8884" spans="1:42" ht="16.5" customHeight="1">
      <c r="A8884" s="439"/>
      <c r="B8884" s="439"/>
      <c r="C8884" s="439"/>
      <c r="D8884" s="439"/>
      <c r="E8884" s="439"/>
      <c r="F8884" s="439"/>
      <c r="Z8884" s="500"/>
      <c r="AA8884" s="500"/>
      <c r="AB8884" s="500"/>
      <c r="AC8884" s="500"/>
      <c r="AD8884" s="500"/>
      <c r="AE8884" s="500"/>
      <c r="AF8884" s="500"/>
      <c r="AG8884" s="500"/>
      <c r="AH8884" s="500"/>
      <c r="AI8884" s="500"/>
      <c r="AJ8884" s="500"/>
      <c r="AK8884" s="500"/>
      <c r="AL8884" s="500"/>
      <c r="AM8884" s="500"/>
      <c r="AN8884" s="500"/>
      <c r="AO8884" s="500"/>
      <c r="AP8884" s="500"/>
    </row>
    <row r="8885" spans="1:42" ht="16.5" customHeight="1">
      <c r="A8885" s="439"/>
      <c r="B8885" s="439"/>
      <c r="C8885" s="439"/>
      <c r="D8885" s="439"/>
      <c r="E8885" s="439"/>
      <c r="F8885" s="439"/>
      <c r="Z8885" s="500"/>
      <c r="AA8885" s="500"/>
      <c r="AB8885" s="500"/>
      <c r="AC8885" s="500"/>
      <c r="AD8885" s="500"/>
      <c r="AE8885" s="500"/>
      <c r="AF8885" s="500"/>
      <c r="AG8885" s="500"/>
      <c r="AH8885" s="500"/>
      <c r="AI8885" s="500"/>
      <c r="AJ8885" s="500"/>
      <c r="AK8885" s="500"/>
      <c r="AL8885" s="500"/>
      <c r="AM8885" s="500"/>
      <c r="AN8885" s="500"/>
      <c r="AO8885" s="500"/>
      <c r="AP8885" s="500"/>
    </row>
    <row r="8886" spans="1:42" ht="16.5" customHeight="1">
      <c r="A8886" s="439"/>
      <c r="B8886" s="439"/>
      <c r="C8886" s="439"/>
      <c r="D8886" s="439"/>
      <c r="E8886" s="439"/>
      <c r="F8886" s="439"/>
      <c r="Z8886" s="500"/>
      <c r="AA8886" s="500"/>
      <c r="AB8886" s="500"/>
      <c r="AC8886" s="500"/>
      <c r="AD8886" s="500"/>
      <c r="AE8886" s="500"/>
      <c r="AF8886" s="500"/>
      <c r="AG8886" s="500"/>
      <c r="AH8886" s="500"/>
      <c r="AI8886" s="500"/>
      <c r="AJ8886" s="500"/>
      <c r="AK8886" s="500"/>
      <c r="AL8886" s="500"/>
      <c r="AM8886" s="500"/>
      <c r="AN8886" s="500"/>
      <c r="AO8886" s="500"/>
      <c r="AP8886" s="500"/>
    </row>
    <row r="8887" spans="1:42" ht="16.5" customHeight="1">
      <c r="A8887" s="439"/>
      <c r="B8887" s="439"/>
      <c r="C8887" s="439"/>
      <c r="D8887" s="439"/>
      <c r="E8887" s="439"/>
      <c r="F8887" s="439"/>
      <c r="Z8887" s="500"/>
      <c r="AA8887" s="500"/>
      <c r="AB8887" s="500"/>
      <c r="AC8887" s="500"/>
      <c r="AD8887" s="500"/>
      <c r="AE8887" s="500"/>
      <c r="AF8887" s="500"/>
      <c r="AG8887" s="500"/>
      <c r="AH8887" s="500"/>
      <c r="AI8887" s="500"/>
      <c r="AJ8887" s="500"/>
      <c r="AK8887" s="500"/>
      <c r="AL8887" s="500"/>
      <c r="AM8887" s="500"/>
      <c r="AN8887" s="500"/>
      <c r="AO8887" s="500"/>
      <c r="AP8887" s="500"/>
    </row>
    <row r="8888" spans="1:42" ht="16.5" customHeight="1">
      <c r="A8888" s="439"/>
      <c r="B8888" s="439"/>
      <c r="C8888" s="439"/>
      <c r="D8888" s="439"/>
      <c r="E8888" s="439"/>
      <c r="F8888" s="439"/>
      <c r="Z8888" s="500"/>
      <c r="AA8888" s="500"/>
      <c r="AB8888" s="500"/>
      <c r="AC8888" s="500"/>
      <c r="AD8888" s="500"/>
      <c r="AE8888" s="500"/>
      <c r="AF8888" s="500"/>
      <c r="AG8888" s="500"/>
      <c r="AH8888" s="500"/>
      <c r="AI8888" s="500"/>
      <c r="AJ8888" s="500"/>
      <c r="AK8888" s="500"/>
      <c r="AL8888" s="500"/>
      <c r="AM8888" s="500"/>
      <c r="AN8888" s="500"/>
      <c r="AO8888" s="500"/>
      <c r="AP8888" s="500"/>
    </row>
    <row r="8889" spans="1:42" ht="16.5" customHeight="1">
      <c r="A8889" s="439"/>
      <c r="B8889" s="439"/>
      <c r="C8889" s="439"/>
      <c r="D8889" s="439"/>
      <c r="E8889" s="439"/>
      <c r="F8889" s="439"/>
      <c r="Z8889" s="500"/>
      <c r="AA8889" s="500"/>
      <c r="AB8889" s="500"/>
      <c r="AC8889" s="500"/>
      <c r="AD8889" s="500"/>
      <c r="AE8889" s="500"/>
      <c r="AF8889" s="500"/>
      <c r="AG8889" s="500"/>
      <c r="AH8889" s="500"/>
      <c r="AI8889" s="500"/>
      <c r="AJ8889" s="500"/>
      <c r="AK8889" s="500"/>
      <c r="AL8889" s="500"/>
      <c r="AM8889" s="500"/>
      <c r="AN8889" s="500"/>
      <c r="AO8889" s="500"/>
      <c r="AP8889" s="500"/>
    </row>
    <row r="8890" spans="1:42" ht="16.5" customHeight="1">
      <c r="A8890" s="439"/>
      <c r="B8890" s="439"/>
      <c r="C8890" s="439"/>
      <c r="D8890" s="439"/>
      <c r="E8890" s="439"/>
      <c r="F8890" s="439"/>
      <c r="Z8890" s="500"/>
      <c r="AA8890" s="500"/>
      <c r="AB8890" s="500"/>
      <c r="AC8890" s="500"/>
      <c r="AD8890" s="500"/>
      <c r="AE8890" s="500"/>
      <c r="AF8890" s="500"/>
      <c r="AG8890" s="500"/>
      <c r="AH8890" s="500"/>
      <c r="AI8890" s="500"/>
      <c r="AJ8890" s="500"/>
      <c r="AK8890" s="500"/>
      <c r="AL8890" s="500"/>
      <c r="AM8890" s="500"/>
      <c r="AN8890" s="500"/>
      <c r="AO8890" s="500"/>
      <c r="AP8890" s="500"/>
    </row>
    <row r="8891" spans="1:42" ht="16.5" customHeight="1">
      <c r="A8891" s="439"/>
      <c r="B8891" s="439"/>
      <c r="C8891" s="439"/>
      <c r="D8891" s="439"/>
      <c r="E8891" s="439"/>
      <c r="F8891" s="439"/>
      <c r="Z8891" s="500"/>
      <c r="AA8891" s="500"/>
      <c r="AB8891" s="500"/>
      <c r="AC8891" s="500"/>
      <c r="AD8891" s="500"/>
      <c r="AE8891" s="500"/>
      <c r="AF8891" s="500"/>
      <c r="AG8891" s="500"/>
      <c r="AH8891" s="500"/>
      <c r="AI8891" s="500"/>
      <c r="AJ8891" s="500"/>
      <c r="AK8891" s="500"/>
      <c r="AL8891" s="500"/>
      <c r="AM8891" s="500"/>
      <c r="AN8891" s="500"/>
      <c r="AO8891" s="500"/>
      <c r="AP8891" s="500"/>
    </row>
    <row r="8892" spans="1:42" ht="16.5" customHeight="1">
      <c r="A8892" s="439"/>
      <c r="B8892" s="439"/>
      <c r="C8892" s="439"/>
      <c r="D8892" s="439"/>
      <c r="E8892" s="439"/>
      <c r="F8892" s="439"/>
      <c r="Z8892" s="500"/>
      <c r="AA8892" s="500"/>
      <c r="AB8892" s="500"/>
      <c r="AC8892" s="500"/>
      <c r="AD8892" s="500"/>
      <c r="AE8892" s="500"/>
      <c r="AF8892" s="500"/>
      <c r="AG8892" s="500"/>
      <c r="AH8892" s="500"/>
      <c r="AI8892" s="500"/>
      <c r="AJ8892" s="500"/>
      <c r="AK8892" s="500"/>
      <c r="AL8892" s="500"/>
      <c r="AM8892" s="500"/>
      <c r="AN8892" s="500"/>
      <c r="AO8892" s="500"/>
      <c r="AP8892" s="500"/>
    </row>
    <row r="8893" spans="1:42" ht="16.5" customHeight="1">
      <c r="A8893" s="439"/>
      <c r="B8893" s="439"/>
      <c r="C8893" s="439"/>
      <c r="D8893" s="439"/>
      <c r="E8893" s="439"/>
      <c r="F8893" s="439"/>
      <c r="Z8893" s="500"/>
      <c r="AA8893" s="500"/>
      <c r="AB8893" s="500"/>
      <c r="AC8893" s="500"/>
      <c r="AD8893" s="500"/>
      <c r="AE8893" s="500"/>
      <c r="AF8893" s="500"/>
      <c r="AG8893" s="500"/>
      <c r="AH8893" s="500"/>
      <c r="AI8893" s="500"/>
      <c r="AJ8893" s="500"/>
      <c r="AK8893" s="500"/>
      <c r="AL8893" s="500"/>
      <c r="AM8893" s="500"/>
      <c r="AN8893" s="500"/>
      <c r="AO8893" s="500"/>
      <c r="AP8893" s="500"/>
    </row>
    <row r="8894" spans="1:42" ht="16.5" customHeight="1">
      <c r="A8894" s="439"/>
      <c r="B8894" s="439"/>
      <c r="C8894" s="439"/>
      <c r="D8894" s="439"/>
      <c r="E8894" s="439"/>
      <c r="F8894" s="439"/>
      <c r="Z8894" s="500"/>
      <c r="AA8894" s="500"/>
      <c r="AB8894" s="500"/>
      <c r="AC8894" s="500"/>
      <c r="AD8894" s="500"/>
      <c r="AE8894" s="500"/>
      <c r="AF8894" s="500"/>
      <c r="AG8894" s="500"/>
      <c r="AH8894" s="500"/>
      <c r="AI8894" s="500"/>
      <c r="AJ8894" s="500"/>
      <c r="AK8894" s="500"/>
      <c r="AL8894" s="500"/>
      <c r="AM8894" s="500"/>
      <c r="AN8894" s="500"/>
      <c r="AO8894" s="500"/>
      <c r="AP8894" s="500"/>
    </row>
    <row r="8895" spans="1:42" ht="16.5" customHeight="1">
      <c r="A8895" s="439"/>
      <c r="B8895" s="439"/>
      <c r="C8895" s="439"/>
      <c r="D8895" s="439"/>
      <c r="E8895" s="439"/>
      <c r="F8895" s="439"/>
      <c r="Z8895" s="500"/>
      <c r="AA8895" s="500"/>
      <c r="AB8895" s="500"/>
      <c r="AC8895" s="500"/>
      <c r="AD8895" s="500"/>
      <c r="AE8895" s="500"/>
      <c r="AF8895" s="500"/>
      <c r="AG8895" s="500"/>
      <c r="AH8895" s="500"/>
      <c r="AI8895" s="500"/>
      <c r="AJ8895" s="500"/>
      <c r="AK8895" s="500"/>
      <c r="AL8895" s="500"/>
      <c r="AM8895" s="500"/>
      <c r="AN8895" s="500"/>
      <c r="AO8895" s="500"/>
      <c r="AP8895" s="500"/>
    </row>
    <row r="8896" spans="1:42" ht="16.5" customHeight="1">
      <c r="A8896" s="439"/>
      <c r="B8896" s="439"/>
      <c r="C8896" s="439"/>
      <c r="D8896" s="439"/>
      <c r="E8896" s="439"/>
      <c r="F8896" s="439"/>
      <c r="Z8896" s="500"/>
      <c r="AA8896" s="500"/>
      <c r="AB8896" s="500"/>
      <c r="AC8896" s="500"/>
      <c r="AD8896" s="500"/>
      <c r="AE8896" s="500"/>
      <c r="AF8896" s="500"/>
      <c r="AG8896" s="500"/>
      <c r="AH8896" s="500"/>
      <c r="AI8896" s="500"/>
      <c r="AJ8896" s="500"/>
      <c r="AK8896" s="500"/>
      <c r="AL8896" s="500"/>
      <c r="AM8896" s="500"/>
      <c r="AN8896" s="500"/>
      <c r="AO8896" s="500"/>
      <c r="AP8896" s="500"/>
    </row>
    <row r="8897" spans="1:42" ht="16.5" customHeight="1">
      <c r="A8897" s="439"/>
      <c r="B8897" s="439"/>
      <c r="C8897" s="439"/>
      <c r="D8897" s="439"/>
      <c r="E8897" s="439"/>
      <c r="F8897" s="439"/>
      <c r="Z8897" s="500"/>
      <c r="AA8897" s="500"/>
      <c r="AB8897" s="500"/>
      <c r="AC8897" s="500"/>
      <c r="AD8897" s="500"/>
      <c r="AE8897" s="500"/>
      <c r="AF8897" s="500"/>
      <c r="AG8897" s="500"/>
      <c r="AH8897" s="500"/>
      <c r="AI8897" s="500"/>
      <c r="AJ8897" s="500"/>
      <c r="AK8897" s="500"/>
      <c r="AL8897" s="500"/>
      <c r="AM8897" s="500"/>
      <c r="AN8897" s="500"/>
      <c r="AO8897" s="500"/>
      <c r="AP8897" s="500"/>
    </row>
    <row r="8898" spans="1:42" ht="16.5" customHeight="1">
      <c r="A8898" s="439"/>
      <c r="B8898" s="439"/>
      <c r="C8898" s="439"/>
      <c r="D8898" s="439"/>
      <c r="E8898" s="439"/>
      <c r="F8898" s="439"/>
      <c r="Z8898" s="500"/>
      <c r="AA8898" s="500"/>
      <c r="AB8898" s="500"/>
      <c r="AC8898" s="500"/>
      <c r="AD8898" s="500"/>
      <c r="AE8898" s="500"/>
      <c r="AF8898" s="500"/>
      <c r="AG8898" s="500"/>
      <c r="AH8898" s="500"/>
      <c r="AI8898" s="500"/>
      <c r="AJ8898" s="500"/>
      <c r="AK8898" s="500"/>
      <c r="AL8898" s="500"/>
      <c r="AM8898" s="500"/>
      <c r="AN8898" s="500"/>
      <c r="AO8898" s="500"/>
      <c r="AP8898" s="500"/>
    </row>
    <row r="8899" spans="1:42" ht="16.5" customHeight="1">
      <c r="A8899" s="439"/>
      <c r="B8899" s="439"/>
      <c r="C8899" s="439"/>
      <c r="D8899" s="439"/>
      <c r="E8899" s="439"/>
      <c r="F8899" s="439"/>
      <c r="Z8899" s="500"/>
      <c r="AA8899" s="500"/>
      <c r="AB8899" s="500"/>
      <c r="AC8899" s="500"/>
      <c r="AD8899" s="500"/>
      <c r="AE8899" s="500"/>
      <c r="AF8899" s="500"/>
      <c r="AG8899" s="500"/>
      <c r="AH8899" s="500"/>
      <c r="AI8899" s="500"/>
      <c r="AJ8899" s="500"/>
      <c r="AK8899" s="500"/>
      <c r="AL8899" s="500"/>
      <c r="AM8899" s="500"/>
      <c r="AN8899" s="500"/>
      <c r="AO8899" s="500"/>
      <c r="AP8899" s="500"/>
    </row>
    <row r="8900" spans="1:42" ht="16.5" customHeight="1">
      <c r="A8900" s="439"/>
      <c r="B8900" s="439"/>
      <c r="C8900" s="439"/>
      <c r="D8900" s="439"/>
      <c r="E8900" s="439"/>
      <c r="F8900" s="439"/>
      <c r="Z8900" s="500"/>
      <c r="AA8900" s="500"/>
      <c r="AB8900" s="500"/>
      <c r="AC8900" s="500"/>
      <c r="AD8900" s="500"/>
      <c r="AE8900" s="500"/>
      <c r="AF8900" s="500"/>
      <c r="AG8900" s="500"/>
      <c r="AH8900" s="500"/>
      <c r="AI8900" s="500"/>
      <c r="AJ8900" s="500"/>
      <c r="AK8900" s="500"/>
      <c r="AL8900" s="500"/>
      <c r="AM8900" s="500"/>
      <c r="AN8900" s="500"/>
      <c r="AO8900" s="500"/>
      <c r="AP8900" s="500"/>
    </row>
    <row r="8901" spans="1:42" ht="16.5" customHeight="1">
      <c r="A8901" s="439"/>
      <c r="B8901" s="439"/>
      <c r="C8901" s="439"/>
      <c r="D8901" s="439"/>
      <c r="E8901" s="439"/>
      <c r="F8901" s="439"/>
      <c r="Z8901" s="500"/>
      <c r="AA8901" s="500"/>
      <c r="AB8901" s="500"/>
      <c r="AC8901" s="500"/>
      <c r="AD8901" s="500"/>
      <c r="AE8901" s="500"/>
      <c r="AF8901" s="500"/>
      <c r="AG8901" s="500"/>
      <c r="AH8901" s="500"/>
      <c r="AI8901" s="500"/>
      <c r="AJ8901" s="500"/>
      <c r="AK8901" s="500"/>
      <c r="AL8901" s="500"/>
      <c r="AM8901" s="500"/>
      <c r="AN8901" s="500"/>
      <c r="AO8901" s="500"/>
      <c r="AP8901" s="500"/>
    </row>
    <row r="8902" spans="1:42" ht="16.5" customHeight="1">
      <c r="A8902" s="439"/>
      <c r="B8902" s="439"/>
      <c r="C8902" s="439"/>
      <c r="D8902" s="439"/>
      <c r="E8902" s="439"/>
      <c r="F8902" s="439"/>
      <c r="Z8902" s="500"/>
      <c r="AA8902" s="500"/>
      <c r="AB8902" s="500"/>
      <c r="AC8902" s="500"/>
      <c r="AD8902" s="500"/>
      <c r="AE8902" s="500"/>
      <c r="AF8902" s="500"/>
      <c r="AG8902" s="500"/>
      <c r="AH8902" s="500"/>
      <c r="AI8902" s="500"/>
      <c r="AJ8902" s="500"/>
      <c r="AK8902" s="500"/>
      <c r="AL8902" s="500"/>
      <c r="AM8902" s="500"/>
      <c r="AN8902" s="500"/>
      <c r="AO8902" s="500"/>
      <c r="AP8902" s="500"/>
    </row>
    <row r="8903" spans="1:42" ht="16.5" customHeight="1">
      <c r="A8903" s="497"/>
      <c r="B8903" s="497"/>
      <c r="C8903" s="497"/>
      <c r="D8903" s="497"/>
      <c r="E8903" s="497"/>
      <c r="F8903" s="497"/>
      <c r="Z8903" s="500"/>
      <c r="AA8903" s="500"/>
      <c r="AB8903" s="500"/>
      <c r="AC8903" s="500"/>
      <c r="AD8903" s="500"/>
      <c r="AE8903" s="500"/>
      <c r="AF8903" s="500"/>
      <c r="AG8903" s="500"/>
      <c r="AH8903" s="500"/>
      <c r="AI8903" s="500"/>
      <c r="AJ8903" s="500"/>
      <c r="AK8903" s="500"/>
      <c r="AL8903" s="500"/>
      <c r="AM8903" s="500"/>
      <c r="AN8903" s="500"/>
      <c r="AO8903" s="500"/>
      <c r="AP8903" s="500"/>
    </row>
    <row r="8904" spans="1:42" ht="16.5" customHeight="1">
      <c r="A8904" s="616" t="s">
        <v>4396</v>
      </c>
      <c r="B8904" s="605"/>
      <c r="C8904" s="446">
        <f>E8904+D8904+F8904</f>
        <v>40910</v>
      </c>
      <c r="D8904" s="464">
        <v>0</v>
      </c>
      <c r="E8904" s="465">
        <v>0</v>
      </c>
      <c r="F8904" s="446">
        <f>ROUNDDOWN(SUMIF(N8857:N8861,M8904,E8857:E8861),0)+ROUNDDOWN(SUMIF(N8857:N8861,M8904,D8857:D8861),0)+ROUNDDOWN(SUMIF(N8857:N8861,M8904,F8857:F8861),0)</f>
        <v>40910</v>
      </c>
      <c r="M8904" s="501" t="s">
        <v>2354</v>
      </c>
      <c r="Z8904" s="500"/>
      <c r="AA8904" s="500"/>
      <c r="AB8904" s="500"/>
      <c r="AC8904" s="500"/>
      <c r="AD8904" s="500"/>
      <c r="AE8904" s="500"/>
      <c r="AF8904" s="500"/>
      <c r="AG8904" s="500"/>
      <c r="AH8904" s="500"/>
      <c r="AI8904" s="500"/>
      <c r="AJ8904" s="500"/>
      <c r="AK8904" s="500"/>
      <c r="AL8904" s="500"/>
      <c r="AM8904" s="500"/>
      <c r="AN8904" s="500"/>
      <c r="AO8904" s="500"/>
      <c r="AP8904" s="500"/>
    </row>
    <row r="8905" spans="1:42" ht="16.5" customHeight="1">
      <c r="A8905" s="502"/>
      <c r="B8905" s="503" t="s">
        <v>2269</v>
      </c>
      <c r="C8905" s="615">
        <f>C8954</f>
        <v>31142</v>
      </c>
      <c r="D8905" s="615">
        <f>D8954</f>
        <v>0</v>
      </c>
      <c r="E8905" s="615">
        <f>E8954</f>
        <v>0</v>
      </c>
      <c r="F8905" s="615">
        <f>F8954</f>
        <v>31142</v>
      </c>
      <c r="G8905" s="486" t="str">
        <f>HYPERLINK("#G"&amp;ROW(G8911),"_x0005_`BDCOD|D01223_x0007_`POSS|"&amp;ROW(G8907)&amp;"_x0007_`POSE|"&amp;ROW(G8911)&amp;"_x0007_`")</f>
        <v>_x0005_`BDCOD|D01223_x0007_`POSS|8907_x0007_`POSE|8911_x0007_`</v>
      </c>
      <c r="Z8905" s="500"/>
      <c r="AA8905" s="500"/>
      <c r="AB8905" s="500"/>
      <c r="AC8905" s="500"/>
      <c r="AD8905" s="500"/>
      <c r="AE8905" s="500"/>
      <c r="AF8905" s="500"/>
      <c r="AG8905" s="500"/>
      <c r="AH8905" s="500"/>
      <c r="AI8905" s="500"/>
      <c r="AJ8905" s="500"/>
      <c r="AK8905" s="500"/>
      <c r="AL8905" s="500"/>
      <c r="AM8905" s="500"/>
      <c r="AN8905" s="500"/>
      <c r="AO8905" s="500"/>
      <c r="AP8905" s="500"/>
    </row>
    <row r="8906" spans="1:42" ht="16.5" customHeight="1">
      <c r="A8906" s="485"/>
      <c r="B8906" s="503" t="s">
        <v>4417</v>
      </c>
      <c r="C8906" s="593"/>
      <c r="D8906" s="593"/>
      <c r="E8906" s="593"/>
      <c r="F8906" s="593"/>
      <c r="M8906" s="501" t="s">
        <v>2269</v>
      </c>
      <c r="Z8906" s="500"/>
      <c r="AA8906" s="500"/>
      <c r="AB8906" s="500"/>
      <c r="AC8906" s="500"/>
      <c r="AD8906" s="500"/>
      <c r="AE8906" s="500"/>
      <c r="AF8906" s="500"/>
      <c r="AG8906" s="500"/>
      <c r="AH8906" s="500"/>
      <c r="AI8906" s="500"/>
      <c r="AJ8906" s="500"/>
      <c r="AK8906" s="500"/>
      <c r="AL8906" s="500"/>
      <c r="AM8906" s="500"/>
      <c r="AN8906" s="500"/>
      <c r="AO8906" s="500"/>
      <c r="AP8906" s="500"/>
    </row>
    <row r="8907" spans="1:42" ht="16.5" customHeight="1">
      <c r="A8907" s="439"/>
      <c r="B8907" s="439"/>
      <c r="C8907" s="504"/>
      <c r="D8907" s="504"/>
      <c r="E8907" s="504"/>
      <c r="F8907" s="504"/>
      <c r="G8907" s="451" t="s">
        <v>3406</v>
      </c>
      <c r="Z8907" s="500"/>
      <c r="AA8907" s="500"/>
      <c r="AB8907" s="500"/>
      <c r="AC8907" s="500"/>
      <c r="AD8907" s="500"/>
      <c r="AE8907" s="500"/>
      <c r="AF8907" s="500"/>
      <c r="AG8907" s="500"/>
      <c r="AH8907" s="500"/>
      <c r="AI8907" s="500"/>
      <c r="AJ8907" s="500"/>
      <c r="AK8907" s="500"/>
      <c r="AL8907" s="500"/>
      <c r="AM8907" s="500"/>
      <c r="AN8907" s="500"/>
      <c r="AO8907" s="500"/>
      <c r="AP8907" s="500"/>
    </row>
    <row r="8908" spans="1:42" ht="16.5" customHeight="1">
      <c r="A8908" s="434" t="s">
        <v>4418</v>
      </c>
      <c r="B8908" s="505" t="str">
        <f>" 폐기물 처리 : "&amp;TEXT(I8908,"#,##0"&amp;IF(I8908&lt;&gt;INT(I8908),".###",""))&amp;" * "&amp;AA8908&amp;" Ton  = "&amp;TEXT(C8908,"#,##0.0")&amp;""</f>
        <v xml:space="preserve"> 폐기물 처리 : 31,142 * 1 Ton  = 31,142.0</v>
      </c>
      <c r="C8908" s="506">
        <f>E8908+D8908+F8908</f>
        <v>31142</v>
      </c>
      <c r="D8908" s="506">
        <f>IF(H8908=0,0,ROUNDDOWN(J8908*H8908,1))</f>
        <v>0</v>
      </c>
      <c r="E8908" s="506">
        <f>IF(H8908=0,0,ROUNDDOWN(K8908*H8908,1))</f>
        <v>31142</v>
      </c>
      <c r="F8908" s="506">
        <f>IF(H8908=0,0,ROUNDDOWN(L8908*H8908,1))</f>
        <v>0</v>
      </c>
      <c r="G8908" s="451" t="s">
        <v>4419</v>
      </c>
      <c r="H8908" s="507">
        <f>ROUNDUP(AC8908,14-LEN(ABS(INT(AC8908))))</f>
        <v>1</v>
      </c>
      <c r="I8908" s="508">
        <f>K8908+J8908+L8908</f>
        <v>31142</v>
      </c>
      <c r="K8908" s="509">
        <f>재료비목록표!E108</f>
        <v>31142</v>
      </c>
      <c r="M8908" s="501" t="s">
        <v>4420</v>
      </c>
      <c r="N8908" s="501" t="s">
        <v>3421</v>
      </c>
      <c r="X8908" s="510" t="str">
        <f>재료비목록표!B108&amp;" / "&amp;재료비목록표!C108</f>
        <v>폐기물 처리 / 폐콘크리트</v>
      </c>
      <c r="Y8908" s="433" t="str">
        <f ca="1">HYPERLINK("#"&amp;재료비목록표!G2&amp;"!A"&amp;ROW(재료비목록표!A108),"M08781 →")</f>
        <v>M08781 →</v>
      </c>
      <c r="Z8908" s="501" t="s">
        <v>3500</v>
      </c>
      <c r="AA8908" s="515">
        <v>1</v>
      </c>
      <c r="AB8908" s="501" t="s">
        <v>3418</v>
      </c>
      <c r="AC8908" s="512">
        <f>1*AA8908</f>
        <v>1</v>
      </c>
      <c r="AD8908" s="500"/>
      <c r="AE8908" s="500"/>
      <c r="AF8908" s="500"/>
      <c r="AG8908" s="500"/>
      <c r="AH8908" s="500"/>
      <c r="AI8908" s="500"/>
      <c r="AJ8908" s="500"/>
      <c r="AK8908" s="500"/>
      <c r="AL8908" s="500"/>
      <c r="AM8908" s="500"/>
      <c r="AN8908" s="500"/>
      <c r="AO8908" s="500"/>
      <c r="AP8908" s="500"/>
    </row>
    <row r="8909" spans="1:42" ht="16.5" customHeight="1">
      <c r="A8909" s="439"/>
      <c r="B8909" s="439"/>
      <c r="C8909" s="439"/>
      <c r="D8909" s="439"/>
      <c r="E8909" s="439"/>
      <c r="F8909" s="439"/>
      <c r="G8909" s="451" t="s">
        <v>3406</v>
      </c>
      <c r="Z8909" s="500"/>
      <c r="AA8909" s="500"/>
      <c r="AB8909" s="500"/>
      <c r="AC8909" s="500"/>
      <c r="AD8909" s="500"/>
      <c r="AE8909" s="500"/>
      <c r="AF8909" s="500"/>
      <c r="AG8909" s="500"/>
      <c r="AH8909" s="500"/>
      <c r="AI8909" s="500"/>
      <c r="AJ8909" s="500"/>
      <c r="AK8909" s="500"/>
      <c r="AL8909" s="500"/>
      <c r="AM8909" s="500"/>
      <c r="AN8909" s="500"/>
      <c r="AO8909" s="500"/>
      <c r="AP8909" s="500"/>
    </row>
    <row r="8910" spans="1:42" ht="16.5" customHeight="1">
      <c r="A8910" s="439"/>
      <c r="B8910" s="439"/>
      <c r="C8910" s="439"/>
      <c r="D8910" s="439"/>
      <c r="E8910" s="439"/>
      <c r="F8910" s="439"/>
      <c r="G8910" s="451" t="s">
        <v>3406</v>
      </c>
      <c r="Z8910" s="500"/>
      <c r="AA8910" s="500"/>
      <c r="AB8910" s="500"/>
      <c r="AC8910" s="500"/>
      <c r="AD8910" s="500"/>
      <c r="AE8910" s="500"/>
      <c r="AF8910" s="500"/>
      <c r="AG8910" s="500"/>
      <c r="AH8910" s="500"/>
      <c r="AI8910" s="500"/>
      <c r="AJ8910" s="500"/>
      <c r="AK8910" s="500"/>
      <c r="AL8910" s="500"/>
      <c r="AM8910" s="500"/>
      <c r="AN8910" s="500"/>
      <c r="AO8910" s="500"/>
      <c r="AP8910" s="500"/>
    </row>
    <row r="8911" spans="1:42" ht="16.5" customHeight="1">
      <c r="A8911" s="434"/>
      <c r="B8911" s="437" t="s">
        <v>3440</v>
      </c>
      <c r="C8911" s="513">
        <f>E8911+D8911+F8911</f>
        <v>31142</v>
      </c>
      <c r="D8911" s="513">
        <f>SUMIF(N8907:N8910,M8911,D8907:D8910)</f>
        <v>0</v>
      </c>
      <c r="E8911" s="513">
        <f>SUMIF(N8907:N8910,M8911,E8907:E8910)</f>
        <v>31142</v>
      </c>
      <c r="F8911" s="513">
        <f>SUMIF(N8907:N8910,M8911,F8907:F8910)</f>
        <v>0</v>
      </c>
      <c r="G8911" s="451" t="s">
        <v>3484</v>
      </c>
      <c r="M8911" s="501" t="s">
        <v>3421</v>
      </c>
      <c r="N8911" s="501" t="s">
        <v>2354</v>
      </c>
      <c r="Z8911" s="500"/>
      <c r="AA8911" s="500"/>
      <c r="AB8911" s="500"/>
      <c r="AC8911" s="500"/>
      <c r="AD8911" s="500"/>
      <c r="AE8911" s="500"/>
      <c r="AF8911" s="500"/>
      <c r="AG8911" s="500"/>
      <c r="AH8911" s="500"/>
      <c r="AI8911" s="500"/>
      <c r="AJ8911" s="500"/>
      <c r="AK8911" s="500"/>
      <c r="AL8911" s="500"/>
      <c r="AM8911" s="500"/>
      <c r="AN8911" s="500"/>
      <c r="AO8911" s="500"/>
      <c r="AP8911" s="500"/>
    </row>
    <row r="8912" spans="1:42" ht="16.5" customHeight="1">
      <c r="A8912" s="439"/>
      <c r="B8912" s="439"/>
      <c r="C8912" s="504"/>
      <c r="D8912" s="504"/>
      <c r="E8912" s="504"/>
      <c r="F8912" s="504"/>
      <c r="Z8912" s="500"/>
      <c r="AA8912" s="500"/>
      <c r="AB8912" s="500"/>
      <c r="AC8912" s="500"/>
      <c r="AD8912" s="500"/>
      <c r="AE8912" s="500"/>
      <c r="AF8912" s="500"/>
      <c r="AG8912" s="500"/>
      <c r="AH8912" s="500"/>
      <c r="AI8912" s="500"/>
      <c r="AJ8912" s="500"/>
      <c r="AK8912" s="500"/>
      <c r="AL8912" s="500"/>
      <c r="AM8912" s="500"/>
      <c r="AN8912" s="500"/>
      <c r="AO8912" s="500"/>
      <c r="AP8912" s="500"/>
    </row>
    <row r="8913" spans="1:42" ht="16.5" customHeight="1">
      <c r="A8913" s="439"/>
      <c r="B8913" s="439"/>
      <c r="C8913" s="439"/>
      <c r="D8913" s="439"/>
      <c r="E8913" s="439"/>
      <c r="F8913" s="439"/>
      <c r="Z8913" s="500"/>
      <c r="AA8913" s="500"/>
      <c r="AB8913" s="500"/>
      <c r="AC8913" s="500"/>
      <c r="AD8913" s="500"/>
      <c r="AE8913" s="500"/>
      <c r="AF8913" s="500"/>
      <c r="AG8913" s="500"/>
      <c r="AH8913" s="500"/>
      <c r="AI8913" s="500"/>
      <c r="AJ8913" s="500"/>
      <c r="AK8913" s="500"/>
      <c r="AL8913" s="500"/>
      <c r="AM8913" s="500"/>
      <c r="AN8913" s="500"/>
      <c r="AO8913" s="500"/>
      <c r="AP8913" s="500"/>
    </row>
    <row r="8914" spans="1:42" ht="16.5" customHeight="1">
      <c r="A8914" s="439"/>
      <c r="B8914" s="439"/>
      <c r="C8914" s="439"/>
      <c r="D8914" s="439"/>
      <c r="E8914" s="439"/>
      <c r="F8914" s="439"/>
      <c r="Z8914" s="500"/>
      <c r="AA8914" s="500"/>
      <c r="AB8914" s="500"/>
      <c r="AC8914" s="500"/>
      <c r="AD8914" s="500"/>
      <c r="AE8914" s="500"/>
      <c r="AF8914" s="500"/>
      <c r="AG8914" s="500"/>
      <c r="AH8914" s="500"/>
      <c r="AI8914" s="500"/>
      <c r="AJ8914" s="500"/>
      <c r="AK8914" s="500"/>
      <c r="AL8914" s="500"/>
      <c r="AM8914" s="500"/>
      <c r="AN8914" s="500"/>
      <c r="AO8914" s="500"/>
      <c r="AP8914" s="500"/>
    </row>
    <row r="8915" spans="1:42" ht="16.5" customHeight="1">
      <c r="A8915" s="439"/>
      <c r="B8915" s="439"/>
      <c r="C8915" s="439"/>
      <c r="D8915" s="439"/>
      <c r="E8915" s="439"/>
      <c r="F8915" s="439"/>
      <c r="Z8915" s="500"/>
      <c r="AA8915" s="500"/>
      <c r="AB8915" s="500"/>
      <c r="AC8915" s="500"/>
      <c r="AD8915" s="500"/>
      <c r="AE8915" s="500"/>
      <c r="AF8915" s="500"/>
      <c r="AG8915" s="500"/>
      <c r="AH8915" s="500"/>
      <c r="AI8915" s="500"/>
      <c r="AJ8915" s="500"/>
      <c r="AK8915" s="500"/>
      <c r="AL8915" s="500"/>
      <c r="AM8915" s="500"/>
      <c r="AN8915" s="500"/>
      <c r="AO8915" s="500"/>
      <c r="AP8915" s="500"/>
    </row>
    <row r="8916" spans="1:42" ht="16.5" customHeight="1">
      <c r="A8916" s="439"/>
      <c r="B8916" s="439"/>
      <c r="C8916" s="439"/>
      <c r="D8916" s="439"/>
      <c r="E8916" s="439"/>
      <c r="F8916" s="439"/>
      <c r="Z8916" s="500"/>
      <c r="AA8916" s="500"/>
      <c r="AB8916" s="500"/>
      <c r="AC8916" s="500"/>
      <c r="AD8916" s="500"/>
      <c r="AE8916" s="500"/>
      <c r="AF8916" s="500"/>
      <c r="AG8916" s="500"/>
      <c r="AH8916" s="500"/>
      <c r="AI8916" s="500"/>
      <c r="AJ8916" s="500"/>
      <c r="AK8916" s="500"/>
      <c r="AL8916" s="500"/>
      <c r="AM8916" s="500"/>
      <c r="AN8916" s="500"/>
      <c r="AO8916" s="500"/>
      <c r="AP8916" s="500"/>
    </row>
    <row r="8917" spans="1:42" ht="16.5" customHeight="1">
      <c r="A8917" s="439"/>
      <c r="B8917" s="439"/>
      <c r="C8917" s="439"/>
      <c r="D8917" s="439"/>
      <c r="E8917" s="439"/>
      <c r="F8917" s="439"/>
      <c r="Z8917" s="500"/>
      <c r="AA8917" s="500"/>
      <c r="AB8917" s="500"/>
      <c r="AC8917" s="500"/>
      <c r="AD8917" s="500"/>
      <c r="AE8917" s="500"/>
      <c r="AF8917" s="500"/>
      <c r="AG8917" s="500"/>
      <c r="AH8917" s="500"/>
      <c r="AI8917" s="500"/>
      <c r="AJ8917" s="500"/>
      <c r="AK8917" s="500"/>
      <c r="AL8917" s="500"/>
      <c r="AM8917" s="500"/>
      <c r="AN8917" s="500"/>
      <c r="AO8917" s="500"/>
      <c r="AP8917" s="500"/>
    </row>
    <row r="8918" spans="1:42" ht="16.5" customHeight="1">
      <c r="A8918" s="439"/>
      <c r="B8918" s="439"/>
      <c r="C8918" s="439"/>
      <c r="D8918" s="439"/>
      <c r="E8918" s="439"/>
      <c r="F8918" s="439"/>
      <c r="Z8918" s="500"/>
      <c r="AA8918" s="500"/>
      <c r="AB8918" s="500"/>
      <c r="AC8918" s="500"/>
      <c r="AD8918" s="500"/>
      <c r="AE8918" s="500"/>
      <c r="AF8918" s="500"/>
      <c r="AG8918" s="500"/>
      <c r="AH8918" s="500"/>
      <c r="AI8918" s="500"/>
      <c r="AJ8918" s="500"/>
      <c r="AK8918" s="500"/>
      <c r="AL8918" s="500"/>
      <c r="AM8918" s="500"/>
      <c r="AN8918" s="500"/>
      <c r="AO8918" s="500"/>
      <c r="AP8918" s="500"/>
    </row>
    <row r="8919" spans="1:42" ht="16.5" customHeight="1">
      <c r="A8919" s="439"/>
      <c r="B8919" s="439"/>
      <c r="C8919" s="439"/>
      <c r="D8919" s="439"/>
      <c r="E8919" s="439"/>
      <c r="F8919" s="439"/>
      <c r="Z8919" s="500"/>
      <c r="AA8919" s="500"/>
      <c r="AB8919" s="500"/>
      <c r="AC8919" s="500"/>
      <c r="AD8919" s="500"/>
      <c r="AE8919" s="500"/>
      <c r="AF8919" s="500"/>
      <c r="AG8919" s="500"/>
      <c r="AH8919" s="500"/>
      <c r="AI8919" s="500"/>
      <c r="AJ8919" s="500"/>
      <c r="AK8919" s="500"/>
      <c r="AL8919" s="500"/>
      <c r="AM8919" s="500"/>
      <c r="AN8919" s="500"/>
      <c r="AO8919" s="500"/>
      <c r="AP8919" s="500"/>
    </row>
    <row r="8920" spans="1:42" ht="16.5" customHeight="1">
      <c r="A8920" s="439"/>
      <c r="B8920" s="439"/>
      <c r="C8920" s="439"/>
      <c r="D8920" s="439"/>
      <c r="E8920" s="439"/>
      <c r="F8920" s="439"/>
      <c r="Z8920" s="500"/>
      <c r="AA8920" s="500"/>
      <c r="AB8920" s="500"/>
      <c r="AC8920" s="500"/>
      <c r="AD8920" s="500"/>
      <c r="AE8920" s="500"/>
      <c r="AF8920" s="500"/>
      <c r="AG8920" s="500"/>
      <c r="AH8920" s="500"/>
      <c r="AI8920" s="500"/>
      <c r="AJ8920" s="500"/>
      <c r="AK8920" s="500"/>
      <c r="AL8920" s="500"/>
      <c r="AM8920" s="500"/>
      <c r="AN8920" s="500"/>
      <c r="AO8920" s="500"/>
      <c r="AP8920" s="500"/>
    </row>
    <row r="8921" spans="1:42" ht="16.5" customHeight="1">
      <c r="A8921" s="439"/>
      <c r="B8921" s="439"/>
      <c r="C8921" s="439"/>
      <c r="D8921" s="439"/>
      <c r="E8921" s="439"/>
      <c r="F8921" s="439"/>
      <c r="Z8921" s="500"/>
      <c r="AA8921" s="500"/>
      <c r="AB8921" s="500"/>
      <c r="AC8921" s="500"/>
      <c r="AD8921" s="500"/>
      <c r="AE8921" s="500"/>
      <c r="AF8921" s="500"/>
      <c r="AG8921" s="500"/>
      <c r="AH8921" s="500"/>
      <c r="AI8921" s="500"/>
      <c r="AJ8921" s="500"/>
      <c r="AK8921" s="500"/>
      <c r="AL8921" s="500"/>
      <c r="AM8921" s="500"/>
      <c r="AN8921" s="500"/>
      <c r="AO8921" s="500"/>
      <c r="AP8921" s="500"/>
    </row>
    <row r="8922" spans="1:42" ht="16.5" customHeight="1">
      <c r="A8922" s="439"/>
      <c r="B8922" s="439"/>
      <c r="C8922" s="439"/>
      <c r="D8922" s="439"/>
      <c r="E8922" s="439"/>
      <c r="F8922" s="439"/>
      <c r="Z8922" s="500"/>
      <c r="AA8922" s="500"/>
      <c r="AB8922" s="500"/>
      <c r="AC8922" s="500"/>
      <c r="AD8922" s="500"/>
      <c r="AE8922" s="500"/>
      <c r="AF8922" s="500"/>
      <c r="AG8922" s="500"/>
      <c r="AH8922" s="500"/>
      <c r="AI8922" s="500"/>
      <c r="AJ8922" s="500"/>
      <c r="AK8922" s="500"/>
      <c r="AL8922" s="500"/>
      <c r="AM8922" s="500"/>
      <c r="AN8922" s="500"/>
      <c r="AO8922" s="500"/>
      <c r="AP8922" s="500"/>
    </row>
    <row r="8923" spans="1:42" ht="16.5" customHeight="1">
      <c r="A8923" s="439"/>
      <c r="B8923" s="439"/>
      <c r="C8923" s="439"/>
      <c r="D8923" s="439"/>
      <c r="E8923" s="439"/>
      <c r="F8923" s="439"/>
      <c r="Z8923" s="500"/>
      <c r="AA8923" s="500"/>
      <c r="AB8923" s="500"/>
      <c r="AC8923" s="500"/>
      <c r="AD8923" s="500"/>
      <c r="AE8923" s="500"/>
      <c r="AF8923" s="500"/>
      <c r="AG8923" s="500"/>
      <c r="AH8923" s="500"/>
      <c r="AI8923" s="500"/>
      <c r="AJ8923" s="500"/>
      <c r="AK8923" s="500"/>
      <c r="AL8923" s="500"/>
      <c r="AM8923" s="500"/>
      <c r="AN8923" s="500"/>
      <c r="AO8923" s="500"/>
      <c r="AP8923" s="500"/>
    </row>
    <row r="8924" spans="1:42" ht="16.5" customHeight="1">
      <c r="A8924" s="439"/>
      <c r="B8924" s="439"/>
      <c r="C8924" s="439"/>
      <c r="D8924" s="439"/>
      <c r="E8924" s="439"/>
      <c r="F8924" s="439"/>
      <c r="Z8924" s="500"/>
      <c r="AA8924" s="500"/>
      <c r="AB8924" s="500"/>
      <c r="AC8924" s="500"/>
      <c r="AD8924" s="500"/>
      <c r="AE8924" s="500"/>
      <c r="AF8924" s="500"/>
      <c r="AG8924" s="500"/>
      <c r="AH8924" s="500"/>
      <c r="AI8924" s="500"/>
      <c r="AJ8924" s="500"/>
      <c r="AK8924" s="500"/>
      <c r="AL8924" s="500"/>
      <c r="AM8924" s="500"/>
      <c r="AN8924" s="500"/>
      <c r="AO8924" s="500"/>
      <c r="AP8924" s="500"/>
    </row>
    <row r="8925" spans="1:42" ht="16.5" customHeight="1">
      <c r="A8925" s="439"/>
      <c r="B8925" s="439"/>
      <c r="C8925" s="439"/>
      <c r="D8925" s="439"/>
      <c r="E8925" s="439"/>
      <c r="F8925" s="439"/>
      <c r="Z8925" s="500"/>
      <c r="AA8925" s="500"/>
      <c r="AB8925" s="500"/>
      <c r="AC8925" s="500"/>
      <c r="AD8925" s="500"/>
      <c r="AE8925" s="500"/>
      <c r="AF8925" s="500"/>
      <c r="AG8925" s="500"/>
      <c r="AH8925" s="500"/>
      <c r="AI8925" s="500"/>
      <c r="AJ8925" s="500"/>
      <c r="AK8925" s="500"/>
      <c r="AL8925" s="500"/>
      <c r="AM8925" s="500"/>
      <c r="AN8925" s="500"/>
      <c r="AO8925" s="500"/>
      <c r="AP8925" s="500"/>
    </row>
    <row r="8926" spans="1:42" ht="16.5" customHeight="1">
      <c r="A8926" s="439"/>
      <c r="B8926" s="439"/>
      <c r="C8926" s="439"/>
      <c r="D8926" s="439"/>
      <c r="E8926" s="439"/>
      <c r="F8926" s="439"/>
      <c r="Z8926" s="500"/>
      <c r="AA8926" s="500"/>
      <c r="AB8926" s="500"/>
      <c r="AC8926" s="500"/>
      <c r="AD8926" s="500"/>
      <c r="AE8926" s="500"/>
      <c r="AF8926" s="500"/>
      <c r="AG8926" s="500"/>
      <c r="AH8926" s="500"/>
      <c r="AI8926" s="500"/>
      <c r="AJ8926" s="500"/>
      <c r="AK8926" s="500"/>
      <c r="AL8926" s="500"/>
      <c r="AM8926" s="500"/>
      <c r="AN8926" s="500"/>
      <c r="AO8926" s="500"/>
      <c r="AP8926" s="500"/>
    </row>
    <row r="8927" spans="1:42" ht="16.5" customHeight="1">
      <c r="A8927" s="439"/>
      <c r="B8927" s="439"/>
      <c r="C8927" s="439"/>
      <c r="D8927" s="439"/>
      <c r="E8927" s="439"/>
      <c r="F8927" s="439"/>
      <c r="Z8927" s="500"/>
      <c r="AA8927" s="500"/>
      <c r="AB8927" s="500"/>
      <c r="AC8927" s="500"/>
      <c r="AD8927" s="500"/>
      <c r="AE8927" s="500"/>
      <c r="AF8927" s="500"/>
      <c r="AG8927" s="500"/>
      <c r="AH8927" s="500"/>
      <c r="AI8927" s="500"/>
      <c r="AJ8927" s="500"/>
      <c r="AK8927" s="500"/>
      <c r="AL8927" s="500"/>
      <c r="AM8927" s="500"/>
      <c r="AN8927" s="500"/>
      <c r="AO8927" s="500"/>
      <c r="AP8927" s="500"/>
    </row>
    <row r="8928" spans="1:42" ht="16.5" customHeight="1">
      <c r="A8928" s="439"/>
      <c r="B8928" s="439"/>
      <c r="C8928" s="439"/>
      <c r="D8928" s="439"/>
      <c r="E8928" s="439"/>
      <c r="F8928" s="439"/>
      <c r="Z8928" s="500"/>
      <c r="AA8928" s="500"/>
      <c r="AB8928" s="500"/>
      <c r="AC8928" s="500"/>
      <c r="AD8928" s="500"/>
      <c r="AE8928" s="500"/>
      <c r="AF8928" s="500"/>
      <c r="AG8928" s="500"/>
      <c r="AH8928" s="500"/>
      <c r="AI8928" s="500"/>
      <c r="AJ8928" s="500"/>
      <c r="AK8928" s="500"/>
      <c r="AL8928" s="500"/>
      <c r="AM8928" s="500"/>
      <c r="AN8928" s="500"/>
      <c r="AO8928" s="500"/>
      <c r="AP8928" s="500"/>
    </row>
    <row r="8929" spans="1:42" ht="16.5" customHeight="1">
      <c r="A8929" s="439"/>
      <c r="B8929" s="439"/>
      <c r="C8929" s="439"/>
      <c r="D8929" s="439"/>
      <c r="E8929" s="439"/>
      <c r="F8929" s="439"/>
      <c r="Z8929" s="500"/>
      <c r="AA8929" s="500"/>
      <c r="AB8929" s="500"/>
      <c r="AC8929" s="500"/>
      <c r="AD8929" s="500"/>
      <c r="AE8929" s="500"/>
      <c r="AF8929" s="500"/>
      <c r="AG8929" s="500"/>
      <c r="AH8929" s="500"/>
      <c r="AI8929" s="500"/>
      <c r="AJ8929" s="500"/>
      <c r="AK8929" s="500"/>
      <c r="AL8929" s="500"/>
      <c r="AM8929" s="500"/>
      <c r="AN8929" s="500"/>
      <c r="AO8929" s="500"/>
      <c r="AP8929" s="500"/>
    </row>
    <row r="8930" spans="1:42" ht="16.5" customHeight="1">
      <c r="A8930" s="439"/>
      <c r="B8930" s="439"/>
      <c r="C8930" s="439"/>
      <c r="D8930" s="439"/>
      <c r="E8930" s="439"/>
      <c r="F8930" s="439"/>
      <c r="Z8930" s="500"/>
      <c r="AA8930" s="500"/>
      <c r="AB8930" s="500"/>
      <c r="AC8930" s="500"/>
      <c r="AD8930" s="500"/>
      <c r="AE8930" s="500"/>
      <c r="AF8930" s="500"/>
      <c r="AG8930" s="500"/>
      <c r="AH8930" s="500"/>
      <c r="AI8930" s="500"/>
      <c r="AJ8930" s="500"/>
      <c r="AK8930" s="500"/>
      <c r="AL8930" s="500"/>
      <c r="AM8930" s="500"/>
      <c r="AN8930" s="500"/>
      <c r="AO8930" s="500"/>
      <c r="AP8930" s="500"/>
    </row>
    <row r="8931" spans="1:42" ht="16.5" customHeight="1">
      <c r="A8931" s="439"/>
      <c r="B8931" s="439"/>
      <c r="C8931" s="439"/>
      <c r="D8931" s="439"/>
      <c r="E8931" s="439"/>
      <c r="F8931" s="439"/>
      <c r="Z8931" s="500"/>
      <c r="AA8931" s="500"/>
      <c r="AB8931" s="500"/>
      <c r="AC8931" s="500"/>
      <c r="AD8931" s="500"/>
      <c r="AE8931" s="500"/>
      <c r="AF8931" s="500"/>
      <c r="AG8931" s="500"/>
      <c r="AH8931" s="500"/>
      <c r="AI8931" s="500"/>
      <c r="AJ8931" s="500"/>
      <c r="AK8931" s="500"/>
      <c r="AL8931" s="500"/>
      <c r="AM8931" s="500"/>
      <c r="AN8931" s="500"/>
      <c r="AO8931" s="500"/>
      <c r="AP8931" s="500"/>
    </row>
    <row r="8932" spans="1:42" ht="16.5" customHeight="1">
      <c r="A8932" s="439"/>
      <c r="B8932" s="439"/>
      <c r="C8932" s="439"/>
      <c r="D8932" s="439"/>
      <c r="E8932" s="439"/>
      <c r="F8932" s="439"/>
      <c r="Z8932" s="500"/>
      <c r="AA8932" s="500"/>
      <c r="AB8932" s="500"/>
      <c r="AC8932" s="500"/>
      <c r="AD8932" s="500"/>
      <c r="AE8932" s="500"/>
      <c r="AF8932" s="500"/>
      <c r="AG8932" s="500"/>
      <c r="AH8932" s="500"/>
      <c r="AI8932" s="500"/>
      <c r="AJ8932" s="500"/>
      <c r="AK8932" s="500"/>
      <c r="AL8932" s="500"/>
      <c r="AM8932" s="500"/>
      <c r="AN8932" s="500"/>
      <c r="AO8932" s="500"/>
      <c r="AP8932" s="500"/>
    </row>
    <row r="8933" spans="1:42" ht="16.5" customHeight="1">
      <c r="A8933" s="439"/>
      <c r="B8933" s="439"/>
      <c r="C8933" s="439"/>
      <c r="D8933" s="439"/>
      <c r="E8933" s="439"/>
      <c r="F8933" s="439"/>
      <c r="Z8933" s="500"/>
      <c r="AA8933" s="500"/>
      <c r="AB8933" s="500"/>
      <c r="AC8933" s="500"/>
      <c r="AD8933" s="500"/>
      <c r="AE8933" s="500"/>
      <c r="AF8933" s="500"/>
      <c r="AG8933" s="500"/>
      <c r="AH8933" s="500"/>
      <c r="AI8933" s="500"/>
      <c r="AJ8933" s="500"/>
      <c r="AK8933" s="500"/>
      <c r="AL8933" s="500"/>
      <c r="AM8933" s="500"/>
      <c r="AN8933" s="500"/>
      <c r="AO8933" s="500"/>
      <c r="AP8933" s="500"/>
    </row>
    <row r="8934" spans="1:42" ht="16.5" customHeight="1">
      <c r="A8934" s="439"/>
      <c r="B8934" s="439"/>
      <c r="C8934" s="439"/>
      <c r="D8934" s="439"/>
      <c r="E8934" s="439"/>
      <c r="F8934" s="439"/>
      <c r="Z8934" s="500"/>
      <c r="AA8934" s="500"/>
      <c r="AB8934" s="500"/>
      <c r="AC8934" s="500"/>
      <c r="AD8934" s="500"/>
      <c r="AE8934" s="500"/>
      <c r="AF8934" s="500"/>
      <c r="AG8934" s="500"/>
      <c r="AH8934" s="500"/>
      <c r="AI8934" s="500"/>
      <c r="AJ8934" s="500"/>
      <c r="AK8934" s="500"/>
      <c r="AL8934" s="500"/>
      <c r="AM8934" s="500"/>
      <c r="AN8934" s="500"/>
      <c r="AO8934" s="500"/>
      <c r="AP8934" s="500"/>
    </row>
    <row r="8935" spans="1:42" ht="16.5" customHeight="1">
      <c r="A8935" s="439"/>
      <c r="B8935" s="439"/>
      <c r="C8935" s="439"/>
      <c r="D8935" s="439"/>
      <c r="E8935" s="439"/>
      <c r="F8935" s="439"/>
      <c r="Z8935" s="500"/>
      <c r="AA8935" s="500"/>
      <c r="AB8935" s="500"/>
      <c r="AC8935" s="500"/>
      <c r="AD8935" s="500"/>
      <c r="AE8935" s="500"/>
      <c r="AF8935" s="500"/>
      <c r="AG8935" s="500"/>
      <c r="AH8935" s="500"/>
      <c r="AI8935" s="500"/>
      <c r="AJ8935" s="500"/>
      <c r="AK8935" s="500"/>
      <c r="AL8935" s="500"/>
      <c r="AM8935" s="500"/>
      <c r="AN8935" s="500"/>
      <c r="AO8935" s="500"/>
      <c r="AP8935" s="500"/>
    </row>
    <row r="8936" spans="1:42" ht="16.5" customHeight="1">
      <c r="A8936" s="439"/>
      <c r="B8936" s="439"/>
      <c r="C8936" s="439"/>
      <c r="D8936" s="439"/>
      <c r="E8936" s="439"/>
      <c r="F8936" s="439"/>
      <c r="Z8936" s="500"/>
      <c r="AA8936" s="500"/>
      <c r="AB8936" s="500"/>
      <c r="AC8936" s="500"/>
      <c r="AD8936" s="500"/>
      <c r="AE8936" s="500"/>
      <c r="AF8936" s="500"/>
      <c r="AG8936" s="500"/>
      <c r="AH8936" s="500"/>
      <c r="AI8936" s="500"/>
      <c r="AJ8936" s="500"/>
      <c r="AK8936" s="500"/>
      <c r="AL8936" s="500"/>
      <c r="AM8936" s="500"/>
      <c r="AN8936" s="500"/>
      <c r="AO8936" s="500"/>
      <c r="AP8936" s="500"/>
    </row>
    <row r="8937" spans="1:42" ht="16.5" customHeight="1">
      <c r="A8937" s="439"/>
      <c r="B8937" s="439"/>
      <c r="C8937" s="439"/>
      <c r="D8937" s="439"/>
      <c r="E8937" s="439"/>
      <c r="F8937" s="439"/>
      <c r="Z8937" s="500"/>
      <c r="AA8937" s="500"/>
      <c r="AB8937" s="500"/>
      <c r="AC8937" s="500"/>
      <c r="AD8937" s="500"/>
      <c r="AE8937" s="500"/>
      <c r="AF8937" s="500"/>
      <c r="AG8937" s="500"/>
      <c r="AH8937" s="500"/>
      <c r="AI8937" s="500"/>
      <c r="AJ8937" s="500"/>
      <c r="AK8937" s="500"/>
      <c r="AL8937" s="500"/>
      <c r="AM8937" s="500"/>
      <c r="AN8937" s="500"/>
      <c r="AO8937" s="500"/>
      <c r="AP8937" s="500"/>
    </row>
    <row r="8938" spans="1:42" ht="16.5" customHeight="1">
      <c r="A8938" s="439"/>
      <c r="B8938" s="439"/>
      <c r="C8938" s="439"/>
      <c r="D8938" s="439"/>
      <c r="E8938" s="439"/>
      <c r="F8938" s="439"/>
      <c r="Z8938" s="500"/>
      <c r="AA8938" s="500"/>
      <c r="AB8938" s="500"/>
      <c r="AC8938" s="500"/>
      <c r="AD8938" s="500"/>
      <c r="AE8938" s="500"/>
      <c r="AF8938" s="500"/>
      <c r="AG8938" s="500"/>
      <c r="AH8938" s="500"/>
      <c r="AI8938" s="500"/>
      <c r="AJ8938" s="500"/>
      <c r="AK8938" s="500"/>
      <c r="AL8938" s="500"/>
      <c r="AM8938" s="500"/>
      <c r="AN8938" s="500"/>
      <c r="AO8938" s="500"/>
      <c r="AP8938" s="500"/>
    </row>
    <row r="8939" spans="1:42" ht="16.5" customHeight="1">
      <c r="A8939" s="439"/>
      <c r="B8939" s="439"/>
      <c r="C8939" s="439"/>
      <c r="D8939" s="439"/>
      <c r="E8939" s="439"/>
      <c r="F8939" s="439"/>
      <c r="Z8939" s="500"/>
      <c r="AA8939" s="500"/>
      <c r="AB8939" s="500"/>
      <c r="AC8939" s="500"/>
      <c r="AD8939" s="500"/>
      <c r="AE8939" s="500"/>
      <c r="AF8939" s="500"/>
      <c r="AG8939" s="500"/>
      <c r="AH8939" s="500"/>
      <c r="AI8939" s="500"/>
      <c r="AJ8939" s="500"/>
      <c r="AK8939" s="500"/>
      <c r="AL8939" s="500"/>
      <c r="AM8939" s="500"/>
      <c r="AN8939" s="500"/>
      <c r="AO8939" s="500"/>
      <c r="AP8939" s="500"/>
    </row>
    <row r="8940" spans="1:42" ht="16.5" customHeight="1">
      <c r="A8940" s="439"/>
      <c r="B8940" s="439"/>
      <c r="C8940" s="439"/>
      <c r="D8940" s="439"/>
      <c r="E8940" s="439"/>
      <c r="F8940" s="439"/>
      <c r="Z8940" s="500"/>
      <c r="AA8940" s="500"/>
      <c r="AB8940" s="500"/>
      <c r="AC8940" s="500"/>
      <c r="AD8940" s="500"/>
      <c r="AE8940" s="500"/>
      <c r="AF8940" s="500"/>
      <c r="AG8940" s="500"/>
      <c r="AH8940" s="500"/>
      <c r="AI8940" s="500"/>
      <c r="AJ8940" s="500"/>
      <c r="AK8940" s="500"/>
      <c r="AL8940" s="500"/>
      <c r="AM8940" s="500"/>
      <c r="AN8940" s="500"/>
      <c r="AO8940" s="500"/>
      <c r="AP8940" s="500"/>
    </row>
    <row r="8941" spans="1:42" ht="16.5" customHeight="1">
      <c r="A8941" s="439"/>
      <c r="B8941" s="439"/>
      <c r="C8941" s="439"/>
      <c r="D8941" s="439"/>
      <c r="E8941" s="439"/>
      <c r="F8941" s="439"/>
      <c r="Z8941" s="500"/>
      <c r="AA8941" s="500"/>
      <c r="AB8941" s="500"/>
      <c r="AC8941" s="500"/>
      <c r="AD8941" s="500"/>
      <c r="AE8941" s="500"/>
      <c r="AF8941" s="500"/>
      <c r="AG8941" s="500"/>
      <c r="AH8941" s="500"/>
      <c r="AI8941" s="500"/>
      <c r="AJ8941" s="500"/>
      <c r="AK8941" s="500"/>
      <c r="AL8941" s="500"/>
      <c r="AM8941" s="500"/>
      <c r="AN8941" s="500"/>
      <c r="AO8941" s="500"/>
      <c r="AP8941" s="500"/>
    </row>
    <row r="8942" spans="1:42" ht="16.5" customHeight="1">
      <c r="A8942" s="439"/>
      <c r="B8942" s="439"/>
      <c r="C8942" s="439"/>
      <c r="D8942" s="439"/>
      <c r="E8942" s="439"/>
      <c r="F8942" s="439"/>
      <c r="Z8942" s="500"/>
      <c r="AA8942" s="500"/>
      <c r="AB8942" s="500"/>
      <c r="AC8942" s="500"/>
      <c r="AD8942" s="500"/>
      <c r="AE8942" s="500"/>
      <c r="AF8942" s="500"/>
      <c r="AG8942" s="500"/>
      <c r="AH8942" s="500"/>
      <c r="AI8942" s="500"/>
      <c r="AJ8942" s="500"/>
      <c r="AK8942" s="500"/>
      <c r="AL8942" s="500"/>
      <c r="AM8942" s="500"/>
      <c r="AN8942" s="500"/>
      <c r="AO8942" s="500"/>
      <c r="AP8942" s="500"/>
    </row>
    <row r="8943" spans="1:42" ht="16.5" customHeight="1">
      <c r="A8943" s="439"/>
      <c r="B8943" s="439"/>
      <c r="C8943" s="439"/>
      <c r="D8943" s="439"/>
      <c r="E8943" s="439"/>
      <c r="F8943" s="439"/>
      <c r="Z8943" s="500"/>
      <c r="AA8943" s="500"/>
      <c r="AB8943" s="500"/>
      <c r="AC8943" s="500"/>
      <c r="AD8943" s="500"/>
      <c r="AE8943" s="500"/>
      <c r="AF8943" s="500"/>
      <c r="AG8943" s="500"/>
      <c r="AH8943" s="500"/>
      <c r="AI8943" s="500"/>
      <c r="AJ8943" s="500"/>
      <c r="AK8943" s="500"/>
      <c r="AL8943" s="500"/>
      <c r="AM8943" s="500"/>
      <c r="AN8943" s="500"/>
      <c r="AO8943" s="500"/>
      <c r="AP8943" s="500"/>
    </row>
    <row r="8944" spans="1:42" ht="16.5" customHeight="1">
      <c r="A8944" s="439"/>
      <c r="B8944" s="439"/>
      <c r="C8944" s="439"/>
      <c r="D8944" s="439"/>
      <c r="E8944" s="439"/>
      <c r="F8944" s="439"/>
      <c r="Z8944" s="500"/>
      <c r="AA8944" s="500"/>
      <c r="AB8944" s="500"/>
      <c r="AC8944" s="500"/>
      <c r="AD8944" s="500"/>
      <c r="AE8944" s="500"/>
      <c r="AF8944" s="500"/>
      <c r="AG8944" s="500"/>
      <c r="AH8944" s="500"/>
      <c r="AI8944" s="500"/>
      <c r="AJ8944" s="500"/>
      <c r="AK8944" s="500"/>
      <c r="AL8944" s="500"/>
      <c r="AM8944" s="500"/>
      <c r="AN8944" s="500"/>
      <c r="AO8944" s="500"/>
      <c r="AP8944" s="500"/>
    </row>
    <row r="8945" spans="1:42" ht="16.5" customHeight="1">
      <c r="A8945" s="439"/>
      <c r="B8945" s="439"/>
      <c r="C8945" s="439"/>
      <c r="D8945" s="439"/>
      <c r="E8945" s="439"/>
      <c r="F8945" s="439"/>
      <c r="Z8945" s="500"/>
      <c r="AA8945" s="500"/>
      <c r="AB8945" s="500"/>
      <c r="AC8945" s="500"/>
      <c r="AD8945" s="500"/>
      <c r="AE8945" s="500"/>
      <c r="AF8945" s="500"/>
      <c r="AG8945" s="500"/>
      <c r="AH8945" s="500"/>
      <c r="AI8945" s="500"/>
      <c r="AJ8945" s="500"/>
      <c r="AK8945" s="500"/>
      <c r="AL8945" s="500"/>
      <c r="AM8945" s="500"/>
      <c r="AN8945" s="500"/>
      <c r="AO8945" s="500"/>
      <c r="AP8945" s="500"/>
    </row>
    <row r="8946" spans="1:42" ht="16.5" customHeight="1">
      <c r="A8946" s="439"/>
      <c r="B8946" s="439"/>
      <c r="C8946" s="439"/>
      <c r="D8946" s="439"/>
      <c r="E8946" s="439"/>
      <c r="F8946" s="439"/>
      <c r="Z8946" s="500"/>
      <c r="AA8946" s="500"/>
      <c r="AB8946" s="500"/>
      <c r="AC8946" s="500"/>
      <c r="AD8946" s="500"/>
      <c r="AE8946" s="500"/>
      <c r="AF8946" s="500"/>
      <c r="AG8946" s="500"/>
      <c r="AH8946" s="500"/>
      <c r="AI8946" s="500"/>
      <c r="AJ8946" s="500"/>
      <c r="AK8946" s="500"/>
      <c r="AL8946" s="500"/>
      <c r="AM8946" s="500"/>
      <c r="AN8946" s="500"/>
      <c r="AO8946" s="500"/>
      <c r="AP8946" s="500"/>
    </row>
    <row r="8947" spans="1:42" ht="16.5" customHeight="1">
      <c r="A8947" s="439"/>
      <c r="B8947" s="439"/>
      <c r="C8947" s="439"/>
      <c r="D8947" s="439"/>
      <c r="E8947" s="439"/>
      <c r="F8947" s="439"/>
      <c r="Z8947" s="500"/>
      <c r="AA8947" s="500"/>
      <c r="AB8947" s="500"/>
      <c r="AC8947" s="500"/>
      <c r="AD8947" s="500"/>
      <c r="AE8947" s="500"/>
      <c r="AF8947" s="500"/>
      <c r="AG8947" s="500"/>
      <c r="AH8947" s="500"/>
      <c r="AI8947" s="500"/>
      <c r="AJ8947" s="500"/>
      <c r="AK8947" s="500"/>
      <c r="AL8947" s="500"/>
      <c r="AM8947" s="500"/>
      <c r="AN8947" s="500"/>
      <c r="AO8947" s="500"/>
      <c r="AP8947" s="500"/>
    </row>
    <row r="8948" spans="1:42" ht="16.5" customHeight="1">
      <c r="A8948" s="439"/>
      <c r="B8948" s="439"/>
      <c r="C8948" s="439"/>
      <c r="D8948" s="439"/>
      <c r="E8948" s="439"/>
      <c r="F8948" s="439"/>
      <c r="Z8948" s="500"/>
      <c r="AA8948" s="500"/>
      <c r="AB8948" s="500"/>
      <c r="AC8948" s="500"/>
      <c r="AD8948" s="500"/>
      <c r="AE8948" s="500"/>
      <c r="AF8948" s="500"/>
      <c r="AG8948" s="500"/>
      <c r="AH8948" s="500"/>
      <c r="AI8948" s="500"/>
      <c r="AJ8948" s="500"/>
      <c r="AK8948" s="500"/>
      <c r="AL8948" s="500"/>
      <c r="AM8948" s="500"/>
      <c r="AN8948" s="500"/>
      <c r="AO8948" s="500"/>
      <c r="AP8948" s="500"/>
    </row>
    <row r="8949" spans="1:42" ht="16.5" customHeight="1">
      <c r="A8949" s="439"/>
      <c r="B8949" s="439"/>
      <c r="C8949" s="439"/>
      <c r="D8949" s="439"/>
      <c r="E8949" s="439"/>
      <c r="F8949" s="439"/>
      <c r="Z8949" s="500"/>
      <c r="AA8949" s="500"/>
      <c r="AB8949" s="500"/>
      <c r="AC8949" s="500"/>
      <c r="AD8949" s="500"/>
      <c r="AE8949" s="500"/>
      <c r="AF8949" s="500"/>
      <c r="AG8949" s="500"/>
      <c r="AH8949" s="500"/>
      <c r="AI8949" s="500"/>
      <c r="AJ8949" s="500"/>
      <c r="AK8949" s="500"/>
      <c r="AL8949" s="500"/>
      <c r="AM8949" s="500"/>
      <c r="AN8949" s="500"/>
      <c r="AO8949" s="500"/>
      <c r="AP8949" s="500"/>
    </row>
    <row r="8950" spans="1:42" ht="16.5" customHeight="1">
      <c r="A8950" s="439"/>
      <c r="B8950" s="439"/>
      <c r="C8950" s="439"/>
      <c r="D8950" s="439"/>
      <c r="E8950" s="439"/>
      <c r="F8950" s="439"/>
      <c r="Z8950" s="500"/>
      <c r="AA8950" s="500"/>
      <c r="AB8950" s="500"/>
      <c r="AC8950" s="500"/>
      <c r="AD8950" s="500"/>
      <c r="AE8950" s="500"/>
      <c r="AF8950" s="500"/>
      <c r="AG8950" s="500"/>
      <c r="AH8950" s="500"/>
      <c r="AI8950" s="500"/>
      <c r="AJ8950" s="500"/>
      <c r="AK8950" s="500"/>
      <c r="AL8950" s="500"/>
      <c r="AM8950" s="500"/>
      <c r="AN8950" s="500"/>
      <c r="AO8950" s="500"/>
      <c r="AP8950" s="500"/>
    </row>
    <row r="8951" spans="1:42" ht="16.5" customHeight="1">
      <c r="A8951" s="439"/>
      <c r="B8951" s="439"/>
      <c r="C8951" s="439"/>
      <c r="D8951" s="439"/>
      <c r="E8951" s="439"/>
      <c r="F8951" s="439"/>
      <c r="Z8951" s="500"/>
      <c r="AA8951" s="500"/>
      <c r="AB8951" s="500"/>
      <c r="AC8951" s="500"/>
      <c r="AD8951" s="500"/>
      <c r="AE8951" s="500"/>
      <c r="AF8951" s="500"/>
      <c r="AG8951" s="500"/>
      <c r="AH8951" s="500"/>
      <c r="AI8951" s="500"/>
      <c r="AJ8951" s="500"/>
      <c r="AK8951" s="500"/>
      <c r="AL8951" s="500"/>
      <c r="AM8951" s="500"/>
      <c r="AN8951" s="500"/>
      <c r="AO8951" s="500"/>
      <c r="AP8951" s="500"/>
    </row>
    <row r="8952" spans="1:42" ht="16.5" customHeight="1">
      <c r="A8952" s="439"/>
      <c r="B8952" s="439"/>
      <c r="C8952" s="439"/>
      <c r="D8952" s="439"/>
      <c r="E8952" s="439"/>
      <c r="F8952" s="439"/>
      <c r="Z8952" s="500"/>
      <c r="AA8952" s="500"/>
      <c r="AB8952" s="500"/>
      <c r="AC8952" s="500"/>
      <c r="AD8952" s="500"/>
      <c r="AE8952" s="500"/>
      <c r="AF8952" s="500"/>
      <c r="AG8952" s="500"/>
      <c r="AH8952" s="500"/>
      <c r="AI8952" s="500"/>
      <c r="AJ8952" s="500"/>
      <c r="AK8952" s="500"/>
      <c r="AL8952" s="500"/>
      <c r="AM8952" s="500"/>
      <c r="AN8952" s="500"/>
      <c r="AO8952" s="500"/>
      <c r="AP8952" s="500"/>
    </row>
    <row r="8953" spans="1:42" ht="16.5" customHeight="1">
      <c r="A8953" s="497"/>
      <c r="B8953" s="497"/>
      <c r="C8953" s="497"/>
      <c r="D8953" s="497"/>
      <c r="E8953" s="497"/>
      <c r="F8953" s="497"/>
      <c r="Z8953" s="500"/>
      <c r="AA8953" s="500"/>
      <c r="AB8953" s="500"/>
      <c r="AC8953" s="500"/>
      <c r="AD8953" s="500"/>
      <c r="AE8953" s="500"/>
      <c r="AF8953" s="500"/>
      <c r="AG8953" s="500"/>
      <c r="AH8953" s="500"/>
      <c r="AI8953" s="500"/>
      <c r="AJ8953" s="500"/>
      <c r="AK8953" s="500"/>
      <c r="AL8953" s="500"/>
      <c r="AM8953" s="500"/>
      <c r="AN8953" s="500"/>
      <c r="AO8953" s="500"/>
      <c r="AP8953" s="500"/>
    </row>
    <row r="8954" spans="1:42" ht="16.5" customHeight="1">
      <c r="A8954" s="616" t="s">
        <v>4396</v>
      </c>
      <c r="B8954" s="605"/>
      <c r="C8954" s="446">
        <f>E8954+D8954+F8954</f>
        <v>31142</v>
      </c>
      <c r="D8954" s="464">
        <v>0</v>
      </c>
      <c r="E8954" s="465">
        <v>0</v>
      </c>
      <c r="F8954" s="446">
        <f>ROUNDDOWN(SUMIF(N8907:N8911,M8954,E8907:E8911),0)+ROUNDDOWN(SUMIF(N8907:N8911,M8954,D8907:D8911),0)+ROUNDDOWN(SUMIF(N8907:N8911,M8954,F8907:F8911),0)</f>
        <v>31142</v>
      </c>
      <c r="M8954" s="501" t="s">
        <v>2354</v>
      </c>
      <c r="Z8954" s="500"/>
      <c r="AA8954" s="500"/>
      <c r="AB8954" s="500"/>
      <c r="AC8954" s="500"/>
      <c r="AD8954" s="500"/>
      <c r="AE8954" s="500"/>
      <c r="AF8954" s="500"/>
      <c r="AG8954" s="500"/>
      <c r="AH8954" s="500"/>
      <c r="AI8954" s="500"/>
      <c r="AJ8954" s="500"/>
      <c r="AK8954" s="500"/>
      <c r="AL8954" s="500"/>
      <c r="AM8954" s="500"/>
      <c r="AN8954" s="500"/>
      <c r="AO8954" s="500"/>
      <c r="AP8954" s="500"/>
    </row>
    <row r="8955" spans="1:42" ht="16.5" customHeight="1">
      <c r="A8955" s="502" t="s">
        <v>3394</v>
      </c>
      <c r="B8955" s="503" t="s">
        <v>3393</v>
      </c>
      <c r="C8955" s="615">
        <f>C9004</f>
        <v>46533</v>
      </c>
      <c r="D8955" s="615">
        <f>D9004</f>
        <v>34461</v>
      </c>
      <c r="E8955" s="615">
        <f>E9004</f>
        <v>11728</v>
      </c>
      <c r="F8955" s="615">
        <f>F9004</f>
        <v>344</v>
      </c>
      <c r="G8955" s="486" t="str">
        <f>HYPERLINK("#G"&amp;ROW(G8996),"_x0005_`BDCOD|D01231_x0007_`POSS|"&amp;ROW(G8957)&amp;"_x0007_`POSE|"&amp;ROW(G8996)&amp;"_x0007_`")</f>
        <v>_x0005_`BDCOD|D01231_x0007_`POSS|8957_x0007_`POSE|8996_x0007_`</v>
      </c>
      <c r="Z8955" s="500"/>
      <c r="AA8955" s="500"/>
      <c r="AB8955" s="500"/>
      <c r="AC8955" s="500"/>
      <c r="AD8955" s="500"/>
      <c r="AE8955" s="500"/>
      <c r="AF8955" s="500"/>
      <c r="AG8955" s="500"/>
      <c r="AH8955" s="500"/>
      <c r="AI8955" s="500"/>
      <c r="AJ8955" s="500"/>
      <c r="AK8955" s="500"/>
      <c r="AL8955" s="500"/>
      <c r="AM8955" s="500"/>
      <c r="AN8955" s="500"/>
      <c r="AO8955" s="500"/>
      <c r="AP8955" s="500"/>
    </row>
    <row r="8956" spans="1:42" ht="16.5" customHeight="1">
      <c r="A8956" s="485"/>
      <c r="B8956" s="503" t="s">
        <v>4421</v>
      </c>
      <c r="C8956" s="593"/>
      <c r="D8956" s="593"/>
      <c r="E8956" s="593"/>
      <c r="F8956" s="593"/>
      <c r="M8956" s="501" t="s">
        <v>3393</v>
      </c>
      <c r="Z8956" s="500"/>
      <c r="AA8956" s="500"/>
      <c r="AB8956" s="500"/>
      <c r="AC8956" s="500"/>
      <c r="AD8956" s="500"/>
      <c r="AE8956" s="500"/>
      <c r="AF8956" s="500"/>
      <c r="AG8956" s="500"/>
      <c r="AH8956" s="500"/>
      <c r="AI8956" s="500"/>
      <c r="AJ8956" s="500"/>
      <c r="AK8956" s="500"/>
      <c r="AL8956" s="500"/>
      <c r="AM8956" s="500"/>
      <c r="AN8956" s="500"/>
      <c r="AO8956" s="500"/>
      <c r="AP8956" s="500"/>
    </row>
    <row r="8957" spans="1:42" ht="16.5" customHeight="1">
      <c r="A8957" s="439"/>
      <c r="B8957" s="439"/>
      <c r="C8957" s="504"/>
      <c r="D8957" s="504"/>
      <c r="E8957" s="504"/>
      <c r="F8957" s="504"/>
      <c r="G8957" s="451" t="s">
        <v>3406</v>
      </c>
      <c r="Z8957" s="500"/>
      <c r="AA8957" s="500"/>
      <c r="AB8957" s="500"/>
      <c r="AC8957" s="500"/>
      <c r="AD8957" s="500"/>
      <c r="AE8957" s="500"/>
      <c r="AF8957" s="500"/>
      <c r="AG8957" s="500"/>
      <c r="AH8957" s="500"/>
      <c r="AI8957" s="500"/>
      <c r="AJ8957" s="500"/>
      <c r="AK8957" s="500"/>
      <c r="AL8957" s="500"/>
      <c r="AM8957" s="500"/>
      <c r="AN8957" s="500"/>
      <c r="AO8957" s="500"/>
      <c r="AP8957" s="500"/>
    </row>
    <row r="8958" spans="1:42" ht="16.5" customHeight="1">
      <c r="A8958" s="434"/>
      <c r="B8958" s="437" t="s">
        <v>4422</v>
      </c>
      <c r="C8958" s="439"/>
      <c r="D8958" s="439"/>
      <c r="E8958" s="439"/>
      <c r="F8958" s="439"/>
      <c r="G8958" s="451" t="s">
        <v>4423</v>
      </c>
      <c r="Z8958" s="500"/>
      <c r="AA8958" s="500"/>
      <c r="AB8958" s="500"/>
      <c r="AC8958" s="500"/>
      <c r="AD8958" s="500"/>
      <c r="AE8958" s="500"/>
      <c r="AF8958" s="500"/>
      <c r="AG8958" s="500"/>
      <c r="AH8958" s="500"/>
      <c r="AI8958" s="500"/>
      <c r="AJ8958" s="500"/>
      <c r="AK8958" s="500"/>
      <c r="AL8958" s="500"/>
      <c r="AM8958" s="500"/>
      <c r="AN8958" s="500"/>
      <c r="AO8958" s="500"/>
      <c r="AP8958" s="500"/>
    </row>
    <row r="8959" spans="1:42" ht="16.5" customHeight="1">
      <c r="A8959" s="439"/>
      <c r="B8959" s="439"/>
      <c r="C8959" s="439"/>
      <c r="D8959" s="439"/>
      <c r="E8959" s="439"/>
      <c r="F8959" s="439"/>
      <c r="G8959" s="451" t="s">
        <v>3406</v>
      </c>
      <c r="Z8959" s="500"/>
      <c r="AA8959" s="500"/>
      <c r="AB8959" s="500"/>
      <c r="AC8959" s="500"/>
      <c r="AD8959" s="500"/>
      <c r="AE8959" s="500"/>
      <c r="AF8959" s="500"/>
      <c r="AG8959" s="500"/>
      <c r="AH8959" s="500"/>
      <c r="AI8959" s="500"/>
      <c r="AJ8959" s="500"/>
      <c r="AK8959" s="500"/>
      <c r="AL8959" s="500"/>
      <c r="AM8959" s="500"/>
      <c r="AN8959" s="500"/>
      <c r="AO8959" s="500"/>
      <c r="AP8959" s="500"/>
    </row>
    <row r="8960" spans="1:42" ht="16.5" customHeight="1">
      <c r="A8960" s="434"/>
      <c r="B8960" s="437" t="s">
        <v>4424</v>
      </c>
      <c r="C8960" s="439"/>
      <c r="D8960" s="439"/>
      <c r="E8960" s="439"/>
      <c r="F8960" s="439"/>
      <c r="G8960" s="451" t="s">
        <v>4425</v>
      </c>
      <c r="Z8960" s="500"/>
      <c r="AA8960" s="500"/>
      <c r="AB8960" s="500"/>
      <c r="AC8960" s="500"/>
      <c r="AD8960" s="500"/>
      <c r="AE8960" s="500"/>
      <c r="AF8960" s="500"/>
      <c r="AG8960" s="500"/>
      <c r="AH8960" s="500"/>
      <c r="AI8960" s="500"/>
      <c r="AJ8960" s="500"/>
      <c r="AK8960" s="500"/>
      <c r="AL8960" s="500"/>
      <c r="AM8960" s="500"/>
      <c r="AN8960" s="500"/>
      <c r="AO8960" s="500"/>
      <c r="AP8960" s="500"/>
    </row>
    <row r="8961" spans="1:42" ht="16.5" customHeight="1">
      <c r="A8961" s="439"/>
      <c r="B8961" s="439"/>
      <c r="C8961" s="439"/>
      <c r="D8961" s="439"/>
      <c r="E8961" s="439"/>
      <c r="F8961" s="439"/>
      <c r="G8961" s="451" t="s">
        <v>3406</v>
      </c>
      <c r="Z8961" s="500"/>
      <c r="AA8961" s="500"/>
      <c r="AB8961" s="500"/>
      <c r="AC8961" s="500"/>
      <c r="AD8961" s="500"/>
      <c r="AE8961" s="500"/>
      <c r="AF8961" s="500"/>
      <c r="AG8961" s="500"/>
      <c r="AH8961" s="500"/>
      <c r="AI8961" s="500"/>
      <c r="AJ8961" s="500"/>
      <c r="AK8961" s="500"/>
      <c r="AL8961" s="500"/>
      <c r="AM8961" s="500"/>
      <c r="AN8961" s="500"/>
      <c r="AO8961" s="500"/>
      <c r="AP8961" s="500"/>
    </row>
    <row r="8962" spans="1:42" ht="16.5" customHeight="1">
      <c r="A8962" s="434"/>
      <c r="B8962" s="437" t="s">
        <v>4426</v>
      </c>
      <c r="C8962" s="439"/>
      <c r="D8962" s="439"/>
      <c r="E8962" s="439"/>
      <c r="F8962" s="439"/>
      <c r="G8962" s="451" t="s">
        <v>4427</v>
      </c>
      <c r="Z8962" s="500"/>
      <c r="AA8962" s="500"/>
      <c r="AB8962" s="500"/>
      <c r="AC8962" s="500"/>
      <c r="AD8962" s="500"/>
      <c r="AE8962" s="500"/>
      <c r="AF8962" s="500"/>
      <c r="AG8962" s="500"/>
      <c r="AH8962" s="500"/>
      <c r="AI8962" s="500"/>
      <c r="AJ8962" s="500"/>
      <c r="AK8962" s="500"/>
      <c r="AL8962" s="500"/>
      <c r="AM8962" s="500"/>
      <c r="AN8962" s="500"/>
      <c r="AO8962" s="500"/>
      <c r="AP8962" s="500"/>
    </row>
    <row r="8963" spans="1:42" ht="16.5" customHeight="1">
      <c r="A8963" s="439"/>
      <c r="B8963" s="439"/>
      <c r="C8963" s="439"/>
      <c r="D8963" s="439"/>
      <c r="E8963" s="439"/>
      <c r="F8963" s="439"/>
      <c r="G8963" s="451" t="s">
        <v>3406</v>
      </c>
      <c r="Z8963" s="500"/>
      <c r="AA8963" s="500"/>
      <c r="AB8963" s="500"/>
      <c r="AC8963" s="500"/>
      <c r="AD8963" s="500"/>
      <c r="AE8963" s="500"/>
      <c r="AF8963" s="500"/>
      <c r="AG8963" s="500"/>
      <c r="AH8963" s="500"/>
      <c r="AI8963" s="500"/>
      <c r="AJ8963" s="500"/>
      <c r="AK8963" s="500"/>
      <c r="AL8963" s="500"/>
      <c r="AM8963" s="500"/>
      <c r="AN8963" s="500"/>
      <c r="AO8963" s="500"/>
      <c r="AP8963" s="500"/>
    </row>
    <row r="8964" spans="1:42" ht="16.5" customHeight="1">
      <c r="A8964" s="434" t="s">
        <v>4428</v>
      </c>
      <c r="B8964" s="505" t="str">
        <f>"  합판 : "&amp;TEXT(I8964,"#,##0"&amp;IF(I8964&lt;&gt;INT(I8964),".###",""))&amp;" * "&amp;AA8964&amp;" ㎡ * "&amp;AC8964&amp;" / "&amp;AE8964&amp;" = "&amp;TEXT(C8964,"#,##0.0")&amp;" "</f>
        <v xml:space="preserve">  합판 : 12,485 * 1.03 ㎡ * 32.7 / 100 = 4,205.0 </v>
      </c>
      <c r="C8964" s="506">
        <f>E8964+D8964+F8964</f>
        <v>4205</v>
      </c>
      <c r="D8964" s="506">
        <f>IF(H8964=0,0,ROUNDDOWN(J8964*H8964,1))</f>
        <v>0</v>
      </c>
      <c r="E8964" s="506">
        <f>IF(H8964=0,0,ROUNDDOWN(K8964*H8964,1))</f>
        <v>4205</v>
      </c>
      <c r="F8964" s="506">
        <f>IF(H8964=0,0,ROUNDDOWN(L8964*H8964,1))</f>
        <v>0</v>
      </c>
      <c r="G8964" s="451" t="s">
        <v>4429</v>
      </c>
      <c r="H8964" s="507">
        <f>ROUNDUP(AG8964,14-LEN(ABS(INT(AG8964))))</f>
        <v>0.33681</v>
      </c>
      <c r="I8964" s="508">
        <f>K8964+J8964+L8964</f>
        <v>12485</v>
      </c>
      <c r="K8964" s="509">
        <f>재료비목록표!E25</f>
        <v>12485</v>
      </c>
      <c r="M8964" s="501" t="s">
        <v>4430</v>
      </c>
      <c r="N8964" s="501" t="s">
        <v>3416</v>
      </c>
      <c r="O8964" s="501" t="s">
        <v>2355</v>
      </c>
      <c r="X8964" s="510" t="str">
        <f>재료비목록표!B25&amp;" / "&amp;재료비목록표!C25</f>
        <v>내수합판 / 내수합판, 1급, 12×910×1820mm</v>
      </c>
      <c r="Y8964" s="433" t="str">
        <f ca="1">HYPERLINK("#"&amp;재료비목록표!G2&amp;"!A"&amp;ROW(재료비목록표!A25),"M02446 →")</f>
        <v>M02446 →</v>
      </c>
      <c r="Z8964" s="501" t="s">
        <v>3500</v>
      </c>
      <c r="AA8964" s="511">
        <v>1.03</v>
      </c>
      <c r="AB8964" s="501" t="s">
        <v>3368</v>
      </c>
      <c r="AC8964" s="511">
        <v>32.700000000000003</v>
      </c>
      <c r="AD8964" s="501" t="s">
        <v>3428</v>
      </c>
      <c r="AE8964" s="515">
        <v>100</v>
      </c>
      <c r="AF8964" s="501" t="s">
        <v>3418</v>
      </c>
      <c r="AG8964" s="512">
        <f>1*AA8964*AC8964/AE8964</f>
        <v>0.33681000000000005</v>
      </c>
      <c r="AH8964" s="500"/>
      <c r="AI8964" s="500"/>
      <c r="AJ8964" s="500"/>
      <c r="AK8964" s="500"/>
      <c r="AL8964" s="500"/>
      <c r="AM8964" s="500"/>
      <c r="AN8964" s="500"/>
      <c r="AO8964" s="500"/>
      <c r="AP8964" s="500"/>
    </row>
    <row r="8965" spans="1:42" ht="16.5" customHeight="1">
      <c r="A8965" s="439"/>
      <c r="B8965" s="439"/>
      <c r="C8965" s="439"/>
      <c r="D8965" s="439"/>
      <c r="E8965" s="439"/>
      <c r="F8965" s="439"/>
      <c r="G8965" s="451" t="s">
        <v>3406</v>
      </c>
      <c r="Z8965" s="500"/>
      <c r="AA8965" s="500"/>
      <c r="AB8965" s="500"/>
      <c r="AC8965" s="500"/>
      <c r="AD8965" s="500"/>
      <c r="AE8965" s="500"/>
      <c r="AF8965" s="500"/>
      <c r="AG8965" s="500"/>
      <c r="AH8965" s="500"/>
      <c r="AI8965" s="500"/>
      <c r="AJ8965" s="500"/>
      <c r="AK8965" s="500"/>
      <c r="AL8965" s="500"/>
      <c r="AM8965" s="500"/>
      <c r="AN8965" s="500"/>
      <c r="AO8965" s="500"/>
      <c r="AP8965" s="500"/>
    </row>
    <row r="8966" spans="1:42" ht="16.5" customHeight="1">
      <c r="A8966" s="434" t="s">
        <v>4431</v>
      </c>
      <c r="B8966" s="505" t="str">
        <f>"  각재 : "&amp;TEXT(I8966,"#,##0"&amp;IF(I8966&lt;&gt;INT(I8966),".###",""))&amp;" * "&amp;AA8966&amp;" ㎡  * "&amp;AC8966&amp;" / "&amp;AE8966&amp;" = "&amp;TEXT(C8966,"#,##0.0")&amp;" "</f>
        <v xml:space="preserve">  각재 : 511,929 * 0.038 ㎡  * 32.7 / 100 = 6,361.2 </v>
      </c>
      <c r="C8966" s="506">
        <f>E8966+D8966+F8966</f>
        <v>6361.2</v>
      </c>
      <c r="D8966" s="506">
        <f>IF(H8966=0,0,ROUNDDOWN(J8966*H8966,1))</f>
        <v>0</v>
      </c>
      <c r="E8966" s="506">
        <f>IF(H8966=0,0,ROUNDDOWN(K8966*H8966,1))</f>
        <v>6361.2</v>
      </c>
      <c r="F8966" s="506">
        <f>IF(H8966=0,0,ROUNDDOWN(L8966*H8966,1))</f>
        <v>0</v>
      </c>
      <c r="G8966" s="451" t="s">
        <v>4432</v>
      </c>
      <c r="H8966" s="507">
        <f>ROUNDUP(AG8966,14-LEN(ABS(INT(AG8966))))</f>
        <v>1.2426E-2</v>
      </c>
      <c r="I8966" s="508">
        <f>K8966+J8966+L8966</f>
        <v>511929</v>
      </c>
      <c r="K8966" s="509">
        <f>재료비목록표!E7</f>
        <v>511929</v>
      </c>
      <c r="M8966" s="501" t="s">
        <v>4433</v>
      </c>
      <c r="N8966" s="501" t="s">
        <v>3416</v>
      </c>
      <c r="O8966" s="501" t="s">
        <v>2355</v>
      </c>
      <c r="X8966" s="510" t="str">
        <f>재료비목록표!B7&amp;" / "&amp;재료비목록표!C7</f>
        <v>각재 / 각재, 외송</v>
      </c>
      <c r="Y8966" s="433" t="str">
        <f ca="1">HYPERLINK("#"&amp;재료비목록표!G2&amp;"!A"&amp;ROW(재료비목록표!A7),"M02431 →")</f>
        <v>M02431 →</v>
      </c>
      <c r="Z8966" s="501" t="s">
        <v>3500</v>
      </c>
      <c r="AA8966" s="511">
        <v>3.7999999999999999E-2</v>
      </c>
      <c r="AB8966" s="501" t="s">
        <v>3368</v>
      </c>
      <c r="AC8966" s="511">
        <v>32.700000000000003</v>
      </c>
      <c r="AD8966" s="501" t="s">
        <v>3428</v>
      </c>
      <c r="AE8966" s="515">
        <v>100</v>
      </c>
      <c r="AF8966" s="501" t="s">
        <v>3418</v>
      </c>
      <c r="AG8966" s="512">
        <f>1*AA8966*AC8966/AE8966</f>
        <v>1.2426000000000001E-2</v>
      </c>
      <c r="AH8966" s="500"/>
      <c r="AI8966" s="500"/>
      <c r="AJ8966" s="500"/>
      <c r="AK8966" s="500"/>
      <c r="AL8966" s="500"/>
      <c r="AM8966" s="500"/>
      <c r="AN8966" s="500"/>
      <c r="AO8966" s="500"/>
      <c r="AP8966" s="500"/>
    </row>
    <row r="8967" spans="1:42" ht="16.5" customHeight="1">
      <c r="A8967" s="439"/>
      <c r="B8967" s="439"/>
      <c r="C8967" s="439"/>
      <c r="D8967" s="439"/>
      <c r="E8967" s="439"/>
      <c r="F8967" s="439"/>
      <c r="G8967" s="451" t="s">
        <v>3406</v>
      </c>
      <c r="Z8967" s="500"/>
      <c r="AA8967" s="500"/>
      <c r="AB8967" s="500"/>
      <c r="AC8967" s="500"/>
      <c r="AD8967" s="500"/>
      <c r="AE8967" s="500"/>
      <c r="AF8967" s="500"/>
      <c r="AG8967" s="500"/>
      <c r="AH8967" s="500"/>
      <c r="AI8967" s="500"/>
      <c r="AJ8967" s="500"/>
      <c r="AK8967" s="500"/>
      <c r="AL8967" s="500"/>
      <c r="AM8967" s="500"/>
      <c r="AN8967" s="500"/>
      <c r="AO8967" s="500"/>
      <c r="AP8967" s="500"/>
    </row>
    <row r="8968" spans="1:42" ht="16.5" customHeight="1">
      <c r="A8968" s="434"/>
      <c r="B8968" s="505" t="str">
        <f>"  소모자재 : "&amp;TEXT(I8968,"#,##0.0")&amp;" *  주자재의 "&amp;AA8968&amp;" %  = "&amp;TEXT(C8968,"#,##0.0")&amp;""</f>
        <v xml:space="preserve">  소모자재 : 10,566.2 *  주자재의 11 %  = 1,162.2</v>
      </c>
      <c r="C8968" s="506">
        <f>E8968+D8968+F8968</f>
        <v>1162.2</v>
      </c>
      <c r="D8968" s="506">
        <f>IF(H8968=0,0,ROUNDDOWN(J8968*H8968/100,1))</f>
        <v>0</v>
      </c>
      <c r="E8968" s="506">
        <f>IF(H8968=0,0,ROUNDDOWN(K8968*H8968/100,1))</f>
        <v>1162.2</v>
      </c>
      <c r="F8968" s="506">
        <f>IF(H8968=0,0,ROUNDDOWN(L8968*H8968/100,1))</f>
        <v>0</v>
      </c>
      <c r="G8968" s="451" t="s">
        <v>4434</v>
      </c>
      <c r="H8968" s="507">
        <f>ROUNDUP(AC8968,14-LEN(ABS(INT(AC8968))))</f>
        <v>11</v>
      </c>
      <c r="I8968" s="508">
        <f>K8968+J8968+L8968</f>
        <v>10566.2</v>
      </c>
      <c r="J8968" s="456">
        <v>0</v>
      </c>
      <c r="K8968" s="509">
        <f>E8964+E8966</f>
        <v>10566.2</v>
      </c>
      <c r="L8968" s="456">
        <v>0</v>
      </c>
      <c r="M8968" s="501" t="s">
        <v>3743</v>
      </c>
      <c r="N8968" s="501" t="s">
        <v>3416</v>
      </c>
      <c r="Z8968" s="501" t="s">
        <v>3500</v>
      </c>
      <c r="AA8968" s="515">
        <v>11</v>
      </c>
      <c r="AB8968" s="501" t="s">
        <v>3418</v>
      </c>
      <c r="AC8968" s="512">
        <f>1*AA8968</f>
        <v>11</v>
      </c>
      <c r="AD8968" s="500"/>
      <c r="AE8968" s="500"/>
      <c r="AF8968" s="500"/>
      <c r="AG8968" s="500"/>
      <c r="AH8968" s="500"/>
      <c r="AI8968" s="500"/>
      <c r="AJ8968" s="500"/>
      <c r="AK8968" s="500"/>
      <c r="AL8968" s="500"/>
      <c r="AM8968" s="500"/>
      <c r="AN8968" s="500"/>
      <c r="AO8968" s="500"/>
      <c r="AP8968" s="500"/>
    </row>
    <row r="8969" spans="1:42" ht="16.5" customHeight="1">
      <c r="A8969" s="439"/>
      <c r="B8969" s="439"/>
      <c r="C8969" s="439"/>
      <c r="D8969" s="439"/>
      <c r="E8969" s="439"/>
      <c r="F8969" s="439"/>
      <c r="G8969" s="451" t="s">
        <v>3406</v>
      </c>
      <c r="Z8969" s="500"/>
      <c r="AA8969" s="500"/>
      <c r="AB8969" s="500"/>
      <c r="AC8969" s="500"/>
      <c r="AD8969" s="500"/>
      <c r="AE8969" s="500"/>
      <c r="AF8969" s="500"/>
      <c r="AG8969" s="500"/>
      <c r="AH8969" s="500"/>
      <c r="AI8969" s="500"/>
      <c r="AJ8969" s="500"/>
      <c r="AK8969" s="500"/>
      <c r="AL8969" s="500"/>
      <c r="AM8969" s="500"/>
      <c r="AN8969" s="500"/>
      <c r="AO8969" s="500"/>
      <c r="AP8969" s="500"/>
    </row>
    <row r="8970" spans="1:42" ht="16.5" customHeight="1">
      <c r="A8970" s="439"/>
      <c r="B8970" s="439"/>
      <c r="C8970" s="439"/>
      <c r="D8970" s="439"/>
      <c r="E8970" s="439"/>
      <c r="F8970" s="439"/>
      <c r="G8970" s="451" t="s">
        <v>3406</v>
      </c>
      <c r="Z8970" s="500"/>
      <c r="AA8970" s="500"/>
      <c r="AB8970" s="500"/>
      <c r="AC8970" s="500"/>
      <c r="AD8970" s="500"/>
      <c r="AE8970" s="500"/>
      <c r="AF8970" s="500"/>
      <c r="AG8970" s="500"/>
      <c r="AH8970" s="500"/>
      <c r="AI8970" s="500"/>
      <c r="AJ8970" s="500"/>
      <c r="AK8970" s="500"/>
      <c r="AL8970" s="500"/>
      <c r="AM8970" s="500"/>
      <c r="AN8970" s="500"/>
      <c r="AO8970" s="500"/>
      <c r="AP8970" s="500"/>
    </row>
    <row r="8971" spans="1:42" ht="16.5" customHeight="1">
      <c r="A8971" s="434"/>
      <c r="B8971" s="437" t="s">
        <v>3419</v>
      </c>
      <c r="C8971" s="513">
        <f>E8971+D8971+F8971</f>
        <v>11728.400000000001</v>
      </c>
      <c r="D8971" s="513">
        <f>SUMIF(N8957:N8970,M8971,D8957:D8970)</f>
        <v>0</v>
      </c>
      <c r="E8971" s="513">
        <f>SUMIF(N8957:N8970,M8971,E8957:E8970)</f>
        <v>11728.400000000001</v>
      </c>
      <c r="F8971" s="513">
        <f>SUMIF(N8957:N8970,M8971,F8957:F8970)</f>
        <v>0</v>
      </c>
      <c r="G8971" s="451" t="s">
        <v>3420</v>
      </c>
      <c r="M8971" s="501" t="s">
        <v>3416</v>
      </c>
      <c r="N8971" s="501" t="s">
        <v>3421</v>
      </c>
      <c r="Z8971" s="500"/>
      <c r="AA8971" s="500"/>
      <c r="AB8971" s="500"/>
      <c r="AC8971" s="500"/>
      <c r="AD8971" s="500"/>
      <c r="AE8971" s="500"/>
      <c r="AF8971" s="500"/>
      <c r="AG8971" s="500"/>
      <c r="AH8971" s="500"/>
      <c r="AI8971" s="500"/>
      <c r="AJ8971" s="500"/>
      <c r="AK8971" s="500"/>
      <c r="AL8971" s="500"/>
      <c r="AM8971" s="500"/>
      <c r="AN8971" s="500"/>
      <c r="AO8971" s="500"/>
      <c r="AP8971" s="500"/>
    </row>
    <row r="8972" spans="1:42" ht="16.5" customHeight="1">
      <c r="A8972" s="439"/>
      <c r="B8972" s="439"/>
      <c r="C8972" s="504"/>
      <c r="D8972" s="504"/>
      <c r="E8972" s="504"/>
      <c r="F8972" s="504"/>
      <c r="G8972" s="451" t="s">
        <v>3406</v>
      </c>
      <c r="Z8972" s="500"/>
      <c r="AA8972" s="500"/>
      <c r="AB8972" s="500"/>
      <c r="AC8972" s="500"/>
      <c r="AD8972" s="500"/>
      <c r="AE8972" s="500"/>
      <c r="AF8972" s="500"/>
      <c r="AG8972" s="500"/>
      <c r="AH8972" s="500"/>
      <c r="AI8972" s="500"/>
      <c r="AJ8972" s="500"/>
      <c r="AK8972" s="500"/>
      <c r="AL8972" s="500"/>
      <c r="AM8972" s="500"/>
      <c r="AN8972" s="500"/>
      <c r="AO8972" s="500"/>
      <c r="AP8972" s="500"/>
    </row>
    <row r="8973" spans="1:42" ht="16.5" customHeight="1">
      <c r="A8973" s="439"/>
      <c r="B8973" s="439"/>
      <c r="C8973" s="439"/>
      <c r="D8973" s="439"/>
      <c r="E8973" s="439"/>
      <c r="F8973" s="439"/>
      <c r="G8973" s="451" t="s">
        <v>3406</v>
      </c>
      <c r="Z8973" s="500"/>
      <c r="AA8973" s="500"/>
      <c r="AB8973" s="500"/>
      <c r="AC8973" s="500"/>
      <c r="AD8973" s="500"/>
      <c r="AE8973" s="500"/>
      <c r="AF8973" s="500"/>
      <c r="AG8973" s="500"/>
      <c r="AH8973" s="500"/>
      <c r="AI8973" s="500"/>
      <c r="AJ8973" s="500"/>
      <c r="AK8973" s="500"/>
      <c r="AL8973" s="500"/>
      <c r="AM8973" s="500"/>
      <c r="AN8973" s="500"/>
      <c r="AO8973" s="500"/>
      <c r="AP8973" s="500"/>
    </row>
    <row r="8974" spans="1:42" ht="16.5" customHeight="1">
      <c r="A8974" s="434"/>
      <c r="B8974" s="437" t="s">
        <v>3744</v>
      </c>
      <c r="C8974" s="439"/>
      <c r="D8974" s="439"/>
      <c r="E8974" s="439"/>
      <c r="F8974" s="439"/>
      <c r="G8974" s="451" t="s">
        <v>3745</v>
      </c>
      <c r="Z8974" s="500"/>
      <c r="AA8974" s="500"/>
      <c r="AB8974" s="500"/>
      <c r="AC8974" s="500"/>
      <c r="AD8974" s="500"/>
      <c r="AE8974" s="500"/>
      <c r="AF8974" s="500"/>
      <c r="AG8974" s="500"/>
      <c r="AH8974" s="500"/>
      <c r="AI8974" s="500"/>
      <c r="AJ8974" s="500"/>
      <c r="AK8974" s="500"/>
      <c r="AL8974" s="500"/>
      <c r="AM8974" s="500"/>
      <c r="AN8974" s="500"/>
      <c r="AO8974" s="500"/>
      <c r="AP8974" s="500"/>
    </row>
    <row r="8975" spans="1:42" ht="16.5" customHeight="1">
      <c r="A8975" s="439"/>
      <c r="B8975" s="439"/>
      <c r="C8975" s="439"/>
      <c r="D8975" s="439"/>
      <c r="E8975" s="439"/>
      <c r="F8975" s="439"/>
      <c r="G8975" s="451" t="s">
        <v>3406</v>
      </c>
      <c r="Z8975" s="500"/>
      <c r="AA8975" s="500"/>
      <c r="AB8975" s="500"/>
      <c r="AC8975" s="500"/>
      <c r="AD8975" s="500"/>
      <c r="AE8975" s="500"/>
      <c r="AF8975" s="500"/>
      <c r="AG8975" s="500"/>
      <c r="AH8975" s="500"/>
      <c r="AI8975" s="500"/>
      <c r="AJ8975" s="500"/>
      <c r="AK8975" s="500"/>
      <c r="AL8975" s="500"/>
      <c r="AM8975" s="500"/>
      <c r="AN8975" s="500"/>
      <c r="AO8975" s="500"/>
      <c r="AP8975" s="500"/>
    </row>
    <row r="8976" spans="1:42" ht="16.5" customHeight="1">
      <c r="A8976" s="434"/>
      <c r="B8976" s="437" t="s">
        <v>4435</v>
      </c>
      <c r="C8976" s="439"/>
      <c r="D8976" s="439"/>
      <c r="E8976" s="439"/>
      <c r="F8976" s="439"/>
      <c r="G8976" s="451" t="s">
        <v>4436</v>
      </c>
      <c r="Z8976" s="500"/>
      <c r="AA8976" s="500"/>
      <c r="AB8976" s="500"/>
      <c r="AC8976" s="500"/>
      <c r="AD8976" s="500"/>
      <c r="AE8976" s="500"/>
      <c r="AF8976" s="500"/>
      <c r="AG8976" s="500"/>
      <c r="AH8976" s="500"/>
      <c r="AI8976" s="500"/>
      <c r="AJ8976" s="500"/>
      <c r="AK8976" s="500"/>
      <c r="AL8976" s="500"/>
      <c r="AM8976" s="500"/>
      <c r="AN8976" s="500"/>
      <c r="AO8976" s="500"/>
      <c r="AP8976" s="500"/>
    </row>
    <row r="8977" spans="1:42" ht="16.5" customHeight="1">
      <c r="A8977" s="439"/>
      <c r="B8977" s="439"/>
      <c r="C8977" s="439"/>
      <c r="D8977" s="439"/>
      <c r="E8977" s="439"/>
      <c r="F8977" s="439"/>
      <c r="G8977" s="451" t="s">
        <v>3406</v>
      </c>
      <c r="Z8977" s="500"/>
      <c r="AA8977" s="500"/>
      <c r="AB8977" s="500"/>
      <c r="AC8977" s="500"/>
      <c r="AD8977" s="500"/>
      <c r="AE8977" s="500"/>
      <c r="AF8977" s="500"/>
      <c r="AG8977" s="500"/>
      <c r="AH8977" s="500"/>
      <c r="AI8977" s="500"/>
      <c r="AJ8977" s="500"/>
      <c r="AK8977" s="500"/>
      <c r="AL8977" s="500"/>
      <c r="AM8977" s="500"/>
      <c r="AN8977" s="500"/>
      <c r="AO8977" s="500"/>
      <c r="AP8977" s="500"/>
    </row>
    <row r="8978" spans="1:42" ht="16.5" customHeight="1">
      <c r="A8978" s="434"/>
      <c r="B8978" s="437" t="s">
        <v>4437</v>
      </c>
      <c r="C8978" s="439"/>
      <c r="D8978" s="439"/>
      <c r="E8978" s="439"/>
      <c r="F8978" s="439"/>
      <c r="G8978" s="451" t="s">
        <v>4438</v>
      </c>
      <c r="Z8978" s="500"/>
      <c r="AA8978" s="500"/>
      <c r="AB8978" s="500"/>
      <c r="AC8978" s="500"/>
      <c r="AD8978" s="500"/>
      <c r="AE8978" s="500"/>
      <c r="AF8978" s="500"/>
      <c r="AG8978" s="500"/>
      <c r="AH8978" s="500"/>
      <c r="AI8978" s="500"/>
      <c r="AJ8978" s="500"/>
      <c r="AK8978" s="500"/>
      <c r="AL8978" s="500"/>
      <c r="AM8978" s="500"/>
      <c r="AN8978" s="500"/>
      <c r="AO8978" s="500"/>
      <c r="AP8978" s="500"/>
    </row>
    <row r="8979" spans="1:42" ht="16.5" customHeight="1">
      <c r="A8979" s="439"/>
      <c r="B8979" s="439"/>
      <c r="C8979" s="439"/>
      <c r="D8979" s="439"/>
      <c r="E8979" s="439"/>
      <c r="F8979" s="439"/>
      <c r="G8979" s="451" t="s">
        <v>3406</v>
      </c>
      <c r="Z8979" s="500"/>
      <c r="AA8979" s="500"/>
      <c r="AB8979" s="500"/>
      <c r="AC8979" s="500"/>
      <c r="AD8979" s="500"/>
      <c r="AE8979" s="500"/>
      <c r="AF8979" s="500"/>
      <c r="AG8979" s="500"/>
      <c r="AH8979" s="500"/>
      <c r="AI8979" s="500"/>
      <c r="AJ8979" s="500"/>
      <c r="AK8979" s="500"/>
      <c r="AL8979" s="500"/>
      <c r="AM8979" s="500"/>
      <c r="AN8979" s="500"/>
      <c r="AO8979" s="500"/>
      <c r="AP8979" s="500"/>
    </row>
    <row r="8980" spans="1:42" ht="16.5" customHeight="1">
      <c r="A8980" s="434" t="s">
        <v>4439</v>
      </c>
      <c r="B8980" s="505" t="str">
        <f>"   "&amp;Z8980&amp;" 인  / "&amp;AB8980&amp;" ㎡  *  형틀목공 : "&amp;TEXT(I8980,"#,##0"&amp;IF(I8980&lt;&gt;INT(I8980),".###",""))&amp;" = "&amp;TEXT(C8980,"#,##0.0")&amp;""</f>
        <v xml:space="preserve">   5 인  / 50 ㎡  *  형틀목공 : 275,790 = 27,579.0</v>
      </c>
      <c r="C8980" s="506">
        <f>E8980+D8980+F8980</f>
        <v>27579</v>
      </c>
      <c r="D8980" s="506">
        <f>IF(H8980=0,0,ROUNDDOWN(J8980*H8980,1))</f>
        <v>27579</v>
      </c>
      <c r="E8980" s="506">
        <f>IF(H8980=0,0,ROUNDDOWN(K8980*H8980,1))</f>
        <v>0</v>
      </c>
      <c r="F8980" s="506">
        <f>IF(H8980=0,0,ROUNDDOWN(L8980*H8980,1))</f>
        <v>0</v>
      </c>
      <c r="G8980" s="451" t="s">
        <v>4440</v>
      </c>
      <c r="H8980" s="507">
        <f>ROUNDUP(AE8980,14-LEN(ABS(INT(AE8980))))</f>
        <v>0.1</v>
      </c>
      <c r="I8980" s="508">
        <f>K8980+J8980+L8980</f>
        <v>275790</v>
      </c>
      <c r="J8980" s="509">
        <f>노무비목록표!E22</f>
        <v>275790</v>
      </c>
      <c r="M8980" s="501" t="s">
        <v>4441</v>
      </c>
      <c r="N8980" s="501" t="s">
        <v>3416</v>
      </c>
      <c r="X8980" s="510" t="str">
        <f>노무비목록표!B22&amp;" / "&amp;노무비목록표!C22</f>
        <v xml:space="preserve">형틀목공 / </v>
      </c>
      <c r="Y8980" s="433" t="str">
        <f ca="1">HYPERLINK("#"&amp;노무비목록표!G2&amp;"!A"&amp;ROW(노무비목록표!A22),"L00002 →")</f>
        <v>L00002 →</v>
      </c>
      <c r="Z8980" s="515">
        <v>5</v>
      </c>
      <c r="AA8980" s="501" t="s">
        <v>3428</v>
      </c>
      <c r="AB8980" s="515">
        <v>50</v>
      </c>
      <c r="AC8980" s="501" t="s">
        <v>3753</v>
      </c>
      <c r="AD8980" s="501" t="s">
        <v>3418</v>
      </c>
      <c r="AE8980" s="512">
        <f>Z8980/AB8980*1</f>
        <v>0.1</v>
      </c>
      <c r="AF8980" s="500"/>
      <c r="AG8980" s="500"/>
      <c r="AH8980" s="500"/>
      <c r="AI8980" s="500"/>
      <c r="AJ8980" s="500"/>
      <c r="AK8980" s="500"/>
      <c r="AL8980" s="500"/>
      <c r="AM8980" s="500"/>
      <c r="AN8980" s="500"/>
      <c r="AO8980" s="500"/>
      <c r="AP8980" s="500"/>
    </row>
    <row r="8981" spans="1:42" ht="16.5" customHeight="1">
      <c r="A8981" s="439"/>
      <c r="B8981" s="439"/>
      <c r="C8981" s="439"/>
      <c r="D8981" s="439"/>
      <c r="E8981" s="439"/>
      <c r="F8981" s="439"/>
      <c r="G8981" s="451" t="s">
        <v>3406</v>
      </c>
      <c r="Z8981" s="500"/>
      <c r="AA8981" s="500"/>
      <c r="AB8981" s="500"/>
      <c r="AC8981" s="500"/>
      <c r="AD8981" s="500"/>
      <c r="AE8981" s="500"/>
      <c r="AF8981" s="500"/>
      <c r="AG8981" s="500"/>
      <c r="AH8981" s="500"/>
      <c r="AI8981" s="500"/>
      <c r="AJ8981" s="500"/>
      <c r="AK8981" s="500"/>
      <c r="AL8981" s="500"/>
      <c r="AM8981" s="500"/>
      <c r="AN8981" s="500"/>
      <c r="AO8981" s="500"/>
      <c r="AP8981" s="500"/>
    </row>
    <row r="8982" spans="1:42" ht="16.5" customHeight="1">
      <c r="A8982" s="439"/>
      <c r="B8982" s="439"/>
      <c r="C8982" s="439"/>
      <c r="D8982" s="439"/>
      <c r="E8982" s="439"/>
      <c r="F8982" s="439"/>
      <c r="G8982" s="451" t="s">
        <v>3406</v>
      </c>
      <c r="Z8982" s="500"/>
      <c r="AA8982" s="500"/>
      <c r="AB8982" s="500"/>
      <c r="AC8982" s="500"/>
      <c r="AD8982" s="500"/>
      <c r="AE8982" s="500"/>
      <c r="AF8982" s="500"/>
      <c r="AG8982" s="500"/>
      <c r="AH8982" s="500"/>
      <c r="AI8982" s="500"/>
      <c r="AJ8982" s="500"/>
      <c r="AK8982" s="500"/>
      <c r="AL8982" s="500"/>
      <c r="AM8982" s="500"/>
      <c r="AN8982" s="500"/>
      <c r="AO8982" s="500"/>
      <c r="AP8982" s="500"/>
    </row>
    <row r="8983" spans="1:42" ht="16.5" customHeight="1">
      <c r="A8983" s="434"/>
      <c r="B8983" s="437" t="s">
        <v>4263</v>
      </c>
      <c r="C8983" s="439"/>
      <c r="D8983" s="439"/>
      <c r="E8983" s="439"/>
      <c r="F8983" s="439"/>
      <c r="G8983" s="451" t="s">
        <v>4264</v>
      </c>
      <c r="Z8983" s="500"/>
      <c r="AA8983" s="500"/>
      <c r="AB8983" s="500"/>
      <c r="AC8983" s="500"/>
      <c r="AD8983" s="500"/>
      <c r="AE8983" s="500"/>
      <c r="AF8983" s="500"/>
      <c r="AG8983" s="500"/>
      <c r="AH8983" s="500"/>
      <c r="AI8983" s="500"/>
      <c r="AJ8983" s="500"/>
      <c r="AK8983" s="500"/>
      <c r="AL8983" s="500"/>
      <c r="AM8983" s="500"/>
      <c r="AN8983" s="500"/>
      <c r="AO8983" s="500"/>
      <c r="AP8983" s="500"/>
    </row>
    <row r="8984" spans="1:42" ht="16.5" customHeight="1">
      <c r="A8984" s="439"/>
      <c r="B8984" s="439"/>
      <c r="C8984" s="439"/>
      <c r="D8984" s="439"/>
      <c r="E8984" s="439"/>
      <c r="F8984" s="439"/>
      <c r="G8984" s="451" t="s">
        <v>3406</v>
      </c>
      <c r="Z8984" s="500"/>
      <c r="AA8984" s="500"/>
      <c r="AB8984" s="500"/>
      <c r="AC8984" s="500"/>
      <c r="AD8984" s="500"/>
      <c r="AE8984" s="500"/>
      <c r="AF8984" s="500"/>
      <c r="AG8984" s="500"/>
      <c r="AH8984" s="500"/>
      <c r="AI8984" s="500"/>
      <c r="AJ8984" s="500"/>
      <c r="AK8984" s="500"/>
      <c r="AL8984" s="500"/>
      <c r="AM8984" s="500"/>
      <c r="AN8984" s="500"/>
      <c r="AO8984" s="500"/>
      <c r="AP8984" s="500"/>
    </row>
    <row r="8985" spans="1:42" ht="16.5" customHeight="1">
      <c r="A8985" s="434" t="s">
        <v>3414</v>
      </c>
      <c r="B8985" s="505" t="str">
        <f>"   "&amp;Z8985&amp;" 인  / "&amp;AB8985&amp;" ㎡  *  보통인부 : "&amp;TEXT(I8985,"#,##0"&amp;IF(I8985&lt;&gt;INT(I8985),".###",""))&amp;" = "&amp;TEXT(C8985,"#,##0.0")&amp;""</f>
        <v xml:space="preserve">   2 인  / 50 ㎡  *  보통인부 : 172,068 = 6,882.7</v>
      </c>
      <c r="C8985" s="506">
        <f>E8985+D8985+F8985</f>
        <v>6882.7</v>
      </c>
      <c r="D8985" s="506">
        <f>IF(H8985=0,0,ROUNDDOWN(J8985*H8985,1))</f>
        <v>6882.7</v>
      </c>
      <c r="E8985" s="506">
        <f>IF(H8985=0,0,ROUNDDOWN(K8985*H8985,1))</f>
        <v>0</v>
      </c>
      <c r="F8985" s="506">
        <f>IF(H8985=0,0,ROUNDDOWN(L8985*H8985,1))</f>
        <v>0</v>
      </c>
      <c r="G8985" s="451" t="s">
        <v>4442</v>
      </c>
      <c r="H8985" s="507">
        <f>ROUNDUP(AE8985,14-LEN(ABS(INT(AE8985))))</f>
        <v>0.04</v>
      </c>
      <c r="I8985" s="508">
        <f>K8985+J8985+L8985</f>
        <v>172068</v>
      </c>
      <c r="J8985" s="509">
        <f>노무비목록표!E10</f>
        <v>172068</v>
      </c>
      <c r="M8985" s="501" t="s">
        <v>2363</v>
      </c>
      <c r="N8985" s="501" t="s">
        <v>3416</v>
      </c>
      <c r="X8985" s="510" t="str">
        <f>노무비목록표!B10&amp;" / "&amp;노무비목록표!C10</f>
        <v xml:space="preserve">보통인부 / </v>
      </c>
      <c r="Y8985" s="433" t="str">
        <f ca="1">HYPERLINK("#"&amp;노무비목록표!G2&amp;"!A"&amp;ROW(노무비목록표!A10),"L00017 →")</f>
        <v>L00017 →</v>
      </c>
      <c r="Z8985" s="515">
        <v>2</v>
      </c>
      <c r="AA8985" s="501" t="s">
        <v>3428</v>
      </c>
      <c r="AB8985" s="515">
        <v>50</v>
      </c>
      <c r="AC8985" s="501" t="s">
        <v>3753</v>
      </c>
      <c r="AD8985" s="501" t="s">
        <v>3418</v>
      </c>
      <c r="AE8985" s="512">
        <f>Z8985/AB8985*1</f>
        <v>0.04</v>
      </c>
      <c r="AF8985" s="500"/>
      <c r="AG8985" s="500"/>
      <c r="AH8985" s="500"/>
      <c r="AI8985" s="500"/>
      <c r="AJ8985" s="500"/>
      <c r="AK8985" s="500"/>
      <c r="AL8985" s="500"/>
      <c r="AM8985" s="500"/>
      <c r="AN8985" s="500"/>
      <c r="AO8985" s="500"/>
      <c r="AP8985" s="500"/>
    </row>
    <row r="8986" spans="1:42" ht="16.5" customHeight="1">
      <c r="A8986" s="439"/>
      <c r="B8986" s="439"/>
      <c r="C8986" s="439"/>
      <c r="D8986" s="439"/>
      <c r="E8986" s="439"/>
      <c r="F8986" s="439"/>
      <c r="G8986" s="451" t="s">
        <v>3406</v>
      </c>
      <c r="Z8986" s="500"/>
      <c r="AA8986" s="500"/>
      <c r="AB8986" s="500"/>
      <c r="AC8986" s="500"/>
      <c r="AD8986" s="500"/>
      <c r="AE8986" s="500"/>
      <c r="AF8986" s="500"/>
      <c r="AG8986" s="500"/>
      <c r="AH8986" s="500"/>
      <c r="AI8986" s="500"/>
      <c r="AJ8986" s="500"/>
      <c r="AK8986" s="500"/>
      <c r="AL8986" s="500"/>
      <c r="AM8986" s="500"/>
      <c r="AN8986" s="500"/>
      <c r="AO8986" s="500"/>
      <c r="AP8986" s="500"/>
    </row>
    <row r="8987" spans="1:42" ht="16.5" customHeight="1">
      <c r="A8987" s="439"/>
      <c r="B8987" s="439"/>
      <c r="C8987" s="439"/>
      <c r="D8987" s="439"/>
      <c r="E8987" s="439"/>
      <c r="F8987" s="439"/>
      <c r="G8987" s="451" t="s">
        <v>3406</v>
      </c>
      <c r="Z8987" s="500"/>
      <c r="AA8987" s="500"/>
      <c r="AB8987" s="500"/>
      <c r="AC8987" s="500"/>
      <c r="AD8987" s="500"/>
      <c r="AE8987" s="500"/>
      <c r="AF8987" s="500"/>
      <c r="AG8987" s="500"/>
      <c r="AH8987" s="500"/>
      <c r="AI8987" s="500"/>
      <c r="AJ8987" s="500"/>
      <c r="AK8987" s="500"/>
      <c r="AL8987" s="500"/>
      <c r="AM8987" s="500"/>
      <c r="AN8987" s="500"/>
      <c r="AO8987" s="500"/>
      <c r="AP8987" s="500"/>
    </row>
    <row r="8988" spans="1:42" ht="16.5" customHeight="1">
      <c r="A8988" s="434"/>
      <c r="B8988" s="437" t="s">
        <v>4443</v>
      </c>
      <c r="C8988" s="439"/>
      <c r="D8988" s="439"/>
      <c r="E8988" s="439"/>
      <c r="F8988" s="439"/>
      <c r="G8988" s="451" t="s">
        <v>4444</v>
      </c>
      <c r="Z8988" s="500"/>
      <c r="AA8988" s="500"/>
      <c r="AB8988" s="500"/>
      <c r="AC8988" s="500"/>
      <c r="AD8988" s="500"/>
      <c r="AE8988" s="500"/>
      <c r="AF8988" s="500"/>
      <c r="AG8988" s="500"/>
      <c r="AH8988" s="500"/>
      <c r="AI8988" s="500"/>
      <c r="AJ8988" s="500"/>
      <c r="AK8988" s="500"/>
      <c r="AL8988" s="500"/>
      <c r="AM8988" s="500"/>
      <c r="AN8988" s="500"/>
      <c r="AO8988" s="500"/>
      <c r="AP8988" s="500"/>
    </row>
    <row r="8989" spans="1:42" ht="16.5" customHeight="1">
      <c r="A8989" s="439"/>
      <c r="B8989" s="439"/>
      <c r="C8989" s="439"/>
      <c r="D8989" s="439"/>
      <c r="E8989" s="439"/>
      <c r="F8989" s="439"/>
      <c r="G8989" s="451" t="s">
        <v>3406</v>
      </c>
      <c r="Z8989" s="500"/>
      <c r="AA8989" s="500"/>
      <c r="AB8989" s="500"/>
      <c r="AC8989" s="500"/>
      <c r="AD8989" s="500"/>
      <c r="AE8989" s="500"/>
      <c r="AF8989" s="500"/>
      <c r="AG8989" s="500"/>
      <c r="AH8989" s="500"/>
      <c r="AI8989" s="500"/>
      <c r="AJ8989" s="500"/>
      <c r="AK8989" s="500"/>
      <c r="AL8989" s="500"/>
      <c r="AM8989" s="500"/>
      <c r="AN8989" s="500"/>
      <c r="AO8989" s="500"/>
      <c r="AP8989" s="500"/>
    </row>
    <row r="8990" spans="1:42" ht="16.5" customHeight="1">
      <c r="A8990" s="434"/>
      <c r="B8990" s="505" t="str">
        <f>"   기계경비 : "&amp;TEXT(I8990,"#,##0.0")&amp;" * "&amp;AA8990&amp;" %  = "&amp;TEXT(C8990,"#,##0.0")&amp;""</f>
        <v xml:space="preserve">   기계경비 : 34,461.7 * 1 %  = 344.6</v>
      </c>
      <c r="C8990" s="506">
        <f>E8990+D8990+F8990</f>
        <v>344.6</v>
      </c>
      <c r="D8990" s="506">
        <f>IF(H8990=0,0,ROUNDDOWN(J8990*H8990/100,1))</f>
        <v>0</v>
      </c>
      <c r="E8990" s="506">
        <f>IF(H8990=0,0,ROUNDDOWN(K8990*H8990/100,1))</f>
        <v>0</v>
      </c>
      <c r="F8990" s="506">
        <f>IF(H8990=0,0,ROUNDDOWN(L8990*H8990/100,1))</f>
        <v>344.6</v>
      </c>
      <c r="G8990" s="451" t="s">
        <v>4445</v>
      </c>
      <c r="H8990" s="507">
        <f>ROUNDUP(AC8990,14-LEN(ABS(INT(AC8990))))</f>
        <v>1</v>
      </c>
      <c r="I8990" s="508">
        <f>K8990+J8990+L8990</f>
        <v>34461.699999999997</v>
      </c>
      <c r="J8990" s="456">
        <v>0</v>
      </c>
      <c r="K8990" s="456">
        <v>0</v>
      </c>
      <c r="L8990" s="508">
        <f>SUMIF(N8972:N8989,N8990,D8972:D8989)</f>
        <v>34461.699999999997</v>
      </c>
      <c r="M8990" s="501" t="s">
        <v>4446</v>
      </c>
      <c r="N8990" s="501" t="s">
        <v>3416</v>
      </c>
      <c r="Z8990" s="501" t="s">
        <v>3500</v>
      </c>
      <c r="AA8990" s="515">
        <v>1</v>
      </c>
      <c r="AB8990" s="501" t="s">
        <v>3418</v>
      </c>
      <c r="AC8990" s="512">
        <f>1*AA8990</f>
        <v>1</v>
      </c>
      <c r="AD8990" s="500"/>
      <c r="AE8990" s="500"/>
      <c r="AF8990" s="500"/>
      <c r="AG8990" s="500"/>
      <c r="AH8990" s="500"/>
      <c r="AI8990" s="500"/>
      <c r="AJ8990" s="500"/>
      <c r="AK8990" s="500"/>
      <c r="AL8990" s="500"/>
      <c r="AM8990" s="500"/>
      <c r="AN8990" s="500"/>
      <c r="AO8990" s="500"/>
      <c r="AP8990" s="500"/>
    </row>
    <row r="8991" spans="1:42" ht="16.5" customHeight="1">
      <c r="A8991" s="439"/>
      <c r="B8991" s="439"/>
      <c r="C8991" s="439"/>
      <c r="D8991" s="439"/>
      <c r="E8991" s="439"/>
      <c r="F8991" s="439"/>
      <c r="G8991" s="451" t="s">
        <v>3406</v>
      </c>
      <c r="Z8991" s="500"/>
      <c r="AA8991" s="500"/>
      <c r="AB8991" s="500"/>
      <c r="AC8991" s="500"/>
      <c r="AD8991" s="500"/>
      <c r="AE8991" s="500"/>
      <c r="AF8991" s="500"/>
      <c r="AG8991" s="500"/>
      <c r="AH8991" s="500"/>
      <c r="AI8991" s="500"/>
      <c r="AJ8991" s="500"/>
      <c r="AK8991" s="500"/>
      <c r="AL8991" s="500"/>
      <c r="AM8991" s="500"/>
      <c r="AN8991" s="500"/>
      <c r="AO8991" s="500"/>
      <c r="AP8991" s="500"/>
    </row>
    <row r="8992" spans="1:42" ht="16.5" customHeight="1">
      <c r="A8992" s="439"/>
      <c r="B8992" s="439"/>
      <c r="C8992" s="439"/>
      <c r="D8992" s="439"/>
      <c r="E8992" s="439"/>
      <c r="F8992" s="439"/>
      <c r="G8992" s="451" t="s">
        <v>3406</v>
      </c>
      <c r="Z8992" s="500"/>
      <c r="AA8992" s="500"/>
      <c r="AB8992" s="500"/>
      <c r="AC8992" s="500"/>
      <c r="AD8992" s="500"/>
      <c r="AE8992" s="500"/>
      <c r="AF8992" s="500"/>
      <c r="AG8992" s="500"/>
      <c r="AH8992" s="500"/>
      <c r="AI8992" s="500"/>
      <c r="AJ8992" s="500"/>
      <c r="AK8992" s="500"/>
      <c r="AL8992" s="500"/>
      <c r="AM8992" s="500"/>
      <c r="AN8992" s="500"/>
      <c r="AO8992" s="500"/>
      <c r="AP8992" s="500"/>
    </row>
    <row r="8993" spans="1:42" ht="16.5" customHeight="1">
      <c r="A8993" s="434"/>
      <c r="B8993" s="437" t="s">
        <v>3419</v>
      </c>
      <c r="C8993" s="513">
        <f>E8993+D8993+F8993</f>
        <v>34806.299999999996</v>
      </c>
      <c r="D8993" s="513">
        <f>SUMIF(N8972:N8992,M8993,D8972:D8992)</f>
        <v>34461.699999999997</v>
      </c>
      <c r="E8993" s="513">
        <f>SUMIF(N8972:N8992,M8993,E8972:E8992)</f>
        <v>0</v>
      </c>
      <c r="F8993" s="513">
        <f>SUMIF(N8972:N8992,M8993,F8972:F8992)</f>
        <v>344.6</v>
      </c>
      <c r="G8993" s="451" t="s">
        <v>3420</v>
      </c>
      <c r="M8993" s="501" t="s">
        <v>3416</v>
      </c>
      <c r="N8993" s="501" t="s">
        <v>3421</v>
      </c>
      <c r="Z8993" s="500"/>
      <c r="AA8993" s="500"/>
      <c r="AB8993" s="500"/>
      <c r="AC8993" s="500"/>
      <c r="AD8993" s="500"/>
      <c r="AE8993" s="500"/>
      <c r="AF8993" s="500"/>
      <c r="AG8993" s="500"/>
      <c r="AH8993" s="500"/>
      <c r="AI8993" s="500"/>
      <c r="AJ8993" s="500"/>
      <c r="AK8993" s="500"/>
      <c r="AL8993" s="500"/>
      <c r="AM8993" s="500"/>
      <c r="AN8993" s="500"/>
      <c r="AO8993" s="500"/>
      <c r="AP8993" s="500"/>
    </row>
    <row r="8994" spans="1:42" ht="16.5" customHeight="1">
      <c r="A8994" s="439"/>
      <c r="B8994" s="439"/>
      <c r="C8994" s="504"/>
      <c r="D8994" s="504"/>
      <c r="E8994" s="504"/>
      <c r="F8994" s="504"/>
      <c r="G8994" s="451" t="s">
        <v>3406</v>
      </c>
      <c r="Z8994" s="500"/>
      <c r="AA8994" s="500"/>
      <c r="AB8994" s="500"/>
      <c r="AC8994" s="500"/>
      <c r="AD8994" s="500"/>
      <c r="AE8994" s="500"/>
      <c r="AF8994" s="500"/>
      <c r="AG8994" s="500"/>
      <c r="AH8994" s="500"/>
      <c r="AI8994" s="500"/>
      <c r="AJ8994" s="500"/>
      <c r="AK8994" s="500"/>
      <c r="AL8994" s="500"/>
      <c r="AM8994" s="500"/>
      <c r="AN8994" s="500"/>
      <c r="AO8994" s="500"/>
      <c r="AP8994" s="500"/>
    </row>
    <row r="8995" spans="1:42" ht="16.5" customHeight="1">
      <c r="A8995" s="439"/>
      <c r="B8995" s="439"/>
      <c r="C8995" s="439"/>
      <c r="D8995" s="439"/>
      <c r="E8995" s="439"/>
      <c r="F8995" s="439"/>
      <c r="G8995" s="451" t="s">
        <v>3406</v>
      </c>
      <c r="Z8995" s="500"/>
      <c r="AA8995" s="500"/>
      <c r="AB8995" s="500"/>
      <c r="AC8995" s="500"/>
      <c r="AD8995" s="500"/>
      <c r="AE8995" s="500"/>
      <c r="AF8995" s="500"/>
      <c r="AG8995" s="500"/>
      <c r="AH8995" s="500"/>
      <c r="AI8995" s="500"/>
      <c r="AJ8995" s="500"/>
      <c r="AK8995" s="500"/>
      <c r="AL8995" s="500"/>
      <c r="AM8995" s="500"/>
      <c r="AN8995" s="500"/>
      <c r="AO8995" s="500"/>
      <c r="AP8995" s="500"/>
    </row>
    <row r="8996" spans="1:42" ht="16.5" customHeight="1">
      <c r="A8996" s="434"/>
      <c r="B8996" s="437" t="s">
        <v>3440</v>
      </c>
      <c r="C8996" s="513">
        <f>E8996+D8996+F8996</f>
        <v>46534.7</v>
      </c>
      <c r="D8996" s="513">
        <f>SUMIF(N8957:N8995,M8996,D8957:D8995)</f>
        <v>34461.699999999997</v>
      </c>
      <c r="E8996" s="513">
        <f>SUMIF(N8957:N8995,M8996,E8957:E8995)</f>
        <v>11728.400000000001</v>
      </c>
      <c r="F8996" s="513">
        <f>SUMIF(N8957:N8995,M8996,F8957:F8995)</f>
        <v>344.6</v>
      </c>
      <c r="G8996" s="451" t="s">
        <v>3484</v>
      </c>
      <c r="M8996" s="501" t="s">
        <v>3421</v>
      </c>
      <c r="N8996" s="501" t="s">
        <v>2354</v>
      </c>
      <c r="Z8996" s="500"/>
      <c r="AA8996" s="500"/>
      <c r="AB8996" s="500"/>
      <c r="AC8996" s="500"/>
      <c r="AD8996" s="500"/>
      <c r="AE8996" s="500"/>
      <c r="AF8996" s="500"/>
      <c r="AG8996" s="500"/>
      <c r="AH8996" s="500"/>
      <c r="AI8996" s="500"/>
      <c r="AJ8996" s="500"/>
      <c r="AK8996" s="500"/>
      <c r="AL8996" s="500"/>
      <c r="AM8996" s="500"/>
      <c r="AN8996" s="500"/>
      <c r="AO8996" s="500"/>
      <c r="AP8996" s="500"/>
    </row>
    <row r="8997" spans="1:42" ht="16.5" customHeight="1">
      <c r="A8997" s="439"/>
      <c r="B8997" s="439"/>
      <c r="C8997" s="504"/>
      <c r="D8997" s="504"/>
      <c r="E8997" s="504"/>
      <c r="F8997" s="504"/>
      <c r="Z8997" s="500"/>
      <c r="AA8997" s="500"/>
      <c r="AB8997" s="500"/>
      <c r="AC8997" s="500"/>
      <c r="AD8997" s="500"/>
      <c r="AE8997" s="500"/>
      <c r="AF8997" s="500"/>
      <c r="AG8997" s="500"/>
      <c r="AH8997" s="500"/>
      <c r="AI8997" s="500"/>
      <c r="AJ8997" s="500"/>
      <c r="AK8997" s="500"/>
      <c r="AL8997" s="500"/>
      <c r="AM8997" s="500"/>
      <c r="AN8997" s="500"/>
      <c r="AO8997" s="500"/>
      <c r="AP8997" s="500"/>
    </row>
    <row r="8998" spans="1:42" ht="16.5" customHeight="1">
      <c r="A8998" s="439"/>
      <c r="B8998" s="439"/>
      <c r="C8998" s="439"/>
      <c r="D8998" s="439"/>
      <c r="E8998" s="439"/>
      <c r="F8998" s="439"/>
      <c r="Z8998" s="500"/>
      <c r="AA8998" s="500"/>
      <c r="AB8998" s="500"/>
      <c r="AC8998" s="500"/>
      <c r="AD8998" s="500"/>
      <c r="AE8998" s="500"/>
      <c r="AF8998" s="500"/>
      <c r="AG8998" s="500"/>
      <c r="AH8998" s="500"/>
      <c r="AI8998" s="500"/>
      <c r="AJ8998" s="500"/>
      <c r="AK8998" s="500"/>
      <c r="AL8998" s="500"/>
      <c r="AM8998" s="500"/>
      <c r="AN8998" s="500"/>
      <c r="AO8998" s="500"/>
      <c r="AP8998" s="500"/>
    </row>
    <row r="8999" spans="1:42" ht="16.5" customHeight="1">
      <c r="A8999" s="439"/>
      <c r="B8999" s="439"/>
      <c r="C8999" s="439"/>
      <c r="D8999" s="439"/>
      <c r="E8999" s="439"/>
      <c r="F8999" s="439"/>
      <c r="Z8999" s="500"/>
      <c r="AA8999" s="500"/>
      <c r="AB8999" s="500"/>
      <c r="AC8999" s="500"/>
      <c r="AD8999" s="500"/>
      <c r="AE8999" s="500"/>
      <c r="AF8999" s="500"/>
      <c r="AG8999" s="500"/>
      <c r="AH8999" s="500"/>
      <c r="AI8999" s="500"/>
      <c r="AJ8999" s="500"/>
      <c r="AK8999" s="500"/>
      <c r="AL8999" s="500"/>
      <c r="AM8999" s="500"/>
      <c r="AN8999" s="500"/>
      <c r="AO8999" s="500"/>
      <c r="AP8999" s="500"/>
    </row>
    <row r="9000" spans="1:42" ht="16.5" customHeight="1">
      <c r="A9000" s="439"/>
      <c r="B9000" s="439"/>
      <c r="C9000" s="439"/>
      <c r="D9000" s="439"/>
      <c r="E9000" s="439"/>
      <c r="F9000" s="439"/>
      <c r="Z9000" s="500"/>
      <c r="AA9000" s="500"/>
      <c r="AB9000" s="500"/>
      <c r="AC9000" s="500"/>
      <c r="AD9000" s="500"/>
      <c r="AE9000" s="500"/>
      <c r="AF9000" s="500"/>
      <c r="AG9000" s="500"/>
      <c r="AH9000" s="500"/>
      <c r="AI9000" s="500"/>
      <c r="AJ9000" s="500"/>
      <c r="AK9000" s="500"/>
      <c r="AL9000" s="500"/>
      <c r="AM9000" s="500"/>
      <c r="AN9000" s="500"/>
      <c r="AO9000" s="500"/>
      <c r="AP9000" s="500"/>
    </row>
    <row r="9001" spans="1:42" ht="16.5" customHeight="1">
      <c r="A9001" s="439"/>
      <c r="B9001" s="439"/>
      <c r="C9001" s="439"/>
      <c r="D9001" s="439"/>
      <c r="E9001" s="439"/>
      <c r="F9001" s="439"/>
      <c r="Z9001" s="500"/>
      <c r="AA9001" s="500"/>
      <c r="AB9001" s="500"/>
      <c r="AC9001" s="500"/>
      <c r="AD9001" s="500"/>
      <c r="AE9001" s="500"/>
      <c r="AF9001" s="500"/>
      <c r="AG9001" s="500"/>
      <c r="AH9001" s="500"/>
      <c r="AI9001" s="500"/>
      <c r="AJ9001" s="500"/>
      <c r="AK9001" s="500"/>
      <c r="AL9001" s="500"/>
      <c r="AM9001" s="500"/>
      <c r="AN9001" s="500"/>
      <c r="AO9001" s="500"/>
      <c r="AP9001" s="500"/>
    </row>
    <row r="9002" spans="1:42" ht="16.5" customHeight="1">
      <c r="A9002" s="439"/>
      <c r="B9002" s="439"/>
      <c r="C9002" s="439"/>
      <c r="D9002" s="439"/>
      <c r="E9002" s="439"/>
      <c r="F9002" s="439"/>
      <c r="Z9002" s="500"/>
      <c r="AA9002" s="500"/>
      <c r="AB9002" s="500"/>
      <c r="AC9002" s="500"/>
      <c r="AD9002" s="500"/>
      <c r="AE9002" s="500"/>
      <c r="AF9002" s="500"/>
      <c r="AG9002" s="500"/>
      <c r="AH9002" s="500"/>
      <c r="AI9002" s="500"/>
      <c r="AJ9002" s="500"/>
      <c r="AK9002" s="500"/>
      <c r="AL9002" s="500"/>
      <c r="AM9002" s="500"/>
      <c r="AN9002" s="500"/>
      <c r="AO9002" s="500"/>
      <c r="AP9002" s="500"/>
    </row>
    <row r="9003" spans="1:42" ht="16.5" customHeight="1">
      <c r="A9003" s="497"/>
      <c r="B9003" s="497"/>
      <c r="C9003" s="497"/>
      <c r="D9003" s="497"/>
      <c r="E9003" s="497"/>
      <c r="F9003" s="497"/>
      <c r="Z9003" s="500"/>
      <c r="AA9003" s="500"/>
      <c r="AB9003" s="500"/>
      <c r="AC9003" s="500"/>
      <c r="AD9003" s="500"/>
      <c r="AE9003" s="500"/>
      <c r="AF9003" s="500"/>
      <c r="AG9003" s="500"/>
      <c r="AH9003" s="500"/>
      <c r="AI9003" s="500"/>
      <c r="AJ9003" s="500"/>
      <c r="AK9003" s="500"/>
      <c r="AL9003" s="500"/>
      <c r="AM9003" s="500"/>
      <c r="AN9003" s="500"/>
      <c r="AO9003" s="500"/>
      <c r="AP9003" s="500"/>
    </row>
    <row r="9004" spans="1:42" ht="16.5" customHeight="1">
      <c r="A9004" s="616" t="s">
        <v>3487</v>
      </c>
      <c r="B9004" s="605"/>
      <c r="C9004" s="446">
        <f>E9004+D9004+F9004</f>
        <v>46533</v>
      </c>
      <c r="D9004" s="453">
        <f>ROUNDDOWN(SUMIF(N8957:N8996,M9004,D8957:D8996),0)</f>
        <v>34461</v>
      </c>
      <c r="E9004" s="454">
        <f>ROUNDDOWN(SUMIF(N8957:N8996,M9004,E8957:E8996),0)</f>
        <v>11728</v>
      </c>
      <c r="F9004" s="446">
        <f>ROUNDDOWN(SUMIF(N8957:N8996,M9004,F8957:F8996),0)</f>
        <v>344</v>
      </c>
      <c r="M9004" s="501" t="s">
        <v>2354</v>
      </c>
      <c r="Z9004" s="500"/>
      <c r="AA9004" s="500"/>
      <c r="AB9004" s="500"/>
      <c r="AC9004" s="500"/>
      <c r="AD9004" s="500"/>
      <c r="AE9004" s="500"/>
      <c r="AF9004" s="500"/>
      <c r="AG9004" s="500"/>
      <c r="AH9004" s="500"/>
      <c r="AI9004" s="500"/>
      <c r="AJ9004" s="500"/>
      <c r="AK9004" s="500"/>
      <c r="AL9004" s="500"/>
      <c r="AM9004" s="500"/>
      <c r="AN9004" s="500"/>
      <c r="AO9004" s="500"/>
      <c r="AP9004" s="500"/>
    </row>
    <row r="9005" spans="1:42" ht="16.5" customHeight="1">
      <c r="A9005" s="502" t="s">
        <v>3396</v>
      </c>
      <c r="B9005" s="503" t="s">
        <v>3395</v>
      </c>
      <c r="C9005" s="615">
        <f>C9054</f>
        <v>29389</v>
      </c>
      <c r="D9005" s="615">
        <f>D9054</f>
        <v>28442</v>
      </c>
      <c r="E9005" s="615">
        <f>E9054</f>
        <v>647</v>
      </c>
      <c r="F9005" s="615">
        <f>F9054</f>
        <v>300</v>
      </c>
      <c r="G9005" s="486" t="str">
        <f>HYPERLINK("#G"&amp;ROW(G9038),"_x0005_`BDCOD|D01273_x0007_`POSS|"&amp;ROW(G9007)&amp;"_x0007_`POSE|"&amp;ROW(G9038)&amp;"_x0007_`")</f>
        <v>_x0005_`BDCOD|D01273_x0007_`POSS|9007_x0007_`POSE|9038_x0007_`</v>
      </c>
      <c r="Z9005" s="500"/>
      <c r="AA9005" s="500"/>
      <c r="AB9005" s="500"/>
      <c r="AC9005" s="500"/>
      <c r="AD9005" s="500"/>
      <c r="AE9005" s="500"/>
      <c r="AF9005" s="500"/>
      <c r="AG9005" s="500"/>
      <c r="AH9005" s="500"/>
      <c r="AI9005" s="500"/>
      <c r="AJ9005" s="500"/>
      <c r="AK9005" s="500"/>
      <c r="AL9005" s="500"/>
      <c r="AM9005" s="500"/>
      <c r="AN9005" s="500"/>
      <c r="AO9005" s="500"/>
      <c r="AP9005" s="500"/>
    </row>
    <row r="9006" spans="1:42" ht="16.5" customHeight="1">
      <c r="A9006" s="485"/>
      <c r="B9006" s="503" t="s">
        <v>4447</v>
      </c>
      <c r="C9006" s="593"/>
      <c r="D9006" s="593"/>
      <c r="E9006" s="593"/>
      <c r="F9006" s="593"/>
      <c r="M9006" s="501" t="s">
        <v>3395</v>
      </c>
      <c r="Z9006" s="500"/>
      <c r="AA9006" s="500"/>
      <c r="AB9006" s="500"/>
      <c r="AC9006" s="500"/>
      <c r="AD9006" s="500"/>
      <c r="AE9006" s="500"/>
      <c r="AF9006" s="500"/>
      <c r="AG9006" s="500"/>
      <c r="AH9006" s="500"/>
      <c r="AI9006" s="500"/>
      <c r="AJ9006" s="500"/>
      <c r="AK9006" s="500"/>
      <c r="AL9006" s="500"/>
      <c r="AM9006" s="500"/>
      <c r="AN9006" s="500"/>
      <c r="AO9006" s="500"/>
      <c r="AP9006" s="500"/>
    </row>
    <row r="9007" spans="1:42" ht="16.5" customHeight="1">
      <c r="A9007" s="439"/>
      <c r="B9007" s="439"/>
      <c r="C9007" s="504"/>
      <c r="D9007" s="504"/>
      <c r="E9007" s="504"/>
      <c r="F9007" s="504"/>
      <c r="G9007" s="451" t="s">
        <v>3406</v>
      </c>
      <c r="Z9007" s="500"/>
      <c r="AA9007" s="500"/>
      <c r="AB9007" s="500"/>
      <c r="AC9007" s="500"/>
      <c r="AD9007" s="500"/>
      <c r="AE9007" s="500"/>
      <c r="AF9007" s="500"/>
      <c r="AG9007" s="500"/>
      <c r="AH9007" s="500"/>
      <c r="AI9007" s="500"/>
      <c r="AJ9007" s="500"/>
      <c r="AK9007" s="500"/>
      <c r="AL9007" s="500"/>
      <c r="AM9007" s="500"/>
      <c r="AN9007" s="500"/>
      <c r="AO9007" s="500"/>
      <c r="AP9007" s="500"/>
    </row>
    <row r="9008" spans="1:42" ht="16.5" customHeight="1">
      <c r="A9008" s="434"/>
      <c r="B9008" s="437" t="s">
        <v>4448</v>
      </c>
      <c r="C9008" s="439"/>
      <c r="D9008" s="439"/>
      <c r="E9008" s="439"/>
      <c r="F9008" s="439"/>
      <c r="G9008" s="451" t="s">
        <v>4449</v>
      </c>
      <c r="Z9008" s="500"/>
      <c r="AA9008" s="500"/>
      <c r="AB9008" s="500"/>
      <c r="AC9008" s="500"/>
      <c r="AD9008" s="500"/>
      <c r="AE9008" s="500"/>
      <c r="AF9008" s="500"/>
      <c r="AG9008" s="500"/>
      <c r="AH9008" s="500"/>
      <c r="AI9008" s="500"/>
      <c r="AJ9008" s="500"/>
      <c r="AK9008" s="500"/>
      <c r="AL9008" s="500"/>
      <c r="AM9008" s="500"/>
      <c r="AN9008" s="500"/>
      <c r="AO9008" s="500"/>
      <c r="AP9008" s="500"/>
    </row>
    <row r="9009" spans="1:42" ht="16.5" customHeight="1">
      <c r="A9009" s="439"/>
      <c r="B9009" s="439"/>
      <c r="C9009" s="439"/>
      <c r="D9009" s="439"/>
      <c r="E9009" s="439"/>
      <c r="F9009" s="439"/>
      <c r="G9009" s="451" t="s">
        <v>3406</v>
      </c>
      <c r="Z9009" s="500"/>
      <c r="AA9009" s="500"/>
      <c r="AB9009" s="500"/>
      <c r="AC9009" s="500"/>
      <c r="AD9009" s="500"/>
      <c r="AE9009" s="500"/>
      <c r="AF9009" s="500"/>
      <c r="AG9009" s="500"/>
      <c r="AH9009" s="500"/>
      <c r="AI9009" s="500"/>
      <c r="AJ9009" s="500"/>
      <c r="AK9009" s="500"/>
      <c r="AL9009" s="500"/>
      <c r="AM9009" s="500"/>
      <c r="AN9009" s="500"/>
      <c r="AO9009" s="500"/>
      <c r="AP9009" s="500"/>
    </row>
    <row r="9010" spans="1:42" ht="16.5" customHeight="1">
      <c r="A9010" s="434"/>
      <c r="B9010" s="437" t="s">
        <v>4450</v>
      </c>
      <c r="C9010" s="439"/>
      <c r="D9010" s="439"/>
      <c r="E9010" s="439"/>
      <c r="F9010" s="439"/>
      <c r="G9010" s="451" t="s">
        <v>4451</v>
      </c>
      <c r="Z9010" s="500"/>
      <c r="AA9010" s="500"/>
      <c r="AB9010" s="500"/>
      <c r="AC9010" s="500"/>
      <c r="AD9010" s="500"/>
      <c r="AE9010" s="500"/>
      <c r="AF9010" s="500"/>
      <c r="AG9010" s="500"/>
      <c r="AH9010" s="500"/>
      <c r="AI9010" s="500"/>
      <c r="AJ9010" s="500"/>
      <c r="AK9010" s="500"/>
      <c r="AL9010" s="500"/>
      <c r="AM9010" s="500"/>
      <c r="AN9010" s="500"/>
      <c r="AO9010" s="500"/>
      <c r="AP9010" s="500"/>
    </row>
    <row r="9011" spans="1:42" ht="16.5" customHeight="1">
      <c r="A9011" s="439"/>
      <c r="B9011" s="439"/>
      <c r="C9011" s="439"/>
      <c r="D9011" s="439"/>
      <c r="E9011" s="439"/>
      <c r="F9011" s="439"/>
      <c r="G9011" s="451" t="s">
        <v>3406</v>
      </c>
      <c r="Z9011" s="500"/>
      <c r="AA9011" s="500"/>
      <c r="AB9011" s="500"/>
      <c r="AC9011" s="500"/>
      <c r="AD9011" s="500"/>
      <c r="AE9011" s="500"/>
      <c r="AF9011" s="500"/>
      <c r="AG9011" s="500"/>
      <c r="AH9011" s="500"/>
      <c r="AI9011" s="500"/>
      <c r="AJ9011" s="500"/>
      <c r="AK9011" s="500"/>
      <c r="AL9011" s="500"/>
      <c r="AM9011" s="500"/>
      <c r="AN9011" s="500"/>
      <c r="AO9011" s="500"/>
      <c r="AP9011" s="500"/>
    </row>
    <row r="9012" spans="1:42" ht="16.5" customHeight="1">
      <c r="A9012" s="434"/>
      <c r="B9012" s="437" t="s">
        <v>4452</v>
      </c>
      <c r="C9012" s="439"/>
      <c r="D9012" s="439"/>
      <c r="E9012" s="439"/>
      <c r="F9012" s="439"/>
      <c r="G9012" s="451" t="s">
        <v>4453</v>
      </c>
      <c r="Z9012" s="500"/>
      <c r="AA9012" s="500"/>
      <c r="AB9012" s="500"/>
      <c r="AC9012" s="500"/>
      <c r="AD9012" s="500"/>
      <c r="AE9012" s="500"/>
      <c r="AF9012" s="500"/>
      <c r="AG9012" s="500"/>
      <c r="AH9012" s="500"/>
      <c r="AI9012" s="500"/>
      <c r="AJ9012" s="500"/>
      <c r="AK9012" s="500"/>
      <c r="AL9012" s="500"/>
      <c r="AM9012" s="500"/>
      <c r="AN9012" s="500"/>
      <c r="AO9012" s="500"/>
      <c r="AP9012" s="500"/>
    </row>
    <row r="9013" spans="1:42" ht="16.5" customHeight="1">
      <c r="A9013" s="439"/>
      <c r="B9013" s="439"/>
      <c r="C9013" s="439"/>
      <c r="D9013" s="439"/>
      <c r="E9013" s="439"/>
      <c r="F9013" s="439"/>
      <c r="G9013" s="451" t="s">
        <v>3406</v>
      </c>
      <c r="Z9013" s="500"/>
      <c r="AA9013" s="500"/>
      <c r="AB9013" s="500"/>
      <c r="AC9013" s="500"/>
      <c r="AD9013" s="500"/>
      <c r="AE9013" s="500"/>
      <c r="AF9013" s="500"/>
      <c r="AG9013" s="500"/>
      <c r="AH9013" s="500"/>
      <c r="AI9013" s="500"/>
      <c r="AJ9013" s="500"/>
      <c r="AK9013" s="500"/>
      <c r="AL9013" s="500"/>
      <c r="AM9013" s="500"/>
      <c r="AN9013" s="500"/>
      <c r="AO9013" s="500"/>
      <c r="AP9013" s="500"/>
    </row>
    <row r="9014" spans="1:42" ht="16.5" customHeight="1">
      <c r="A9014" s="434"/>
      <c r="B9014" s="437" t="str">
        <f>"  Q = "&amp;Z9014&amp;"  ㎥ "</f>
        <v xml:space="preserve">  Q = 14  ㎥ </v>
      </c>
      <c r="C9014" s="439"/>
      <c r="D9014" s="439"/>
      <c r="E9014" s="439"/>
      <c r="F9014" s="439"/>
      <c r="G9014" s="451" t="s">
        <v>4454</v>
      </c>
      <c r="Z9014" s="515">
        <v>14</v>
      </c>
      <c r="AA9014" s="501" t="s">
        <v>3418</v>
      </c>
      <c r="AB9014" s="512">
        <f>Z9014</f>
        <v>14</v>
      </c>
      <c r="AC9014" s="500"/>
      <c r="AD9014" s="500"/>
      <c r="AE9014" s="500"/>
      <c r="AF9014" s="500"/>
      <c r="AG9014" s="500"/>
      <c r="AH9014" s="500"/>
      <c r="AI9014" s="500"/>
      <c r="AJ9014" s="500"/>
      <c r="AK9014" s="500"/>
      <c r="AL9014" s="500"/>
      <c r="AM9014" s="500"/>
      <c r="AN9014" s="500"/>
      <c r="AO9014" s="500"/>
      <c r="AP9014" s="500"/>
    </row>
    <row r="9015" spans="1:42" ht="16.5" customHeight="1">
      <c r="A9015" s="439"/>
      <c r="B9015" s="439"/>
      <c r="C9015" s="439"/>
      <c r="D9015" s="439"/>
      <c r="E9015" s="439"/>
      <c r="F9015" s="439"/>
      <c r="G9015" s="451" t="s">
        <v>3406</v>
      </c>
      <c r="Z9015" s="500"/>
      <c r="AA9015" s="500"/>
      <c r="AB9015" s="500"/>
      <c r="AC9015" s="500"/>
      <c r="AD9015" s="500"/>
      <c r="AE9015" s="500"/>
      <c r="AF9015" s="500"/>
      <c r="AG9015" s="500"/>
      <c r="AH9015" s="500"/>
      <c r="AI9015" s="500"/>
      <c r="AJ9015" s="500"/>
      <c r="AK9015" s="500"/>
      <c r="AL9015" s="500"/>
      <c r="AM9015" s="500"/>
      <c r="AN9015" s="500"/>
      <c r="AO9015" s="500"/>
      <c r="AP9015" s="500"/>
    </row>
    <row r="9016" spans="1:42" ht="16.5" customHeight="1">
      <c r="A9016" s="439"/>
      <c r="B9016" s="439"/>
      <c r="C9016" s="439"/>
      <c r="D9016" s="439"/>
      <c r="E9016" s="439"/>
      <c r="F9016" s="439"/>
      <c r="G9016" s="451" t="s">
        <v>3406</v>
      </c>
      <c r="Z9016" s="500"/>
      <c r="AA9016" s="500"/>
      <c r="AB9016" s="500"/>
      <c r="AC9016" s="500"/>
      <c r="AD9016" s="500"/>
      <c r="AE9016" s="500"/>
      <c r="AF9016" s="500"/>
      <c r="AG9016" s="500"/>
      <c r="AH9016" s="500"/>
      <c r="AI9016" s="500"/>
      <c r="AJ9016" s="500"/>
      <c r="AK9016" s="500"/>
      <c r="AL9016" s="500"/>
      <c r="AM9016" s="500"/>
      <c r="AN9016" s="500"/>
      <c r="AO9016" s="500"/>
      <c r="AP9016" s="500"/>
    </row>
    <row r="9017" spans="1:42" ht="16.5" customHeight="1">
      <c r="A9017" s="434"/>
      <c r="B9017" s="437" t="s">
        <v>3549</v>
      </c>
      <c r="C9017" s="439"/>
      <c r="D9017" s="439"/>
      <c r="E9017" s="439"/>
      <c r="F9017" s="439"/>
      <c r="G9017" s="451" t="s">
        <v>3550</v>
      </c>
      <c r="Z9017" s="500"/>
      <c r="AA9017" s="500"/>
      <c r="AB9017" s="500"/>
      <c r="AC9017" s="500"/>
      <c r="AD9017" s="500"/>
      <c r="AE9017" s="500"/>
      <c r="AF9017" s="500"/>
      <c r="AG9017" s="500"/>
      <c r="AH9017" s="500"/>
      <c r="AI9017" s="500"/>
      <c r="AJ9017" s="500"/>
      <c r="AK9017" s="500"/>
      <c r="AL9017" s="500"/>
      <c r="AM9017" s="500"/>
      <c r="AN9017" s="500"/>
      <c r="AO9017" s="500"/>
      <c r="AP9017" s="500"/>
    </row>
    <row r="9018" spans="1:42" ht="16.5" customHeight="1">
      <c r="A9018" s="439"/>
      <c r="B9018" s="439"/>
      <c r="C9018" s="439"/>
      <c r="D9018" s="439"/>
      <c r="E9018" s="439"/>
      <c r="F9018" s="439"/>
      <c r="G9018" s="451" t="s">
        <v>3406</v>
      </c>
      <c r="Z9018" s="500"/>
      <c r="AA9018" s="500"/>
      <c r="AB9018" s="500"/>
      <c r="AC9018" s="500"/>
      <c r="AD9018" s="500"/>
      <c r="AE9018" s="500"/>
      <c r="AF9018" s="500"/>
      <c r="AG9018" s="500"/>
      <c r="AH9018" s="500"/>
      <c r="AI9018" s="500"/>
      <c r="AJ9018" s="500"/>
      <c r="AK9018" s="500"/>
      <c r="AL9018" s="500"/>
      <c r="AM9018" s="500"/>
      <c r="AN9018" s="500"/>
      <c r="AO9018" s="500"/>
      <c r="AP9018" s="500"/>
    </row>
    <row r="9019" spans="1:42" ht="16.5" customHeight="1">
      <c r="A9019" s="434" t="s">
        <v>3821</v>
      </c>
      <c r="B9019" s="505" t="str">
        <f>" 특별인부 : "&amp;TEXT(I9019,"#,##0"&amp;IF(I9019&lt;&gt;INT(I9019),".###",""))&amp;" * "&amp;AA9019&amp;" 인  / Q  = "&amp;TEXT(C9019,"#,##0.0")&amp;""</f>
        <v xml:space="preserve"> 특별인부 : 226,122 * 1 인  / Q  = 16,151.5</v>
      </c>
      <c r="C9019" s="506">
        <f>E9019+D9019+F9019</f>
        <v>16151.5</v>
      </c>
      <c r="D9019" s="506">
        <f>IF(H9019=0,0,ROUNDDOWN(J9019*H9019,1))</f>
        <v>16151.5</v>
      </c>
      <c r="E9019" s="506">
        <f>IF(H9019=0,0,ROUNDDOWN(K9019*H9019,1))</f>
        <v>0</v>
      </c>
      <c r="F9019" s="506">
        <f>IF(H9019=0,0,ROUNDDOWN(L9019*H9019,1))</f>
        <v>0</v>
      </c>
      <c r="G9019" s="451" t="s">
        <v>4455</v>
      </c>
      <c r="H9019" s="507">
        <f>ROUNDUP(AE9019,14-LEN(ABS(INT(AE9019))))</f>
        <v>7.1428571428599999E-2</v>
      </c>
      <c r="I9019" s="508">
        <f>K9019+J9019+L9019</f>
        <v>226122</v>
      </c>
      <c r="J9019" s="509">
        <f>노무비목록표!E21</f>
        <v>226122</v>
      </c>
      <c r="M9019" s="501" t="s">
        <v>2519</v>
      </c>
      <c r="N9019" s="501" t="s">
        <v>3416</v>
      </c>
      <c r="O9019" s="501" t="s">
        <v>2355</v>
      </c>
      <c r="X9019" s="510" t="str">
        <f>노무비목록표!B21&amp;" / "&amp;노무비목록표!C21</f>
        <v xml:space="preserve">특별인부 / </v>
      </c>
      <c r="Y9019" s="433" t="str">
        <f ca="1">HYPERLINK("#"&amp;노무비목록표!G2&amp;"!A"&amp;ROW(노무비목록표!A21),"L00016 →")</f>
        <v>L00016 →</v>
      </c>
      <c r="Z9019" s="501" t="s">
        <v>3500</v>
      </c>
      <c r="AA9019" s="515">
        <v>1</v>
      </c>
      <c r="AB9019" s="501" t="s">
        <v>3428</v>
      </c>
      <c r="AC9019" s="512">
        <f>AB9014</f>
        <v>14</v>
      </c>
      <c r="AD9019" s="501" t="s">
        <v>3418</v>
      </c>
      <c r="AE9019" s="512">
        <f>1*AA9019/AB9014</f>
        <v>7.1428571428571425E-2</v>
      </c>
      <c r="AF9019" s="500"/>
      <c r="AG9019" s="500"/>
      <c r="AH9019" s="500"/>
      <c r="AI9019" s="500"/>
      <c r="AJ9019" s="500"/>
      <c r="AK9019" s="500"/>
      <c r="AL9019" s="500"/>
      <c r="AM9019" s="500"/>
      <c r="AN9019" s="500"/>
      <c r="AO9019" s="500"/>
      <c r="AP9019" s="500"/>
    </row>
    <row r="9020" spans="1:42" ht="16.5" customHeight="1">
      <c r="A9020" s="439"/>
      <c r="B9020" s="439"/>
      <c r="C9020" s="439"/>
      <c r="D9020" s="439"/>
      <c r="E9020" s="439"/>
      <c r="F9020" s="439"/>
      <c r="G9020" s="451" t="s">
        <v>3406</v>
      </c>
      <c r="Z9020" s="500"/>
      <c r="AA9020" s="500"/>
      <c r="AB9020" s="500"/>
      <c r="AC9020" s="500"/>
      <c r="AD9020" s="500"/>
      <c r="AE9020" s="500"/>
      <c r="AF9020" s="500"/>
      <c r="AG9020" s="500"/>
      <c r="AH9020" s="500"/>
      <c r="AI9020" s="500"/>
      <c r="AJ9020" s="500"/>
      <c r="AK9020" s="500"/>
      <c r="AL9020" s="500"/>
      <c r="AM9020" s="500"/>
      <c r="AN9020" s="500"/>
      <c r="AO9020" s="500"/>
      <c r="AP9020" s="500"/>
    </row>
    <row r="9021" spans="1:42" ht="16.5" customHeight="1">
      <c r="A9021" s="434" t="s">
        <v>3414</v>
      </c>
      <c r="B9021" s="505" t="str">
        <f>" 보통인부 : "&amp;TEXT(I9021,"#,##0"&amp;IF(I9021&lt;&gt;INT(I9021),".###",""))&amp;" * "&amp;AA9021&amp;" 인  / Q = "&amp;TEXT(C9021,"#,##0.0")&amp;""</f>
        <v xml:space="preserve"> 보통인부 : 172,068 * 1 인  / Q = 12,290.5</v>
      </c>
      <c r="C9021" s="506">
        <f>E9021+D9021+F9021</f>
        <v>12290.5</v>
      </c>
      <c r="D9021" s="506">
        <f>IF(H9021=0,0,ROUNDDOWN(J9021*H9021,1))</f>
        <v>12290.5</v>
      </c>
      <c r="E9021" s="506">
        <f>IF(H9021=0,0,ROUNDDOWN(K9021*H9021,1))</f>
        <v>0</v>
      </c>
      <c r="F9021" s="506">
        <f>IF(H9021=0,0,ROUNDDOWN(L9021*H9021,1))</f>
        <v>0</v>
      </c>
      <c r="G9021" s="451" t="s">
        <v>4456</v>
      </c>
      <c r="H9021" s="507">
        <f>ROUNDUP(AE9021,14-LEN(ABS(INT(AE9021))))</f>
        <v>7.1428571428599999E-2</v>
      </c>
      <c r="I9021" s="508">
        <f>K9021+J9021+L9021</f>
        <v>172068</v>
      </c>
      <c r="J9021" s="509">
        <f>노무비목록표!E10</f>
        <v>172068</v>
      </c>
      <c r="M9021" s="501" t="s">
        <v>2363</v>
      </c>
      <c r="N9021" s="501" t="s">
        <v>3416</v>
      </c>
      <c r="O9021" s="501" t="s">
        <v>2355</v>
      </c>
      <c r="X9021" s="510" t="str">
        <f>노무비목록표!B10&amp;" / "&amp;노무비목록표!C10</f>
        <v xml:space="preserve">보통인부 / </v>
      </c>
      <c r="Y9021" s="433" t="str">
        <f ca="1">HYPERLINK("#"&amp;노무비목록표!G2&amp;"!A"&amp;ROW(노무비목록표!A10),"L00017 →")</f>
        <v>L00017 →</v>
      </c>
      <c r="Z9021" s="501" t="s">
        <v>3500</v>
      </c>
      <c r="AA9021" s="515">
        <v>1</v>
      </c>
      <c r="AB9021" s="501" t="s">
        <v>3428</v>
      </c>
      <c r="AC9021" s="512">
        <f>AB9014</f>
        <v>14</v>
      </c>
      <c r="AD9021" s="501" t="s">
        <v>3418</v>
      </c>
      <c r="AE9021" s="512">
        <f>1*AA9021/AB9014</f>
        <v>7.1428571428571425E-2</v>
      </c>
      <c r="AF9021" s="500"/>
      <c r="AG9021" s="500"/>
      <c r="AH9021" s="500"/>
      <c r="AI9021" s="500"/>
      <c r="AJ9021" s="500"/>
      <c r="AK9021" s="500"/>
      <c r="AL9021" s="500"/>
      <c r="AM9021" s="500"/>
      <c r="AN9021" s="500"/>
      <c r="AO9021" s="500"/>
      <c r="AP9021" s="500"/>
    </row>
    <row r="9022" spans="1:42" ht="16.5" customHeight="1">
      <c r="A9022" s="439"/>
      <c r="B9022" s="439"/>
      <c r="C9022" s="439"/>
      <c r="D9022" s="439"/>
      <c r="E9022" s="439"/>
      <c r="F9022" s="439"/>
      <c r="G9022" s="451" t="s">
        <v>3406</v>
      </c>
      <c r="Z9022" s="500"/>
      <c r="AA9022" s="500"/>
      <c r="AB9022" s="500"/>
      <c r="AC9022" s="500"/>
      <c r="AD9022" s="500"/>
      <c r="AE9022" s="500"/>
      <c r="AF9022" s="500"/>
      <c r="AG9022" s="500"/>
      <c r="AH9022" s="500"/>
      <c r="AI9022" s="500"/>
      <c r="AJ9022" s="500"/>
      <c r="AK9022" s="500"/>
      <c r="AL9022" s="500"/>
      <c r="AM9022" s="500"/>
      <c r="AN9022" s="500"/>
      <c r="AO9022" s="500"/>
      <c r="AP9022" s="500"/>
    </row>
    <row r="9023" spans="1:42" ht="16.5" customHeight="1">
      <c r="A9023" s="434"/>
      <c r="B9023" s="437" t="s">
        <v>3419</v>
      </c>
      <c r="C9023" s="513">
        <f>E9023+D9023+F9023</f>
        <v>28442</v>
      </c>
      <c r="D9023" s="513">
        <f>SUMIF(N9007:N9022,M9023,D9007:D9022)</f>
        <v>28442</v>
      </c>
      <c r="E9023" s="513">
        <f>SUMIF(N9007:N9022,M9023,E9007:E9022)</f>
        <v>0</v>
      </c>
      <c r="F9023" s="513">
        <f>SUMIF(N9007:N9022,M9023,F9007:F9022)</f>
        <v>0</v>
      </c>
      <c r="G9023" s="451" t="s">
        <v>3439</v>
      </c>
      <c r="M9023" s="501" t="s">
        <v>3416</v>
      </c>
      <c r="N9023" s="501" t="s">
        <v>3421</v>
      </c>
      <c r="Z9023" s="500"/>
      <c r="AA9023" s="500"/>
      <c r="AB9023" s="500"/>
      <c r="AC9023" s="500"/>
      <c r="AD9023" s="500"/>
      <c r="AE9023" s="500"/>
      <c r="AF9023" s="500"/>
      <c r="AG9023" s="500"/>
      <c r="AH9023" s="500"/>
      <c r="AI9023" s="500"/>
      <c r="AJ9023" s="500"/>
      <c r="AK9023" s="500"/>
      <c r="AL9023" s="500"/>
      <c r="AM9023" s="500"/>
      <c r="AN9023" s="500"/>
      <c r="AO9023" s="500"/>
      <c r="AP9023" s="500"/>
    </row>
    <row r="9024" spans="1:42" ht="16.5" customHeight="1">
      <c r="A9024" s="439"/>
      <c r="B9024" s="439"/>
      <c r="C9024" s="504"/>
      <c r="D9024" s="504"/>
      <c r="E9024" s="504"/>
      <c r="F9024" s="504"/>
      <c r="G9024" s="451" t="s">
        <v>3413</v>
      </c>
      <c r="Z9024" s="500"/>
      <c r="AA9024" s="500"/>
      <c r="AB9024" s="500"/>
      <c r="AC9024" s="500"/>
      <c r="AD9024" s="500"/>
      <c r="AE9024" s="500"/>
      <c r="AF9024" s="500"/>
      <c r="AG9024" s="500"/>
      <c r="AH9024" s="500"/>
      <c r="AI9024" s="500"/>
      <c r="AJ9024" s="500"/>
      <c r="AK9024" s="500"/>
      <c r="AL9024" s="500"/>
      <c r="AM9024" s="500"/>
      <c r="AN9024" s="500"/>
      <c r="AO9024" s="500"/>
      <c r="AP9024" s="500"/>
    </row>
    <row r="9025" spans="1:42" ht="16.5" customHeight="1">
      <c r="A9025" s="439"/>
      <c r="B9025" s="439"/>
      <c r="C9025" s="439"/>
      <c r="D9025" s="439"/>
      <c r="E9025" s="439"/>
      <c r="F9025" s="439"/>
      <c r="G9025" s="451" t="s">
        <v>3406</v>
      </c>
      <c r="Z9025" s="500"/>
      <c r="AA9025" s="500"/>
      <c r="AB9025" s="500"/>
      <c r="AC9025" s="500"/>
      <c r="AD9025" s="500"/>
      <c r="AE9025" s="500"/>
      <c r="AF9025" s="500"/>
      <c r="AG9025" s="500"/>
      <c r="AH9025" s="500"/>
      <c r="AI9025" s="500"/>
      <c r="AJ9025" s="500"/>
      <c r="AK9025" s="500"/>
      <c r="AL9025" s="500"/>
      <c r="AM9025" s="500"/>
      <c r="AN9025" s="500"/>
      <c r="AO9025" s="500"/>
      <c r="AP9025" s="500"/>
    </row>
    <row r="9026" spans="1:42" ht="16.5" customHeight="1">
      <c r="A9026" s="434"/>
      <c r="B9026" s="437" t="s">
        <v>4457</v>
      </c>
      <c r="C9026" s="439"/>
      <c r="D9026" s="439"/>
      <c r="E9026" s="439"/>
      <c r="F9026" s="439"/>
      <c r="G9026" s="451" t="s">
        <v>4458</v>
      </c>
      <c r="Z9026" s="500"/>
      <c r="AA9026" s="500"/>
      <c r="AB9026" s="500"/>
      <c r="AC9026" s="500"/>
      <c r="AD9026" s="500"/>
      <c r="AE9026" s="500"/>
      <c r="AF9026" s="500"/>
      <c r="AG9026" s="500"/>
      <c r="AH9026" s="500"/>
      <c r="AI9026" s="500"/>
      <c r="AJ9026" s="500"/>
      <c r="AK9026" s="500"/>
      <c r="AL9026" s="500"/>
      <c r="AM9026" s="500"/>
      <c r="AN9026" s="500"/>
      <c r="AO9026" s="500"/>
      <c r="AP9026" s="500"/>
    </row>
    <row r="9027" spans="1:42" ht="16.5" customHeight="1">
      <c r="A9027" s="439"/>
      <c r="B9027" s="439"/>
      <c r="C9027" s="439"/>
      <c r="D9027" s="439"/>
      <c r="E9027" s="439"/>
      <c r="F9027" s="439"/>
      <c r="G9027" s="451" t="s">
        <v>3406</v>
      </c>
      <c r="Z9027" s="500"/>
      <c r="AA9027" s="500"/>
      <c r="AB9027" s="500"/>
      <c r="AC9027" s="500"/>
      <c r="AD9027" s="500"/>
      <c r="AE9027" s="500"/>
      <c r="AF9027" s="500"/>
      <c r="AG9027" s="500"/>
      <c r="AH9027" s="500"/>
      <c r="AI9027" s="500"/>
      <c r="AJ9027" s="500"/>
      <c r="AK9027" s="500"/>
      <c r="AL9027" s="500"/>
      <c r="AM9027" s="500"/>
      <c r="AN9027" s="500"/>
      <c r="AO9027" s="500"/>
      <c r="AP9027" s="500"/>
    </row>
    <row r="9028" spans="1:42" ht="16.5" customHeight="1">
      <c r="A9028" s="439"/>
      <c r="B9028" s="439"/>
      <c r="C9028" s="439"/>
      <c r="D9028" s="439"/>
      <c r="E9028" s="439"/>
      <c r="F9028" s="439"/>
      <c r="G9028" s="451" t="s">
        <v>3406</v>
      </c>
      <c r="Z9028" s="500"/>
      <c r="AA9028" s="500"/>
      <c r="AB9028" s="500"/>
      <c r="AC9028" s="500"/>
      <c r="AD9028" s="500"/>
      <c r="AE9028" s="500"/>
      <c r="AF9028" s="500"/>
      <c r="AG9028" s="500"/>
      <c r="AH9028" s="500"/>
      <c r="AI9028" s="500"/>
      <c r="AJ9028" s="500"/>
      <c r="AK9028" s="500"/>
      <c r="AL9028" s="500"/>
      <c r="AM9028" s="500"/>
      <c r="AN9028" s="500"/>
      <c r="AO9028" s="500"/>
      <c r="AP9028" s="500"/>
    </row>
    <row r="9029" spans="1:42" ht="16.5" customHeight="1">
      <c r="A9029" s="434" t="s">
        <v>4459</v>
      </c>
      <c r="B9029" s="505" t="str">
        <f>" 재 료 비  : "&amp;TEXT(I9029,"#,##0"&amp;IF(I9029&lt;&gt;INT(I9029),".###",""))&amp;"  / Q * "&amp;AC9029&amp;"  = "&amp;TEXT(C9029,"#,##0.0")&amp;""</f>
        <v xml:space="preserve"> 재 료 비  : 1,133  / Q * 8  = 647.4</v>
      </c>
      <c r="C9029" s="506">
        <f>E9029+D9029+F9029</f>
        <v>647.4</v>
      </c>
      <c r="D9029" s="506">
        <f>IF(H9029=0,0,ROUNDDOWN(J9029*H9029,1))</f>
        <v>0</v>
      </c>
      <c r="E9029" s="506">
        <f>IF(H9029=0,0,ROUNDDOWN(K9029*H9029,1))</f>
        <v>647.4</v>
      </c>
      <c r="F9029" s="506">
        <f>IF(H9029=0,0,ROUNDDOWN(L9029*H9029,1))</f>
        <v>0</v>
      </c>
      <c r="G9029" s="451" t="s">
        <v>4460</v>
      </c>
      <c r="H9029" s="507">
        <f>ROUNDUP(AE9029,14-LEN(ABS(INT(AE9029))))</f>
        <v>0.57142857142860004</v>
      </c>
      <c r="I9029" s="508">
        <f>K9029+J9029+L9029</f>
        <v>1133</v>
      </c>
      <c r="K9029" s="509">
        <f>중기목록표!G14</f>
        <v>1133</v>
      </c>
      <c r="M9029" s="501" t="s">
        <v>4461</v>
      </c>
      <c r="N9029" s="501" t="s">
        <v>3416</v>
      </c>
      <c r="X9029" s="510" t="str">
        <f>중기목록표!B14&amp;" / "&amp;중기목록표!C14</f>
        <v>래 머 / 80㎏</v>
      </c>
      <c r="Y9029" s="433" t="str">
        <f ca="1">HYPERLINK("#"&amp;중기목록표!J2&amp;"!A"&amp;ROW(중기목록표!A14),"X00311 →")</f>
        <v>X00311 →</v>
      </c>
      <c r="Z9029" s="501" t="s">
        <v>3434</v>
      </c>
      <c r="AA9029" s="512">
        <f>AB9014</f>
        <v>14</v>
      </c>
      <c r="AB9029" s="501" t="s">
        <v>3368</v>
      </c>
      <c r="AC9029" s="515">
        <v>8</v>
      </c>
      <c r="AD9029" s="501" t="s">
        <v>3418</v>
      </c>
      <c r="AE9029" s="512">
        <f>1/AB9014*AC9029</f>
        <v>0.5714285714285714</v>
      </c>
      <c r="AF9029" s="500"/>
      <c r="AG9029" s="500"/>
      <c r="AH9029" s="500"/>
      <c r="AI9029" s="500"/>
      <c r="AJ9029" s="500"/>
      <c r="AK9029" s="500"/>
      <c r="AL9029" s="500"/>
      <c r="AM9029" s="500"/>
      <c r="AN9029" s="500"/>
      <c r="AO9029" s="500"/>
      <c r="AP9029" s="500"/>
    </row>
    <row r="9030" spans="1:42" ht="16.5" customHeight="1">
      <c r="A9030" s="439"/>
      <c r="B9030" s="439"/>
      <c r="C9030" s="439"/>
      <c r="D9030" s="439"/>
      <c r="E9030" s="439"/>
      <c r="F9030" s="439"/>
      <c r="G9030" s="451" t="s">
        <v>3406</v>
      </c>
      <c r="Z9030" s="500"/>
      <c r="AA9030" s="500"/>
      <c r="AB9030" s="500"/>
      <c r="AC9030" s="500"/>
      <c r="AD9030" s="500"/>
      <c r="AE9030" s="500"/>
      <c r="AF9030" s="500"/>
      <c r="AG9030" s="500"/>
      <c r="AH9030" s="500"/>
      <c r="AI9030" s="500"/>
      <c r="AJ9030" s="500"/>
      <c r="AK9030" s="500"/>
      <c r="AL9030" s="500"/>
      <c r="AM9030" s="500"/>
      <c r="AN9030" s="500"/>
      <c r="AO9030" s="500"/>
      <c r="AP9030" s="500"/>
    </row>
    <row r="9031" spans="1:42" ht="16.5" customHeight="1">
      <c r="A9031" s="434" t="s">
        <v>4462</v>
      </c>
      <c r="B9031" s="505" t="str">
        <f>" 경    비  : "&amp;TEXT(I9031,"#,##0"&amp;IF(I9031&lt;&gt;INT(I9031),".###",""))&amp;"  / Q * "&amp;AC9031&amp;"  = "&amp;TEXT(C9031,"#,##0.0")&amp;""</f>
        <v xml:space="preserve"> 경    비  : 525  / Q * 8  = 300.0</v>
      </c>
      <c r="C9031" s="506">
        <f>E9031+D9031+F9031</f>
        <v>300</v>
      </c>
      <c r="D9031" s="506">
        <f>IF(H9031=0,0,ROUNDDOWN(J9031*H9031,1))</f>
        <v>0</v>
      </c>
      <c r="E9031" s="506">
        <f>IF(H9031=0,0,ROUNDDOWN(K9031*H9031,1))</f>
        <v>0</v>
      </c>
      <c r="F9031" s="506">
        <f>IF(H9031=0,0,ROUNDDOWN(L9031*H9031,1))</f>
        <v>300</v>
      </c>
      <c r="G9031" s="451" t="s">
        <v>4463</v>
      </c>
      <c r="H9031" s="507">
        <f>ROUNDUP(AE9031,14-LEN(ABS(INT(AE9031))))</f>
        <v>0.57142857142860004</v>
      </c>
      <c r="I9031" s="508">
        <f>K9031+J9031+L9031</f>
        <v>525</v>
      </c>
      <c r="L9031" s="509">
        <f>중기목록표!H14</f>
        <v>525</v>
      </c>
      <c r="M9031" s="501" t="s">
        <v>4461</v>
      </c>
      <c r="N9031" s="501" t="s">
        <v>3416</v>
      </c>
      <c r="X9031" s="510" t="str">
        <f>중기목록표!B14&amp;" / "&amp;중기목록표!C14</f>
        <v>래 머 / 80㎏</v>
      </c>
      <c r="Y9031" s="433" t="str">
        <f ca="1">HYPERLINK("#"&amp;중기목록표!J2&amp;"!A"&amp;ROW(중기목록표!A14),"X00311 →")</f>
        <v>X00311 →</v>
      </c>
      <c r="Z9031" s="501" t="s">
        <v>3434</v>
      </c>
      <c r="AA9031" s="512">
        <f>AB9014</f>
        <v>14</v>
      </c>
      <c r="AB9031" s="501" t="s">
        <v>3368</v>
      </c>
      <c r="AC9031" s="515">
        <v>8</v>
      </c>
      <c r="AD9031" s="501" t="s">
        <v>3418</v>
      </c>
      <c r="AE9031" s="512">
        <f>1/AB9014*AC9031</f>
        <v>0.5714285714285714</v>
      </c>
      <c r="AF9031" s="500"/>
      <c r="AG9031" s="500"/>
      <c r="AH9031" s="500"/>
      <c r="AI9031" s="500"/>
      <c r="AJ9031" s="500"/>
      <c r="AK9031" s="500"/>
      <c r="AL9031" s="500"/>
      <c r="AM9031" s="500"/>
      <c r="AN9031" s="500"/>
      <c r="AO9031" s="500"/>
      <c r="AP9031" s="500"/>
    </row>
    <row r="9032" spans="1:42" ht="16.5" customHeight="1">
      <c r="A9032" s="439"/>
      <c r="B9032" s="439"/>
      <c r="C9032" s="439"/>
      <c r="D9032" s="439"/>
      <c r="E9032" s="439"/>
      <c r="F9032" s="439"/>
      <c r="G9032" s="451" t="s">
        <v>3406</v>
      </c>
      <c r="Z9032" s="500"/>
      <c r="AA9032" s="500"/>
      <c r="AB9032" s="500"/>
      <c r="AC9032" s="500"/>
      <c r="AD9032" s="500"/>
      <c r="AE9032" s="500"/>
      <c r="AF9032" s="500"/>
      <c r="AG9032" s="500"/>
      <c r="AH9032" s="500"/>
      <c r="AI9032" s="500"/>
      <c r="AJ9032" s="500"/>
      <c r="AK9032" s="500"/>
      <c r="AL9032" s="500"/>
      <c r="AM9032" s="500"/>
      <c r="AN9032" s="500"/>
      <c r="AO9032" s="500"/>
      <c r="AP9032" s="500"/>
    </row>
    <row r="9033" spans="1:42" ht="16.5" customHeight="1">
      <c r="A9033" s="434"/>
      <c r="B9033" s="437" t="s">
        <v>3419</v>
      </c>
      <c r="C9033" s="513">
        <f>E9033+D9033+F9033</f>
        <v>947.4</v>
      </c>
      <c r="D9033" s="513">
        <f>SUMIF(N9024:N9032,M9033,D9024:D9032)</f>
        <v>0</v>
      </c>
      <c r="E9033" s="513">
        <f>SUMIF(N9024:N9032,M9033,E9024:E9032)</f>
        <v>647.4</v>
      </c>
      <c r="F9033" s="513">
        <f>SUMIF(N9024:N9032,M9033,F9024:F9032)</f>
        <v>300</v>
      </c>
      <c r="G9033" s="451" t="s">
        <v>3420</v>
      </c>
      <c r="M9033" s="501" t="s">
        <v>3416</v>
      </c>
      <c r="N9033" s="501" t="s">
        <v>3421</v>
      </c>
      <c r="Z9033" s="500"/>
      <c r="AA9033" s="500"/>
      <c r="AB9033" s="500"/>
      <c r="AC9033" s="500"/>
      <c r="AD9033" s="500"/>
      <c r="AE9033" s="500"/>
      <c r="AF9033" s="500"/>
      <c r="AG9033" s="500"/>
      <c r="AH9033" s="500"/>
      <c r="AI9033" s="500"/>
      <c r="AJ9033" s="500"/>
      <c r="AK9033" s="500"/>
      <c r="AL9033" s="500"/>
      <c r="AM9033" s="500"/>
      <c r="AN9033" s="500"/>
      <c r="AO9033" s="500"/>
      <c r="AP9033" s="500"/>
    </row>
    <row r="9034" spans="1:42" ht="16.5" customHeight="1">
      <c r="A9034" s="439"/>
      <c r="B9034" s="439"/>
      <c r="C9034" s="504"/>
      <c r="D9034" s="504"/>
      <c r="E9034" s="504"/>
      <c r="F9034" s="504"/>
      <c r="G9034" s="451" t="s">
        <v>3406</v>
      </c>
      <c r="Z9034" s="500"/>
      <c r="AA9034" s="500"/>
      <c r="AB9034" s="500"/>
      <c r="AC9034" s="500"/>
      <c r="AD9034" s="500"/>
      <c r="AE9034" s="500"/>
      <c r="AF9034" s="500"/>
      <c r="AG9034" s="500"/>
      <c r="AH9034" s="500"/>
      <c r="AI9034" s="500"/>
      <c r="AJ9034" s="500"/>
      <c r="AK9034" s="500"/>
      <c r="AL9034" s="500"/>
      <c r="AM9034" s="500"/>
      <c r="AN9034" s="500"/>
      <c r="AO9034" s="500"/>
      <c r="AP9034" s="500"/>
    </row>
    <row r="9035" spans="1:42" ht="16.5" customHeight="1">
      <c r="A9035" s="439"/>
      <c r="B9035" s="439"/>
      <c r="C9035" s="439"/>
      <c r="D9035" s="439"/>
      <c r="E9035" s="439"/>
      <c r="F9035" s="439"/>
      <c r="G9035" s="451" t="s">
        <v>3406</v>
      </c>
      <c r="Z9035" s="500"/>
      <c r="AA9035" s="500"/>
      <c r="AB9035" s="500"/>
      <c r="AC9035" s="500"/>
      <c r="AD9035" s="500"/>
      <c r="AE9035" s="500"/>
      <c r="AF9035" s="500"/>
      <c r="AG9035" s="500"/>
      <c r="AH9035" s="500"/>
      <c r="AI9035" s="500"/>
      <c r="AJ9035" s="500"/>
      <c r="AK9035" s="500"/>
      <c r="AL9035" s="500"/>
      <c r="AM9035" s="500"/>
      <c r="AN9035" s="500"/>
      <c r="AO9035" s="500"/>
      <c r="AP9035" s="500"/>
    </row>
    <row r="9036" spans="1:42" ht="16.5" customHeight="1">
      <c r="A9036" s="439"/>
      <c r="B9036" s="439"/>
      <c r="C9036" s="439"/>
      <c r="D9036" s="439"/>
      <c r="E9036" s="439"/>
      <c r="F9036" s="439"/>
      <c r="G9036" s="451" t="s">
        <v>3406</v>
      </c>
      <c r="Z9036" s="500"/>
      <c r="AA9036" s="500"/>
      <c r="AB9036" s="500"/>
      <c r="AC9036" s="500"/>
      <c r="AD9036" s="500"/>
      <c r="AE9036" s="500"/>
      <c r="AF9036" s="500"/>
      <c r="AG9036" s="500"/>
      <c r="AH9036" s="500"/>
      <c r="AI9036" s="500"/>
      <c r="AJ9036" s="500"/>
      <c r="AK9036" s="500"/>
      <c r="AL9036" s="500"/>
      <c r="AM9036" s="500"/>
      <c r="AN9036" s="500"/>
      <c r="AO9036" s="500"/>
      <c r="AP9036" s="500"/>
    </row>
    <row r="9037" spans="1:42" ht="16.5" customHeight="1">
      <c r="A9037" s="439"/>
      <c r="B9037" s="439"/>
      <c r="C9037" s="439"/>
      <c r="D9037" s="439"/>
      <c r="E9037" s="439"/>
      <c r="F9037" s="439"/>
      <c r="G9037" s="451" t="s">
        <v>3406</v>
      </c>
      <c r="Z9037" s="500"/>
      <c r="AA9037" s="500"/>
      <c r="AB9037" s="500"/>
      <c r="AC9037" s="500"/>
      <c r="AD9037" s="500"/>
      <c r="AE9037" s="500"/>
      <c r="AF9037" s="500"/>
      <c r="AG9037" s="500"/>
      <c r="AH9037" s="500"/>
      <c r="AI9037" s="500"/>
      <c r="AJ9037" s="500"/>
      <c r="AK9037" s="500"/>
      <c r="AL9037" s="500"/>
      <c r="AM9037" s="500"/>
      <c r="AN9037" s="500"/>
      <c r="AO9037" s="500"/>
      <c r="AP9037" s="500"/>
    </row>
    <row r="9038" spans="1:42" ht="16.5" customHeight="1">
      <c r="A9038" s="434"/>
      <c r="B9038" s="437" t="s">
        <v>3440</v>
      </c>
      <c r="C9038" s="513">
        <f>E9038+D9038+F9038</f>
        <v>29389.4</v>
      </c>
      <c r="D9038" s="513">
        <f>SUMIF(N9007:N9037,M9038,D9007:D9037)</f>
        <v>28442</v>
      </c>
      <c r="E9038" s="513">
        <f>SUMIF(N9007:N9037,M9038,E9007:E9037)</f>
        <v>647.4</v>
      </c>
      <c r="F9038" s="513">
        <f>SUMIF(N9007:N9037,M9038,F9007:F9037)</f>
        <v>300</v>
      </c>
      <c r="G9038" s="451" t="s">
        <v>3484</v>
      </c>
      <c r="M9038" s="501" t="s">
        <v>3421</v>
      </c>
      <c r="N9038" s="501" t="s">
        <v>2354</v>
      </c>
      <c r="Z9038" s="500"/>
      <c r="AA9038" s="500"/>
      <c r="AB9038" s="500"/>
      <c r="AC9038" s="500"/>
      <c r="AD9038" s="500"/>
      <c r="AE9038" s="500"/>
      <c r="AF9038" s="500"/>
      <c r="AG9038" s="500"/>
      <c r="AH9038" s="500"/>
      <c r="AI9038" s="500"/>
      <c r="AJ9038" s="500"/>
      <c r="AK9038" s="500"/>
      <c r="AL9038" s="500"/>
      <c r="AM9038" s="500"/>
      <c r="AN9038" s="500"/>
      <c r="AO9038" s="500"/>
      <c r="AP9038" s="500"/>
    </row>
    <row r="9039" spans="1:42" ht="16.5" customHeight="1">
      <c r="A9039" s="439"/>
      <c r="B9039" s="439"/>
      <c r="C9039" s="504"/>
      <c r="D9039" s="504"/>
      <c r="E9039" s="504"/>
      <c r="F9039" s="504"/>
      <c r="Z9039" s="500"/>
      <c r="AA9039" s="500"/>
      <c r="AB9039" s="500"/>
      <c r="AC9039" s="500"/>
      <c r="AD9039" s="500"/>
      <c r="AE9039" s="500"/>
      <c r="AF9039" s="500"/>
      <c r="AG9039" s="500"/>
      <c r="AH9039" s="500"/>
      <c r="AI9039" s="500"/>
      <c r="AJ9039" s="500"/>
      <c r="AK9039" s="500"/>
      <c r="AL9039" s="500"/>
      <c r="AM9039" s="500"/>
      <c r="AN9039" s="500"/>
      <c r="AO9039" s="500"/>
      <c r="AP9039" s="500"/>
    </row>
    <row r="9040" spans="1:42" ht="16.5" customHeight="1">
      <c r="A9040" s="439"/>
      <c r="B9040" s="439"/>
      <c r="C9040" s="439"/>
      <c r="D9040" s="439"/>
      <c r="E9040" s="439"/>
      <c r="F9040" s="439"/>
      <c r="Z9040" s="500"/>
      <c r="AA9040" s="500"/>
      <c r="AB9040" s="500"/>
      <c r="AC9040" s="500"/>
      <c r="AD9040" s="500"/>
      <c r="AE9040" s="500"/>
      <c r="AF9040" s="500"/>
      <c r="AG9040" s="500"/>
      <c r="AH9040" s="500"/>
      <c r="AI9040" s="500"/>
      <c r="AJ9040" s="500"/>
      <c r="AK9040" s="500"/>
      <c r="AL9040" s="500"/>
      <c r="AM9040" s="500"/>
      <c r="AN9040" s="500"/>
      <c r="AO9040" s="500"/>
      <c r="AP9040" s="500"/>
    </row>
    <row r="9041" spans="1:42" ht="16.5" customHeight="1">
      <c r="A9041" s="439"/>
      <c r="B9041" s="439"/>
      <c r="C9041" s="439"/>
      <c r="D9041" s="439"/>
      <c r="E9041" s="439"/>
      <c r="F9041" s="439"/>
      <c r="Z9041" s="500"/>
      <c r="AA9041" s="500"/>
      <c r="AB9041" s="500"/>
      <c r="AC9041" s="500"/>
      <c r="AD9041" s="500"/>
      <c r="AE9041" s="500"/>
      <c r="AF9041" s="500"/>
      <c r="AG9041" s="500"/>
      <c r="AH9041" s="500"/>
      <c r="AI9041" s="500"/>
      <c r="AJ9041" s="500"/>
      <c r="AK9041" s="500"/>
      <c r="AL9041" s="500"/>
      <c r="AM9041" s="500"/>
      <c r="AN9041" s="500"/>
      <c r="AO9041" s="500"/>
      <c r="AP9041" s="500"/>
    </row>
    <row r="9042" spans="1:42" ht="16.5" customHeight="1">
      <c r="A9042" s="439"/>
      <c r="B9042" s="439"/>
      <c r="C9042" s="439"/>
      <c r="D9042" s="439"/>
      <c r="E9042" s="439"/>
      <c r="F9042" s="439"/>
      <c r="Z9042" s="500"/>
      <c r="AA9042" s="500"/>
      <c r="AB9042" s="500"/>
      <c r="AC9042" s="500"/>
      <c r="AD9042" s="500"/>
      <c r="AE9042" s="500"/>
      <c r="AF9042" s="500"/>
      <c r="AG9042" s="500"/>
      <c r="AH9042" s="500"/>
      <c r="AI9042" s="500"/>
      <c r="AJ9042" s="500"/>
      <c r="AK9042" s="500"/>
      <c r="AL9042" s="500"/>
      <c r="AM9042" s="500"/>
      <c r="AN9042" s="500"/>
      <c r="AO9042" s="500"/>
      <c r="AP9042" s="500"/>
    </row>
    <row r="9043" spans="1:42" ht="16.5" customHeight="1">
      <c r="A9043" s="439"/>
      <c r="B9043" s="439"/>
      <c r="C9043" s="439"/>
      <c r="D9043" s="439"/>
      <c r="E9043" s="439"/>
      <c r="F9043" s="439"/>
      <c r="Z9043" s="500"/>
      <c r="AA9043" s="500"/>
      <c r="AB9043" s="500"/>
      <c r="AC9043" s="500"/>
      <c r="AD9043" s="500"/>
      <c r="AE9043" s="500"/>
      <c r="AF9043" s="500"/>
      <c r="AG9043" s="500"/>
      <c r="AH9043" s="500"/>
      <c r="AI9043" s="500"/>
      <c r="AJ9043" s="500"/>
      <c r="AK9043" s="500"/>
      <c r="AL9043" s="500"/>
      <c r="AM9043" s="500"/>
      <c r="AN9043" s="500"/>
      <c r="AO9043" s="500"/>
      <c r="AP9043" s="500"/>
    </row>
    <row r="9044" spans="1:42" ht="16.5" customHeight="1">
      <c r="A9044" s="439"/>
      <c r="B9044" s="439"/>
      <c r="C9044" s="439"/>
      <c r="D9044" s="439"/>
      <c r="E9044" s="439"/>
      <c r="F9044" s="439"/>
      <c r="Z9044" s="500"/>
      <c r="AA9044" s="500"/>
      <c r="AB9044" s="500"/>
      <c r="AC9044" s="500"/>
      <c r="AD9044" s="500"/>
      <c r="AE9044" s="500"/>
      <c r="AF9044" s="500"/>
      <c r="AG9044" s="500"/>
      <c r="AH9044" s="500"/>
      <c r="AI9044" s="500"/>
      <c r="AJ9044" s="500"/>
      <c r="AK9044" s="500"/>
      <c r="AL9044" s="500"/>
      <c r="AM9044" s="500"/>
      <c r="AN9044" s="500"/>
      <c r="AO9044" s="500"/>
      <c r="AP9044" s="500"/>
    </row>
    <row r="9045" spans="1:42" ht="16.5" customHeight="1">
      <c r="A9045" s="439"/>
      <c r="B9045" s="439"/>
      <c r="C9045" s="439"/>
      <c r="D9045" s="439"/>
      <c r="E9045" s="439"/>
      <c r="F9045" s="439"/>
      <c r="Z9045" s="500"/>
      <c r="AA9045" s="500"/>
      <c r="AB9045" s="500"/>
      <c r="AC9045" s="500"/>
      <c r="AD9045" s="500"/>
      <c r="AE9045" s="500"/>
      <c r="AF9045" s="500"/>
      <c r="AG9045" s="500"/>
      <c r="AH9045" s="500"/>
      <c r="AI9045" s="500"/>
      <c r="AJ9045" s="500"/>
      <c r="AK9045" s="500"/>
      <c r="AL9045" s="500"/>
      <c r="AM9045" s="500"/>
      <c r="AN9045" s="500"/>
      <c r="AO9045" s="500"/>
      <c r="AP9045" s="500"/>
    </row>
    <row r="9046" spans="1:42" ht="16.5" customHeight="1">
      <c r="A9046" s="439"/>
      <c r="B9046" s="439"/>
      <c r="C9046" s="439"/>
      <c r="D9046" s="439"/>
      <c r="E9046" s="439"/>
      <c r="F9046" s="439"/>
      <c r="Z9046" s="500"/>
      <c r="AA9046" s="500"/>
      <c r="AB9046" s="500"/>
      <c r="AC9046" s="500"/>
      <c r="AD9046" s="500"/>
      <c r="AE9046" s="500"/>
      <c r="AF9046" s="500"/>
      <c r="AG9046" s="500"/>
      <c r="AH9046" s="500"/>
      <c r="AI9046" s="500"/>
      <c r="AJ9046" s="500"/>
      <c r="AK9046" s="500"/>
      <c r="AL9046" s="500"/>
      <c r="AM9046" s="500"/>
      <c r="AN9046" s="500"/>
      <c r="AO9046" s="500"/>
      <c r="AP9046" s="500"/>
    </row>
    <row r="9047" spans="1:42" ht="16.5" customHeight="1">
      <c r="A9047" s="439"/>
      <c r="B9047" s="439"/>
      <c r="C9047" s="439"/>
      <c r="D9047" s="439"/>
      <c r="E9047" s="439"/>
      <c r="F9047" s="439"/>
      <c r="Z9047" s="500"/>
      <c r="AA9047" s="500"/>
      <c r="AB9047" s="500"/>
      <c r="AC9047" s="500"/>
      <c r="AD9047" s="500"/>
      <c r="AE9047" s="500"/>
      <c r="AF9047" s="500"/>
      <c r="AG9047" s="500"/>
      <c r="AH9047" s="500"/>
      <c r="AI9047" s="500"/>
      <c r="AJ9047" s="500"/>
      <c r="AK9047" s="500"/>
      <c r="AL9047" s="500"/>
      <c r="AM9047" s="500"/>
      <c r="AN9047" s="500"/>
      <c r="AO9047" s="500"/>
      <c r="AP9047" s="500"/>
    </row>
    <row r="9048" spans="1:42" ht="16.5" customHeight="1">
      <c r="A9048" s="439"/>
      <c r="B9048" s="439"/>
      <c r="C9048" s="439"/>
      <c r="D9048" s="439"/>
      <c r="E9048" s="439"/>
      <c r="F9048" s="439"/>
      <c r="Z9048" s="500"/>
      <c r="AA9048" s="500"/>
      <c r="AB9048" s="500"/>
      <c r="AC9048" s="500"/>
      <c r="AD9048" s="500"/>
      <c r="AE9048" s="500"/>
      <c r="AF9048" s="500"/>
      <c r="AG9048" s="500"/>
      <c r="AH9048" s="500"/>
      <c r="AI9048" s="500"/>
      <c r="AJ9048" s="500"/>
      <c r="AK9048" s="500"/>
      <c r="AL9048" s="500"/>
      <c r="AM9048" s="500"/>
      <c r="AN9048" s="500"/>
      <c r="AO9048" s="500"/>
      <c r="AP9048" s="500"/>
    </row>
    <row r="9049" spans="1:42" ht="16.5" customHeight="1">
      <c r="A9049" s="439"/>
      <c r="B9049" s="439"/>
      <c r="C9049" s="439"/>
      <c r="D9049" s="439"/>
      <c r="E9049" s="439"/>
      <c r="F9049" s="439"/>
      <c r="Z9049" s="500"/>
      <c r="AA9049" s="500"/>
      <c r="AB9049" s="500"/>
      <c r="AC9049" s="500"/>
      <c r="AD9049" s="500"/>
      <c r="AE9049" s="500"/>
      <c r="AF9049" s="500"/>
      <c r="AG9049" s="500"/>
      <c r="AH9049" s="500"/>
      <c r="AI9049" s="500"/>
      <c r="AJ9049" s="500"/>
      <c r="AK9049" s="500"/>
      <c r="AL9049" s="500"/>
      <c r="AM9049" s="500"/>
      <c r="AN9049" s="500"/>
      <c r="AO9049" s="500"/>
      <c r="AP9049" s="500"/>
    </row>
    <row r="9050" spans="1:42" ht="16.5" customHeight="1">
      <c r="A9050" s="439"/>
      <c r="B9050" s="439"/>
      <c r="C9050" s="439"/>
      <c r="D9050" s="439"/>
      <c r="E9050" s="439"/>
      <c r="F9050" s="439"/>
      <c r="Z9050" s="500"/>
      <c r="AA9050" s="500"/>
      <c r="AB9050" s="500"/>
      <c r="AC9050" s="500"/>
      <c r="AD9050" s="500"/>
      <c r="AE9050" s="500"/>
      <c r="AF9050" s="500"/>
      <c r="AG9050" s="500"/>
      <c r="AH9050" s="500"/>
      <c r="AI9050" s="500"/>
      <c r="AJ9050" s="500"/>
      <c r="AK9050" s="500"/>
      <c r="AL9050" s="500"/>
      <c r="AM9050" s="500"/>
      <c r="AN9050" s="500"/>
      <c r="AO9050" s="500"/>
      <c r="AP9050" s="500"/>
    </row>
    <row r="9051" spans="1:42" ht="16.5" customHeight="1">
      <c r="A9051" s="439"/>
      <c r="B9051" s="439"/>
      <c r="C9051" s="439"/>
      <c r="D9051" s="439"/>
      <c r="E9051" s="439"/>
      <c r="F9051" s="439"/>
      <c r="Z9051" s="500"/>
      <c r="AA9051" s="500"/>
      <c r="AB9051" s="500"/>
      <c r="AC9051" s="500"/>
      <c r="AD9051" s="500"/>
      <c r="AE9051" s="500"/>
      <c r="AF9051" s="500"/>
      <c r="AG9051" s="500"/>
      <c r="AH9051" s="500"/>
      <c r="AI9051" s="500"/>
      <c r="AJ9051" s="500"/>
      <c r="AK9051" s="500"/>
      <c r="AL9051" s="500"/>
      <c r="AM9051" s="500"/>
      <c r="AN9051" s="500"/>
      <c r="AO9051" s="500"/>
      <c r="AP9051" s="500"/>
    </row>
    <row r="9052" spans="1:42" ht="16.5" customHeight="1">
      <c r="A9052" s="439"/>
      <c r="B9052" s="439"/>
      <c r="C9052" s="439"/>
      <c r="D9052" s="439"/>
      <c r="E9052" s="439"/>
      <c r="F9052" s="439"/>
      <c r="Z9052" s="500"/>
      <c r="AA9052" s="500"/>
      <c r="AB9052" s="500"/>
      <c r="AC9052" s="500"/>
      <c r="AD9052" s="500"/>
      <c r="AE9052" s="500"/>
      <c r="AF9052" s="500"/>
      <c r="AG9052" s="500"/>
      <c r="AH9052" s="500"/>
      <c r="AI9052" s="500"/>
      <c r="AJ9052" s="500"/>
      <c r="AK9052" s="500"/>
      <c r="AL9052" s="500"/>
      <c r="AM9052" s="500"/>
      <c r="AN9052" s="500"/>
      <c r="AO9052" s="500"/>
      <c r="AP9052" s="500"/>
    </row>
    <row r="9053" spans="1:42" ht="16.5" customHeight="1">
      <c r="A9053" s="497"/>
      <c r="B9053" s="497"/>
      <c r="C9053" s="497"/>
      <c r="D9053" s="497"/>
      <c r="E9053" s="497"/>
      <c r="F9053" s="497"/>
      <c r="Z9053" s="500"/>
      <c r="AA9053" s="500"/>
      <c r="AB9053" s="500"/>
      <c r="AC9053" s="500"/>
      <c r="AD9053" s="500"/>
      <c r="AE9053" s="500"/>
      <c r="AF9053" s="500"/>
      <c r="AG9053" s="500"/>
      <c r="AH9053" s="500"/>
      <c r="AI9053" s="500"/>
      <c r="AJ9053" s="500"/>
      <c r="AK9053" s="500"/>
      <c r="AL9053" s="500"/>
      <c r="AM9053" s="500"/>
      <c r="AN9053" s="500"/>
      <c r="AO9053" s="500"/>
      <c r="AP9053" s="500"/>
    </row>
    <row r="9054" spans="1:42" ht="16.5" customHeight="1">
      <c r="A9054" s="616" t="s">
        <v>3487</v>
      </c>
      <c r="B9054" s="605"/>
      <c r="C9054" s="446">
        <f>E9054+D9054+F9054</f>
        <v>29389</v>
      </c>
      <c r="D9054" s="453">
        <f>ROUNDDOWN(SUMIF(N9007:N9038,M9054,D9007:D9038),0)</f>
        <v>28442</v>
      </c>
      <c r="E9054" s="454">
        <f>ROUNDDOWN(SUMIF(N9007:N9038,M9054,E9007:E9038),0)</f>
        <v>647</v>
      </c>
      <c r="F9054" s="446">
        <f>ROUNDDOWN(SUMIF(N9007:N9038,M9054,F9007:F9038),0)</f>
        <v>300</v>
      </c>
      <c r="M9054" s="501" t="s">
        <v>2354</v>
      </c>
      <c r="Z9054" s="500"/>
      <c r="AA9054" s="500"/>
      <c r="AB9054" s="500"/>
      <c r="AC9054" s="500"/>
      <c r="AD9054" s="500"/>
      <c r="AE9054" s="500"/>
      <c r="AF9054" s="500"/>
      <c r="AG9054" s="500"/>
      <c r="AH9054" s="500"/>
      <c r="AI9054" s="500"/>
      <c r="AJ9054" s="500"/>
      <c r="AK9054" s="500"/>
      <c r="AL9054" s="500"/>
      <c r="AM9054" s="500"/>
      <c r="AN9054" s="500"/>
      <c r="AO9054" s="500"/>
      <c r="AP9054" s="500"/>
    </row>
  </sheetData>
  <mergeCells count="843">
    <mergeCell ref="Z3:AP4"/>
    <mergeCell ref="C5:C6"/>
    <mergeCell ref="D5:D6"/>
    <mergeCell ref="E5:E6"/>
    <mergeCell ref="F5:F6"/>
    <mergeCell ref="A154:B154"/>
    <mergeCell ref="A1:F1"/>
    <mergeCell ref="A3:A4"/>
    <mergeCell ref="B3:B4"/>
    <mergeCell ref="C3:C4"/>
    <mergeCell ref="D3:D4"/>
    <mergeCell ref="E3:E4"/>
    <mergeCell ref="F3:F4"/>
    <mergeCell ref="A254:B254"/>
    <mergeCell ref="C255:C256"/>
    <mergeCell ref="D255:D256"/>
    <mergeCell ref="E255:E256"/>
    <mergeCell ref="F255:F256"/>
    <mergeCell ref="A304:B304"/>
    <mergeCell ref="C155:C156"/>
    <mergeCell ref="D155:D156"/>
    <mergeCell ref="E155:E156"/>
    <mergeCell ref="F155:F156"/>
    <mergeCell ref="A204:B204"/>
    <mergeCell ref="C205:C206"/>
    <mergeCell ref="D205:D206"/>
    <mergeCell ref="E205:E206"/>
    <mergeCell ref="F205:F206"/>
    <mergeCell ref="A404:B404"/>
    <mergeCell ref="C405:C406"/>
    <mergeCell ref="D405:D406"/>
    <mergeCell ref="E405:E406"/>
    <mergeCell ref="F405:F406"/>
    <mergeCell ref="A454:B454"/>
    <mergeCell ref="C305:C306"/>
    <mergeCell ref="D305:D306"/>
    <mergeCell ref="E305:E306"/>
    <mergeCell ref="F305:F306"/>
    <mergeCell ref="A354:B354"/>
    <mergeCell ref="C355:C356"/>
    <mergeCell ref="D355:D356"/>
    <mergeCell ref="E355:E356"/>
    <mergeCell ref="F355:F356"/>
    <mergeCell ref="A554:B554"/>
    <mergeCell ref="C555:C556"/>
    <mergeCell ref="D555:D556"/>
    <mergeCell ref="E555:E556"/>
    <mergeCell ref="F555:F556"/>
    <mergeCell ref="A604:B604"/>
    <mergeCell ref="C455:C456"/>
    <mergeCell ref="D455:D456"/>
    <mergeCell ref="E455:E456"/>
    <mergeCell ref="F455:F456"/>
    <mergeCell ref="A504:B504"/>
    <mergeCell ref="C505:C506"/>
    <mergeCell ref="D505:D506"/>
    <mergeCell ref="E505:E506"/>
    <mergeCell ref="F505:F506"/>
    <mergeCell ref="A704:B704"/>
    <mergeCell ref="C705:C706"/>
    <mergeCell ref="D705:D706"/>
    <mergeCell ref="E705:E706"/>
    <mergeCell ref="F705:F706"/>
    <mergeCell ref="A754:B754"/>
    <mergeCell ref="C605:C606"/>
    <mergeCell ref="D605:D606"/>
    <mergeCell ref="E605:E606"/>
    <mergeCell ref="F605:F606"/>
    <mergeCell ref="A654:B654"/>
    <mergeCell ref="C655:C656"/>
    <mergeCell ref="D655:D656"/>
    <mergeCell ref="E655:E656"/>
    <mergeCell ref="F655:F656"/>
    <mergeCell ref="A854:B854"/>
    <mergeCell ref="C855:C856"/>
    <mergeCell ref="D855:D856"/>
    <mergeCell ref="E855:E856"/>
    <mergeCell ref="F855:F856"/>
    <mergeCell ref="A904:B904"/>
    <mergeCell ref="C755:C756"/>
    <mergeCell ref="D755:D756"/>
    <mergeCell ref="E755:E756"/>
    <mergeCell ref="F755:F756"/>
    <mergeCell ref="A804:B804"/>
    <mergeCell ref="C805:C806"/>
    <mergeCell ref="D805:D806"/>
    <mergeCell ref="E805:E806"/>
    <mergeCell ref="F805:F806"/>
    <mergeCell ref="A1004:B1004"/>
    <mergeCell ref="C1005:C1006"/>
    <mergeCell ref="D1005:D1006"/>
    <mergeCell ref="E1005:E1006"/>
    <mergeCell ref="F1005:F1006"/>
    <mergeCell ref="A1054:B1054"/>
    <mergeCell ref="C905:C906"/>
    <mergeCell ref="D905:D906"/>
    <mergeCell ref="E905:E906"/>
    <mergeCell ref="F905:F906"/>
    <mergeCell ref="A954:B954"/>
    <mergeCell ref="C955:C956"/>
    <mergeCell ref="D955:D956"/>
    <mergeCell ref="E955:E956"/>
    <mergeCell ref="F955:F956"/>
    <mergeCell ref="A1154:B1154"/>
    <mergeCell ref="C1155:C1156"/>
    <mergeCell ref="D1155:D1156"/>
    <mergeCell ref="E1155:E1156"/>
    <mergeCell ref="F1155:F1156"/>
    <mergeCell ref="A1204:B1204"/>
    <mergeCell ref="C1055:C1056"/>
    <mergeCell ref="D1055:D1056"/>
    <mergeCell ref="E1055:E1056"/>
    <mergeCell ref="F1055:F1056"/>
    <mergeCell ref="A1104:B1104"/>
    <mergeCell ref="C1105:C1106"/>
    <mergeCell ref="D1105:D1106"/>
    <mergeCell ref="E1105:E1106"/>
    <mergeCell ref="F1105:F1106"/>
    <mergeCell ref="A1304:B1304"/>
    <mergeCell ref="C1305:C1306"/>
    <mergeCell ref="D1305:D1306"/>
    <mergeCell ref="E1305:E1306"/>
    <mergeCell ref="F1305:F1306"/>
    <mergeCell ref="A1354:B1354"/>
    <mergeCell ref="C1205:C1206"/>
    <mergeCell ref="D1205:D1206"/>
    <mergeCell ref="E1205:E1206"/>
    <mergeCell ref="F1205:F1206"/>
    <mergeCell ref="A1254:B1254"/>
    <mergeCell ref="C1255:C1256"/>
    <mergeCell ref="D1255:D1256"/>
    <mergeCell ref="E1255:E1256"/>
    <mergeCell ref="F1255:F1256"/>
    <mergeCell ref="A1554:B1554"/>
    <mergeCell ref="C1555:C1556"/>
    <mergeCell ref="D1555:D1556"/>
    <mergeCell ref="E1555:E1556"/>
    <mergeCell ref="F1555:F1556"/>
    <mergeCell ref="A1654:B1654"/>
    <mergeCell ref="C1355:C1356"/>
    <mergeCell ref="D1355:D1356"/>
    <mergeCell ref="E1355:E1356"/>
    <mergeCell ref="F1355:F1356"/>
    <mergeCell ref="A1454:B1454"/>
    <mergeCell ref="C1455:C1456"/>
    <mergeCell ref="D1455:D1456"/>
    <mergeCell ref="E1455:E1456"/>
    <mergeCell ref="F1455:F1456"/>
    <mergeCell ref="A1854:B1854"/>
    <mergeCell ref="C1855:C1856"/>
    <mergeCell ref="D1855:D1856"/>
    <mergeCell ref="E1855:E1856"/>
    <mergeCell ref="F1855:F1856"/>
    <mergeCell ref="A1904:B1904"/>
    <mergeCell ref="C1655:C1656"/>
    <mergeCell ref="D1655:D1656"/>
    <mergeCell ref="E1655:E1656"/>
    <mergeCell ref="F1655:F1656"/>
    <mergeCell ref="A1754:B1754"/>
    <mergeCell ref="C1755:C1756"/>
    <mergeCell ref="D1755:D1756"/>
    <mergeCell ref="E1755:E1756"/>
    <mergeCell ref="F1755:F1756"/>
    <mergeCell ref="A2104:B2104"/>
    <mergeCell ref="C2105:C2106"/>
    <mergeCell ref="D2105:D2106"/>
    <mergeCell ref="E2105:E2106"/>
    <mergeCell ref="F2105:F2106"/>
    <mergeCell ref="A2154:B2154"/>
    <mergeCell ref="C1905:C1906"/>
    <mergeCell ref="D1905:D1906"/>
    <mergeCell ref="E1905:E1906"/>
    <mergeCell ref="F1905:F1906"/>
    <mergeCell ref="A2004:B2004"/>
    <mergeCell ref="C2005:C2006"/>
    <mergeCell ref="D2005:D2006"/>
    <mergeCell ref="E2005:E2006"/>
    <mergeCell ref="F2005:F2006"/>
    <mergeCell ref="A2304:B2304"/>
    <mergeCell ref="C2305:C2306"/>
    <mergeCell ref="D2305:D2306"/>
    <mergeCell ref="E2305:E2306"/>
    <mergeCell ref="F2305:F2306"/>
    <mergeCell ref="A2354:B2354"/>
    <mergeCell ref="C2155:C2156"/>
    <mergeCell ref="D2155:D2156"/>
    <mergeCell ref="E2155:E2156"/>
    <mergeCell ref="F2155:F2156"/>
    <mergeCell ref="A2204:B2204"/>
    <mergeCell ref="C2205:C2206"/>
    <mergeCell ref="D2205:D2206"/>
    <mergeCell ref="E2205:E2206"/>
    <mergeCell ref="F2205:F2206"/>
    <mergeCell ref="A2454:B2454"/>
    <mergeCell ref="C2455:C2456"/>
    <mergeCell ref="D2455:D2456"/>
    <mergeCell ref="E2455:E2456"/>
    <mergeCell ref="F2455:F2456"/>
    <mergeCell ref="A2504:B2504"/>
    <mergeCell ref="C2355:C2356"/>
    <mergeCell ref="D2355:D2356"/>
    <mergeCell ref="E2355:E2356"/>
    <mergeCell ref="F2355:F2356"/>
    <mergeCell ref="A2404:B2404"/>
    <mergeCell ref="C2405:C2406"/>
    <mergeCell ref="D2405:D2406"/>
    <mergeCell ref="E2405:E2406"/>
    <mergeCell ref="F2405:F2406"/>
    <mergeCell ref="A2604:B2604"/>
    <mergeCell ref="C2605:C2606"/>
    <mergeCell ref="D2605:D2606"/>
    <mergeCell ref="E2605:E2606"/>
    <mergeCell ref="F2605:F2606"/>
    <mergeCell ref="A2654:B2654"/>
    <mergeCell ref="C2505:C2506"/>
    <mergeCell ref="D2505:D2506"/>
    <mergeCell ref="E2505:E2506"/>
    <mergeCell ref="F2505:F2506"/>
    <mergeCell ref="A2554:B2554"/>
    <mergeCell ref="C2555:C2556"/>
    <mergeCell ref="D2555:D2556"/>
    <mergeCell ref="E2555:E2556"/>
    <mergeCell ref="F2555:F2556"/>
    <mergeCell ref="A2754:B2754"/>
    <mergeCell ref="C2755:C2756"/>
    <mergeCell ref="D2755:D2756"/>
    <mergeCell ref="E2755:E2756"/>
    <mergeCell ref="F2755:F2756"/>
    <mergeCell ref="A2804:B2804"/>
    <mergeCell ref="C2655:C2656"/>
    <mergeCell ref="D2655:D2656"/>
    <mergeCell ref="E2655:E2656"/>
    <mergeCell ref="F2655:F2656"/>
    <mergeCell ref="A2704:B2704"/>
    <mergeCell ref="C2705:C2706"/>
    <mergeCell ref="D2705:D2706"/>
    <mergeCell ref="E2705:E2706"/>
    <mergeCell ref="F2705:F2706"/>
    <mergeCell ref="A2904:B2904"/>
    <mergeCell ref="C2905:C2906"/>
    <mergeCell ref="D2905:D2906"/>
    <mergeCell ref="E2905:E2906"/>
    <mergeCell ref="F2905:F2906"/>
    <mergeCell ref="A2954:B2954"/>
    <mergeCell ref="C2805:C2806"/>
    <mergeCell ref="D2805:D2806"/>
    <mergeCell ref="E2805:E2806"/>
    <mergeCell ref="F2805:F2806"/>
    <mergeCell ref="A2854:B2854"/>
    <mergeCell ref="C2855:C2856"/>
    <mergeCell ref="D2855:D2856"/>
    <mergeCell ref="E2855:E2856"/>
    <mergeCell ref="F2855:F2856"/>
    <mergeCell ref="A3054:B3054"/>
    <mergeCell ref="C3055:C3056"/>
    <mergeCell ref="D3055:D3056"/>
    <mergeCell ref="E3055:E3056"/>
    <mergeCell ref="F3055:F3056"/>
    <mergeCell ref="A3154:B3154"/>
    <mergeCell ref="C2955:C2956"/>
    <mergeCell ref="D2955:D2956"/>
    <mergeCell ref="E2955:E2956"/>
    <mergeCell ref="F2955:F2956"/>
    <mergeCell ref="A3004:B3004"/>
    <mergeCell ref="C3005:C3006"/>
    <mergeCell ref="D3005:D3006"/>
    <mergeCell ref="E3005:E3006"/>
    <mergeCell ref="F3005:F3006"/>
    <mergeCell ref="A3254:B3254"/>
    <mergeCell ref="C3255:C3256"/>
    <mergeCell ref="D3255:D3256"/>
    <mergeCell ref="E3255:E3256"/>
    <mergeCell ref="F3255:F3256"/>
    <mergeCell ref="A3304:B3304"/>
    <mergeCell ref="C3155:C3156"/>
    <mergeCell ref="D3155:D3156"/>
    <mergeCell ref="E3155:E3156"/>
    <mergeCell ref="F3155:F3156"/>
    <mergeCell ref="A3204:B3204"/>
    <mergeCell ref="C3205:C3206"/>
    <mergeCell ref="D3205:D3206"/>
    <mergeCell ref="E3205:E3206"/>
    <mergeCell ref="F3205:F3206"/>
    <mergeCell ref="A3404:B3404"/>
    <mergeCell ref="C3405:C3406"/>
    <mergeCell ref="D3405:D3406"/>
    <mergeCell ref="E3405:E3406"/>
    <mergeCell ref="F3405:F3406"/>
    <mergeCell ref="A3454:B3454"/>
    <mergeCell ref="C3305:C3306"/>
    <mergeCell ref="D3305:D3306"/>
    <mergeCell ref="E3305:E3306"/>
    <mergeCell ref="F3305:F3306"/>
    <mergeCell ref="A3354:B3354"/>
    <mergeCell ref="C3355:C3356"/>
    <mergeCell ref="D3355:D3356"/>
    <mergeCell ref="E3355:E3356"/>
    <mergeCell ref="F3355:F3356"/>
    <mergeCell ref="A3554:B3554"/>
    <mergeCell ref="C3555:C3556"/>
    <mergeCell ref="D3555:D3556"/>
    <mergeCell ref="E3555:E3556"/>
    <mergeCell ref="F3555:F3556"/>
    <mergeCell ref="A3604:B3604"/>
    <mergeCell ref="C3455:C3456"/>
    <mergeCell ref="D3455:D3456"/>
    <mergeCell ref="E3455:E3456"/>
    <mergeCell ref="F3455:F3456"/>
    <mergeCell ref="A3504:B3504"/>
    <mergeCell ref="C3505:C3506"/>
    <mergeCell ref="D3505:D3506"/>
    <mergeCell ref="E3505:E3506"/>
    <mergeCell ref="F3505:F3506"/>
    <mergeCell ref="A3754:B3754"/>
    <mergeCell ref="C3755:C3756"/>
    <mergeCell ref="D3755:D3756"/>
    <mergeCell ref="E3755:E3756"/>
    <mergeCell ref="F3755:F3756"/>
    <mergeCell ref="A3804:B3804"/>
    <mergeCell ref="C3605:C3606"/>
    <mergeCell ref="D3605:D3606"/>
    <mergeCell ref="E3605:E3606"/>
    <mergeCell ref="F3605:F3606"/>
    <mergeCell ref="A3654:B3654"/>
    <mergeCell ref="C3655:C3656"/>
    <mergeCell ref="D3655:D3656"/>
    <mergeCell ref="E3655:E3656"/>
    <mergeCell ref="F3655:F3656"/>
    <mergeCell ref="A3904:B3904"/>
    <mergeCell ref="C3905:C3906"/>
    <mergeCell ref="D3905:D3906"/>
    <mergeCell ref="E3905:E3906"/>
    <mergeCell ref="F3905:F3906"/>
    <mergeCell ref="A3954:B3954"/>
    <mergeCell ref="C3805:C3806"/>
    <mergeCell ref="D3805:D3806"/>
    <mergeCell ref="E3805:E3806"/>
    <mergeCell ref="F3805:F3806"/>
    <mergeCell ref="A3854:B3854"/>
    <mergeCell ref="C3855:C3856"/>
    <mergeCell ref="D3855:D3856"/>
    <mergeCell ref="E3855:E3856"/>
    <mergeCell ref="F3855:F3856"/>
    <mergeCell ref="A4054:B4054"/>
    <mergeCell ref="C4055:C4056"/>
    <mergeCell ref="D4055:D4056"/>
    <mergeCell ref="E4055:E4056"/>
    <mergeCell ref="F4055:F4056"/>
    <mergeCell ref="A4104:B4104"/>
    <mergeCell ref="C3955:C3956"/>
    <mergeCell ref="D3955:D3956"/>
    <mergeCell ref="E3955:E3956"/>
    <mergeCell ref="F3955:F3956"/>
    <mergeCell ref="A4004:B4004"/>
    <mergeCell ref="C4005:C4006"/>
    <mergeCell ref="D4005:D4006"/>
    <mergeCell ref="E4005:E4006"/>
    <mergeCell ref="F4005:F4006"/>
    <mergeCell ref="A4204:B4204"/>
    <mergeCell ref="C4205:C4206"/>
    <mergeCell ref="D4205:D4206"/>
    <mergeCell ref="E4205:E4206"/>
    <mergeCell ref="F4205:F4206"/>
    <mergeCell ref="A4254:B4254"/>
    <mergeCell ref="C4105:C4106"/>
    <mergeCell ref="D4105:D4106"/>
    <mergeCell ref="E4105:E4106"/>
    <mergeCell ref="F4105:F4106"/>
    <mergeCell ref="A4154:B4154"/>
    <mergeCell ref="C4155:C4156"/>
    <mergeCell ref="D4155:D4156"/>
    <mergeCell ref="E4155:E4156"/>
    <mergeCell ref="F4155:F4156"/>
    <mergeCell ref="A4354:B4354"/>
    <mergeCell ref="C4355:C4356"/>
    <mergeCell ref="D4355:D4356"/>
    <mergeCell ref="E4355:E4356"/>
    <mergeCell ref="F4355:F4356"/>
    <mergeCell ref="A4404:B4404"/>
    <mergeCell ref="C4255:C4256"/>
    <mergeCell ref="D4255:D4256"/>
    <mergeCell ref="E4255:E4256"/>
    <mergeCell ref="F4255:F4256"/>
    <mergeCell ref="A4304:B4304"/>
    <mergeCell ref="C4305:C4306"/>
    <mergeCell ref="D4305:D4306"/>
    <mergeCell ref="E4305:E4306"/>
    <mergeCell ref="F4305:F4306"/>
    <mergeCell ref="A4504:B4504"/>
    <mergeCell ref="C4505:C4506"/>
    <mergeCell ref="D4505:D4506"/>
    <mergeCell ref="E4505:E4506"/>
    <mergeCell ref="F4505:F4506"/>
    <mergeCell ref="A4554:B4554"/>
    <mergeCell ref="C4405:C4406"/>
    <mergeCell ref="D4405:D4406"/>
    <mergeCell ref="E4405:E4406"/>
    <mergeCell ref="F4405:F4406"/>
    <mergeCell ref="A4454:B4454"/>
    <mergeCell ref="C4455:C4456"/>
    <mergeCell ref="D4455:D4456"/>
    <mergeCell ref="E4455:E4456"/>
    <mergeCell ref="F4455:F4456"/>
    <mergeCell ref="A4654:B4654"/>
    <mergeCell ref="C4655:C4656"/>
    <mergeCell ref="D4655:D4656"/>
    <mergeCell ref="E4655:E4656"/>
    <mergeCell ref="F4655:F4656"/>
    <mergeCell ref="A4704:B4704"/>
    <mergeCell ref="C4555:C4556"/>
    <mergeCell ref="D4555:D4556"/>
    <mergeCell ref="E4555:E4556"/>
    <mergeCell ref="F4555:F4556"/>
    <mergeCell ref="A4604:B4604"/>
    <mergeCell ref="C4605:C4606"/>
    <mergeCell ref="D4605:D4606"/>
    <mergeCell ref="E4605:E4606"/>
    <mergeCell ref="F4605:F4606"/>
    <mergeCell ref="A4804:B4804"/>
    <mergeCell ref="C4805:C4806"/>
    <mergeCell ref="D4805:D4806"/>
    <mergeCell ref="E4805:E4806"/>
    <mergeCell ref="F4805:F4806"/>
    <mergeCell ref="A4854:B4854"/>
    <mergeCell ref="C4705:C4706"/>
    <mergeCell ref="D4705:D4706"/>
    <mergeCell ref="E4705:E4706"/>
    <mergeCell ref="F4705:F4706"/>
    <mergeCell ref="A4754:B4754"/>
    <mergeCell ref="C4755:C4756"/>
    <mergeCell ref="D4755:D4756"/>
    <mergeCell ref="E4755:E4756"/>
    <mergeCell ref="F4755:F4756"/>
    <mergeCell ref="A4954:B4954"/>
    <mergeCell ref="C4955:C4956"/>
    <mergeCell ref="D4955:D4956"/>
    <mergeCell ref="E4955:E4956"/>
    <mergeCell ref="F4955:F4956"/>
    <mergeCell ref="A5004:B5004"/>
    <mergeCell ref="C4855:C4856"/>
    <mergeCell ref="D4855:D4856"/>
    <mergeCell ref="E4855:E4856"/>
    <mergeCell ref="F4855:F4856"/>
    <mergeCell ref="A4904:B4904"/>
    <mergeCell ref="C4905:C4906"/>
    <mergeCell ref="D4905:D4906"/>
    <mergeCell ref="E4905:E4906"/>
    <mergeCell ref="F4905:F4906"/>
    <mergeCell ref="A5104:B5104"/>
    <mergeCell ref="C5105:C5106"/>
    <mergeCell ref="D5105:D5106"/>
    <mergeCell ref="E5105:E5106"/>
    <mergeCell ref="F5105:F5106"/>
    <mergeCell ref="A5154:B5154"/>
    <mergeCell ref="C5005:C5006"/>
    <mergeCell ref="D5005:D5006"/>
    <mergeCell ref="E5005:E5006"/>
    <mergeCell ref="F5005:F5006"/>
    <mergeCell ref="A5054:B5054"/>
    <mergeCell ref="C5055:C5056"/>
    <mergeCell ref="D5055:D5056"/>
    <mergeCell ref="E5055:E5056"/>
    <mergeCell ref="F5055:F5056"/>
    <mergeCell ref="A5254:B5254"/>
    <mergeCell ref="C5255:C5256"/>
    <mergeCell ref="D5255:D5256"/>
    <mergeCell ref="E5255:E5256"/>
    <mergeCell ref="F5255:F5256"/>
    <mergeCell ref="A5304:B5304"/>
    <mergeCell ref="C5155:C5156"/>
    <mergeCell ref="D5155:D5156"/>
    <mergeCell ref="E5155:E5156"/>
    <mergeCell ref="F5155:F5156"/>
    <mergeCell ref="A5204:B5204"/>
    <mergeCell ref="C5205:C5206"/>
    <mergeCell ref="D5205:D5206"/>
    <mergeCell ref="E5205:E5206"/>
    <mergeCell ref="F5205:F5206"/>
    <mergeCell ref="A5404:B5404"/>
    <mergeCell ref="C5405:C5406"/>
    <mergeCell ref="D5405:D5406"/>
    <mergeCell ref="E5405:E5406"/>
    <mergeCell ref="F5405:F5406"/>
    <mergeCell ref="A5454:B5454"/>
    <mergeCell ref="C5305:C5306"/>
    <mergeCell ref="D5305:D5306"/>
    <mergeCell ref="E5305:E5306"/>
    <mergeCell ref="F5305:F5306"/>
    <mergeCell ref="A5354:B5354"/>
    <mergeCell ref="C5355:C5356"/>
    <mergeCell ref="D5355:D5356"/>
    <mergeCell ref="E5355:E5356"/>
    <mergeCell ref="F5355:F5356"/>
    <mergeCell ref="A5554:B5554"/>
    <mergeCell ref="C5555:C5556"/>
    <mergeCell ref="D5555:D5556"/>
    <mergeCell ref="E5555:E5556"/>
    <mergeCell ref="F5555:F5556"/>
    <mergeCell ref="A5604:B5604"/>
    <mergeCell ref="C5455:C5456"/>
    <mergeCell ref="D5455:D5456"/>
    <mergeCell ref="E5455:E5456"/>
    <mergeCell ref="F5455:F5456"/>
    <mergeCell ref="A5504:B5504"/>
    <mergeCell ref="C5505:C5506"/>
    <mergeCell ref="D5505:D5506"/>
    <mergeCell ref="E5505:E5506"/>
    <mergeCell ref="F5505:F5506"/>
    <mergeCell ref="A5704:B5704"/>
    <mergeCell ref="C5705:C5706"/>
    <mergeCell ref="D5705:D5706"/>
    <mergeCell ref="E5705:E5706"/>
    <mergeCell ref="F5705:F5706"/>
    <mergeCell ref="A5754:B5754"/>
    <mergeCell ref="C5605:C5606"/>
    <mergeCell ref="D5605:D5606"/>
    <mergeCell ref="E5605:E5606"/>
    <mergeCell ref="F5605:F5606"/>
    <mergeCell ref="A5654:B5654"/>
    <mergeCell ref="C5655:C5656"/>
    <mergeCell ref="D5655:D5656"/>
    <mergeCell ref="E5655:E5656"/>
    <mergeCell ref="F5655:F5656"/>
    <mergeCell ref="A5854:B5854"/>
    <mergeCell ref="C5855:C5856"/>
    <mergeCell ref="D5855:D5856"/>
    <mergeCell ref="E5855:E5856"/>
    <mergeCell ref="F5855:F5856"/>
    <mergeCell ref="A5904:B5904"/>
    <mergeCell ref="C5755:C5756"/>
    <mergeCell ref="D5755:D5756"/>
    <mergeCell ref="E5755:E5756"/>
    <mergeCell ref="F5755:F5756"/>
    <mergeCell ref="A5804:B5804"/>
    <mergeCell ref="C5805:C5806"/>
    <mergeCell ref="D5805:D5806"/>
    <mergeCell ref="E5805:E5806"/>
    <mergeCell ref="F5805:F5806"/>
    <mergeCell ref="A6004:B6004"/>
    <mergeCell ref="C6005:C6006"/>
    <mergeCell ref="D6005:D6006"/>
    <mergeCell ref="E6005:E6006"/>
    <mergeCell ref="F6005:F6006"/>
    <mergeCell ref="A6054:B6054"/>
    <mergeCell ref="C5905:C5906"/>
    <mergeCell ref="D5905:D5906"/>
    <mergeCell ref="E5905:E5906"/>
    <mergeCell ref="F5905:F5906"/>
    <mergeCell ref="A5954:B5954"/>
    <mergeCell ref="C5955:C5956"/>
    <mergeCell ref="D5955:D5956"/>
    <mergeCell ref="E5955:E5956"/>
    <mergeCell ref="F5955:F5956"/>
    <mergeCell ref="A6154:B6154"/>
    <mergeCell ref="C6155:C6156"/>
    <mergeCell ref="D6155:D6156"/>
    <mergeCell ref="E6155:E6156"/>
    <mergeCell ref="F6155:F6156"/>
    <mergeCell ref="A6204:B6204"/>
    <mergeCell ref="C6055:C6056"/>
    <mergeCell ref="D6055:D6056"/>
    <mergeCell ref="E6055:E6056"/>
    <mergeCell ref="F6055:F6056"/>
    <mergeCell ref="A6104:B6104"/>
    <mergeCell ref="C6105:C6106"/>
    <mergeCell ref="D6105:D6106"/>
    <mergeCell ref="E6105:E6106"/>
    <mergeCell ref="F6105:F6106"/>
    <mergeCell ref="A6304:B6304"/>
    <mergeCell ref="C6305:C6306"/>
    <mergeCell ref="D6305:D6306"/>
    <mergeCell ref="E6305:E6306"/>
    <mergeCell ref="F6305:F6306"/>
    <mergeCell ref="A6354:B6354"/>
    <mergeCell ref="C6205:C6206"/>
    <mergeCell ref="D6205:D6206"/>
    <mergeCell ref="E6205:E6206"/>
    <mergeCell ref="F6205:F6206"/>
    <mergeCell ref="A6254:B6254"/>
    <mergeCell ref="C6255:C6256"/>
    <mergeCell ref="D6255:D6256"/>
    <mergeCell ref="E6255:E6256"/>
    <mergeCell ref="F6255:F6256"/>
    <mergeCell ref="A6454:B6454"/>
    <mergeCell ref="C6455:C6456"/>
    <mergeCell ref="D6455:D6456"/>
    <mergeCell ref="E6455:E6456"/>
    <mergeCell ref="F6455:F6456"/>
    <mergeCell ref="A6504:B6504"/>
    <mergeCell ref="C6355:C6356"/>
    <mergeCell ref="D6355:D6356"/>
    <mergeCell ref="E6355:E6356"/>
    <mergeCell ref="F6355:F6356"/>
    <mergeCell ref="A6404:B6404"/>
    <mergeCell ref="C6405:C6406"/>
    <mergeCell ref="D6405:D6406"/>
    <mergeCell ref="E6405:E6406"/>
    <mergeCell ref="F6405:F6406"/>
    <mergeCell ref="A6604:B6604"/>
    <mergeCell ref="C6605:C6606"/>
    <mergeCell ref="D6605:D6606"/>
    <mergeCell ref="E6605:E6606"/>
    <mergeCell ref="F6605:F6606"/>
    <mergeCell ref="A6654:B6654"/>
    <mergeCell ref="C6505:C6506"/>
    <mergeCell ref="D6505:D6506"/>
    <mergeCell ref="E6505:E6506"/>
    <mergeCell ref="F6505:F6506"/>
    <mergeCell ref="A6554:B6554"/>
    <mergeCell ref="C6555:C6556"/>
    <mergeCell ref="D6555:D6556"/>
    <mergeCell ref="E6555:E6556"/>
    <mergeCell ref="F6555:F6556"/>
    <mergeCell ref="A6754:B6754"/>
    <mergeCell ref="C6755:C6756"/>
    <mergeCell ref="D6755:D6756"/>
    <mergeCell ref="E6755:E6756"/>
    <mergeCell ref="F6755:F6756"/>
    <mergeCell ref="A6804:B6804"/>
    <mergeCell ref="C6655:C6656"/>
    <mergeCell ref="D6655:D6656"/>
    <mergeCell ref="E6655:E6656"/>
    <mergeCell ref="F6655:F6656"/>
    <mergeCell ref="A6704:B6704"/>
    <mergeCell ref="C6705:C6706"/>
    <mergeCell ref="D6705:D6706"/>
    <mergeCell ref="E6705:E6706"/>
    <mergeCell ref="F6705:F6706"/>
    <mergeCell ref="A6904:B6904"/>
    <mergeCell ref="C6905:C6906"/>
    <mergeCell ref="D6905:D6906"/>
    <mergeCell ref="E6905:E6906"/>
    <mergeCell ref="F6905:F6906"/>
    <mergeCell ref="A6954:B6954"/>
    <mergeCell ref="C6805:C6806"/>
    <mergeCell ref="D6805:D6806"/>
    <mergeCell ref="E6805:E6806"/>
    <mergeCell ref="F6805:F6806"/>
    <mergeCell ref="A6854:B6854"/>
    <mergeCell ref="C6855:C6856"/>
    <mergeCell ref="D6855:D6856"/>
    <mergeCell ref="E6855:E6856"/>
    <mergeCell ref="F6855:F6856"/>
    <mergeCell ref="A7054:B7054"/>
    <mergeCell ref="C7055:C7056"/>
    <mergeCell ref="D7055:D7056"/>
    <mergeCell ref="E7055:E7056"/>
    <mergeCell ref="F7055:F7056"/>
    <mergeCell ref="A7104:B7104"/>
    <mergeCell ref="C6955:C6956"/>
    <mergeCell ref="D6955:D6956"/>
    <mergeCell ref="E6955:E6956"/>
    <mergeCell ref="F6955:F6956"/>
    <mergeCell ref="A7004:B7004"/>
    <mergeCell ref="C7005:C7006"/>
    <mergeCell ref="D7005:D7006"/>
    <mergeCell ref="E7005:E7006"/>
    <mergeCell ref="F7005:F7006"/>
    <mergeCell ref="A7204:B7204"/>
    <mergeCell ref="C7205:C7206"/>
    <mergeCell ref="D7205:D7206"/>
    <mergeCell ref="E7205:E7206"/>
    <mergeCell ref="F7205:F7206"/>
    <mergeCell ref="A7254:B7254"/>
    <mergeCell ref="C7105:C7106"/>
    <mergeCell ref="D7105:D7106"/>
    <mergeCell ref="E7105:E7106"/>
    <mergeCell ref="F7105:F7106"/>
    <mergeCell ref="A7154:B7154"/>
    <mergeCell ref="C7155:C7156"/>
    <mergeCell ref="D7155:D7156"/>
    <mergeCell ref="E7155:E7156"/>
    <mergeCell ref="F7155:F7156"/>
    <mergeCell ref="A7354:B7354"/>
    <mergeCell ref="C7355:C7356"/>
    <mergeCell ref="D7355:D7356"/>
    <mergeCell ref="E7355:E7356"/>
    <mergeCell ref="F7355:F7356"/>
    <mergeCell ref="A7454:B7454"/>
    <mergeCell ref="C7255:C7256"/>
    <mergeCell ref="D7255:D7256"/>
    <mergeCell ref="E7255:E7256"/>
    <mergeCell ref="F7255:F7256"/>
    <mergeCell ref="A7304:B7304"/>
    <mergeCell ref="C7305:C7306"/>
    <mergeCell ref="D7305:D7306"/>
    <mergeCell ref="E7305:E7306"/>
    <mergeCell ref="F7305:F7306"/>
    <mergeCell ref="A7604:B7604"/>
    <mergeCell ref="C7605:C7606"/>
    <mergeCell ref="D7605:D7606"/>
    <mergeCell ref="E7605:E7606"/>
    <mergeCell ref="F7605:F7606"/>
    <mergeCell ref="A7654:B7654"/>
    <mergeCell ref="C7455:C7456"/>
    <mergeCell ref="D7455:D7456"/>
    <mergeCell ref="E7455:E7456"/>
    <mergeCell ref="F7455:F7456"/>
    <mergeCell ref="A7504:B7504"/>
    <mergeCell ref="C7505:C7506"/>
    <mergeCell ref="D7505:D7506"/>
    <mergeCell ref="E7505:E7506"/>
    <mergeCell ref="F7505:F7506"/>
    <mergeCell ref="A7754:B7754"/>
    <mergeCell ref="C7755:C7756"/>
    <mergeCell ref="D7755:D7756"/>
    <mergeCell ref="E7755:E7756"/>
    <mergeCell ref="F7755:F7756"/>
    <mergeCell ref="A7804:B7804"/>
    <mergeCell ref="C7655:C7656"/>
    <mergeCell ref="D7655:D7656"/>
    <mergeCell ref="E7655:E7656"/>
    <mergeCell ref="F7655:F7656"/>
    <mergeCell ref="A7704:B7704"/>
    <mergeCell ref="C7705:C7706"/>
    <mergeCell ref="D7705:D7706"/>
    <mergeCell ref="E7705:E7706"/>
    <mergeCell ref="F7705:F7706"/>
    <mergeCell ref="A7904:B7904"/>
    <mergeCell ref="C7905:C7906"/>
    <mergeCell ref="D7905:D7906"/>
    <mergeCell ref="E7905:E7906"/>
    <mergeCell ref="F7905:F7906"/>
    <mergeCell ref="A7954:B7954"/>
    <mergeCell ref="C7805:C7806"/>
    <mergeCell ref="D7805:D7806"/>
    <mergeCell ref="E7805:E7806"/>
    <mergeCell ref="F7805:F7806"/>
    <mergeCell ref="A7854:B7854"/>
    <mergeCell ref="C7855:C7856"/>
    <mergeCell ref="D7855:D7856"/>
    <mergeCell ref="E7855:E7856"/>
    <mergeCell ref="F7855:F7856"/>
    <mergeCell ref="A8054:B8054"/>
    <mergeCell ref="C8055:C8056"/>
    <mergeCell ref="D8055:D8056"/>
    <mergeCell ref="E8055:E8056"/>
    <mergeCell ref="F8055:F8056"/>
    <mergeCell ref="A8104:B8104"/>
    <mergeCell ref="C7955:C7956"/>
    <mergeCell ref="D7955:D7956"/>
    <mergeCell ref="E7955:E7956"/>
    <mergeCell ref="F7955:F7956"/>
    <mergeCell ref="A8004:B8004"/>
    <mergeCell ref="C8005:C8006"/>
    <mergeCell ref="D8005:D8006"/>
    <mergeCell ref="E8005:E8006"/>
    <mergeCell ref="F8005:F8006"/>
    <mergeCell ref="A8204:B8204"/>
    <mergeCell ref="C8205:C8206"/>
    <mergeCell ref="D8205:D8206"/>
    <mergeCell ref="E8205:E8206"/>
    <mergeCell ref="F8205:F8206"/>
    <mergeCell ref="A8254:B8254"/>
    <mergeCell ref="C8105:C8106"/>
    <mergeCell ref="D8105:D8106"/>
    <mergeCell ref="E8105:E8106"/>
    <mergeCell ref="F8105:F8106"/>
    <mergeCell ref="A8154:B8154"/>
    <mergeCell ref="C8155:C8156"/>
    <mergeCell ref="D8155:D8156"/>
    <mergeCell ref="E8155:E8156"/>
    <mergeCell ref="F8155:F8156"/>
    <mergeCell ref="A8354:B8354"/>
    <mergeCell ref="C8355:C8356"/>
    <mergeCell ref="D8355:D8356"/>
    <mergeCell ref="E8355:E8356"/>
    <mergeCell ref="F8355:F8356"/>
    <mergeCell ref="A8404:B8404"/>
    <mergeCell ref="C8255:C8256"/>
    <mergeCell ref="D8255:D8256"/>
    <mergeCell ref="E8255:E8256"/>
    <mergeCell ref="F8255:F8256"/>
    <mergeCell ref="A8304:B8304"/>
    <mergeCell ref="C8305:C8306"/>
    <mergeCell ref="D8305:D8306"/>
    <mergeCell ref="E8305:E8306"/>
    <mergeCell ref="F8305:F8306"/>
    <mergeCell ref="A8504:B8504"/>
    <mergeCell ref="C8505:C8506"/>
    <mergeCell ref="D8505:D8506"/>
    <mergeCell ref="E8505:E8506"/>
    <mergeCell ref="F8505:F8506"/>
    <mergeCell ref="A8554:B8554"/>
    <mergeCell ref="C8405:C8406"/>
    <mergeCell ref="D8405:D8406"/>
    <mergeCell ref="E8405:E8406"/>
    <mergeCell ref="F8405:F8406"/>
    <mergeCell ref="A8454:B8454"/>
    <mergeCell ref="C8455:C8456"/>
    <mergeCell ref="D8455:D8456"/>
    <mergeCell ref="E8455:E8456"/>
    <mergeCell ref="F8455:F8456"/>
    <mergeCell ref="A8654:B8654"/>
    <mergeCell ref="C8655:C8656"/>
    <mergeCell ref="D8655:D8656"/>
    <mergeCell ref="E8655:E8656"/>
    <mergeCell ref="F8655:F8656"/>
    <mergeCell ref="A8704:B8704"/>
    <mergeCell ref="C8555:C8556"/>
    <mergeCell ref="D8555:D8556"/>
    <mergeCell ref="E8555:E8556"/>
    <mergeCell ref="F8555:F8556"/>
    <mergeCell ref="A8604:B8604"/>
    <mergeCell ref="C8605:C8606"/>
    <mergeCell ref="D8605:D8606"/>
    <mergeCell ref="E8605:E8606"/>
    <mergeCell ref="F8605:F8606"/>
    <mergeCell ref="A8804:B8804"/>
    <mergeCell ref="C8805:C8806"/>
    <mergeCell ref="D8805:D8806"/>
    <mergeCell ref="E8805:E8806"/>
    <mergeCell ref="F8805:F8806"/>
    <mergeCell ref="A8854:B8854"/>
    <mergeCell ref="C8705:C8706"/>
    <mergeCell ref="D8705:D8706"/>
    <mergeCell ref="E8705:E8706"/>
    <mergeCell ref="F8705:F8706"/>
    <mergeCell ref="A8754:B8754"/>
    <mergeCell ref="C8755:C8756"/>
    <mergeCell ref="D8755:D8756"/>
    <mergeCell ref="E8755:E8756"/>
    <mergeCell ref="F8755:F8756"/>
    <mergeCell ref="C8855:C8856"/>
    <mergeCell ref="D8855:D8856"/>
    <mergeCell ref="E8855:E8856"/>
    <mergeCell ref="F8855:F8856"/>
    <mergeCell ref="A8904:B8904"/>
    <mergeCell ref="C8905:C8906"/>
    <mergeCell ref="D8905:D8906"/>
    <mergeCell ref="E8905:E8906"/>
    <mergeCell ref="F8905:F8906"/>
    <mergeCell ref="C9005:C9006"/>
    <mergeCell ref="D9005:D9006"/>
    <mergeCell ref="E9005:E9006"/>
    <mergeCell ref="F9005:F9006"/>
    <mergeCell ref="A9054:B9054"/>
    <mergeCell ref="A8954:B8954"/>
    <mergeCell ref="C8955:C8956"/>
    <mergeCell ref="D8955:D8956"/>
    <mergeCell ref="E8955:E8956"/>
    <mergeCell ref="F8955:F8956"/>
    <mergeCell ref="A9004:B9004"/>
  </mergeCells>
  <phoneticPr fontId="13" type="noConversion"/>
  <conditionalFormatting sqref="C5:F9054">
    <cfRule type="expression" dxfId="2" priority="1" stopIfTrue="1">
      <formula>AND(C5&lt;&gt;0,INT(C5)=C5)</formula>
    </cfRule>
  </conditionalFormatting>
  <hyperlinks>
    <hyperlink ref="Y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E00-000000000000}"/>
    <hyperlink ref="G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E00-000001000000}"/>
  </hyperlinks>
  <printOptions horizontalCentered="1"/>
  <pageMargins left="0.59055118110236215" right="0.59055118110236215" top="0.78740157480314965" bottom="0.86614173228346447" header="0" footer="0.66929133858267709"/>
  <pageSetup paperSize="9" scale="79" fitToWidth="0" fitToHeight="0" orientation="portrait" r:id="rId3"/>
  <headerFooter alignWithMargins="0"/>
  <legacy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</sheetPr>
  <dimension ref="A1:J17"/>
  <sheetViews>
    <sheetView workbookViewId="0">
      <selection activeCell="D13" sqref="D13"/>
    </sheetView>
  </sheetViews>
  <sheetFormatPr defaultColWidth="8.109375" defaultRowHeight="13.5"/>
  <cols>
    <col min="1" max="1" width="3.5546875" style="428" customWidth="1"/>
    <col min="2" max="2" width="4.88671875" style="428" customWidth="1"/>
    <col min="3" max="4" width="14.21875" style="428" customWidth="1"/>
    <col min="5" max="5" width="4.88671875" style="428" customWidth="1"/>
    <col min="6" max="6" width="14.21875" style="428" customWidth="1"/>
    <col min="7" max="7" width="10.21875" style="428" customWidth="1"/>
    <col min="8" max="8" width="8.88671875" style="428" customWidth="1"/>
    <col min="9" max="9" width="8.109375" style="428" hidden="1" customWidth="1"/>
    <col min="10" max="10" width="8.109375" style="432" customWidth="1"/>
    <col min="11" max="16384" width="8.109375" style="428"/>
  </cols>
  <sheetData>
    <row r="1" spans="1:10" ht="18.2" customHeight="1">
      <c r="A1" s="621" t="s">
        <v>4464</v>
      </c>
      <c r="B1" s="598"/>
      <c r="C1" s="605"/>
      <c r="D1" s="605"/>
      <c r="E1" s="605"/>
      <c r="F1" s="605"/>
      <c r="G1" s="605"/>
      <c r="H1" s="605"/>
      <c r="I1" s="426" t="s">
        <v>807</v>
      </c>
      <c r="J1" s="427" t="s">
        <v>807</v>
      </c>
    </row>
    <row r="2" spans="1:10" ht="18.2" customHeight="1">
      <c r="C2" s="477" t="s">
        <v>4465</v>
      </c>
      <c r="D2" s="477" t="s">
        <v>4466</v>
      </c>
      <c r="E2" s="619" t="s">
        <v>4467</v>
      </c>
      <c r="F2" s="620"/>
      <c r="G2" s="619" t="s">
        <v>4468</v>
      </c>
      <c r="H2" s="620"/>
      <c r="I2" s="431" t="str">
        <f ca="1">MID(CELL("filename",$A$1),FIND("]",CELL("filename",$A$1))+1,LEN(CELL("filename",$A$1)))</f>
        <v>환율및기초자료</v>
      </c>
    </row>
    <row r="3" spans="1:10" ht="18.2" customHeight="1">
      <c r="C3" s="519">
        <v>1442</v>
      </c>
      <c r="D3" s="519">
        <v>1442</v>
      </c>
      <c r="E3" s="622">
        <v>1220</v>
      </c>
      <c r="F3" s="620"/>
      <c r="G3" s="623">
        <v>919</v>
      </c>
      <c r="H3" s="620"/>
    </row>
    <row r="4" spans="1:10" ht="18.2" customHeight="1">
      <c r="C4" s="520"/>
      <c r="D4" s="520"/>
      <c r="E4" s="520"/>
      <c r="F4" s="520"/>
      <c r="G4" s="520"/>
      <c r="H4" s="520"/>
    </row>
    <row r="5" spans="1:10" ht="18.2" customHeight="1">
      <c r="A5" s="621" t="s">
        <v>4469</v>
      </c>
      <c r="B5" s="598"/>
      <c r="C5" s="598"/>
      <c r="D5" s="598"/>
      <c r="E5" s="598"/>
      <c r="F5" s="598"/>
      <c r="G5" s="598"/>
      <c r="H5" s="598"/>
    </row>
    <row r="6" spans="1:10" ht="18.2" customHeight="1">
      <c r="C6" s="521" t="s">
        <v>4470</v>
      </c>
      <c r="D6" s="522">
        <f>노무비목록표!E4</f>
        <v>283297</v>
      </c>
      <c r="E6" s="618" t="s">
        <v>4471</v>
      </c>
      <c r="F6" s="605"/>
      <c r="G6" s="522">
        <f>ROUNDDOWN(D6*0.20833333334,1)</f>
        <v>59020.2</v>
      </c>
      <c r="H6" s="480" t="s">
        <v>4472</v>
      </c>
      <c r="J6" s="433" t="str">
        <f ca="1">HYPERLINK("#"&amp;노무비목록표!G2&amp;"!A"&amp;ROW(노무비목록표!A4),"L00190 →")</f>
        <v>L00190 →</v>
      </c>
    </row>
    <row r="7" spans="1:10" ht="18.2" customHeight="1">
      <c r="C7" s="523" t="s">
        <v>4473</v>
      </c>
      <c r="D7" s="524">
        <f>노무비목록표!E23</f>
        <v>238936</v>
      </c>
      <c r="E7" s="619" t="s">
        <v>4471</v>
      </c>
      <c r="F7" s="620"/>
      <c r="G7" s="524">
        <f>ROUNDDOWN(D7*0.20833333334,1)</f>
        <v>49778.3</v>
      </c>
      <c r="H7" s="477" t="s">
        <v>4474</v>
      </c>
      <c r="J7" s="433" t="str">
        <f ca="1">HYPERLINK("#"&amp;노무비목록표!G2&amp;"!A"&amp;ROW(노무비목록표!A23),"L00191 →")</f>
        <v>L00191 →</v>
      </c>
    </row>
    <row r="8" spans="1:10" ht="18.2" customHeight="1">
      <c r="C8" s="523" t="s">
        <v>4475</v>
      </c>
      <c r="D8" s="524">
        <f>노무비목록표!E13</f>
        <v>173995</v>
      </c>
      <c r="E8" s="619" t="s">
        <v>4471</v>
      </c>
      <c r="F8" s="620"/>
      <c r="G8" s="524">
        <f>ROUNDDOWN(D8*0.20833333334,1)</f>
        <v>36248.9</v>
      </c>
      <c r="H8" s="477" t="s">
        <v>4476</v>
      </c>
      <c r="J8" s="433" t="str">
        <f ca="1">HYPERLINK("#"&amp;노무비목록표!G2&amp;"!A"&amp;ROW(노무비목록표!A13),"L00196 →")</f>
        <v>L00196 →</v>
      </c>
    </row>
    <row r="9" spans="1:10" ht="18.2" customHeight="1">
      <c r="C9" s="520"/>
      <c r="D9" s="520"/>
      <c r="E9" s="520"/>
      <c r="F9" s="520"/>
      <c r="G9" s="520"/>
      <c r="H9" s="520"/>
    </row>
    <row r="10" spans="1:10" ht="18.2" customHeight="1">
      <c r="A10" s="621" t="s">
        <v>4477</v>
      </c>
      <c r="B10" s="605"/>
      <c r="C10" s="605"/>
      <c r="D10" s="605"/>
      <c r="E10" s="605"/>
      <c r="F10" s="605"/>
      <c r="G10" s="605"/>
      <c r="H10" s="605"/>
    </row>
    <row r="11" spans="1:10" ht="18.2" customHeight="1">
      <c r="B11" s="477" t="s">
        <v>4478</v>
      </c>
      <c r="C11" s="477" t="s">
        <v>4479</v>
      </c>
      <c r="D11" s="477" t="s">
        <v>4480</v>
      </c>
      <c r="E11" s="477" t="s">
        <v>904</v>
      </c>
      <c r="F11" s="477" t="s">
        <v>4481</v>
      </c>
      <c r="G11" s="477"/>
      <c r="H11" s="477" t="s">
        <v>905</v>
      </c>
    </row>
    <row r="12" spans="1:10" ht="18.2" customHeight="1">
      <c r="B12" s="477" t="s">
        <v>4000</v>
      </c>
      <c r="C12" s="523" t="s">
        <v>4470</v>
      </c>
      <c r="D12" s="477"/>
      <c r="E12" s="477" t="s">
        <v>585</v>
      </c>
      <c r="F12" s="524">
        <f>노무비목록표!E4</f>
        <v>283297</v>
      </c>
      <c r="G12" s="523"/>
      <c r="H12" s="477" t="s">
        <v>4472</v>
      </c>
      <c r="J12" s="433" t="str">
        <f ca="1">HYPERLINK("#"&amp;노무비목록표!G2&amp;"!A"&amp;ROW(노무비목록표!A4),"L00190 →")</f>
        <v>L00190 →</v>
      </c>
    </row>
    <row r="13" spans="1:10" ht="18.2" customHeight="1">
      <c r="B13" s="477" t="s">
        <v>4482</v>
      </c>
      <c r="C13" s="523" t="s">
        <v>4473</v>
      </c>
      <c r="D13" s="477"/>
      <c r="E13" s="477" t="s">
        <v>585</v>
      </c>
      <c r="F13" s="524">
        <f>노무비목록표!E23</f>
        <v>238936</v>
      </c>
      <c r="G13" s="523"/>
      <c r="H13" s="477" t="s">
        <v>4474</v>
      </c>
      <c r="J13" s="433" t="str">
        <f ca="1">HYPERLINK("#"&amp;노무비목록표!G2&amp;"!A"&amp;ROW(노무비목록표!A23),"L00191 →")</f>
        <v>L00191 →</v>
      </c>
    </row>
    <row r="14" spans="1:10" ht="18.2" customHeight="1">
      <c r="B14" s="477" t="s">
        <v>4483</v>
      </c>
      <c r="C14" s="523" t="s">
        <v>4475</v>
      </c>
      <c r="D14" s="477"/>
      <c r="E14" s="477" t="s">
        <v>585</v>
      </c>
      <c r="F14" s="524">
        <f>노무비목록표!E13</f>
        <v>173995</v>
      </c>
      <c r="G14" s="523"/>
      <c r="H14" s="477" t="s">
        <v>4476</v>
      </c>
      <c r="J14" s="433" t="str">
        <f ca="1">HYPERLINK("#"&amp;노무비목록표!G2&amp;"!A"&amp;ROW(노무비목록표!A13),"L00196 →")</f>
        <v>L00196 →</v>
      </c>
    </row>
    <row r="15" spans="1:10" ht="18.2" customHeight="1">
      <c r="B15" s="477" t="s">
        <v>4484</v>
      </c>
      <c r="C15" s="523" t="s">
        <v>4485</v>
      </c>
      <c r="D15" s="477" t="s">
        <v>4486</v>
      </c>
      <c r="E15" s="477" t="s">
        <v>2840</v>
      </c>
      <c r="F15" s="524">
        <f>재료비목록표!E10</f>
        <v>1379</v>
      </c>
      <c r="G15" s="523"/>
      <c r="H15" s="477" t="s">
        <v>4487</v>
      </c>
      <c r="J15" s="433" t="str">
        <f ca="1">HYPERLINK("#"&amp;재료비목록표!G2&amp;"!A"&amp;ROW(재료비목록표!A10),"M00874 →")</f>
        <v>M00874 →</v>
      </c>
    </row>
    <row r="16" spans="1:10" ht="18.2" customHeight="1">
      <c r="B16" s="477" t="s">
        <v>4488</v>
      </c>
      <c r="C16" s="523" t="s">
        <v>2838</v>
      </c>
      <c r="D16" s="477" t="s">
        <v>2839</v>
      </c>
      <c r="E16" s="477" t="s">
        <v>2840</v>
      </c>
      <c r="F16" s="524">
        <f>재료비목록표!E110</f>
        <v>1472</v>
      </c>
      <c r="G16" s="523"/>
      <c r="H16" s="477" t="s">
        <v>4489</v>
      </c>
      <c r="J16" s="433" t="str">
        <f ca="1">HYPERLINK("#"&amp;재료비목록표!G2&amp;"!A"&amp;ROW(재료비목록표!A110),"M00927 →")</f>
        <v>M00927 →</v>
      </c>
    </row>
    <row r="17" spans="2:8" ht="18.2" customHeight="1">
      <c r="B17" s="520"/>
      <c r="C17" s="520"/>
      <c r="D17" s="520"/>
      <c r="E17" s="520"/>
      <c r="F17" s="520"/>
      <c r="G17" s="520"/>
      <c r="H17" s="520"/>
    </row>
  </sheetData>
  <mergeCells count="10">
    <mergeCell ref="E6:F6"/>
    <mergeCell ref="E7:F7"/>
    <mergeCell ref="E8:F8"/>
    <mergeCell ref="A10:H10"/>
    <mergeCell ref="A1:H1"/>
    <mergeCell ref="E2:F2"/>
    <mergeCell ref="G2:H2"/>
    <mergeCell ref="E3:F3"/>
    <mergeCell ref="G3:H3"/>
    <mergeCell ref="A5:H5"/>
  </mergeCells>
  <phoneticPr fontId="13" type="noConversion"/>
  <hyperlinks>
    <hyperlink ref="J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0F00-000000000000}"/>
    <hyperlink ref="I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0F00-000001000000}"/>
  </hyperlinks>
  <printOptions horizontalCentered="1"/>
  <pageMargins left="0.59055118110236215" right="0.59055118110236215" top="0.78740157480314965" bottom="0.78740157480314965" header="0" footer="0.59055118110236227"/>
  <pageSetup paperSize="9" scale="97" fitToWidth="0" fitToHeight="0" orientation="portrait" r:id="rId3"/>
  <headerFooter alignWithMargins="0"/>
  <legacy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</sheetPr>
  <dimension ref="A1:K21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9" width="8.88671875" style="428" customWidth="1"/>
    <col min="10" max="10" width="8.109375" style="455" hidden="1" customWidth="1"/>
    <col min="11" max="11" width="8.109375" style="432" customWidth="1"/>
    <col min="12" max="16384" width="8.109375" style="428"/>
  </cols>
  <sheetData>
    <row r="1" spans="1:11" ht="24.95" customHeight="1">
      <c r="A1" s="597" t="s">
        <v>4490</v>
      </c>
      <c r="B1" s="598"/>
      <c r="C1" s="598"/>
      <c r="D1" s="598"/>
      <c r="E1" s="598"/>
      <c r="F1" s="598"/>
      <c r="G1" s="598"/>
      <c r="H1" s="598"/>
      <c r="I1" s="598"/>
      <c r="J1" s="426" t="s">
        <v>807</v>
      </c>
      <c r="K1" s="427" t="s">
        <v>807</v>
      </c>
    </row>
    <row r="2" spans="1:11" ht="23.1" customHeight="1">
      <c r="A2" s="429" t="s">
        <v>5655</v>
      </c>
      <c r="J2" s="431" t="str">
        <f ca="1">MID(CELL("filename",$A$1),FIND("]",CELL("filename",$A$1))+1,LEN(CELL("filename",$A$1)))</f>
        <v>중기목록표</v>
      </c>
    </row>
    <row r="3" spans="1:11" ht="23.1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842</v>
      </c>
      <c r="F3" s="450" t="s">
        <v>819</v>
      </c>
      <c r="G3" s="450" t="s">
        <v>814</v>
      </c>
      <c r="H3" s="450" t="s">
        <v>843</v>
      </c>
      <c r="I3" s="440" t="s">
        <v>905</v>
      </c>
      <c r="K3" s="433" t="str">
        <f>HYPERLINK("#'〓 목 차 〓'!B2","목차 →")</f>
        <v>목차 →</v>
      </c>
    </row>
    <row r="4" spans="1:11" ht="23.1" customHeight="1">
      <c r="A4" s="460" t="s">
        <v>4491</v>
      </c>
      <c r="B4" s="452" t="s">
        <v>4492</v>
      </c>
      <c r="C4" s="452" t="s">
        <v>4493</v>
      </c>
      <c r="D4" s="460" t="s">
        <v>2409</v>
      </c>
      <c r="E4" s="446">
        <f>중기사용료!F11</f>
        <v>72303</v>
      </c>
      <c r="F4" s="453">
        <f>중기사용료!H11</f>
        <v>49778</v>
      </c>
      <c r="G4" s="454">
        <f>중기사용료!J11</f>
        <v>5129</v>
      </c>
      <c r="H4" s="446">
        <f>중기사용료!L11</f>
        <v>17396</v>
      </c>
      <c r="I4" s="482" t="s">
        <v>4494</v>
      </c>
      <c r="J4" s="451" t="str">
        <f>"_x0007_`COD|X00328_x0005_`QTY1|1_x0005_`BQC|20상' 신규_x0005_`EQC|03210600030_x0005_`JDC|00002106000300000_x0005_`WQC|_x0005_`EDT|2026_x0005_`ADJ|F_x0005_`RXX|0_x0005_`DET|"&amp;ROW(중기사용료!A5)&amp;"_x0005_`"</f>
        <v>_x0007_`COD|X00328_x0005_`QTY1|1_x0005_`BQC|20상' 신규_x0005_`EQC|03210600030_x0005_`JDC|00002106000300000_x0005_`WQC|_x0005_`EDT|2026_x0005_`ADJ|F_x0005_`RXX|0_x0005_`DET|5_x0005_`</v>
      </c>
      <c r="K4" s="433" t="str">
        <f ca="1">HYPERLINK("#"&amp;중기사용료!N2&amp;"!A"&amp;ROW(중기사용료!A5),"X00328 →")</f>
        <v>X00328 →</v>
      </c>
    </row>
    <row r="5" spans="1:11" ht="23.1" customHeight="1">
      <c r="A5" s="460" t="s">
        <v>4495</v>
      </c>
      <c r="B5" s="452" t="s">
        <v>2407</v>
      </c>
      <c r="C5" s="452" t="s">
        <v>2408</v>
      </c>
      <c r="D5" s="460" t="s">
        <v>2409</v>
      </c>
      <c r="E5" s="446">
        <f>중기사용료!F18</f>
        <v>81235</v>
      </c>
      <c r="F5" s="453">
        <f>중기사용료!H18</f>
        <v>59020</v>
      </c>
      <c r="G5" s="454">
        <f>중기사용료!J18</f>
        <v>8342</v>
      </c>
      <c r="H5" s="446">
        <f>중기사용료!L18</f>
        <v>13873</v>
      </c>
      <c r="I5" s="482"/>
      <c r="J5" s="451" t="str">
        <f>"_x0007_`COD|X00273_x0005_`QTY1|1_x0005_`BQC|_x0005_`EQC|03020100200_x0005_`JDC|00000201002000000_x0005_`WQC|_x0005_`EDT|2026_x0005_`ADJ|F_x0005_`RXX|0_x0005_`DET|"&amp;ROW(중기사용료!A12)&amp;"_x0005_`"</f>
        <v>_x0007_`COD|X00273_x0005_`QTY1|1_x0005_`BQC|_x0005_`EQC|03020100200_x0005_`JDC|00000201002000000_x0005_`WQC|_x0005_`EDT|2026_x0005_`ADJ|F_x0005_`RXX|0_x0005_`DET|12_x0005_`</v>
      </c>
      <c r="K5" s="433" t="str">
        <f ca="1">HYPERLINK("#"&amp;중기사용료!N2&amp;"!A"&amp;ROW(중기사용료!A12),"X00273 →")</f>
        <v>X00273 →</v>
      </c>
    </row>
    <row r="6" spans="1:11" ht="23.1" customHeight="1">
      <c r="A6" s="460" t="s">
        <v>4496</v>
      </c>
      <c r="B6" s="452" t="s">
        <v>2407</v>
      </c>
      <c r="C6" s="452" t="s">
        <v>4497</v>
      </c>
      <c r="D6" s="460" t="s">
        <v>2409</v>
      </c>
      <c r="E6" s="446">
        <f>중기사용료!F26</f>
        <v>84909</v>
      </c>
      <c r="F6" s="453">
        <f>중기사용료!H26</f>
        <v>59020</v>
      </c>
      <c r="G6" s="454">
        <f>중기사용료!J26</f>
        <v>8342</v>
      </c>
      <c r="H6" s="446">
        <f>중기사용료!L26</f>
        <v>17547</v>
      </c>
      <c r="I6" s="482"/>
      <c r="J6" s="451" t="str">
        <f>"_x0007_`COD|X00323_x0005_`QTY1|1_x0005_`BQC|_x0005_`EQC|03020100205_x0005_`JDC|_x0005_`WQC|_x0005_`EDT|2026_x0005_`ADJ|F_x0005_`RXX|0_x0005_`DET|"&amp;ROW(중기사용료!A19)&amp;"_x0005_`"</f>
        <v>_x0007_`COD|X00323_x0005_`QTY1|1_x0005_`BQC|_x0005_`EQC|03020100205_x0005_`JDC|_x0005_`WQC|_x0005_`EDT|2026_x0005_`ADJ|F_x0005_`RXX|0_x0005_`DET|19_x0005_`</v>
      </c>
      <c r="K6" s="433" t="str">
        <f ca="1">HYPERLINK("#"&amp;중기사용료!N2&amp;"!A"&amp;ROW(중기사용료!A19),"X00323 →")</f>
        <v>X00323 →</v>
      </c>
    </row>
    <row r="7" spans="1:11" ht="23.1" customHeight="1">
      <c r="A7" s="460" t="s">
        <v>4498</v>
      </c>
      <c r="B7" s="452" t="s">
        <v>2407</v>
      </c>
      <c r="C7" s="452" t="s">
        <v>4499</v>
      </c>
      <c r="D7" s="460" t="s">
        <v>2409</v>
      </c>
      <c r="E7" s="446">
        <f>중기사용료!F33</f>
        <v>93189</v>
      </c>
      <c r="F7" s="453">
        <f>중기사용료!H33</f>
        <v>59020</v>
      </c>
      <c r="G7" s="454">
        <f>중기사용료!J33</f>
        <v>16655</v>
      </c>
      <c r="H7" s="446">
        <f>중기사용료!L33</f>
        <v>17514</v>
      </c>
      <c r="I7" s="482"/>
      <c r="J7" s="451" t="str">
        <f>"_x0007_`COD|X00266_x0005_`QTY1|1_x0005_`BQC|_x0005_`EQC|03020100400_x0005_`JDC|00000201004000000_x0005_`WQC|_x0005_`EDT|2026_x0005_`ADJ|F_x0005_`RXX|0_x0005_`DET|"&amp;ROW(중기사용료!A27)&amp;"_x0005_`"</f>
        <v>_x0007_`COD|X00266_x0005_`QTY1|1_x0005_`BQC|_x0005_`EQC|03020100400_x0005_`JDC|00000201004000000_x0005_`WQC|_x0005_`EDT|2026_x0005_`ADJ|F_x0005_`RXX|0_x0005_`DET|27_x0005_`</v>
      </c>
      <c r="K7" s="433" t="str">
        <f ca="1">HYPERLINK("#"&amp;중기사용료!N2&amp;"!A"&amp;ROW(중기사용료!A27),"X00266 →")</f>
        <v>X00266 →</v>
      </c>
    </row>
    <row r="8" spans="1:11" ht="23.1" customHeight="1">
      <c r="A8" s="460" t="s">
        <v>4500</v>
      </c>
      <c r="B8" s="452" t="s">
        <v>2407</v>
      </c>
      <c r="C8" s="452" t="s">
        <v>3156</v>
      </c>
      <c r="D8" s="460" t="s">
        <v>2409</v>
      </c>
      <c r="E8" s="446">
        <f>중기사용료!F40</f>
        <v>99603</v>
      </c>
      <c r="F8" s="453">
        <f>중기사용료!H40</f>
        <v>59020</v>
      </c>
      <c r="G8" s="454">
        <f>중기사용료!J40</f>
        <v>17160</v>
      </c>
      <c r="H8" s="446">
        <f>중기사용료!L40</f>
        <v>23423</v>
      </c>
      <c r="I8" s="482" t="s">
        <v>4501</v>
      </c>
      <c r="J8" s="451" t="str">
        <f>"_x0007_`COD|X00269_x0005_`QTY1|1_x0005_`BQC|08' 신규_x0005_`EQC|03020100600_x0005_`JDC|00000201006000000_x0005_`WQC|_x0005_`EDT|2026_x0005_`ADJ|F_x0005_`RXX|0_x0005_`DET|"&amp;ROW(중기사용료!A34)&amp;"_x0005_`"</f>
        <v>_x0007_`COD|X00269_x0005_`QTY1|1_x0005_`BQC|08' 신규_x0005_`EQC|03020100600_x0005_`JDC|00000201006000000_x0005_`WQC|_x0005_`EDT|2026_x0005_`ADJ|F_x0005_`RXX|0_x0005_`DET|34_x0005_`</v>
      </c>
      <c r="K8" s="433" t="str">
        <f ca="1">HYPERLINK("#"&amp;중기사용료!N2&amp;"!A"&amp;ROW(중기사용료!A34),"X00269 →")</f>
        <v>X00269 →</v>
      </c>
    </row>
    <row r="9" spans="1:11" ht="23.1" customHeight="1">
      <c r="A9" s="460" t="s">
        <v>4502</v>
      </c>
      <c r="B9" s="452" t="s">
        <v>2407</v>
      </c>
      <c r="C9" s="452" t="s">
        <v>4503</v>
      </c>
      <c r="D9" s="460" t="s">
        <v>2409</v>
      </c>
      <c r="E9" s="446">
        <f>중기사용료!F48</f>
        <v>105389</v>
      </c>
      <c r="F9" s="453">
        <f>중기사용료!H48</f>
        <v>59020</v>
      </c>
      <c r="G9" s="454">
        <f>중기사용료!J48</f>
        <v>17160</v>
      </c>
      <c r="H9" s="446">
        <f>중기사용료!L48</f>
        <v>29209</v>
      </c>
      <c r="I9" s="482"/>
      <c r="J9" s="451" t="str">
        <f>"_x0007_`COD|X00329_x0005_`QTY1|1_x0005_`BQC|_x0005_`EQC|03020100605_x0005_`JDC|_x0005_`WQC|_x0005_`EDT|2026_x0005_`ADJ|F_x0005_`RXX|0_x0005_`DET|"&amp;ROW(중기사용료!A41)&amp;"_x0005_`"</f>
        <v>_x0007_`COD|X00329_x0005_`QTY1|1_x0005_`BQC|_x0005_`EQC|03020100605_x0005_`JDC|_x0005_`WQC|_x0005_`EDT|2026_x0005_`ADJ|F_x0005_`RXX|0_x0005_`DET|41_x0005_`</v>
      </c>
      <c r="K9" s="433" t="str">
        <f ca="1">HYPERLINK("#"&amp;중기사용료!N2&amp;"!A"&amp;ROW(중기사용료!A41),"X00329 →")</f>
        <v>X00329 →</v>
      </c>
    </row>
    <row r="10" spans="1:11" ht="23.1" customHeight="1">
      <c r="A10" s="460" t="s">
        <v>4504</v>
      </c>
      <c r="B10" s="452" t="s">
        <v>2407</v>
      </c>
      <c r="C10" s="452" t="s">
        <v>3161</v>
      </c>
      <c r="D10" s="460" t="s">
        <v>2409</v>
      </c>
      <c r="E10" s="446">
        <f>중기사용료!F55</f>
        <v>103089</v>
      </c>
      <c r="F10" s="453">
        <f>중기사용료!H55</f>
        <v>59020</v>
      </c>
      <c r="G10" s="454">
        <f>중기사용료!J55</f>
        <v>19515</v>
      </c>
      <c r="H10" s="446">
        <f>중기사용료!L55</f>
        <v>24554</v>
      </c>
      <c r="I10" s="482"/>
      <c r="J10" s="451" t="str">
        <f>"_x0007_`COD|X00262_x0005_`QTY1|1_x0005_`BQC|_x0005_`EQC|03020100700_x0005_`JDC|00000201007000000_x0005_`WQC|_x0005_`EDT|2026_x0005_`ADJ|F_x0005_`RXX|0_x0005_`DET|"&amp;ROW(중기사용료!A49)&amp;"_x0005_`"</f>
        <v>_x0007_`COD|X00262_x0005_`QTY1|1_x0005_`BQC|_x0005_`EQC|03020100700_x0005_`JDC|00000201007000000_x0005_`WQC|_x0005_`EDT|2026_x0005_`ADJ|F_x0005_`RXX|0_x0005_`DET|49_x0005_`</v>
      </c>
      <c r="K10" s="433" t="str">
        <f ca="1">HYPERLINK("#"&amp;중기사용료!N2&amp;"!A"&amp;ROW(중기사용료!A49),"X00262 →")</f>
        <v>X00262 →</v>
      </c>
    </row>
    <row r="11" spans="1:11" ht="23.1" customHeight="1">
      <c r="A11" s="460" t="s">
        <v>4505</v>
      </c>
      <c r="B11" s="452" t="s">
        <v>2407</v>
      </c>
      <c r="C11" s="452" t="s">
        <v>2520</v>
      </c>
      <c r="D11" s="460" t="s">
        <v>2409</v>
      </c>
      <c r="E11" s="446">
        <f>중기사용료!F62</f>
        <v>111778</v>
      </c>
      <c r="F11" s="453">
        <f>중기사용료!H62</f>
        <v>59020</v>
      </c>
      <c r="G11" s="454">
        <f>중기사용료!J62</f>
        <v>25740</v>
      </c>
      <c r="H11" s="446">
        <f>중기사용료!L62</f>
        <v>27018</v>
      </c>
      <c r="I11" s="482" t="s">
        <v>4501</v>
      </c>
      <c r="J11" s="451" t="str">
        <f>"_x0007_`COD|X00292_x0005_`QTY1|1_x0005_`BQC|08' 신규_x0005_`EQC|03020100800_x0005_`JDC|00000201008000000_x0005_`WQC|_x0005_`EDT|2026_x0005_`ADJ|F_x0005_`RXX|0_x0005_`DET|"&amp;ROW(중기사용료!A56)&amp;"_x0005_`"</f>
        <v>_x0007_`COD|X00292_x0005_`QTY1|1_x0005_`BQC|08' 신규_x0005_`EQC|03020100800_x0005_`JDC|00000201008000000_x0005_`WQC|_x0005_`EDT|2026_x0005_`ADJ|F_x0005_`RXX|0_x0005_`DET|56_x0005_`</v>
      </c>
      <c r="K11" s="433" t="str">
        <f ca="1">HYPERLINK("#"&amp;중기사용료!N2&amp;"!A"&amp;ROW(중기사용료!A56),"X00292 →")</f>
        <v>X00292 →</v>
      </c>
    </row>
    <row r="12" spans="1:11" ht="23.1" customHeight="1">
      <c r="A12" s="460" t="s">
        <v>4506</v>
      </c>
      <c r="B12" s="452" t="s">
        <v>2407</v>
      </c>
      <c r="C12" s="452" t="s">
        <v>4507</v>
      </c>
      <c r="D12" s="460" t="s">
        <v>2409</v>
      </c>
      <c r="E12" s="446">
        <f>중기사용료!F69</f>
        <v>121447</v>
      </c>
      <c r="F12" s="453">
        <f>중기사용료!H69</f>
        <v>59020</v>
      </c>
      <c r="G12" s="454">
        <f>중기사용료!J69</f>
        <v>32806</v>
      </c>
      <c r="H12" s="446">
        <f>중기사용료!L69</f>
        <v>29621</v>
      </c>
      <c r="I12" s="482"/>
      <c r="J12" s="451" t="str">
        <f>"_x0007_`COD|X00280_x0005_`QTY1|1_x0005_`BQC|_x0005_`EQC|03020101000_x0005_`JDC|00000201010000000_x0005_`WQC|_x0005_`EDT|2026_x0005_`ADJ|F_x0005_`RXX|0_x0005_`DET|"&amp;ROW(중기사용료!A63)&amp;"_x0005_`"</f>
        <v>_x0007_`COD|X00280_x0005_`QTY1|1_x0005_`BQC|_x0005_`EQC|03020101000_x0005_`JDC|00000201010000000_x0005_`WQC|_x0005_`EDT|2026_x0005_`ADJ|F_x0005_`RXX|0_x0005_`DET|63_x0005_`</v>
      </c>
      <c r="K12" s="433" t="str">
        <f ca="1">HYPERLINK("#"&amp;중기사용료!N2&amp;"!A"&amp;ROW(중기사용료!A63),"X00280 →")</f>
        <v>X00280 →</v>
      </c>
    </row>
    <row r="13" spans="1:11" ht="23.1" customHeight="1">
      <c r="A13" s="460" t="s">
        <v>4508</v>
      </c>
      <c r="B13" s="452" t="s">
        <v>4509</v>
      </c>
      <c r="C13" s="452" t="s">
        <v>4510</v>
      </c>
      <c r="D13" s="460" t="s">
        <v>2409</v>
      </c>
      <c r="E13" s="446">
        <f>중기사용료!F76</f>
        <v>109937</v>
      </c>
      <c r="F13" s="453">
        <f>중기사용료!H76</f>
        <v>59020</v>
      </c>
      <c r="G13" s="454">
        <f>중기사용료!J76</f>
        <v>30258</v>
      </c>
      <c r="H13" s="446">
        <f>중기사용료!L76</f>
        <v>20659</v>
      </c>
      <c r="I13" s="482"/>
      <c r="J13" s="451" t="str">
        <f>"_x0007_`COD|X00270_x0005_`QTY1|1_x0005_`BQC|_x0005_`EQC|03060201500_x0005_`JDC|00000602015000000_x0005_`WQC|_x0005_`EDT|2026_x0005_`ADJ|F_x0005_`RXX|0_x0005_`DET|"&amp;ROW(중기사용료!A70)&amp;"_x0005_`"</f>
        <v>_x0007_`COD|X00270_x0005_`QTY1|1_x0005_`BQC|_x0005_`EQC|03060201500_x0005_`JDC|00000602015000000_x0005_`WQC|_x0005_`EDT|2026_x0005_`ADJ|F_x0005_`RXX|0_x0005_`DET|70_x0005_`</v>
      </c>
      <c r="K13" s="433" t="str">
        <f ca="1">HYPERLINK("#"&amp;중기사용료!N2&amp;"!A"&amp;ROW(중기사용료!A70),"X00270 →")</f>
        <v>X00270 →</v>
      </c>
    </row>
    <row r="14" spans="1:11" ht="23.1" customHeight="1">
      <c r="A14" s="460" t="s">
        <v>4511</v>
      </c>
      <c r="B14" s="452" t="s">
        <v>4512</v>
      </c>
      <c r="C14" s="452" t="s">
        <v>4513</v>
      </c>
      <c r="D14" s="460" t="s">
        <v>2409</v>
      </c>
      <c r="E14" s="446">
        <f>중기사용료!F83</f>
        <v>37906</v>
      </c>
      <c r="F14" s="453">
        <f>중기사용료!H83</f>
        <v>36248</v>
      </c>
      <c r="G14" s="454">
        <f>중기사용료!J83</f>
        <v>1133</v>
      </c>
      <c r="H14" s="446">
        <f>중기사용료!L83</f>
        <v>525</v>
      </c>
      <c r="I14" s="482"/>
      <c r="J14" s="451" t="str">
        <f>"_x0007_`COD|X00311_x0005_`QTY1|1_x0005_`BQC|_x0005_`EQC|03163000800_x0005_`JDC|00001630008000000_x0005_`WQC|_x0005_`EDT|2026_x0005_`ADJ|F_x0005_`RXX|0_x0005_`DET|"&amp;ROW(중기사용료!A77)&amp;"_x0005_`"</f>
        <v>_x0007_`COD|X00311_x0005_`QTY1|1_x0005_`BQC|_x0005_`EQC|03163000800_x0005_`JDC|00001630008000000_x0005_`WQC|_x0005_`EDT|2026_x0005_`ADJ|F_x0005_`RXX|0_x0005_`DET|77_x0005_`</v>
      </c>
      <c r="K14" s="433" t="str">
        <f ca="1">HYPERLINK("#"&amp;중기사용료!N2&amp;"!A"&amp;ROW(중기사용료!A77),"X00311 →")</f>
        <v>X00311 →</v>
      </c>
    </row>
    <row r="15" spans="1:11" ht="23.1" customHeight="1">
      <c r="A15" s="460" t="s">
        <v>4514</v>
      </c>
      <c r="B15" s="452" t="s">
        <v>2413</v>
      </c>
      <c r="C15" s="452" t="s">
        <v>2414</v>
      </c>
      <c r="D15" s="460" t="s">
        <v>2409</v>
      </c>
      <c r="E15" s="446">
        <f>중기사용료!F90</f>
        <v>76436</v>
      </c>
      <c r="F15" s="453">
        <f>중기사용료!H90</f>
        <v>49778</v>
      </c>
      <c r="G15" s="454">
        <f>중기사용료!J90</f>
        <v>16672</v>
      </c>
      <c r="H15" s="446">
        <f>중기사용료!L90</f>
        <v>9986</v>
      </c>
      <c r="I15" s="482"/>
      <c r="J15" s="451" t="str">
        <f>"_x0007_`COD|X00271_x0005_`QTY1|1_x0005_`BQC|_x0005_`EQC|03720400550_x0005_`JDC|00007204005500000_x0005_`WQC|_x0005_`EDT|2026_x0005_`ADJ|F_x0005_`RXX|0_x0005_`DET|"&amp;ROW(중기사용료!A84)&amp;"_x0005_`"</f>
        <v>_x0007_`COD|X00271_x0005_`QTY1|1_x0005_`BQC|_x0005_`EQC|03720400550_x0005_`JDC|00007204005500000_x0005_`WQC|_x0005_`EDT|2026_x0005_`ADJ|F_x0005_`RXX|0_x0005_`DET|84_x0005_`</v>
      </c>
      <c r="K15" s="433" t="str">
        <f ca="1">HYPERLINK("#"&amp;중기사용료!N2&amp;"!A"&amp;ROW(중기사용료!A84),"X00271 →")</f>
        <v>X00271 →</v>
      </c>
    </row>
    <row r="16" spans="1:11" ht="23.1" customHeight="1">
      <c r="A16" s="460" t="s">
        <v>4515</v>
      </c>
      <c r="B16" s="452" t="s">
        <v>4516</v>
      </c>
      <c r="C16" s="452" t="s">
        <v>4517</v>
      </c>
      <c r="D16" s="460" t="s">
        <v>2409</v>
      </c>
      <c r="E16" s="446">
        <f>중기사용료!F94</f>
        <v>494</v>
      </c>
      <c r="F16" s="453">
        <f>중기사용료!H94</f>
        <v>0</v>
      </c>
      <c r="G16" s="454">
        <f>중기사용료!J94</f>
        <v>0</v>
      </c>
      <c r="H16" s="446">
        <f>중기사용료!L94</f>
        <v>494</v>
      </c>
      <c r="I16" s="482" t="s">
        <v>4518</v>
      </c>
      <c r="J16" s="451" t="str">
        <f>"_x0007_`COD|X00321_x0005_`QTY1|1_x0005_`BQC|17상' 신규_x0005_`EQC|03521000130_x0005_`JDC|00005210001300000_x0005_`WQC|_x0005_`EDT|2026_x0005_`ADJ|F_x0005_`RXX|0_x0005_`DET|"&amp;ROW(중기사용료!A91)&amp;"_x0005_`"</f>
        <v>_x0007_`COD|X00321_x0005_`QTY1|1_x0005_`BQC|17상' 신규_x0005_`EQC|03521000130_x0005_`JDC|00005210001300000_x0005_`WQC|_x0005_`EDT|2026_x0005_`ADJ|F_x0005_`RXX|0_x0005_`DET|91_x0005_`</v>
      </c>
      <c r="K16" s="433" t="str">
        <f ca="1">HYPERLINK("#"&amp;중기사용료!N2&amp;"!A"&amp;ROW(중기사용료!A91),"X00321 →")</f>
        <v>X00321 →</v>
      </c>
    </row>
    <row r="17" spans="1:11" ht="23.1" customHeight="1">
      <c r="A17" s="460" t="s">
        <v>4519</v>
      </c>
      <c r="B17" s="452" t="s">
        <v>4520</v>
      </c>
      <c r="C17" s="452" t="s">
        <v>4521</v>
      </c>
      <c r="D17" s="460" t="s">
        <v>2409</v>
      </c>
      <c r="E17" s="446">
        <f>중기사용료!F101</f>
        <v>130463</v>
      </c>
      <c r="F17" s="453">
        <f>중기사용료!H101</f>
        <v>59020</v>
      </c>
      <c r="G17" s="454">
        <f>중기사용료!J101</f>
        <v>11692</v>
      </c>
      <c r="H17" s="446">
        <f>중기사용료!L101</f>
        <v>59751</v>
      </c>
      <c r="I17" s="482"/>
      <c r="J17" s="451" t="str">
        <f>"_x0007_`COD|X00301_x0005_`QTY1|1_x0005_`BQC|_x0005_`EQC|03210400250_x0005_`JDC|00002104002500000_x0005_`WQC|_x0005_`EDT|2026_x0005_`ADJ|F_x0005_`RXX|0_x0005_`DET|"&amp;ROW(중기사용료!A95)&amp;"_x0005_`"</f>
        <v>_x0007_`COD|X00301_x0005_`QTY1|1_x0005_`BQC|_x0005_`EQC|03210400250_x0005_`JDC|00002104002500000_x0005_`WQC|_x0005_`EDT|2026_x0005_`ADJ|F_x0005_`RXX|0_x0005_`DET|95_x0005_`</v>
      </c>
      <c r="K17" s="433" t="str">
        <f ca="1">HYPERLINK("#"&amp;중기사용료!N2&amp;"!A"&amp;ROW(중기사용료!A95),"X00301 →")</f>
        <v>X00301 →</v>
      </c>
    </row>
    <row r="18" spans="1:11" ht="23.1" customHeight="1">
      <c r="A18" s="460" t="s">
        <v>4522</v>
      </c>
      <c r="B18" s="452" t="s">
        <v>4523</v>
      </c>
      <c r="C18" s="452" t="s">
        <v>4524</v>
      </c>
      <c r="D18" s="460" t="s">
        <v>2409</v>
      </c>
      <c r="E18" s="446">
        <f>중기사용료!F108</f>
        <v>90617</v>
      </c>
      <c r="F18" s="453">
        <f>중기사용료!H108</f>
        <v>49778</v>
      </c>
      <c r="G18" s="454">
        <f>중기사용료!J108</f>
        <v>17044</v>
      </c>
      <c r="H18" s="446">
        <f>중기사용료!L108</f>
        <v>23795</v>
      </c>
      <c r="I18" s="482" t="s">
        <v>4501</v>
      </c>
      <c r="J18" s="451" t="str">
        <f>"_x0007_`COD|X00291_x0005_`QTY1|1_x0005_`BQC|08' 신규_x0005_`EQC|03210500100_x0005_`JDC|00002105001000000_x0005_`WQC|_x0005_`EDT|2026_x0005_`ADJ|F_x0005_`RXX|0_x0005_`DET|"&amp;ROW(중기사용료!A102)&amp;"_x0005_`"</f>
        <v>_x0007_`COD|X00291_x0005_`QTY1|1_x0005_`BQC|08' 신규_x0005_`EQC|03210500100_x0005_`JDC|00002105001000000_x0005_`WQC|_x0005_`EDT|2026_x0005_`ADJ|F_x0005_`RXX|0_x0005_`DET|102_x0005_`</v>
      </c>
      <c r="K18" s="433" t="str">
        <f ca="1">HYPERLINK("#"&amp;중기사용료!N2&amp;"!A"&amp;ROW(중기사용료!A102),"X00291 →")</f>
        <v>X00291 →</v>
      </c>
    </row>
    <row r="19" spans="1:11" ht="23.1" customHeight="1">
      <c r="A19" s="460" t="s">
        <v>4525</v>
      </c>
      <c r="B19" s="452" t="s">
        <v>4523</v>
      </c>
      <c r="C19" s="452" t="s">
        <v>4510</v>
      </c>
      <c r="D19" s="460" t="s">
        <v>2409</v>
      </c>
      <c r="E19" s="446">
        <f>중기사용료!F115</f>
        <v>99307</v>
      </c>
      <c r="F19" s="453">
        <f>중기사용료!H115</f>
        <v>49778</v>
      </c>
      <c r="G19" s="454">
        <f>중기사용료!J115</f>
        <v>18202</v>
      </c>
      <c r="H19" s="446">
        <f>중기사용료!L115</f>
        <v>31327</v>
      </c>
      <c r="I19" s="482" t="s">
        <v>4501</v>
      </c>
      <c r="J19" s="451" t="str">
        <f>"_x0007_`COD|X00290_x0005_`QTY1|1_x0005_`BQC|08' 신규_x0005_`EQC|03210500150_x0005_`JDC|00002105001500000_x0005_`WQC|_x0005_`EDT|2026_x0005_`ADJ|F_x0005_`RXX|0_x0005_`DET|"&amp;ROW(중기사용료!A109)&amp;"_x0005_`"</f>
        <v>_x0007_`COD|X00290_x0005_`QTY1|1_x0005_`BQC|08' 신규_x0005_`EQC|03210500150_x0005_`JDC|00002105001500000_x0005_`WQC|_x0005_`EDT|2026_x0005_`ADJ|F_x0005_`RXX|0_x0005_`DET|109_x0005_`</v>
      </c>
      <c r="K19" s="433" t="str">
        <f ca="1">HYPERLINK("#"&amp;중기사용료!N2&amp;"!A"&amp;ROW(중기사용료!A109),"X00290 →")</f>
        <v>X00290 →</v>
      </c>
    </row>
    <row r="20" spans="1:11" ht="23.1" customHeight="1">
      <c r="A20" s="460" t="s">
        <v>4526</v>
      </c>
      <c r="B20" s="452" t="s">
        <v>4523</v>
      </c>
      <c r="C20" s="452" t="s">
        <v>4527</v>
      </c>
      <c r="D20" s="460" t="s">
        <v>2409</v>
      </c>
      <c r="E20" s="446">
        <f>중기사용료!F122</f>
        <v>69334</v>
      </c>
      <c r="F20" s="453">
        <f>중기사용료!H122</f>
        <v>49778</v>
      </c>
      <c r="G20" s="454">
        <f>중기사용료!J122</f>
        <v>8439</v>
      </c>
      <c r="H20" s="446">
        <f>중기사용료!L122</f>
        <v>11117</v>
      </c>
      <c r="I20" s="482"/>
      <c r="J20" s="451" t="str">
        <f>"_x0007_`COD|X00265_x0005_`QTY1|1_x0005_`BQC|_x0005_`EQC|03210500050_x0005_`JDC|00002105000500000_x0005_`WQC|_x0005_`EDT|2026_x0005_`ADJ|F_x0005_`RXX|0_x0005_`DET|"&amp;ROW(중기사용료!A116)&amp;"_x0005_`"</f>
        <v>_x0007_`COD|X00265_x0005_`QTY1|1_x0005_`BQC|_x0005_`EQC|03210500050_x0005_`JDC|00002105000500000_x0005_`WQC|_x0005_`EDT|2026_x0005_`ADJ|F_x0005_`RXX|0_x0005_`DET|116_x0005_`</v>
      </c>
      <c r="K20" s="433" t="str">
        <f ca="1">HYPERLINK("#"&amp;중기사용료!N2&amp;"!A"&amp;ROW(중기사용료!A116),"X00265 →")</f>
        <v>X00265 →</v>
      </c>
    </row>
    <row r="21" spans="1:11" ht="23.1" customHeight="1">
      <c r="A21" s="460" t="s">
        <v>4528</v>
      </c>
      <c r="B21" s="452" t="s">
        <v>2418</v>
      </c>
      <c r="C21" s="452" t="s">
        <v>2419</v>
      </c>
      <c r="D21" s="460" t="s">
        <v>2409</v>
      </c>
      <c r="E21" s="446">
        <f>중기사용료!F129</f>
        <v>38634</v>
      </c>
      <c r="F21" s="453">
        <f>중기사용료!H129</f>
        <v>36248</v>
      </c>
      <c r="G21" s="454">
        <f>중기사용료!J129</f>
        <v>1766</v>
      </c>
      <c r="H21" s="446">
        <f>중기사용료!L129</f>
        <v>620</v>
      </c>
      <c r="I21" s="482"/>
      <c r="J21" s="451" t="str">
        <f>"_x0007_`COD|X00272_x0005_`QTY1|1_x0005_`BQC|_x0005_`EQC|03173000150_x0005_`JDC|00001730001500000_x0005_`WQC|_x0005_`EDT|2026_x0005_`ADJ|F_x0005_`RXX|0_x0005_`DET|"&amp;ROW(중기사용료!A123)&amp;"_x0005_`"</f>
        <v>_x0007_`COD|X00272_x0005_`QTY1|1_x0005_`BQC|_x0005_`EQC|03173000150_x0005_`JDC|00001730001500000_x0005_`WQC|_x0005_`EDT|2026_x0005_`ADJ|F_x0005_`RXX|0_x0005_`DET|123_x0005_`</v>
      </c>
      <c r="K21" s="433" t="str">
        <f ca="1">HYPERLINK("#"&amp;중기사용료!N2&amp;"!A"&amp;ROW(중기사용료!A123),"X00272 →")</f>
        <v>X00272 →</v>
      </c>
    </row>
  </sheetData>
  <mergeCells count="1">
    <mergeCell ref="A1:I1"/>
  </mergeCells>
  <phoneticPr fontId="13" type="noConversion"/>
  <hyperlinks>
    <hyperlink ref="K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1000-000000000000}"/>
    <hyperlink ref="J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1000-000001000000}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/>
  <legacy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</sheetPr>
  <dimension ref="A1:Z129"/>
  <sheetViews>
    <sheetView workbookViewId="0">
      <pane ySplit="4" topLeftCell="A5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2" width="21.5546875" style="428" customWidth="1"/>
    <col min="3" max="3" width="8.88671875" style="428" customWidth="1"/>
    <col min="4" max="4" width="4.88671875" style="428" customWidth="1"/>
    <col min="5" max="5" width="8.88671875" style="428" customWidth="1"/>
    <col min="6" max="6" width="10.21875" style="428" customWidth="1"/>
    <col min="7" max="7" width="8.88671875" style="428" customWidth="1"/>
    <col min="8" max="8" width="10.21875" style="428" customWidth="1"/>
    <col min="9" max="9" width="8.88671875" style="428" customWidth="1"/>
    <col min="10" max="10" width="10.21875" style="428" customWidth="1"/>
    <col min="11" max="11" width="8.88671875" style="428" customWidth="1"/>
    <col min="12" max="13" width="10.21875" style="428" customWidth="1"/>
    <col min="14" max="14" width="8.109375" style="483" hidden="1" customWidth="1"/>
    <col min="15" max="25" width="1.88671875" style="428" customWidth="1"/>
    <col min="26" max="26" width="8.109375" style="432" customWidth="1"/>
    <col min="27" max="16384" width="8.109375" style="428"/>
  </cols>
  <sheetData>
    <row r="1" spans="1:26" ht="24.95" customHeight="1">
      <c r="A1" s="597" t="s">
        <v>4529</v>
      </c>
      <c r="B1" s="598"/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426" t="s">
        <v>807</v>
      </c>
      <c r="Z1" s="427" t="s">
        <v>807</v>
      </c>
    </row>
    <row r="2" spans="1:26" ht="33.200000000000003" customHeight="1">
      <c r="A2" s="429" t="s">
        <v>5655</v>
      </c>
      <c r="N2" s="431" t="str">
        <f ca="1">MID(CELL("filename",$A$1),FIND("]",CELL("filename",$A$1))+1,LEN(CELL("filename",$A$1)))</f>
        <v>중기사용료</v>
      </c>
    </row>
    <row r="3" spans="1:26" ht="33.200000000000003" customHeight="1">
      <c r="A3" s="613" t="s">
        <v>840</v>
      </c>
      <c r="B3" s="613" t="s">
        <v>841</v>
      </c>
      <c r="C3" s="613" t="s">
        <v>903</v>
      </c>
      <c r="D3" s="613" t="s">
        <v>904</v>
      </c>
      <c r="E3" s="601" t="s">
        <v>842</v>
      </c>
      <c r="F3" s="614"/>
      <c r="G3" s="601" t="s">
        <v>819</v>
      </c>
      <c r="H3" s="614"/>
      <c r="I3" s="601" t="s">
        <v>814</v>
      </c>
      <c r="J3" s="614"/>
      <c r="K3" s="601" t="s">
        <v>843</v>
      </c>
      <c r="L3" s="614"/>
      <c r="M3" s="601" t="s">
        <v>905</v>
      </c>
    </row>
    <row r="4" spans="1:26" ht="33.200000000000003" customHeight="1">
      <c r="A4" s="614"/>
      <c r="B4" s="614"/>
      <c r="C4" s="614"/>
      <c r="D4" s="614"/>
      <c r="E4" s="460" t="s">
        <v>906</v>
      </c>
      <c r="F4" s="460" t="s">
        <v>809</v>
      </c>
      <c r="G4" s="460" t="s">
        <v>906</v>
      </c>
      <c r="H4" s="460" t="s">
        <v>809</v>
      </c>
      <c r="I4" s="460" t="s">
        <v>906</v>
      </c>
      <c r="J4" s="460" t="s">
        <v>809</v>
      </c>
      <c r="K4" s="460" t="s">
        <v>906</v>
      </c>
      <c r="L4" s="460" t="s">
        <v>809</v>
      </c>
      <c r="M4" s="602"/>
      <c r="Z4" s="433" t="str">
        <f>HYPERLINK("#'〓 목 차 〓'!B2","목차 →")</f>
        <v>목차 →</v>
      </c>
    </row>
    <row r="5" spans="1:26" ht="33.200000000000003" customHeight="1">
      <c r="A5" s="484" t="s">
        <v>4530</v>
      </c>
      <c r="B5" s="484"/>
      <c r="C5" s="485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6" t="str">
        <f>HYPERLINK("#N"&amp;ROW(N10),"_x0005_`BDCOD|X00328_x0007_`POSS|"&amp;ROW(N7)&amp;"_x0007_`POSE|"&amp;ROW(N10)&amp;"_x0007_`")</f>
        <v>_x0005_`BDCOD|X00328_x0007_`POSS|7_x0007_`POSE|10_x0007_`</v>
      </c>
    </row>
    <row r="6" spans="1:26" ht="33.200000000000003" customHeight="1">
      <c r="A6" s="469" t="s">
        <v>4492</v>
      </c>
      <c r="B6" s="469" t="s">
        <v>4493</v>
      </c>
      <c r="C6" s="487"/>
      <c r="D6" s="488" t="s">
        <v>2409</v>
      </c>
      <c r="E6" s="487"/>
      <c r="F6" s="487"/>
      <c r="G6" s="487"/>
      <c r="H6" s="487"/>
      <c r="I6" s="487"/>
      <c r="J6" s="487"/>
      <c r="K6" s="487"/>
      <c r="L6" s="487"/>
      <c r="M6" s="488" t="s">
        <v>4491</v>
      </c>
      <c r="O6" s="468" t="s">
        <v>4491</v>
      </c>
    </row>
    <row r="7" spans="1:26" ht="33.200000000000003" customHeight="1">
      <c r="A7" s="452" t="s">
        <v>4492</v>
      </c>
      <c r="B7" s="452" t="s">
        <v>4493</v>
      </c>
      <c r="C7" s="489">
        <v>0.25979999999999998</v>
      </c>
      <c r="D7" s="480" t="s">
        <v>4531</v>
      </c>
      <c r="E7" s="490">
        <f t="shared" ref="E7:F10" si="0">I7+G7+K7</f>
        <v>66960</v>
      </c>
      <c r="F7" s="491">
        <f t="shared" si="0"/>
        <v>17396.2</v>
      </c>
      <c r="G7" s="492">
        <v>0</v>
      </c>
      <c r="H7" s="491">
        <f>IF(C7=0,0,ROUNDDOWN(G7*C7,1))</f>
        <v>0</v>
      </c>
      <c r="I7" s="492">
        <v>0</v>
      </c>
      <c r="J7" s="493">
        <f>IF(C7=0,0,ROUNDDOWN(I7*C7,1))</f>
        <v>0</v>
      </c>
      <c r="K7" s="494">
        <f>경비목록표!E5</f>
        <v>66960</v>
      </c>
      <c r="L7" s="498">
        <f>IF(C7=0,0,ROUNDDOWN(K7*C7,1))</f>
        <v>17396.2</v>
      </c>
      <c r="M7" s="463" t="s">
        <v>4532</v>
      </c>
      <c r="N7" s="451" t="s">
        <v>4533</v>
      </c>
      <c r="O7" s="468" t="s">
        <v>4534</v>
      </c>
      <c r="P7" s="468" t="s">
        <v>2354</v>
      </c>
      <c r="Z7" s="433" t="str">
        <f ca="1">HYPERLINK("#"&amp;경비목록표!G2&amp;"!A"&amp;ROW(경비목록표!A5),"S00299 →")</f>
        <v>S00299 →</v>
      </c>
    </row>
    <row r="8" spans="1:26" ht="33.200000000000003" customHeight="1">
      <c r="A8" s="452" t="s">
        <v>4473</v>
      </c>
      <c r="B8" s="452"/>
      <c r="C8" s="489">
        <v>1</v>
      </c>
      <c r="D8" s="480" t="s">
        <v>585</v>
      </c>
      <c r="E8" s="490">
        <f t="shared" si="0"/>
        <v>49778.3</v>
      </c>
      <c r="F8" s="493">
        <f t="shared" si="0"/>
        <v>49778.3</v>
      </c>
      <c r="G8" s="494">
        <f>환율및기초자료!G7</f>
        <v>49778.3</v>
      </c>
      <c r="H8" s="495">
        <f>IF(C8=0,0,ROUNDDOWN(G8*C8,1))</f>
        <v>49778.3</v>
      </c>
      <c r="I8" s="492">
        <v>0</v>
      </c>
      <c r="J8" s="491">
        <f>IF(C8=0,0,ROUNDDOWN(I8*C8,1))</f>
        <v>0</v>
      </c>
      <c r="K8" s="492">
        <v>0</v>
      </c>
      <c r="L8" s="493">
        <f>IF(C8=0,0,ROUNDDOWN(K8*C8,1))</f>
        <v>0</v>
      </c>
      <c r="M8" s="463" t="s">
        <v>4535</v>
      </c>
      <c r="N8" s="451" t="s">
        <v>4536</v>
      </c>
      <c r="O8" s="468" t="s">
        <v>4537</v>
      </c>
      <c r="P8" s="468" t="s">
        <v>2354</v>
      </c>
      <c r="Z8" s="433" t="str">
        <f ca="1">HYPERLINK("#"&amp;환율및기초자료!I2&amp;"!A"&amp;ROW(환율및기초자료!A7),"L00191 →")</f>
        <v>L00191 →</v>
      </c>
    </row>
    <row r="9" spans="1:26" ht="33.200000000000003" customHeight="1">
      <c r="A9" s="452" t="s">
        <v>4485</v>
      </c>
      <c r="B9" s="452" t="s">
        <v>4486</v>
      </c>
      <c r="C9" s="489">
        <v>3.1</v>
      </c>
      <c r="D9" s="480" t="s">
        <v>2840</v>
      </c>
      <c r="E9" s="490">
        <f t="shared" si="0"/>
        <v>1379</v>
      </c>
      <c r="F9" s="491">
        <f t="shared" si="0"/>
        <v>4274.8999999999996</v>
      </c>
      <c r="G9" s="492">
        <v>0</v>
      </c>
      <c r="H9" s="493">
        <f>IF(C9=0,0,ROUNDDOWN(G9*C9,1))</f>
        <v>0</v>
      </c>
      <c r="I9" s="494">
        <f>재료비목록표!E10</f>
        <v>1379</v>
      </c>
      <c r="J9" s="495">
        <f>IF(C9=0,0,ROUNDDOWN(I9*C9,1))</f>
        <v>4274.8999999999996</v>
      </c>
      <c r="K9" s="492">
        <v>0</v>
      </c>
      <c r="L9" s="493">
        <f>IF(C9=0,0,ROUNDDOWN(K9*C9,1))</f>
        <v>0</v>
      </c>
      <c r="M9" s="463" t="s">
        <v>4538</v>
      </c>
      <c r="N9" s="451" t="s">
        <v>4539</v>
      </c>
      <c r="O9" s="468" t="s">
        <v>4540</v>
      </c>
      <c r="P9" s="468" t="s">
        <v>2354</v>
      </c>
      <c r="Q9" s="468" t="s">
        <v>2355</v>
      </c>
      <c r="Z9" s="433" t="str">
        <f ca="1">HYPERLINK("#"&amp;재료비목록표!G2&amp;"!A"&amp;ROW(재료비목록표!A10),"M00874 →")</f>
        <v>M00874 →</v>
      </c>
    </row>
    <row r="10" spans="1:26" ht="33.200000000000003" customHeight="1">
      <c r="A10" s="452" t="s">
        <v>4541</v>
      </c>
      <c r="B10" s="452" t="s">
        <v>4542</v>
      </c>
      <c r="C10" s="489">
        <v>20</v>
      </c>
      <c r="D10" s="480" t="s">
        <v>2371</v>
      </c>
      <c r="E10" s="490">
        <f t="shared" si="0"/>
        <v>4274.8999999999996</v>
      </c>
      <c r="F10" s="491">
        <f t="shared" si="0"/>
        <v>854.9</v>
      </c>
      <c r="G10" s="465">
        <v>0</v>
      </c>
      <c r="H10" s="491">
        <f>IF(C10=0,0,ROUNDDOWN(G10*C10/100,1))</f>
        <v>0</v>
      </c>
      <c r="I10" s="496">
        <f>J9</f>
        <v>4274.8999999999996</v>
      </c>
      <c r="J10" s="493">
        <f>IF(C10=0,0,ROUNDDOWN(I10*C10/100,1))</f>
        <v>854.9</v>
      </c>
      <c r="K10" s="467">
        <v>0</v>
      </c>
      <c r="L10" s="493">
        <f>IF(C10=0,0,ROUNDDOWN(K10*C10/100,1))</f>
        <v>0</v>
      </c>
      <c r="M10" s="463"/>
      <c r="N10" s="451" t="s">
        <v>4543</v>
      </c>
      <c r="O10" s="468" t="s">
        <v>2373</v>
      </c>
      <c r="P10" s="468" t="s">
        <v>2354</v>
      </c>
    </row>
    <row r="11" spans="1:26" ht="33.200000000000003" customHeight="1">
      <c r="A11" s="463" t="s">
        <v>842</v>
      </c>
      <c r="B11" s="497"/>
      <c r="C11" s="497"/>
      <c r="D11" s="497"/>
      <c r="E11" s="497"/>
      <c r="F11" s="446">
        <f>J11+H11+L11</f>
        <v>72303</v>
      </c>
      <c r="G11" s="497"/>
      <c r="H11" s="446">
        <f>ROUNDDOWN(SUMIF(P7:P10,O11,H7:H10),0)</f>
        <v>49778</v>
      </c>
      <c r="I11" s="497"/>
      <c r="J11" s="446">
        <f>ROUNDDOWN(SUMIF(P7:P10,O11,J7:J10),0)</f>
        <v>5129</v>
      </c>
      <c r="K11" s="497"/>
      <c r="L11" s="446">
        <f>ROUNDDOWN(SUMIF(P7:P10,O11,L7:L10),0)</f>
        <v>17396</v>
      </c>
      <c r="M11" s="497"/>
      <c r="O11" s="468" t="s">
        <v>2354</v>
      </c>
    </row>
    <row r="12" spans="1:26" ht="33.200000000000003" customHeight="1">
      <c r="A12" s="484" t="s">
        <v>4544</v>
      </c>
      <c r="B12" s="484"/>
      <c r="C12" s="485"/>
      <c r="D12" s="485"/>
      <c r="E12" s="485"/>
      <c r="F12" s="485"/>
      <c r="G12" s="485"/>
      <c r="H12" s="485"/>
      <c r="I12" s="485"/>
      <c r="J12" s="485"/>
      <c r="K12" s="485"/>
      <c r="L12" s="485"/>
      <c r="M12" s="485"/>
      <c r="N12" s="486" t="str">
        <f>HYPERLINK("#N"&amp;ROW(N17),"_x0005_`BDCOD|X00273_x0007_`POSS|"&amp;ROW(N14)&amp;"_x0007_`POSE|"&amp;ROW(N17)&amp;"_x0007_`")</f>
        <v>_x0005_`BDCOD|X00273_x0007_`POSS|14_x0007_`POSE|17_x0007_`</v>
      </c>
    </row>
    <row r="13" spans="1:26" ht="33.200000000000003" customHeight="1">
      <c r="A13" s="469" t="s">
        <v>2407</v>
      </c>
      <c r="B13" s="469" t="s">
        <v>2408</v>
      </c>
      <c r="C13" s="487"/>
      <c r="D13" s="488" t="s">
        <v>2409</v>
      </c>
      <c r="E13" s="487"/>
      <c r="F13" s="487"/>
      <c r="G13" s="487"/>
      <c r="H13" s="487"/>
      <c r="I13" s="487"/>
      <c r="J13" s="487"/>
      <c r="K13" s="487"/>
      <c r="L13" s="487"/>
      <c r="M13" s="488" t="s">
        <v>4495</v>
      </c>
      <c r="O13" s="468" t="s">
        <v>4495</v>
      </c>
    </row>
    <row r="14" spans="1:26" ht="33.200000000000003" customHeight="1">
      <c r="A14" s="452" t="s">
        <v>2407</v>
      </c>
      <c r="B14" s="452" t="s">
        <v>2408</v>
      </c>
      <c r="C14" s="489">
        <v>0.20849999999999999</v>
      </c>
      <c r="D14" s="480" t="s">
        <v>4531</v>
      </c>
      <c r="E14" s="490">
        <f t="shared" ref="E14:F17" si="1">I14+G14+K14</f>
        <v>66538</v>
      </c>
      <c r="F14" s="491">
        <f t="shared" si="1"/>
        <v>13873.1</v>
      </c>
      <c r="G14" s="492">
        <v>0</v>
      </c>
      <c r="H14" s="491">
        <f>IF(C14=0,0,ROUNDDOWN(G14*C14,1))</f>
        <v>0</v>
      </c>
      <c r="I14" s="492">
        <v>0</v>
      </c>
      <c r="J14" s="493">
        <f>IF(C14=0,0,ROUNDDOWN(I14*C14,1))</f>
        <v>0</v>
      </c>
      <c r="K14" s="494">
        <f>경비목록표!E6</f>
        <v>66538</v>
      </c>
      <c r="L14" s="498">
        <f>IF(C14=0,0,ROUNDDOWN(K14*C14,1))</f>
        <v>13873.1</v>
      </c>
      <c r="M14" s="463" t="s">
        <v>4545</v>
      </c>
      <c r="N14" s="451" t="s">
        <v>4546</v>
      </c>
      <c r="O14" s="468" t="s">
        <v>4547</v>
      </c>
      <c r="P14" s="468" t="s">
        <v>2354</v>
      </c>
      <c r="Z14" s="433" t="str">
        <f ca="1">HYPERLINK("#"&amp;경비목록표!G2&amp;"!A"&amp;ROW(경비목록표!A6),"S00223 →")</f>
        <v>S00223 →</v>
      </c>
    </row>
    <row r="15" spans="1:26" ht="33.200000000000003" customHeight="1">
      <c r="A15" s="452" t="s">
        <v>4470</v>
      </c>
      <c r="B15" s="452"/>
      <c r="C15" s="489">
        <v>1</v>
      </c>
      <c r="D15" s="480" t="s">
        <v>585</v>
      </c>
      <c r="E15" s="490">
        <f t="shared" si="1"/>
        <v>59020.2</v>
      </c>
      <c r="F15" s="493">
        <f t="shared" si="1"/>
        <v>59020.2</v>
      </c>
      <c r="G15" s="494">
        <f>환율및기초자료!G6</f>
        <v>59020.2</v>
      </c>
      <c r="H15" s="495">
        <f>IF(C15=0,0,ROUNDDOWN(G15*C15,1))</f>
        <v>59020.2</v>
      </c>
      <c r="I15" s="492">
        <v>0</v>
      </c>
      <c r="J15" s="491">
        <f>IF(C15=0,0,ROUNDDOWN(I15*C15,1))</f>
        <v>0</v>
      </c>
      <c r="K15" s="492">
        <v>0</v>
      </c>
      <c r="L15" s="493">
        <f>IF(C15=0,0,ROUNDDOWN(K15*C15,1))</f>
        <v>0</v>
      </c>
      <c r="M15" s="463" t="s">
        <v>4548</v>
      </c>
      <c r="N15" s="451" t="s">
        <v>4549</v>
      </c>
      <c r="O15" s="468" t="s">
        <v>4550</v>
      </c>
      <c r="P15" s="468" t="s">
        <v>2354</v>
      </c>
      <c r="Z15" s="433" t="str">
        <f ca="1">HYPERLINK("#"&amp;환율및기초자료!I2&amp;"!A"&amp;ROW(환율및기초자료!A6),"L00190 →")</f>
        <v>L00190 →</v>
      </c>
    </row>
    <row r="16" spans="1:26" ht="33.200000000000003" customHeight="1">
      <c r="A16" s="452" t="s">
        <v>4485</v>
      </c>
      <c r="B16" s="452" t="s">
        <v>4486</v>
      </c>
      <c r="C16" s="489">
        <v>5</v>
      </c>
      <c r="D16" s="480" t="s">
        <v>2840</v>
      </c>
      <c r="E16" s="490">
        <f t="shared" si="1"/>
        <v>1379</v>
      </c>
      <c r="F16" s="491">
        <f t="shared" si="1"/>
        <v>6895</v>
      </c>
      <c r="G16" s="492">
        <v>0</v>
      </c>
      <c r="H16" s="493">
        <f>IF(C16=0,0,ROUNDDOWN(G16*C16,1))</f>
        <v>0</v>
      </c>
      <c r="I16" s="494">
        <f>재료비목록표!E10</f>
        <v>1379</v>
      </c>
      <c r="J16" s="495">
        <f>IF(C16=0,0,ROUNDDOWN(I16*C16,1))</f>
        <v>6895</v>
      </c>
      <c r="K16" s="492">
        <v>0</v>
      </c>
      <c r="L16" s="493">
        <f>IF(C16=0,0,ROUNDDOWN(K16*C16,1))</f>
        <v>0</v>
      </c>
      <c r="M16" s="463" t="s">
        <v>4538</v>
      </c>
      <c r="N16" s="451" t="s">
        <v>4539</v>
      </c>
      <c r="O16" s="468" t="s">
        <v>4540</v>
      </c>
      <c r="P16" s="468" t="s">
        <v>2354</v>
      </c>
      <c r="Q16" s="468" t="s">
        <v>2355</v>
      </c>
      <c r="Z16" s="433" t="str">
        <f ca="1">HYPERLINK("#"&amp;재료비목록표!G2&amp;"!A"&amp;ROW(재료비목록표!A10),"M00874 →")</f>
        <v>M00874 →</v>
      </c>
    </row>
    <row r="17" spans="1:26" ht="33.200000000000003" customHeight="1">
      <c r="A17" s="452" t="s">
        <v>4541</v>
      </c>
      <c r="B17" s="452" t="s">
        <v>4542</v>
      </c>
      <c r="C17" s="489">
        <v>21</v>
      </c>
      <c r="D17" s="480" t="s">
        <v>2371</v>
      </c>
      <c r="E17" s="490">
        <f t="shared" si="1"/>
        <v>6895</v>
      </c>
      <c r="F17" s="491">
        <f t="shared" si="1"/>
        <v>1447.9</v>
      </c>
      <c r="G17" s="465">
        <v>0</v>
      </c>
      <c r="H17" s="491">
        <f>IF(C17=0,0,ROUNDDOWN(G17*C17/100,1))</f>
        <v>0</v>
      </c>
      <c r="I17" s="496">
        <f>J16</f>
        <v>6895</v>
      </c>
      <c r="J17" s="493">
        <f>IF(C17=0,0,ROUNDDOWN(I17*C17/100,1))</f>
        <v>1447.9</v>
      </c>
      <c r="K17" s="467">
        <v>0</v>
      </c>
      <c r="L17" s="493">
        <f>IF(C17=0,0,ROUNDDOWN(K17*C17/100,1))</f>
        <v>0</v>
      </c>
      <c r="M17" s="463"/>
      <c r="N17" s="451" t="s">
        <v>4543</v>
      </c>
      <c r="O17" s="468" t="s">
        <v>2373</v>
      </c>
      <c r="P17" s="468" t="s">
        <v>2354</v>
      </c>
    </row>
    <row r="18" spans="1:26" ht="33.200000000000003" customHeight="1">
      <c r="A18" s="463" t="s">
        <v>842</v>
      </c>
      <c r="B18" s="497"/>
      <c r="C18" s="497"/>
      <c r="D18" s="497"/>
      <c r="E18" s="497"/>
      <c r="F18" s="446">
        <f>J18+H18+L18</f>
        <v>81235</v>
      </c>
      <c r="G18" s="497"/>
      <c r="H18" s="446">
        <f>ROUNDDOWN(SUMIF(P14:P17,O18,H14:H17),0)</f>
        <v>59020</v>
      </c>
      <c r="I18" s="497"/>
      <c r="J18" s="446">
        <f>ROUNDDOWN(SUMIF(P14:P17,O18,J14:J17),0)</f>
        <v>8342</v>
      </c>
      <c r="K18" s="497"/>
      <c r="L18" s="446">
        <f>ROUNDDOWN(SUMIF(P14:P17,O18,L14:L17),0)</f>
        <v>13873</v>
      </c>
      <c r="M18" s="497"/>
      <c r="O18" s="468" t="s">
        <v>2354</v>
      </c>
    </row>
    <row r="19" spans="1:26" ht="33.200000000000003" customHeight="1">
      <c r="A19" s="484" t="s">
        <v>4551</v>
      </c>
      <c r="B19" s="484"/>
      <c r="C19" s="485"/>
      <c r="D19" s="485"/>
      <c r="E19" s="485"/>
      <c r="F19" s="485"/>
      <c r="G19" s="485"/>
      <c r="H19" s="485"/>
      <c r="I19" s="485"/>
      <c r="J19" s="485"/>
      <c r="K19" s="485"/>
      <c r="L19" s="485"/>
      <c r="M19" s="485"/>
      <c r="N19" s="486" t="str">
        <f>HYPERLINK("#N"&amp;ROW(N25),"_x0005_`BDCOD|X00323_x0007_`POSS|"&amp;ROW(N21)&amp;"_x0007_`POSE|"&amp;ROW(N25)&amp;"_x0007_`")</f>
        <v>_x0005_`BDCOD|X00323_x0007_`POSS|21_x0007_`POSE|25_x0007_`</v>
      </c>
    </row>
    <row r="20" spans="1:26" ht="33.200000000000003" customHeight="1">
      <c r="A20" s="469" t="s">
        <v>2407</v>
      </c>
      <c r="B20" s="469" t="s">
        <v>4497</v>
      </c>
      <c r="C20" s="487"/>
      <c r="D20" s="488" t="s">
        <v>2409</v>
      </c>
      <c r="E20" s="487"/>
      <c r="F20" s="487"/>
      <c r="G20" s="487"/>
      <c r="H20" s="487"/>
      <c r="I20" s="487"/>
      <c r="J20" s="487"/>
      <c r="K20" s="487"/>
      <c r="L20" s="487"/>
      <c r="M20" s="488" t="s">
        <v>4496</v>
      </c>
      <c r="O20" s="468" t="s">
        <v>4496</v>
      </c>
    </row>
    <row r="21" spans="1:26" ht="33.200000000000003" customHeight="1">
      <c r="A21" s="452" t="s">
        <v>2407</v>
      </c>
      <c r="B21" s="452" t="s">
        <v>2408</v>
      </c>
      <c r="C21" s="489">
        <v>0.20849999999999999</v>
      </c>
      <c r="D21" s="480" t="s">
        <v>4531</v>
      </c>
      <c r="E21" s="490">
        <f t="shared" ref="E21:F25" si="2">I21+G21+K21</f>
        <v>66538</v>
      </c>
      <c r="F21" s="491">
        <f t="shared" si="2"/>
        <v>13873.1</v>
      </c>
      <c r="G21" s="492">
        <v>0</v>
      </c>
      <c r="H21" s="491">
        <f>IF(C21=0,0,ROUNDDOWN(G21*C21,1))</f>
        <v>0</v>
      </c>
      <c r="I21" s="492">
        <v>0</v>
      </c>
      <c r="J21" s="493">
        <f>IF(C21=0,0,ROUNDDOWN(I21*C21,1))</f>
        <v>0</v>
      </c>
      <c r="K21" s="494">
        <f>경비목록표!E6</f>
        <v>66538</v>
      </c>
      <c r="L21" s="498">
        <f>IF(C21=0,0,ROUNDDOWN(K21*C21,1))</f>
        <v>13873.1</v>
      </c>
      <c r="M21" s="463" t="s">
        <v>4545</v>
      </c>
      <c r="N21" s="451" t="s">
        <v>4546</v>
      </c>
      <c r="O21" s="468" t="s">
        <v>4547</v>
      </c>
      <c r="P21" s="468" t="s">
        <v>2354</v>
      </c>
      <c r="Z21" s="433" t="str">
        <f ca="1">HYPERLINK("#"&amp;경비목록표!G2&amp;"!A"&amp;ROW(경비목록표!A6),"S00223 →")</f>
        <v>S00223 →</v>
      </c>
    </row>
    <row r="22" spans="1:26" ht="33.200000000000003" customHeight="1">
      <c r="A22" s="452" t="s">
        <v>4552</v>
      </c>
      <c r="B22" s="452" t="s">
        <v>2408</v>
      </c>
      <c r="C22" s="489">
        <v>0.74350000000000005</v>
      </c>
      <c r="D22" s="480" t="s">
        <v>4531</v>
      </c>
      <c r="E22" s="490">
        <f t="shared" si="2"/>
        <v>4942</v>
      </c>
      <c r="F22" s="491">
        <f t="shared" si="2"/>
        <v>3674.3</v>
      </c>
      <c r="G22" s="492">
        <v>0</v>
      </c>
      <c r="H22" s="491">
        <f>IF(C22=0,0,ROUNDDOWN(G22*C22,1))</f>
        <v>0</v>
      </c>
      <c r="I22" s="492">
        <v>0</v>
      </c>
      <c r="J22" s="493">
        <f>IF(C22=0,0,ROUNDDOWN(I22*C22,1))</f>
        <v>0</v>
      </c>
      <c r="K22" s="494">
        <f>경비목록표!E17</f>
        <v>4942</v>
      </c>
      <c r="L22" s="498">
        <f>IF(C22=0,0,ROUNDDOWN(K22*C22,1))</f>
        <v>3674.3</v>
      </c>
      <c r="M22" s="463" t="s">
        <v>4553</v>
      </c>
      <c r="N22" s="451" t="s">
        <v>4554</v>
      </c>
      <c r="O22" s="468" t="s">
        <v>4555</v>
      </c>
      <c r="P22" s="468" t="s">
        <v>2354</v>
      </c>
      <c r="Z22" s="433" t="str">
        <f ca="1">HYPERLINK("#"&amp;경비목록표!G2&amp;"!A"&amp;ROW(경비목록표!A17),"S00295 →")</f>
        <v>S00295 →</v>
      </c>
    </row>
    <row r="23" spans="1:26" ht="33.200000000000003" customHeight="1">
      <c r="A23" s="452" t="s">
        <v>4470</v>
      </c>
      <c r="B23" s="452"/>
      <c r="C23" s="489">
        <v>1</v>
      </c>
      <c r="D23" s="480" t="s">
        <v>585</v>
      </c>
      <c r="E23" s="490">
        <f t="shared" si="2"/>
        <v>59020.2</v>
      </c>
      <c r="F23" s="493">
        <f t="shared" si="2"/>
        <v>59020.2</v>
      </c>
      <c r="G23" s="494">
        <f>환율및기초자료!G6</f>
        <v>59020.2</v>
      </c>
      <c r="H23" s="495">
        <f>IF(C23=0,0,ROUNDDOWN(G23*C23,1))</f>
        <v>59020.2</v>
      </c>
      <c r="I23" s="492">
        <v>0</v>
      </c>
      <c r="J23" s="491">
        <f>IF(C23=0,0,ROUNDDOWN(I23*C23,1))</f>
        <v>0</v>
      </c>
      <c r="K23" s="492">
        <v>0</v>
      </c>
      <c r="L23" s="493">
        <f>IF(C23=0,0,ROUNDDOWN(K23*C23,1))</f>
        <v>0</v>
      </c>
      <c r="M23" s="463" t="s">
        <v>4548</v>
      </c>
      <c r="N23" s="451" t="s">
        <v>4549</v>
      </c>
      <c r="O23" s="468" t="s">
        <v>4550</v>
      </c>
      <c r="P23" s="468" t="s">
        <v>2354</v>
      </c>
      <c r="Z23" s="433" t="str">
        <f ca="1">HYPERLINK("#"&amp;환율및기초자료!I2&amp;"!A"&amp;ROW(환율및기초자료!A6),"L00190 →")</f>
        <v>L00190 →</v>
      </c>
    </row>
    <row r="24" spans="1:26" ht="33.200000000000003" customHeight="1">
      <c r="A24" s="452" t="s">
        <v>4485</v>
      </c>
      <c r="B24" s="452" t="s">
        <v>4486</v>
      </c>
      <c r="C24" s="489">
        <v>5</v>
      </c>
      <c r="D24" s="480" t="s">
        <v>2840</v>
      </c>
      <c r="E24" s="490">
        <f t="shared" si="2"/>
        <v>1379</v>
      </c>
      <c r="F24" s="491">
        <f t="shared" si="2"/>
        <v>6895</v>
      </c>
      <c r="G24" s="492">
        <v>0</v>
      </c>
      <c r="H24" s="493">
        <f>IF(C24=0,0,ROUNDDOWN(G24*C24,1))</f>
        <v>0</v>
      </c>
      <c r="I24" s="494">
        <f>재료비목록표!E10</f>
        <v>1379</v>
      </c>
      <c r="J24" s="495">
        <f>IF(C24=0,0,ROUNDDOWN(I24*C24,1))</f>
        <v>6895</v>
      </c>
      <c r="K24" s="492">
        <v>0</v>
      </c>
      <c r="L24" s="493">
        <f>IF(C24=0,0,ROUNDDOWN(K24*C24,1))</f>
        <v>0</v>
      </c>
      <c r="M24" s="463" t="s">
        <v>4538</v>
      </c>
      <c r="N24" s="451" t="s">
        <v>4539</v>
      </c>
      <c r="O24" s="468" t="s">
        <v>4540</v>
      </c>
      <c r="P24" s="468" t="s">
        <v>2354</v>
      </c>
      <c r="Q24" s="468" t="s">
        <v>2355</v>
      </c>
      <c r="Z24" s="433" t="str">
        <f ca="1">HYPERLINK("#"&amp;재료비목록표!G2&amp;"!A"&amp;ROW(재료비목록표!A10),"M00874 →")</f>
        <v>M00874 →</v>
      </c>
    </row>
    <row r="25" spans="1:26" ht="33.200000000000003" customHeight="1">
      <c r="A25" s="452" t="s">
        <v>4541</v>
      </c>
      <c r="B25" s="452" t="s">
        <v>4542</v>
      </c>
      <c r="C25" s="489">
        <v>21</v>
      </c>
      <c r="D25" s="480" t="s">
        <v>2371</v>
      </c>
      <c r="E25" s="490">
        <f t="shared" si="2"/>
        <v>6895</v>
      </c>
      <c r="F25" s="491">
        <f t="shared" si="2"/>
        <v>1447.9</v>
      </c>
      <c r="G25" s="465">
        <v>0</v>
      </c>
      <c r="H25" s="491">
        <f>IF(C25=0,0,ROUNDDOWN(G25*C25/100,1))</f>
        <v>0</v>
      </c>
      <c r="I25" s="496">
        <f>J24</f>
        <v>6895</v>
      </c>
      <c r="J25" s="493">
        <f>IF(C25=0,0,ROUNDDOWN(I25*C25/100,1))</f>
        <v>1447.9</v>
      </c>
      <c r="K25" s="467">
        <v>0</v>
      </c>
      <c r="L25" s="493">
        <f>IF(C25=0,0,ROUNDDOWN(K25*C25/100,1))</f>
        <v>0</v>
      </c>
      <c r="M25" s="463"/>
      <c r="N25" s="451" t="s">
        <v>4543</v>
      </c>
      <c r="O25" s="468" t="s">
        <v>2373</v>
      </c>
      <c r="P25" s="468" t="s">
        <v>2354</v>
      </c>
    </row>
    <row r="26" spans="1:26" ht="33.200000000000003" customHeight="1">
      <c r="A26" s="463" t="s">
        <v>842</v>
      </c>
      <c r="B26" s="497"/>
      <c r="C26" s="497"/>
      <c r="D26" s="497"/>
      <c r="E26" s="497"/>
      <c r="F26" s="446">
        <f>J26+H26+L26</f>
        <v>84909</v>
      </c>
      <c r="G26" s="497"/>
      <c r="H26" s="446">
        <f>ROUNDDOWN(SUMIF(P21:P25,O26,H21:H25),0)</f>
        <v>59020</v>
      </c>
      <c r="I26" s="497"/>
      <c r="J26" s="446">
        <f>ROUNDDOWN(SUMIF(P21:P25,O26,J21:J25),0)</f>
        <v>8342</v>
      </c>
      <c r="K26" s="497"/>
      <c r="L26" s="446">
        <f>ROUNDDOWN(SUMIF(P21:P25,O26,L21:L25),0)</f>
        <v>17547</v>
      </c>
      <c r="M26" s="497"/>
      <c r="O26" s="468" t="s">
        <v>2354</v>
      </c>
    </row>
    <row r="27" spans="1:26" ht="33.200000000000003" customHeight="1">
      <c r="A27" s="484" t="s">
        <v>4556</v>
      </c>
      <c r="B27" s="484"/>
      <c r="C27" s="485"/>
      <c r="D27" s="485"/>
      <c r="E27" s="485"/>
      <c r="F27" s="485"/>
      <c r="G27" s="485"/>
      <c r="H27" s="485"/>
      <c r="I27" s="485"/>
      <c r="J27" s="485"/>
      <c r="K27" s="485"/>
      <c r="L27" s="485"/>
      <c r="M27" s="485"/>
      <c r="N27" s="486" t="str">
        <f>HYPERLINK("#N"&amp;ROW(N32),"_x0005_`BDCOD|X00266_x0007_`POSS|"&amp;ROW(N29)&amp;"_x0007_`POSE|"&amp;ROW(N32)&amp;"_x0007_`")</f>
        <v>_x0005_`BDCOD|X00266_x0007_`POSS|29_x0007_`POSE|32_x0007_`</v>
      </c>
    </row>
    <row r="28" spans="1:26" ht="33.200000000000003" customHeight="1">
      <c r="A28" s="469" t="s">
        <v>2407</v>
      </c>
      <c r="B28" s="469" t="s">
        <v>4499</v>
      </c>
      <c r="C28" s="487"/>
      <c r="D28" s="488" t="s">
        <v>2409</v>
      </c>
      <c r="E28" s="487"/>
      <c r="F28" s="487"/>
      <c r="G28" s="487"/>
      <c r="H28" s="487"/>
      <c r="I28" s="487"/>
      <c r="J28" s="487"/>
      <c r="K28" s="487"/>
      <c r="L28" s="487"/>
      <c r="M28" s="488" t="s">
        <v>4498</v>
      </c>
      <c r="O28" s="468" t="s">
        <v>4498</v>
      </c>
    </row>
    <row r="29" spans="1:26" ht="33.200000000000003" customHeight="1">
      <c r="A29" s="452" t="s">
        <v>2407</v>
      </c>
      <c r="B29" s="452" t="s">
        <v>4499</v>
      </c>
      <c r="C29" s="489">
        <v>0.20849999999999999</v>
      </c>
      <c r="D29" s="480" t="s">
        <v>4531</v>
      </c>
      <c r="E29" s="490">
        <f t="shared" ref="E29:F32" si="3">I29+G29+K29</f>
        <v>84000</v>
      </c>
      <c r="F29" s="491">
        <f t="shared" si="3"/>
        <v>17514</v>
      </c>
      <c r="G29" s="492">
        <v>0</v>
      </c>
      <c r="H29" s="491">
        <f>IF(C29=0,0,ROUNDDOWN(G29*C29,1))</f>
        <v>0</v>
      </c>
      <c r="I29" s="492">
        <v>0</v>
      </c>
      <c r="J29" s="493">
        <f>IF(C29=0,0,ROUNDDOWN(I29*C29,1))</f>
        <v>0</v>
      </c>
      <c r="K29" s="494">
        <f>경비목록표!E7</f>
        <v>84000</v>
      </c>
      <c r="L29" s="498">
        <f>IF(C29=0,0,ROUNDDOWN(K29*C29,1))</f>
        <v>17514</v>
      </c>
      <c r="M29" s="463" t="s">
        <v>4557</v>
      </c>
      <c r="N29" s="451" t="s">
        <v>4558</v>
      </c>
      <c r="O29" s="468" t="s">
        <v>4559</v>
      </c>
      <c r="P29" s="468" t="s">
        <v>2354</v>
      </c>
      <c r="Z29" s="433" t="str">
        <f ca="1">HYPERLINK("#"&amp;경비목록표!G2&amp;"!A"&amp;ROW(경비목록표!A7),"S00214 →")</f>
        <v>S00214 →</v>
      </c>
    </row>
    <row r="30" spans="1:26" ht="33.200000000000003" customHeight="1">
      <c r="A30" s="452" t="s">
        <v>4470</v>
      </c>
      <c r="B30" s="452"/>
      <c r="C30" s="489">
        <v>1</v>
      </c>
      <c r="D30" s="480" t="s">
        <v>585</v>
      </c>
      <c r="E30" s="490">
        <f t="shared" si="3"/>
        <v>59020.2</v>
      </c>
      <c r="F30" s="493">
        <f t="shared" si="3"/>
        <v>59020.2</v>
      </c>
      <c r="G30" s="494">
        <f>환율및기초자료!G6</f>
        <v>59020.2</v>
      </c>
      <c r="H30" s="495">
        <f>IF(C30=0,0,ROUNDDOWN(G30*C30,1))</f>
        <v>59020.2</v>
      </c>
      <c r="I30" s="492">
        <v>0</v>
      </c>
      <c r="J30" s="491">
        <f>IF(C30=0,0,ROUNDDOWN(I30*C30,1))</f>
        <v>0</v>
      </c>
      <c r="K30" s="492">
        <v>0</v>
      </c>
      <c r="L30" s="493">
        <f>IF(C30=0,0,ROUNDDOWN(K30*C30,1))</f>
        <v>0</v>
      </c>
      <c r="M30" s="463" t="s">
        <v>4548</v>
      </c>
      <c r="N30" s="451" t="s">
        <v>4549</v>
      </c>
      <c r="O30" s="468" t="s">
        <v>4550</v>
      </c>
      <c r="P30" s="468" t="s">
        <v>2354</v>
      </c>
      <c r="Z30" s="433" t="str">
        <f ca="1">HYPERLINK("#"&amp;환율및기초자료!I2&amp;"!A"&amp;ROW(환율및기초자료!A6),"L00190 →")</f>
        <v>L00190 →</v>
      </c>
    </row>
    <row r="31" spans="1:26" ht="33.200000000000003" customHeight="1">
      <c r="A31" s="452" t="s">
        <v>4485</v>
      </c>
      <c r="B31" s="452" t="s">
        <v>4486</v>
      </c>
      <c r="C31" s="489">
        <v>9.9</v>
      </c>
      <c r="D31" s="480" t="s">
        <v>2840</v>
      </c>
      <c r="E31" s="490">
        <f t="shared" si="3"/>
        <v>1379</v>
      </c>
      <c r="F31" s="491">
        <f t="shared" si="3"/>
        <v>13652.1</v>
      </c>
      <c r="G31" s="492">
        <v>0</v>
      </c>
      <c r="H31" s="493">
        <f>IF(C31=0,0,ROUNDDOWN(G31*C31,1))</f>
        <v>0</v>
      </c>
      <c r="I31" s="494">
        <f>재료비목록표!E10</f>
        <v>1379</v>
      </c>
      <c r="J31" s="495">
        <f>IF(C31=0,0,ROUNDDOWN(I31*C31,1))</f>
        <v>13652.1</v>
      </c>
      <c r="K31" s="492">
        <v>0</v>
      </c>
      <c r="L31" s="493">
        <f>IF(C31=0,0,ROUNDDOWN(K31*C31,1))</f>
        <v>0</v>
      </c>
      <c r="M31" s="463" t="s">
        <v>4538</v>
      </c>
      <c r="N31" s="451" t="s">
        <v>4539</v>
      </c>
      <c r="O31" s="468" t="s">
        <v>4540</v>
      </c>
      <c r="P31" s="468" t="s">
        <v>2354</v>
      </c>
      <c r="Q31" s="468" t="s">
        <v>2355</v>
      </c>
      <c r="Z31" s="433" t="str">
        <f ca="1">HYPERLINK("#"&amp;재료비목록표!G2&amp;"!A"&amp;ROW(재료비목록표!A10),"M00874 →")</f>
        <v>M00874 →</v>
      </c>
    </row>
    <row r="32" spans="1:26" ht="33.200000000000003" customHeight="1">
      <c r="A32" s="452" t="s">
        <v>4541</v>
      </c>
      <c r="B32" s="452" t="s">
        <v>4542</v>
      </c>
      <c r="C32" s="489">
        <v>22</v>
      </c>
      <c r="D32" s="480" t="s">
        <v>2371</v>
      </c>
      <c r="E32" s="490">
        <f t="shared" si="3"/>
        <v>13652.1</v>
      </c>
      <c r="F32" s="491">
        <f t="shared" si="3"/>
        <v>3003.4</v>
      </c>
      <c r="G32" s="465">
        <v>0</v>
      </c>
      <c r="H32" s="491">
        <f>IF(C32=0,0,ROUNDDOWN(G32*C32/100,1))</f>
        <v>0</v>
      </c>
      <c r="I32" s="496">
        <f>J31</f>
        <v>13652.1</v>
      </c>
      <c r="J32" s="493">
        <f>IF(C32=0,0,ROUNDDOWN(I32*C32/100,1))</f>
        <v>3003.4</v>
      </c>
      <c r="K32" s="467">
        <v>0</v>
      </c>
      <c r="L32" s="493">
        <f>IF(C32=0,0,ROUNDDOWN(K32*C32/100,1))</f>
        <v>0</v>
      </c>
      <c r="M32" s="463"/>
      <c r="N32" s="451" t="s">
        <v>4543</v>
      </c>
      <c r="O32" s="468" t="s">
        <v>2373</v>
      </c>
      <c r="P32" s="468" t="s">
        <v>2354</v>
      </c>
    </row>
    <row r="33" spans="1:26" ht="33.200000000000003" customHeight="1">
      <c r="A33" s="463" t="s">
        <v>842</v>
      </c>
      <c r="B33" s="497"/>
      <c r="C33" s="497"/>
      <c r="D33" s="497"/>
      <c r="E33" s="497"/>
      <c r="F33" s="446">
        <f>J33+H33+L33</f>
        <v>93189</v>
      </c>
      <c r="G33" s="497"/>
      <c r="H33" s="446">
        <f>ROUNDDOWN(SUMIF(P29:P32,O33,H29:H32),0)</f>
        <v>59020</v>
      </c>
      <c r="I33" s="497"/>
      <c r="J33" s="446">
        <f>ROUNDDOWN(SUMIF(P29:P32,O33,J29:J32),0)</f>
        <v>16655</v>
      </c>
      <c r="K33" s="497"/>
      <c r="L33" s="446">
        <f>ROUNDDOWN(SUMIF(P29:P32,O33,L29:L32),0)</f>
        <v>17514</v>
      </c>
      <c r="M33" s="497"/>
      <c r="O33" s="468" t="s">
        <v>2354</v>
      </c>
    </row>
    <row r="34" spans="1:26" ht="33.200000000000003" customHeight="1">
      <c r="A34" s="484" t="s">
        <v>4560</v>
      </c>
      <c r="B34" s="484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6" t="str">
        <f>HYPERLINK("#N"&amp;ROW(N39),"_x0005_`BDCOD|X00269_x0007_`POSS|"&amp;ROW(N36)&amp;"_x0007_`POSE|"&amp;ROW(N39)&amp;"_x0007_`")</f>
        <v>_x0005_`BDCOD|X00269_x0007_`POSS|36_x0007_`POSE|39_x0007_`</v>
      </c>
    </row>
    <row r="35" spans="1:26" ht="33.200000000000003" customHeight="1">
      <c r="A35" s="469" t="s">
        <v>2407</v>
      </c>
      <c r="B35" s="469" t="s">
        <v>3156</v>
      </c>
      <c r="C35" s="487"/>
      <c r="D35" s="488" t="s">
        <v>2409</v>
      </c>
      <c r="E35" s="487"/>
      <c r="F35" s="487"/>
      <c r="G35" s="487"/>
      <c r="H35" s="487"/>
      <c r="I35" s="487"/>
      <c r="J35" s="487"/>
      <c r="K35" s="487"/>
      <c r="L35" s="487"/>
      <c r="M35" s="488" t="s">
        <v>4500</v>
      </c>
      <c r="O35" s="468" t="s">
        <v>4500</v>
      </c>
    </row>
    <row r="36" spans="1:26" ht="33.200000000000003" customHeight="1">
      <c r="A36" s="452" t="s">
        <v>2407</v>
      </c>
      <c r="B36" s="452" t="s">
        <v>3156</v>
      </c>
      <c r="C36" s="489">
        <v>0.20849999999999999</v>
      </c>
      <c r="D36" s="480" t="s">
        <v>4531</v>
      </c>
      <c r="E36" s="490">
        <f t="shared" ref="E36:F39" si="4">I36+G36+K36</f>
        <v>112342</v>
      </c>
      <c r="F36" s="491">
        <f t="shared" si="4"/>
        <v>23423.3</v>
      </c>
      <c r="G36" s="492">
        <v>0</v>
      </c>
      <c r="H36" s="491">
        <f>IF(C36=0,0,ROUNDDOWN(G36*C36,1))</f>
        <v>0</v>
      </c>
      <c r="I36" s="492">
        <v>0</v>
      </c>
      <c r="J36" s="493">
        <f>IF(C36=0,0,ROUNDDOWN(I36*C36,1))</f>
        <v>0</v>
      </c>
      <c r="K36" s="494">
        <f>경비목록표!E8</f>
        <v>112342</v>
      </c>
      <c r="L36" s="498">
        <f>IF(C36=0,0,ROUNDDOWN(K36*C36,1))</f>
        <v>23423.3</v>
      </c>
      <c r="M36" s="463" t="s">
        <v>4561</v>
      </c>
      <c r="N36" s="451" t="s">
        <v>4562</v>
      </c>
      <c r="O36" s="468" t="s">
        <v>4563</v>
      </c>
      <c r="P36" s="468" t="s">
        <v>2354</v>
      </c>
      <c r="Z36" s="433" t="str">
        <f ca="1">HYPERLINK("#"&amp;경비목록표!G2&amp;"!A"&amp;ROW(경비목록표!A8),"S00218 →")</f>
        <v>S00218 →</v>
      </c>
    </row>
    <row r="37" spans="1:26" ht="33.200000000000003" customHeight="1">
      <c r="A37" s="452" t="s">
        <v>4470</v>
      </c>
      <c r="B37" s="452"/>
      <c r="C37" s="489">
        <v>1</v>
      </c>
      <c r="D37" s="480" t="s">
        <v>585</v>
      </c>
      <c r="E37" s="490">
        <f t="shared" si="4"/>
        <v>59020.2</v>
      </c>
      <c r="F37" s="493">
        <f t="shared" si="4"/>
        <v>59020.2</v>
      </c>
      <c r="G37" s="494">
        <f>환율및기초자료!G6</f>
        <v>59020.2</v>
      </c>
      <c r="H37" s="495">
        <f>IF(C37=0,0,ROUNDDOWN(G37*C37,1))</f>
        <v>59020.2</v>
      </c>
      <c r="I37" s="492">
        <v>0</v>
      </c>
      <c r="J37" s="491">
        <f>IF(C37=0,0,ROUNDDOWN(I37*C37,1))</f>
        <v>0</v>
      </c>
      <c r="K37" s="492">
        <v>0</v>
      </c>
      <c r="L37" s="493">
        <f>IF(C37=0,0,ROUNDDOWN(K37*C37,1))</f>
        <v>0</v>
      </c>
      <c r="M37" s="463" t="s">
        <v>4548</v>
      </c>
      <c r="N37" s="451" t="s">
        <v>4549</v>
      </c>
      <c r="O37" s="468" t="s">
        <v>4550</v>
      </c>
      <c r="P37" s="468" t="s">
        <v>2354</v>
      </c>
      <c r="Z37" s="433" t="str">
        <f ca="1">HYPERLINK("#"&amp;환율및기초자료!I2&amp;"!A"&amp;ROW(환율및기초자료!A6),"L00190 →")</f>
        <v>L00190 →</v>
      </c>
    </row>
    <row r="38" spans="1:26" ht="33.200000000000003" customHeight="1">
      <c r="A38" s="452" t="s">
        <v>4485</v>
      </c>
      <c r="B38" s="452" t="s">
        <v>4486</v>
      </c>
      <c r="C38" s="489">
        <v>10.199999999999999</v>
      </c>
      <c r="D38" s="480" t="s">
        <v>2840</v>
      </c>
      <c r="E38" s="490">
        <f t="shared" si="4"/>
        <v>1379</v>
      </c>
      <c r="F38" s="491">
        <f t="shared" si="4"/>
        <v>14065.8</v>
      </c>
      <c r="G38" s="492">
        <v>0</v>
      </c>
      <c r="H38" s="493">
        <f>IF(C38=0,0,ROUNDDOWN(G38*C38,1))</f>
        <v>0</v>
      </c>
      <c r="I38" s="494">
        <f>재료비목록표!E10</f>
        <v>1379</v>
      </c>
      <c r="J38" s="495">
        <f>IF(C38=0,0,ROUNDDOWN(I38*C38,1))</f>
        <v>14065.8</v>
      </c>
      <c r="K38" s="492">
        <v>0</v>
      </c>
      <c r="L38" s="493">
        <f>IF(C38=0,0,ROUNDDOWN(K38*C38,1))</f>
        <v>0</v>
      </c>
      <c r="M38" s="463" t="s">
        <v>4538</v>
      </c>
      <c r="N38" s="451" t="s">
        <v>4539</v>
      </c>
      <c r="O38" s="468" t="s">
        <v>4540</v>
      </c>
      <c r="P38" s="468" t="s">
        <v>2354</v>
      </c>
      <c r="Q38" s="468" t="s">
        <v>2355</v>
      </c>
      <c r="Z38" s="433" t="str">
        <f ca="1">HYPERLINK("#"&amp;재료비목록표!G2&amp;"!A"&amp;ROW(재료비목록표!A10),"M00874 →")</f>
        <v>M00874 →</v>
      </c>
    </row>
    <row r="39" spans="1:26" ht="33.200000000000003" customHeight="1">
      <c r="A39" s="452" t="s">
        <v>4541</v>
      </c>
      <c r="B39" s="452" t="s">
        <v>4542</v>
      </c>
      <c r="C39" s="489">
        <v>22</v>
      </c>
      <c r="D39" s="480" t="s">
        <v>2371</v>
      </c>
      <c r="E39" s="490">
        <f t="shared" si="4"/>
        <v>14065.8</v>
      </c>
      <c r="F39" s="491">
        <f t="shared" si="4"/>
        <v>3094.4</v>
      </c>
      <c r="G39" s="465">
        <v>0</v>
      </c>
      <c r="H39" s="491">
        <f>IF(C39=0,0,ROUNDDOWN(G39*C39/100,1))</f>
        <v>0</v>
      </c>
      <c r="I39" s="496">
        <f>J38</f>
        <v>14065.8</v>
      </c>
      <c r="J39" s="493">
        <f>IF(C39=0,0,ROUNDDOWN(I39*C39/100,1))</f>
        <v>3094.4</v>
      </c>
      <c r="K39" s="467">
        <v>0</v>
      </c>
      <c r="L39" s="493">
        <f>IF(C39=0,0,ROUNDDOWN(K39*C39/100,1))</f>
        <v>0</v>
      </c>
      <c r="M39" s="463"/>
      <c r="N39" s="451" t="s">
        <v>4543</v>
      </c>
      <c r="O39" s="468" t="s">
        <v>2373</v>
      </c>
      <c r="P39" s="468" t="s">
        <v>2354</v>
      </c>
    </row>
    <row r="40" spans="1:26" ht="33.200000000000003" customHeight="1">
      <c r="A40" s="463" t="s">
        <v>842</v>
      </c>
      <c r="B40" s="497"/>
      <c r="C40" s="497"/>
      <c r="D40" s="497"/>
      <c r="E40" s="497"/>
      <c r="F40" s="446">
        <f>J40+H40+L40</f>
        <v>99603</v>
      </c>
      <c r="G40" s="497"/>
      <c r="H40" s="446">
        <f>ROUNDDOWN(SUMIF(P36:P39,O40,H36:H39),0)</f>
        <v>59020</v>
      </c>
      <c r="I40" s="497"/>
      <c r="J40" s="446">
        <f>ROUNDDOWN(SUMIF(P36:P39,O40,J36:J39),0)</f>
        <v>17160</v>
      </c>
      <c r="K40" s="497"/>
      <c r="L40" s="446">
        <f>ROUNDDOWN(SUMIF(P36:P39,O40,L36:L39),0)</f>
        <v>23423</v>
      </c>
      <c r="M40" s="497"/>
      <c r="O40" s="468" t="s">
        <v>2354</v>
      </c>
    </row>
    <row r="41" spans="1:26" ht="33.200000000000003" customHeight="1">
      <c r="A41" s="484" t="s">
        <v>4564</v>
      </c>
      <c r="B41" s="484"/>
      <c r="C41" s="485"/>
      <c r="D41" s="485"/>
      <c r="E41" s="485"/>
      <c r="F41" s="485"/>
      <c r="G41" s="485"/>
      <c r="H41" s="485"/>
      <c r="I41" s="485"/>
      <c r="J41" s="485"/>
      <c r="K41" s="485"/>
      <c r="L41" s="485"/>
      <c r="M41" s="485"/>
      <c r="N41" s="486" t="str">
        <f>HYPERLINK("#N"&amp;ROW(N47),"_x0005_`BDCOD|X00329_x0007_`POSS|"&amp;ROW(N43)&amp;"_x0007_`POSE|"&amp;ROW(N47)&amp;"_x0007_`")</f>
        <v>_x0005_`BDCOD|X00329_x0007_`POSS|43_x0007_`POSE|47_x0007_`</v>
      </c>
    </row>
    <row r="42" spans="1:26" ht="33.200000000000003" customHeight="1">
      <c r="A42" s="469" t="s">
        <v>2407</v>
      </c>
      <c r="B42" s="469" t="s">
        <v>4503</v>
      </c>
      <c r="C42" s="487"/>
      <c r="D42" s="488" t="s">
        <v>2409</v>
      </c>
      <c r="E42" s="487"/>
      <c r="F42" s="487"/>
      <c r="G42" s="487"/>
      <c r="H42" s="487"/>
      <c r="I42" s="487"/>
      <c r="J42" s="487"/>
      <c r="K42" s="487"/>
      <c r="L42" s="487"/>
      <c r="M42" s="488" t="s">
        <v>4502</v>
      </c>
      <c r="O42" s="468" t="s">
        <v>4502</v>
      </c>
    </row>
    <row r="43" spans="1:26" ht="33.200000000000003" customHeight="1">
      <c r="A43" s="452" t="s">
        <v>2407</v>
      </c>
      <c r="B43" s="452" t="s">
        <v>3156</v>
      </c>
      <c r="C43" s="489">
        <v>0.20849999999999999</v>
      </c>
      <c r="D43" s="480" t="s">
        <v>4531</v>
      </c>
      <c r="E43" s="490">
        <f t="shared" ref="E43:F47" si="5">I43+G43+K43</f>
        <v>112342</v>
      </c>
      <c r="F43" s="491">
        <f t="shared" si="5"/>
        <v>23423.3</v>
      </c>
      <c r="G43" s="492">
        <v>0</v>
      </c>
      <c r="H43" s="491">
        <f>IF(C43=0,0,ROUNDDOWN(G43*C43,1))</f>
        <v>0</v>
      </c>
      <c r="I43" s="492">
        <v>0</v>
      </c>
      <c r="J43" s="493">
        <f>IF(C43=0,0,ROUNDDOWN(I43*C43,1))</f>
        <v>0</v>
      </c>
      <c r="K43" s="494">
        <f>경비목록표!E8</f>
        <v>112342</v>
      </c>
      <c r="L43" s="498">
        <f>IF(C43=0,0,ROUNDDOWN(K43*C43,1))</f>
        <v>23423.3</v>
      </c>
      <c r="M43" s="463" t="s">
        <v>4561</v>
      </c>
      <c r="N43" s="451" t="s">
        <v>4562</v>
      </c>
      <c r="O43" s="468" t="s">
        <v>4563</v>
      </c>
      <c r="P43" s="468" t="s">
        <v>2354</v>
      </c>
      <c r="Z43" s="433" t="str">
        <f ca="1">HYPERLINK("#"&amp;경비목록표!G2&amp;"!A"&amp;ROW(경비목록표!A8),"S00218 →")</f>
        <v>S00218 →</v>
      </c>
    </row>
    <row r="44" spans="1:26" ht="33.200000000000003" customHeight="1">
      <c r="A44" s="452" t="s">
        <v>4552</v>
      </c>
      <c r="B44" s="452" t="s">
        <v>4565</v>
      </c>
      <c r="C44" s="489">
        <v>0.74350000000000005</v>
      </c>
      <c r="D44" s="480" t="s">
        <v>4531</v>
      </c>
      <c r="E44" s="490">
        <f t="shared" si="5"/>
        <v>7783</v>
      </c>
      <c r="F44" s="491">
        <f t="shared" si="5"/>
        <v>5786.6</v>
      </c>
      <c r="G44" s="492">
        <v>0</v>
      </c>
      <c r="H44" s="491">
        <f>IF(C44=0,0,ROUNDDOWN(G44*C44,1))</f>
        <v>0</v>
      </c>
      <c r="I44" s="492">
        <v>0</v>
      </c>
      <c r="J44" s="493">
        <f>IF(C44=0,0,ROUNDDOWN(I44*C44,1))</f>
        <v>0</v>
      </c>
      <c r="K44" s="494">
        <f>경비목록표!E18</f>
        <v>7783</v>
      </c>
      <c r="L44" s="498">
        <f>IF(C44=0,0,ROUNDDOWN(K44*C44,1))</f>
        <v>5786.6</v>
      </c>
      <c r="M44" s="463" t="s">
        <v>4566</v>
      </c>
      <c r="N44" s="451" t="s">
        <v>4567</v>
      </c>
      <c r="O44" s="468" t="s">
        <v>4568</v>
      </c>
      <c r="P44" s="468" t="s">
        <v>2354</v>
      </c>
      <c r="Z44" s="433" t="str">
        <f ca="1">HYPERLINK("#"&amp;경비목록표!G2&amp;"!A"&amp;ROW(경비목록표!A18),"S00296 →")</f>
        <v>S00296 →</v>
      </c>
    </row>
    <row r="45" spans="1:26" ht="33.200000000000003" customHeight="1">
      <c r="A45" s="452" t="s">
        <v>4470</v>
      </c>
      <c r="B45" s="452"/>
      <c r="C45" s="489">
        <v>1</v>
      </c>
      <c r="D45" s="480" t="s">
        <v>585</v>
      </c>
      <c r="E45" s="490">
        <f t="shared" si="5"/>
        <v>59020.2</v>
      </c>
      <c r="F45" s="493">
        <f t="shared" si="5"/>
        <v>59020.2</v>
      </c>
      <c r="G45" s="494">
        <f>환율및기초자료!G6</f>
        <v>59020.2</v>
      </c>
      <c r="H45" s="495">
        <f>IF(C45=0,0,ROUNDDOWN(G45*C45,1))</f>
        <v>59020.2</v>
      </c>
      <c r="I45" s="492">
        <v>0</v>
      </c>
      <c r="J45" s="491">
        <f>IF(C45=0,0,ROUNDDOWN(I45*C45,1))</f>
        <v>0</v>
      </c>
      <c r="K45" s="492">
        <v>0</v>
      </c>
      <c r="L45" s="493">
        <f>IF(C45=0,0,ROUNDDOWN(K45*C45,1))</f>
        <v>0</v>
      </c>
      <c r="M45" s="463" t="s">
        <v>4548</v>
      </c>
      <c r="N45" s="451" t="s">
        <v>4549</v>
      </c>
      <c r="O45" s="468" t="s">
        <v>4550</v>
      </c>
      <c r="P45" s="468" t="s">
        <v>2354</v>
      </c>
      <c r="Z45" s="433" t="str">
        <f ca="1">HYPERLINK("#"&amp;환율및기초자료!I2&amp;"!A"&amp;ROW(환율및기초자료!A6),"L00190 →")</f>
        <v>L00190 →</v>
      </c>
    </row>
    <row r="46" spans="1:26" ht="33.200000000000003" customHeight="1">
      <c r="A46" s="452" t="s">
        <v>4485</v>
      </c>
      <c r="B46" s="452" t="s">
        <v>4486</v>
      </c>
      <c r="C46" s="489">
        <v>10.199999999999999</v>
      </c>
      <c r="D46" s="480" t="s">
        <v>2840</v>
      </c>
      <c r="E46" s="490">
        <f t="shared" si="5"/>
        <v>1379</v>
      </c>
      <c r="F46" s="491">
        <f t="shared" si="5"/>
        <v>14065.8</v>
      </c>
      <c r="G46" s="492">
        <v>0</v>
      </c>
      <c r="H46" s="493">
        <f>IF(C46=0,0,ROUNDDOWN(G46*C46,1))</f>
        <v>0</v>
      </c>
      <c r="I46" s="494">
        <f>재료비목록표!E10</f>
        <v>1379</v>
      </c>
      <c r="J46" s="495">
        <f>IF(C46=0,0,ROUNDDOWN(I46*C46,1))</f>
        <v>14065.8</v>
      </c>
      <c r="K46" s="492">
        <v>0</v>
      </c>
      <c r="L46" s="493">
        <f>IF(C46=0,0,ROUNDDOWN(K46*C46,1))</f>
        <v>0</v>
      </c>
      <c r="M46" s="463" t="s">
        <v>4538</v>
      </c>
      <c r="N46" s="451" t="s">
        <v>4539</v>
      </c>
      <c r="O46" s="468" t="s">
        <v>4540</v>
      </c>
      <c r="P46" s="468" t="s">
        <v>2354</v>
      </c>
      <c r="Q46" s="468" t="s">
        <v>2355</v>
      </c>
      <c r="Z46" s="433" t="str">
        <f ca="1">HYPERLINK("#"&amp;재료비목록표!G2&amp;"!A"&amp;ROW(재료비목록표!A10),"M00874 →")</f>
        <v>M00874 →</v>
      </c>
    </row>
    <row r="47" spans="1:26" ht="33.200000000000003" customHeight="1">
      <c r="A47" s="452" t="s">
        <v>4541</v>
      </c>
      <c r="B47" s="452" t="s">
        <v>4542</v>
      </c>
      <c r="C47" s="489">
        <v>22</v>
      </c>
      <c r="D47" s="480" t="s">
        <v>2371</v>
      </c>
      <c r="E47" s="490">
        <f t="shared" si="5"/>
        <v>14065.8</v>
      </c>
      <c r="F47" s="491">
        <f t="shared" si="5"/>
        <v>3094.4</v>
      </c>
      <c r="G47" s="465">
        <v>0</v>
      </c>
      <c r="H47" s="491">
        <f>IF(C47=0,0,ROUNDDOWN(G47*C47/100,1))</f>
        <v>0</v>
      </c>
      <c r="I47" s="496">
        <f>J46</f>
        <v>14065.8</v>
      </c>
      <c r="J47" s="493">
        <f>IF(C47=0,0,ROUNDDOWN(I47*C47/100,1))</f>
        <v>3094.4</v>
      </c>
      <c r="K47" s="467">
        <v>0</v>
      </c>
      <c r="L47" s="493">
        <f>IF(C47=0,0,ROUNDDOWN(K47*C47/100,1))</f>
        <v>0</v>
      </c>
      <c r="M47" s="463"/>
      <c r="N47" s="451" t="s">
        <v>4543</v>
      </c>
      <c r="O47" s="468" t="s">
        <v>2373</v>
      </c>
      <c r="P47" s="468" t="s">
        <v>2354</v>
      </c>
    </row>
    <row r="48" spans="1:26" ht="33.200000000000003" customHeight="1">
      <c r="A48" s="463" t="s">
        <v>842</v>
      </c>
      <c r="B48" s="497"/>
      <c r="C48" s="497"/>
      <c r="D48" s="497"/>
      <c r="E48" s="497"/>
      <c r="F48" s="446">
        <f>J48+H48+L48</f>
        <v>105389</v>
      </c>
      <c r="G48" s="497"/>
      <c r="H48" s="446">
        <f>ROUNDDOWN(SUMIF(P43:P47,O48,H43:H47),0)</f>
        <v>59020</v>
      </c>
      <c r="I48" s="497"/>
      <c r="J48" s="446">
        <f>ROUNDDOWN(SUMIF(P43:P47,O48,J43:J47),0)</f>
        <v>17160</v>
      </c>
      <c r="K48" s="497"/>
      <c r="L48" s="446">
        <f>ROUNDDOWN(SUMIF(P43:P47,O48,L43:L47),0)</f>
        <v>29209</v>
      </c>
      <c r="M48" s="497"/>
      <c r="O48" s="468" t="s">
        <v>2354</v>
      </c>
    </row>
    <row r="49" spans="1:26" ht="33.200000000000003" customHeight="1">
      <c r="A49" s="484" t="s">
        <v>4569</v>
      </c>
      <c r="B49" s="484"/>
      <c r="C49" s="485"/>
      <c r="D49" s="485"/>
      <c r="E49" s="485"/>
      <c r="F49" s="485"/>
      <c r="G49" s="485"/>
      <c r="H49" s="485"/>
      <c r="I49" s="485"/>
      <c r="J49" s="485"/>
      <c r="K49" s="485"/>
      <c r="L49" s="485"/>
      <c r="M49" s="485"/>
      <c r="N49" s="486" t="str">
        <f>HYPERLINK("#N"&amp;ROW(N54),"_x0005_`BDCOD|X00262_x0007_`POSS|"&amp;ROW(N51)&amp;"_x0007_`POSE|"&amp;ROW(N54)&amp;"_x0007_`")</f>
        <v>_x0005_`BDCOD|X00262_x0007_`POSS|51_x0007_`POSE|54_x0007_`</v>
      </c>
    </row>
    <row r="50" spans="1:26" ht="33.200000000000003" customHeight="1">
      <c r="A50" s="469" t="s">
        <v>2407</v>
      </c>
      <c r="B50" s="469" t="s">
        <v>3161</v>
      </c>
      <c r="C50" s="487"/>
      <c r="D50" s="488" t="s">
        <v>2409</v>
      </c>
      <c r="E50" s="487"/>
      <c r="F50" s="487"/>
      <c r="G50" s="487"/>
      <c r="H50" s="487"/>
      <c r="I50" s="487"/>
      <c r="J50" s="487"/>
      <c r="K50" s="487"/>
      <c r="L50" s="487"/>
      <c r="M50" s="488" t="s">
        <v>4504</v>
      </c>
      <c r="O50" s="468" t="s">
        <v>4504</v>
      </c>
    </row>
    <row r="51" spans="1:26" ht="33.200000000000003" customHeight="1">
      <c r="A51" s="452" t="s">
        <v>2407</v>
      </c>
      <c r="B51" s="452" t="s">
        <v>3161</v>
      </c>
      <c r="C51" s="489">
        <v>0.20849999999999999</v>
      </c>
      <c r="D51" s="480" t="s">
        <v>4531</v>
      </c>
      <c r="E51" s="490">
        <f t="shared" ref="E51:F54" si="6">I51+G51+K51</f>
        <v>117766</v>
      </c>
      <c r="F51" s="491">
        <f t="shared" si="6"/>
        <v>24554.2</v>
      </c>
      <c r="G51" s="492">
        <v>0</v>
      </c>
      <c r="H51" s="491">
        <f>IF(C51=0,0,ROUNDDOWN(G51*C51,1))</f>
        <v>0</v>
      </c>
      <c r="I51" s="492">
        <v>0</v>
      </c>
      <c r="J51" s="493">
        <f>IF(C51=0,0,ROUNDDOWN(I51*C51,1))</f>
        <v>0</v>
      </c>
      <c r="K51" s="494">
        <f>경비목록표!E9</f>
        <v>117766</v>
      </c>
      <c r="L51" s="498">
        <f>IF(C51=0,0,ROUNDDOWN(K51*C51,1))</f>
        <v>24554.2</v>
      </c>
      <c r="M51" s="463" t="s">
        <v>4570</v>
      </c>
      <c r="N51" s="451" t="s">
        <v>4571</v>
      </c>
      <c r="O51" s="468" t="s">
        <v>4572</v>
      </c>
      <c r="P51" s="468" t="s">
        <v>2354</v>
      </c>
      <c r="Z51" s="433" t="str">
        <f ca="1">HYPERLINK("#"&amp;경비목록표!G2&amp;"!A"&amp;ROW(경비목록표!A9),"S00210 →")</f>
        <v>S00210 →</v>
      </c>
    </row>
    <row r="52" spans="1:26" ht="33.200000000000003" customHeight="1">
      <c r="A52" s="452" t="s">
        <v>4470</v>
      </c>
      <c r="B52" s="452"/>
      <c r="C52" s="489">
        <v>1</v>
      </c>
      <c r="D52" s="480" t="s">
        <v>585</v>
      </c>
      <c r="E52" s="490">
        <f t="shared" si="6"/>
        <v>59020.2</v>
      </c>
      <c r="F52" s="493">
        <f t="shared" si="6"/>
        <v>59020.2</v>
      </c>
      <c r="G52" s="494">
        <f>환율및기초자료!G6</f>
        <v>59020.2</v>
      </c>
      <c r="H52" s="495">
        <f>IF(C52=0,0,ROUNDDOWN(G52*C52,1))</f>
        <v>59020.2</v>
      </c>
      <c r="I52" s="492">
        <v>0</v>
      </c>
      <c r="J52" s="491">
        <f>IF(C52=0,0,ROUNDDOWN(I52*C52,1))</f>
        <v>0</v>
      </c>
      <c r="K52" s="492">
        <v>0</v>
      </c>
      <c r="L52" s="493">
        <f>IF(C52=0,0,ROUNDDOWN(K52*C52,1))</f>
        <v>0</v>
      </c>
      <c r="M52" s="463" t="s">
        <v>4548</v>
      </c>
      <c r="N52" s="451" t="s">
        <v>4549</v>
      </c>
      <c r="O52" s="468" t="s">
        <v>4550</v>
      </c>
      <c r="P52" s="468" t="s">
        <v>2354</v>
      </c>
      <c r="Z52" s="433" t="str">
        <f ca="1">HYPERLINK("#"&amp;환율및기초자료!I2&amp;"!A"&amp;ROW(환율및기초자료!A6),"L00190 →")</f>
        <v>L00190 →</v>
      </c>
    </row>
    <row r="53" spans="1:26" ht="33.200000000000003" customHeight="1">
      <c r="A53" s="452" t="s">
        <v>4485</v>
      </c>
      <c r="B53" s="452" t="s">
        <v>4486</v>
      </c>
      <c r="C53" s="489">
        <v>11.6</v>
      </c>
      <c r="D53" s="480" t="s">
        <v>2840</v>
      </c>
      <c r="E53" s="490">
        <f t="shared" si="6"/>
        <v>1379</v>
      </c>
      <c r="F53" s="491">
        <f t="shared" si="6"/>
        <v>15996.4</v>
      </c>
      <c r="G53" s="492">
        <v>0</v>
      </c>
      <c r="H53" s="493">
        <f>IF(C53=0,0,ROUNDDOWN(G53*C53,1))</f>
        <v>0</v>
      </c>
      <c r="I53" s="494">
        <f>재료비목록표!E10</f>
        <v>1379</v>
      </c>
      <c r="J53" s="495">
        <f>IF(C53=0,0,ROUNDDOWN(I53*C53,1))</f>
        <v>15996.4</v>
      </c>
      <c r="K53" s="492">
        <v>0</v>
      </c>
      <c r="L53" s="493">
        <f>IF(C53=0,0,ROUNDDOWN(K53*C53,1))</f>
        <v>0</v>
      </c>
      <c r="M53" s="463" t="s">
        <v>4538</v>
      </c>
      <c r="N53" s="451" t="s">
        <v>4539</v>
      </c>
      <c r="O53" s="468" t="s">
        <v>4540</v>
      </c>
      <c r="P53" s="468" t="s">
        <v>2354</v>
      </c>
      <c r="Q53" s="468" t="s">
        <v>2355</v>
      </c>
      <c r="Z53" s="433" t="str">
        <f ca="1">HYPERLINK("#"&amp;재료비목록표!G2&amp;"!A"&amp;ROW(재료비목록표!A10),"M00874 →")</f>
        <v>M00874 →</v>
      </c>
    </row>
    <row r="54" spans="1:26" ht="33.200000000000003" customHeight="1">
      <c r="A54" s="452" t="s">
        <v>4541</v>
      </c>
      <c r="B54" s="452" t="s">
        <v>4542</v>
      </c>
      <c r="C54" s="489">
        <v>22</v>
      </c>
      <c r="D54" s="480" t="s">
        <v>2371</v>
      </c>
      <c r="E54" s="490">
        <f t="shared" si="6"/>
        <v>15996.4</v>
      </c>
      <c r="F54" s="491">
        <f t="shared" si="6"/>
        <v>3519.2</v>
      </c>
      <c r="G54" s="465">
        <v>0</v>
      </c>
      <c r="H54" s="491">
        <f>IF(C54=0,0,ROUNDDOWN(G54*C54/100,1))</f>
        <v>0</v>
      </c>
      <c r="I54" s="496">
        <f>J53</f>
        <v>15996.4</v>
      </c>
      <c r="J54" s="493">
        <f>IF(C54=0,0,ROUNDDOWN(I54*C54/100,1))</f>
        <v>3519.2</v>
      </c>
      <c r="K54" s="467">
        <v>0</v>
      </c>
      <c r="L54" s="493">
        <f>IF(C54=0,0,ROUNDDOWN(K54*C54/100,1))</f>
        <v>0</v>
      </c>
      <c r="M54" s="463"/>
      <c r="N54" s="451" t="s">
        <v>4543</v>
      </c>
      <c r="O54" s="468" t="s">
        <v>2373</v>
      </c>
      <c r="P54" s="468" t="s">
        <v>2354</v>
      </c>
    </row>
    <row r="55" spans="1:26" ht="33.200000000000003" customHeight="1">
      <c r="A55" s="463" t="s">
        <v>842</v>
      </c>
      <c r="B55" s="497"/>
      <c r="C55" s="497"/>
      <c r="D55" s="497"/>
      <c r="E55" s="497"/>
      <c r="F55" s="446">
        <f>J55+H55+L55</f>
        <v>103089</v>
      </c>
      <c r="G55" s="497"/>
      <c r="H55" s="446">
        <f>ROUNDDOWN(SUMIF(P51:P54,O55,H51:H54),0)</f>
        <v>59020</v>
      </c>
      <c r="I55" s="497"/>
      <c r="J55" s="446">
        <f>ROUNDDOWN(SUMIF(P51:P54,O55,J51:J54),0)</f>
        <v>19515</v>
      </c>
      <c r="K55" s="497"/>
      <c r="L55" s="446">
        <f>ROUNDDOWN(SUMIF(P51:P54,O55,L51:L54),0)</f>
        <v>24554</v>
      </c>
      <c r="M55" s="497"/>
      <c r="O55" s="468" t="s">
        <v>2354</v>
      </c>
    </row>
    <row r="56" spans="1:26" ht="33.200000000000003" customHeight="1">
      <c r="A56" s="484" t="s">
        <v>4573</v>
      </c>
      <c r="B56" s="484"/>
      <c r="C56" s="485"/>
      <c r="D56" s="485"/>
      <c r="E56" s="485"/>
      <c r="F56" s="485"/>
      <c r="G56" s="485"/>
      <c r="H56" s="485"/>
      <c r="I56" s="485"/>
      <c r="J56" s="485"/>
      <c r="K56" s="485"/>
      <c r="L56" s="485"/>
      <c r="M56" s="485"/>
      <c r="N56" s="486" t="str">
        <f>HYPERLINK("#N"&amp;ROW(N61),"_x0005_`BDCOD|X00292_x0007_`POSS|"&amp;ROW(N58)&amp;"_x0007_`POSE|"&amp;ROW(N61)&amp;"_x0007_`")</f>
        <v>_x0005_`BDCOD|X00292_x0007_`POSS|58_x0007_`POSE|61_x0007_`</v>
      </c>
    </row>
    <row r="57" spans="1:26" ht="33.200000000000003" customHeight="1">
      <c r="A57" s="469" t="s">
        <v>2407</v>
      </c>
      <c r="B57" s="469" t="s">
        <v>2520</v>
      </c>
      <c r="C57" s="487"/>
      <c r="D57" s="488" t="s">
        <v>2409</v>
      </c>
      <c r="E57" s="487"/>
      <c r="F57" s="487"/>
      <c r="G57" s="487"/>
      <c r="H57" s="487"/>
      <c r="I57" s="487"/>
      <c r="J57" s="487"/>
      <c r="K57" s="487"/>
      <c r="L57" s="487"/>
      <c r="M57" s="488" t="s">
        <v>4505</v>
      </c>
      <c r="O57" s="468" t="s">
        <v>4505</v>
      </c>
    </row>
    <row r="58" spans="1:26" ht="33.200000000000003" customHeight="1">
      <c r="A58" s="452" t="s">
        <v>2407</v>
      </c>
      <c r="B58" s="452" t="s">
        <v>2520</v>
      </c>
      <c r="C58" s="489">
        <v>0.20849999999999999</v>
      </c>
      <c r="D58" s="480" t="s">
        <v>4531</v>
      </c>
      <c r="E58" s="490">
        <f t="shared" ref="E58:F61" si="7">I58+G58+K58</f>
        <v>129586</v>
      </c>
      <c r="F58" s="491">
        <f t="shared" si="7"/>
        <v>27018.6</v>
      </c>
      <c r="G58" s="492">
        <v>0</v>
      </c>
      <c r="H58" s="491">
        <f>IF(C58=0,0,ROUNDDOWN(G58*C58,1))</f>
        <v>0</v>
      </c>
      <c r="I58" s="492">
        <v>0</v>
      </c>
      <c r="J58" s="493">
        <f>IF(C58=0,0,ROUNDDOWN(I58*C58,1))</f>
        <v>0</v>
      </c>
      <c r="K58" s="494">
        <f>경비목록표!E10</f>
        <v>129586</v>
      </c>
      <c r="L58" s="498">
        <f>IF(C58=0,0,ROUNDDOWN(K58*C58,1))</f>
        <v>27018.6</v>
      </c>
      <c r="M58" s="463" t="s">
        <v>4574</v>
      </c>
      <c r="N58" s="451" t="s">
        <v>4575</v>
      </c>
      <c r="O58" s="468" t="s">
        <v>4576</v>
      </c>
      <c r="P58" s="468" t="s">
        <v>2354</v>
      </c>
      <c r="Z58" s="433" t="str">
        <f ca="1">HYPERLINK("#"&amp;경비목록표!G2&amp;"!A"&amp;ROW(경비목록표!A10),"S00256 →")</f>
        <v>S00256 →</v>
      </c>
    </row>
    <row r="59" spans="1:26" ht="33.200000000000003" customHeight="1">
      <c r="A59" s="452" t="s">
        <v>4470</v>
      </c>
      <c r="B59" s="452"/>
      <c r="C59" s="489">
        <v>1</v>
      </c>
      <c r="D59" s="480" t="s">
        <v>585</v>
      </c>
      <c r="E59" s="490">
        <f t="shared" si="7"/>
        <v>59020.2</v>
      </c>
      <c r="F59" s="493">
        <f t="shared" si="7"/>
        <v>59020.2</v>
      </c>
      <c r="G59" s="494">
        <f>환율및기초자료!G6</f>
        <v>59020.2</v>
      </c>
      <c r="H59" s="495">
        <f>IF(C59=0,0,ROUNDDOWN(G59*C59,1))</f>
        <v>59020.2</v>
      </c>
      <c r="I59" s="492">
        <v>0</v>
      </c>
      <c r="J59" s="491">
        <f>IF(C59=0,0,ROUNDDOWN(I59*C59,1))</f>
        <v>0</v>
      </c>
      <c r="K59" s="492">
        <v>0</v>
      </c>
      <c r="L59" s="493">
        <f>IF(C59=0,0,ROUNDDOWN(K59*C59,1))</f>
        <v>0</v>
      </c>
      <c r="M59" s="463" t="s">
        <v>4548</v>
      </c>
      <c r="N59" s="451" t="s">
        <v>4549</v>
      </c>
      <c r="O59" s="468" t="s">
        <v>4550</v>
      </c>
      <c r="P59" s="468" t="s">
        <v>2354</v>
      </c>
      <c r="Z59" s="433" t="str">
        <f ca="1">HYPERLINK("#"&amp;환율및기초자료!I2&amp;"!A"&amp;ROW(환율및기초자료!A6),"L00190 →")</f>
        <v>L00190 →</v>
      </c>
    </row>
    <row r="60" spans="1:26" ht="33.200000000000003" customHeight="1">
      <c r="A60" s="452" t="s">
        <v>4485</v>
      </c>
      <c r="B60" s="452" t="s">
        <v>4486</v>
      </c>
      <c r="C60" s="489">
        <v>15.3</v>
      </c>
      <c r="D60" s="480" t="s">
        <v>2840</v>
      </c>
      <c r="E60" s="490">
        <f t="shared" si="7"/>
        <v>1379</v>
      </c>
      <c r="F60" s="491">
        <f t="shared" si="7"/>
        <v>21098.7</v>
      </c>
      <c r="G60" s="492">
        <v>0</v>
      </c>
      <c r="H60" s="493">
        <f>IF(C60=0,0,ROUNDDOWN(G60*C60,1))</f>
        <v>0</v>
      </c>
      <c r="I60" s="494">
        <f>재료비목록표!E10</f>
        <v>1379</v>
      </c>
      <c r="J60" s="495">
        <f>IF(C60=0,0,ROUNDDOWN(I60*C60,1))</f>
        <v>21098.7</v>
      </c>
      <c r="K60" s="492">
        <v>0</v>
      </c>
      <c r="L60" s="493">
        <f>IF(C60=0,0,ROUNDDOWN(K60*C60,1))</f>
        <v>0</v>
      </c>
      <c r="M60" s="463" t="s">
        <v>4538</v>
      </c>
      <c r="N60" s="451" t="s">
        <v>4539</v>
      </c>
      <c r="O60" s="468" t="s">
        <v>4540</v>
      </c>
      <c r="P60" s="468" t="s">
        <v>2354</v>
      </c>
      <c r="Q60" s="468" t="s">
        <v>2355</v>
      </c>
      <c r="Z60" s="433" t="str">
        <f ca="1">HYPERLINK("#"&amp;재료비목록표!G2&amp;"!A"&amp;ROW(재료비목록표!A10),"M00874 →")</f>
        <v>M00874 →</v>
      </c>
    </row>
    <row r="61" spans="1:26" ht="33.200000000000003" customHeight="1">
      <c r="A61" s="452" t="s">
        <v>4541</v>
      </c>
      <c r="B61" s="452" t="s">
        <v>4542</v>
      </c>
      <c r="C61" s="489">
        <v>22</v>
      </c>
      <c r="D61" s="480" t="s">
        <v>2371</v>
      </c>
      <c r="E61" s="490">
        <f t="shared" si="7"/>
        <v>21098.7</v>
      </c>
      <c r="F61" s="491">
        <f t="shared" si="7"/>
        <v>4641.7</v>
      </c>
      <c r="G61" s="465">
        <v>0</v>
      </c>
      <c r="H61" s="491">
        <f>IF(C61=0,0,ROUNDDOWN(G61*C61/100,1))</f>
        <v>0</v>
      </c>
      <c r="I61" s="496">
        <f>J60</f>
        <v>21098.7</v>
      </c>
      <c r="J61" s="493">
        <f>IF(C61=0,0,ROUNDDOWN(I61*C61/100,1))</f>
        <v>4641.7</v>
      </c>
      <c r="K61" s="467">
        <v>0</v>
      </c>
      <c r="L61" s="493">
        <f>IF(C61=0,0,ROUNDDOWN(K61*C61/100,1))</f>
        <v>0</v>
      </c>
      <c r="M61" s="463"/>
      <c r="N61" s="451" t="s">
        <v>4543</v>
      </c>
      <c r="O61" s="468" t="s">
        <v>2373</v>
      </c>
      <c r="P61" s="468" t="s">
        <v>2354</v>
      </c>
    </row>
    <row r="62" spans="1:26" ht="33.200000000000003" customHeight="1">
      <c r="A62" s="463" t="s">
        <v>842</v>
      </c>
      <c r="B62" s="497"/>
      <c r="C62" s="497"/>
      <c r="D62" s="497"/>
      <c r="E62" s="497"/>
      <c r="F62" s="446">
        <f>J62+H62+L62</f>
        <v>111778</v>
      </c>
      <c r="G62" s="497"/>
      <c r="H62" s="446">
        <f>ROUNDDOWN(SUMIF(P58:P61,O62,H58:H61),0)</f>
        <v>59020</v>
      </c>
      <c r="I62" s="497"/>
      <c r="J62" s="446">
        <f>ROUNDDOWN(SUMIF(P58:P61,O62,J58:J61),0)</f>
        <v>25740</v>
      </c>
      <c r="K62" s="497"/>
      <c r="L62" s="446">
        <f>ROUNDDOWN(SUMIF(P58:P61,O62,L58:L61),0)</f>
        <v>27018</v>
      </c>
      <c r="M62" s="497"/>
      <c r="O62" s="468" t="s">
        <v>2354</v>
      </c>
    </row>
    <row r="63" spans="1:26" ht="33.200000000000003" customHeight="1">
      <c r="A63" s="484" t="s">
        <v>4577</v>
      </c>
      <c r="B63" s="484"/>
      <c r="C63" s="485"/>
      <c r="D63" s="485"/>
      <c r="E63" s="485"/>
      <c r="F63" s="485"/>
      <c r="G63" s="485"/>
      <c r="H63" s="485"/>
      <c r="I63" s="485"/>
      <c r="J63" s="485"/>
      <c r="K63" s="485"/>
      <c r="L63" s="485"/>
      <c r="M63" s="485"/>
      <c r="N63" s="486" t="str">
        <f>HYPERLINK("#N"&amp;ROW(N68),"_x0005_`BDCOD|X00280_x0007_`POSS|"&amp;ROW(N65)&amp;"_x0007_`POSE|"&amp;ROW(N68)&amp;"_x0007_`")</f>
        <v>_x0005_`BDCOD|X00280_x0007_`POSS|65_x0007_`POSE|68_x0007_`</v>
      </c>
    </row>
    <row r="64" spans="1:26" ht="33.200000000000003" customHeight="1">
      <c r="A64" s="469" t="s">
        <v>2407</v>
      </c>
      <c r="B64" s="469" t="s">
        <v>4507</v>
      </c>
      <c r="C64" s="487"/>
      <c r="D64" s="488" t="s">
        <v>2409</v>
      </c>
      <c r="E64" s="487"/>
      <c r="F64" s="487"/>
      <c r="G64" s="487"/>
      <c r="H64" s="487"/>
      <c r="I64" s="487"/>
      <c r="J64" s="487"/>
      <c r="K64" s="487"/>
      <c r="L64" s="487"/>
      <c r="M64" s="488" t="s">
        <v>4506</v>
      </c>
      <c r="O64" s="468" t="s">
        <v>4506</v>
      </c>
    </row>
    <row r="65" spans="1:26" ht="33.200000000000003" customHeight="1">
      <c r="A65" s="452" t="s">
        <v>2407</v>
      </c>
      <c r="B65" s="452" t="s">
        <v>4507</v>
      </c>
      <c r="C65" s="489">
        <v>0.20849999999999999</v>
      </c>
      <c r="D65" s="480" t="s">
        <v>4531</v>
      </c>
      <c r="E65" s="490">
        <f t="shared" ref="E65:F68" si="8">I65+G65+K65</f>
        <v>142069</v>
      </c>
      <c r="F65" s="491">
        <f t="shared" si="8"/>
        <v>29621.3</v>
      </c>
      <c r="G65" s="492">
        <v>0</v>
      </c>
      <c r="H65" s="491">
        <f>IF(C65=0,0,ROUNDDOWN(G65*C65,1))</f>
        <v>0</v>
      </c>
      <c r="I65" s="492">
        <v>0</v>
      </c>
      <c r="J65" s="493">
        <f>IF(C65=0,0,ROUNDDOWN(I65*C65,1))</f>
        <v>0</v>
      </c>
      <c r="K65" s="494">
        <f>경비목록표!E11</f>
        <v>142069</v>
      </c>
      <c r="L65" s="498">
        <f>IF(C65=0,0,ROUNDDOWN(K65*C65,1))</f>
        <v>29621.3</v>
      </c>
      <c r="M65" s="463" t="s">
        <v>4578</v>
      </c>
      <c r="N65" s="451" t="s">
        <v>4579</v>
      </c>
      <c r="O65" s="468" t="s">
        <v>4580</v>
      </c>
      <c r="P65" s="468" t="s">
        <v>2354</v>
      </c>
      <c r="Z65" s="433" t="str">
        <f ca="1">HYPERLINK("#"&amp;경비목록표!G2&amp;"!A"&amp;ROW(경비목록표!A11),"S00239 →")</f>
        <v>S00239 →</v>
      </c>
    </row>
    <row r="66" spans="1:26" ht="33.200000000000003" customHeight="1">
      <c r="A66" s="452" t="s">
        <v>4470</v>
      </c>
      <c r="B66" s="452"/>
      <c r="C66" s="489">
        <v>1</v>
      </c>
      <c r="D66" s="480" t="s">
        <v>585</v>
      </c>
      <c r="E66" s="490">
        <f t="shared" si="8"/>
        <v>59020.2</v>
      </c>
      <c r="F66" s="493">
        <f t="shared" si="8"/>
        <v>59020.2</v>
      </c>
      <c r="G66" s="494">
        <f>환율및기초자료!G6</f>
        <v>59020.2</v>
      </c>
      <c r="H66" s="495">
        <f>IF(C66=0,0,ROUNDDOWN(G66*C66,1))</f>
        <v>59020.2</v>
      </c>
      <c r="I66" s="492">
        <v>0</v>
      </c>
      <c r="J66" s="491">
        <f>IF(C66=0,0,ROUNDDOWN(I66*C66,1))</f>
        <v>0</v>
      </c>
      <c r="K66" s="492">
        <v>0</v>
      </c>
      <c r="L66" s="493">
        <f>IF(C66=0,0,ROUNDDOWN(K66*C66,1))</f>
        <v>0</v>
      </c>
      <c r="M66" s="463" t="s">
        <v>4548</v>
      </c>
      <c r="N66" s="451" t="s">
        <v>4549</v>
      </c>
      <c r="O66" s="468" t="s">
        <v>4550</v>
      </c>
      <c r="P66" s="468" t="s">
        <v>2354</v>
      </c>
      <c r="Z66" s="433" t="str">
        <f ca="1">HYPERLINK("#"&amp;환율및기초자료!I2&amp;"!A"&amp;ROW(환율및기초자료!A6),"L00190 →")</f>
        <v>L00190 →</v>
      </c>
    </row>
    <row r="67" spans="1:26" ht="33.200000000000003" customHeight="1">
      <c r="A67" s="452" t="s">
        <v>4485</v>
      </c>
      <c r="B67" s="452" t="s">
        <v>4486</v>
      </c>
      <c r="C67" s="489">
        <v>19.5</v>
      </c>
      <c r="D67" s="480" t="s">
        <v>2840</v>
      </c>
      <c r="E67" s="490">
        <f t="shared" si="8"/>
        <v>1379</v>
      </c>
      <c r="F67" s="491">
        <f t="shared" si="8"/>
        <v>26890.5</v>
      </c>
      <c r="G67" s="492">
        <v>0</v>
      </c>
      <c r="H67" s="493">
        <f>IF(C67=0,0,ROUNDDOWN(G67*C67,1))</f>
        <v>0</v>
      </c>
      <c r="I67" s="494">
        <f>재료비목록표!E10</f>
        <v>1379</v>
      </c>
      <c r="J67" s="495">
        <f>IF(C67=0,0,ROUNDDOWN(I67*C67,1))</f>
        <v>26890.5</v>
      </c>
      <c r="K67" s="492">
        <v>0</v>
      </c>
      <c r="L67" s="493">
        <f>IF(C67=0,0,ROUNDDOWN(K67*C67,1))</f>
        <v>0</v>
      </c>
      <c r="M67" s="463" t="s">
        <v>4538</v>
      </c>
      <c r="N67" s="451" t="s">
        <v>4539</v>
      </c>
      <c r="O67" s="468" t="s">
        <v>4540</v>
      </c>
      <c r="P67" s="468" t="s">
        <v>2354</v>
      </c>
      <c r="Q67" s="468" t="s">
        <v>2355</v>
      </c>
      <c r="Z67" s="433" t="str">
        <f ca="1">HYPERLINK("#"&amp;재료비목록표!G2&amp;"!A"&amp;ROW(재료비목록표!A10),"M00874 →")</f>
        <v>M00874 →</v>
      </c>
    </row>
    <row r="68" spans="1:26" ht="33.200000000000003" customHeight="1">
      <c r="A68" s="452" t="s">
        <v>4541</v>
      </c>
      <c r="B68" s="452" t="s">
        <v>4542</v>
      </c>
      <c r="C68" s="489">
        <v>22</v>
      </c>
      <c r="D68" s="480" t="s">
        <v>2371</v>
      </c>
      <c r="E68" s="490">
        <f t="shared" si="8"/>
        <v>26890.5</v>
      </c>
      <c r="F68" s="491">
        <f t="shared" si="8"/>
        <v>5915.9</v>
      </c>
      <c r="G68" s="465">
        <v>0</v>
      </c>
      <c r="H68" s="491">
        <f>IF(C68=0,0,ROUNDDOWN(G68*C68/100,1))</f>
        <v>0</v>
      </c>
      <c r="I68" s="496">
        <f>J67</f>
        <v>26890.5</v>
      </c>
      <c r="J68" s="493">
        <f>IF(C68=0,0,ROUNDDOWN(I68*C68/100,1))</f>
        <v>5915.9</v>
      </c>
      <c r="K68" s="467">
        <v>0</v>
      </c>
      <c r="L68" s="493">
        <f>IF(C68=0,0,ROUNDDOWN(K68*C68/100,1))</f>
        <v>0</v>
      </c>
      <c r="M68" s="463"/>
      <c r="N68" s="451" t="s">
        <v>4543</v>
      </c>
      <c r="O68" s="468" t="s">
        <v>2373</v>
      </c>
      <c r="P68" s="468" t="s">
        <v>2354</v>
      </c>
    </row>
    <row r="69" spans="1:26" ht="33.200000000000003" customHeight="1">
      <c r="A69" s="463" t="s">
        <v>842</v>
      </c>
      <c r="B69" s="497"/>
      <c r="C69" s="497"/>
      <c r="D69" s="497"/>
      <c r="E69" s="497"/>
      <c r="F69" s="446">
        <f>J69+H69+L69</f>
        <v>121447</v>
      </c>
      <c r="G69" s="497"/>
      <c r="H69" s="446">
        <f>ROUNDDOWN(SUMIF(P65:P68,O69,H65:H68),0)</f>
        <v>59020</v>
      </c>
      <c r="I69" s="497"/>
      <c r="J69" s="446">
        <f>ROUNDDOWN(SUMIF(P65:P68,O69,J65:J68),0)</f>
        <v>32806</v>
      </c>
      <c r="K69" s="497"/>
      <c r="L69" s="446">
        <f>ROUNDDOWN(SUMIF(P65:P68,O69,L65:L68),0)</f>
        <v>29621</v>
      </c>
      <c r="M69" s="497"/>
      <c r="O69" s="468" t="s">
        <v>2354</v>
      </c>
    </row>
    <row r="70" spans="1:26" ht="33.200000000000003" customHeight="1">
      <c r="A70" s="484" t="s">
        <v>4581</v>
      </c>
      <c r="B70" s="484"/>
      <c r="C70" s="485"/>
      <c r="D70" s="485"/>
      <c r="E70" s="485"/>
      <c r="F70" s="485"/>
      <c r="G70" s="485"/>
      <c r="H70" s="485"/>
      <c r="I70" s="485"/>
      <c r="J70" s="485"/>
      <c r="K70" s="485"/>
      <c r="L70" s="485"/>
      <c r="M70" s="485"/>
      <c r="N70" s="486" t="str">
        <f>HYPERLINK("#N"&amp;ROW(N75),"_x0005_`BDCOD|X00270_x0007_`POSS|"&amp;ROW(N72)&amp;"_x0007_`POSE|"&amp;ROW(N75)&amp;"_x0007_`")</f>
        <v>_x0005_`BDCOD|X00270_x0007_`POSS|72_x0007_`POSE|75_x0007_`</v>
      </c>
    </row>
    <row r="71" spans="1:26" ht="33.200000000000003" customHeight="1">
      <c r="A71" s="469" t="s">
        <v>4509</v>
      </c>
      <c r="B71" s="469" t="s">
        <v>4510</v>
      </c>
      <c r="C71" s="487"/>
      <c r="D71" s="488" t="s">
        <v>2409</v>
      </c>
      <c r="E71" s="487"/>
      <c r="F71" s="487"/>
      <c r="G71" s="487"/>
      <c r="H71" s="487"/>
      <c r="I71" s="487"/>
      <c r="J71" s="487"/>
      <c r="K71" s="487"/>
      <c r="L71" s="487"/>
      <c r="M71" s="488" t="s">
        <v>4508</v>
      </c>
      <c r="O71" s="468" t="s">
        <v>4508</v>
      </c>
    </row>
    <row r="72" spans="1:26" ht="33.200000000000003" customHeight="1">
      <c r="A72" s="452" t="s">
        <v>4509</v>
      </c>
      <c r="B72" s="452" t="s">
        <v>4510</v>
      </c>
      <c r="C72" s="489">
        <v>0.22789999999999999</v>
      </c>
      <c r="D72" s="480" t="s">
        <v>4531</v>
      </c>
      <c r="E72" s="490">
        <f t="shared" ref="E72:F75" si="9">I72+G72+K72</f>
        <v>90653</v>
      </c>
      <c r="F72" s="491">
        <f t="shared" si="9"/>
        <v>20659.8</v>
      </c>
      <c r="G72" s="492">
        <v>0</v>
      </c>
      <c r="H72" s="491">
        <f>IF(C72=0,0,ROUNDDOWN(G72*C72,1))</f>
        <v>0</v>
      </c>
      <c r="I72" s="492">
        <v>0</v>
      </c>
      <c r="J72" s="493">
        <f>IF(C72=0,0,ROUNDDOWN(I72*C72,1))</f>
        <v>0</v>
      </c>
      <c r="K72" s="494">
        <f>경비목록표!E14</f>
        <v>90653</v>
      </c>
      <c r="L72" s="498">
        <f>IF(C72=0,0,ROUNDDOWN(K72*C72,1))</f>
        <v>20659.8</v>
      </c>
      <c r="M72" s="463" t="s">
        <v>4582</v>
      </c>
      <c r="N72" s="451" t="s">
        <v>4583</v>
      </c>
      <c r="O72" s="468" t="s">
        <v>4584</v>
      </c>
      <c r="P72" s="468" t="s">
        <v>2354</v>
      </c>
      <c r="Z72" s="433" t="str">
        <f ca="1">HYPERLINK("#"&amp;경비목록표!G2&amp;"!A"&amp;ROW(경비목록표!A14),"S00220 →")</f>
        <v>S00220 →</v>
      </c>
    </row>
    <row r="73" spans="1:26" ht="33.200000000000003" customHeight="1">
      <c r="A73" s="452" t="s">
        <v>4470</v>
      </c>
      <c r="B73" s="452"/>
      <c r="C73" s="489">
        <v>1</v>
      </c>
      <c r="D73" s="480" t="s">
        <v>585</v>
      </c>
      <c r="E73" s="490">
        <f t="shared" si="9"/>
        <v>59020.2</v>
      </c>
      <c r="F73" s="493">
        <f t="shared" si="9"/>
        <v>59020.2</v>
      </c>
      <c r="G73" s="494">
        <f>환율및기초자료!G6</f>
        <v>59020.2</v>
      </c>
      <c r="H73" s="495">
        <f>IF(C73=0,0,ROUNDDOWN(G73*C73,1))</f>
        <v>59020.2</v>
      </c>
      <c r="I73" s="492">
        <v>0</v>
      </c>
      <c r="J73" s="491">
        <f>IF(C73=0,0,ROUNDDOWN(I73*C73,1))</f>
        <v>0</v>
      </c>
      <c r="K73" s="492">
        <v>0</v>
      </c>
      <c r="L73" s="493">
        <f>IF(C73=0,0,ROUNDDOWN(K73*C73,1))</f>
        <v>0</v>
      </c>
      <c r="M73" s="463" t="s">
        <v>4548</v>
      </c>
      <c r="N73" s="451" t="s">
        <v>4549</v>
      </c>
      <c r="O73" s="468" t="s">
        <v>4550</v>
      </c>
      <c r="P73" s="468" t="s">
        <v>2354</v>
      </c>
      <c r="Z73" s="433" t="str">
        <f ca="1">HYPERLINK("#"&amp;환율및기초자료!I2&amp;"!A"&amp;ROW(환율및기초자료!A6),"L00190 →")</f>
        <v>L00190 →</v>
      </c>
    </row>
    <row r="74" spans="1:26" ht="33.200000000000003" customHeight="1">
      <c r="A74" s="452" t="s">
        <v>4485</v>
      </c>
      <c r="B74" s="452" t="s">
        <v>4486</v>
      </c>
      <c r="C74" s="489">
        <v>15.9</v>
      </c>
      <c r="D74" s="480" t="s">
        <v>2840</v>
      </c>
      <c r="E74" s="490">
        <f t="shared" si="9"/>
        <v>1379</v>
      </c>
      <c r="F74" s="491">
        <f t="shared" si="9"/>
        <v>21926.1</v>
      </c>
      <c r="G74" s="492">
        <v>0</v>
      </c>
      <c r="H74" s="493">
        <f>IF(C74=0,0,ROUNDDOWN(G74*C74,1))</f>
        <v>0</v>
      </c>
      <c r="I74" s="494">
        <f>재료비목록표!E10</f>
        <v>1379</v>
      </c>
      <c r="J74" s="495">
        <f>IF(C74=0,0,ROUNDDOWN(I74*C74,1))</f>
        <v>21926.1</v>
      </c>
      <c r="K74" s="492">
        <v>0</v>
      </c>
      <c r="L74" s="493">
        <f>IF(C74=0,0,ROUNDDOWN(K74*C74,1))</f>
        <v>0</v>
      </c>
      <c r="M74" s="463" t="s">
        <v>4538</v>
      </c>
      <c r="N74" s="451" t="s">
        <v>4539</v>
      </c>
      <c r="O74" s="468" t="s">
        <v>4540</v>
      </c>
      <c r="P74" s="468" t="s">
        <v>2354</v>
      </c>
      <c r="Q74" s="468" t="s">
        <v>2355</v>
      </c>
      <c r="Z74" s="433" t="str">
        <f ca="1">HYPERLINK("#"&amp;재료비목록표!G2&amp;"!A"&amp;ROW(재료비목록표!A10),"M00874 →")</f>
        <v>M00874 →</v>
      </c>
    </row>
    <row r="75" spans="1:26" ht="33.200000000000003" customHeight="1">
      <c r="A75" s="452" t="s">
        <v>4541</v>
      </c>
      <c r="B75" s="452" t="s">
        <v>4542</v>
      </c>
      <c r="C75" s="489">
        <v>38</v>
      </c>
      <c r="D75" s="480" t="s">
        <v>2371</v>
      </c>
      <c r="E75" s="490">
        <f t="shared" si="9"/>
        <v>21926.1</v>
      </c>
      <c r="F75" s="491">
        <f t="shared" si="9"/>
        <v>8331.9</v>
      </c>
      <c r="G75" s="465">
        <v>0</v>
      </c>
      <c r="H75" s="491">
        <f>IF(C75=0,0,ROUNDDOWN(G75*C75/100,1))</f>
        <v>0</v>
      </c>
      <c r="I75" s="496">
        <f>J74</f>
        <v>21926.1</v>
      </c>
      <c r="J75" s="493">
        <f>IF(C75=0,0,ROUNDDOWN(I75*C75/100,1))</f>
        <v>8331.9</v>
      </c>
      <c r="K75" s="467">
        <v>0</v>
      </c>
      <c r="L75" s="493">
        <f>IF(C75=0,0,ROUNDDOWN(K75*C75/100,1))</f>
        <v>0</v>
      </c>
      <c r="M75" s="463"/>
      <c r="N75" s="451" t="s">
        <v>4543</v>
      </c>
      <c r="O75" s="468" t="s">
        <v>2373</v>
      </c>
      <c r="P75" s="468" t="s">
        <v>2354</v>
      </c>
    </row>
    <row r="76" spans="1:26" ht="33.200000000000003" customHeight="1">
      <c r="A76" s="463" t="s">
        <v>842</v>
      </c>
      <c r="B76" s="497"/>
      <c r="C76" s="497"/>
      <c r="D76" s="497"/>
      <c r="E76" s="497"/>
      <c r="F76" s="446">
        <f>J76+H76+L76</f>
        <v>109937</v>
      </c>
      <c r="G76" s="497"/>
      <c r="H76" s="446">
        <f>ROUNDDOWN(SUMIF(P72:P75,O76,H72:H75),0)</f>
        <v>59020</v>
      </c>
      <c r="I76" s="497"/>
      <c r="J76" s="446">
        <f>ROUNDDOWN(SUMIF(P72:P75,O76,J72:J75),0)</f>
        <v>30258</v>
      </c>
      <c r="K76" s="497"/>
      <c r="L76" s="446">
        <f>ROUNDDOWN(SUMIF(P72:P75,O76,L72:L75),0)</f>
        <v>20659</v>
      </c>
      <c r="M76" s="497"/>
      <c r="O76" s="468" t="s">
        <v>2354</v>
      </c>
    </row>
    <row r="77" spans="1:26" ht="33.200000000000003" customHeight="1">
      <c r="A77" s="484" t="s">
        <v>4585</v>
      </c>
      <c r="B77" s="484"/>
      <c r="C77" s="485"/>
      <c r="D77" s="485"/>
      <c r="E77" s="485"/>
      <c r="F77" s="485"/>
      <c r="G77" s="485"/>
      <c r="H77" s="485"/>
      <c r="I77" s="485"/>
      <c r="J77" s="485"/>
      <c r="K77" s="485"/>
      <c r="L77" s="485"/>
      <c r="M77" s="485"/>
      <c r="N77" s="486" t="str">
        <f>HYPERLINK("#N"&amp;ROW(N82),"_x0005_`BDCOD|X00311_x0007_`POSS|"&amp;ROW(N79)&amp;"_x0007_`POSE|"&amp;ROW(N82)&amp;"_x0007_`")</f>
        <v>_x0005_`BDCOD|X00311_x0007_`POSS|79_x0007_`POSE|82_x0007_`</v>
      </c>
    </row>
    <row r="78" spans="1:26" ht="33.200000000000003" customHeight="1">
      <c r="A78" s="469" t="s">
        <v>4512</v>
      </c>
      <c r="B78" s="469" t="s">
        <v>4513</v>
      </c>
      <c r="C78" s="487"/>
      <c r="D78" s="488" t="s">
        <v>2409</v>
      </c>
      <c r="E78" s="487"/>
      <c r="F78" s="487"/>
      <c r="G78" s="487"/>
      <c r="H78" s="487"/>
      <c r="I78" s="487"/>
      <c r="J78" s="487"/>
      <c r="K78" s="487"/>
      <c r="L78" s="487"/>
      <c r="M78" s="488" t="s">
        <v>4511</v>
      </c>
      <c r="O78" s="468" t="s">
        <v>4511</v>
      </c>
    </row>
    <row r="79" spans="1:26" ht="33.200000000000003" customHeight="1">
      <c r="A79" s="452" t="s">
        <v>4512</v>
      </c>
      <c r="B79" s="452" t="s">
        <v>4513</v>
      </c>
      <c r="C79" s="489">
        <v>0.37080000000000002</v>
      </c>
      <c r="D79" s="480" t="s">
        <v>4531</v>
      </c>
      <c r="E79" s="490">
        <f t="shared" ref="E79:F82" si="10">I79+G79+K79</f>
        <v>1418</v>
      </c>
      <c r="F79" s="491">
        <f t="shared" si="10"/>
        <v>525.70000000000005</v>
      </c>
      <c r="G79" s="492">
        <v>0</v>
      </c>
      <c r="H79" s="491">
        <f>IF(C79=0,0,ROUNDDOWN(G79*C79,1))</f>
        <v>0</v>
      </c>
      <c r="I79" s="492">
        <v>0</v>
      </c>
      <c r="J79" s="493">
        <f>IF(C79=0,0,ROUNDDOWN(I79*C79,1))</f>
        <v>0</v>
      </c>
      <c r="K79" s="494">
        <f>경비목록표!E15</f>
        <v>1418</v>
      </c>
      <c r="L79" s="498">
        <f>IF(C79=0,0,ROUNDDOWN(K79*C79,1))</f>
        <v>525.70000000000005</v>
      </c>
      <c r="M79" s="463" t="s">
        <v>4586</v>
      </c>
      <c r="N79" s="451" t="s">
        <v>4587</v>
      </c>
      <c r="O79" s="468" t="s">
        <v>4588</v>
      </c>
      <c r="P79" s="468" t="s">
        <v>2354</v>
      </c>
      <c r="Z79" s="433" t="str">
        <f ca="1">HYPERLINK("#"&amp;경비목록표!G2&amp;"!A"&amp;ROW(경비목록표!A15),"S00284 →")</f>
        <v>S00284 →</v>
      </c>
    </row>
    <row r="80" spans="1:26" ht="33.200000000000003" customHeight="1">
      <c r="A80" s="452" t="s">
        <v>4475</v>
      </c>
      <c r="B80" s="452"/>
      <c r="C80" s="489">
        <v>1</v>
      </c>
      <c r="D80" s="480" t="s">
        <v>585</v>
      </c>
      <c r="E80" s="490">
        <f t="shared" si="10"/>
        <v>36248.9</v>
      </c>
      <c r="F80" s="493">
        <f t="shared" si="10"/>
        <v>36248.9</v>
      </c>
      <c r="G80" s="494">
        <f>환율및기초자료!G8</f>
        <v>36248.9</v>
      </c>
      <c r="H80" s="495">
        <f>IF(C80=0,0,ROUNDDOWN(G80*C80,1))</f>
        <v>36248.9</v>
      </c>
      <c r="I80" s="492">
        <v>0</v>
      </c>
      <c r="J80" s="491">
        <f>IF(C80=0,0,ROUNDDOWN(I80*C80,1))</f>
        <v>0</v>
      </c>
      <c r="K80" s="492">
        <v>0</v>
      </c>
      <c r="L80" s="493">
        <f>IF(C80=0,0,ROUNDDOWN(K80*C80,1))</f>
        <v>0</v>
      </c>
      <c r="M80" s="463" t="s">
        <v>4589</v>
      </c>
      <c r="N80" s="451" t="s">
        <v>4590</v>
      </c>
      <c r="O80" s="468" t="s">
        <v>4591</v>
      </c>
      <c r="P80" s="468" t="s">
        <v>2354</v>
      </c>
      <c r="Z80" s="433" t="str">
        <f ca="1">HYPERLINK("#"&amp;환율및기초자료!I2&amp;"!A"&amp;ROW(환율및기초자료!A8),"L00196 →")</f>
        <v>L00196 →</v>
      </c>
    </row>
    <row r="81" spans="1:26" ht="33.200000000000003" customHeight="1">
      <c r="A81" s="452" t="s">
        <v>2838</v>
      </c>
      <c r="B81" s="452" t="s">
        <v>2839</v>
      </c>
      <c r="C81" s="489">
        <v>0.7</v>
      </c>
      <c r="D81" s="480" t="s">
        <v>2840</v>
      </c>
      <c r="E81" s="490">
        <f t="shared" si="10"/>
        <v>1472</v>
      </c>
      <c r="F81" s="491">
        <f t="shared" si="10"/>
        <v>1030.4000000000001</v>
      </c>
      <c r="G81" s="492">
        <v>0</v>
      </c>
      <c r="H81" s="493">
        <f>IF(C81=0,0,ROUNDDOWN(G81*C81,1))</f>
        <v>0</v>
      </c>
      <c r="I81" s="494">
        <f>재료비목록표!E110</f>
        <v>1472</v>
      </c>
      <c r="J81" s="495">
        <f>IF(C81=0,0,ROUNDDOWN(I81*C81,1))</f>
        <v>1030.4000000000001</v>
      </c>
      <c r="K81" s="492">
        <v>0</v>
      </c>
      <c r="L81" s="493">
        <f>IF(C81=0,0,ROUNDDOWN(K81*C81,1))</f>
        <v>0</v>
      </c>
      <c r="M81" s="463" t="s">
        <v>2841</v>
      </c>
      <c r="N81" s="451" t="s">
        <v>4592</v>
      </c>
      <c r="O81" s="468" t="s">
        <v>2843</v>
      </c>
      <c r="P81" s="468" t="s">
        <v>2354</v>
      </c>
      <c r="Q81" s="468" t="s">
        <v>2355</v>
      </c>
      <c r="Z81" s="433" t="str">
        <f ca="1">HYPERLINK("#"&amp;재료비목록표!G2&amp;"!A"&amp;ROW(재료비목록표!A110),"M00927 →")</f>
        <v>M00927 →</v>
      </c>
    </row>
    <row r="82" spans="1:26" ht="33.200000000000003" customHeight="1">
      <c r="A82" s="452" t="s">
        <v>4541</v>
      </c>
      <c r="B82" s="452" t="s">
        <v>4542</v>
      </c>
      <c r="C82" s="489">
        <v>10</v>
      </c>
      <c r="D82" s="480" t="s">
        <v>2371</v>
      </c>
      <c r="E82" s="490">
        <f t="shared" si="10"/>
        <v>1030.4000000000001</v>
      </c>
      <c r="F82" s="491">
        <f t="shared" si="10"/>
        <v>103</v>
      </c>
      <c r="G82" s="465">
        <v>0</v>
      </c>
      <c r="H82" s="491">
        <f>IF(C82=0,0,ROUNDDOWN(G82*C82/100,1))</f>
        <v>0</v>
      </c>
      <c r="I82" s="496">
        <f>J81</f>
        <v>1030.4000000000001</v>
      </c>
      <c r="J82" s="493">
        <f>IF(C82=0,0,ROUNDDOWN(I82*C82/100,1))</f>
        <v>103</v>
      </c>
      <c r="K82" s="467">
        <v>0</v>
      </c>
      <c r="L82" s="493">
        <f>IF(C82=0,0,ROUNDDOWN(K82*C82/100,1))</f>
        <v>0</v>
      </c>
      <c r="M82" s="463"/>
      <c r="N82" s="451" t="s">
        <v>4543</v>
      </c>
      <c r="O82" s="468" t="s">
        <v>2373</v>
      </c>
      <c r="P82" s="468" t="s">
        <v>2354</v>
      </c>
    </row>
    <row r="83" spans="1:26" ht="33.200000000000003" customHeight="1">
      <c r="A83" s="463" t="s">
        <v>842</v>
      </c>
      <c r="B83" s="497"/>
      <c r="C83" s="497"/>
      <c r="D83" s="497"/>
      <c r="E83" s="497"/>
      <c r="F83" s="446">
        <f>J83+H83+L83</f>
        <v>37906</v>
      </c>
      <c r="G83" s="497"/>
      <c r="H83" s="446">
        <f>ROUNDDOWN(SUMIF(P79:P82,O83,H79:H82),0)</f>
        <v>36248</v>
      </c>
      <c r="I83" s="497"/>
      <c r="J83" s="446">
        <f>ROUNDDOWN(SUMIF(P79:P82,O83,J79:J82),0)</f>
        <v>1133</v>
      </c>
      <c r="K83" s="497"/>
      <c r="L83" s="446">
        <f>ROUNDDOWN(SUMIF(P79:P82,O83,L79:L82),0)</f>
        <v>525</v>
      </c>
      <c r="M83" s="497"/>
      <c r="O83" s="468" t="s">
        <v>2354</v>
      </c>
    </row>
    <row r="84" spans="1:26" ht="33.200000000000003" customHeight="1">
      <c r="A84" s="484" t="s">
        <v>4593</v>
      </c>
      <c r="B84" s="484"/>
      <c r="C84" s="485"/>
      <c r="D84" s="485"/>
      <c r="E84" s="485"/>
      <c r="F84" s="485"/>
      <c r="G84" s="485"/>
      <c r="H84" s="485"/>
      <c r="I84" s="485"/>
      <c r="J84" s="485"/>
      <c r="K84" s="485"/>
      <c r="L84" s="485"/>
      <c r="M84" s="485"/>
      <c r="N84" s="486" t="str">
        <f>HYPERLINK("#N"&amp;ROW(N89),"_x0005_`BDCOD|X00271_x0007_`POSS|"&amp;ROW(N86)&amp;"_x0007_`POSE|"&amp;ROW(N89)&amp;"_x0007_`")</f>
        <v>_x0005_`BDCOD|X00271_x0007_`POSS|86_x0007_`POSE|89_x0007_`</v>
      </c>
    </row>
    <row r="85" spans="1:26" ht="33.200000000000003" customHeight="1">
      <c r="A85" s="469" t="s">
        <v>2413</v>
      </c>
      <c r="B85" s="469" t="s">
        <v>2414</v>
      </c>
      <c r="C85" s="487"/>
      <c r="D85" s="488" t="s">
        <v>2409</v>
      </c>
      <c r="E85" s="487"/>
      <c r="F85" s="487"/>
      <c r="G85" s="487"/>
      <c r="H85" s="487"/>
      <c r="I85" s="487"/>
      <c r="J85" s="487"/>
      <c r="K85" s="487"/>
      <c r="L85" s="487"/>
      <c r="M85" s="488" t="s">
        <v>4514</v>
      </c>
      <c r="O85" s="468" t="s">
        <v>4514</v>
      </c>
    </row>
    <row r="86" spans="1:26" ht="33.200000000000003" customHeight="1">
      <c r="A86" s="452" t="s">
        <v>2413</v>
      </c>
      <c r="B86" s="452" t="s">
        <v>2414</v>
      </c>
      <c r="C86" s="489">
        <v>0.21129999999999999</v>
      </c>
      <c r="D86" s="480" t="s">
        <v>4531</v>
      </c>
      <c r="E86" s="490">
        <f t="shared" ref="E86:F89" si="11">I86+G86+K86</f>
        <v>47263</v>
      </c>
      <c r="F86" s="491">
        <f t="shared" si="11"/>
        <v>9986.6</v>
      </c>
      <c r="G86" s="492">
        <v>0</v>
      </c>
      <c r="H86" s="491">
        <f>IF(C86=0,0,ROUNDDOWN(G86*C86,1))</f>
        <v>0</v>
      </c>
      <c r="I86" s="492">
        <v>0</v>
      </c>
      <c r="J86" s="493">
        <f>IF(C86=0,0,ROUNDDOWN(I86*C86,1))</f>
        <v>0</v>
      </c>
      <c r="K86" s="494">
        <f>경비목록표!E16</f>
        <v>47263</v>
      </c>
      <c r="L86" s="498">
        <f>IF(C86=0,0,ROUNDDOWN(K86*C86,1))</f>
        <v>9986.6</v>
      </c>
      <c r="M86" s="463" t="s">
        <v>4594</v>
      </c>
      <c r="N86" s="451" t="s">
        <v>4595</v>
      </c>
      <c r="O86" s="468" t="s">
        <v>4596</v>
      </c>
      <c r="P86" s="468" t="s">
        <v>2354</v>
      </c>
      <c r="Z86" s="433" t="str">
        <f ca="1">HYPERLINK("#"&amp;경비목록표!G2&amp;"!A"&amp;ROW(경비목록표!A16),"S00222 →")</f>
        <v>S00222 →</v>
      </c>
    </row>
    <row r="87" spans="1:26" ht="33.200000000000003" customHeight="1">
      <c r="A87" s="452" t="s">
        <v>4473</v>
      </c>
      <c r="B87" s="452"/>
      <c r="C87" s="489">
        <v>1</v>
      </c>
      <c r="D87" s="480" t="s">
        <v>585</v>
      </c>
      <c r="E87" s="490">
        <f t="shared" si="11"/>
        <v>49778.3</v>
      </c>
      <c r="F87" s="493">
        <f t="shared" si="11"/>
        <v>49778.3</v>
      </c>
      <c r="G87" s="494">
        <f>환율및기초자료!G7</f>
        <v>49778.3</v>
      </c>
      <c r="H87" s="495">
        <f>IF(C87=0,0,ROUNDDOWN(G87*C87,1))</f>
        <v>49778.3</v>
      </c>
      <c r="I87" s="492">
        <v>0</v>
      </c>
      <c r="J87" s="491">
        <f>IF(C87=0,0,ROUNDDOWN(I87*C87,1))</f>
        <v>0</v>
      </c>
      <c r="K87" s="492">
        <v>0</v>
      </c>
      <c r="L87" s="493">
        <f>IF(C87=0,0,ROUNDDOWN(K87*C87,1))</f>
        <v>0</v>
      </c>
      <c r="M87" s="463" t="s">
        <v>4535</v>
      </c>
      <c r="N87" s="451" t="s">
        <v>4536</v>
      </c>
      <c r="O87" s="468" t="s">
        <v>4537</v>
      </c>
      <c r="P87" s="468" t="s">
        <v>2354</v>
      </c>
      <c r="Z87" s="433" t="str">
        <f ca="1">HYPERLINK("#"&amp;환율및기초자료!I2&amp;"!A"&amp;ROW(환율및기초자료!A7),"L00191 →")</f>
        <v>L00191 →</v>
      </c>
    </row>
    <row r="88" spans="1:26" ht="33.200000000000003" customHeight="1">
      <c r="A88" s="452" t="s">
        <v>4485</v>
      </c>
      <c r="B88" s="452" t="s">
        <v>4486</v>
      </c>
      <c r="C88" s="489">
        <v>9.3000000000000007</v>
      </c>
      <c r="D88" s="480" t="s">
        <v>2840</v>
      </c>
      <c r="E88" s="490">
        <f t="shared" si="11"/>
        <v>1379</v>
      </c>
      <c r="F88" s="491">
        <f t="shared" si="11"/>
        <v>12824.7</v>
      </c>
      <c r="G88" s="492">
        <v>0</v>
      </c>
      <c r="H88" s="493">
        <f>IF(C88=0,0,ROUNDDOWN(G88*C88,1))</f>
        <v>0</v>
      </c>
      <c r="I88" s="494">
        <f>재료비목록표!E10</f>
        <v>1379</v>
      </c>
      <c r="J88" s="495">
        <f>IF(C88=0,0,ROUNDDOWN(I88*C88,1))</f>
        <v>12824.7</v>
      </c>
      <c r="K88" s="492">
        <v>0</v>
      </c>
      <c r="L88" s="493">
        <f>IF(C88=0,0,ROUNDDOWN(K88*C88,1))</f>
        <v>0</v>
      </c>
      <c r="M88" s="463" t="s">
        <v>4538</v>
      </c>
      <c r="N88" s="451" t="s">
        <v>4539</v>
      </c>
      <c r="O88" s="468" t="s">
        <v>4540</v>
      </c>
      <c r="P88" s="468" t="s">
        <v>2354</v>
      </c>
      <c r="Q88" s="468" t="s">
        <v>2355</v>
      </c>
      <c r="Z88" s="433" t="str">
        <f ca="1">HYPERLINK("#"&amp;재료비목록표!G2&amp;"!A"&amp;ROW(재료비목록표!A10),"M00874 →")</f>
        <v>M00874 →</v>
      </c>
    </row>
    <row r="89" spans="1:26" ht="33.200000000000003" customHeight="1">
      <c r="A89" s="452" t="s">
        <v>4541</v>
      </c>
      <c r="B89" s="452" t="s">
        <v>4542</v>
      </c>
      <c r="C89" s="489">
        <v>30</v>
      </c>
      <c r="D89" s="480" t="s">
        <v>2371</v>
      </c>
      <c r="E89" s="490">
        <f t="shared" si="11"/>
        <v>12824.7</v>
      </c>
      <c r="F89" s="491">
        <f t="shared" si="11"/>
        <v>3847.4</v>
      </c>
      <c r="G89" s="465">
        <v>0</v>
      </c>
      <c r="H89" s="491">
        <f>IF(C89=0,0,ROUNDDOWN(G89*C89/100,1))</f>
        <v>0</v>
      </c>
      <c r="I89" s="496">
        <f>J88</f>
        <v>12824.7</v>
      </c>
      <c r="J89" s="493">
        <f>IF(C89=0,0,ROUNDDOWN(I89*C89/100,1))</f>
        <v>3847.4</v>
      </c>
      <c r="K89" s="467">
        <v>0</v>
      </c>
      <c r="L89" s="493">
        <f>IF(C89=0,0,ROUNDDOWN(K89*C89/100,1))</f>
        <v>0</v>
      </c>
      <c r="M89" s="463"/>
      <c r="N89" s="451" t="s">
        <v>4543</v>
      </c>
      <c r="O89" s="468" t="s">
        <v>2373</v>
      </c>
      <c r="P89" s="468" t="s">
        <v>2354</v>
      </c>
    </row>
    <row r="90" spans="1:26" ht="33.200000000000003" customHeight="1">
      <c r="A90" s="463" t="s">
        <v>842</v>
      </c>
      <c r="B90" s="497"/>
      <c r="C90" s="497"/>
      <c r="D90" s="497"/>
      <c r="E90" s="497"/>
      <c r="F90" s="446">
        <f>J90+H90+L90</f>
        <v>76436</v>
      </c>
      <c r="G90" s="497"/>
      <c r="H90" s="446">
        <f>ROUNDDOWN(SUMIF(P86:P89,O90,H86:H89),0)</f>
        <v>49778</v>
      </c>
      <c r="I90" s="497"/>
      <c r="J90" s="446">
        <f>ROUNDDOWN(SUMIF(P86:P89,O90,J86:J89),0)</f>
        <v>16672</v>
      </c>
      <c r="K90" s="497"/>
      <c r="L90" s="446">
        <f>ROUNDDOWN(SUMIF(P86:P89,O90,L86:L89),0)</f>
        <v>9986</v>
      </c>
      <c r="M90" s="497"/>
      <c r="O90" s="468" t="s">
        <v>2354</v>
      </c>
    </row>
    <row r="91" spans="1:26" ht="33.200000000000003" customHeight="1">
      <c r="A91" s="484" t="s">
        <v>4597</v>
      </c>
      <c r="B91" s="484"/>
      <c r="C91" s="485"/>
      <c r="D91" s="485"/>
      <c r="E91" s="485"/>
      <c r="F91" s="485"/>
      <c r="G91" s="485"/>
      <c r="H91" s="485"/>
      <c r="I91" s="485"/>
      <c r="J91" s="485"/>
      <c r="K91" s="485"/>
      <c r="L91" s="485"/>
      <c r="M91" s="485"/>
      <c r="N91" s="486" t="str">
        <f>HYPERLINK("#N"&amp;ROW(N93),"_x0005_`BDCOD|X00321_x0007_`POSS|"&amp;ROW(N93)&amp;"_x0007_`POSE|"&amp;ROW(N93)&amp;"_x0007_`")</f>
        <v>_x0005_`BDCOD|X00321_x0007_`POSS|93_x0007_`POSE|93_x0007_`</v>
      </c>
    </row>
    <row r="92" spans="1:26" ht="33.200000000000003" customHeight="1">
      <c r="A92" s="469" t="s">
        <v>4516</v>
      </c>
      <c r="B92" s="469" t="s">
        <v>4517</v>
      </c>
      <c r="C92" s="487"/>
      <c r="D92" s="488" t="s">
        <v>2409</v>
      </c>
      <c r="E92" s="487"/>
      <c r="F92" s="487"/>
      <c r="G92" s="487"/>
      <c r="H92" s="487"/>
      <c r="I92" s="487"/>
      <c r="J92" s="487"/>
      <c r="K92" s="487"/>
      <c r="L92" s="487"/>
      <c r="M92" s="488" t="s">
        <v>4515</v>
      </c>
      <c r="O92" s="468" t="s">
        <v>4515</v>
      </c>
    </row>
    <row r="93" spans="1:26" ht="33.200000000000003" customHeight="1">
      <c r="A93" s="452" t="s">
        <v>4516</v>
      </c>
      <c r="B93" s="452" t="s">
        <v>4517</v>
      </c>
      <c r="C93" s="489">
        <v>0.25</v>
      </c>
      <c r="D93" s="480" t="s">
        <v>4531</v>
      </c>
      <c r="E93" s="490">
        <f>I93+G93+K93</f>
        <v>1976</v>
      </c>
      <c r="F93" s="491">
        <f>J93+H93+L93</f>
        <v>494</v>
      </c>
      <c r="G93" s="492">
        <v>0</v>
      </c>
      <c r="H93" s="491">
        <f>IF(C93=0,0,ROUNDDOWN(G93*C93,1))</f>
        <v>0</v>
      </c>
      <c r="I93" s="492">
        <v>0</v>
      </c>
      <c r="J93" s="493">
        <f>IF(C93=0,0,ROUNDDOWN(I93*C93,1))</f>
        <v>0</v>
      </c>
      <c r="K93" s="494">
        <f>경비목록표!E19</f>
        <v>1976</v>
      </c>
      <c r="L93" s="498">
        <f>IF(C93=0,0,ROUNDDOWN(K93*C93,1))</f>
        <v>494</v>
      </c>
      <c r="M93" s="463" t="s">
        <v>4598</v>
      </c>
      <c r="N93" s="451" t="s">
        <v>4599</v>
      </c>
      <c r="O93" s="468" t="s">
        <v>4600</v>
      </c>
      <c r="P93" s="468" t="s">
        <v>2354</v>
      </c>
      <c r="Z93" s="433" t="str">
        <f ca="1">HYPERLINK("#"&amp;경비목록표!G2&amp;"!A"&amp;ROW(경비목록표!A19),"S00293 →")</f>
        <v>S00293 →</v>
      </c>
    </row>
    <row r="94" spans="1:26" ht="33.200000000000003" customHeight="1">
      <c r="A94" s="463" t="s">
        <v>842</v>
      </c>
      <c r="B94" s="497"/>
      <c r="C94" s="497"/>
      <c r="D94" s="497"/>
      <c r="E94" s="497"/>
      <c r="F94" s="446">
        <f>J94+H94+L94</f>
        <v>494</v>
      </c>
      <c r="G94" s="497"/>
      <c r="H94" s="446">
        <f>ROUNDDOWN(SUMIF(P93:P93,O94,H93:H93),0)</f>
        <v>0</v>
      </c>
      <c r="I94" s="497"/>
      <c r="J94" s="446">
        <f>ROUNDDOWN(SUMIF(P93:P93,O94,J93:J93),0)</f>
        <v>0</v>
      </c>
      <c r="K94" s="497"/>
      <c r="L94" s="446">
        <f>ROUNDDOWN(SUMIF(P93:P93,O94,L93:L93),0)</f>
        <v>494</v>
      </c>
      <c r="M94" s="497"/>
      <c r="O94" s="468" t="s">
        <v>2354</v>
      </c>
    </row>
    <row r="95" spans="1:26" ht="33.200000000000003" customHeight="1">
      <c r="A95" s="484" t="s">
        <v>4601</v>
      </c>
      <c r="B95" s="484"/>
      <c r="C95" s="485"/>
      <c r="D95" s="485"/>
      <c r="E95" s="485"/>
      <c r="F95" s="485"/>
      <c r="G95" s="485"/>
      <c r="H95" s="485"/>
      <c r="I95" s="485"/>
      <c r="J95" s="485"/>
      <c r="K95" s="485"/>
      <c r="L95" s="485"/>
      <c r="M95" s="485"/>
      <c r="N95" s="486" t="str">
        <f>HYPERLINK("#N"&amp;ROW(N100),"_x0005_`BDCOD|X00301_x0007_`POSS|"&amp;ROW(N97)&amp;"_x0007_`POSE|"&amp;ROW(N100)&amp;"_x0007_`")</f>
        <v>_x0005_`BDCOD|X00301_x0007_`POSS|97_x0007_`POSE|100_x0007_`</v>
      </c>
    </row>
    <row r="96" spans="1:26" ht="33.200000000000003" customHeight="1">
      <c r="A96" s="469" t="s">
        <v>4520</v>
      </c>
      <c r="B96" s="469" t="s">
        <v>4521</v>
      </c>
      <c r="C96" s="487"/>
      <c r="D96" s="488" t="s">
        <v>2409</v>
      </c>
      <c r="E96" s="487"/>
      <c r="F96" s="487"/>
      <c r="G96" s="487"/>
      <c r="H96" s="487"/>
      <c r="I96" s="487"/>
      <c r="J96" s="487"/>
      <c r="K96" s="487"/>
      <c r="L96" s="487"/>
      <c r="M96" s="488" t="s">
        <v>4519</v>
      </c>
      <c r="O96" s="468" t="s">
        <v>4519</v>
      </c>
    </row>
    <row r="97" spans="1:26" ht="33.200000000000003" customHeight="1">
      <c r="A97" s="452" t="s">
        <v>4520</v>
      </c>
      <c r="B97" s="452" t="s">
        <v>4521</v>
      </c>
      <c r="C97" s="489">
        <v>0.20569999999999999</v>
      </c>
      <c r="D97" s="480" t="s">
        <v>4531</v>
      </c>
      <c r="E97" s="490">
        <f t="shared" ref="E97:F100" si="12">I97+G97+K97</f>
        <v>290480</v>
      </c>
      <c r="F97" s="491">
        <f t="shared" si="12"/>
        <v>59751.7</v>
      </c>
      <c r="G97" s="492">
        <v>0</v>
      </c>
      <c r="H97" s="491">
        <f>IF(C97=0,0,ROUNDDOWN(G97*C97,1))</f>
        <v>0</v>
      </c>
      <c r="I97" s="492">
        <v>0</v>
      </c>
      <c r="J97" s="493">
        <f>IF(C97=0,0,ROUNDDOWN(I97*C97,1))</f>
        <v>0</v>
      </c>
      <c r="K97" s="494">
        <f>경비목록표!E20</f>
        <v>290480</v>
      </c>
      <c r="L97" s="498">
        <f>IF(C97=0,0,ROUNDDOWN(K97*C97,1))</f>
        <v>59751.7</v>
      </c>
      <c r="M97" s="463" t="s">
        <v>4602</v>
      </c>
      <c r="N97" s="451" t="s">
        <v>4603</v>
      </c>
      <c r="O97" s="468" t="s">
        <v>4604</v>
      </c>
      <c r="P97" s="468" t="s">
        <v>2354</v>
      </c>
      <c r="Z97" s="433" t="str">
        <f ca="1">HYPERLINK("#"&amp;경비목록표!G2&amp;"!A"&amp;ROW(경비목록표!A20),"S00274 →")</f>
        <v>S00274 →</v>
      </c>
    </row>
    <row r="98" spans="1:26" ht="33.200000000000003" customHeight="1">
      <c r="A98" s="452" t="s">
        <v>4470</v>
      </c>
      <c r="B98" s="452"/>
      <c r="C98" s="489">
        <v>1</v>
      </c>
      <c r="D98" s="480" t="s">
        <v>585</v>
      </c>
      <c r="E98" s="490">
        <f t="shared" si="12"/>
        <v>59020.2</v>
      </c>
      <c r="F98" s="493">
        <f t="shared" si="12"/>
        <v>59020.2</v>
      </c>
      <c r="G98" s="494">
        <f>환율및기초자료!G6</f>
        <v>59020.2</v>
      </c>
      <c r="H98" s="495">
        <f>IF(C98=0,0,ROUNDDOWN(G98*C98,1))</f>
        <v>59020.2</v>
      </c>
      <c r="I98" s="492">
        <v>0</v>
      </c>
      <c r="J98" s="491">
        <f>IF(C98=0,0,ROUNDDOWN(I98*C98,1))</f>
        <v>0</v>
      </c>
      <c r="K98" s="492">
        <v>0</v>
      </c>
      <c r="L98" s="493">
        <f>IF(C98=0,0,ROUNDDOWN(K98*C98,1))</f>
        <v>0</v>
      </c>
      <c r="M98" s="463" t="s">
        <v>4548</v>
      </c>
      <c r="N98" s="451" t="s">
        <v>4549</v>
      </c>
      <c r="O98" s="468" t="s">
        <v>4550</v>
      </c>
      <c r="P98" s="468" t="s">
        <v>2354</v>
      </c>
      <c r="Z98" s="433" t="str">
        <f ca="1">HYPERLINK("#"&amp;환율및기초자료!I2&amp;"!A"&amp;ROW(환율및기초자료!A6),"L00190 →")</f>
        <v>L00190 →</v>
      </c>
    </row>
    <row r="99" spans="1:26" ht="33.200000000000003" customHeight="1">
      <c r="A99" s="452" t="s">
        <v>4485</v>
      </c>
      <c r="B99" s="452" t="s">
        <v>4486</v>
      </c>
      <c r="C99" s="489">
        <v>6.1</v>
      </c>
      <c r="D99" s="480" t="s">
        <v>2840</v>
      </c>
      <c r="E99" s="490">
        <f t="shared" si="12"/>
        <v>1379</v>
      </c>
      <c r="F99" s="491">
        <f t="shared" si="12"/>
        <v>8411.9</v>
      </c>
      <c r="G99" s="492">
        <v>0</v>
      </c>
      <c r="H99" s="493">
        <f>IF(C99=0,0,ROUNDDOWN(G99*C99,1))</f>
        <v>0</v>
      </c>
      <c r="I99" s="494">
        <f>재료비목록표!E10</f>
        <v>1379</v>
      </c>
      <c r="J99" s="495">
        <f>IF(C99=0,0,ROUNDDOWN(I99*C99,1))</f>
        <v>8411.9</v>
      </c>
      <c r="K99" s="492">
        <v>0</v>
      </c>
      <c r="L99" s="493">
        <f>IF(C99=0,0,ROUNDDOWN(K99*C99,1))</f>
        <v>0</v>
      </c>
      <c r="M99" s="463" t="s">
        <v>4538</v>
      </c>
      <c r="N99" s="451" t="s">
        <v>4539</v>
      </c>
      <c r="O99" s="468" t="s">
        <v>4540</v>
      </c>
      <c r="P99" s="468" t="s">
        <v>2354</v>
      </c>
      <c r="Q99" s="468" t="s">
        <v>2355</v>
      </c>
      <c r="Z99" s="433" t="str">
        <f ca="1">HYPERLINK("#"&amp;재료비목록표!G2&amp;"!A"&amp;ROW(재료비목록표!A10),"M00874 →")</f>
        <v>M00874 →</v>
      </c>
    </row>
    <row r="100" spans="1:26" ht="33.200000000000003" customHeight="1">
      <c r="A100" s="452" t="s">
        <v>4541</v>
      </c>
      <c r="B100" s="452" t="s">
        <v>4542</v>
      </c>
      <c r="C100" s="489">
        <v>39</v>
      </c>
      <c r="D100" s="480" t="s">
        <v>2371</v>
      </c>
      <c r="E100" s="490">
        <f t="shared" si="12"/>
        <v>8411.9</v>
      </c>
      <c r="F100" s="491">
        <f t="shared" si="12"/>
        <v>3280.6</v>
      </c>
      <c r="G100" s="465">
        <v>0</v>
      </c>
      <c r="H100" s="491">
        <f>IF(C100=0,0,ROUNDDOWN(G100*C100/100,1))</f>
        <v>0</v>
      </c>
      <c r="I100" s="496">
        <f>J99</f>
        <v>8411.9</v>
      </c>
      <c r="J100" s="493">
        <f>IF(C100=0,0,ROUNDDOWN(I100*C100/100,1))</f>
        <v>3280.6</v>
      </c>
      <c r="K100" s="467">
        <v>0</v>
      </c>
      <c r="L100" s="493">
        <f>IF(C100=0,0,ROUNDDOWN(K100*C100/100,1))</f>
        <v>0</v>
      </c>
      <c r="M100" s="463"/>
      <c r="N100" s="451" t="s">
        <v>4543</v>
      </c>
      <c r="O100" s="468" t="s">
        <v>2373</v>
      </c>
      <c r="P100" s="468" t="s">
        <v>2354</v>
      </c>
    </row>
    <row r="101" spans="1:26" ht="33.200000000000003" customHeight="1">
      <c r="A101" s="463" t="s">
        <v>842</v>
      </c>
      <c r="B101" s="497"/>
      <c r="C101" s="497"/>
      <c r="D101" s="497"/>
      <c r="E101" s="497"/>
      <c r="F101" s="446">
        <f>J101+H101+L101</f>
        <v>130463</v>
      </c>
      <c r="G101" s="497"/>
      <c r="H101" s="446">
        <f>ROUNDDOWN(SUMIF(P97:P100,O101,H97:H100),0)</f>
        <v>59020</v>
      </c>
      <c r="I101" s="497"/>
      <c r="J101" s="446">
        <f>ROUNDDOWN(SUMIF(P97:P100,O101,J97:J100),0)</f>
        <v>11692</v>
      </c>
      <c r="K101" s="497"/>
      <c r="L101" s="446">
        <f>ROUNDDOWN(SUMIF(P97:P100,O101,L97:L100),0)</f>
        <v>59751</v>
      </c>
      <c r="M101" s="497"/>
      <c r="O101" s="468" t="s">
        <v>2354</v>
      </c>
    </row>
    <row r="102" spans="1:26" ht="33.200000000000003" customHeight="1">
      <c r="A102" s="484" t="s">
        <v>4605</v>
      </c>
      <c r="B102" s="484"/>
      <c r="C102" s="485"/>
      <c r="D102" s="485"/>
      <c r="E102" s="485"/>
      <c r="F102" s="485"/>
      <c r="G102" s="485"/>
      <c r="H102" s="485"/>
      <c r="I102" s="485"/>
      <c r="J102" s="485"/>
      <c r="K102" s="485"/>
      <c r="L102" s="485"/>
      <c r="M102" s="485"/>
      <c r="N102" s="486" t="str">
        <f>HYPERLINK("#N"&amp;ROW(N107),"_x0005_`BDCOD|X00291_x0007_`POSS|"&amp;ROW(N104)&amp;"_x0007_`POSE|"&amp;ROW(N107)&amp;"_x0007_`")</f>
        <v>_x0005_`BDCOD|X00291_x0007_`POSS|104_x0007_`POSE|107_x0007_`</v>
      </c>
    </row>
    <row r="103" spans="1:26" ht="33.200000000000003" customHeight="1">
      <c r="A103" s="469" t="s">
        <v>4523</v>
      </c>
      <c r="B103" s="469" t="s">
        <v>4524</v>
      </c>
      <c r="C103" s="487"/>
      <c r="D103" s="488" t="s">
        <v>2409</v>
      </c>
      <c r="E103" s="487"/>
      <c r="F103" s="487"/>
      <c r="G103" s="487"/>
      <c r="H103" s="487"/>
      <c r="I103" s="487"/>
      <c r="J103" s="487"/>
      <c r="K103" s="487"/>
      <c r="L103" s="487"/>
      <c r="M103" s="488" t="s">
        <v>4522</v>
      </c>
      <c r="O103" s="468" t="s">
        <v>4522</v>
      </c>
    </row>
    <row r="104" spans="1:26" ht="33.200000000000003" customHeight="1">
      <c r="A104" s="452" t="s">
        <v>4523</v>
      </c>
      <c r="B104" s="452" t="s">
        <v>4524</v>
      </c>
      <c r="C104" s="489">
        <v>0.25979999999999998</v>
      </c>
      <c r="D104" s="480" t="s">
        <v>4531</v>
      </c>
      <c r="E104" s="490">
        <f t="shared" ref="E104:F107" si="13">I104+G104+K104</f>
        <v>91593</v>
      </c>
      <c r="F104" s="491">
        <f t="shared" si="13"/>
        <v>23795.8</v>
      </c>
      <c r="G104" s="492">
        <v>0</v>
      </c>
      <c r="H104" s="491">
        <f>IF(C104=0,0,ROUNDDOWN(G104*C104,1))</f>
        <v>0</v>
      </c>
      <c r="I104" s="492">
        <v>0</v>
      </c>
      <c r="J104" s="493">
        <f>IF(C104=0,0,ROUNDDOWN(I104*C104,1))</f>
        <v>0</v>
      </c>
      <c r="K104" s="494">
        <f>경비목록표!E21</f>
        <v>91593</v>
      </c>
      <c r="L104" s="498">
        <f>IF(C104=0,0,ROUNDDOWN(K104*C104,1))</f>
        <v>23795.8</v>
      </c>
      <c r="M104" s="463" t="s">
        <v>4606</v>
      </c>
      <c r="N104" s="451" t="s">
        <v>4607</v>
      </c>
      <c r="O104" s="468" t="s">
        <v>4608</v>
      </c>
      <c r="P104" s="468" t="s">
        <v>2354</v>
      </c>
      <c r="Z104" s="433" t="str">
        <f ca="1">HYPERLINK("#"&amp;경비목록표!G2&amp;"!A"&amp;ROW(경비목록표!A21),"S00251 →")</f>
        <v>S00251 →</v>
      </c>
    </row>
    <row r="105" spans="1:26" ht="33.200000000000003" customHeight="1">
      <c r="A105" s="452" t="s">
        <v>4473</v>
      </c>
      <c r="B105" s="452"/>
      <c r="C105" s="489">
        <v>1</v>
      </c>
      <c r="D105" s="480" t="s">
        <v>585</v>
      </c>
      <c r="E105" s="490">
        <f t="shared" si="13"/>
        <v>49778.3</v>
      </c>
      <c r="F105" s="493">
        <f t="shared" si="13"/>
        <v>49778.3</v>
      </c>
      <c r="G105" s="494">
        <f>환율및기초자료!G7</f>
        <v>49778.3</v>
      </c>
      <c r="H105" s="495">
        <f>IF(C105=0,0,ROUNDDOWN(G105*C105,1))</f>
        <v>49778.3</v>
      </c>
      <c r="I105" s="492">
        <v>0</v>
      </c>
      <c r="J105" s="491">
        <f>IF(C105=0,0,ROUNDDOWN(I105*C105,1))</f>
        <v>0</v>
      </c>
      <c r="K105" s="492">
        <v>0</v>
      </c>
      <c r="L105" s="493">
        <f>IF(C105=0,0,ROUNDDOWN(K105*C105,1))</f>
        <v>0</v>
      </c>
      <c r="M105" s="463" t="s">
        <v>4535</v>
      </c>
      <c r="N105" s="451" t="s">
        <v>4536</v>
      </c>
      <c r="O105" s="468" t="s">
        <v>4537</v>
      </c>
      <c r="P105" s="468" t="s">
        <v>2354</v>
      </c>
      <c r="Z105" s="433" t="str">
        <f ca="1">HYPERLINK("#"&amp;환율및기초자료!I2&amp;"!A"&amp;ROW(환율및기초자료!A7),"L00191 →")</f>
        <v>L00191 →</v>
      </c>
    </row>
    <row r="106" spans="1:26" ht="33.200000000000003" customHeight="1">
      <c r="A106" s="452" t="s">
        <v>4485</v>
      </c>
      <c r="B106" s="452" t="s">
        <v>4486</v>
      </c>
      <c r="C106" s="489">
        <v>10.3</v>
      </c>
      <c r="D106" s="480" t="s">
        <v>2840</v>
      </c>
      <c r="E106" s="490">
        <f t="shared" si="13"/>
        <v>1379</v>
      </c>
      <c r="F106" s="491">
        <f t="shared" si="13"/>
        <v>14203.7</v>
      </c>
      <c r="G106" s="492">
        <v>0</v>
      </c>
      <c r="H106" s="493">
        <f>IF(C106=0,0,ROUNDDOWN(G106*C106,1))</f>
        <v>0</v>
      </c>
      <c r="I106" s="494">
        <f>재료비목록표!E10</f>
        <v>1379</v>
      </c>
      <c r="J106" s="495">
        <f>IF(C106=0,0,ROUNDDOWN(I106*C106,1))</f>
        <v>14203.7</v>
      </c>
      <c r="K106" s="492">
        <v>0</v>
      </c>
      <c r="L106" s="493">
        <f>IF(C106=0,0,ROUNDDOWN(K106*C106,1))</f>
        <v>0</v>
      </c>
      <c r="M106" s="463" t="s">
        <v>4538</v>
      </c>
      <c r="N106" s="451" t="s">
        <v>4539</v>
      </c>
      <c r="O106" s="468" t="s">
        <v>4540</v>
      </c>
      <c r="P106" s="468" t="s">
        <v>2354</v>
      </c>
      <c r="Q106" s="468" t="s">
        <v>2355</v>
      </c>
      <c r="Z106" s="433" t="str">
        <f ca="1">HYPERLINK("#"&amp;재료비목록표!G2&amp;"!A"&amp;ROW(재료비목록표!A10),"M00874 →")</f>
        <v>M00874 →</v>
      </c>
    </row>
    <row r="107" spans="1:26" ht="33.200000000000003" customHeight="1">
      <c r="A107" s="452" t="s">
        <v>4541</v>
      </c>
      <c r="B107" s="452" t="s">
        <v>4542</v>
      </c>
      <c r="C107" s="489">
        <v>20</v>
      </c>
      <c r="D107" s="480" t="s">
        <v>2371</v>
      </c>
      <c r="E107" s="490">
        <f t="shared" si="13"/>
        <v>14203.7</v>
      </c>
      <c r="F107" s="491">
        <f t="shared" si="13"/>
        <v>2840.7</v>
      </c>
      <c r="G107" s="465">
        <v>0</v>
      </c>
      <c r="H107" s="491">
        <f>IF(C107=0,0,ROUNDDOWN(G107*C107/100,1))</f>
        <v>0</v>
      </c>
      <c r="I107" s="496">
        <f>J106</f>
        <v>14203.7</v>
      </c>
      <c r="J107" s="493">
        <f>IF(C107=0,0,ROUNDDOWN(I107*C107/100,1))</f>
        <v>2840.7</v>
      </c>
      <c r="K107" s="467">
        <v>0</v>
      </c>
      <c r="L107" s="493">
        <f>IF(C107=0,0,ROUNDDOWN(K107*C107/100,1))</f>
        <v>0</v>
      </c>
      <c r="M107" s="463"/>
      <c r="N107" s="451" t="s">
        <v>4543</v>
      </c>
      <c r="O107" s="468" t="s">
        <v>2373</v>
      </c>
      <c r="P107" s="468" t="s">
        <v>2354</v>
      </c>
    </row>
    <row r="108" spans="1:26" ht="33.200000000000003" customHeight="1">
      <c r="A108" s="463" t="s">
        <v>842</v>
      </c>
      <c r="B108" s="497"/>
      <c r="C108" s="497"/>
      <c r="D108" s="497"/>
      <c r="E108" s="497"/>
      <c r="F108" s="446">
        <f>J108+H108+L108</f>
        <v>90617</v>
      </c>
      <c r="G108" s="497"/>
      <c r="H108" s="446">
        <f>ROUNDDOWN(SUMIF(P104:P107,O108,H104:H107),0)</f>
        <v>49778</v>
      </c>
      <c r="I108" s="497"/>
      <c r="J108" s="446">
        <f>ROUNDDOWN(SUMIF(P104:P107,O108,J104:J107),0)</f>
        <v>17044</v>
      </c>
      <c r="K108" s="497"/>
      <c r="L108" s="446">
        <f>ROUNDDOWN(SUMIF(P104:P107,O108,L104:L107),0)</f>
        <v>23795</v>
      </c>
      <c r="M108" s="497"/>
      <c r="O108" s="468" t="s">
        <v>2354</v>
      </c>
    </row>
    <row r="109" spans="1:26" ht="33.200000000000003" customHeight="1">
      <c r="A109" s="484" t="s">
        <v>4609</v>
      </c>
      <c r="B109" s="484"/>
      <c r="C109" s="485"/>
      <c r="D109" s="485"/>
      <c r="E109" s="485"/>
      <c r="F109" s="485"/>
      <c r="G109" s="485"/>
      <c r="H109" s="485"/>
      <c r="I109" s="485"/>
      <c r="J109" s="485"/>
      <c r="K109" s="485"/>
      <c r="L109" s="485"/>
      <c r="M109" s="485"/>
      <c r="N109" s="486" t="str">
        <f>HYPERLINK("#N"&amp;ROW(N114),"_x0005_`BDCOD|X00290_x0007_`POSS|"&amp;ROW(N111)&amp;"_x0007_`POSE|"&amp;ROW(N114)&amp;"_x0007_`")</f>
        <v>_x0005_`BDCOD|X00290_x0007_`POSS|111_x0007_`POSE|114_x0007_`</v>
      </c>
    </row>
    <row r="110" spans="1:26" ht="33.200000000000003" customHeight="1">
      <c r="A110" s="469" t="s">
        <v>4523</v>
      </c>
      <c r="B110" s="469" t="s">
        <v>4510</v>
      </c>
      <c r="C110" s="487"/>
      <c r="D110" s="488" t="s">
        <v>2409</v>
      </c>
      <c r="E110" s="487"/>
      <c r="F110" s="487"/>
      <c r="G110" s="487"/>
      <c r="H110" s="487"/>
      <c r="I110" s="487"/>
      <c r="J110" s="487"/>
      <c r="K110" s="487"/>
      <c r="L110" s="487"/>
      <c r="M110" s="488" t="s">
        <v>4525</v>
      </c>
      <c r="O110" s="468" t="s">
        <v>4525</v>
      </c>
    </row>
    <row r="111" spans="1:26" ht="33.200000000000003" customHeight="1">
      <c r="A111" s="452" t="s">
        <v>4523</v>
      </c>
      <c r="B111" s="452" t="s">
        <v>4510</v>
      </c>
      <c r="C111" s="489">
        <v>0.25979999999999998</v>
      </c>
      <c r="D111" s="480" t="s">
        <v>4531</v>
      </c>
      <c r="E111" s="490">
        <f t="shared" ref="E111:F114" si="14">I111+G111+K111</f>
        <v>120584</v>
      </c>
      <c r="F111" s="491">
        <f t="shared" si="14"/>
        <v>31327.7</v>
      </c>
      <c r="G111" s="492">
        <v>0</v>
      </c>
      <c r="H111" s="491">
        <f>IF(C111=0,0,ROUNDDOWN(G111*C111,1))</f>
        <v>0</v>
      </c>
      <c r="I111" s="492">
        <v>0</v>
      </c>
      <c r="J111" s="493">
        <f>IF(C111=0,0,ROUNDDOWN(I111*C111,1))</f>
        <v>0</v>
      </c>
      <c r="K111" s="494">
        <f>경비목록표!E22</f>
        <v>120584</v>
      </c>
      <c r="L111" s="498">
        <f>IF(C111=0,0,ROUNDDOWN(K111*C111,1))</f>
        <v>31327.7</v>
      </c>
      <c r="M111" s="463" t="s">
        <v>4610</v>
      </c>
      <c r="N111" s="451" t="s">
        <v>4611</v>
      </c>
      <c r="O111" s="468" t="s">
        <v>4612</v>
      </c>
      <c r="P111" s="468" t="s">
        <v>2354</v>
      </c>
      <c r="Z111" s="433" t="str">
        <f ca="1">HYPERLINK("#"&amp;경비목록표!G2&amp;"!A"&amp;ROW(경비목록표!A22),"S00250 →")</f>
        <v>S00250 →</v>
      </c>
    </row>
    <row r="112" spans="1:26" ht="33.200000000000003" customHeight="1">
      <c r="A112" s="452" t="s">
        <v>4473</v>
      </c>
      <c r="B112" s="452"/>
      <c r="C112" s="489">
        <v>1</v>
      </c>
      <c r="D112" s="480" t="s">
        <v>585</v>
      </c>
      <c r="E112" s="490">
        <f t="shared" si="14"/>
        <v>49778.3</v>
      </c>
      <c r="F112" s="493">
        <f t="shared" si="14"/>
        <v>49778.3</v>
      </c>
      <c r="G112" s="494">
        <f>환율및기초자료!G7</f>
        <v>49778.3</v>
      </c>
      <c r="H112" s="495">
        <f>IF(C112=0,0,ROUNDDOWN(G112*C112,1))</f>
        <v>49778.3</v>
      </c>
      <c r="I112" s="492">
        <v>0</v>
      </c>
      <c r="J112" s="491">
        <f>IF(C112=0,0,ROUNDDOWN(I112*C112,1))</f>
        <v>0</v>
      </c>
      <c r="K112" s="492">
        <v>0</v>
      </c>
      <c r="L112" s="493">
        <f>IF(C112=0,0,ROUNDDOWN(K112*C112,1))</f>
        <v>0</v>
      </c>
      <c r="M112" s="463" t="s">
        <v>4535</v>
      </c>
      <c r="N112" s="451" t="s">
        <v>4536</v>
      </c>
      <c r="O112" s="468" t="s">
        <v>4537</v>
      </c>
      <c r="P112" s="468" t="s">
        <v>2354</v>
      </c>
      <c r="Z112" s="433" t="str">
        <f ca="1">HYPERLINK("#"&amp;환율및기초자료!I2&amp;"!A"&amp;ROW(환율및기초자료!A7),"L00191 →")</f>
        <v>L00191 →</v>
      </c>
    </row>
    <row r="113" spans="1:26" ht="33.200000000000003" customHeight="1">
      <c r="A113" s="452" t="s">
        <v>4485</v>
      </c>
      <c r="B113" s="452" t="s">
        <v>4486</v>
      </c>
      <c r="C113" s="489">
        <v>11</v>
      </c>
      <c r="D113" s="480" t="s">
        <v>2840</v>
      </c>
      <c r="E113" s="490">
        <f t="shared" si="14"/>
        <v>1379</v>
      </c>
      <c r="F113" s="491">
        <f t="shared" si="14"/>
        <v>15169</v>
      </c>
      <c r="G113" s="492">
        <v>0</v>
      </c>
      <c r="H113" s="493">
        <f>IF(C113=0,0,ROUNDDOWN(G113*C113,1))</f>
        <v>0</v>
      </c>
      <c r="I113" s="494">
        <f>재료비목록표!E10</f>
        <v>1379</v>
      </c>
      <c r="J113" s="495">
        <f>IF(C113=0,0,ROUNDDOWN(I113*C113,1))</f>
        <v>15169</v>
      </c>
      <c r="K113" s="492">
        <v>0</v>
      </c>
      <c r="L113" s="493">
        <f>IF(C113=0,0,ROUNDDOWN(K113*C113,1))</f>
        <v>0</v>
      </c>
      <c r="M113" s="463" t="s">
        <v>4538</v>
      </c>
      <c r="N113" s="451" t="s">
        <v>4539</v>
      </c>
      <c r="O113" s="468" t="s">
        <v>4540</v>
      </c>
      <c r="P113" s="468" t="s">
        <v>2354</v>
      </c>
      <c r="Q113" s="468" t="s">
        <v>2355</v>
      </c>
      <c r="Z113" s="433" t="str">
        <f ca="1">HYPERLINK("#"&amp;재료비목록표!G2&amp;"!A"&amp;ROW(재료비목록표!A10),"M00874 →")</f>
        <v>M00874 →</v>
      </c>
    </row>
    <row r="114" spans="1:26" ht="33.200000000000003" customHeight="1">
      <c r="A114" s="452" t="s">
        <v>4541</v>
      </c>
      <c r="B114" s="452" t="s">
        <v>4542</v>
      </c>
      <c r="C114" s="489">
        <v>20</v>
      </c>
      <c r="D114" s="480" t="s">
        <v>2371</v>
      </c>
      <c r="E114" s="490">
        <f t="shared" si="14"/>
        <v>15169</v>
      </c>
      <c r="F114" s="491">
        <f t="shared" si="14"/>
        <v>3033.8</v>
      </c>
      <c r="G114" s="465">
        <v>0</v>
      </c>
      <c r="H114" s="491">
        <f>IF(C114=0,0,ROUNDDOWN(G114*C114/100,1))</f>
        <v>0</v>
      </c>
      <c r="I114" s="496">
        <f>J113</f>
        <v>15169</v>
      </c>
      <c r="J114" s="493">
        <f>IF(C114=0,0,ROUNDDOWN(I114*C114/100,1))</f>
        <v>3033.8</v>
      </c>
      <c r="K114" s="467">
        <v>0</v>
      </c>
      <c r="L114" s="493">
        <f>IF(C114=0,0,ROUNDDOWN(K114*C114/100,1))</f>
        <v>0</v>
      </c>
      <c r="M114" s="463"/>
      <c r="N114" s="451" t="s">
        <v>4543</v>
      </c>
      <c r="O114" s="468" t="s">
        <v>2373</v>
      </c>
      <c r="P114" s="468" t="s">
        <v>2354</v>
      </c>
    </row>
    <row r="115" spans="1:26" ht="33.200000000000003" customHeight="1">
      <c r="A115" s="463" t="s">
        <v>842</v>
      </c>
      <c r="B115" s="497"/>
      <c r="C115" s="497"/>
      <c r="D115" s="497"/>
      <c r="E115" s="497"/>
      <c r="F115" s="446">
        <f>J115+H115+L115</f>
        <v>99307</v>
      </c>
      <c r="G115" s="497"/>
      <c r="H115" s="446">
        <f>ROUNDDOWN(SUMIF(P111:P114,O115,H111:H114),0)</f>
        <v>49778</v>
      </c>
      <c r="I115" s="497"/>
      <c r="J115" s="446">
        <f>ROUNDDOWN(SUMIF(P111:P114,O115,J111:J114),0)</f>
        <v>18202</v>
      </c>
      <c r="K115" s="497"/>
      <c r="L115" s="446">
        <f>ROUNDDOWN(SUMIF(P111:P114,O115,L111:L114),0)</f>
        <v>31327</v>
      </c>
      <c r="M115" s="497"/>
      <c r="O115" s="468" t="s">
        <v>2354</v>
      </c>
    </row>
    <row r="116" spans="1:26" ht="33.200000000000003" customHeight="1">
      <c r="A116" s="484" t="s">
        <v>4613</v>
      </c>
      <c r="B116" s="484"/>
      <c r="C116" s="485"/>
      <c r="D116" s="485"/>
      <c r="E116" s="485"/>
      <c r="F116" s="485"/>
      <c r="G116" s="485"/>
      <c r="H116" s="485"/>
      <c r="I116" s="485"/>
      <c r="J116" s="485"/>
      <c r="K116" s="485"/>
      <c r="L116" s="485"/>
      <c r="M116" s="485"/>
      <c r="N116" s="486" t="str">
        <f>HYPERLINK("#N"&amp;ROW(N121),"_x0005_`BDCOD|X00265_x0007_`POSS|"&amp;ROW(N118)&amp;"_x0007_`POSE|"&amp;ROW(N121)&amp;"_x0007_`")</f>
        <v>_x0005_`BDCOD|X00265_x0007_`POSS|118_x0007_`POSE|121_x0007_`</v>
      </c>
    </row>
    <row r="117" spans="1:26" ht="33.200000000000003" customHeight="1">
      <c r="A117" s="469" t="s">
        <v>4523</v>
      </c>
      <c r="B117" s="469" t="s">
        <v>4527</v>
      </c>
      <c r="C117" s="487"/>
      <c r="D117" s="488" t="s">
        <v>2409</v>
      </c>
      <c r="E117" s="487"/>
      <c r="F117" s="487"/>
      <c r="G117" s="487"/>
      <c r="H117" s="487"/>
      <c r="I117" s="487"/>
      <c r="J117" s="487"/>
      <c r="K117" s="487"/>
      <c r="L117" s="487"/>
      <c r="M117" s="488" t="s">
        <v>4526</v>
      </c>
      <c r="O117" s="468" t="s">
        <v>4526</v>
      </c>
    </row>
    <row r="118" spans="1:26" ht="33.200000000000003" customHeight="1">
      <c r="A118" s="452" t="s">
        <v>4523</v>
      </c>
      <c r="B118" s="452" t="s">
        <v>4527</v>
      </c>
      <c r="C118" s="489">
        <v>0.25979999999999998</v>
      </c>
      <c r="D118" s="480" t="s">
        <v>4531</v>
      </c>
      <c r="E118" s="490">
        <f t="shared" ref="E118:F121" si="15">I118+G118+K118</f>
        <v>42791</v>
      </c>
      <c r="F118" s="491">
        <f t="shared" si="15"/>
        <v>11117.1</v>
      </c>
      <c r="G118" s="492">
        <v>0</v>
      </c>
      <c r="H118" s="491">
        <f>IF(C118=0,0,ROUNDDOWN(G118*C118,1))</f>
        <v>0</v>
      </c>
      <c r="I118" s="492">
        <v>0</v>
      </c>
      <c r="J118" s="493">
        <f>IF(C118=0,0,ROUNDDOWN(I118*C118,1))</f>
        <v>0</v>
      </c>
      <c r="K118" s="494">
        <f>경비목록표!E23</f>
        <v>42791</v>
      </c>
      <c r="L118" s="498">
        <f>IF(C118=0,0,ROUNDDOWN(K118*C118,1))</f>
        <v>11117.1</v>
      </c>
      <c r="M118" s="463" t="s">
        <v>4614</v>
      </c>
      <c r="N118" s="451" t="s">
        <v>4615</v>
      </c>
      <c r="O118" s="468" t="s">
        <v>4616</v>
      </c>
      <c r="P118" s="468" t="s">
        <v>2354</v>
      </c>
      <c r="Z118" s="433" t="str">
        <f ca="1">HYPERLINK("#"&amp;경비목록표!G2&amp;"!A"&amp;ROW(경비목록표!A23),"S00213 →")</f>
        <v>S00213 →</v>
      </c>
    </row>
    <row r="119" spans="1:26" ht="33.200000000000003" customHeight="1">
      <c r="A119" s="452" t="s">
        <v>4473</v>
      </c>
      <c r="B119" s="452"/>
      <c r="C119" s="489">
        <v>1</v>
      </c>
      <c r="D119" s="480" t="s">
        <v>585</v>
      </c>
      <c r="E119" s="490">
        <f t="shared" si="15"/>
        <v>49778.3</v>
      </c>
      <c r="F119" s="493">
        <f t="shared" si="15"/>
        <v>49778.3</v>
      </c>
      <c r="G119" s="494">
        <f>환율및기초자료!G7</f>
        <v>49778.3</v>
      </c>
      <c r="H119" s="495">
        <f>IF(C119=0,0,ROUNDDOWN(G119*C119,1))</f>
        <v>49778.3</v>
      </c>
      <c r="I119" s="492">
        <v>0</v>
      </c>
      <c r="J119" s="491">
        <f>IF(C119=0,0,ROUNDDOWN(I119*C119,1))</f>
        <v>0</v>
      </c>
      <c r="K119" s="492">
        <v>0</v>
      </c>
      <c r="L119" s="493">
        <f>IF(C119=0,0,ROUNDDOWN(K119*C119,1))</f>
        <v>0</v>
      </c>
      <c r="M119" s="463" t="s">
        <v>4535</v>
      </c>
      <c r="N119" s="451" t="s">
        <v>4536</v>
      </c>
      <c r="O119" s="468" t="s">
        <v>4537</v>
      </c>
      <c r="P119" s="468" t="s">
        <v>2354</v>
      </c>
      <c r="Z119" s="433" t="str">
        <f ca="1">HYPERLINK("#"&amp;환율및기초자료!I2&amp;"!A"&amp;ROW(환율및기초자료!A7),"L00191 →")</f>
        <v>L00191 →</v>
      </c>
    </row>
    <row r="120" spans="1:26" ht="33.200000000000003" customHeight="1">
      <c r="A120" s="452" t="s">
        <v>4485</v>
      </c>
      <c r="B120" s="452" t="s">
        <v>4486</v>
      </c>
      <c r="C120" s="489">
        <v>5.0999999999999996</v>
      </c>
      <c r="D120" s="480" t="s">
        <v>2840</v>
      </c>
      <c r="E120" s="490">
        <f t="shared" si="15"/>
        <v>1379</v>
      </c>
      <c r="F120" s="491">
        <f t="shared" si="15"/>
        <v>7032.9</v>
      </c>
      <c r="G120" s="492">
        <v>0</v>
      </c>
      <c r="H120" s="493">
        <f>IF(C120=0,0,ROUNDDOWN(G120*C120,1))</f>
        <v>0</v>
      </c>
      <c r="I120" s="494">
        <f>재료비목록표!E10</f>
        <v>1379</v>
      </c>
      <c r="J120" s="495">
        <f>IF(C120=0,0,ROUNDDOWN(I120*C120,1))</f>
        <v>7032.9</v>
      </c>
      <c r="K120" s="492">
        <v>0</v>
      </c>
      <c r="L120" s="493">
        <f>IF(C120=0,0,ROUNDDOWN(K120*C120,1))</f>
        <v>0</v>
      </c>
      <c r="M120" s="463" t="s">
        <v>4538</v>
      </c>
      <c r="N120" s="451" t="s">
        <v>4539</v>
      </c>
      <c r="O120" s="468" t="s">
        <v>4540</v>
      </c>
      <c r="P120" s="468" t="s">
        <v>2354</v>
      </c>
      <c r="Q120" s="468" t="s">
        <v>2355</v>
      </c>
      <c r="Z120" s="433" t="str">
        <f ca="1">HYPERLINK("#"&amp;재료비목록표!G2&amp;"!A"&amp;ROW(재료비목록표!A10),"M00874 →")</f>
        <v>M00874 →</v>
      </c>
    </row>
    <row r="121" spans="1:26" ht="33.200000000000003" customHeight="1">
      <c r="A121" s="452" t="s">
        <v>4541</v>
      </c>
      <c r="B121" s="452" t="s">
        <v>4542</v>
      </c>
      <c r="C121" s="489">
        <v>20</v>
      </c>
      <c r="D121" s="480" t="s">
        <v>2371</v>
      </c>
      <c r="E121" s="490">
        <f t="shared" si="15"/>
        <v>7032.9</v>
      </c>
      <c r="F121" s="491">
        <f t="shared" si="15"/>
        <v>1406.5</v>
      </c>
      <c r="G121" s="465">
        <v>0</v>
      </c>
      <c r="H121" s="491">
        <f>IF(C121=0,0,ROUNDDOWN(G121*C121/100,1))</f>
        <v>0</v>
      </c>
      <c r="I121" s="496">
        <f>J120</f>
        <v>7032.9</v>
      </c>
      <c r="J121" s="493">
        <f>IF(C121=0,0,ROUNDDOWN(I121*C121/100,1))</f>
        <v>1406.5</v>
      </c>
      <c r="K121" s="467">
        <v>0</v>
      </c>
      <c r="L121" s="493">
        <f>IF(C121=0,0,ROUNDDOWN(K121*C121/100,1))</f>
        <v>0</v>
      </c>
      <c r="M121" s="463"/>
      <c r="N121" s="451" t="s">
        <v>4543</v>
      </c>
      <c r="O121" s="468" t="s">
        <v>2373</v>
      </c>
      <c r="P121" s="468" t="s">
        <v>2354</v>
      </c>
    </row>
    <row r="122" spans="1:26" ht="33.200000000000003" customHeight="1">
      <c r="A122" s="463" t="s">
        <v>842</v>
      </c>
      <c r="B122" s="497"/>
      <c r="C122" s="497"/>
      <c r="D122" s="497"/>
      <c r="E122" s="497"/>
      <c r="F122" s="446">
        <f>J122+H122+L122</f>
        <v>69334</v>
      </c>
      <c r="G122" s="497"/>
      <c r="H122" s="446">
        <f>ROUNDDOWN(SUMIF(P118:P121,O122,H118:H121),0)</f>
        <v>49778</v>
      </c>
      <c r="I122" s="497"/>
      <c r="J122" s="446">
        <f>ROUNDDOWN(SUMIF(P118:P121,O122,J118:J121),0)</f>
        <v>8439</v>
      </c>
      <c r="K122" s="497"/>
      <c r="L122" s="446">
        <f>ROUNDDOWN(SUMIF(P118:P121,O122,L118:L121),0)</f>
        <v>11117</v>
      </c>
      <c r="M122" s="497"/>
      <c r="O122" s="468" t="s">
        <v>2354</v>
      </c>
    </row>
    <row r="123" spans="1:26" ht="33.200000000000003" customHeight="1">
      <c r="A123" s="484" t="s">
        <v>4617</v>
      </c>
      <c r="B123" s="484"/>
      <c r="C123" s="485"/>
      <c r="D123" s="485"/>
      <c r="E123" s="485"/>
      <c r="F123" s="485"/>
      <c r="G123" s="485"/>
      <c r="H123" s="485"/>
      <c r="I123" s="485"/>
      <c r="J123" s="485"/>
      <c r="K123" s="485"/>
      <c r="L123" s="485"/>
      <c r="M123" s="485"/>
      <c r="N123" s="486" t="str">
        <f>HYPERLINK("#N"&amp;ROW(N128),"_x0005_`BDCOD|X00272_x0007_`POSS|"&amp;ROW(N125)&amp;"_x0007_`POSE|"&amp;ROW(N128)&amp;"_x0007_`")</f>
        <v>_x0005_`BDCOD|X00272_x0007_`POSS|125_x0007_`POSE|128_x0007_`</v>
      </c>
    </row>
    <row r="124" spans="1:26" ht="33.200000000000003" customHeight="1">
      <c r="A124" s="469" t="s">
        <v>2418</v>
      </c>
      <c r="B124" s="469" t="s">
        <v>2419</v>
      </c>
      <c r="C124" s="487"/>
      <c r="D124" s="488" t="s">
        <v>2409</v>
      </c>
      <c r="E124" s="487"/>
      <c r="F124" s="487"/>
      <c r="G124" s="487"/>
      <c r="H124" s="487"/>
      <c r="I124" s="487"/>
      <c r="J124" s="487"/>
      <c r="K124" s="487"/>
      <c r="L124" s="487"/>
      <c r="M124" s="488" t="s">
        <v>4528</v>
      </c>
      <c r="O124" s="468" t="s">
        <v>4528</v>
      </c>
    </row>
    <row r="125" spans="1:26" ht="33.200000000000003" customHeight="1">
      <c r="A125" s="452" t="s">
        <v>2418</v>
      </c>
      <c r="B125" s="452" t="s">
        <v>2419</v>
      </c>
      <c r="C125" s="489">
        <v>0.37080000000000002</v>
      </c>
      <c r="D125" s="480" t="s">
        <v>4531</v>
      </c>
      <c r="E125" s="490">
        <f t="shared" ref="E125:F128" si="16">I125+G125+K125</f>
        <v>1673</v>
      </c>
      <c r="F125" s="491">
        <f t="shared" si="16"/>
        <v>620.29999999999995</v>
      </c>
      <c r="G125" s="492">
        <v>0</v>
      </c>
      <c r="H125" s="491">
        <f>IF(C125=0,0,ROUNDDOWN(G125*C125,1))</f>
        <v>0</v>
      </c>
      <c r="I125" s="492">
        <v>0</v>
      </c>
      <c r="J125" s="493">
        <f>IF(C125=0,0,ROUNDDOWN(I125*C125,1))</f>
        <v>0</v>
      </c>
      <c r="K125" s="494">
        <f>경비목록표!E24</f>
        <v>1673</v>
      </c>
      <c r="L125" s="498">
        <f>IF(C125=0,0,ROUNDDOWN(K125*C125,1))</f>
        <v>620.29999999999995</v>
      </c>
      <c r="M125" s="463" t="s">
        <v>4618</v>
      </c>
      <c r="N125" s="451" t="s">
        <v>4619</v>
      </c>
      <c r="O125" s="468" t="s">
        <v>4620</v>
      </c>
      <c r="P125" s="468" t="s">
        <v>2354</v>
      </c>
      <c r="Z125" s="433" t="str">
        <f ca="1">HYPERLINK("#"&amp;경비목록표!G2&amp;"!A"&amp;ROW(경비목록표!A24),"S00221 →")</f>
        <v>S00221 →</v>
      </c>
    </row>
    <row r="126" spans="1:26" ht="33.200000000000003" customHeight="1">
      <c r="A126" s="452" t="s">
        <v>4475</v>
      </c>
      <c r="B126" s="452"/>
      <c r="C126" s="489">
        <v>1</v>
      </c>
      <c r="D126" s="480" t="s">
        <v>585</v>
      </c>
      <c r="E126" s="490">
        <f t="shared" si="16"/>
        <v>36248.9</v>
      </c>
      <c r="F126" s="493">
        <f t="shared" si="16"/>
        <v>36248.9</v>
      </c>
      <c r="G126" s="494">
        <f>환율및기초자료!G8</f>
        <v>36248.9</v>
      </c>
      <c r="H126" s="495">
        <f>IF(C126=0,0,ROUNDDOWN(G126*C126,1))</f>
        <v>36248.9</v>
      </c>
      <c r="I126" s="492">
        <v>0</v>
      </c>
      <c r="J126" s="491">
        <f>IF(C126=0,0,ROUNDDOWN(I126*C126,1))</f>
        <v>0</v>
      </c>
      <c r="K126" s="492">
        <v>0</v>
      </c>
      <c r="L126" s="493">
        <f>IF(C126=0,0,ROUNDDOWN(K126*C126,1))</f>
        <v>0</v>
      </c>
      <c r="M126" s="463" t="s">
        <v>4589</v>
      </c>
      <c r="N126" s="451" t="s">
        <v>4590</v>
      </c>
      <c r="O126" s="468" t="s">
        <v>4591</v>
      </c>
      <c r="P126" s="468" t="s">
        <v>2354</v>
      </c>
      <c r="Z126" s="433" t="str">
        <f ca="1">HYPERLINK("#"&amp;환율및기초자료!I2&amp;"!A"&amp;ROW(환율및기초자료!A8),"L00196 →")</f>
        <v>L00196 →</v>
      </c>
    </row>
    <row r="127" spans="1:26" ht="33.200000000000003" customHeight="1">
      <c r="A127" s="452" t="s">
        <v>2838</v>
      </c>
      <c r="B127" s="452" t="s">
        <v>2839</v>
      </c>
      <c r="C127" s="489">
        <v>1</v>
      </c>
      <c r="D127" s="480" t="s">
        <v>2840</v>
      </c>
      <c r="E127" s="490">
        <f t="shared" si="16"/>
        <v>1472</v>
      </c>
      <c r="F127" s="491">
        <f t="shared" si="16"/>
        <v>1472</v>
      </c>
      <c r="G127" s="492">
        <v>0</v>
      </c>
      <c r="H127" s="493">
        <f>IF(C127=0,0,ROUNDDOWN(G127*C127,1))</f>
        <v>0</v>
      </c>
      <c r="I127" s="494">
        <f>재료비목록표!E110</f>
        <v>1472</v>
      </c>
      <c r="J127" s="495">
        <f>IF(C127=0,0,ROUNDDOWN(I127*C127,1))</f>
        <v>1472</v>
      </c>
      <c r="K127" s="492">
        <v>0</v>
      </c>
      <c r="L127" s="493">
        <f>IF(C127=0,0,ROUNDDOWN(K127*C127,1))</f>
        <v>0</v>
      </c>
      <c r="M127" s="463" t="s">
        <v>2841</v>
      </c>
      <c r="N127" s="451" t="s">
        <v>4592</v>
      </c>
      <c r="O127" s="468" t="s">
        <v>2843</v>
      </c>
      <c r="P127" s="468" t="s">
        <v>2354</v>
      </c>
      <c r="Q127" s="468" t="s">
        <v>2355</v>
      </c>
      <c r="Z127" s="433" t="str">
        <f ca="1">HYPERLINK("#"&amp;재료비목록표!G2&amp;"!A"&amp;ROW(재료비목록표!A110),"M00927 →")</f>
        <v>M00927 →</v>
      </c>
    </row>
    <row r="128" spans="1:26" ht="33.200000000000003" customHeight="1">
      <c r="A128" s="452" t="s">
        <v>4541</v>
      </c>
      <c r="B128" s="452" t="s">
        <v>4542</v>
      </c>
      <c r="C128" s="489">
        <v>20</v>
      </c>
      <c r="D128" s="480" t="s">
        <v>2371</v>
      </c>
      <c r="E128" s="490">
        <f t="shared" si="16"/>
        <v>1472</v>
      </c>
      <c r="F128" s="491">
        <f t="shared" si="16"/>
        <v>294.39999999999998</v>
      </c>
      <c r="G128" s="465">
        <v>0</v>
      </c>
      <c r="H128" s="491">
        <f>IF(C128=0,0,ROUNDDOWN(G128*C128/100,1))</f>
        <v>0</v>
      </c>
      <c r="I128" s="496">
        <f>J127</f>
        <v>1472</v>
      </c>
      <c r="J128" s="493">
        <f>IF(C128=0,0,ROUNDDOWN(I128*C128/100,1))</f>
        <v>294.39999999999998</v>
      </c>
      <c r="K128" s="467">
        <v>0</v>
      </c>
      <c r="L128" s="493">
        <f>IF(C128=0,0,ROUNDDOWN(K128*C128/100,1))</f>
        <v>0</v>
      </c>
      <c r="M128" s="463"/>
      <c r="N128" s="451" t="s">
        <v>4543</v>
      </c>
      <c r="O128" s="468" t="s">
        <v>2373</v>
      </c>
      <c r="P128" s="468" t="s">
        <v>2354</v>
      </c>
    </row>
    <row r="129" spans="1:15" ht="33.200000000000003" customHeight="1">
      <c r="A129" s="463" t="s">
        <v>842</v>
      </c>
      <c r="B129" s="497"/>
      <c r="C129" s="497"/>
      <c r="D129" s="497"/>
      <c r="E129" s="497"/>
      <c r="F129" s="446">
        <f>J129+H129+L129</f>
        <v>38634</v>
      </c>
      <c r="G129" s="497"/>
      <c r="H129" s="446">
        <f>ROUNDDOWN(SUMIF(P125:P128,O129,H125:H128),0)</f>
        <v>36248</v>
      </c>
      <c r="I129" s="497"/>
      <c r="J129" s="446">
        <f>ROUNDDOWN(SUMIF(P125:P128,O129,J125:J128),0)</f>
        <v>1766</v>
      </c>
      <c r="K129" s="497"/>
      <c r="L129" s="446">
        <f>ROUNDDOWN(SUMIF(P125:P128,O129,L125:L128),0)</f>
        <v>620</v>
      </c>
      <c r="M129" s="497"/>
      <c r="O129" s="468" t="s">
        <v>2354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3" type="noConversion"/>
  <conditionalFormatting sqref="C5:M129">
    <cfRule type="expression" dxfId="1" priority="1" stopIfTrue="1">
      <formula>AND(C5&lt;&gt;0,INT(C5)=C5)</formula>
    </cfRule>
  </conditionalFormatting>
  <hyperlinks>
    <hyperlink ref="Z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1100-000000000000}"/>
    <hyperlink ref="N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1100-000001000000}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/>
  <legacy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1:H57"/>
  <sheetViews>
    <sheetView view="pageBreakPreview" zoomScaleNormal="100" zoomScaleSheetLayoutView="100" workbookViewId="0">
      <selection activeCell="B53" sqref="B53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293" t="s">
        <v>373</v>
      </c>
      <c r="B1" s="294" t="s">
        <v>374</v>
      </c>
      <c r="C1" s="294" t="s">
        <v>375</v>
      </c>
      <c r="D1" s="295" t="s">
        <v>376</v>
      </c>
    </row>
    <row r="2" spans="1:8" s="59" customFormat="1" ht="20.45" customHeight="1">
      <c r="A2" s="93" t="s">
        <v>377</v>
      </c>
      <c r="B2" s="56"/>
      <c r="C2" s="57"/>
      <c r="D2" s="58" t="s">
        <v>378</v>
      </c>
      <c r="F2" s="94"/>
      <c r="G2" s="94"/>
      <c r="H2" s="94"/>
    </row>
    <row r="3" spans="1:8" s="63" customFormat="1" ht="18.75" customHeight="1">
      <c r="A3" s="139"/>
      <c r="B3" s="140"/>
      <c r="C3" s="61"/>
      <c r="D3" s="62"/>
      <c r="F3" s="97"/>
      <c r="G3" s="97"/>
      <c r="H3" s="97"/>
    </row>
    <row r="4" spans="1:8" s="63" customFormat="1" ht="18.75" customHeight="1">
      <c r="A4" s="141" t="s">
        <v>379</v>
      </c>
      <c r="B4" s="142" t="s">
        <v>380</v>
      </c>
      <c r="C4" s="65" t="s">
        <v>274</v>
      </c>
      <c r="D4" s="66">
        <v>0.112</v>
      </c>
      <c r="F4" s="331"/>
      <c r="G4" s="97"/>
      <c r="H4" s="97"/>
    </row>
    <row r="5" spans="1:8" s="63" customFormat="1" ht="18.75" customHeight="1">
      <c r="A5" s="143" t="s">
        <v>381</v>
      </c>
      <c r="B5" s="144"/>
      <c r="C5" s="301"/>
      <c r="D5" s="70"/>
      <c r="F5" s="101"/>
      <c r="G5" s="97"/>
      <c r="H5" s="97"/>
    </row>
    <row r="6" spans="1:8" s="63" customFormat="1" ht="18.75" customHeight="1">
      <c r="A6" s="143"/>
      <c r="B6" s="144"/>
      <c r="C6" s="301"/>
      <c r="D6" s="70"/>
      <c r="F6" s="101"/>
      <c r="G6" s="97"/>
      <c r="H6" s="97"/>
    </row>
    <row r="7" spans="1:8" s="63" customFormat="1" ht="18.75" customHeight="1">
      <c r="A7" s="141" t="s">
        <v>382</v>
      </c>
      <c r="B7" s="142" t="s">
        <v>764</v>
      </c>
      <c r="C7" s="65" t="s">
        <v>383</v>
      </c>
      <c r="D7" s="66">
        <v>2.9000000000000001E-2</v>
      </c>
      <c r="F7" s="331"/>
      <c r="G7" s="97"/>
      <c r="H7" s="97"/>
    </row>
    <row r="8" spans="1:8" s="63" customFormat="1" ht="18.75" customHeight="1">
      <c r="A8" s="141" t="s">
        <v>384</v>
      </c>
      <c r="B8" s="144" t="s">
        <v>765</v>
      </c>
      <c r="C8" s="301"/>
      <c r="D8" s="70"/>
      <c r="F8" s="101"/>
      <c r="G8" s="97"/>
      <c r="H8" s="97"/>
    </row>
    <row r="9" spans="1:8" s="63" customFormat="1" ht="18.75" customHeight="1">
      <c r="A9" s="143"/>
      <c r="B9" s="144"/>
      <c r="C9" s="301"/>
      <c r="D9" s="70"/>
      <c r="F9" s="101"/>
      <c r="G9" s="97"/>
      <c r="H9" s="97"/>
    </row>
    <row r="10" spans="1:8" s="63" customFormat="1" ht="18.75" customHeight="1">
      <c r="A10" s="141" t="s">
        <v>385</v>
      </c>
      <c r="B10" s="142" t="s">
        <v>766</v>
      </c>
      <c r="C10" s="65" t="s">
        <v>386</v>
      </c>
      <c r="D10" s="66">
        <v>8.3000000000000004E-2</v>
      </c>
      <c r="F10" s="101"/>
      <c r="G10" s="97"/>
      <c r="H10" s="97"/>
    </row>
    <row r="11" spans="1:8" s="63" customFormat="1" ht="18.75" customHeight="1">
      <c r="A11" s="141" t="s">
        <v>387</v>
      </c>
      <c r="B11" s="144"/>
      <c r="C11" s="301"/>
      <c r="D11" s="70"/>
      <c r="F11" s="101"/>
      <c r="G11" s="97"/>
      <c r="H11" s="97"/>
    </row>
    <row r="12" spans="1:8" s="63" customFormat="1" ht="18.75" customHeight="1">
      <c r="A12" s="143"/>
      <c r="B12" s="144"/>
      <c r="C12" s="301"/>
      <c r="D12" s="70"/>
      <c r="F12" s="78"/>
    </row>
    <row r="13" spans="1:8" s="63" customFormat="1" ht="18.75" customHeight="1">
      <c r="A13" s="74" t="s">
        <v>388</v>
      </c>
      <c r="B13" s="142" t="s">
        <v>767</v>
      </c>
      <c r="C13" s="65" t="s">
        <v>386</v>
      </c>
      <c r="D13" s="66">
        <v>2.5000000000000001E-2</v>
      </c>
      <c r="F13" s="104"/>
      <c r="H13" s="78"/>
    </row>
    <row r="14" spans="1:8" s="63" customFormat="1" ht="18.75" customHeight="1">
      <c r="A14" s="134"/>
      <c r="B14" s="332" t="s">
        <v>768</v>
      </c>
      <c r="C14" s="65"/>
      <c r="D14" s="66"/>
      <c r="F14" s="105"/>
      <c r="H14" s="106"/>
    </row>
    <row r="15" spans="1:8" s="63" customFormat="1" ht="18.75" customHeight="1">
      <c r="A15" s="134"/>
      <c r="B15" s="144"/>
      <c r="C15" s="308"/>
      <c r="D15" s="76"/>
    </row>
    <row r="16" spans="1:8" s="63" customFormat="1" ht="18.75" customHeight="1">
      <c r="A16" s="77" t="s">
        <v>389</v>
      </c>
      <c r="B16" s="142" t="s">
        <v>390</v>
      </c>
      <c r="C16" s="65" t="s">
        <v>391</v>
      </c>
      <c r="D16" s="79">
        <v>0.36</v>
      </c>
    </row>
    <row r="17" spans="1:8" s="63" customFormat="1" ht="18.75" customHeight="1">
      <c r="A17" s="77" t="s">
        <v>103</v>
      </c>
      <c r="B17" s="142"/>
      <c r="C17" s="65"/>
      <c r="D17" s="79"/>
    </row>
    <row r="18" spans="1:8" s="63" customFormat="1" ht="18.75" customHeight="1">
      <c r="A18" s="80"/>
      <c r="B18" s="142"/>
      <c r="C18" s="65"/>
      <c r="D18" s="79"/>
      <c r="H18" s="333"/>
    </row>
    <row r="19" spans="1:8" s="63" customFormat="1" ht="18.75" customHeight="1">
      <c r="A19" s="77" t="s">
        <v>392</v>
      </c>
      <c r="B19" s="334" t="str">
        <f>"0.5m*1.05(할증)="&amp;ROUND(0.5*1.05,2)&amp;"m"</f>
        <v>0.5m*1.05(할증)=0.53m</v>
      </c>
      <c r="C19" s="65" t="s">
        <v>105</v>
      </c>
      <c r="D19" s="70">
        <v>0.53</v>
      </c>
      <c r="F19" s="111"/>
      <c r="H19" s="111"/>
    </row>
    <row r="20" spans="1:8" s="63" customFormat="1" ht="18.95" customHeight="1">
      <c r="A20" s="77" t="s">
        <v>393</v>
      </c>
      <c r="B20" s="142"/>
      <c r="C20" s="65"/>
      <c r="D20" s="70"/>
    </row>
    <row r="21" spans="1:8" s="63" customFormat="1" ht="18.95" customHeight="1">
      <c r="A21" s="77"/>
      <c r="B21" s="142"/>
      <c r="C21" s="65"/>
      <c r="D21" s="70"/>
    </row>
    <row r="22" spans="1:8" s="63" customFormat="1" ht="21.75" customHeight="1">
      <c r="A22" s="77" t="s">
        <v>772</v>
      </c>
      <c r="B22" s="142" t="s">
        <v>773</v>
      </c>
      <c r="C22" s="65" t="s">
        <v>391</v>
      </c>
      <c r="D22" s="73">
        <v>0.188</v>
      </c>
    </row>
    <row r="23" spans="1:8" s="63" customFormat="1" ht="18.95" customHeight="1">
      <c r="A23" s="77" t="s">
        <v>394</v>
      </c>
      <c r="B23" s="142" t="s">
        <v>395</v>
      </c>
      <c r="C23" s="65"/>
      <c r="D23" s="70"/>
    </row>
    <row r="24" spans="1:8" s="63" customFormat="1" ht="18.95" customHeight="1">
      <c r="A24" s="80"/>
      <c r="B24" s="334"/>
      <c r="C24" s="65"/>
      <c r="D24" s="70"/>
      <c r="E24" s="83"/>
      <c r="F24" s="83"/>
      <c r="G24" s="83"/>
      <c r="H24" s="83"/>
    </row>
    <row r="25" spans="1:8" ht="18.75" customHeight="1">
      <c r="A25" s="147" t="s">
        <v>575</v>
      </c>
      <c r="B25" s="334" t="str">
        <f>"0.5m*8.77kg="&amp;ROUND(0.5*8.77,2)&amp;"kg"</f>
        <v>0.5m*8.77kg=4.39kg</v>
      </c>
      <c r="C25" s="149" t="s">
        <v>396</v>
      </c>
      <c r="D25" s="150">
        <v>4.4000000000000003E-3</v>
      </c>
    </row>
    <row r="26" spans="1:8" ht="18.75" customHeight="1">
      <c r="A26" s="77"/>
      <c r="B26" s="334" t="str">
        <f>"4.39kg/1000="&amp;ROUND(4.39/1000,4)&amp;"ton"</f>
        <v>4.39kg/1000=0.0044ton</v>
      </c>
      <c r="C26" s="65"/>
      <c r="D26" s="137"/>
    </row>
    <row r="27" spans="1:8" ht="18.75" customHeight="1">
      <c r="A27" s="80"/>
      <c r="B27" s="142"/>
      <c r="C27" s="65"/>
      <c r="D27" s="137"/>
      <c r="F27" s="106"/>
    </row>
    <row r="28" spans="1:8" ht="18.75" customHeight="1">
      <c r="A28" s="77" t="s">
        <v>576</v>
      </c>
      <c r="B28" s="332" t="str">
        <f>"3.14*0.06m*0.06m*1.5m/0.00334 = "&amp;ROUND(3.14*0.06*0.06*1.5/0.00334,3)&amp;"재"</f>
        <v>3.14*0.06m*0.06m*1.5m/0.00334 = 5.077재</v>
      </c>
      <c r="C28" s="65" t="s">
        <v>397</v>
      </c>
      <c r="D28" s="137">
        <v>5.33</v>
      </c>
    </row>
    <row r="29" spans="1:8" ht="18.75" customHeight="1">
      <c r="A29" s="77" t="s">
        <v>762</v>
      </c>
      <c r="B29" s="332" t="str">
        <f>"5.077*1.05(할증) = "&amp;ROUNDDOWN(5.077*1.05,3)&amp;"재"</f>
        <v>5.077*1.05(할증) = 5.33재</v>
      </c>
      <c r="C29" s="65"/>
      <c r="D29" s="137"/>
    </row>
    <row r="30" spans="1:8" ht="18.75" customHeight="1">
      <c r="A30" s="151"/>
      <c r="B30" s="152"/>
      <c r="C30" s="153"/>
      <c r="D30" s="154"/>
    </row>
    <row r="31" spans="1:8" ht="18.75" customHeight="1">
      <c r="A31" s="77" t="s">
        <v>577</v>
      </c>
      <c r="B31" s="142" t="s">
        <v>763</v>
      </c>
      <c r="C31" s="65" t="s">
        <v>8</v>
      </c>
      <c r="D31" s="137">
        <v>1.7000000000000001E-2</v>
      </c>
    </row>
    <row r="32" spans="1:8" ht="18.75" customHeight="1">
      <c r="A32" s="113" t="s">
        <v>398</v>
      </c>
      <c r="B32" s="155"/>
      <c r="C32" s="109"/>
      <c r="D32" s="114"/>
    </row>
    <row r="33" spans="1:4" ht="18.75" customHeight="1">
      <c r="A33" s="134"/>
      <c r="B33" s="142"/>
      <c r="C33" s="65"/>
      <c r="D33" s="79"/>
    </row>
    <row r="34" spans="1:4" ht="18.75" customHeight="1">
      <c r="A34" s="77" t="s">
        <v>578</v>
      </c>
      <c r="B34" s="334" t="str">
        <f>"2조*1.05(할증)="&amp;ROUNDDOWN(2*1.05,3)&amp;"조"</f>
        <v>2조*1.05(할증)=2.1조</v>
      </c>
      <c r="C34" s="81" t="s">
        <v>399</v>
      </c>
      <c r="D34" s="82">
        <v>2.1</v>
      </c>
    </row>
    <row r="35" spans="1:4" ht="18.75" customHeight="1">
      <c r="A35" s="77" t="s">
        <v>400</v>
      </c>
      <c r="B35" s="142"/>
      <c r="C35" s="81"/>
      <c r="D35" s="82"/>
    </row>
    <row r="36" spans="1:4" ht="18.75" customHeight="1">
      <c r="A36" s="77"/>
      <c r="B36" s="142"/>
      <c r="C36" s="81"/>
      <c r="D36" s="82"/>
    </row>
    <row r="37" spans="1:4" ht="18.75" customHeight="1">
      <c r="A37" s="77"/>
      <c r="B37" s="142"/>
      <c r="C37" s="81"/>
      <c r="D37" s="82"/>
    </row>
    <row r="38" spans="1:4" ht="20.45" customHeight="1">
      <c r="A38" s="77" t="s">
        <v>769</v>
      </c>
      <c r="B38" s="334" t="s">
        <v>770</v>
      </c>
      <c r="C38" s="65" t="s">
        <v>365</v>
      </c>
      <c r="D38" s="193">
        <v>2</v>
      </c>
    </row>
    <row r="39" spans="1:4" ht="20.45" customHeight="1">
      <c r="A39" s="185"/>
      <c r="B39" s="157"/>
      <c r="C39" s="86"/>
      <c r="D39" s="87"/>
    </row>
    <row r="40" spans="1:4" ht="20.45" customHeight="1">
      <c r="A40" s="178" t="s">
        <v>146</v>
      </c>
      <c r="B40" s="155" t="s">
        <v>402</v>
      </c>
      <c r="C40" s="116" t="s">
        <v>403</v>
      </c>
      <c r="D40" s="119">
        <v>4.0000000000000002E-4</v>
      </c>
    </row>
    <row r="41" spans="1:4" ht="20.45" customHeight="1">
      <c r="A41" s="162" t="s">
        <v>404</v>
      </c>
      <c r="B41" s="334" t="str">
        <f>"0.2m*2ea*0.995kg ="&amp;ROUNDDOWN(0.2*2*0.995,3)&amp;"kg"</f>
        <v>0.2m*2ea*0.995kg =0.398kg</v>
      </c>
      <c r="C41" s="163"/>
      <c r="D41" s="164"/>
    </row>
    <row r="42" spans="1:4" ht="20.45" customHeight="1">
      <c r="A42" s="162"/>
      <c r="B42" s="334" t="str">
        <f>"0.389kg*1.03(할증)="&amp;ROUNDDOWN(0.389*1.03,3)&amp;"kg"</f>
        <v>0.389kg*1.03(할증)=0.4kg</v>
      </c>
      <c r="C42" s="81"/>
      <c r="D42" s="82"/>
    </row>
    <row r="43" spans="1:4" ht="20.45" customHeight="1">
      <c r="A43" s="162"/>
      <c r="B43" s="334"/>
      <c r="C43" s="81"/>
      <c r="D43" s="82"/>
    </row>
    <row r="44" spans="1:4" ht="20.45" customHeight="1">
      <c r="A44" s="161" t="s">
        <v>579</v>
      </c>
      <c r="B44" s="334" t="str">
        <f>"0.2m*2ea*0.995kg ="&amp;ROUNDDOWN(0.2*2*0.995,3)&amp;"kg"</f>
        <v>0.2m*2ea*0.995kg =0.398kg</v>
      </c>
      <c r="C44" s="81" t="s">
        <v>405</v>
      </c>
      <c r="D44" s="165">
        <f>0.398/1000</f>
        <v>3.9800000000000002E-4</v>
      </c>
    </row>
    <row r="45" spans="1:4" ht="20.45" customHeight="1">
      <c r="A45" s="162" t="s">
        <v>771</v>
      </c>
      <c r="B45" s="115"/>
      <c r="C45" s="163"/>
      <c r="D45" s="164"/>
    </row>
    <row r="46" spans="1:4" ht="20.45" customHeight="1">
      <c r="A46" s="84"/>
      <c r="B46" s="115"/>
      <c r="C46" s="163"/>
      <c r="D46" s="164"/>
    </row>
    <row r="47" spans="1:4" ht="20.45" customHeight="1">
      <c r="A47" s="84" t="s">
        <v>580</v>
      </c>
      <c r="B47" s="334" t="str">
        <f>"3.0m*1.05(할증)="&amp;ROUNDDOWN(3*1.05,3)&amp;"m"</f>
        <v>3.0m*1.05(할증)=3.15m</v>
      </c>
      <c r="C47" s="163" t="s">
        <v>129</v>
      </c>
      <c r="D47" s="166">
        <v>3.15</v>
      </c>
    </row>
    <row r="48" spans="1:4" ht="20.45" customHeight="1">
      <c r="A48" s="162" t="s">
        <v>805</v>
      </c>
      <c r="B48" s="115"/>
      <c r="C48" s="163"/>
      <c r="D48" s="164"/>
    </row>
    <row r="49" spans="1:4" ht="20.45" customHeight="1">
      <c r="A49" s="162"/>
      <c r="B49" s="115"/>
      <c r="C49" s="163"/>
      <c r="D49" s="164"/>
    </row>
    <row r="50" spans="1:4" ht="20.45" hidden="1" customHeight="1">
      <c r="A50" s="77" t="s">
        <v>581</v>
      </c>
      <c r="B50" s="332" t="str">
        <f>"￠110: : 0.055*2*3.14*1.5m*1ea = "&amp;ROUNDDOWN(0.055*2*3.14*1.5*1,3)&amp;"㎥"</f>
        <v>￠110: : 0.055*2*3.14*1.5m*1ea = 0.518㎥</v>
      </c>
      <c r="C50" s="65" t="s">
        <v>383</v>
      </c>
      <c r="D50" s="66">
        <v>0.51800000000000002</v>
      </c>
    </row>
    <row r="51" spans="1:4" ht="20.45" hidden="1" customHeight="1">
      <c r="A51" s="80" t="s">
        <v>406</v>
      </c>
      <c r="B51" s="332"/>
      <c r="C51" s="65"/>
      <c r="D51" s="70"/>
    </row>
    <row r="52" spans="1:4" ht="20.45" customHeight="1">
      <c r="A52" s="80"/>
      <c r="B52" s="332"/>
      <c r="C52" s="65"/>
      <c r="D52" s="70"/>
    </row>
    <row r="53" spans="1:4" ht="20.45" customHeight="1">
      <c r="A53" s="77" t="s">
        <v>582</v>
      </c>
      <c r="B53" s="142"/>
      <c r="C53" s="81" t="s">
        <v>407</v>
      </c>
      <c r="D53" s="138">
        <f>4.79+57.5+10.2+10.33</f>
        <v>82.82</v>
      </c>
    </row>
    <row r="54" spans="1:4" ht="20.45" customHeight="1">
      <c r="A54" s="77" t="s">
        <v>408</v>
      </c>
      <c r="B54" s="334" t="str">
        <f>"4.39kg+0.398kg = "&amp;ROUND(4.39+0.398,2)&amp;"kg"</f>
        <v>4.39kg+0.398kg = 4.79kg</v>
      </c>
      <c r="C54" s="81"/>
      <c r="D54" s="82"/>
    </row>
    <row r="55" spans="1:4" ht="20.45" customHeight="1">
      <c r="A55" s="84" t="s">
        <v>409</v>
      </c>
      <c r="B55" s="334" t="str">
        <f>"0.025㎥ * 2300kg/㎥ ="&amp;ROUND(D13*2300,2)&amp;"kg"</f>
        <v>0.025㎥ * 2300kg/㎥ =57.5kg</v>
      </c>
      <c r="C55" s="81"/>
      <c r="D55" s="82"/>
    </row>
    <row r="56" spans="1:4" ht="20.45" customHeight="1">
      <c r="A56" s="84" t="s">
        <v>410</v>
      </c>
      <c r="B56" s="334" t="str">
        <f>"0.017㎥ * 600kg/㎥ ="&amp;ROUND(0.017*600,2)&amp;"kg"</f>
        <v>0.017㎥ * 600kg/㎥ =10.2kg</v>
      </c>
      <c r="C56" s="81"/>
      <c r="D56" s="82"/>
    </row>
    <row r="57" spans="1:4" ht="20.45" customHeight="1">
      <c r="A57" s="230" t="s">
        <v>411</v>
      </c>
      <c r="B57" s="336" t="str">
        <f>"0.36㎡ * 28.69kg/㎡ ="&amp;ROUND(0.36*28.69,2)&amp;"kg"</f>
        <v>0.36㎡ * 28.69kg/㎡ =10.33kg</v>
      </c>
      <c r="C57" s="86"/>
      <c r="D57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1:H37"/>
  <sheetViews>
    <sheetView view="pageBreakPreview" zoomScaleNormal="100" zoomScaleSheetLayoutView="100" workbookViewId="0">
      <selection activeCell="B20" sqref="B20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293" t="s">
        <v>412</v>
      </c>
      <c r="B1" s="294" t="s">
        <v>413</v>
      </c>
      <c r="C1" s="294" t="s">
        <v>414</v>
      </c>
      <c r="D1" s="295" t="s">
        <v>376</v>
      </c>
    </row>
    <row r="2" spans="1:8" s="59" customFormat="1" ht="20.45" customHeight="1">
      <c r="A2" s="296" t="s">
        <v>415</v>
      </c>
      <c r="B2" s="127"/>
      <c r="C2" s="128"/>
      <c r="D2" s="129" t="s">
        <v>416</v>
      </c>
      <c r="F2" s="94"/>
      <c r="G2" s="94"/>
      <c r="H2" s="94"/>
    </row>
    <row r="3" spans="1:8" s="63" customFormat="1" ht="18.75" customHeight="1">
      <c r="A3" s="337"/>
      <c r="B3" s="338"/>
      <c r="C3" s="132"/>
      <c r="D3" s="133"/>
      <c r="F3" s="97"/>
      <c r="G3" s="97"/>
      <c r="H3" s="97"/>
    </row>
    <row r="4" spans="1:8" s="63" customFormat="1" ht="18.75" customHeight="1">
      <c r="A4" s="141" t="s">
        <v>417</v>
      </c>
      <c r="B4" s="332" t="str">
        <f>"0.55m*0.55m*0.5m = "&amp;ROUND(0.55*0.55*0.5,3)&amp;"㎥"</f>
        <v>0.55m*0.55m*0.5m = 0.151㎥</v>
      </c>
      <c r="C4" s="65" t="s">
        <v>386</v>
      </c>
      <c r="D4" s="66">
        <v>0.151</v>
      </c>
      <c r="F4" s="331"/>
      <c r="G4" s="97"/>
      <c r="H4" s="97"/>
    </row>
    <row r="5" spans="1:8" s="63" customFormat="1" ht="18.75" customHeight="1">
      <c r="A5" s="143" t="s">
        <v>418</v>
      </c>
      <c r="B5" s="142"/>
      <c r="C5" s="301"/>
      <c r="D5" s="70"/>
      <c r="F5" s="101"/>
      <c r="G5" s="97"/>
      <c r="H5" s="97"/>
    </row>
    <row r="6" spans="1:8" s="63" customFormat="1" ht="18.75" customHeight="1">
      <c r="A6" s="143"/>
      <c r="B6" s="144"/>
      <c r="C6" s="301"/>
      <c r="D6" s="70"/>
      <c r="F6" s="101"/>
      <c r="G6" s="97"/>
      <c r="H6" s="97"/>
    </row>
    <row r="7" spans="1:8" s="63" customFormat="1" ht="18.75" customHeight="1">
      <c r="A7" s="141" t="s">
        <v>419</v>
      </c>
      <c r="B7" s="332" t="str">
        <f>"0.35m*0.35m*0.35m = "&amp;ROUND(0.35*0.35*0.35,3)&amp;"㎥"</f>
        <v>0.35m*0.35m*0.35m = 0.043㎥</v>
      </c>
      <c r="C7" s="65" t="s">
        <v>274</v>
      </c>
      <c r="D7" s="66">
        <v>4.2999999999999997E-2</v>
      </c>
      <c r="F7" s="101"/>
      <c r="G7" s="97"/>
      <c r="H7" s="97"/>
    </row>
    <row r="8" spans="1:8" s="63" customFormat="1" ht="18.75" customHeight="1">
      <c r="A8" s="141" t="s">
        <v>387</v>
      </c>
      <c r="B8" s="167"/>
      <c r="C8" s="301"/>
      <c r="D8" s="70"/>
      <c r="F8" s="111"/>
      <c r="H8" s="111"/>
    </row>
    <row r="9" spans="1:8" s="63" customFormat="1" ht="18.95" customHeight="1">
      <c r="A9" s="143"/>
      <c r="B9" s="144"/>
      <c r="C9" s="301"/>
      <c r="D9" s="70"/>
    </row>
    <row r="10" spans="1:8" s="63" customFormat="1" ht="18.95" customHeight="1">
      <c r="A10" s="141" t="s">
        <v>385</v>
      </c>
      <c r="B10" s="168" t="s">
        <v>420</v>
      </c>
      <c r="C10" s="65" t="s">
        <v>386</v>
      </c>
      <c r="D10" s="66">
        <f>D4-D7</f>
        <v>0.108</v>
      </c>
    </row>
    <row r="11" spans="1:8" s="63" customFormat="1" ht="21.75" customHeight="1">
      <c r="A11" s="141" t="s">
        <v>387</v>
      </c>
      <c r="B11" s="144"/>
      <c r="C11" s="301"/>
      <c r="D11" s="70"/>
    </row>
    <row r="12" spans="1:8" s="63" customFormat="1" ht="18.95" customHeight="1">
      <c r="A12" s="143"/>
      <c r="B12" s="144"/>
      <c r="C12" s="301"/>
      <c r="D12" s="70"/>
    </row>
    <row r="13" spans="1:8" s="63" customFormat="1" ht="18.95" customHeight="1">
      <c r="A13" s="74" t="s">
        <v>388</v>
      </c>
      <c r="B13" s="332" t="str">
        <f>"0.35m*0.35m*0.35m = "&amp;ROUND(0.35*0.35*0.35,3)&amp;"㎥"</f>
        <v>0.35m*0.35m*0.35m = 0.043㎥</v>
      </c>
      <c r="C13" s="65" t="s">
        <v>383</v>
      </c>
      <c r="D13" s="66">
        <v>4.2999999999999997E-2</v>
      </c>
      <c r="E13" s="83"/>
      <c r="F13" s="83"/>
      <c r="G13" s="83"/>
      <c r="H13" s="83"/>
    </row>
    <row r="14" spans="1:8" ht="18.75" customHeight="1">
      <c r="A14" s="134"/>
      <c r="B14" s="332"/>
      <c r="C14" s="65"/>
      <c r="D14" s="66"/>
    </row>
    <row r="15" spans="1:8" ht="18.75" customHeight="1">
      <c r="A15" s="134"/>
      <c r="B15" s="144"/>
      <c r="C15" s="308"/>
      <c r="D15" s="76"/>
    </row>
    <row r="16" spans="1:8" ht="18.75" customHeight="1">
      <c r="A16" s="77" t="s">
        <v>421</v>
      </c>
      <c r="B16" s="332" t="str">
        <f>"0.35m*0.35m*4면 = "&amp;ROUND(0.35*0.35*4,3)&amp;"㎥"</f>
        <v>0.35m*0.35m*4면 = 0.49㎥</v>
      </c>
      <c r="C16" s="65" t="s">
        <v>391</v>
      </c>
      <c r="D16" s="79">
        <v>0.49</v>
      </c>
      <c r="F16" s="332"/>
    </row>
    <row r="17" spans="1:4" ht="18.75" customHeight="1">
      <c r="A17" s="77" t="s">
        <v>422</v>
      </c>
      <c r="B17" s="142"/>
      <c r="C17" s="65"/>
      <c r="D17" s="79"/>
    </row>
    <row r="18" spans="1:4" ht="18.75" customHeight="1">
      <c r="A18" s="80"/>
      <c r="B18" s="142"/>
      <c r="C18" s="65"/>
      <c r="D18" s="79"/>
    </row>
    <row r="19" spans="1:4" ht="18.75" customHeight="1">
      <c r="A19" s="161" t="s">
        <v>423</v>
      </c>
      <c r="B19" s="142" t="s">
        <v>424</v>
      </c>
      <c r="C19" s="81" t="s">
        <v>403</v>
      </c>
      <c r="D19" s="82">
        <v>9.2100000000000005E-4</v>
      </c>
    </row>
    <row r="20" spans="1:4" ht="18.75" customHeight="1">
      <c r="A20" s="162" t="s">
        <v>404</v>
      </c>
      <c r="B20" s="334" t="str">
        <f>"0.9m*0.995kg ="&amp;ROUNDDOWN(0.9*0.995,3)&amp;"kg"</f>
        <v>0.9m*0.995kg =0.895kg</v>
      </c>
      <c r="C20" s="163"/>
      <c r="D20" s="164"/>
    </row>
    <row r="21" spans="1:4" ht="18.75" customHeight="1">
      <c r="A21" s="162"/>
      <c r="B21" s="334" t="str">
        <f>"0.895kg*1.03(할증)="&amp;ROUNDDOWN(0.895*1.03,3)&amp;"kg"</f>
        <v>0.895kg*1.03(할증)=0.921kg</v>
      </c>
      <c r="C21" s="81"/>
      <c r="D21" s="82"/>
    </row>
    <row r="22" spans="1:4" ht="18.75" customHeight="1">
      <c r="A22" s="77"/>
      <c r="B22" s="339"/>
      <c r="C22" s="65"/>
      <c r="D22" s="136"/>
    </row>
    <row r="23" spans="1:4" ht="18.75" customHeight="1">
      <c r="A23" s="161" t="s">
        <v>425</v>
      </c>
      <c r="B23" s="334" t="str">
        <f>"0.9m*0.995kg ="&amp;ROUNDDOWN(0.9*0.995,3)&amp;"kg"</f>
        <v>0.9m*0.995kg =0.895kg</v>
      </c>
      <c r="C23" s="81" t="s">
        <v>403</v>
      </c>
      <c r="D23" s="165">
        <f>0.895/1000</f>
        <v>8.9500000000000007E-4</v>
      </c>
    </row>
    <row r="24" spans="1:4" ht="18.75" customHeight="1">
      <c r="A24" s="162" t="s">
        <v>426</v>
      </c>
      <c r="B24" s="115"/>
      <c r="C24" s="163"/>
      <c r="D24" s="164"/>
    </row>
    <row r="25" spans="1:4" ht="18.75" customHeight="1">
      <c r="A25" s="77"/>
      <c r="B25" s="339"/>
      <c r="C25" s="81"/>
      <c r="D25" s="82"/>
    </row>
    <row r="26" spans="1:4" ht="18.75" customHeight="1">
      <c r="A26" s="77" t="s">
        <v>427</v>
      </c>
      <c r="B26" s="142" t="s">
        <v>428</v>
      </c>
      <c r="C26" s="81" t="s">
        <v>429</v>
      </c>
      <c r="D26" s="138">
        <v>2</v>
      </c>
    </row>
    <row r="27" spans="1:4" ht="20.45" customHeight="1">
      <c r="A27" s="80" t="s">
        <v>430</v>
      </c>
      <c r="B27" s="115"/>
      <c r="C27" s="81"/>
      <c r="D27" s="82"/>
    </row>
    <row r="28" spans="1:4" ht="20.45" customHeight="1">
      <c r="A28" s="80"/>
      <c r="B28" s="115"/>
      <c r="C28" s="81"/>
      <c r="D28" s="82"/>
    </row>
    <row r="29" spans="1:4" ht="20.45" customHeight="1">
      <c r="A29" s="77" t="s">
        <v>431</v>
      </c>
      <c r="B29" s="142" t="s">
        <v>432</v>
      </c>
      <c r="C29" s="81" t="s">
        <v>433</v>
      </c>
      <c r="D29" s="138">
        <v>2</v>
      </c>
    </row>
    <row r="30" spans="1:4" ht="20.45" customHeight="1">
      <c r="A30" s="84"/>
      <c r="B30" s="332"/>
      <c r="C30" s="81"/>
      <c r="D30" s="82"/>
    </row>
    <row r="31" spans="1:4" ht="20.45" customHeight="1">
      <c r="A31" s="77" t="s">
        <v>434</v>
      </c>
      <c r="B31" s="142"/>
      <c r="C31" s="81" t="s">
        <v>435</v>
      </c>
      <c r="D31" s="138">
        <f>ROUND(0.859+1.08+6+98.9+14.06,1)</f>
        <v>120.9</v>
      </c>
    </row>
    <row r="32" spans="1:4" ht="20.45" customHeight="1">
      <c r="A32" s="77" t="s">
        <v>408</v>
      </c>
      <c r="B32" s="115" t="s">
        <v>436</v>
      </c>
      <c r="C32" s="81"/>
      <c r="D32" s="82"/>
    </row>
    <row r="33" spans="1:4" ht="20.45" customHeight="1">
      <c r="A33" s="84" t="s">
        <v>437</v>
      </c>
      <c r="B33" s="334" t="str">
        <f>"0.043㎥ * 2300kg/㎥ ="&amp;ROUND(D13*2300,2)&amp;"kg"</f>
        <v>0.043㎥ * 2300kg/㎥ =98.9kg</v>
      </c>
      <c r="C33" s="81"/>
      <c r="D33" s="82"/>
    </row>
    <row r="34" spans="1:4" ht="20.45" customHeight="1">
      <c r="A34" s="84" t="s">
        <v>438</v>
      </c>
      <c r="B34" s="334" t="str">
        <f>"0.49㎡ * 28.69kg/㎡ ="&amp;ROUND(D16*28.69,2)&amp;"kg"</f>
        <v>0.49㎡ * 28.69kg/㎡ =14.06kg</v>
      </c>
      <c r="C34" s="81"/>
      <c r="D34" s="82"/>
    </row>
    <row r="35" spans="1:4" ht="20.45" customHeight="1">
      <c r="A35" s="222"/>
      <c r="B35" s="195"/>
      <c r="C35" s="196"/>
      <c r="D35" s="197"/>
    </row>
    <row r="36" spans="1:4" ht="20.45" customHeight="1">
      <c r="A36" s="222"/>
      <c r="B36" s="195"/>
      <c r="C36" s="196"/>
      <c r="D36" s="197"/>
    </row>
    <row r="37" spans="1:4" ht="20.45" customHeight="1">
      <c r="A37" s="223"/>
      <c r="B37" s="224"/>
      <c r="C37" s="225"/>
      <c r="D37" s="226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1:H54"/>
  <sheetViews>
    <sheetView view="pageBreakPreview" zoomScaleNormal="100" zoomScaleSheetLayoutView="100" workbookViewId="0">
      <selection activeCell="B30" sqref="B30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48</v>
      </c>
      <c r="D1" s="92" t="s">
        <v>49</v>
      </c>
    </row>
    <row r="2" spans="1:8" s="59" customFormat="1" ht="20.45" customHeight="1">
      <c r="A2" s="93" t="s">
        <v>87</v>
      </c>
      <c r="B2" s="56"/>
      <c r="C2" s="57"/>
      <c r="D2" s="58" t="s">
        <v>88</v>
      </c>
      <c r="F2" s="94"/>
      <c r="G2" s="94"/>
      <c r="H2" s="94"/>
    </row>
    <row r="3" spans="1:8" s="63" customFormat="1" ht="18.75" customHeight="1">
      <c r="A3" s="139"/>
      <c r="B3" s="140"/>
      <c r="C3" s="61"/>
      <c r="D3" s="62"/>
      <c r="F3" s="97"/>
      <c r="G3" s="97"/>
      <c r="H3" s="97"/>
    </row>
    <row r="4" spans="1:8" s="63" customFormat="1" ht="18.75" customHeight="1">
      <c r="A4" s="141" t="s">
        <v>68</v>
      </c>
      <c r="B4" s="142" t="s">
        <v>89</v>
      </c>
      <c r="C4" s="65" t="s">
        <v>69</v>
      </c>
      <c r="D4" s="66">
        <v>0.112</v>
      </c>
      <c r="F4" s="99"/>
      <c r="G4" s="97"/>
      <c r="H4" s="97"/>
    </row>
    <row r="5" spans="1:8" s="63" customFormat="1" ht="18.75" customHeight="1">
      <c r="A5" s="143" t="s">
        <v>160</v>
      </c>
      <c r="B5" s="144"/>
      <c r="C5" s="145"/>
      <c r="D5" s="70"/>
      <c r="F5" s="101"/>
      <c r="G5" s="97"/>
      <c r="H5" s="97"/>
    </row>
    <row r="6" spans="1:8" s="63" customFormat="1" ht="18.75" customHeight="1">
      <c r="A6" s="143"/>
      <c r="B6" s="144"/>
      <c r="C6" s="145"/>
      <c r="D6" s="70"/>
      <c r="F6" s="101"/>
      <c r="G6" s="97"/>
      <c r="H6" s="97"/>
    </row>
    <row r="7" spans="1:8" s="63" customFormat="1" ht="18.75" customHeight="1">
      <c r="A7" s="141" t="s">
        <v>90</v>
      </c>
      <c r="B7" s="142" t="s">
        <v>91</v>
      </c>
      <c r="C7" s="65" t="s">
        <v>69</v>
      </c>
      <c r="D7" s="66">
        <v>2.8000000000000001E-2</v>
      </c>
      <c r="F7" s="99"/>
      <c r="G7" s="97"/>
      <c r="H7" s="97"/>
    </row>
    <row r="8" spans="1:8" s="63" customFormat="1" ht="18.75" customHeight="1">
      <c r="A8" s="141" t="s">
        <v>92</v>
      </c>
      <c r="B8" s="144" t="s">
        <v>93</v>
      </c>
      <c r="C8" s="145"/>
      <c r="D8" s="70"/>
      <c r="F8" s="101"/>
      <c r="G8" s="97"/>
      <c r="H8" s="97"/>
    </row>
    <row r="9" spans="1:8" s="63" customFormat="1" ht="18.75" customHeight="1">
      <c r="A9" s="143"/>
      <c r="B9" s="144"/>
      <c r="C9" s="145"/>
      <c r="D9" s="70"/>
      <c r="F9" s="101"/>
      <c r="G9" s="97"/>
      <c r="H9" s="97"/>
    </row>
    <row r="10" spans="1:8" s="63" customFormat="1" ht="18.75" customHeight="1">
      <c r="A10" s="141" t="s">
        <v>94</v>
      </c>
      <c r="B10" s="142" t="s">
        <v>95</v>
      </c>
      <c r="C10" s="65" t="s">
        <v>69</v>
      </c>
      <c r="D10" s="66">
        <v>8.4000000000000005E-2</v>
      </c>
      <c r="F10" s="101"/>
      <c r="G10" s="97"/>
      <c r="H10" s="97"/>
    </row>
    <row r="11" spans="1:8" s="63" customFormat="1" ht="18.75" customHeight="1">
      <c r="A11" s="141" t="s">
        <v>92</v>
      </c>
      <c r="B11" s="144"/>
      <c r="C11" s="145"/>
      <c r="D11" s="70"/>
      <c r="F11" s="101"/>
      <c r="G11" s="97"/>
      <c r="H11" s="97"/>
    </row>
    <row r="12" spans="1:8" s="63" customFormat="1" ht="18.75" customHeight="1">
      <c r="A12" s="143"/>
      <c r="B12" s="144"/>
      <c r="C12" s="145"/>
      <c r="D12" s="70"/>
      <c r="F12" s="78"/>
    </row>
    <row r="13" spans="1:8" s="63" customFormat="1" ht="18.75" customHeight="1">
      <c r="A13" s="74" t="s">
        <v>96</v>
      </c>
      <c r="B13" s="142" t="s">
        <v>97</v>
      </c>
      <c r="C13" s="65" t="s">
        <v>69</v>
      </c>
      <c r="D13" s="66">
        <v>2.5000000000000001E-2</v>
      </c>
      <c r="F13" s="104"/>
      <c r="H13" s="78"/>
    </row>
    <row r="14" spans="1:8" s="63" customFormat="1" ht="18.75" customHeight="1">
      <c r="A14" s="134" t="s">
        <v>98</v>
      </c>
      <c r="B14" s="67" t="s">
        <v>99</v>
      </c>
      <c r="C14" s="65"/>
      <c r="D14" s="66"/>
      <c r="F14" s="105"/>
      <c r="H14" s="106"/>
    </row>
    <row r="15" spans="1:8" s="63" customFormat="1" ht="18.75" customHeight="1">
      <c r="A15" s="134"/>
      <c r="B15" s="144"/>
      <c r="C15" s="146"/>
      <c r="D15" s="76"/>
    </row>
    <row r="16" spans="1:8" s="63" customFormat="1" ht="18.75" customHeight="1">
      <c r="A16" s="77" t="s">
        <v>100</v>
      </c>
      <c r="B16" s="142" t="s">
        <v>101</v>
      </c>
      <c r="C16" s="65" t="s">
        <v>102</v>
      </c>
      <c r="D16" s="79">
        <v>0.36</v>
      </c>
    </row>
    <row r="17" spans="1:8" s="63" customFormat="1" ht="18.75" customHeight="1">
      <c r="A17" s="77" t="s">
        <v>103</v>
      </c>
      <c r="B17" s="142"/>
      <c r="C17" s="65"/>
      <c r="D17" s="79"/>
    </row>
    <row r="18" spans="1:8" s="63" customFormat="1" ht="18.75" customHeight="1">
      <c r="A18" s="80"/>
      <c r="B18" s="142"/>
      <c r="C18" s="65"/>
      <c r="D18" s="79"/>
      <c r="H18" s="78"/>
    </row>
    <row r="19" spans="1:8" s="63" customFormat="1" ht="18.75" customHeight="1">
      <c r="A19" s="77" t="s">
        <v>104</v>
      </c>
      <c r="B19" s="135" t="str">
        <f>"0.5m*1.05(할증)="&amp;ROUND(0.5*1.05,2)&amp;"m"</f>
        <v>0.5m*1.05(할증)=0.53m</v>
      </c>
      <c r="C19" s="65" t="s">
        <v>105</v>
      </c>
      <c r="D19" s="70">
        <v>0.53</v>
      </c>
      <c r="F19" s="111"/>
      <c r="H19" s="111"/>
    </row>
    <row r="20" spans="1:8" s="63" customFormat="1" ht="18.95" customHeight="1">
      <c r="A20" s="77" t="s">
        <v>106</v>
      </c>
      <c r="B20" s="142"/>
      <c r="C20" s="65"/>
      <c r="D20" s="70"/>
    </row>
    <row r="21" spans="1:8" s="63" customFormat="1" ht="18.95" customHeight="1">
      <c r="A21" s="77"/>
      <c r="B21" s="142"/>
      <c r="C21" s="65"/>
      <c r="D21" s="70"/>
    </row>
    <row r="22" spans="1:8" s="63" customFormat="1" ht="21.75" customHeight="1">
      <c r="A22" s="77" t="s">
        <v>107</v>
      </c>
      <c r="B22" s="142" t="s">
        <v>108</v>
      </c>
      <c r="C22" s="65" t="s">
        <v>102</v>
      </c>
      <c r="D22" s="73">
        <v>0.17899999999999999</v>
      </c>
    </row>
    <row r="23" spans="1:8" s="63" customFormat="1" ht="18.95" customHeight="1">
      <c r="A23" s="77" t="s">
        <v>109</v>
      </c>
      <c r="B23" s="142" t="s">
        <v>574</v>
      </c>
      <c r="C23" s="65"/>
      <c r="D23" s="70"/>
    </row>
    <row r="24" spans="1:8" s="63" customFormat="1" ht="18.95" customHeight="1">
      <c r="A24" s="80"/>
      <c r="B24" s="142"/>
      <c r="C24" s="65"/>
      <c r="D24" s="70"/>
      <c r="E24" s="83"/>
      <c r="F24" s="83"/>
      <c r="G24" s="83"/>
      <c r="H24" s="83"/>
    </row>
    <row r="25" spans="1:8" ht="18.75" customHeight="1">
      <c r="A25" s="147" t="s">
        <v>110</v>
      </c>
      <c r="B25" s="148" t="s">
        <v>111</v>
      </c>
      <c r="C25" s="149" t="s">
        <v>83</v>
      </c>
      <c r="D25" s="150">
        <v>4.4000000000000003E-3</v>
      </c>
    </row>
    <row r="26" spans="1:8" ht="18.75" customHeight="1">
      <c r="A26" s="77" t="s">
        <v>112</v>
      </c>
      <c r="B26" s="142" t="s">
        <v>113</v>
      </c>
      <c r="C26" s="65"/>
      <c r="D26" s="137"/>
    </row>
    <row r="27" spans="1:8" ht="18.75" customHeight="1">
      <c r="A27" s="80"/>
      <c r="B27" s="142"/>
      <c r="C27" s="65"/>
      <c r="D27" s="137"/>
      <c r="F27" s="106">
        <f>D16*700</f>
        <v>252</v>
      </c>
    </row>
    <row r="28" spans="1:8" ht="18.75" customHeight="1">
      <c r="A28" s="77" t="s">
        <v>114</v>
      </c>
      <c r="B28" s="67" t="str">
        <f>"3.14*0.055m*0.055m*1.5m/0.00334 = "&amp;ROUND(3.14*0.055*0.055*1.5/0.00334,3)&amp;"재"</f>
        <v>3.14*0.055m*0.055m*1.5m/0.00334 = 4.266재</v>
      </c>
      <c r="C28" s="65" t="s">
        <v>115</v>
      </c>
      <c r="D28" s="137">
        <v>4.4790000000000001</v>
      </c>
    </row>
    <row r="29" spans="1:8" ht="18.75" customHeight="1">
      <c r="A29" s="77" t="s">
        <v>116</v>
      </c>
      <c r="B29" s="67" t="str">
        <f>"4.266*1.05(할증) = "&amp;ROUNDDOWN(4.266*1.05,3)&amp;"재"</f>
        <v>4.266*1.05(할증) = 4.479재</v>
      </c>
      <c r="C29" s="65"/>
      <c r="D29" s="137"/>
    </row>
    <row r="30" spans="1:8" ht="18.75" customHeight="1">
      <c r="A30" s="151"/>
      <c r="B30" s="152"/>
      <c r="C30" s="153"/>
      <c r="D30" s="154"/>
    </row>
    <row r="31" spans="1:8" ht="18.75" customHeight="1">
      <c r="A31" s="77" t="s">
        <v>117</v>
      </c>
      <c r="B31" s="142" t="s">
        <v>118</v>
      </c>
      <c r="C31" s="65" t="s">
        <v>8</v>
      </c>
      <c r="D31" s="137">
        <v>1.4200000000000001E-2</v>
      </c>
    </row>
    <row r="32" spans="1:8" ht="18.75" customHeight="1">
      <c r="A32" s="113" t="s">
        <v>119</v>
      </c>
      <c r="B32" s="155"/>
      <c r="C32" s="109"/>
      <c r="D32" s="114"/>
    </row>
    <row r="33" spans="1:4" ht="18.75" customHeight="1">
      <c r="A33" s="134"/>
      <c r="B33" s="142"/>
      <c r="C33" s="65"/>
      <c r="D33" s="79"/>
    </row>
    <row r="34" spans="1:4" ht="18.75" customHeight="1">
      <c r="A34" s="77" t="s">
        <v>120</v>
      </c>
      <c r="B34" s="135" t="str">
        <f>"2조*1.05(할증)="&amp;ROUNDDOWN(2*1.05,3)&amp;"조"</f>
        <v>2조*1.05(할증)=2.1조</v>
      </c>
      <c r="C34" s="81" t="s">
        <v>121</v>
      </c>
      <c r="D34" s="82">
        <v>2.1</v>
      </c>
    </row>
    <row r="35" spans="1:4" ht="18.75" customHeight="1">
      <c r="A35" s="77" t="s">
        <v>122</v>
      </c>
      <c r="B35" s="142"/>
      <c r="C35" s="81"/>
      <c r="D35" s="82"/>
    </row>
    <row r="36" spans="1:4" ht="18.75" customHeight="1">
      <c r="A36" s="77"/>
      <c r="B36" s="142"/>
      <c r="C36" s="81"/>
      <c r="D36" s="82"/>
    </row>
    <row r="37" spans="1:4" ht="18.75" customHeight="1">
      <c r="A37" s="156"/>
      <c r="B37" s="157"/>
      <c r="C37" s="86"/>
      <c r="D37" s="87"/>
    </row>
    <row r="38" spans="1:4" ht="20.45" customHeight="1">
      <c r="A38" s="158" t="s">
        <v>123</v>
      </c>
      <c r="B38" s="248" t="str">
        <f>"2조*1.05(할증)="&amp;ROUNDDOWN(2*1.05,3)&amp;"조"</f>
        <v>2조*1.05(할증)=2.1조</v>
      </c>
      <c r="C38" s="159" t="s">
        <v>121</v>
      </c>
      <c r="D38" s="160">
        <v>2.1</v>
      </c>
    </row>
    <row r="39" spans="1:4" ht="20.45" customHeight="1">
      <c r="A39" s="80"/>
      <c r="B39" s="142"/>
      <c r="C39" s="81"/>
      <c r="D39" s="82"/>
    </row>
    <row r="40" spans="1:4" ht="20.45" customHeight="1">
      <c r="A40" s="161" t="s">
        <v>124</v>
      </c>
      <c r="B40" s="142" t="s">
        <v>125</v>
      </c>
      <c r="C40" s="81" t="s">
        <v>83</v>
      </c>
      <c r="D40" s="82">
        <v>4.0000000000000002E-4</v>
      </c>
    </row>
    <row r="41" spans="1:4" ht="20.45" customHeight="1">
      <c r="A41" s="162" t="s">
        <v>126</v>
      </c>
      <c r="B41" s="135" t="str">
        <f>"0.2m*2ea*0.995kg ="&amp;ROUNDDOWN(0.2*2*0.995,3)&amp;"kg"</f>
        <v>0.2m*2ea*0.995kg =0.398kg</v>
      </c>
      <c r="C41" s="163"/>
      <c r="D41" s="164"/>
    </row>
    <row r="42" spans="1:4" ht="20.45" customHeight="1">
      <c r="A42" s="162"/>
      <c r="B42" s="135" t="str">
        <f>"0.389kg*1.03(할증)="&amp;ROUNDDOWN(0.389*1.03,3)&amp;"kg"</f>
        <v>0.389kg*1.03(할증)=0.4kg</v>
      </c>
      <c r="C42" s="81"/>
      <c r="D42" s="82"/>
    </row>
    <row r="43" spans="1:4" ht="20.45" customHeight="1">
      <c r="A43" s="162"/>
      <c r="B43" s="135"/>
      <c r="C43" s="81"/>
      <c r="D43" s="82"/>
    </row>
    <row r="44" spans="1:4" ht="20.45" customHeight="1">
      <c r="A44" s="161" t="s">
        <v>127</v>
      </c>
      <c r="B44" s="135" t="str">
        <f>"0.2m*2ea*0.995kg ="&amp;ROUNDDOWN(0.2*2*0.995,3)&amp;"kg"</f>
        <v>0.2m*2ea*0.995kg =0.398kg</v>
      </c>
      <c r="C44" s="81" t="s">
        <v>83</v>
      </c>
      <c r="D44" s="165">
        <f>0.398/1000</f>
        <v>3.9800000000000002E-4</v>
      </c>
    </row>
    <row r="45" spans="1:4" ht="20.45" customHeight="1">
      <c r="A45" s="162" t="s">
        <v>128</v>
      </c>
      <c r="B45" s="115"/>
      <c r="C45" s="163"/>
      <c r="D45" s="164"/>
    </row>
    <row r="46" spans="1:4" ht="20.45" customHeight="1">
      <c r="A46" s="84"/>
      <c r="B46" s="115"/>
      <c r="C46" s="163"/>
      <c r="D46" s="164"/>
    </row>
    <row r="47" spans="1:4" ht="20.45" customHeight="1">
      <c r="A47" s="84" t="s">
        <v>158</v>
      </c>
      <c r="B47" s="135" t="str">
        <f>"1.5m*2개소*1.05(할증)="&amp;ROUNDDOWN(1.5*2*1.05,2)&amp;"m"</f>
        <v>1.5m*2개소*1.05(할증)=3.15m</v>
      </c>
      <c r="C47" s="163" t="s">
        <v>129</v>
      </c>
      <c r="D47" s="166">
        <v>3.15</v>
      </c>
    </row>
    <row r="48" spans="1:4" ht="20.45" customHeight="1">
      <c r="A48" s="162" t="s">
        <v>159</v>
      </c>
      <c r="B48" s="135" t="str">
        <f>"차단로프 설치 시 - 1.5m*3개소*1.05(할증)="&amp;ROUNDDOWN(1.5*3*1.05,2)&amp;"m"</f>
        <v>차단로프 설치 시 - 1.5m*3개소*1.05(할증)=4.72m</v>
      </c>
      <c r="C48" s="163" t="s">
        <v>1</v>
      </c>
      <c r="D48" s="166">
        <v>4.72</v>
      </c>
    </row>
    <row r="49" spans="1:4" ht="20.45" customHeight="1">
      <c r="A49" s="162"/>
      <c r="B49" s="115"/>
      <c r="C49" s="81"/>
      <c r="D49" s="82"/>
    </row>
    <row r="50" spans="1:4" ht="20.45" customHeight="1">
      <c r="A50" s="77" t="s">
        <v>130</v>
      </c>
      <c r="B50" s="142"/>
      <c r="C50" s="81" t="s">
        <v>78</v>
      </c>
      <c r="D50" s="138">
        <f>4.78+57.5+8.52+10.33</f>
        <v>81.13</v>
      </c>
    </row>
    <row r="51" spans="1:4" ht="20.45" customHeight="1">
      <c r="A51" s="77" t="s">
        <v>131</v>
      </c>
      <c r="B51" s="115" t="s">
        <v>132</v>
      </c>
      <c r="C51" s="81"/>
      <c r="D51" s="82"/>
    </row>
    <row r="52" spans="1:4" ht="20.45" customHeight="1">
      <c r="A52" s="84" t="s">
        <v>133</v>
      </c>
      <c r="B52" s="135" t="str">
        <f>"0.025㎥ * 2300kg/㎥ ="&amp;ROUND(0.025*2300,2)&amp;"kg"</f>
        <v>0.025㎥ * 2300kg/㎥ =57.5kg</v>
      </c>
      <c r="C52" s="81"/>
      <c r="D52" s="82"/>
    </row>
    <row r="53" spans="1:4" ht="20.45" customHeight="1">
      <c r="A53" s="84" t="s">
        <v>134</v>
      </c>
      <c r="B53" s="135" t="str">
        <f>"0.0142㎥ * 600kg/㎥ ="&amp;ROUND(0.0142*600,2)&amp;"kg"</f>
        <v>0.0142㎥ * 600kg/㎥ =8.52kg</v>
      </c>
      <c r="C53" s="81"/>
      <c r="D53" s="82"/>
    </row>
    <row r="54" spans="1:4" ht="20.45" customHeight="1">
      <c r="A54" s="230" t="s">
        <v>135</v>
      </c>
      <c r="B54" s="260" t="str">
        <f>"0.36㎡ * 28.69kg/㎡ ="&amp;ROUND(0.36*28.69,2)&amp;"kg"</f>
        <v>0.36㎡ * 28.69kg/㎡ =10.33kg</v>
      </c>
      <c r="C54" s="86"/>
      <c r="D54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</sheetPr>
  <dimension ref="A1:H60"/>
  <sheetViews>
    <sheetView view="pageBreakPreview" topLeftCell="A40" zoomScaleNormal="100" zoomScaleSheetLayoutView="100" workbookViewId="0">
      <selection activeCell="B30" sqref="B30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48</v>
      </c>
      <c r="D1" s="92" t="s">
        <v>49</v>
      </c>
    </row>
    <row r="2" spans="1:8" s="59" customFormat="1" ht="20.45" customHeight="1">
      <c r="A2" s="93" t="s">
        <v>136</v>
      </c>
      <c r="B2" s="56"/>
      <c r="C2" s="57"/>
      <c r="D2" s="58" t="s">
        <v>137</v>
      </c>
      <c r="F2" s="94"/>
      <c r="G2" s="94"/>
      <c r="H2" s="94"/>
    </row>
    <row r="3" spans="1:8" s="63" customFormat="1" ht="18.75" customHeight="1">
      <c r="A3" s="139"/>
      <c r="B3" s="140"/>
      <c r="C3" s="61"/>
      <c r="D3" s="62"/>
      <c r="F3" s="97"/>
      <c r="G3" s="97"/>
      <c r="H3" s="97"/>
    </row>
    <row r="4" spans="1:8" s="63" customFormat="1" ht="18.75" customHeight="1">
      <c r="A4" s="141" t="s">
        <v>68</v>
      </c>
      <c r="B4" s="142" t="s">
        <v>138</v>
      </c>
      <c r="C4" s="65" t="s">
        <v>69</v>
      </c>
      <c r="D4" s="66">
        <v>0.3</v>
      </c>
      <c r="F4" s="99"/>
      <c r="G4" s="97"/>
      <c r="H4" s="97"/>
    </row>
    <row r="5" spans="1:8" s="63" customFormat="1" ht="18.75" customHeight="1">
      <c r="A5" s="143" t="s">
        <v>160</v>
      </c>
      <c r="B5" s="142" t="s">
        <v>139</v>
      </c>
      <c r="C5" s="145"/>
      <c r="D5" s="70"/>
      <c r="F5" s="101"/>
      <c r="G5" s="97"/>
      <c r="H5" s="97"/>
    </row>
    <row r="6" spans="1:8" s="63" customFormat="1" ht="18.75" customHeight="1">
      <c r="A6" s="143"/>
      <c r="B6" s="144"/>
      <c r="C6" s="145"/>
      <c r="D6" s="70"/>
      <c r="F6" s="101"/>
      <c r="G6" s="97"/>
      <c r="H6" s="97"/>
    </row>
    <row r="7" spans="1:8" s="63" customFormat="1" ht="18.75" customHeight="1">
      <c r="A7" s="141" t="s">
        <v>90</v>
      </c>
      <c r="B7" s="167" t="s">
        <v>163</v>
      </c>
      <c r="C7" s="65" t="s">
        <v>69</v>
      </c>
      <c r="D7" s="66">
        <v>0.13</v>
      </c>
      <c r="F7" s="99"/>
      <c r="G7" s="97"/>
      <c r="H7" s="97"/>
    </row>
    <row r="8" spans="1:8" s="63" customFormat="1" ht="18.75" customHeight="1">
      <c r="A8" s="141" t="s">
        <v>92</v>
      </c>
      <c r="B8" s="144"/>
      <c r="C8" s="145"/>
      <c r="D8" s="70"/>
      <c r="F8" s="101"/>
      <c r="G8" s="97"/>
      <c r="H8" s="97"/>
    </row>
    <row r="9" spans="1:8" s="63" customFormat="1" ht="18.75" customHeight="1">
      <c r="A9" s="143"/>
      <c r="B9" s="144"/>
      <c r="C9" s="145"/>
      <c r="D9" s="70"/>
      <c r="F9" s="101"/>
      <c r="G9" s="97"/>
      <c r="H9" s="97"/>
    </row>
    <row r="10" spans="1:8" s="63" customFormat="1" ht="18.75" customHeight="1">
      <c r="A10" s="141" t="s">
        <v>94</v>
      </c>
      <c r="B10" s="168" t="s">
        <v>164</v>
      </c>
      <c r="C10" s="65" t="s">
        <v>69</v>
      </c>
      <c r="D10" s="66">
        <f>D4-D7</f>
        <v>0.16999999999999998</v>
      </c>
      <c r="F10" s="101"/>
      <c r="G10" s="97"/>
      <c r="H10" s="97"/>
    </row>
    <row r="11" spans="1:8" s="63" customFormat="1" ht="18.75" customHeight="1">
      <c r="A11" s="141" t="s">
        <v>92</v>
      </c>
      <c r="B11" s="144"/>
      <c r="C11" s="145"/>
      <c r="D11" s="70"/>
      <c r="F11" s="101"/>
      <c r="G11" s="97"/>
      <c r="H11" s="97"/>
    </row>
    <row r="12" spans="1:8" s="63" customFormat="1" ht="18.75" customHeight="1">
      <c r="A12" s="143"/>
      <c r="B12" s="144"/>
      <c r="C12" s="145"/>
      <c r="D12" s="70"/>
      <c r="F12" s="78"/>
    </row>
    <row r="13" spans="1:8" s="63" customFormat="1" ht="18.75" customHeight="1">
      <c r="A13" s="74" t="s">
        <v>96</v>
      </c>
      <c r="B13" s="169" t="s">
        <v>162</v>
      </c>
      <c r="C13" s="65" t="s">
        <v>69</v>
      </c>
      <c r="D13" s="66">
        <v>0.128</v>
      </c>
      <c r="F13" s="104"/>
      <c r="H13" s="78"/>
    </row>
    <row r="14" spans="1:8" s="63" customFormat="1" ht="18.75" customHeight="1">
      <c r="A14" s="134" t="s">
        <v>98</v>
      </c>
      <c r="B14" s="67"/>
      <c r="C14" s="65"/>
      <c r="D14" s="66"/>
      <c r="F14" s="105"/>
      <c r="H14" s="106"/>
    </row>
    <row r="15" spans="1:8" s="63" customFormat="1" ht="18.75" customHeight="1">
      <c r="A15" s="134"/>
      <c r="B15" s="144"/>
      <c r="C15" s="146"/>
      <c r="D15" s="76"/>
    </row>
    <row r="16" spans="1:8" s="63" customFormat="1" ht="18.75" customHeight="1">
      <c r="A16" s="77" t="s">
        <v>100</v>
      </c>
      <c r="B16" s="142" t="s">
        <v>165</v>
      </c>
      <c r="C16" s="65" t="s">
        <v>102</v>
      </c>
      <c r="D16" s="79">
        <v>1.28</v>
      </c>
    </row>
    <row r="17" spans="1:8" s="63" customFormat="1" ht="18.75" customHeight="1">
      <c r="A17" s="77" t="s">
        <v>103</v>
      </c>
      <c r="B17" s="142"/>
      <c r="C17" s="65"/>
      <c r="D17" s="79"/>
    </row>
    <row r="18" spans="1:8" s="63" customFormat="1" ht="18.75" customHeight="1">
      <c r="A18" s="80"/>
      <c r="B18" s="142"/>
      <c r="C18" s="65"/>
      <c r="D18" s="79"/>
      <c r="H18" s="78"/>
    </row>
    <row r="19" spans="1:8" s="63" customFormat="1" ht="18.75" customHeight="1">
      <c r="A19" s="77" t="s">
        <v>104</v>
      </c>
      <c r="B19" s="135" t="str">
        <f>"0.5m*1.05(할증)="&amp;ROUND(0.5*1.05,2)&amp;"m"</f>
        <v>0.5m*1.05(할증)=0.53m</v>
      </c>
      <c r="C19" s="65" t="s">
        <v>105</v>
      </c>
      <c r="D19" s="70">
        <v>0.53</v>
      </c>
      <c r="F19" s="111"/>
      <c r="H19" s="111"/>
    </row>
    <row r="20" spans="1:8" s="63" customFormat="1" ht="18.95" customHeight="1">
      <c r="A20" s="77" t="s">
        <v>106</v>
      </c>
      <c r="B20" s="142"/>
      <c r="C20" s="65"/>
      <c r="D20" s="70"/>
    </row>
    <row r="21" spans="1:8" s="63" customFormat="1" ht="18.95" customHeight="1">
      <c r="A21" s="77"/>
      <c r="B21" s="142"/>
      <c r="C21" s="65"/>
      <c r="D21" s="70"/>
    </row>
    <row r="22" spans="1:8" s="63" customFormat="1" ht="21.75" customHeight="1">
      <c r="A22" s="77" t="s">
        <v>140</v>
      </c>
      <c r="B22" s="142" t="s">
        <v>108</v>
      </c>
      <c r="C22" s="65" t="s">
        <v>102</v>
      </c>
      <c r="D22" s="73">
        <v>0.17899999999999999</v>
      </c>
    </row>
    <row r="23" spans="1:8" s="63" customFormat="1" ht="18.95" customHeight="1">
      <c r="A23" s="77" t="s">
        <v>109</v>
      </c>
      <c r="B23" s="142" t="s">
        <v>574</v>
      </c>
      <c r="C23" s="65"/>
      <c r="D23" s="70"/>
    </row>
    <row r="24" spans="1:8" s="63" customFormat="1" ht="18.95" customHeight="1">
      <c r="A24" s="80"/>
      <c r="B24" s="142"/>
      <c r="C24" s="65"/>
      <c r="D24" s="70"/>
      <c r="E24" s="83"/>
      <c r="F24" s="83"/>
      <c r="G24" s="83"/>
      <c r="H24" s="83"/>
    </row>
    <row r="25" spans="1:8" ht="18.75" customHeight="1">
      <c r="A25" s="147" t="s">
        <v>141</v>
      </c>
      <c r="B25" s="148" t="s">
        <v>111</v>
      </c>
      <c r="C25" s="149" t="s">
        <v>83</v>
      </c>
      <c r="D25" s="150">
        <v>4.4000000000000003E-3</v>
      </c>
    </row>
    <row r="26" spans="1:8" ht="18.75" customHeight="1">
      <c r="A26" s="77" t="s">
        <v>112</v>
      </c>
      <c r="B26" s="142" t="s">
        <v>113</v>
      </c>
      <c r="C26" s="65"/>
      <c r="D26" s="137"/>
    </row>
    <row r="27" spans="1:8" ht="18.75" customHeight="1">
      <c r="A27" s="80"/>
      <c r="B27" s="142"/>
      <c r="C27" s="65"/>
      <c r="D27" s="137"/>
      <c r="F27" s="106">
        <f>D16*700</f>
        <v>896</v>
      </c>
    </row>
    <row r="28" spans="1:8" ht="18.75" customHeight="1">
      <c r="A28" s="77" t="s">
        <v>142</v>
      </c>
      <c r="B28" s="67" t="str">
        <f>"3.14*0.055m*0.055m*1.5m/0.00334 = "&amp;ROUND(3.14*0.055*0.055*1.5/0.00334,3)&amp;"재"</f>
        <v>3.14*0.055m*0.055m*1.5m/0.00334 = 4.266재</v>
      </c>
      <c r="C28" s="65" t="s">
        <v>115</v>
      </c>
      <c r="D28" s="137">
        <v>4.4790000000000001</v>
      </c>
    </row>
    <row r="29" spans="1:8" ht="18.75" customHeight="1">
      <c r="A29" s="77" t="s">
        <v>116</v>
      </c>
      <c r="B29" s="67" t="str">
        <f>"4.266*1.05(할증) = "&amp;ROUNDDOWN(4.266*1.05,3)&amp;"재"</f>
        <v>4.266*1.05(할증) = 4.479재</v>
      </c>
      <c r="C29" s="65"/>
      <c r="D29" s="137"/>
    </row>
    <row r="30" spans="1:8" ht="18.75" customHeight="1">
      <c r="A30" s="151"/>
      <c r="B30" s="152"/>
      <c r="C30" s="153"/>
      <c r="D30" s="154"/>
    </row>
    <row r="31" spans="1:8" ht="18.75" customHeight="1">
      <c r="A31" s="77" t="s">
        <v>143</v>
      </c>
      <c r="B31" s="142" t="s">
        <v>118</v>
      </c>
      <c r="C31" s="65" t="s">
        <v>8</v>
      </c>
      <c r="D31" s="137">
        <v>1.4200000000000001E-2</v>
      </c>
    </row>
    <row r="32" spans="1:8" ht="18.75" customHeight="1">
      <c r="A32" s="113" t="s">
        <v>119</v>
      </c>
      <c r="B32" s="155"/>
      <c r="C32" s="109"/>
      <c r="D32" s="114"/>
    </row>
    <row r="33" spans="1:4" ht="18.75" customHeight="1">
      <c r="A33" s="134"/>
      <c r="B33" s="142"/>
      <c r="C33" s="65"/>
      <c r="D33" s="79"/>
    </row>
    <row r="34" spans="1:4" ht="18.75" customHeight="1">
      <c r="A34" s="107" t="s">
        <v>144</v>
      </c>
      <c r="B34" s="135" t="str">
        <f>"2조*1.05(할증)="&amp;ROUNDDOWN(2*1.05,3)&amp;"조"</f>
        <v>2조*1.05(할증)=2.1조</v>
      </c>
      <c r="C34" s="116" t="s">
        <v>121</v>
      </c>
      <c r="D34" s="119">
        <v>2.1</v>
      </c>
    </row>
    <row r="35" spans="1:4" ht="18.75" customHeight="1">
      <c r="A35" s="77" t="s">
        <v>122</v>
      </c>
      <c r="B35" s="142"/>
      <c r="C35" s="81"/>
      <c r="D35" s="82"/>
    </row>
    <row r="36" spans="1:4" ht="18.75" customHeight="1">
      <c r="A36" s="170"/>
      <c r="B36" s="152"/>
      <c r="C36" s="153"/>
      <c r="D36" s="171"/>
    </row>
    <row r="37" spans="1:4" ht="18.75" customHeight="1">
      <c r="A37" s="156"/>
      <c r="B37" s="157"/>
      <c r="C37" s="172"/>
      <c r="D37" s="173"/>
    </row>
    <row r="38" spans="1:4" ht="20.45" customHeight="1">
      <c r="A38" s="158" t="s">
        <v>145</v>
      </c>
      <c r="B38" s="248" t="str">
        <f>"2조*1.05(할증)="&amp;ROUNDDOWN(2*1.05,3)&amp;"조"</f>
        <v>2조*1.05(할증)=2.1조</v>
      </c>
      <c r="C38" s="159" t="s">
        <v>121</v>
      </c>
      <c r="D38" s="160">
        <v>2.1</v>
      </c>
    </row>
    <row r="39" spans="1:4" ht="20.45" customHeight="1">
      <c r="A39" s="80"/>
      <c r="B39" s="142"/>
      <c r="C39" s="81"/>
      <c r="D39" s="82"/>
    </row>
    <row r="40" spans="1:4" ht="20.45" customHeight="1">
      <c r="A40" s="161" t="s">
        <v>146</v>
      </c>
      <c r="B40" s="142" t="s">
        <v>147</v>
      </c>
      <c r="C40" s="81" t="s">
        <v>83</v>
      </c>
      <c r="D40" s="82">
        <v>1.3309999999999999E-3</v>
      </c>
    </row>
    <row r="41" spans="1:4" ht="20.45" customHeight="1">
      <c r="A41" s="162" t="s">
        <v>126</v>
      </c>
      <c r="B41" s="135" t="str">
        <f>"(0.2m*2ea+0.9)*0.995kg ="&amp;ROUNDDOWN((0.2*2+0.9)*0.995,3)&amp;"kg"</f>
        <v>(0.2m*2ea+0.9)*0.995kg =1.293kg</v>
      </c>
      <c r="C41" s="163"/>
      <c r="D41" s="164"/>
    </row>
    <row r="42" spans="1:4" ht="20.45" customHeight="1">
      <c r="A42" s="162"/>
      <c r="B42" s="135" t="str">
        <f>"1.293kg*1.03(할증)="&amp;ROUNDDOWN(1.293*1.03,3)&amp;"kg"</f>
        <v>1.293kg*1.03(할증)=1.331kg</v>
      </c>
      <c r="C42" s="81"/>
      <c r="D42" s="82"/>
    </row>
    <row r="43" spans="1:4" ht="20.45" customHeight="1">
      <c r="A43" s="162"/>
      <c r="B43" s="135"/>
      <c r="C43" s="81"/>
      <c r="D43" s="82"/>
    </row>
    <row r="44" spans="1:4" ht="20.45" customHeight="1">
      <c r="A44" s="161" t="s">
        <v>148</v>
      </c>
      <c r="B44" s="135" t="str">
        <f>"(0.2m*2ea+0.9)*0.995kg ="&amp;ROUNDDOWN((0.2*2+0.9)*0.995,3)&amp;"kg"</f>
        <v>(0.2m*2ea+0.9)*0.995kg =1.293kg</v>
      </c>
      <c r="C44" s="81" t="s">
        <v>83</v>
      </c>
      <c r="D44" s="165">
        <f>1.293/1000</f>
        <v>1.2929999999999999E-3</v>
      </c>
    </row>
    <row r="45" spans="1:4" ht="20.45" customHeight="1">
      <c r="A45" s="162" t="s">
        <v>128</v>
      </c>
      <c r="B45" s="115"/>
      <c r="C45" s="163"/>
      <c r="D45" s="164"/>
    </row>
    <row r="46" spans="1:4" ht="20.45" customHeight="1">
      <c r="A46" s="84"/>
      <c r="B46" s="115"/>
      <c r="C46" s="163"/>
      <c r="D46" s="164"/>
    </row>
    <row r="47" spans="1:4" ht="20.45" customHeight="1">
      <c r="A47" s="84" t="s">
        <v>157</v>
      </c>
      <c r="B47" s="135" t="str">
        <f>"3.0m*1.05(할증)="&amp;ROUNDDOWN(3*1.05,3)&amp;"m"</f>
        <v>3.0m*1.05(할증)=3.15m</v>
      </c>
      <c r="C47" s="163" t="s">
        <v>129</v>
      </c>
      <c r="D47" s="166">
        <v>3.15</v>
      </c>
    </row>
    <row r="48" spans="1:4" ht="20.45" customHeight="1">
      <c r="A48" s="162" t="s">
        <v>159</v>
      </c>
      <c r="B48" s="135" t="str">
        <f>"차단로프 설치 시 - 1.5m*3개소*1.05(할증)="&amp;ROUNDDOWN(1.5*3*1.05,2)&amp;"m"</f>
        <v>차단로프 설치 시 - 1.5m*3개소*1.05(할증)=4.72m</v>
      </c>
      <c r="C48" s="163" t="s">
        <v>1</v>
      </c>
      <c r="D48" s="166">
        <v>4.72</v>
      </c>
    </row>
    <row r="49" spans="1:4" ht="20.45" customHeight="1">
      <c r="A49" s="162"/>
      <c r="B49" s="115"/>
      <c r="C49" s="81"/>
      <c r="D49" s="82"/>
    </row>
    <row r="50" spans="1:4" ht="20.45" customHeight="1">
      <c r="A50" s="77" t="s">
        <v>149</v>
      </c>
      <c r="B50" s="142" t="s">
        <v>150</v>
      </c>
      <c r="C50" s="81" t="s">
        <v>151</v>
      </c>
      <c r="D50" s="138">
        <v>2</v>
      </c>
    </row>
    <row r="51" spans="1:4" ht="20.45" customHeight="1">
      <c r="A51" s="80" t="s">
        <v>152</v>
      </c>
      <c r="B51" s="115"/>
      <c r="C51" s="81"/>
      <c r="D51" s="82"/>
    </row>
    <row r="52" spans="1:4" ht="20.45" customHeight="1">
      <c r="A52" s="84"/>
      <c r="B52" s="135"/>
      <c r="C52" s="81"/>
      <c r="D52" s="82"/>
    </row>
    <row r="53" spans="1:4" ht="20.45" customHeight="1">
      <c r="A53" s="77" t="s">
        <v>153</v>
      </c>
      <c r="B53" s="142" t="s">
        <v>256</v>
      </c>
      <c r="C53" s="81" t="s">
        <v>151</v>
      </c>
      <c r="D53" s="138">
        <v>2</v>
      </c>
    </row>
    <row r="54" spans="1:4" ht="20.45" customHeight="1">
      <c r="A54" s="80" t="s">
        <v>154</v>
      </c>
      <c r="B54" s="115"/>
      <c r="C54" s="81"/>
      <c r="D54" s="82"/>
    </row>
    <row r="55" spans="1:4" ht="20.45" customHeight="1">
      <c r="A55" s="84"/>
      <c r="B55" s="115"/>
      <c r="C55" s="81"/>
      <c r="D55" s="82"/>
    </row>
    <row r="56" spans="1:4" ht="20.45" customHeight="1">
      <c r="A56" s="77" t="s">
        <v>155</v>
      </c>
      <c r="B56" s="142"/>
      <c r="C56" s="81" t="s">
        <v>78</v>
      </c>
      <c r="D56" s="138">
        <f>5.71+294.4+8.52+36.72</f>
        <v>345.34999999999991</v>
      </c>
    </row>
    <row r="57" spans="1:4" ht="20.45" customHeight="1">
      <c r="A57" s="77" t="s">
        <v>131</v>
      </c>
      <c r="B57" s="115" t="s">
        <v>156</v>
      </c>
      <c r="C57" s="81"/>
      <c r="D57" s="82"/>
    </row>
    <row r="58" spans="1:4" ht="20.45" customHeight="1">
      <c r="A58" s="84" t="s">
        <v>133</v>
      </c>
      <c r="B58" s="135" t="str">
        <f>"0.128㎥ * 2300kg/㎥ ="&amp;ROUND(0.128*2300,2)&amp;"kg"</f>
        <v>0.128㎥ * 2300kg/㎥ =294.4kg</v>
      </c>
      <c r="C58" s="81"/>
      <c r="D58" s="82"/>
    </row>
    <row r="59" spans="1:4" ht="20.45" customHeight="1">
      <c r="A59" s="84" t="s">
        <v>134</v>
      </c>
      <c r="B59" s="135" t="str">
        <f>"0.0142㎥ * 600kg/㎥ ="&amp;ROUND(0.0142*600,2)&amp;"kg"</f>
        <v>0.0142㎥ * 600kg/㎥ =8.52kg</v>
      </c>
      <c r="C59" s="81"/>
      <c r="D59" s="82"/>
    </row>
    <row r="60" spans="1:4" ht="20.45" customHeight="1">
      <c r="A60" s="230" t="s">
        <v>135</v>
      </c>
      <c r="B60" s="260" t="str">
        <f>"1.28㎡ * 28.69kg/㎡ ="&amp;ROUND(1.28*28.69,2)&amp;"kg"</f>
        <v>1.28㎡ * 28.69kg/㎡ =36.72kg</v>
      </c>
      <c r="C60" s="86"/>
      <c r="D60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342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"(0.15m*0.3m)*0.8m = "&amp;ROUND(0.15*0.3*0.8,3)&amp;"㎥"</f>
        <v>(0.15m*0.3m)*0.8m = 0.036㎥</v>
      </c>
      <c r="C4" s="65" t="s">
        <v>7</v>
      </c>
      <c r="D4" s="66">
        <v>3.5999999999999997E-2</v>
      </c>
      <c r="E4" s="63" t="s">
        <v>337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/>
      <c r="C7" s="65" t="s">
        <v>7</v>
      </c>
      <c r="D7" s="66">
        <f>D4</f>
        <v>3.5999999999999997E-2</v>
      </c>
      <c r="E7" s="63" t="s">
        <v>338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74" t="s">
        <v>62</v>
      </c>
      <c r="B10" s="67" t="str">
        <f>"0.15*0.32*0.8m/0.00334 = "&amp;ROUNDDOWN(0.15*0.32*0.8/0.00334,3)&amp;"재"</f>
        <v>0.15*0.32*0.8m/0.00334 = 11.497재</v>
      </c>
      <c r="C10" s="65" t="s">
        <v>9</v>
      </c>
      <c r="D10" s="66">
        <v>12.071</v>
      </c>
      <c r="F10" s="67" t="str">
        <f>"0.15*0.32*1.0m/0.00334 = "&amp;ROUNDDOWN(0.15*0.32*1/0.00334,3)&amp;"재"</f>
        <v>0.15*0.32*1.0m/0.00334 = 14.371재</v>
      </c>
      <c r="G10" s="97"/>
      <c r="H10" s="97"/>
    </row>
    <row r="11" spans="1:8" s="63" customFormat="1" ht="18.75" customHeight="1">
      <c r="A11" s="74" t="s">
        <v>86</v>
      </c>
      <c r="B11" s="67" t="str">
        <f>"11.497*1.05(할증) = "&amp;ROUNDDOWN(11.497*1.05,3)&amp;"재"</f>
        <v>11.497*1.05(할증) = 12.071재</v>
      </c>
      <c r="C11" s="75"/>
      <c r="D11" s="76"/>
      <c r="F11" s="67" t="str">
        <f>"14.371*1.05(할증) = "&amp;ROUNDDOWN(14.371*1.05,3)&amp;"재"</f>
        <v>14.371*1.05(할증) = 15.089재</v>
      </c>
      <c r="G11" s="97"/>
      <c r="H11" s="97"/>
    </row>
    <row r="12" spans="1:8" s="63" customFormat="1" ht="18.75" customHeight="1">
      <c r="A12" s="134"/>
      <c r="B12" s="68"/>
      <c r="C12" s="75"/>
      <c r="D12" s="76"/>
      <c r="F12" s="78"/>
    </row>
    <row r="13" spans="1:8" s="63" customFormat="1" ht="18.75" customHeight="1">
      <c r="A13" s="77" t="s">
        <v>63</v>
      </c>
      <c r="B13" s="67" t="str">
        <f>"(0.15m*0.32m)*0.8m = "&amp;ROUND(0.15*0.32*0.8,3)&amp;"㎥"</f>
        <v>(0.15m*0.32m)*0.8m = 0.038㎥</v>
      </c>
      <c r="C13" s="65" t="s">
        <v>7</v>
      </c>
      <c r="D13" s="66">
        <v>3.7999999999999999E-2</v>
      </c>
      <c r="F13" s="67" t="str">
        <f>"(0.15m*0.32m)*0.m = "&amp;ROUND(0.15*0.32*1,3)&amp;"㎥"</f>
        <v>(0.15m*0.32m)*0.m = 0.048㎥</v>
      </c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72"/>
      <c r="C15" s="65"/>
      <c r="D15" s="70"/>
    </row>
    <row r="16" spans="1:8" s="63" customFormat="1" ht="18.75" customHeight="1">
      <c r="A16" s="77" t="s">
        <v>64</v>
      </c>
      <c r="B16" s="135" t="str">
        <f>"(0.6m*2ea)*0.995kg="&amp;ROUNDDOWN((0.6*2)*0.995,3)&amp;"kg"</f>
        <v>(0.6m*2ea)*0.995kg=1.194kg</v>
      </c>
      <c r="C16" s="65" t="s">
        <v>57</v>
      </c>
      <c r="D16" s="73">
        <v>1.2290000000000001</v>
      </c>
      <c r="F16" s="135" t="str">
        <f>"(0.6m*2ea)*0.995kg="&amp;ROUNDDOWN((0.6*2)*0.995,3)&amp;"kg"</f>
        <v>(0.6m*2ea)*0.995kg=1.194kg</v>
      </c>
    </row>
    <row r="17" spans="1:8" s="63" customFormat="1" ht="18.75" customHeight="1">
      <c r="A17" s="77" t="s">
        <v>79</v>
      </c>
      <c r="B17" s="135" t="str">
        <f>"1.194kg*1.03(할증)="&amp;ROUNDDOWN(1.194*1.03,3)&amp;"kg"</f>
        <v>1.194kg*1.03(할증)=1.229kg</v>
      </c>
      <c r="C17" s="65"/>
      <c r="D17" s="73"/>
      <c r="F17" s="135" t="str">
        <f>"1.194kg*1.03(할증)="&amp;ROUNDDOWN(1.194*1.03,3)&amp;"kg"</f>
        <v>1.194kg*1.03(할증)=1.229kg</v>
      </c>
    </row>
    <row r="18" spans="1:8" s="63" customFormat="1" ht="18.75" customHeight="1">
      <c r="A18" s="77"/>
      <c r="B18" s="135"/>
      <c r="C18" s="65"/>
      <c r="D18" s="73"/>
      <c r="F18" s="135"/>
      <c r="H18" s="78"/>
    </row>
    <row r="19" spans="1:8" s="63" customFormat="1" ht="18.75" customHeight="1">
      <c r="A19" s="77" t="s">
        <v>80</v>
      </c>
      <c r="B19" s="135" t="str">
        <f>"(0.3m+0.2m)*2ea*0.995kg="&amp;ROUNDDOWN((0.3+0.2)*2*0.995,3)&amp;"kg"</f>
        <v>(0.3m+0.2m)*2ea*0.995kg=0.995kg</v>
      </c>
      <c r="C19" s="65" t="s">
        <v>57</v>
      </c>
      <c r="D19" s="73">
        <v>1.024</v>
      </c>
      <c r="F19" s="135" t="str">
        <f>"(0.3m+0.2m)*2ea*0.995kg="&amp;ROUNDDOWN((0.3+0.2)*2*0.995,3)&amp;"kg"</f>
        <v>(0.3m+0.2m)*2ea*0.995kg=0.995kg</v>
      </c>
      <c r="H19" s="111"/>
    </row>
    <row r="20" spans="1:8" s="63" customFormat="1" ht="18.95" customHeight="1">
      <c r="A20" s="77" t="s">
        <v>81</v>
      </c>
      <c r="B20" s="135" t="str">
        <f>"0.995kg*1.03(할증)="&amp;ROUNDDOWN(0.995*1.03,3)&amp;"kg"</f>
        <v>0.995kg*1.03(할증)=1.024kg</v>
      </c>
      <c r="C20" s="65"/>
      <c r="D20" s="73"/>
      <c r="F20" s="135" t="str">
        <f>"0.995kg*1.03(할증)="&amp;ROUNDDOWN(0.995*1.03,3)&amp;"kg"</f>
        <v>0.995kg*1.03(할증)=1.024kg</v>
      </c>
    </row>
    <row r="21" spans="1:8" s="63" customFormat="1" ht="18.95" customHeight="1">
      <c r="A21" s="77"/>
      <c r="B21" s="135"/>
      <c r="C21" s="65"/>
      <c r="D21" s="73"/>
    </row>
    <row r="22" spans="1:8" s="63" customFormat="1" ht="21.75" customHeight="1">
      <c r="A22" s="77" t="s">
        <v>346</v>
      </c>
      <c r="B22" s="72"/>
      <c r="C22" s="81" t="s">
        <v>57</v>
      </c>
      <c r="D22" s="82">
        <f>ROUND(D13*600+2.189,2)</f>
        <v>24.99</v>
      </c>
    </row>
    <row r="23" spans="1:8" s="63" customFormat="1" ht="18.95" customHeight="1">
      <c r="A23" s="77" t="s">
        <v>84</v>
      </c>
      <c r="B23" s="67" t="str">
        <f>"0.038㎥ * 600kg/㎥ = "&amp;ROUND(D13*600,3)&amp;"kg"</f>
        <v>0.038㎥ * 600kg/㎥ = 22.8kg</v>
      </c>
      <c r="C23" s="81"/>
      <c r="D23" s="138"/>
    </row>
    <row r="24" spans="1:8" s="63" customFormat="1" ht="18.95" customHeight="1">
      <c r="A24" s="77" t="s">
        <v>85</v>
      </c>
      <c r="B24" s="67" t="s">
        <v>341</v>
      </c>
      <c r="C24" s="81"/>
      <c r="D24" s="82"/>
      <c r="E24" s="83"/>
      <c r="F24" s="83"/>
      <c r="G24" s="83"/>
      <c r="H24" s="83"/>
    </row>
    <row r="25" spans="1:8" ht="18.75" customHeight="1">
      <c r="A25" s="77"/>
      <c r="B25" s="72"/>
      <c r="C25" s="81"/>
      <c r="D25" s="82"/>
    </row>
    <row r="26" spans="1:8" ht="18.75" customHeight="1">
      <c r="A26" s="77"/>
      <c r="B26" s="67"/>
      <c r="C26" s="81"/>
      <c r="D26" s="138"/>
    </row>
    <row r="27" spans="1:8" ht="18.75" customHeight="1">
      <c r="A27" s="77"/>
      <c r="B27" s="67"/>
      <c r="C27" s="81"/>
      <c r="D27" s="82"/>
      <c r="F27" s="67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587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"(0.15m*0.3m)*1.0m = "&amp;ROUND(0.15*0.3*1,3)&amp;"㎥"</f>
        <v>(0.15m*0.3m)*1.0m = 0.045㎥</v>
      </c>
      <c r="C4" s="65" t="s">
        <v>7</v>
      </c>
      <c r="D4" s="66">
        <v>4.4999999999999998E-2</v>
      </c>
      <c r="E4" s="63" t="s">
        <v>337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/>
      <c r="C7" s="65" t="s">
        <v>7</v>
      </c>
      <c r="D7" s="66">
        <f>D4</f>
        <v>4.4999999999999998E-2</v>
      </c>
      <c r="E7" s="63" t="s">
        <v>337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74" t="s">
        <v>62</v>
      </c>
      <c r="B10" s="67" t="str">
        <f>"0.15*0.32*1.0m/0.00334 = "&amp;ROUNDDOWN(0.15*0.32*1/0.00334,3)&amp;"재"</f>
        <v>0.15*0.32*1.0m/0.00334 = 14.371재</v>
      </c>
      <c r="C10" s="65" t="s">
        <v>9</v>
      </c>
      <c r="D10" s="66">
        <v>15.089</v>
      </c>
      <c r="F10" s="67" t="str">
        <f>"0.15*0.32*1.0m/0.00334 = "&amp;ROUNDDOWN(0.15*0.32*1/0.00334,3)&amp;"재"</f>
        <v>0.15*0.32*1.0m/0.00334 = 14.371재</v>
      </c>
      <c r="G10" s="97"/>
      <c r="H10" s="97"/>
    </row>
    <row r="11" spans="1:8" s="63" customFormat="1" ht="18.75" customHeight="1">
      <c r="A11" s="74" t="s">
        <v>86</v>
      </c>
      <c r="B11" s="67" t="str">
        <f>"14.371*1.05(할증) = "&amp;ROUNDDOWN(14.371*1.05,3)&amp;"재"</f>
        <v>14.371*1.05(할증) = 15.089재</v>
      </c>
      <c r="C11" s="75"/>
      <c r="D11" s="76"/>
      <c r="F11" s="67" t="str">
        <f>"14.371*1.05(할증) = "&amp;ROUNDDOWN(14.371*1.05,3)&amp;"재"</f>
        <v>14.371*1.05(할증) = 15.089재</v>
      </c>
      <c r="G11" s="97"/>
      <c r="H11" s="97"/>
    </row>
    <row r="12" spans="1:8" s="63" customFormat="1" ht="18.75" customHeight="1">
      <c r="A12" s="134"/>
      <c r="B12" s="68"/>
      <c r="C12" s="75"/>
      <c r="D12" s="76"/>
      <c r="F12" s="78"/>
    </row>
    <row r="13" spans="1:8" s="63" customFormat="1" ht="18.75" customHeight="1">
      <c r="A13" s="77" t="s">
        <v>63</v>
      </c>
      <c r="B13" s="67" t="str">
        <f>"(0.15m*0.32m)*1.0m = "&amp;ROUND(0.15*0.32*1,3)&amp;"㎥"</f>
        <v>(0.15m*0.32m)*1.0m = 0.048㎥</v>
      </c>
      <c r="C13" s="65" t="s">
        <v>7</v>
      </c>
      <c r="D13" s="66">
        <v>4.8000000000000001E-2</v>
      </c>
      <c r="F13" s="67" t="str">
        <f>"(0.15m*0.32m)*0.m = "&amp;ROUND(0.15*0.32*1,3)&amp;"㎥"</f>
        <v>(0.15m*0.32m)*0.m = 0.048㎥</v>
      </c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72"/>
      <c r="C15" s="65"/>
      <c r="D15" s="70"/>
    </row>
    <row r="16" spans="1:8" s="63" customFormat="1" ht="18.75" customHeight="1">
      <c r="A16" s="77" t="s">
        <v>64</v>
      </c>
      <c r="B16" s="135" t="str">
        <f>"(0.6m*2ea)*0.995kg="&amp;ROUNDDOWN((0.6*2)*0.995,3)&amp;"kg"</f>
        <v>(0.6m*2ea)*0.995kg=1.194kg</v>
      </c>
      <c r="C16" s="65" t="s">
        <v>57</v>
      </c>
      <c r="D16" s="73">
        <v>1.2290000000000001</v>
      </c>
      <c r="F16" s="135" t="str">
        <f>"(0.6m*2ea)*0.995kg="&amp;ROUNDDOWN((0.6*2)*0.995,3)&amp;"kg"</f>
        <v>(0.6m*2ea)*0.995kg=1.194kg</v>
      </c>
    </row>
    <row r="17" spans="1:8" s="63" customFormat="1" ht="18.75" customHeight="1">
      <c r="A17" s="77" t="s">
        <v>79</v>
      </c>
      <c r="B17" s="135" t="str">
        <f>"1.194kg*1.03(할증)="&amp;ROUNDDOWN(1.194*1.03,3)&amp;"kg"</f>
        <v>1.194kg*1.03(할증)=1.229kg</v>
      </c>
      <c r="C17" s="65"/>
      <c r="D17" s="73"/>
      <c r="F17" s="135" t="str">
        <f>"1.194kg*1.03(할증)="&amp;ROUNDDOWN(1.194*1.03,3)&amp;"kg"</f>
        <v>1.194kg*1.03(할증)=1.229kg</v>
      </c>
    </row>
    <row r="18" spans="1:8" s="63" customFormat="1" ht="18.75" customHeight="1">
      <c r="A18" s="77"/>
      <c r="B18" s="135"/>
      <c r="C18" s="65"/>
      <c r="D18" s="73"/>
      <c r="F18" s="135"/>
      <c r="H18" s="78"/>
    </row>
    <row r="19" spans="1:8" s="63" customFormat="1" ht="18.75" customHeight="1">
      <c r="A19" s="77" t="s">
        <v>80</v>
      </c>
      <c r="B19" s="135" t="str">
        <f>"(0.3m+0.2m)*2ea*0.995kg="&amp;ROUNDDOWN((0.3+0.2)*2*0.995,3)&amp;"kg"</f>
        <v>(0.3m+0.2m)*2ea*0.995kg=0.995kg</v>
      </c>
      <c r="C19" s="65" t="s">
        <v>57</v>
      </c>
      <c r="D19" s="73">
        <v>1.024</v>
      </c>
      <c r="F19" s="135" t="str">
        <f>"(0.3m+0.2m)*2ea*0.995kg="&amp;ROUNDDOWN((0.3+0.2)*2*0.995,3)&amp;"kg"</f>
        <v>(0.3m+0.2m)*2ea*0.995kg=0.995kg</v>
      </c>
      <c r="H19" s="111"/>
    </row>
    <row r="20" spans="1:8" s="63" customFormat="1" ht="18.95" customHeight="1">
      <c r="A20" s="77" t="s">
        <v>81</v>
      </c>
      <c r="B20" s="135" t="str">
        <f>"0.995kg*1.03(할증)="&amp;ROUNDDOWN(0.995*1.03,3)&amp;"kg"</f>
        <v>0.995kg*1.03(할증)=1.024kg</v>
      </c>
      <c r="C20" s="65"/>
      <c r="D20" s="73"/>
      <c r="F20" s="135" t="str">
        <f>"0.995kg*1.03(할증)="&amp;ROUNDDOWN(0.995*1.03,3)&amp;"kg"</f>
        <v>0.995kg*1.03(할증)=1.024kg</v>
      </c>
    </row>
    <row r="21" spans="1:8" s="63" customFormat="1" ht="18.95" customHeight="1">
      <c r="A21" s="77"/>
      <c r="B21" s="135"/>
      <c r="C21" s="65"/>
      <c r="D21" s="73"/>
    </row>
    <row r="22" spans="1:8" s="63" customFormat="1" ht="21.75" customHeight="1">
      <c r="A22" s="77" t="s">
        <v>346</v>
      </c>
      <c r="B22" s="72"/>
      <c r="C22" s="81" t="s">
        <v>57</v>
      </c>
      <c r="D22" s="82">
        <f>ROUND(D13*600+2.189,2)</f>
        <v>30.99</v>
      </c>
    </row>
    <row r="23" spans="1:8" s="63" customFormat="1" ht="18.95" customHeight="1">
      <c r="A23" s="77" t="s">
        <v>84</v>
      </c>
      <c r="B23" s="67" t="str">
        <f>"0.048㎥ * 600kg/㎥ = "&amp;ROUND(D13*600,3)&amp;"kg"</f>
        <v>0.048㎥ * 600kg/㎥ = 28.8kg</v>
      </c>
      <c r="C23" s="81"/>
      <c r="D23" s="138"/>
    </row>
    <row r="24" spans="1:8" s="63" customFormat="1" ht="18.95" customHeight="1">
      <c r="A24" s="77" t="s">
        <v>85</v>
      </c>
      <c r="B24" s="67" t="s">
        <v>341</v>
      </c>
      <c r="C24" s="81"/>
      <c r="D24" s="82"/>
      <c r="E24" s="83"/>
      <c r="F24" s="83"/>
      <c r="G24" s="83"/>
      <c r="H24" s="83"/>
    </row>
    <row r="25" spans="1:8" ht="18.75" customHeight="1">
      <c r="A25" s="77"/>
      <c r="B25" s="72"/>
      <c r="C25" s="81"/>
      <c r="D25" s="82"/>
    </row>
    <row r="26" spans="1:8" ht="18.75" customHeight="1">
      <c r="A26" s="77"/>
      <c r="B26" s="67"/>
      <c r="C26" s="81"/>
      <c r="D26" s="138"/>
    </row>
    <row r="27" spans="1:8" ht="18.75" customHeight="1">
      <c r="A27" s="77"/>
      <c r="B27" s="67"/>
      <c r="C27" s="81"/>
      <c r="D27" s="82"/>
      <c r="F27" s="67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48</v>
      </c>
      <c r="D1" s="92" t="s">
        <v>49</v>
      </c>
    </row>
    <row r="2" spans="1:8" s="59" customFormat="1" ht="20.45" customHeight="1">
      <c r="A2" s="126" t="s">
        <v>343</v>
      </c>
      <c r="B2" s="127"/>
      <c r="C2" s="128"/>
      <c r="D2" s="129" t="s">
        <v>67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68</v>
      </c>
      <c r="B4" s="67" t="str">
        <f>"(0.15m*0.3m)*1.2m = "&amp;ROUND(0.15*0.3*1.2,3)&amp;"㎥"</f>
        <v>(0.15m*0.3m)*1.2m = 0.054㎥</v>
      </c>
      <c r="C4" s="65" t="s">
        <v>69</v>
      </c>
      <c r="D4" s="66">
        <v>5.3999999999999999E-2</v>
      </c>
      <c r="F4" s="99"/>
      <c r="G4" s="97"/>
      <c r="H4" s="97"/>
    </row>
    <row r="5" spans="1:8" s="63" customFormat="1" ht="18.75" customHeight="1">
      <c r="A5" s="64" t="s">
        <v>70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71</v>
      </c>
      <c r="B7" s="67"/>
      <c r="C7" s="65" t="s">
        <v>69</v>
      </c>
      <c r="D7" s="66">
        <f>D4</f>
        <v>5.3999999999999999E-2</v>
      </c>
      <c r="F7" s="99"/>
      <c r="G7" s="97"/>
      <c r="H7" s="97"/>
    </row>
    <row r="8" spans="1:8" s="63" customFormat="1" ht="18.75" customHeight="1">
      <c r="A8" s="64" t="s">
        <v>72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74" t="s">
        <v>73</v>
      </c>
      <c r="B10" s="67" t="str">
        <f>"0.15*0.32*1.2m/0.00334 = "&amp;ROUNDDOWN(0.15*0.32*1.2/0.00334,3)&amp;"재"</f>
        <v>0.15*0.32*1.2m/0.00334 = 17.245재</v>
      </c>
      <c r="C10" s="65" t="s">
        <v>74</v>
      </c>
      <c r="D10" s="66">
        <v>18.016999999999999</v>
      </c>
      <c r="F10" s="101"/>
      <c r="G10" s="97"/>
      <c r="H10" s="97"/>
    </row>
    <row r="11" spans="1:8" s="63" customFormat="1" ht="18.75" customHeight="1">
      <c r="A11" s="74" t="s">
        <v>86</v>
      </c>
      <c r="B11" s="67" t="str">
        <f>"17.245*1.05(할증) = "&amp;ROUNDDOWN(17.245*1.05,3)&amp;"재"</f>
        <v>17.245*1.05(할증) = 18.107재</v>
      </c>
      <c r="C11" s="75"/>
      <c r="D11" s="76"/>
      <c r="F11" s="101"/>
      <c r="G11" s="97"/>
      <c r="H11" s="97"/>
    </row>
    <row r="12" spans="1:8" s="63" customFormat="1" ht="18.75" customHeight="1">
      <c r="A12" s="134"/>
      <c r="B12" s="68"/>
      <c r="C12" s="75"/>
      <c r="D12" s="76"/>
      <c r="F12" s="78"/>
    </row>
    <row r="13" spans="1:8" s="63" customFormat="1" ht="18.75" customHeight="1">
      <c r="A13" s="77" t="s">
        <v>75</v>
      </c>
      <c r="B13" s="67" t="str">
        <f>"(0.15m*0.32m)*1.2m = "&amp;ROUND(0.15*0.32*1.2,3)&amp;"㎥"</f>
        <v>(0.15m*0.32m)*1.2m = 0.058㎥</v>
      </c>
      <c r="C13" s="65" t="s">
        <v>7</v>
      </c>
      <c r="D13" s="66">
        <v>5.8000000000000003E-2</v>
      </c>
      <c r="F13" s="104"/>
      <c r="H13" s="78"/>
    </row>
    <row r="14" spans="1:8" s="63" customFormat="1" ht="18.75" customHeight="1">
      <c r="A14" s="77" t="s">
        <v>76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72"/>
      <c r="C15" s="65"/>
      <c r="D15" s="70"/>
    </row>
    <row r="16" spans="1:8" s="63" customFormat="1" ht="18.75" customHeight="1">
      <c r="A16" s="77" t="s">
        <v>77</v>
      </c>
      <c r="B16" s="135" t="str">
        <f>"(0.6m*2ea)*0.995kg="&amp;ROUNDDOWN((0.6*2)*0.995,3)&amp;"kg"</f>
        <v>(0.6m*2ea)*0.995kg=1.194kg</v>
      </c>
      <c r="C16" s="65" t="s">
        <v>78</v>
      </c>
      <c r="D16" s="73">
        <v>1.2290000000000001</v>
      </c>
    </row>
    <row r="17" spans="1:8" s="63" customFormat="1" ht="18.75" customHeight="1">
      <c r="A17" s="77" t="s">
        <v>79</v>
      </c>
      <c r="B17" s="135" t="str">
        <f>"1.194kg*1.03(할증)="&amp;ROUNDDOWN(1.194*1.03,3)&amp;"kg"</f>
        <v>1.194kg*1.03(할증)=1.229kg</v>
      </c>
      <c r="C17" s="65"/>
      <c r="D17" s="73"/>
    </row>
    <row r="18" spans="1:8" s="63" customFormat="1" ht="18.75" customHeight="1">
      <c r="A18" s="77"/>
      <c r="B18" s="135"/>
      <c r="C18" s="65"/>
      <c r="D18" s="73"/>
      <c r="H18" s="78"/>
    </row>
    <row r="19" spans="1:8" s="63" customFormat="1" ht="18.75" customHeight="1">
      <c r="A19" s="77" t="s">
        <v>80</v>
      </c>
      <c r="B19" s="135" t="str">
        <f>"(0.3m+0.2m)*2ea*0.995kg="&amp;ROUNDDOWN((0.3+0.2)*2*0.995,3)&amp;"kg"</f>
        <v>(0.3m+0.2m)*2ea*0.995kg=0.995kg</v>
      </c>
      <c r="C19" s="65" t="s">
        <v>57</v>
      </c>
      <c r="D19" s="73">
        <v>1.024</v>
      </c>
      <c r="F19" s="111"/>
      <c r="H19" s="111"/>
    </row>
    <row r="20" spans="1:8" s="63" customFormat="1" ht="18.95" customHeight="1">
      <c r="A20" s="77" t="s">
        <v>81</v>
      </c>
      <c r="B20" s="135" t="str">
        <f>"0.995kg*1.03(할증)="&amp;ROUNDDOWN(0.995*1.03,3)&amp;"kg"</f>
        <v>0.995kg*1.03(할증)=1.024kg</v>
      </c>
      <c r="C20" s="65"/>
      <c r="D20" s="73"/>
    </row>
    <row r="21" spans="1:8" s="63" customFormat="1" ht="18.95" customHeight="1">
      <c r="A21" s="77"/>
      <c r="B21" s="135"/>
      <c r="C21" s="65"/>
      <c r="D21" s="73"/>
    </row>
    <row r="22" spans="1:8" s="63" customFormat="1" ht="21.75" customHeight="1">
      <c r="A22" s="77" t="s">
        <v>59</v>
      </c>
      <c r="B22" s="72"/>
      <c r="C22" s="81" t="s">
        <v>57</v>
      </c>
      <c r="D22" s="82">
        <f>ROUND(D13*600+2.189,2)</f>
        <v>36.99</v>
      </c>
    </row>
    <row r="23" spans="1:8" s="63" customFormat="1" ht="18.95" customHeight="1">
      <c r="A23" s="77" t="s">
        <v>84</v>
      </c>
      <c r="B23" s="67" t="str">
        <f>"0.058㎥ * 600kg/㎥ = "&amp;ROUND(D13*600,3)&amp;"kg"</f>
        <v>0.058㎥ * 600kg/㎥ = 34.8kg</v>
      </c>
      <c r="C23" s="81"/>
      <c r="D23" s="138"/>
    </row>
    <row r="24" spans="1:8" s="63" customFormat="1" ht="18.95" customHeight="1">
      <c r="A24" s="77" t="s">
        <v>85</v>
      </c>
      <c r="B24" s="67" t="s">
        <v>341</v>
      </c>
      <c r="C24" s="81"/>
      <c r="D24" s="82"/>
      <c r="E24" s="83"/>
      <c r="F24" s="83"/>
      <c r="G24" s="83"/>
      <c r="H24" s="83"/>
    </row>
    <row r="25" spans="1:8" ht="18.75" customHeight="1">
      <c r="A25" s="77"/>
      <c r="B25" s="72"/>
      <c r="C25" s="81"/>
      <c r="D25" s="82"/>
    </row>
    <row r="26" spans="1:8" ht="18.75" customHeight="1">
      <c r="A26" s="77"/>
      <c r="B26" s="67"/>
      <c r="C26" s="81"/>
      <c r="D26" s="138"/>
    </row>
    <row r="27" spans="1:8" ht="18.75" customHeight="1">
      <c r="A27" s="77"/>
      <c r="B27" s="67"/>
      <c r="C27" s="81"/>
      <c r="D27" s="82"/>
      <c r="F27" s="67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344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"(0.15m*0.3m)*1.5m = "&amp;ROUND(0.15*0.3*1.5,3)&amp;"㎥"</f>
        <v>(0.15m*0.3m)*1.5m = 0.068㎥</v>
      </c>
      <c r="C4" s="65" t="s">
        <v>7</v>
      </c>
      <c r="D4" s="66">
        <v>6.8000000000000005E-2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/>
      <c r="C7" s="65" t="s">
        <v>7</v>
      </c>
      <c r="D7" s="66">
        <f>D4</f>
        <v>6.8000000000000005E-2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74" t="s">
        <v>62</v>
      </c>
      <c r="B10" s="67" t="str">
        <f>"0.15*0.32*1.5m/0.00334 = "&amp;ROUNDDOWN(0.15*0.32*1.5/0.00334,3)&amp;"재"</f>
        <v>0.15*0.32*1.5m/0.00334 = 21.556재</v>
      </c>
      <c r="C10" s="65" t="s">
        <v>9</v>
      </c>
      <c r="D10" s="66">
        <v>22.632999999999999</v>
      </c>
      <c r="F10" s="101"/>
      <c r="G10" s="97"/>
      <c r="H10" s="97"/>
    </row>
    <row r="11" spans="1:8" s="63" customFormat="1" ht="18.75" customHeight="1">
      <c r="A11" s="74" t="s">
        <v>86</v>
      </c>
      <c r="B11" s="67" t="str">
        <f>"21.556*1.05(할증) = "&amp;ROUNDDOWN(21.556*1.05,3)&amp;"재"</f>
        <v>21.556*1.05(할증) = 22.633재</v>
      </c>
      <c r="C11" s="75"/>
      <c r="D11" s="76"/>
      <c r="F11" s="101"/>
      <c r="G11" s="97"/>
      <c r="H11" s="97"/>
    </row>
    <row r="12" spans="1:8" s="63" customFormat="1" ht="18.75" customHeight="1">
      <c r="A12" s="134"/>
      <c r="B12" s="68"/>
      <c r="C12" s="75"/>
      <c r="D12" s="76"/>
      <c r="F12" s="78"/>
    </row>
    <row r="13" spans="1:8" s="63" customFormat="1" ht="18.75" customHeight="1">
      <c r="A13" s="77" t="s">
        <v>63</v>
      </c>
      <c r="B13" s="67" t="str">
        <f>"(0.15m*0.32m)*1.5m = "&amp;ROUND(0.15*0.32*1.5,3)&amp;"㎥"</f>
        <v>(0.15m*0.32m)*1.5m = 0.072㎥</v>
      </c>
      <c r="C13" s="65" t="s">
        <v>7</v>
      </c>
      <c r="D13" s="66">
        <v>7.1999999999999995E-2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72"/>
      <c r="C15" s="65"/>
      <c r="D15" s="70"/>
    </row>
    <row r="16" spans="1:8" s="63" customFormat="1" ht="18.75" customHeight="1">
      <c r="A16" s="77" t="s">
        <v>64</v>
      </c>
      <c r="B16" s="135" t="str">
        <f>"(0.6m*2ea)*0.995kg="&amp;ROUNDDOWN((0.6*2)*0.995,3)&amp;"kg"</f>
        <v>(0.6m*2ea)*0.995kg=1.194kg</v>
      </c>
      <c r="C16" s="65" t="s">
        <v>57</v>
      </c>
      <c r="D16" s="73">
        <v>1.2290000000000001</v>
      </c>
    </row>
    <row r="17" spans="1:8" s="63" customFormat="1" ht="18.75" customHeight="1">
      <c r="A17" s="77" t="s">
        <v>79</v>
      </c>
      <c r="B17" s="135" t="str">
        <f>"1.194kg*1.03(할증)="&amp;ROUNDDOWN(1.194*1.03,3)&amp;"kg"</f>
        <v>1.194kg*1.03(할증)=1.229kg</v>
      </c>
      <c r="C17" s="65"/>
      <c r="D17" s="73"/>
    </row>
    <row r="18" spans="1:8" s="63" customFormat="1" ht="18.75" customHeight="1">
      <c r="A18" s="77"/>
      <c r="B18" s="135"/>
      <c r="C18" s="65"/>
      <c r="D18" s="73"/>
      <c r="H18" s="78"/>
    </row>
    <row r="19" spans="1:8" s="63" customFormat="1" ht="18.75" customHeight="1">
      <c r="A19" s="77" t="s">
        <v>80</v>
      </c>
      <c r="B19" s="135" t="str">
        <f>"(0.3m+0.2m)*2ea*0.995kg="&amp;ROUNDDOWN((0.3+0.2)*2*0.995,3)&amp;"kg"</f>
        <v>(0.3m+0.2m)*2ea*0.995kg=0.995kg</v>
      </c>
      <c r="C19" s="65" t="s">
        <v>57</v>
      </c>
      <c r="D19" s="73">
        <v>1.024</v>
      </c>
      <c r="F19" s="111"/>
      <c r="H19" s="111"/>
    </row>
    <row r="20" spans="1:8" s="63" customFormat="1" ht="18.95" customHeight="1">
      <c r="A20" s="77" t="s">
        <v>81</v>
      </c>
      <c r="B20" s="135" t="str">
        <f>"0.995kg*1.03(할증)="&amp;ROUNDDOWN(0.995*1.03,3)&amp;"kg"</f>
        <v>0.995kg*1.03(할증)=1.024kg</v>
      </c>
      <c r="C20" s="65"/>
      <c r="D20" s="73"/>
    </row>
    <row r="21" spans="1:8" s="63" customFormat="1" ht="18.95" customHeight="1">
      <c r="A21" s="77"/>
      <c r="B21" s="135"/>
      <c r="C21" s="65"/>
      <c r="D21" s="73"/>
    </row>
    <row r="22" spans="1:8" s="63" customFormat="1" ht="21.75" customHeight="1">
      <c r="A22" s="77" t="s">
        <v>59</v>
      </c>
      <c r="B22" s="72"/>
      <c r="C22" s="81" t="s">
        <v>57</v>
      </c>
      <c r="D22" s="82">
        <f>ROUND(D13*600+2.189,2)</f>
        <v>45.39</v>
      </c>
    </row>
    <row r="23" spans="1:8" s="63" customFormat="1" ht="18.95" customHeight="1">
      <c r="A23" s="77" t="s">
        <v>84</v>
      </c>
      <c r="B23" s="67" t="str">
        <f>"0.072㎥ * 600kg/㎥ = "&amp;ROUND(D13*600,3)&amp;"kg"</f>
        <v>0.072㎥ * 600kg/㎥ = 43.2kg</v>
      </c>
      <c r="C23" s="81"/>
      <c r="D23" s="138"/>
    </row>
    <row r="24" spans="1:8" s="63" customFormat="1" ht="18.95" customHeight="1">
      <c r="A24" s="77" t="s">
        <v>85</v>
      </c>
      <c r="B24" s="67" t="s">
        <v>341</v>
      </c>
      <c r="C24" s="81"/>
      <c r="D24" s="82"/>
      <c r="E24" s="83"/>
      <c r="F24" s="83"/>
      <c r="G24" s="83"/>
      <c r="H24" s="83"/>
    </row>
    <row r="25" spans="1:8" ht="18.75" customHeight="1">
      <c r="A25" s="77"/>
      <c r="B25" s="72"/>
      <c r="C25" s="81"/>
      <c r="D25" s="82"/>
    </row>
    <row r="26" spans="1:8" ht="18.75" customHeight="1">
      <c r="A26" s="77"/>
      <c r="B26" s="67"/>
      <c r="C26" s="81"/>
      <c r="D26" s="138"/>
    </row>
    <row r="27" spans="1:8" ht="18.75" customHeight="1">
      <c r="A27" s="77"/>
      <c r="B27" s="67"/>
      <c r="C27" s="81"/>
      <c r="D27" s="82"/>
      <c r="F27" s="67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345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"(0.15m*0.3m)*2.0m = "&amp;ROUND(0.15*0.3*2,3)&amp;"㎥"</f>
        <v>(0.15m*0.3m)*2.0m = 0.09㎥</v>
      </c>
      <c r="C4" s="65" t="s">
        <v>7</v>
      </c>
      <c r="D4" s="66">
        <v>0.09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/>
      <c r="C7" s="65" t="s">
        <v>7</v>
      </c>
      <c r="D7" s="66">
        <f>D4</f>
        <v>0.09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74" t="s">
        <v>62</v>
      </c>
      <c r="B10" s="67" t="str">
        <f>"0.15*0.32*2.0m/0.00334 = "&amp;ROUNDDOWN(0.15*0.32*2/0.00334,3)&amp;"재"</f>
        <v>0.15*0.32*2.0m/0.00334 = 28.742재</v>
      </c>
      <c r="C10" s="65" t="s">
        <v>9</v>
      </c>
      <c r="D10" s="66">
        <v>30.178999999999998</v>
      </c>
      <c r="F10" s="101"/>
      <c r="G10" s="97"/>
      <c r="H10" s="97"/>
    </row>
    <row r="11" spans="1:8" s="63" customFormat="1" ht="18.75" customHeight="1">
      <c r="A11" s="74" t="s">
        <v>86</v>
      </c>
      <c r="B11" s="67" t="str">
        <f>"28.742*1.05(할증) = "&amp;ROUNDDOWN(28.742*1.05,3)&amp;"재"</f>
        <v>28.742*1.05(할증) = 30.179재</v>
      </c>
      <c r="C11" s="75"/>
      <c r="D11" s="76"/>
      <c r="F11" s="101"/>
      <c r="G11" s="97"/>
      <c r="H11" s="97"/>
    </row>
    <row r="12" spans="1:8" s="63" customFormat="1" ht="18.75" customHeight="1">
      <c r="A12" s="134"/>
      <c r="B12" s="68"/>
      <c r="C12" s="75"/>
      <c r="D12" s="76"/>
      <c r="F12" s="78"/>
    </row>
    <row r="13" spans="1:8" s="63" customFormat="1" ht="18.75" customHeight="1">
      <c r="A13" s="77" t="s">
        <v>63</v>
      </c>
      <c r="B13" s="67" t="str">
        <f>"(0.15m*0.32m)*2.0m = "&amp;ROUND(0.15*0.32*2,3)&amp;"㎥"</f>
        <v>(0.15m*0.32m)*2.0m = 0.096㎥</v>
      </c>
      <c r="C13" s="65" t="s">
        <v>7</v>
      </c>
      <c r="D13" s="66">
        <v>9.6000000000000002E-2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72"/>
      <c r="C15" s="65"/>
      <c r="D15" s="70"/>
    </row>
    <row r="16" spans="1:8" s="63" customFormat="1" ht="18.75" customHeight="1">
      <c r="A16" s="77" t="s">
        <v>64</v>
      </c>
      <c r="B16" s="135" t="str">
        <f>"(0.6m*2ea)*0.995kg="&amp;ROUNDDOWN((0.6*2)*0.995,3)&amp;"kg"</f>
        <v>(0.6m*2ea)*0.995kg=1.194kg</v>
      </c>
      <c r="C16" s="65" t="s">
        <v>57</v>
      </c>
      <c r="D16" s="73">
        <v>1.2290000000000001</v>
      </c>
    </row>
    <row r="17" spans="1:8" s="63" customFormat="1" ht="18.75" customHeight="1">
      <c r="A17" s="77" t="s">
        <v>79</v>
      </c>
      <c r="B17" s="135" t="str">
        <f>"1.194kg*1.03(할증)="&amp;ROUNDDOWN(1.194*1.03,3)&amp;"kg"</f>
        <v>1.194kg*1.03(할증)=1.229kg</v>
      </c>
      <c r="C17" s="65"/>
      <c r="D17" s="73"/>
    </row>
    <row r="18" spans="1:8" s="63" customFormat="1" ht="18.75" customHeight="1">
      <c r="A18" s="77"/>
      <c r="B18" s="135"/>
      <c r="C18" s="65"/>
      <c r="D18" s="73"/>
      <c r="H18" s="78"/>
    </row>
    <row r="19" spans="1:8" s="63" customFormat="1" ht="18.75" customHeight="1">
      <c r="A19" s="77" t="s">
        <v>80</v>
      </c>
      <c r="B19" s="135" t="str">
        <f>"(0.3m+0.2m)*2ea*0.995kg="&amp;ROUNDDOWN((0.3+0.2)*2*0.995,3)&amp;"kg"</f>
        <v>(0.3m+0.2m)*2ea*0.995kg=0.995kg</v>
      </c>
      <c r="C19" s="65" t="s">
        <v>57</v>
      </c>
      <c r="D19" s="73">
        <v>1.024</v>
      </c>
      <c r="F19" s="111"/>
      <c r="H19" s="111"/>
    </row>
    <row r="20" spans="1:8" s="63" customFormat="1" ht="18.95" customHeight="1">
      <c r="A20" s="77" t="s">
        <v>81</v>
      </c>
      <c r="B20" s="135" t="str">
        <f>"0.995kg*1.03(할증)="&amp;ROUNDDOWN(0.995*1.03,3)&amp;"kg"</f>
        <v>0.995kg*1.03(할증)=1.024kg</v>
      </c>
      <c r="C20" s="65"/>
      <c r="D20" s="73"/>
    </row>
    <row r="21" spans="1:8" s="63" customFormat="1" ht="18.95" customHeight="1">
      <c r="A21" s="77"/>
      <c r="B21" s="135"/>
      <c r="C21" s="65"/>
      <c r="D21" s="73"/>
    </row>
    <row r="22" spans="1:8" s="63" customFormat="1" ht="21.75" customHeight="1">
      <c r="A22" s="77" t="s">
        <v>59</v>
      </c>
      <c r="B22" s="72"/>
      <c r="C22" s="81" t="s">
        <v>57</v>
      </c>
      <c r="D22" s="82">
        <f>ROUND(D13*600+2.189,2)</f>
        <v>59.79</v>
      </c>
    </row>
    <row r="23" spans="1:8" s="63" customFormat="1" ht="18.95" customHeight="1">
      <c r="A23" s="77" t="s">
        <v>84</v>
      </c>
      <c r="B23" s="67" t="str">
        <f>"0.096㎥ * 600kg/㎥ = "&amp;ROUND(D13*600,3)&amp;"kg"</f>
        <v>0.096㎥ * 600kg/㎥ = 57.6kg</v>
      </c>
      <c r="C23" s="81"/>
      <c r="D23" s="138"/>
    </row>
    <row r="24" spans="1:8" s="63" customFormat="1" ht="18.95" customHeight="1">
      <c r="A24" s="77" t="s">
        <v>85</v>
      </c>
      <c r="B24" s="67" t="s">
        <v>341</v>
      </c>
      <c r="C24" s="81"/>
      <c r="D24" s="82"/>
      <c r="E24" s="83"/>
      <c r="F24" s="83"/>
      <c r="G24" s="83"/>
      <c r="H24" s="83"/>
    </row>
    <row r="25" spans="1:8" ht="18.75" customHeight="1">
      <c r="A25" s="77"/>
      <c r="B25" s="72"/>
      <c r="C25" s="81"/>
      <c r="D25" s="82"/>
    </row>
    <row r="26" spans="1:8" ht="18.75" customHeight="1">
      <c r="A26" s="77"/>
      <c r="B26" s="67"/>
      <c r="C26" s="81"/>
      <c r="D26" s="138"/>
    </row>
    <row r="27" spans="1:8" ht="18.75" customHeight="1">
      <c r="A27" s="77"/>
      <c r="B27" s="67"/>
      <c r="C27" s="81"/>
      <c r="D27" s="82"/>
      <c r="F27" s="67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</sheetPr>
  <dimension ref="A1:H40"/>
  <sheetViews>
    <sheetView view="pageBreakPreview" topLeftCell="A4" zoomScaleNormal="100" zoomScaleSheetLayoutView="100" workbookViewId="0">
      <selection activeCell="A19" sqref="A19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786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"(0.4m*0.3m)*1.0m = "&amp;ROUND(0.4*0.3*1,3)&amp;"㎥"</f>
        <v>(0.4m*0.3m)*1.0m = 0.12㎥</v>
      </c>
      <c r="C4" s="65" t="s">
        <v>7</v>
      </c>
      <c r="D4" s="66">
        <v>0.12</v>
      </c>
      <c r="E4" s="63" t="s">
        <v>337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 t="str">
        <f>"(0.05m*0.05m*3.14)*(0.58m+1.0m)*2ea = "&amp;ROUND(0.05*0.05*3.14*(0.58+1)*2,3)&amp;"㎥"</f>
        <v>(0.05m*0.05m*3.14)*(0.58m+1.0m)*2ea = 0.025㎥</v>
      </c>
      <c r="C7" s="65" t="s">
        <v>7</v>
      </c>
      <c r="D7" s="66">
        <v>2.5000000000000001E-2</v>
      </c>
      <c r="E7" s="63" t="s">
        <v>337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71"/>
      <c r="B9" s="68"/>
      <c r="C9" s="69"/>
      <c r="D9" s="70"/>
      <c r="F9" s="101"/>
      <c r="G9" s="97"/>
      <c r="H9" s="97"/>
    </row>
    <row r="10" spans="1:8" s="63" customFormat="1" ht="18.75" customHeight="1">
      <c r="A10" s="98" t="s">
        <v>94</v>
      </c>
      <c r="B10" s="67" t="str">
        <f>"1식 - 2식 = "&amp;ROUND(D4-D7,3)</f>
        <v>1식 - 2식 = 0.095</v>
      </c>
      <c r="C10" s="65" t="s">
        <v>7</v>
      </c>
      <c r="D10" s="66">
        <f>D4-D7</f>
        <v>9.5000000000000001E-2</v>
      </c>
      <c r="F10" s="99"/>
      <c r="G10" s="97"/>
      <c r="H10" s="97"/>
    </row>
    <row r="11" spans="1:8" s="63" customFormat="1" ht="18.75" customHeight="1">
      <c r="A11" s="98" t="s">
        <v>55</v>
      </c>
      <c r="B11" s="100"/>
      <c r="C11" s="69"/>
      <c r="D11" s="70"/>
      <c r="F11" s="101"/>
      <c r="G11" s="97"/>
      <c r="H11" s="97"/>
    </row>
    <row r="12" spans="1:8" s="63" customFormat="1" ht="18.75" customHeight="1">
      <c r="A12" s="71"/>
      <c r="B12" s="68"/>
      <c r="C12" s="69"/>
      <c r="D12" s="70"/>
      <c r="F12" s="101"/>
      <c r="G12" s="97"/>
      <c r="H12" s="97"/>
    </row>
    <row r="13" spans="1:8" s="63" customFormat="1" ht="18.75" customHeight="1">
      <c r="A13" s="74" t="s">
        <v>790</v>
      </c>
      <c r="B13" s="67" t="str">
        <f>"(0.05*0.05*3.14*(0.58m+1.0m)*2ea)/0.00334 = "&amp;ROUNDDOWN((0.05*0.05*3.14*(0.58+1)*2)/0.00334,3)&amp;"재"</f>
        <v>(0.05*0.05*3.14*(0.58m+1.0m)*2ea)/0.00334 = 7.426재</v>
      </c>
      <c r="C13" s="65" t="s">
        <v>9</v>
      </c>
      <c r="D13" s="66">
        <v>7.7969999999999997</v>
      </c>
      <c r="F13" s="67"/>
      <c r="G13" s="97"/>
      <c r="H13" s="97"/>
    </row>
    <row r="14" spans="1:8" s="63" customFormat="1" ht="18.75" customHeight="1">
      <c r="A14" s="74" t="s">
        <v>785</v>
      </c>
      <c r="B14" s="67" t="str">
        <f>"7.426*1.05(할증) = "&amp;ROUNDDOWN(7.426*1.05,3)&amp;"재"</f>
        <v>7.426*1.05(할증) = 7.797재</v>
      </c>
      <c r="C14" s="75"/>
      <c r="D14" s="76"/>
      <c r="F14" s="67"/>
      <c r="G14" s="97"/>
      <c r="H14" s="97"/>
    </row>
    <row r="15" spans="1:8" s="63" customFormat="1" ht="18.75" customHeight="1">
      <c r="A15" s="134"/>
      <c r="B15" s="68"/>
      <c r="C15" s="75"/>
      <c r="D15" s="76"/>
      <c r="F15" s="78"/>
    </row>
    <row r="16" spans="1:8" s="63" customFormat="1" ht="18.75" customHeight="1">
      <c r="A16" s="77" t="s">
        <v>791</v>
      </c>
      <c r="B16" s="67" t="str">
        <f>"(0.05m*0.05m*3.14)*(0.58m+1.0m)*2ea = "&amp;ROUND(0.05*0.05*3.14*(0.58+1)*2,3)&amp;"㎥"</f>
        <v>(0.05m*0.05m*3.14)*(0.58m+1.0m)*2ea = 0.025㎥</v>
      </c>
      <c r="C16" s="65" t="s">
        <v>7</v>
      </c>
      <c r="D16" s="66">
        <v>2.5000000000000001E-2</v>
      </c>
      <c r="F16" s="67"/>
      <c r="H16" s="78"/>
    </row>
    <row r="17" spans="1:8" s="63" customFormat="1" ht="18.75" customHeight="1">
      <c r="A17" s="77" t="s">
        <v>56</v>
      </c>
      <c r="B17" s="67"/>
      <c r="C17" s="65"/>
      <c r="D17" s="70"/>
      <c r="F17" s="105"/>
      <c r="H17" s="106"/>
    </row>
    <row r="18" spans="1:8" s="63" customFormat="1" ht="18.75" customHeight="1">
      <c r="A18" s="80"/>
      <c r="B18" s="72"/>
      <c r="C18" s="65"/>
      <c r="D18" s="70"/>
    </row>
    <row r="19" spans="1:8" s="63" customFormat="1" ht="18.75" customHeight="1">
      <c r="A19" s="77" t="s">
        <v>792</v>
      </c>
      <c r="B19" s="135" t="str">
        <f>"6ea*1.05(할증)="&amp;ROUNDDOWN(6*1.05,3)&amp;"ea"</f>
        <v>6ea*1.05(할증)=6.3ea</v>
      </c>
      <c r="C19" s="65" t="s">
        <v>784</v>
      </c>
      <c r="D19" s="73">
        <v>6.3</v>
      </c>
      <c r="F19" s="135"/>
    </row>
    <row r="20" spans="1:8" s="63" customFormat="1" ht="18.75" customHeight="1">
      <c r="A20" s="77" t="s">
        <v>782</v>
      </c>
      <c r="B20" s="135"/>
      <c r="C20" s="65"/>
      <c r="D20" s="73"/>
      <c r="F20" s="135"/>
    </row>
    <row r="21" spans="1:8" s="63" customFormat="1" ht="11.25">
      <c r="A21" s="77"/>
      <c r="B21" s="135"/>
      <c r="C21" s="65"/>
      <c r="D21" s="73"/>
      <c r="F21" s="135"/>
      <c r="H21" s="78"/>
    </row>
    <row r="22" spans="1:8" s="63" customFormat="1" ht="18.75" customHeight="1">
      <c r="A22" s="77" t="s">
        <v>793</v>
      </c>
      <c r="B22" s="135" t="s">
        <v>789</v>
      </c>
      <c r="C22" s="65" t="s">
        <v>166</v>
      </c>
      <c r="D22" s="73">
        <v>6</v>
      </c>
      <c r="F22" s="135"/>
      <c r="H22" s="111"/>
    </row>
    <row r="23" spans="1:8" s="63" customFormat="1" ht="18.95" customHeight="1">
      <c r="A23" s="77" t="s">
        <v>788</v>
      </c>
      <c r="B23" s="135"/>
      <c r="C23" s="65"/>
      <c r="D23" s="73"/>
      <c r="F23" s="135"/>
    </row>
    <row r="24" spans="1:8" s="63" customFormat="1" ht="18.95" customHeight="1">
      <c r="A24" s="77"/>
      <c r="B24" s="135"/>
      <c r="C24" s="65"/>
      <c r="D24" s="73"/>
    </row>
    <row r="25" spans="1:8" s="63" customFormat="1" ht="21.75" customHeight="1">
      <c r="A25" s="77" t="s">
        <v>794</v>
      </c>
      <c r="B25" s="72"/>
      <c r="C25" s="81" t="s">
        <v>57</v>
      </c>
      <c r="D25" s="82">
        <f>ROUND(D16*600,2)</f>
        <v>15</v>
      </c>
    </row>
    <row r="26" spans="1:8" s="63" customFormat="1" ht="18.95" customHeight="1">
      <c r="A26" s="77" t="s">
        <v>84</v>
      </c>
      <c r="B26" s="67" t="str">
        <f>"0.028㎥ * 600kg/㎥ = "&amp;ROUND(D16*600,3)&amp;"kg"</f>
        <v>0.028㎥ * 600kg/㎥ = 15kg</v>
      </c>
      <c r="C26" s="81"/>
      <c r="D26" s="138"/>
    </row>
    <row r="27" spans="1:8" s="63" customFormat="1" ht="18.95" customHeight="1">
      <c r="A27" s="77"/>
      <c r="B27" s="67"/>
      <c r="C27" s="81"/>
      <c r="D27" s="82"/>
      <c r="E27" s="83"/>
      <c r="F27" s="83"/>
      <c r="G27" s="83"/>
      <c r="H27" s="83"/>
    </row>
    <row r="28" spans="1:8" ht="18.75" customHeight="1">
      <c r="A28" s="77"/>
      <c r="B28" s="72"/>
      <c r="C28" s="81"/>
      <c r="D28" s="82"/>
    </row>
    <row r="29" spans="1:8" ht="18.75" customHeight="1">
      <c r="A29" s="77"/>
      <c r="B29" s="67"/>
      <c r="C29" s="81"/>
      <c r="D29" s="138"/>
    </row>
    <row r="30" spans="1:8" ht="18.75" customHeight="1">
      <c r="A30" s="77"/>
      <c r="B30" s="67"/>
      <c r="C30" s="81"/>
      <c r="D30" s="82"/>
      <c r="F30" s="67"/>
    </row>
    <row r="31" spans="1:8" ht="18.75" customHeight="1">
      <c r="A31" s="84"/>
      <c r="B31" s="67"/>
      <c r="C31" s="81"/>
      <c r="D31" s="82"/>
    </row>
    <row r="32" spans="1:8" ht="18.75" customHeight="1">
      <c r="A32" s="84"/>
      <c r="B32" s="67"/>
      <c r="C32" s="81"/>
      <c r="D32" s="82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18"/>
      <c r="B37" s="108"/>
      <c r="C37" s="116"/>
      <c r="D37" s="119"/>
    </row>
    <row r="38" spans="1:4" ht="18.75" customHeight="1">
      <c r="A38" s="118"/>
      <c r="B38" s="108"/>
      <c r="C38" s="116"/>
      <c r="D38" s="119"/>
    </row>
    <row r="39" spans="1:4" ht="18.75" customHeight="1">
      <c r="A39" s="118"/>
      <c r="B39" s="108"/>
      <c r="C39" s="116"/>
      <c r="D39" s="119"/>
    </row>
    <row r="40" spans="1:4" ht="18.75" customHeight="1">
      <c r="A40" s="120"/>
      <c r="B40" s="121"/>
      <c r="C40" s="122"/>
      <c r="D40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</sheetPr>
  <dimension ref="A1:H40"/>
  <sheetViews>
    <sheetView view="pageBreakPreview" zoomScaleNormal="100" zoomScaleSheetLayoutView="100" workbookViewId="0">
      <selection activeCell="B4" sqref="B4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787</v>
      </c>
      <c r="B2" s="127"/>
      <c r="C2" s="128"/>
      <c r="D2" s="129" t="s">
        <v>50</v>
      </c>
      <c r="F2" s="94"/>
      <c r="G2" s="94"/>
      <c r="H2" s="94"/>
    </row>
    <row r="3" spans="1:8" s="63" customFormat="1" ht="18.75" customHeight="1">
      <c r="A3" s="130"/>
      <c r="B3" s="131"/>
      <c r="C3" s="132"/>
      <c r="D3" s="133"/>
      <c r="F3" s="97"/>
      <c r="G3" s="97"/>
      <c r="H3" s="97"/>
    </row>
    <row r="4" spans="1:8" s="63" customFormat="1" ht="18.75" customHeight="1">
      <c r="A4" s="64" t="s">
        <v>51</v>
      </c>
      <c r="B4" s="67" t="str">
        <f>"(0.4m*0.3m)*1.2m = "&amp;ROUND(0.4*0.3*1.2,3)&amp;"㎥"</f>
        <v>(0.4m*0.3m)*1.2m = 0.144㎥</v>
      </c>
      <c r="C4" s="65" t="s">
        <v>7</v>
      </c>
      <c r="D4" s="66">
        <v>0.14399999999999999</v>
      </c>
      <c r="E4" s="63" t="s">
        <v>337</v>
      </c>
      <c r="F4" s="99"/>
      <c r="G4" s="97"/>
      <c r="H4" s="97"/>
    </row>
    <row r="5" spans="1:8" s="63" customFormat="1" ht="18.75" customHeight="1">
      <c r="A5" s="64" t="s">
        <v>53</v>
      </c>
      <c r="B5" s="68"/>
      <c r="C5" s="69"/>
      <c r="D5" s="70"/>
      <c r="F5" s="101"/>
      <c r="G5" s="97"/>
      <c r="H5" s="97"/>
    </row>
    <row r="6" spans="1:8" s="63" customFormat="1" ht="18.75" customHeight="1">
      <c r="A6" s="71"/>
      <c r="B6" s="68"/>
      <c r="C6" s="69"/>
      <c r="D6" s="70"/>
      <c r="F6" s="101"/>
      <c r="G6" s="97"/>
      <c r="H6" s="97"/>
    </row>
    <row r="7" spans="1:8" s="63" customFormat="1" ht="18.75" customHeight="1">
      <c r="A7" s="64" t="s">
        <v>6</v>
      </c>
      <c r="B7" s="67" t="str">
        <f>"(0.05m*0.05m*3.14)*(0.58m+1.2m)*2ea = "&amp;ROUND(0.05*0.05*3.14*(0.58+1.2)*2,3)&amp;"㎥"</f>
        <v>(0.05m*0.05m*3.14)*(0.58m+1.2m)*2ea = 0.028㎥</v>
      </c>
      <c r="C7" s="65" t="s">
        <v>7</v>
      </c>
      <c r="D7" s="66">
        <v>2.8000000000000001E-2</v>
      </c>
      <c r="E7" s="63" t="s">
        <v>337</v>
      </c>
      <c r="F7" s="99"/>
      <c r="G7" s="97"/>
      <c r="H7" s="97"/>
    </row>
    <row r="8" spans="1:8" s="63" customFormat="1" ht="18.75" customHeight="1">
      <c r="A8" s="64" t="s">
        <v>55</v>
      </c>
      <c r="B8" s="68"/>
      <c r="C8" s="69"/>
      <c r="D8" s="70"/>
      <c r="F8" s="101"/>
      <c r="G8" s="97"/>
      <c r="H8" s="97"/>
    </row>
    <row r="9" spans="1:8" s="63" customFormat="1" ht="18.75" customHeight="1">
      <c r="A9" s="64"/>
      <c r="B9" s="68"/>
      <c r="C9" s="69"/>
      <c r="D9" s="70"/>
      <c r="F9" s="101"/>
      <c r="G9" s="97"/>
      <c r="H9" s="97"/>
    </row>
    <row r="10" spans="1:8" s="63" customFormat="1" ht="18.75" customHeight="1">
      <c r="A10" s="98" t="s">
        <v>94</v>
      </c>
      <c r="B10" s="67" t="str">
        <f>"1식 - 2식 = "&amp;ROUND(D4-D7,3)</f>
        <v>1식 - 2식 = 0.116</v>
      </c>
      <c r="C10" s="65" t="s">
        <v>7</v>
      </c>
      <c r="D10" s="66">
        <f>D4-D7</f>
        <v>0.11599999999999999</v>
      </c>
      <c r="F10" s="99"/>
      <c r="G10" s="97"/>
      <c r="H10" s="97"/>
    </row>
    <row r="11" spans="1:8" s="63" customFormat="1" ht="18.75" customHeight="1">
      <c r="A11" s="98" t="s">
        <v>55</v>
      </c>
      <c r="B11" s="100"/>
      <c r="C11" s="69"/>
      <c r="D11" s="70"/>
      <c r="F11" s="101"/>
      <c r="G11" s="97"/>
      <c r="H11" s="97"/>
    </row>
    <row r="12" spans="1:8" s="63" customFormat="1" ht="18.75" customHeight="1">
      <c r="A12" s="71"/>
      <c r="B12" s="68"/>
      <c r="C12" s="69"/>
      <c r="D12" s="70"/>
      <c r="F12" s="101"/>
      <c r="G12" s="97"/>
      <c r="H12" s="97"/>
    </row>
    <row r="13" spans="1:8" s="63" customFormat="1" ht="18.75" customHeight="1">
      <c r="A13" s="74" t="s">
        <v>795</v>
      </c>
      <c r="B13" s="67" t="str">
        <f>"(0.05*0.05*3.14*(0.58m+1.2m)*2ea)/0.00334 = "&amp;ROUNDDOWN((0.05*0.05*3.14*(0.58+1.2)*2)/0.00334,3)&amp;"재"</f>
        <v>(0.05*0.05*3.14*(0.58m+1.2m)*2ea)/0.00334 = 8.367재</v>
      </c>
      <c r="C13" s="65" t="s">
        <v>9</v>
      </c>
      <c r="D13" s="66">
        <v>8.7850000000000001</v>
      </c>
      <c r="F13" s="67"/>
      <c r="G13" s="97"/>
      <c r="H13" s="97"/>
    </row>
    <row r="14" spans="1:8" s="63" customFormat="1" ht="18.75" customHeight="1">
      <c r="A14" s="74" t="s">
        <v>781</v>
      </c>
      <c r="B14" s="67" t="str">
        <f>"8.367*1.05(할증) = "&amp;ROUNDDOWN(8.367*1.05,3)&amp;"재"</f>
        <v>8.367*1.05(할증) = 8.785재</v>
      </c>
      <c r="C14" s="75"/>
      <c r="D14" s="76"/>
      <c r="F14" s="67"/>
      <c r="G14" s="97"/>
      <c r="H14" s="97"/>
    </row>
    <row r="15" spans="1:8" s="63" customFormat="1" ht="18.75" customHeight="1">
      <c r="A15" s="134"/>
      <c r="B15" s="68"/>
      <c r="C15" s="75"/>
      <c r="D15" s="76"/>
      <c r="F15" s="78"/>
    </row>
    <row r="16" spans="1:8" s="63" customFormat="1" ht="18.75" customHeight="1">
      <c r="A16" s="77" t="s">
        <v>796</v>
      </c>
      <c r="B16" s="67" t="str">
        <f>"(0.05m*0.05m*3.14)*(0.58m+1.2m)*2ea = "&amp;ROUND(0.05*0.05*3.14*(0.58+1.2)*2,3)&amp;"㎥"</f>
        <v>(0.05m*0.05m*3.14)*(0.58m+1.2m)*2ea = 0.028㎥</v>
      </c>
      <c r="C16" s="65" t="s">
        <v>7</v>
      </c>
      <c r="D16" s="66">
        <v>2.8000000000000001E-2</v>
      </c>
      <c r="F16" s="67"/>
      <c r="H16" s="78"/>
    </row>
    <row r="17" spans="1:8" s="63" customFormat="1" ht="18.75" customHeight="1">
      <c r="A17" s="77" t="s">
        <v>56</v>
      </c>
      <c r="B17" s="67"/>
      <c r="C17" s="65"/>
      <c r="D17" s="70"/>
      <c r="F17" s="105"/>
      <c r="H17" s="106"/>
    </row>
    <row r="18" spans="1:8" s="63" customFormat="1" ht="18.75" customHeight="1">
      <c r="A18" s="80"/>
      <c r="B18" s="72"/>
      <c r="C18" s="65"/>
      <c r="D18" s="70"/>
    </row>
    <row r="19" spans="1:8" s="63" customFormat="1" ht="18.75" customHeight="1">
      <c r="A19" s="77" t="s">
        <v>797</v>
      </c>
      <c r="B19" s="135" t="str">
        <f>"6ea*1.05(할증)="&amp;ROUNDDOWN(6*1.05,3)&amp;"ea"</f>
        <v>6ea*1.05(할증)=6.3ea</v>
      </c>
      <c r="C19" s="65" t="s">
        <v>784</v>
      </c>
      <c r="D19" s="73">
        <v>6.3</v>
      </c>
      <c r="F19" s="135"/>
    </row>
    <row r="20" spans="1:8" s="63" customFormat="1" ht="18.75" customHeight="1">
      <c r="A20" s="77" t="s">
        <v>782</v>
      </c>
      <c r="B20" s="135"/>
      <c r="C20" s="65"/>
      <c r="D20" s="73"/>
      <c r="F20" s="135"/>
    </row>
    <row r="21" spans="1:8" s="63" customFormat="1" ht="18.75" customHeight="1">
      <c r="A21" s="77"/>
      <c r="B21" s="135"/>
      <c r="C21" s="65"/>
      <c r="D21" s="73"/>
      <c r="F21" s="135"/>
      <c r="H21" s="78"/>
    </row>
    <row r="22" spans="1:8" s="63" customFormat="1" ht="18.75" customHeight="1">
      <c r="A22" s="77" t="s">
        <v>798</v>
      </c>
      <c r="B22" s="135" t="str">
        <f>"6ea*1.05(할증)="&amp;ROUNDDOWN(6*1.05,3)&amp;"ea"</f>
        <v>6ea*1.05(할증)=6.3ea</v>
      </c>
      <c r="C22" s="65" t="s">
        <v>151</v>
      </c>
      <c r="D22" s="73">
        <v>6.3</v>
      </c>
      <c r="F22" s="135"/>
      <c r="H22" s="111"/>
    </row>
    <row r="23" spans="1:8" s="63" customFormat="1" ht="18.95" customHeight="1">
      <c r="A23" s="77" t="s">
        <v>783</v>
      </c>
      <c r="B23" s="135"/>
      <c r="C23" s="65"/>
      <c r="D23" s="73"/>
      <c r="F23" s="135"/>
    </row>
    <row r="24" spans="1:8" s="63" customFormat="1" ht="18.95" customHeight="1">
      <c r="A24" s="77"/>
      <c r="B24" s="135"/>
      <c r="C24" s="65"/>
      <c r="D24" s="73"/>
    </row>
    <row r="25" spans="1:8" s="63" customFormat="1" ht="21.75" customHeight="1">
      <c r="A25" s="77" t="s">
        <v>799</v>
      </c>
      <c r="B25" s="72"/>
      <c r="C25" s="81" t="s">
        <v>57</v>
      </c>
      <c r="D25" s="82">
        <f>ROUND(D16*600,2)</f>
        <v>16.8</v>
      </c>
    </row>
    <row r="26" spans="1:8" s="63" customFormat="1" ht="18.95" customHeight="1">
      <c r="A26" s="77" t="s">
        <v>84</v>
      </c>
      <c r="B26" s="67" t="str">
        <f>"0.028㎥ * 600kg/㎥ = "&amp;ROUND(D16*600,3)&amp;"kg"</f>
        <v>0.028㎥ * 600kg/㎥ = 16.8kg</v>
      </c>
      <c r="C26" s="81"/>
      <c r="D26" s="138"/>
    </row>
    <row r="27" spans="1:8" s="63" customFormat="1" ht="18.95" customHeight="1">
      <c r="A27" s="77"/>
      <c r="B27" s="67"/>
      <c r="C27" s="81"/>
      <c r="D27" s="82"/>
      <c r="E27" s="83"/>
      <c r="F27" s="83"/>
      <c r="G27" s="83"/>
      <c r="H27" s="83"/>
    </row>
    <row r="28" spans="1:8" ht="18.75" customHeight="1">
      <c r="A28" s="77"/>
      <c r="B28" s="72"/>
      <c r="C28" s="81"/>
      <c r="D28" s="82"/>
    </row>
    <row r="29" spans="1:8" ht="18.75" customHeight="1">
      <c r="A29" s="77"/>
      <c r="B29" s="67"/>
      <c r="C29" s="81"/>
      <c r="D29" s="138"/>
    </row>
    <row r="30" spans="1:8" ht="18.75" customHeight="1">
      <c r="A30" s="77"/>
      <c r="B30" s="67"/>
      <c r="C30" s="81"/>
      <c r="D30" s="82"/>
      <c r="F30" s="67"/>
    </row>
    <row r="31" spans="1:8" ht="18.75" customHeight="1">
      <c r="A31" s="84"/>
      <c r="B31" s="67"/>
      <c r="C31" s="81"/>
      <c r="D31" s="82"/>
    </row>
    <row r="32" spans="1:8" ht="18.75" customHeight="1">
      <c r="A32" s="84"/>
      <c r="B32" s="67"/>
      <c r="C32" s="81"/>
      <c r="D32" s="82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18"/>
      <c r="B37" s="108"/>
      <c r="C37" s="116"/>
      <c r="D37" s="119"/>
    </row>
    <row r="38" spans="1:4" ht="18.75" customHeight="1">
      <c r="A38" s="118"/>
      <c r="B38" s="108"/>
      <c r="C38" s="116"/>
      <c r="D38" s="119"/>
    </row>
    <row r="39" spans="1:4" ht="18.75" customHeight="1">
      <c r="A39" s="118"/>
      <c r="B39" s="108"/>
      <c r="C39" s="116"/>
      <c r="D39" s="119"/>
    </row>
    <row r="40" spans="1:4" ht="18.75" customHeight="1">
      <c r="A40" s="120"/>
      <c r="B40" s="121"/>
      <c r="C40" s="122"/>
      <c r="D40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</sheetPr>
  <dimension ref="A1:H37"/>
  <sheetViews>
    <sheetView view="pageBreakPreview" zoomScaleNormal="100" zoomScaleSheetLayoutView="100" workbookViewId="0">
      <selection activeCell="B7" sqref="B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306</v>
      </c>
      <c r="B2" s="56"/>
      <c r="C2" s="57"/>
      <c r="D2" s="58" t="s">
        <v>290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291</v>
      </c>
      <c r="B4" s="67" t="str">
        <f>"0.15m*0.1m*1.5m = "&amp;ROUND(0.15*0.1*1.5,3)&amp;"㎥"</f>
        <v>0.15m*0.1m*1.5m = 0.023㎥</v>
      </c>
      <c r="C4" s="65" t="s">
        <v>292</v>
      </c>
      <c r="D4" s="66">
        <v>2.3E-2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293</v>
      </c>
      <c r="B7" s="67" t="str">
        <f>"3.14*0.075m*0.075m*2/3*1.5m = "&amp;ROUND(3.14*0.075*0.075*2/3*1.5,3)&amp;"㎥"</f>
        <v>3.14*0.075m*0.075m*2/3*1.5m = 0.018㎥</v>
      </c>
      <c r="C7" s="65" t="s">
        <v>7</v>
      </c>
      <c r="D7" s="66">
        <v>1.7999999999999999E-2</v>
      </c>
      <c r="F7" s="67"/>
      <c r="G7" s="97"/>
      <c r="H7" s="97"/>
    </row>
    <row r="8" spans="1:8" s="63" customFormat="1" ht="18.75" customHeight="1">
      <c r="A8" s="98" t="s">
        <v>294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98" t="s">
        <v>295</v>
      </c>
      <c r="B10" s="67" t="str">
        <f>"1식 - 2식 = "&amp;ROUND(D4-D7,3)</f>
        <v>1식 - 2식 = 0.005</v>
      </c>
      <c r="C10" s="65" t="s">
        <v>292</v>
      </c>
      <c r="D10" s="66">
        <f>D4-D7</f>
        <v>5.000000000000001E-3</v>
      </c>
      <c r="F10" s="99"/>
      <c r="G10" s="97"/>
      <c r="H10" s="97"/>
    </row>
    <row r="11" spans="1:8" s="63" customFormat="1" ht="18.75" customHeight="1">
      <c r="A11" s="98" t="s">
        <v>55</v>
      </c>
      <c r="B11" s="100"/>
      <c r="C11" s="69"/>
      <c r="D11" s="70"/>
      <c r="F11" s="101"/>
      <c r="G11" s="97"/>
      <c r="H11" s="97"/>
    </row>
    <row r="12" spans="1:8" s="63" customFormat="1" ht="18.75" customHeight="1">
      <c r="A12" s="98"/>
      <c r="B12" s="100"/>
      <c r="C12" s="69"/>
      <c r="D12" s="70"/>
      <c r="F12" s="101"/>
      <c r="G12" s="97"/>
      <c r="H12" s="97"/>
    </row>
    <row r="13" spans="1:8" s="63" customFormat="1" ht="18.75" customHeight="1">
      <c r="A13" s="77" t="s">
        <v>296</v>
      </c>
      <c r="B13" s="67" t="str">
        <f>"3.14*0.075m*0.075m*1.5m/0.00334 = "&amp;ROUND(3.14*0.075*0.075*1.5/0.00334,3)&amp;"재"</f>
        <v>3.14*0.075m*0.075m*1.5m/0.00334 = 7.932재</v>
      </c>
      <c r="C13" s="65" t="s">
        <v>9</v>
      </c>
      <c r="D13" s="66">
        <v>7.9320000000000004</v>
      </c>
      <c r="F13" s="104"/>
      <c r="H13" s="78"/>
    </row>
    <row r="14" spans="1:8" s="63" customFormat="1" ht="18.75" customHeight="1">
      <c r="A14" s="77" t="s">
        <v>297</v>
      </c>
      <c r="B14" s="67"/>
      <c r="C14" s="65"/>
      <c r="D14" s="79"/>
      <c r="F14" s="105"/>
      <c r="H14" s="106"/>
    </row>
    <row r="15" spans="1:8" s="63" customFormat="1" ht="18.75" customHeight="1">
      <c r="A15" s="77"/>
      <c r="B15" s="67"/>
      <c r="C15" s="65"/>
      <c r="D15" s="79"/>
    </row>
    <row r="16" spans="1:8" s="63" customFormat="1" ht="18.75" customHeight="1">
      <c r="A16" s="77" t="s">
        <v>298</v>
      </c>
      <c r="B16" s="67" t="str">
        <f>"3.14*0.075m*0.075m*1.5m = "&amp;ROUND(3.14*0.075*0.075*1.5,3)&amp;"㎥"</f>
        <v>3.14*0.075m*0.075m*1.5m = 0.026㎥</v>
      </c>
      <c r="C16" s="65" t="s">
        <v>8</v>
      </c>
      <c r="D16" s="73">
        <v>2.8000000000000001E-2</v>
      </c>
    </row>
    <row r="17" spans="1:8" s="63" customFormat="1" ht="18.75" customHeight="1">
      <c r="A17" s="77" t="s">
        <v>299</v>
      </c>
      <c r="B17" s="67" t="str">
        <f>ROUND(3.14*0.075*0.075*1.5,3)&amp;"㎥ * 할증 5%= "&amp;ROUND(3.14*0.075*0.075*1.5*1.05,3)&amp;"㎥"</f>
        <v>0.026㎥ * 할증 5%= 0.028㎥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107" t="s">
        <v>232</v>
      </c>
      <c r="B19" s="108" t="s">
        <v>307</v>
      </c>
      <c r="C19" s="109" t="s">
        <v>57</v>
      </c>
      <c r="D19" s="110">
        <v>3.6480000000000001</v>
      </c>
      <c r="F19" s="111"/>
      <c r="H19" s="111"/>
    </row>
    <row r="20" spans="1:8" s="63" customFormat="1" ht="18.95" customHeight="1">
      <c r="A20" s="77" t="s">
        <v>301</v>
      </c>
      <c r="B20" s="67" t="str">
        <f>"1.2m*3.04kg/m = "&amp;ROUND(1.2*3.04,3)&amp;"㎥"</f>
        <v>1.2m*3.04kg/m = 3.648㎥</v>
      </c>
      <c r="C20" s="65"/>
      <c r="D20" s="70"/>
    </row>
    <row r="21" spans="1:8" s="63" customFormat="1" ht="18.95" customHeight="1">
      <c r="A21" s="80"/>
      <c r="B21" s="67"/>
      <c r="C21" s="65"/>
      <c r="D21" s="70"/>
    </row>
    <row r="22" spans="1:8" s="63" customFormat="1" ht="21.75" customHeight="1">
      <c r="A22" s="77" t="s">
        <v>58</v>
      </c>
      <c r="B22" s="112">
        <f>D19</f>
        <v>3.6480000000000001</v>
      </c>
      <c r="C22" s="65" t="s">
        <v>302</v>
      </c>
      <c r="D22" s="73">
        <f>B22</f>
        <v>3.6480000000000001</v>
      </c>
    </row>
    <row r="23" spans="1:8" s="63" customFormat="1" ht="18.95" customHeight="1">
      <c r="A23" s="113" t="s">
        <v>303</v>
      </c>
      <c r="B23" s="108"/>
      <c r="C23" s="109"/>
      <c r="D23" s="114"/>
    </row>
    <row r="24" spans="1:8" s="63" customFormat="1" ht="18.95" customHeight="1">
      <c r="A24" s="84"/>
      <c r="B24" s="115"/>
      <c r="C24" s="81"/>
      <c r="D24" s="82"/>
      <c r="E24" s="83"/>
      <c r="F24" s="83"/>
      <c r="G24" s="83"/>
      <c r="H24" s="83"/>
    </row>
    <row r="25" spans="1:8" ht="18.75" customHeight="1">
      <c r="A25" s="107" t="s">
        <v>59</v>
      </c>
      <c r="B25" s="108"/>
      <c r="C25" s="116" t="s">
        <v>57</v>
      </c>
      <c r="D25" s="117">
        <f>D22+F27</f>
        <v>23.248000000000001</v>
      </c>
    </row>
    <row r="26" spans="1:8" ht="18.75" customHeight="1">
      <c r="A26" s="77" t="s">
        <v>304</v>
      </c>
      <c r="B26" s="112">
        <f>D22</f>
        <v>3.6480000000000001</v>
      </c>
      <c r="C26" s="81"/>
      <c r="D26" s="82"/>
    </row>
    <row r="27" spans="1:8" ht="18.75" customHeight="1">
      <c r="A27" s="84" t="s">
        <v>61</v>
      </c>
      <c r="B27" s="67" t="str">
        <f>"0.026㎥*700kg/㎥ = "&amp;ROUND(D16*700,3)&amp;"㎥"</f>
        <v>0.026㎥*700kg/㎥ = 19.6㎥</v>
      </c>
      <c r="C27" s="81"/>
      <c r="D27" s="82"/>
      <c r="F27" s="67">
        <f>D16*700</f>
        <v>19.600000000000001</v>
      </c>
    </row>
    <row r="28" spans="1:8" ht="18.75" customHeight="1">
      <c r="A28" s="84"/>
      <c r="B28" s="67" t="str">
        <f>"∴ ① + ② = "&amp;ROUND(D22+F27,2)</f>
        <v>∴ ① + ② = 23.25</v>
      </c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84"/>
      <c r="B30" s="67"/>
      <c r="C30" s="81"/>
      <c r="D30" s="82"/>
    </row>
    <row r="31" spans="1:8" ht="18.75" customHeight="1">
      <c r="A31" s="84"/>
      <c r="B31" s="67"/>
      <c r="C31" s="81"/>
      <c r="D31" s="82"/>
    </row>
    <row r="32" spans="1:8" ht="18.75" customHeight="1">
      <c r="A32" s="84"/>
      <c r="B32" s="67"/>
      <c r="C32" s="81"/>
      <c r="D32" s="82"/>
    </row>
    <row r="33" spans="1:4" ht="18.75" customHeight="1">
      <c r="A33" s="84"/>
      <c r="B33" s="67"/>
      <c r="C33" s="81"/>
      <c r="D33" s="82"/>
    </row>
    <row r="34" spans="1:4" ht="18.75" customHeight="1">
      <c r="A34" s="230"/>
      <c r="B34" s="186"/>
      <c r="C34" s="86"/>
      <c r="D34" s="87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588</v>
      </c>
      <c r="B2" s="56"/>
      <c r="C2" s="57"/>
      <c r="D2" s="58" t="s">
        <v>290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"0.15m*0.1m*1.8m = "&amp;ROUND(0.15*0.1*1.8,3)&amp;"㎥"</f>
        <v>0.15m*0.1m*1.8m = 0.027㎥</v>
      </c>
      <c r="C4" s="65" t="s">
        <v>7</v>
      </c>
      <c r="D4" s="66">
        <v>2.7E-2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6</v>
      </c>
      <c r="B7" s="67" t="str">
        <f>"3.14*0.075m*0.075m*2/3*1.8m = "&amp;ROUND(3.14*0.075*0.075*2/3*1.8,3)&amp;"㎥"</f>
        <v>3.14*0.075m*0.075m*2/3*1.8m = 0.021㎥</v>
      </c>
      <c r="C7" s="65" t="s">
        <v>7</v>
      </c>
      <c r="D7" s="66">
        <v>2.1000000000000001E-2</v>
      </c>
      <c r="F7" s="67"/>
      <c r="G7" s="97"/>
      <c r="H7" s="97"/>
    </row>
    <row r="8" spans="1:8" s="63" customFormat="1" ht="18.75" customHeight="1">
      <c r="A8" s="98" t="s">
        <v>55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98" t="s">
        <v>94</v>
      </c>
      <c r="B10" s="67" t="str">
        <f>"1식 - 2식 = "&amp;ROUND(D4-D7,3)</f>
        <v>1식 - 2식 = 0.006</v>
      </c>
      <c r="C10" s="65" t="s">
        <v>7</v>
      </c>
      <c r="D10" s="66">
        <f>D4-D7</f>
        <v>5.9999999999999984E-3</v>
      </c>
      <c r="F10" s="99"/>
      <c r="G10" s="97"/>
      <c r="H10" s="97"/>
    </row>
    <row r="11" spans="1:8" s="63" customFormat="1" ht="18.75" customHeight="1">
      <c r="A11" s="98" t="s">
        <v>55</v>
      </c>
      <c r="B11" s="100"/>
      <c r="C11" s="69"/>
      <c r="D11" s="70"/>
      <c r="F11" s="101"/>
      <c r="G11" s="97"/>
      <c r="H11" s="97"/>
    </row>
    <row r="12" spans="1:8" s="63" customFormat="1" ht="18.75" customHeight="1">
      <c r="A12" s="98"/>
      <c r="B12" s="100"/>
      <c r="C12" s="69"/>
      <c r="D12" s="70"/>
      <c r="F12" s="101"/>
      <c r="G12" s="97"/>
      <c r="H12" s="97"/>
    </row>
    <row r="13" spans="1:8" s="63" customFormat="1" ht="18.75" customHeight="1">
      <c r="A13" s="77" t="s">
        <v>296</v>
      </c>
      <c r="B13" s="67" t="str">
        <f>"3.14*0.075m*0.075m*1.8m/0.00334 = "&amp;ROUND(3.14*0.075*0.075*1.8/0.00334,3)&amp;"재"</f>
        <v>3.14*0.075m*0.075m*1.8m/0.00334 = 9.519재</v>
      </c>
      <c r="C13" s="65" t="s">
        <v>9</v>
      </c>
      <c r="D13" s="66">
        <v>9.5190000000000001</v>
      </c>
      <c r="F13" s="104"/>
      <c r="H13" s="78"/>
    </row>
    <row r="14" spans="1:8" s="63" customFormat="1" ht="18.75" customHeight="1">
      <c r="A14" s="77" t="s">
        <v>297</v>
      </c>
      <c r="B14" s="67"/>
      <c r="C14" s="65"/>
      <c r="D14" s="79"/>
      <c r="F14" s="105"/>
      <c r="H14" s="106"/>
    </row>
    <row r="15" spans="1:8" s="63" customFormat="1" ht="18.75" customHeight="1">
      <c r="A15" s="77"/>
      <c r="B15" s="67"/>
      <c r="C15" s="65"/>
      <c r="D15" s="79"/>
    </row>
    <row r="16" spans="1:8" s="63" customFormat="1" ht="18.75" customHeight="1">
      <c r="A16" s="77" t="s">
        <v>298</v>
      </c>
      <c r="B16" s="67" t="str">
        <f>"3.14*0.075m*0.075m*1.8m = "&amp;ROUND(3.14*0.075*0.075*1.8,3)&amp;"㎥"</f>
        <v>3.14*0.075m*0.075m*1.8m = 0.032㎥</v>
      </c>
      <c r="C16" s="65" t="s">
        <v>8</v>
      </c>
      <c r="D16" s="73">
        <v>3.3000000000000002E-2</v>
      </c>
    </row>
    <row r="17" spans="1:8" s="63" customFormat="1" ht="18.75" customHeight="1">
      <c r="A17" s="77" t="s">
        <v>56</v>
      </c>
      <c r="B17" s="67" t="str">
        <f>ROUND(3.14*0.075*0.075*1.8,3)&amp;"㎥ * 할증 5%= "&amp;ROUND(3.14*0.075*0.075*1.8*1.05,3)&amp;"㎥"</f>
        <v>0.032㎥ * 할증 5%= 0.033㎥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107" t="s">
        <v>232</v>
      </c>
      <c r="B19" s="108" t="s">
        <v>307</v>
      </c>
      <c r="C19" s="109" t="s">
        <v>57</v>
      </c>
      <c r="D19" s="110">
        <v>3.6480000000000001</v>
      </c>
      <c r="F19" s="111"/>
      <c r="H19" s="111"/>
    </row>
    <row r="20" spans="1:8" s="63" customFormat="1" ht="18.95" customHeight="1">
      <c r="A20" s="77" t="s">
        <v>301</v>
      </c>
      <c r="B20" s="67" t="str">
        <f>"1.2m*3.04kg/m = "&amp;ROUND(1.2*3.04,3)&amp;"㎥"</f>
        <v>1.2m*3.04kg/m = 3.648㎥</v>
      </c>
      <c r="C20" s="65"/>
      <c r="D20" s="70"/>
    </row>
    <row r="21" spans="1:8" s="63" customFormat="1" ht="18.95" customHeight="1">
      <c r="A21" s="80"/>
      <c r="B21" s="67"/>
      <c r="C21" s="65"/>
      <c r="D21" s="70"/>
    </row>
    <row r="22" spans="1:8" s="63" customFormat="1" ht="21.75" customHeight="1">
      <c r="A22" s="77" t="s">
        <v>58</v>
      </c>
      <c r="B22" s="112">
        <f>D19</f>
        <v>3.6480000000000001</v>
      </c>
      <c r="C22" s="65" t="s">
        <v>57</v>
      </c>
      <c r="D22" s="73">
        <f>B22</f>
        <v>3.6480000000000001</v>
      </c>
    </row>
    <row r="23" spans="1:8" s="63" customFormat="1" ht="18.95" customHeight="1">
      <c r="A23" s="113" t="s">
        <v>56</v>
      </c>
      <c r="B23" s="108"/>
      <c r="C23" s="109"/>
      <c r="D23" s="114"/>
    </row>
    <row r="24" spans="1:8" s="63" customFormat="1" ht="18.95" customHeight="1">
      <c r="A24" s="84"/>
      <c r="B24" s="115"/>
      <c r="C24" s="81"/>
      <c r="D24" s="82"/>
      <c r="E24" s="83"/>
      <c r="F24" s="83"/>
      <c r="G24" s="83"/>
      <c r="H24" s="83"/>
    </row>
    <row r="25" spans="1:8" ht="18.75" customHeight="1">
      <c r="A25" s="107" t="s">
        <v>59</v>
      </c>
      <c r="B25" s="108"/>
      <c r="C25" s="116" t="s">
        <v>57</v>
      </c>
      <c r="D25" s="117">
        <f>D22+F27</f>
        <v>26.748000000000001</v>
      </c>
    </row>
    <row r="26" spans="1:8" ht="18.75" customHeight="1">
      <c r="A26" s="77" t="s">
        <v>60</v>
      </c>
      <c r="B26" s="112">
        <f>D22</f>
        <v>3.6480000000000001</v>
      </c>
      <c r="C26" s="81"/>
      <c r="D26" s="82"/>
    </row>
    <row r="27" spans="1:8" ht="18.75" customHeight="1">
      <c r="A27" s="84" t="s">
        <v>61</v>
      </c>
      <c r="B27" s="67" t="str">
        <f>"0.026㎥*700kg/㎥ = "&amp;ROUND(D16*700,3)&amp;"㎥"</f>
        <v>0.026㎥*700kg/㎥ = 23.1㎥</v>
      </c>
      <c r="C27" s="81"/>
      <c r="D27" s="82"/>
      <c r="F27" s="67">
        <f>D16*700</f>
        <v>23.1</v>
      </c>
    </row>
    <row r="28" spans="1:8" ht="18.75" customHeight="1">
      <c r="A28" s="84"/>
      <c r="B28" s="67" t="str">
        <f>"∴ ① + ② = "&amp;ROUND(D22+F27,2)</f>
        <v>∴ ① + ② = 26.75</v>
      </c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84"/>
      <c r="B30" s="67"/>
      <c r="C30" s="81"/>
      <c r="D30" s="82"/>
    </row>
    <row r="31" spans="1:8" ht="18.75" customHeight="1">
      <c r="A31" s="84"/>
      <c r="B31" s="67"/>
      <c r="C31" s="81"/>
      <c r="D31" s="82"/>
    </row>
    <row r="32" spans="1:8" ht="18.75" customHeight="1">
      <c r="A32" s="84"/>
      <c r="B32" s="67"/>
      <c r="C32" s="81"/>
      <c r="D32" s="82"/>
    </row>
    <row r="33" spans="1:4" ht="18.75" customHeight="1">
      <c r="A33" s="84"/>
      <c r="B33" s="67"/>
      <c r="C33" s="81"/>
      <c r="D33" s="82"/>
    </row>
    <row r="34" spans="1:4" ht="18.75" customHeight="1">
      <c r="A34" s="230"/>
      <c r="B34" s="186"/>
      <c r="C34" s="86"/>
      <c r="D34" s="87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336</v>
      </c>
      <c r="B2" s="56"/>
      <c r="C2" s="57"/>
      <c r="D2" s="58" t="s">
        <v>290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291</v>
      </c>
      <c r="B4" s="67" t="str">
        <f>"0.15m*0.1m*2.4m = "&amp;ROUND(0.15*0.1*2.4,3)&amp;"㎥"</f>
        <v>0.15m*0.1m*2.4m = 0.036㎥</v>
      </c>
      <c r="C4" s="65" t="s">
        <v>292</v>
      </c>
      <c r="D4" s="66">
        <v>3.5999999999999997E-2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293</v>
      </c>
      <c r="B7" s="67" t="str">
        <f>"3.14*0.075m*0.075m*2/3*2.4m = "&amp;ROUND(3.14*0.075*0.075*2/3*2.4,3)&amp;"㎥"</f>
        <v>3.14*0.075m*0.075m*2/3*2.4m = 0.028㎥</v>
      </c>
      <c r="C7" s="65" t="s">
        <v>7</v>
      </c>
      <c r="D7" s="66">
        <v>2.8000000000000001E-2</v>
      </c>
      <c r="F7" s="99"/>
      <c r="G7" s="97"/>
      <c r="H7" s="97"/>
    </row>
    <row r="8" spans="1:8" s="63" customFormat="1" ht="18.75" customHeight="1">
      <c r="A8" s="98" t="s">
        <v>294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98" t="s">
        <v>295</v>
      </c>
      <c r="B10" s="67" t="str">
        <f>"1식 - 2식 = "&amp;ROUND(D4-D7,3)</f>
        <v>1식 - 2식 = 0.008</v>
      </c>
      <c r="C10" s="65" t="s">
        <v>292</v>
      </c>
      <c r="D10" s="66">
        <f>D4-D7</f>
        <v>7.9999999999999967E-3</v>
      </c>
      <c r="F10" s="101"/>
      <c r="G10" s="97"/>
      <c r="H10" s="97"/>
    </row>
    <row r="11" spans="1:8" s="63" customFormat="1" ht="18.75" customHeight="1">
      <c r="A11" s="98" t="s">
        <v>55</v>
      </c>
      <c r="B11" s="100"/>
      <c r="C11" s="69"/>
      <c r="D11" s="70"/>
      <c r="F11" s="101"/>
      <c r="G11" s="97"/>
      <c r="H11" s="97"/>
    </row>
    <row r="12" spans="1:8" s="63" customFormat="1" ht="18.75" customHeight="1">
      <c r="A12" s="98"/>
      <c r="B12" s="100"/>
      <c r="C12" s="69"/>
      <c r="D12" s="70"/>
      <c r="F12" s="78"/>
    </row>
    <row r="13" spans="1:8" s="63" customFormat="1" ht="18.75" customHeight="1">
      <c r="A13" s="77" t="s">
        <v>296</v>
      </c>
      <c r="B13" s="67" t="str">
        <f>"3.14*0.075m*0.075m*2.4m/0.00334 = "&amp;ROUND(3.14*0.075*0.075*2.4/0.00334,3)&amp;"재"</f>
        <v>3.14*0.075m*0.075m*2.4m/0.00334 = 12.692재</v>
      </c>
      <c r="C13" s="65" t="s">
        <v>9</v>
      </c>
      <c r="D13" s="66">
        <v>12.692</v>
      </c>
      <c r="F13" s="104"/>
      <c r="H13" s="78"/>
    </row>
    <row r="14" spans="1:8" s="63" customFormat="1" ht="18.75" customHeight="1">
      <c r="A14" s="77" t="s">
        <v>297</v>
      </c>
      <c r="B14" s="67"/>
      <c r="C14" s="65"/>
      <c r="D14" s="79"/>
      <c r="F14" s="105"/>
      <c r="H14" s="106"/>
    </row>
    <row r="15" spans="1:8" s="63" customFormat="1" ht="18.75" customHeight="1">
      <c r="A15" s="77"/>
      <c r="B15" s="67"/>
      <c r="C15" s="65"/>
      <c r="D15" s="79"/>
    </row>
    <row r="16" spans="1:8" s="63" customFormat="1" ht="18.75" customHeight="1">
      <c r="A16" s="77" t="s">
        <v>298</v>
      </c>
      <c r="B16" s="67" t="str">
        <f>"3.14*0.075m*0.075m*2.4m = "&amp;ROUND(3.14*0.075*0.075*2.4,3)&amp;"㎥"</f>
        <v>3.14*0.075m*0.075m*2.4m = 0.042㎥</v>
      </c>
      <c r="C16" s="65" t="s">
        <v>8</v>
      </c>
      <c r="D16" s="73">
        <v>4.4999999999999998E-2</v>
      </c>
    </row>
    <row r="17" spans="1:8" s="63" customFormat="1" ht="18.75" customHeight="1">
      <c r="A17" s="77" t="s">
        <v>299</v>
      </c>
      <c r="B17" s="67" t="str">
        <f>ROUND(3.14*0.075*0.075*2.4,3)&amp;"㎥ * 할증 5%= "&amp;ROUND(3.14*0.075*0.075*2.4*1.05,3)&amp;"㎥"</f>
        <v>0.042㎥ * 할증 5%= 0.045㎥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107" t="s">
        <v>232</v>
      </c>
      <c r="B19" s="108" t="s">
        <v>300</v>
      </c>
      <c r="C19" s="109" t="s">
        <v>57</v>
      </c>
      <c r="D19" s="110">
        <v>5.4720000000000004</v>
      </c>
      <c r="F19" s="111"/>
      <c r="H19" s="111"/>
    </row>
    <row r="20" spans="1:8" s="63" customFormat="1" ht="18.95" customHeight="1">
      <c r="A20" s="77" t="s">
        <v>301</v>
      </c>
      <c r="B20" s="67" t="str">
        <f>"1.8m*3.04kg/m = "&amp;ROUND(1.8*3.04,3)&amp;"㎥"</f>
        <v>1.8m*3.04kg/m = 5.472㎥</v>
      </c>
      <c r="C20" s="65"/>
      <c r="D20" s="70"/>
    </row>
    <row r="21" spans="1:8" s="63" customFormat="1" ht="18.95" customHeight="1">
      <c r="A21" s="80"/>
      <c r="B21" s="67"/>
      <c r="C21" s="65"/>
      <c r="D21" s="70"/>
    </row>
    <row r="22" spans="1:8" s="63" customFormat="1" ht="21.75" customHeight="1">
      <c r="A22" s="77" t="s">
        <v>58</v>
      </c>
      <c r="B22" s="112">
        <f>D19</f>
        <v>5.4720000000000004</v>
      </c>
      <c r="C22" s="65" t="s">
        <v>302</v>
      </c>
      <c r="D22" s="73">
        <f>B22</f>
        <v>5.4720000000000004</v>
      </c>
    </row>
    <row r="23" spans="1:8" s="63" customFormat="1" ht="18.95" customHeight="1">
      <c r="A23" s="113" t="s">
        <v>303</v>
      </c>
      <c r="B23" s="108"/>
      <c r="C23" s="109"/>
      <c r="D23" s="114"/>
    </row>
    <row r="24" spans="1:8" s="63" customFormat="1" ht="18.95" customHeight="1">
      <c r="A24" s="84"/>
      <c r="B24" s="115"/>
      <c r="C24" s="81"/>
      <c r="D24" s="82"/>
      <c r="E24" s="83"/>
      <c r="F24" s="83"/>
      <c r="G24" s="83"/>
      <c r="H24" s="83"/>
    </row>
    <row r="25" spans="1:8" ht="18.75" customHeight="1">
      <c r="A25" s="107" t="s">
        <v>59</v>
      </c>
      <c r="B25" s="108"/>
      <c r="C25" s="116" t="s">
        <v>57</v>
      </c>
      <c r="D25" s="117">
        <f>D22+F27</f>
        <v>36.972000000000001</v>
      </c>
    </row>
    <row r="26" spans="1:8" ht="18.75" customHeight="1">
      <c r="A26" s="77" t="s">
        <v>304</v>
      </c>
      <c r="B26" s="112">
        <f>D22</f>
        <v>5.4720000000000004</v>
      </c>
      <c r="C26" s="81"/>
      <c r="D26" s="82"/>
    </row>
    <row r="27" spans="1:8" ht="18.75" customHeight="1">
      <c r="A27" s="84" t="s">
        <v>61</v>
      </c>
      <c r="B27" s="67" t="str">
        <f>"0.026㎥*700kg/㎥ = "&amp;ROUND(D16*700,3)&amp;"㎥"</f>
        <v>0.026㎥*700kg/㎥ = 31.5㎥</v>
      </c>
      <c r="C27" s="81"/>
      <c r="D27" s="82"/>
      <c r="F27" s="67">
        <f>D16*700</f>
        <v>31.5</v>
      </c>
    </row>
    <row r="28" spans="1:8" ht="18.75" customHeight="1">
      <c r="A28" s="84"/>
      <c r="B28" s="67" t="str">
        <f>"∴ ① + ② = "&amp;ROUND(D22+F27,2)</f>
        <v>∴ ① + ② = 36.97</v>
      </c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92D050"/>
  </sheetPr>
  <dimension ref="A1:H34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589</v>
      </c>
      <c r="B2" s="56"/>
      <c r="C2" s="57"/>
      <c r="D2" s="58" t="s">
        <v>290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"0.15m*0.1m*3.0m = "&amp;ROUND(0.15*0.1*3,3)&amp;"㎥"</f>
        <v>0.15m*0.1m*3.0m = 0.045㎥</v>
      </c>
      <c r="C4" s="65" t="s">
        <v>7</v>
      </c>
      <c r="D4" s="66">
        <v>4.4999999999999998E-2</v>
      </c>
      <c r="F4" s="101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78"/>
    </row>
    <row r="7" spans="1:8" s="63" customFormat="1" ht="18.75" customHeight="1">
      <c r="A7" s="98" t="s">
        <v>6</v>
      </c>
      <c r="B7" s="67" t="str">
        <f>"3.14*0.075m*0.075m*2/3*3.0m = "&amp;ROUND(3.14*0.075*0.075*2/3*3,3)&amp;"㎥"</f>
        <v>3.14*0.075m*0.075m*2/3*3.0m = 0.035㎥</v>
      </c>
      <c r="C7" s="65" t="s">
        <v>7</v>
      </c>
      <c r="D7" s="66">
        <v>3.5000000000000003E-2</v>
      </c>
      <c r="F7" s="104"/>
      <c r="H7" s="78"/>
    </row>
    <row r="8" spans="1:8" s="63" customFormat="1" ht="18.75" customHeight="1">
      <c r="A8" s="98" t="s">
        <v>55</v>
      </c>
      <c r="B8" s="103"/>
      <c r="C8" s="69"/>
      <c r="D8" s="70"/>
      <c r="F8" s="105"/>
      <c r="H8" s="106"/>
    </row>
    <row r="9" spans="1:8" s="63" customFormat="1" ht="18.75" customHeight="1">
      <c r="A9" s="102"/>
      <c r="B9" s="100"/>
      <c r="C9" s="69"/>
      <c r="D9" s="70"/>
    </row>
    <row r="10" spans="1:8" s="63" customFormat="1" ht="18.75" customHeight="1">
      <c r="A10" s="98" t="s">
        <v>94</v>
      </c>
      <c r="B10" s="67" t="str">
        <f>"1식 - 2식 = "&amp;ROUND(D4-D7,3)</f>
        <v>1식 - 2식 = 0.01</v>
      </c>
      <c r="C10" s="65" t="s">
        <v>7</v>
      </c>
      <c r="D10" s="66">
        <f>D4-D7</f>
        <v>9.999999999999995E-3</v>
      </c>
    </row>
    <row r="11" spans="1:8" s="63" customFormat="1" ht="18.75" customHeight="1">
      <c r="A11" s="98" t="s">
        <v>55</v>
      </c>
      <c r="B11" s="100"/>
      <c r="C11" s="69"/>
      <c r="D11" s="70"/>
    </row>
    <row r="12" spans="1:8" s="63" customFormat="1" ht="18.75" customHeight="1">
      <c r="A12" s="98"/>
      <c r="B12" s="100"/>
      <c r="C12" s="69"/>
      <c r="D12" s="70"/>
      <c r="H12" s="78"/>
    </row>
    <row r="13" spans="1:8" s="63" customFormat="1" ht="18.75" customHeight="1">
      <c r="A13" s="77" t="s">
        <v>296</v>
      </c>
      <c r="B13" s="67" t="str">
        <f>"3.14*0.075m*0.075m*3.0m/0.00334 = "&amp;ROUND(3.14*0.075*0.075*3/0.00334,3)&amp;"재"</f>
        <v>3.14*0.075m*0.075m*3.0m/0.00334 = 15.865재</v>
      </c>
      <c r="C13" s="65" t="s">
        <v>9</v>
      </c>
      <c r="D13" s="66">
        <v>15.865</v>
      </c>
      <c r="F13" s="111"/>
      <c r="H13" s="111"/>
    </row>
    <row r="14" spans="1:8" s="63" customFormat="1" ht="18.95" customHeight="1">
      <c r="A14" s="77" t="s">
        <v>297</v>
      </c>
      <c r="B14" s="67"/>
      <c r="C14" s="65"/>
      <c r="D14" s="79"/>
    </row>
    <row r="15" spans="1:8" s="63" customFormat="1" ht="18.95" customHeight="1">
      <c r="A15" s="77"/>
      <c r="B15" s="67"/>
      <c r="C15" s="65"/>
      <c r="D15" s="79"/>
    </row>
    <row r="16" spans="1:8" ht="18.75" customHeight="1">
      <c r="A16" s="77" t="s">
        <v>298</v>
      </c>
      <c r="B16" s="67" t="str">
        <f>"3.14*0.075m*0.075m*3.0m = "&amp;ROUND(3.14*0.075*0.075*3,3)&amp;"㎥"</f>
        <v>3.14*0.075m*0.075m*3.0m = 0.053㎥</v>
      </c>
      <c r="C16" s="65" t="s">
        <v>8</v>
      </c>
      <c r="D16" s="73">
        <v>5.6000000000000001E-2</v>
      </c>
    </row>
    <row r="17" spans="1:6" ht="18.75" customHeight="1">
      <c r="A17" s="77" t="s">
        <v>56</v>
      </c>
      <c r="B17" s="67" t="str">
        <f>ROUND(3.14*0.075*0.075*3,3)&amp;"㎥ * 할증 5%= "&amp;ROUND(3.14*0.075*0.075*3*1.05,3)&amp;"㎥"</f>
        <v>0.053㎥ * 할증 5%= 0.056㎥</v>
      </c>
      <c r="C17" s="65"/>
      <c r="D17" s="70"/>
    </row>
    <row r="18" spans="1:6" ht="18.75" customHeight="1">
      <c r="A18" s="80"/>
      <c r="B18" s="67"/>
      <c r="C18" s="65"/>
      <c r="D18" s="70"/>
      <c r="F18" s="67"/>
    </row>
    <row r="19" spans="1:6" ht="18.75" customHeight="1">
      <c r="A19" s="107" t="s">
        <v>232</v>
      </c>
      <c r="B19" s="108" t="s">
        <v>300</v>
      </c>
      <c r="C19" s="109" t="s">
        <v>57</v>
      </c>
      <c r="D19" s="110">
        <v>5.4720000000000004</v>
      </c>
    </row>
    <row r="20" spans="1:6" ht="18.75" customHeight="1">
      <c r="A20" s="77" t="s">
        <v>301</v>
      </c>
      <c r="B20" s="67" t="str">
        <f>"1.8m*3.04kg/m = "&amp;ROUND(1.8*3.04,3)&amp;"㎥"</f>
        <v>1.8m*3.04kg/m = 5.472㎥</v>
      </c>
      <c r="C20" s="65"/>
      <c r="D20" s="70"/>
    </row>
    <row r="21" spans="1:6" ht="18.75" customHeight="1">
      <c r="A21" s="80"/>
      <c r="B21" s="67"/>
      <c r="C21" s="65"/>
      <c r="D21" s="70"/>
    </row>
    <row r="22" spans="1:6" ht="18.75" customHeight="1">
      <c r="A22" s="77" t="s">
        <v>58</v>
      </c>
      <c r="B22" s="112">
        <f>D19</f>
        <v>5.4720000000000004</v>
      </c>
      <c r="C22" s="65" t="s">
        <v>57</v>
      </c>
      <c r="D22" s="73">
        <f>B22</f>
        <v>5.4720000000000004</v>
      </c>
    </row>
    <row r="23" spans="1:6" ht="18.75" customHeight="1">
      <c r="A23" s="113" t="s">
        <v>56</v>
      </c>
      <c r="B23" s="108"/>
      <c r="C23" s="109"/>
      <c r="D23" s="114"/>
    </row>
    <row r="24" spans="1:6" ht="18.75" customHeight="1">
      <c r="A24" s="84"/>
      <c r="B24" s="115"/>
      <c r="C24" s="81"/>
      <c r="D24" s="82"/>
    </row>
    <row r="25" spans="1:6" ht="18.75" customHeight="1">
      <c r="A25" s="107" t="s">
        <v>59</v>
      </c>
      <c r="B25" s="108"/>
      <c r="C25" s="116" t="s">
        <v>57</v>
      </c>
      <c r="D25" s="117">
        <f>D22+F27</f>
        <v>44.672000000000004</v>
      </c>
    </row>
    <row r="26" spans="1:6" ht="18.75" customHeight="1">
      <c r="A26" s="77" t="s">
        <v>60</v>
      </c>
      <c r="B26" s="112">
        <f>D22</f>
        <v>5.4720000000000004</v>
      </c>
      <c r="C26" s="81"/>
      <c r="D26" s="82"/>
    </row>
    <row r="27" spans="1:6" ht="18.75" customHeight="1">
      <c r="A27" s="84" t="s">
        <v>61</v>
      </c>
      <c r="B27" s="67" t="str">
        <f>"0.026㎥*700kg/㎥ = "&amp;ROUND(D16*700,3)&amp;"㎥"</f>
        <v>0.026㎥*700kg/㎥ = 39.2㎥</v>
      </c>
      <c r="C27" s="81"/>
      <c r="D27" s="82"/>
      <c r="F27" s="67">
        <f>D16*700</f>
        <v>39.200000000000003</v>
      </c>
    </row>
    <row r="28" spans="1:6" ht="18.75" customHeight="1">
      <c r="A28" s="84"/>
      <c r="B28" s="67" t="str">
        <f>"∴ ① + ② = "&amp;ROUND(D22+F27,2)</f>
        <v>∴ ① + ② = 44.67</v>
      </c>
      <c r="C28" s="81"/>
      <c r="D28" s="82"/>
    </row>
    <row r="29" spans="1:6" ht="20.45" customHeight="1">
      <c r="A29" s="84"/>
      <c r="B29" s="67"/>
      <c r="C29" s="81"/>
      <c r="D29" s="82"/>
    </row>
    <row r="30" spans="1:6" ht="20.45" customHeight="1">
      <c r="A30" s="84"/>
      <c r="B30" s="67"/>
      <c r="C30" s="81"/>
      <c r="D30" s="82"/>
    </row>
    <row r="31" spans="1:6" ht="20.45" customHeight="1">
      <c r="A31" s="84"/>
      <c r="B31" s="67"/>
      <c r="C31" s="81"/>
      <c r="D31" s="82"/>
    </row>
    <row r="32" spans="1:6" ht="20.45" customHeight="1">
      <c r="A32" s="84"/>
      <c r="B32" s="67"/>
      <c r="C32" s="81"/>
      <c r="D32" s="82"/>
    </row>
    <row r="33" spans="1:4" ht="20.45" customHeight="1">
      <c r="A33" s="84"/>
      <c r="B33" s="67"/>
      <c r="C33" s="81"/>
      <c r="D33" s="82"/>
    </row>
    <row r="34" spans="1:4" ht="20.45" customHeight="1">
      <c r="A34" s="230"/>
      <c r="B34" s="186"/>
      <c r="C34" s="86"/>
      <c r="D34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92D050"/>
  </sheetPr>
  <dimension ref="A1:H34"/>
  <sheetViews>
    <sheetView view="pageBreakPreview" zoomScaleNormal="100" zoomScaleSheetLayoutView="100" workbookViewId="0">
      <selection activeCell="K24" sqref="K24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305</v>
      </c>
      <c r="B2" s="56"/>
      <c r="C2" s="57"/>
      <c r="D2" s="58" t="s">
        <v>290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291</v>
      </c>
      <c r="B4" s="67" t="str">
        <f>"0.15m*0.1m*3.6m = "&amp;ROUND(0.15*0.1*3.6,3)&amp;"㎥"</f>
        <v>0.15m*0.1m*3.6m = 0.054㎥</v>
      </c>
      <c r="C4" s="65" t="s">
        <v>292</v>
      </c>
      <c r="D4" s="66">
        <v>5.3999999999999999E-2</v>
      </c>
      <c r="F4" s="101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78"/>
    </row>
    <row r="7" spans="1:8" s="63" customFormat="1" ht="18.75" customHeight="1">
      <c r="A7" s="98" t="s">
        <v>293</v>
      </c>
      <c r="B7" s="67" t="str">
        <f>"3.14*0.075m*0.075m*2/3*3.6m = "&amp;ROUND(3.14*0.075*0.075*2/3*3.6,3)&amp;"㎥"</f>
        <v>3.14*0.075m*0.075m*2/3*3.6m = 0.042㎥</v>
      </c>
      <c r="C7" s="65" t="s">
        <v>7</v>
      </c>
      <c r="D7" s="66">
        <v>4.2000000000000003E-2</v>
      </c>
      <c r="F7" s="104"/>
      <c r="H7" s="78"/>
    </row>
    <row r="8" spans="1:8" s="63" customFormat="1" ht="18.75" customHeight="1">
      <c r="A8" s="98" t="s">
        <v>294</v>
      </c>
      <c r="B8" s="103"/>
      <c r="C8" s="69"/>
      <c r="D8" s="70"/>
      <c r="F8" s="105"/>
      <c r="H8" s="106"/>
    </row>
    <row r="9" spans="1:8" s="63" customFormat="1" ht="18.75" customHeight="1">
      <c r="A9" s="102"/>
      <c r="B9" s="100"/>
      <c r="C9" s="69"/>
      <c r="D9" s="70"/>
    </row>
    <row r="10" spans="1:8" s="63" customFormat="1" ht="18.75" customHeight="1">
      <c r="A10" s="98" t="s">
        <v>295</v>
      </c>
      <c r="B10" s="67" t="str">
        <f>"1식 - 2식 = "&amp;ROUND(D4-D7,3)</f>
        <v>1식 - 2식 = 0.012</v>
      </c>
      <c r="C10" s="65" t="s">
        <v>292</v>
      </c>
      <c r="D10" s="66">
        <f>D4-D7</f>
        <v>1.1999999999999997E-2</v>
      </c>
    </row>
    <row r="11" spans="1:8" s="63" customFormat="1" ht="18.75" customHeight="1">
      <c r="A11" s="98" t="s">
        <v>55</v>
      </c>
      <c r="B11" s="100"/>
      <c r="C11" s="69"/>
      <c r="D11" s="70"/>
    </row>
    <row r="12" spans="1:8" s="63" customFormat="1" ht="18.75" customHeight="1">
      <c r="A12" s="98"/>
      <c r="B12" s="100"/>
      <c r="C12" s="69"/>
      <c r="D12" s="70"/>
      <c r="H12" s="78"/>
    </row>
    <row r="13" spans="1:8" s="63" customFormat="1" ht="18.75" customHeight="1">
      <c r="A13" s="77" t="s">
        <v>296</v>
      </c>
      <c r="B13" s="67" t="str">
        <f>"3.14*0.075m*0.075m*3.6m/0.00334 = "&amp;ROUND(3.14*0.075*0.075*3.6/0.00334,3)&amp;"재"</f>
        <v>3.14*0.075m*0.075m*3.6m/0.00334 = 19.037재</v>
      </c>
      <c r="C13" s="65" t="s">
        <v>9</v>
      </c>
      <c r="D13" s="66">
        <v>19.036999999999999</v>
      </c>
      <c r="F13" s="111"/>
      <c r="H13" s="111"/>
    </row>
    <row r="14" spans="1:8" s="63" customFormat="1" ht="18.95" customHeight="1">
      <c r="A14" s="77" t="s">
        <v>297</v>
      </c>
      <c r="B14" s="67"/>
      <c r="C14" s="65"/>
      <c r="D14" s="79"/>
    </row>
    <row r="15" spans="1:8" s="63" customFormat="1" ht="18.95" customHeight="1">
      <c r="A15" s="77"/>
      <c r="B15" s="67"/>
      <c r="C15" s="65"/>
      <c r="D15" s="79"/>
    </row>
    <row r="16" spans="1:8" ht="18.75" customHeight="1">
      <c r="A16" s="77" t="s">
        <v>298</v>
      </c>
      <c r="B16" s="67" t="str">
        <f>"3.14*0.075m*0.075m*3.6m = "&amp;ROUND(3.14*0.075*0.075*3.6,3)&amp;"㎥"</f>
        <v>3.14*0.075m*0.075m*3.6m = 0.064㎥</v>
      </c>
      <c r="C16" s="65" t="s">
        <v>8</v>
      </c>
      <c r="D16" s="73">
        <v>6.7000000000000004E-2</v>
      </c>
    </row>
    <row r="17" spans="1:6" ht="18.75" customHeight="1">
      <c r="A17" s="77" t="s">
        <v>299</v>
      </c>
      <c r="B17" s="67" t="str">
        <f>ROUND(3.14*0.075*0.075*3.6,3)&amp;"㎥ * 할증 5%= "&amp;ROUND(3.14*0.075*0.075*3.6*1.05,3)&amp;"㎥"</f>
        <v>0.064㎥ * 할증 5%= 0.067㎥</v>
      </c>
      <c r="C17" s="65"/>
      <c r="D17" s="70"/>
    </row>
    <row r="18" spans="1:6" ht="18.75" customHeight="1">
      <c r="A18" s="80"/>
      <c r="B18" s="67"/>
      <c r="C18" s="65"/>
      <c r="D18" s="70"/>
      <c r="F18" s="67"/>
    </row>
    <row r="19" spans="1:6" ht="18.75" customHeight="1">
      <c r="A19" s="107" t="s">
        <v>232</v>
      </c>
      <c r="B19" s="108" t="s">
        <v>300</v>
      </c>
      <c r="C19" s="109" t="s">
        <v>57</v>
      </c>
      <c r="D19" s="110">
        <v>5.4720000000000004</v>
      </c>
    </row>
    <row r="20" spans="1:6" ht="18.75" customHeight="1">
      <c r="A20" s="77" t="s">
        <v>301</v>
      </c>
      <c r="B20" s="67" t="str">
        <f>"1.8m*3.04kg/m = "&amp;ROUND(1.8*3.04,3)&amp;"㎥"</f>
        <v>1.8m*3.04kg/m = 5.472㎥</v>
      </c>
      <c r="C20" s="65"/>
      <c r="D20" s="70"/>
    </row>
    <row r="21" spans="1:6" ht="18.75" customHeight="1">
      <c r="A21" s="80"/>
      <c r="B21" s="67"/>
      <c r="C21" s="65"/>
      <c r="D21" s="70"/>
    </row>
    <row r="22" spans="1:6" ht="18.75" customHeight="1">
      <c r="A22" s="77" t="s">
        <v>58</v>
      </c>
      <c r="B22" s="112">
        <f>D19</f>
        <v>5.4720000000000004</v>
      </c>
      <c r="C22" s="65" t="s">
        <v>302</v>
      </c>
      <c r="D22" s="73">
        <f>B22</f>
        <v>5.4720000000000004</v>
      </c>
    </row>
    <row r="23" spans="1:6" ht="18.75" customHeight="1">
      <c r="A23" s="113" t="s">
        <v>303</v>
      </c>
      <c r="B23" s="108"/>
      <c r="C23" s="109"/>
      <c r="D23" s="114"/>
    </row>
    <row r="24" spans="1:6" ht="18.75" customHeight="1">
      <c r="A24" s="84"/>
      <c r="B24" s="115"/>
      <c r="C24" s="81"/>
      <c r="D24" s="82"/>
    </row>
    <row r="25" spans="1:6" ht="18.75" customHeight="1">
      <c r="A25" s="107" t="s">
        <v>59</v>
      </c>
      <c r="B25" s="108"/>
      <c r="C25" s="116" t="s">
        <v>57</v>
      </c>
      <c r="D25" s="117">
        <f>D22+F27</f>
        <v>52.372000000000007</v>
      </c>
    </row>
    <row r="26" spans="1:6" ht="18.75" customHeight="1">
      <c r="A26" s="77" t="s">
        <v>304</v>
      </c>
      <c r="B26" s="112">
        <f>D22</f>
        <v>5.4720000000000004</v>
      </c>
      <c r="C26" s="81"/>
      <c r="D26" s="82"/>
    </row>
    <row r="27" spans="1:6" ht="18.75" customHeight="1">
      <c r="A27" s="84" t="s">
        <v>61</v>
      </c>
      <c r="B27" s="67" t="str">
        <f>"0.026㎥*700kg/㎥ = "&amp;ROUND(D16*700,3)&amp;"㎥"</f>
        <v>0.026㎥*700kg/㎥ = 46.9㎥</v>
      </c>
      <c r="C27" s="81"/>
      <c r="D27" s="82"/>
      <c r="F27" s="67">
        <f>D16*700</f>
        <v>46.900000000000006</v>
      </c>
    </row>
    <row r="28" spans="1:6" ht="18.75" customHeight="1">
      <c r="A28" s="84"/>
      <c r="B28" s="67" t="str">
        <f>"∴ ① + ② = "&amp;ROUND(D22+F27,2)</f>
        <v>∴ ① + ② = 52.37</v>
      </c>
      <c r="C28" s="81"/>
      <c r="D28" s="82"/>
    </row>
    <row r="29" spans="1:6" ht="20.45" customHeight="1">
      <c r="A29" s="84"/>
      <c r="B29" s="67"/>
      <c r="C29" s="81"/>
      <c r="D29" s="82"/>
    </row>
    <row r="30" spans="1:6" ht="20.45" customHeight="1">
      <c r="A30" s="84"/>
      <c r="B30" s="67"/>
      <c r="C30" s="81"/>
      <c r="D30" s="82"/>
    </row>
    <row r="31" spans="1:6" ht="20.45" customHeight="1">
      <c r="A31" s="84"/>
      <c r="B31" s="67"/>
      <c r="C31" s="81"/>
      <c r="D31" s="82"/>
    </row>
    <row r="32" spans="1:6" ht="20.45" customHeight="1">
      <c r="A32" s="84"/>
      <c r="B32" s="67"/>
      <c r="C32" s="81"/>
      <c r="D32" s="82"/>
    </row>
    <row r="33" spans="1:4" ht="20.45" customHeight="1">
      <c r="A33" s="84"/>
      <c r="B33" s="67"/>
      <c r="C33" s="81"/>
      <c r="D33" s="82"/>
    </row>
    <row r="34" spans="1:4" ht="20.45" customHeight="1">
      <c r="A34" s="230"/>
      <c r="B34" s="186"/>
      <c r="C34" s="86"/>
      <c r="D34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335</v>
      </c>
      <c r="B2" s="56"/>
      <c r="C2" s="57"/>
      <c r="D2" s="58" t="s">
        <v>166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"W0.8m*0.2*1.5m = "&amp;ROUND(0.8*0.2*1.5,3)&amp;"㎥"</f>
        <v>W0.8m*0.2*1.5m = 0.24㎥</v>
      </c>
      <c r="C4" s="65" t="s">
        <v>7</v>
      </c>
      <c r="D4" s="66">
        <v>0.24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6</v>
      </c>
      <c r="B7" s="67"/>
      <c r="C7" s="65" t="s">
        <v>7</v>
      </c>
      <c r="D7" s="66">
        <f>D4</f>
        <v>0.24</v>
      </c>
      <c r="F7" s="99"/>
      <c r="G7" s="97"/>
      <c r="H7" s="97"/>
    </row>
    <row r="8" spans="1:8" s="63" customFormat="1" ht="18.75" customHeight="1">
      <c r="A8" s="98" t="s">
        <v>55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77" t="s">
        <v>191</v>
      </c>
      <c r="B10" s="67" t="str">
        <f>"0.3*0.2*1.5m*2ea/0.00334*1.05(할증) = "&amp;ROUND(0.3*0.2*1.5*2/0.00334*1.05,3)&amp;"재"</f>
        <v>0.3*0.2*1.5m*2ea/0.00334*1.05(할증) = 56.587재</v>
      </c>
      <c r="C10" s="65" t="s">
        <v>9</v>
      </c>
      <c r="D10" s="66">
        <v>56.587000000000003</v>
      </c>
      <c r="E10" s="291"/>
      <c r="F10" s="101"/>
      <c r="G10" s="97"/>
      <c r="H10" s="97"/>
    </row>
    <row r="11" spans="1:8" s="63" customFormat="1" ht="18.75" customHeight="1">
      <c r="A11" s="77" t="s">
        <v>192</v>
      </c>
      <c r="B11" s="67"/>
      <c r="C11" s="65"/>
      <c r="D11" s="79"/>
      <c r="F11" s="101"/>
      <c r="G11" s="97"/>
      <c r="H11" s="97"/>
    </row>
    <row r="12" spans="1:8" s="63" customFormat="1" ht="18.75" customHeight="1">
      <c r="A12" s="77"/>
      <c r="B12" s="67"/>
      <c r="C12" s="65"/>
      <c r="D12" s="79"/>
      <c r="F12" s="78"/>
    </row>
    <row r="13" spans="1:8" s="63" customFormat="1" ht="18.75" customHeight="1">
      <c r="A13" s="77" t="s">
        <v>63</v>
      </c>
      <c r="B13" s="67" t="str">
        <f>"0.3*0.2*1.5m*2ea = "&amp;ROUND(0.3*0.2*1.5*2,3)&amp;"㎥"</f>
        <v>0.3*0.2*1.5m*2ea = 0.18㎥</v>
      </c>
      <c r="C13" s="65" t="s">
        <v>8</v>
      </c>
      <c r="D13" s="73">
        <v>0.18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67"/>
      <c r="C15" s="65"/>
      <c r="D15" s="70"/>
    </row>
    <row r="16" spans="1:8" s="63" customFormat="1" ht="18.75" customHeight="1">
      <c r="A16" s="107" t="s">
        <v>64</v>
      </c>
      <c r="B16" s="67" t="str">
        <f>"(0.6m*6ea)*0.995kg*1.03(할증) = "&amp;ROUND(0.6*6*0.995*1.03,3)&amp;"kg"</f>
        <v>(0.6m*6ea)*0.995kg*1.03(할증) = 3.689kg</v>
      </c>
      <c r="C16" s="109" t="s">
        <v>57</v>
      </c>
      <c r="D16" s="110">
        <v>3.6890000000000001</v>
      </c>
    </row>
    <row r="17" spans="1:8" s="63" customFormat="1" ht="18.75" customHeight="1">
      <c r="A17" s="77" t="s">
        <v>195</v>
      </c>
      <c r="B17" s="67" t="str">
        <f>"1.8m*3.04kg/m = "&amp;ROUND(1.8*3.04,3)&amp;"㎥"</f>
        <v>1.8m*3.04kg/m = 5.472㎥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77" t="s">
        <v>196</v>
      </c>
      <c r="B19" s="67" t="str">
        <f>"(0.6m*6ea)*0.995kg/1000 = "&amp;ROUND(0.6*6*0.995/1000,6)&amp;"ton"</f>
        <v>(0.6m*6ea)*0.995kg/1000 = 0.003582ton</v>
      </c>
      <c r="C19" s="65" t="s">
        <v>82</v>
      </c>
      <c r="D19" s="136">
        <v>3.5820000000000001E-3</v>
      </c>
      <c r="F19" s="106"/>
      <c r="H19" s="111"/>
    </row>
    <row r="20" spans="1:8" s="63" customFormat="1" ht="18.95" customHeight="1">
      <c r="A20" s="113" t="s">
        <v>56</v>
      </c>
      <c r="B20" s="108"/>
      <c r="C20" s="109"/>
      <c r="D20" s="114"/>
    </row>
    <row r="21" spans="1:8" s="63" customFormat="1" ht="18.95" customHeight="1">
      <c r="A21" s="84"/>
      <c r="B21" s="115"/>
      <c r="C21" s="81"/>
      <c r="D21" s="82"/>
    </row>
    <row r="22" spans="1:8" s="63" customFormat="1" ht="21.75" customHeight="1">
      <c r="A22" s="107" t="s">
        <v>59</v>
      </c>
      <c r="B22" s="108"/>
      <c r="C22" s="116" t="s">
        <v>57</v>
      </c>
      <c r="D22" s="117">
        <f>ROUNDDOWN(D13*600+D16,1)</f>
        <v>111.6</v>
      </c>
    </row>
    <row r="23" spans="1:8" s="63" customFormat="1" ht="18.95" customHeight="1">
      <c r="A23" s="77" t="s">
        <v>60</v>
      </c>
      <c r="B23" s="112">
        <f>D16</f>
        <v>3.6890000000000001</v>
      </c>
      <c r="C23" s="81"/>
      <c r="D23" s="82"/>
    </row>
    <row r="24" spans="1:8" s="63" customFormat="1" ht="18.95" customHeight="1">
      <c r="A24" s="84" t="s">
        <v>61</v>
      </c>
      <c r="B24" s="67" t="str">
        <f>"0.18㎥*600kg/㎥ = "&amp;ROUND(D13*600,3)&amp;"㎥"</f>
        <v>0.18㎥*600kg/㎥ = 108㎥</v>
      </c>
      <c r="C24" s="81"/>
      <c r="D24" s="82"/>
      <c r="E24" s="83"/>
      <c r="F24" s="83"/>
      <c r="G24" s="83"/>
      <c r="H24" s="83"/>
    </row>
    <row r="25" spans="1:8" ht="18.75" customHeight="1">
      <c r="A25" s="84"/>
      <c r="B25" s="67"/>
      <c r="C25" s="81"/>
      <c r="D25" s="82"/>
    </row>
    <row r="26" spans="1:8" ht="18.75" customHeight="1">
      <c r="A26" s="77"/>
      <c r="B26" s="112"/>
      <c r="C26" s="81"/>
      <c r="D26" s="82"/>
    </row>
    <row r="27" spans="1:8" ht="18.75" customHeight="1">
      <c r="A27" s="84"/>
      <c r="B27" s="67"/>
      <c r="C27" s="81"/>
      <c r="D27" s="82"/>
      <c r="F27" s="106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267</v>
      </c>
      <c r="B2" s="56"/>
      <c r="C2" s="57"/>
      <c r="D2" s="58" t="s">
        <v>166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"W0.8m*0.2*2.0m = "&amp;ROUND(0.8*0.2*2,3)&amp;"㎥"</f>
        <v>W0.8m*0.2*2.0m = 0.32㎥</v>
      </c>
      <c r="C4" s="65" t="s">
        <v>7</v>
      </c>
      <c r="D4" s="66">
        <v>0.32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6</v>
      </c>
      <c r="B7" s="67"/>
      <c r="C7" s="65" t="s">
        <v>7</v>
      </c>
      <c r="D7" s="66">
        <v>0.32</v>
      </c>
      <c r="F7" s="99"/>
      <c r="G7" s="97"/>
      <c r="H7" s="97"/>
    </row>
    <row r="8" spans="1:8" s="63" customFormat="1" ht="18.75" customHeight="1">
      <c r="A8" s="98" t="s">
        <v>55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77" t="s">
        <v>191</v>
      </c>
      <c r="B10" s="67" t="str">
        <f>"0.3*0.2*2.0m*2ea/0.00334*1.05(할증) = "&amp;ROUND(0.3*0.2*2*2/0.00334*1.05,3)&amp;"재"</f>
        <v>0.3*0.2*2.0m*2ea/0.00334*1.05(할증) = 75.449재</v>
      </c>
      <c r="C10" s="65" t="s">
        <v>9</v>
      </c>
      <c r="D10" s="66">
        <v>75.448999999999998</v>
      </c>
      <c r="F10" s="101"/>
      <c r="G10" s="97"/>
      <c r="H10" s="97"/>
    </row>
    <row r="11" spans="1:8" s="63" customFormat="1" ht="18.75" customHeight="1">
      <c r="A11" s="77" t="s">
        <v>192</v>
      </c>
      <c r="B11" s="67"/>
      <c r="C11" s="65"/>
      <c r="D11" s="79"/>
      <c r="F11" s="101"/>
      <c r="G11" s="97"/>
      <c r="H11" s="97"/>
    </row>
    <row r="12" spans="1:8" s="63" customFormat="1" ht="18.75" customHeight="1">
      <c r="A12" s="77"/>
      <c r="B12" s="67"/>
      <c r="C12" s="65"/>
      <c r="D12" s="79"/>
      <c r="F12" s="78"/>
    </row>
    <row r="13" spans="1:8" s="63" customFormat="1" ht="18.75" customHeight="1">
      <c r="A13" s="77" t="s">
        <v>63</v>
      </c>
      <c r="B13" s="67" t="str">
        <f>"0.3*0.2*2.0m*2ea = "&amp;ROUND(0.3*0.2*2*2,3)&amp;"㎥"</f>
        <v>0.3*0.2*2.0m*2ea = 0.24㎥</v>
      </c>
      <c r="C13" s="65" t="s">
        <v>8</v>
      </c>
      <c r="D13" s="73">
        <v>0.24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67"/>
      <c r="C15" s="65"/>
      <c r="D15" s="70"/>
    </row>
    <row r="16" spans="1:8" s="63" customFormat="1" ht="18.75" customHeight="1">
      <c r="A16" s="107" t="s">
        <v>64</v>
      </c>
      <c r="B16" s="67" t="str">
        <f>"(0.6m*6ea)*0.995kg*1.03(할증) = "&amp;ROUND(0.6*6*0.995*1.03,3)&amp;"kg"</f>
        <v>(0.6m*6ea)*0.995kg*1.03(할증) = 3.689kg</v>
      </c>
      <c r="C16" s="109" t="s">
        <v>57</v>
      </c>
      <c r="D16" s="110">
        <v>3.6890000000000001</v>
      </c>
    </row>
    <row r="17" spans="1:8" s="63" customFormat="1" ht="18.75" customHeight="1">
      <c r="A17" s="77" t="s">
        <v>195</v>
      </c>
      <c r="B17" s="67" t="str">
        <f>"1.8m*3.04kg/m = "&amp;ROUND(1.8*3.04,3)&amp;"㎥"</f>
        <v>1.8m*3.04kg/m = 5.472㎥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77" t="s">
        <v>196</v>
      </c>
      <c r="B19" s="67" t="str">
        <f>"(0.6m*6ea)*0.995kg/1000 = "&amp;ROUND(0.6*6*0.995/1000,6)&amp;"ton"</f>
        <v>(0.6m*6ea)*0.995kg/1000 = 0.003582ton</v>
      </c>
      <c r="C19" s="65" t="s">
        <v>82</v>
      </c>
      <c r="D19" s="136">
        <v>3.5820000000000001E-3</v>
      </c>
      <c r="F19" s="106"/>
      <c r="H19" s="111"/>
    </row>
    <row r="20" spans="1:8" s="63" customFormat="1" ht="18.95" customHeight="1">
      <c r="A20" s="113" t="s">
        <v>56</v>
      </c>
      <c r="B20" s="108"/>
      <c r="C20" s="109"/>
      <c r="D20" s="114"/>
    </row>
    <row r="21" spans="1:8" s="63" customFormat="1" ht="18.95" customHeight="1">
      <c r="A21" s="84"/>
      <c r="B21" s="115"/>
      <c r="C21" s="81"/>
      <c r="D21" s="82"/>
    </row>
    <row r="22" spans="1:8" s="63" customFormat="1" ht="21.75" customHeight="1">
      <c r="A22" s="107" t="s">
        <v>59</v>
      </c>
      <c r="B22" s="108"/>
      <c r="C22" s="116" t="s">
        <v>57</v>
      </c>
      <c r="D22" s="117">
        <f>ROUNDDOWN(D13*600+D16,1)</f>
        <v>147.6</v>
      </c>
    </row>
    <row r="23" spans="1:8" s="63" customFormat="1" ht="18.95" customHeight="1">
      <c r="A23" s="77" t="s">
        <v>60</v>
      </c>
      <c r="B23" s="112">
        <f>D16</f>
        <v>3.6890000000000001</v>
      </c>
      <c r="C23" s="81"/>
      <c r="D23" s="82"/>
    </row>
    <row r="24" spans="1:8" s="63" customFormat="1" ht="18.95" customHeight="1">
      <c r="A24" s="84" t="s">
        <v>61</v>
      </c>
      <c r="B24" s="67" t="str">
        <f>"0.24㎥*600kg/㎥ = "&amp;ROUND(D13*600,3)&amp;"㎥"</f>
        <v>0.24㎥*600kg/㎥ = 144㎥</v>
      </c>
      <c r="C24" s="81"/>
      <c r="D24" s="82"/>
      <c r="E24" s="83"/>
      <c r="F24" s="83"/>
      <c r="G24" s="83"/>
      <c r="H24" s="83"/>
    </row>
    <row r="25" spans="1:8" ht="18.75" customHeight="1">
      <c r="A25" s="84"/>
      <c r="B25" s="67"/>
      <c r="C25" s="81"/>
      <c r="D25" s="82"/>
    </row>
    <row r="26" spans="1:8" ht="18.75" customHeight="1">
      <c r="A26" s="77"/>
      <c r="B26" s="112"/>
      <c r="C26" s="81"/>
      <c r="D26" s="82"/>
    </row>
    <row r="27" spans="1:8" ht="18.75" customHeight="1">
      <c r="A27" s="84"/>
      <c r="B27" s="67"/>
      <c r="C27" s="81"/>
      <c r="D27" s="82"/>
      <c r="F27" s="106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48</v>
      </c>
      <c r="D1" s="92" t="s">
        <v>49</v>
      </c>
    </row>
    <row r="2" spans="1:8" s="59" customFormat="1" ht="20.45" customHeight="1">
      <c r="A2" s="93" t="s">
        <v>189</v>
      </c>
      <c r="B2" s="56"/>
      <c r="C2" s="57"/>
      <c r="D2" s="58" t="s">
        <v>190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"W0.8m*0.2*2.5m = "&amp;ROUND(0.8*0.2*2.5,3)&amp;"㎥"</f>
        <v>W0.8m*0.2*2.5m = 0.4㎥</v>
      </c>
      <c r="C4" s="65" t="s">
        <v>52</v>
      </c>
      <c r="D4" s="66">
        <v>0.4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54</v>
      </c>
      <c r="B7" s="67"/>
      <c r="C7" s="65" t="s">
        <v>52</v>
      </c>
      <c r="D7" s="66">
        <v>0.4</v>
      </c>
      <c r="F7" s="99"/>
      <c r="G7" s="97"/>
      <c r="H7" s="97"/>
    </row>
    <row r="8" spans="1:8" s="63" customFormat="1" ht="18.75" customHeight="1">
      <c r="A8" s="98" t="s">
        <v>55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77" t="s">
        <v>191</v>
      </c>
      <c r="B10" s="67" t="str">
        <f>"0.3*0.2*2.5m*2ea/0.00334*1.05(할증) = "&amp;ROUND(0.3*0.2*2.5*2/0.00334*1.05,3)&amp;"재"</f>
        <v>0.3*0.2*2.5m*2ea/0.00334*1.05(할증) = 94.311재</v>
      </c>
      <c r="C10" s="65" t="s">
        <v>9</v>
      </c>
      <c r="D10" s="66">
        <v>94.31</v>
      </c>
      <c r="F10" s="101"/>
      <c r="G10" s="97"/>
      <c r="H10" s="97"/>
    </row>
    <row r="11" spans="1:8" s="63" customFormat="1" ht="18.75" customHeight="1">
      <c r="A11" s="77" t="s">
        <v>192</v>
      </c>
      <c r="B11" s="67"/>
      <c r="C11" s="65"/>
      <c r="D11" s="79"/>
      <c r="F11" s="101"/>
      <c r="G11" s="97"/>
      <c r="H11" s="97"/>
    </row>
    <row r="12" spans="1:8" s="63" customFormat="1" ht="18.75" customHeight="1">
      <c r="A12" s="77"/>
      <c r="B12" s="67"/>
      <c r="C12" s="65"/>
      <c r="D12" s="79"/>
      <c r="F12" s="78"/>
    </row>
    <row r="13" spans="1:8" s="63" customFormat="1" ht="18.75" customHeight="1">
      <c r="A13" s="77" t="s">
        <v>193</v>
      </c>
      <c r="B13" s="67" t="str">
        <f>"0.3*0.2*2.5m*2ea = "&amp;ROUND(0.3*0.2*2.5*2,3)&amp;"㎥"</f>
        <v>0.3*0.2*2.5m*2ea = 0.3㎥</v>
      </c>
      <c r="C13" s="65" t="s">
        <v>8</v>
      </c>
      <c r="D13" s="73">
        <v>0.3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67"/>
      <c r="C15" s="65"/>
      <c r="D15" s="70"/>
    </row>
    <row r="16" spans="1:8" s="63" customFormat="1" ht="18.75" customHeight="1">
      <c r="A16" s="107" t="s">
        <v>194</v>
      </c>
      <c r="B16" s="67" t="str">
        <f>"(0.6m*6ea)*0.995kg*1.03(할증) = "&amp;ROUND(0.6*6*0.995*1.03,3)&amp;"kg"</f>
        <v>(0.6m*6ea)*0.995kg*1.03(할증) = 3.689kg</v>
      </c>
      <c r="C16" s="109" t="s">
        <v>57</v>
      </c>
      <c r="D16" s="110">
        <v>3.6890000000000001</v>
      </c>
    </row>
    <row r="17" spans="1:8" s="63" customFormat="1" ht="18.75" customHeight="1">
      <c r="A17" s="77" t="s">
        <v>195</v>
      </c>
      <c r="B17" s="67" t="str">
        <f>"1.8m*3.04kg/m = "&amp;ROUND(1.8*3.04,3)&amp;"㎥"</f>
        <v>1.8m*3.04kg/m = 5.472㎥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77" t="s">
        <v>196</v>
      </c>
      <c r="B19" s="67" t="str">
        <f>"(0.6m*6ea)*0.995kg/1000 = "&amp;ROUND(0.6*6*0.995/1000,6)&amp;"ton"</f>
        <v>(0.6m*6ea)*0.995kg/1000 = 0.003582ton</v>
      </c>
      <c r="C19" s="65" t="s">
        <v>197</v>
      </c>
      <c r="D19" s="136">
        <v>3.5820000000000001E-3</v>
      </c>
      <c r="F19" s="106"/>
      <c r="H19" s="111"/>
    </row>
    <row r="20" spans="1:8" s="63" customFormat="1" ht="18.95" customHeight="1">
      <c r="A20" s="113" t="s">
        <v>56</v>
      </c>
      <c r="B20" s="108"/>
      <c r="C20" s="109"/>
      <c r="D20" s="114"/>
    </row>
    <row r="21" spans="1:8" s="63" customFormat="1" ht="18.95" customHeight="1">
      <c r="A21" s="84"/>
      <c r="B21" s="115"/>
      <c r="C21" s="81"/>
      <c r="D21" s="82"/>
    </row>
    <row r="22" spans="1:8" s="63" customFormat="1" ht="21.75" customHeight="1">
      <c r="A22" s="107" t="s">
        <v>59</v>
      </c>
      <c r="B22" s="108"/>
      <c r="C22" s="116" t="s">
        <v>57</v>
      </c>
      <c r="D22" s="117">
        <f>ROUNDDOWN(D13*600+D16,1)</f>
        <v>183.6</v>
      </c>
    </row>
    <row r="23" spans="1:8" s="63" customFormat="1" ht="18.95" customHeight="1">
      <c r="A23" s="77" t="s">
        <v>60</v>
      </c>
      <c r="B23" s="112">
        <f>D16</f>
        <v>3.6890000000000001</v>
      </c>
      <c r="C23" s="81"/>
      <c r="D23" s="82"/>
    </row>
    <row r="24" spans="1:8" s="63" customFormat="1" ht="18.95" customHeight="1">
      <c r="A24" s="84" t="s">
        <v>61</v>
      </c>
      <c r="B24" s="67" t="str">
        <f>"0.3㎥*600kg/㎥ = "&amp;ROUND(0.3*600,3)&amp;"㎥"</f>
        <v>0.3㎥*600kg/㎥ = 180㎥</v>
      </c>
      <c r="C24" s="81"/>
      <c r="D24" s="82"/>
      <c r="E24" s="83"/>
      <c r="F24" s="83"/>
      <c r="G24" s="83"/>
      <c r="H24" s="83"/>
    </row>
    <row r="25" spans="1:8" ht="18.75" customHeight="1">
      <c r="A25" s="84"/>
      <c r="B25" s="67"/>
      <c r="C25" s="81"/>
      <c r="D25" s="82"/>
    </row>
    <row r="26" spans="1:8" ht="18.75" customHeight="1">
      <c r="A26" s="77"/>
      <c r="B26" s="112"/>
      <c r="C26" s="81"/>
      <c r="D26" s="82"/>
    </row>
    <row r="27" spans="1:8" ht="18.75" customHeight="1">
      <c r="A27" s="84"/>
      <c r="B27" s="67"/>
      <c r="C27" s="81"/>
      <c r="D27" s="82"/>
      <c r="F27" s="106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93" t="s">
        <v>198</v>
      </c>
      <c r="B2" s="56"/>
      <c r="C2" s="57"/>
      <c r="D2" s="58" t="s">
        <v>190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51</v>
      </c>
      <c r="B4" s="67" t="str">
        <f>"W1.0m*0.2*3.0m = "&amp;ROUND(1*0.2*3,3)&amp;"㎥"</f>
        <v>W1.0m*0.2*3.0m = 0.6㎥</v>
      </c>
      <c r="C4" s="65" t="s">
        <v>7</v>
      </c>
      <c r="D4" s="66">
        <v>0.6</v>
      </c>
      <c r="F4" s="99"/>
      <c r="G4" s="97"/>
      <c r="H4" s="97"/>
    </row>
    <row r="5" spans="1:8" s="63" customFormat="1" ht="18.75" customHeight="1">
      <c r="A5" s="98" t="s">
        <v>53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 t="s">
        <v>6</v>
      </c>
      <c r="B7" s="67"/>
      <c r="C7" s="65" t="s">
        <v>7</v>
      </c>
      <c r="D7" s="66">
        <v>0.6</v>
      </c>
      <c r="F7" s="99"/>
      <c r="G7" s="97"/>
      <c r="H7" s="97"/>
    </row>
    <row r="8" spans="1:8" s="63" customFormat="1" ht="18.75" customHeight="1">
      <c r="A8" s="98" t="s">
        <v>55</v>
      </c>
      <c r="B8" s="103"/>
      <c r="C8" s="69"/>
      <c r="D8" s="70"/>
      <c r="F8" s="101"/>
      <c r="G8" s="97"/>
      <c r="H8" s="97"/>
    </row>
    <row r="9" spans="1:8" s="63" customFormat="1" ht="18.75" customHeight="1">
      <c r="A9" s="102"/>
      <c r="B9" s="100"/>
      <c r="C9" s="69"/>
      <c r="D9" s="70"/>
      <c r="F9" s="101"/>
      <c r="G9" s="97"/>
      <c r="H9" s="97"/>
    </row>
    <row r="10" spans="1:8" s="63" customFormat="1" ht="18.75" customHeight="1">
      <c r="A10" s="77" t="s">
        <v>191</v>
      </c>
      <c r="B10" s="67" t="str">
        <f>"0.3*0.2*3.0m*2ea/0.00334*1.05(할증) = "&amp;ROUND(0.3*0.2*3*2/0.00334*1.05,3)&amp;"재"</f>
        <v>0.3*0.2*3.0m*2ea/0.00334*1.05(할증) = 113.174재</v>
      </c>
      <c r="C10" s="65" t="s">
        <v>9</v>
      </c>
      <c r="D10" s="66">
        <v>113.17</v>
      </c>
      <c r="F10" s="101"/>
      <c r="G10" s="97"/>
      <c r="H10" s="97"/>
    </row>
    <row r="11" spans="1:8" s="63" customFormat="1" ht="18.75" customHeight="1">
      <c r="A11" s="77" t="s">
        <v>192</v>
      </c>
      <c r="B11" s="67"/>
      <c r="C11" s="65"/>
      <c r="D11" s="79"/>
      <c r="F11" s="101"/>
      <c r="G11" s="97"/>
      <c r="H11" s="97"/>
    </row>
    <row r="12" spans="1:8" s="63" customFormat="1" ht="18.75" customHeight="1">
      <c r="A12" s="77"/>
      <c r="B12" s="67"/>
      <c r="C12" s="65"/>
      <c r="D12" s="79"/>
      <c r="F12" s="78"/>
    </row>
    <row r="13" spans="1:8" s="63" customFormat="1" ht="18.75" customHeight="1">
      <c r="A13" s="77" t="s">
        <v>193</v>
      </c>
      <c r="B13" s="67" t="str">
        <f>"0.3*0.2*3.0m*2ea = "&amp;ROUND(0.3*0.2*3*2,3)&amp;"㎥"</f>
        <v>0.3*0.2*3.0m*2ea = 0.36㎥</v>
      </c>
      <c r="C13" s="65" t="s">
        <v>8</v>
      </c>
      <c r="D13" s="73">
        <v>0.36</v>
      </c>
      <c r="F13" s="104"/>
      <c r="H13" s="78"/>
    </row>
    <row r="14" spans="1:8" s="63" customFormat="1" ht="18.75" customHeight="1">
      <c r="A14" s="77" t="s">
        <v>56</v>
      </c>
      <c r="B14" s="67"/>
      <c r="C14" s="65"/>
      <c r="D14" s="70"/>
      <c r="F14" s="105"/>
      <c r="H14" s="106"/>
    </row>
    <row r="15" spans="1:8" s="63" customFormat="1" ht="18.75" customHeight="1">
      <c r="A15" s="80"/>
      <c r="B15" s="67"/>
      <c r="C15" s="65"/>
      <c r="D15" s="70"/>
    </row>
    <row r="16" spans="1:8" s="63" customFormat="1" ht="18.75" customHeight="1">
      <c r="A16" s="107" t="s">
        <v>194</v>
      </c>
      <c r="B16" s="67" t="str">
        <f>"(0.6m*6ea)*0.995kg*1.03(할증) = "&amp;ROUND(0.6*6*0.995*1.03,3)&amp;"kg"</f>
        <v>(0.6m*6ea)*0.995kg*1.03(할증) = 3.689kg</v>
      </c>
      <c r="C16" s="109" t="s">
        <v>57</v>
      </c>
      <c r="D16" s="110">
        <v>3.6890000000000001</v>
      </c>
    </row>
    <row r="17" spans="1:8" s="63" customFormat="1" ht="18.75" customHeight="1">
      <c r="A17" s="77" t="s">
        <v>195</v>
      </c>
      <c r="B17" s="67" t="str">
        <f>"1.8m*3.04kg/m = "&amp;ROUND(1.8*3.04,3)&amp;"㎥"</f>
        <v>1.8m*3.04kg/m = 5.472㎥</v>
      </c>
      <c r="C17" s="65"/>
      <c r="D17" s="70"/>
    </row>
    <row r="18" spans="1:8" s="63" customFormat="1" ht="18.75" customHeight="1">
      <c r="A18" s="80"/>
      <c r="B18" s="67"/>
      <c r="C18" s="65"/>
      <c r="D18" s="70"/>
      <c r="H18" s="78"/>
    </row>
    <row r="19" spans="1:8" s="63" customFormat="1" ht="18.75" customHeight="1">
      <c r="A19" s="77" t="s">
        <v>196</v>
      </c>
      <c r="B19" s="67" t="str">
        <f>"(0.6m*6ea)*0.995kg/1000 = "&amp;ROUND(0.6*6*0.995/1000,6)&amp;"ton"</f>
        <v>(0.6m*6ea)*0.995kg/1000 = 0.003582ton</v>
      </c>
      <c r="C19" s="65" t="s">
        <v>197</v>
      </c>
      <c r="D19" s="136">
        <v>3.5820000000000001E-3</v>
      </c>
      <c r="F19" s="106"/>
      <c r="H19" s="111"/>
    </row>
    <row r="20" spans="1:8" s="63" customFormat="1" ht="18.95" customHeight="1">
      <c r="A20" s="113" t="s">
        <v>56</v>
      </c>
      <c r="B20" s="108"/>
      <c r="C20" s="109"/>
      <c r="D20" s="114"/>
    </row>
    <row r="21" spans="1:8" s="63" customFormat="1" ht="18.95" customHeight="1">
      <c r="A21" s="84"/>
      <c r="B21" s="115"/>
      <c r="C21" s="81"/>
      <c r="D21" s="82"/>
    </row>
    <row r="22" spans="1:8" s="63" customFormat="1" ht="21.75" customHeight="1">
      <c r="A22" s="107" t="s">
        <v>59</v>
      </c>
      <c r="B22" s="108"/>
      <c r="C22" s="116" t="s">
        <v>57</v>
      </c>
      <c r="D22" s="117">
        <f>ROUNDDOWN(D13*600+D16,1)</f>
        <v>219.6</v>
      </c>
    </row>
    <row r="23" spans="1:8" s="63" customFormat="1" ht="18.95" customHeight="1">
      <c r="A23" s="77" t="s">
        <v>60</v>
      </c>
      <c r="B23" s="112">
        <f>D16</f>
        <v>3.6890000000000001</v>
      </c>
      <c r="C23" s="81"/>
      <c r="D23" s="82"/>
    </row>
    <row r="24" spans="1:8" s="63" customFormat="1" ht="18.95" customHeight="1">
      <c r="A24" s="84" t="s">
        <v>61</v>
      </c>
      <c r="B24" s="67" t="str">
        <f>"0.36㎥*600kg/㎥ = "&amp;ROUND(0.36*600,3)&amp;"㎥"</f>
        <v>0.36㎥*600kg/㎥ = 216㎥</v>
      </c>
      <c r="C24" s="81"/>
      <c r="D24" s="82"/>
      <c r="E24" s="83"/>
      <c r="F24" s="83"/>
      <c r="G24" s="83"/>
      <c r="H24" s="83"/>
    </row>
    <row r="25" spans="1:8" ht="18.75" customHeight="1">
      <c r="A25" s="84"/>
      <c r="B25" s="67"/>
      <c r="C25" s="81"/>
      <c r="D25" s="82"/>
    </row>
    <row r="26" spans="1:8" ht="18.75" customHeight="1">
      <c r="A26" s="77"/>
      <c r="B26" s="112"/>
      <c r="C26" s="81"/>
      <c r="D26" s="82"/>
    </row>
    <row r="27" spans="1:8" ht="18.75" customHeight="1">
      <c r="A27" s="84"/>
      <c r="B27" s="67"/>
      <c r="C27" s="81"/>
      <c r="D27" s="82"/>
      <c r="F27" s="106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</sheetPr>
  <dimension ref="A1:H3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48</v>
      </c>
      <c r="D1" s="92" t="s">
        <v>49</v>
      </c>
    </row>
    <row r="2" spans="1:8" s="59" customFormat="1" ht="20.45" customHeight="1">
      <c r="A2" s="93" t="s">
        <v>590</v>
      </c>
      <c r="B2" s="56"/>
      <c r="C2" s="57"/>
      <c r="D2" s="58" t="s">
        <v>200</v>
      </c>
      <c r="F2" s="94"/>
      <c r="G2" s="94"/>
      <c r="H2" s="94"/>
    </row>
    <row r="3" spans="1:8" s="63" customFormat="1" ht="18.75" customHeight="1">
      <c r="A3" s="95"/>
      <c r="B3" s="96"/>
      <c r="C3" s="61"/>
      <c r="D3" s="62"/>
      <c r="F3" s="97"/>
      <c r="G3" s="97"/>
      <c r="H3" s="97"/>
    </row>
    <row r="4" spans="1:8" s="63" customFormat="1" ht="18.75" customHeight="1">
      <c r="A4" s="98" t="s">
        <v>201</v>
      </c>
      <c r="B4" s="67" t="str">
        <f>"1.0m/0.8*1단 = "&amp;ROUND(1/0.8*1,3)&amp;"㎥"</f>
        <v>1.0m/0.8*1단 = 1.25㎥</v>
      </c>
      <c r="C4" s="65" t="s">
        <v>203</v>
      </c>
      <c r="D4" s="66">
        <v>1.25</v>
      </c>
      <c r="F4" s="99"/>
      <c r="G4" s="97"/>
      <c r="H4" s="97"/>
    </row>
    <row r="5" spans="1:8" s="63" customFormat="1" ht="18.75" customHeight="1">
      <c r="A5" s="102" t="s">
        <v>202</v>
      </c>
      <c r="B5" s="100"/>
      <c r="C5" s="69"/>
      <c r="D5" s="70"/>
      <c r="F5" s="101"/>
      <c r="G5" s="97"/>
      <c r="H5" s="97"/>
    </row>
    <row r="6" spans="1:8" s="63" customFormat="1" ht="18.75" customHeight="1">
      <c r="A6" s="102"/>
      <c r="B6" s="100"/>
      <c r="C6" s="69"/>
      <c r="D6" s="70"/>
      <c r="F6" s="101"/>
      <c r="G6" s="97"/>
      <c r="H6" s="97"/>
    </row>
    <row r="7" spans="1:8" s="63" customFormat="1" ht="18.75" customHeight="1">
      <c r="A7" s="98"/>
      <c r="B7" s="67"/>
      <c r="C7" s="65"/>
      <c r="D7" s="66"/>
      <c r="F7" s="99"/>
      <c r="G7" s="97"/>
      <c r="H7" s="97"/>
    </row>
    <row r="8" spans="1:8" s="63" customFormat="1" ht="18.75" customHeight="1">
      <c r="A8" s="98"/>
      <c r="B8" s="103"/>
      <c r="C8" s="69"/>
      <c r="D8" s="70"/>
      <c r="F8" s="101"/>
      <c r="G8" s="97"/>
      <c r="H8" s="97"/>
    </row>
    <row r="9" spans="1:8" s="63" customFormat="1" ht="18.75" customHeight="1">
      <c r="A9" s="93" t="s">
        <v>199</v>
      </c>
      <c r="B9" s="56"/>
      <c r="C9" s="57"/>
      <c r="D9" s="58" t="s">
        <v>105</v>
      </c>
      <c r="F9" s="101"/>
      <c r="G9" s="97"/>
      <c r="H9" s="97"/>
    </row>
    <row r="10" spans="1:8" s="63" customFormat="1" ht="18.75" customHeight="1">
      <c r="A10" s="95"/>
      <c r="B10" s="96"/>
      <c r="C10" s="61"/>
      <c r="D10" s="62"/>
      <c r="F10" s="101"/>
      <c r="G10" s="97"/>
      <c r="H10" s="97"/>
    </row>
    <row r="11" spans="1:8" s="63" customFormat="1" ht="18.75" customHeight="1">
      <c r="A11" s="98" t="s">
        <v>201</v>
      </c>
      <c r="B11" s="67" t="str">
        <f>"1.0m/0.8*2단 = "&amp;ROUND(1/0.8*2,3)&amp;"㎥"</f>
        <v>1.0m/0.8*2단 = 2.5㎥</v>
      </c>
      <c r="C11" s="65" t="s">
        <v>203</v>
      </c>
      <c r="D11" s="66">
        <v>2.5</v>
      </c>
      <c r="F11" s="101"/>
      <c r="G11" s="97"/>
      <c r="H11" s="97"/>
    </row>
    <row r="12" spans="1:8" s="63" customFormat="1" ht="18.75" customHeight="1">
      <c r="A12" s="102" t="s">
        <v>202</v>
      </c>
      <c r="B12" s="100"/>
      <c r="C12" s="69"/>
      <c r="D12" s="70"/>
      <c r="F12" s="78"/>
    </row>
    <row r="13" spans="1:8" s="63" customFormat="1" ht="18.75" customHeight="1">
      <c r="A13" s="102"/>
      <c r="B13" s="100"/>
      <c r="C13" s="69"/>
      <c r="D13" s="70"/>
      <c r="F13" s="104"/>
      <c r="H13" s="78"/>
    </row>
    <row r="14" spans="1:8" s="63" customFormat="1" ht="18.75" customHeight="1">
      <c r="A14" s="98"/>
      <c r="B14" s="67"/>
      <c r="C14" s="65"/>
      <c r="D14" s="66"/>
      <c r="F14" s="105"/>
      <c r="H14" s="106"/>
    </row>
    <row r="15" spans="1:8" s="63" customFormat="1" ht="18.75" customHeight="1">
      <c r="A15" s="98"/>
      <c r="B15" s="103"/>
      <c r="C15" s="69"/>
      <c r="D15" s="70"/>
    </row>
    <row r="16" spans="1:8" s="63" customFormat="1" ht="18.75" customHeight="1">
      <c r="A16" s="93" t="s">
        <v>252</v>
      </c>
      <c r="B16" s="56"/>
      <c r="C16" s="57"/>
      <c r="D16" s="58" t="s">
        <v>105</v>
      </c>
    </row>
    <row r="17" spans="1:8" s="63" customFormat="1" ht="18.75" customHeight="1">
      <c r="A17" s="95"/>
      <c r="B17" s="96"/>
      <c r="C17" s="61"/>
      <c r="D17" s="62"/>
    </row>
    <row r="18" spans="1:8" s="63" customFormat="1" ht="18.75" customHeight="1">
      <c r="A18" s="98" t="s">
        <v>201</v>
      </c>
      <c r="B18" s="67" t="str">
        <f>"1.0m/0.8*3단 = "&amp;ROUND(1/0.8*3,3)&amp;"㎥"</f>
        <v>1.0m/0.8*3단 = 3.75㎥</v>
      </c>
      <c r="C18" s="65" t="s">
        <v>203</v>
      </c>
      <c r="D18" s="66">
        <v>3.75</v>
      </c>
      <c r="H18" s="78"/>
    </row>
    <row r="19" spans="1:8" s="63" customFormat="1" ht="18.75" customHeight="1">
      <c r="A19" s="102" t="s">
        <v>202</v>
      </c>
      <c r="B19" s="100"/>
      <c r="C19" s="69"/>
      <c r="D19" s="70"/>
      <c r="F19" s="106"/>
      <c r="H19" s="111"/>
    </row>
    <row r="20" spans="1:8" s="63" customFormat="1" ht="18.95" customHeight="1">
      <c r="A20" s="77"/>
      <c r="B20" s="67"/>
      <c r="C20" s="65"/>
      <c r="D20" s="70"/>
    </row>
    <row r="21" spans="1:8" s="63" customFormat="1" ht="18.95" customHeight="1">
      <c r="A21" s="80"/>
      <c r="B21" s="67"/>
      <c r="C21" s="65"/>
      <c r="D21" s="70"/>
    </row>
    <row r="22" spans="1:8" s="63" customFormat="1" ht="21.75" customHeight="1">
      <c r="A22" s="77"/>
      <c r="B22" s="112"/>
      <c r="C22" s="65"/>
      <c r="D22" s="73"/>
    </row>
    <row r="23" spans="1:8" s="63" customFormat="1" ht="18.95" customHeight="1">
      <c r="A23" s="113"/>
      <c r="B23" s="108"/>
      <c r="C23" s="109"/>
      <c r="D23" s="114"/>
    </row>
    <row r="24" spans="1:8" s="63" customFormat="1" ht="18.95" customHeight="1">
      <c r="A24" s="84"/>
      <c r="B24" s="115"/>
      <c r="C24" s="81"/>
      <c r="D24" s="82"/>
      <c r="E24" s="83"/>
      <c r="F24" s="83"/>
      <c r="G24" s="83"/>
      <c r="H24" s="83"/>
    </row>
    <row r="25" spans="1:8" ht="18.75" customHeight="1">
      <c r="A25" s="107"/>
      <c r="B25" s="108"/>
      <c r="C25" s="116"/>
      <c r="D25" s="117"/>
    </row>
    <row r="26" spans="1:8" ht="18.75" customHeight="1">
      <c r="A26" s="77"/>
      <c r="B26" s="112"/>
      <c r="C26" s="81"/>
      <c r="D26" s="82"/>
    </row>
    <row r="27" spans="1:8" ht="18.75" customHeight="1">
      <c r="A27" s="84"/>
      <c r="B27" s="67"/>
      <c r="C27" s="81"/>
      <c r="D27" s="82"/>
      <c r="F27" s="106"/>
    </row>
    <row r="28" spans="1:8" ht="18.75" customHeight="1">
      <c r="A28" s="84"/>
      <c r="B28" s="67"/>
      <c r="C28" s="81"/>
      <c r="D28" s="82"/>
    </row>
    <row r="29" spans="1:8" ht="18.75" customHeight="1">
      <c r="A29" s="84"/>
      <c r="B29" s="67"/>
      <c r="C29" s="81"/>
      <c r="D29" s="82"/>
    </row>
    <row r="30" spans="1:8" ht="18.75" customHeight="1">
      <c r="A30" s="118"/>
      <c r="B30" s="108"/>
      <c r="C30" s="116"/>
      <c r="D30" s="119"/>
    </row>
    <row r="31" spans="1:8" ht="18.75" customHeight="1">
      <c r="A31" s="118"/>
      <c r="B31" s="108"/>
      <c r="C31" s="116"/>
      <c r="D31" s="119"/>
    </row>
    <row r="32" spans="1:8" ht="18.75" customHeight="1">
      <c r="A32" s="118"/>
      <c r="B32" s="108"/>
      <c r="C32" s="116"/>
      <c r="D32" s="119"/>
    </row>
    <row r="33" spans="1:4" ht="18.75" customHeight="1">
      <c r="A33" s="118"/>
      <c r="B33" s="108"/>
      <c r="C33" s="116"/>
      <c r="D33" s="119"/>
    </row>
    <row r="34" spans="1:4" ht="18.75" customHeight="1">
      <c r="A34" s="118"/>
      <c r="B34" s="108"/>
      <c r="C34" s="116"/>
      <c r="D34" s="119"/>
    </row>
    <row r="35" spans="1:4" ht="18.75" customHeight="1">
      <c r="A35" s="118"/>
      <c r="B35" s="108"/>
      <c r="C35" s="116"/>
      <c r="D35" s="119"/>
    </row>
    <row r="36" spans="1:4" ht="18.75" customHeight="1">
      <c r="A36" s="118"/>
      <c r="B36" s="108"/>
      <c r="C36" s="116"/>
      <c r="D36" s="119"/>
    </row>
    <row r="37" spans="1:4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92D050"/>
  </sheetPr>
  <dimension ref="A1:H47"/>
  <sheetViews>
    <sheetView view="pageBreakPreview" topLeftCell="A13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5.7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15.75" customHeight="1">
      <c r="A2" s="126" t="s">
        <v>591</v>
      </c>
      <c r="B2" s="127"/>
      <c r="C2" s="128"/>
      <c r="D2" s="129" t="s">
        <v>272</v>
      </c>
      <c r="F2" s="94"/>
      <c r="G2" s="94"/>
      <c r="H2" s="94"/>
    </row>
    <row r="3" spans="1:8" s="63" customFormat="1" ht="15.75" customHeight="1">
      <c r="A3" s="130"/>
      <c r="B3" s="131"/>
      <c r="C3" s="132"/>
      <c r="D3" s="133"/>
      <c r="F3" s="97"/>
      <c r="G3" s="97"/>
      <c r="H3" s="97"/>
    </row>
    <row r="4" spans="1:8" s="63" customFormat="1" ht="15.75" customHeight="1">
      <c r="A4" s="64" t="s">
        <v>273</v>
      </c>
      <c r="B4" s="67" t="str">
        <f>"0.6*0.6*0.62*2ea = "&amp;ROUND(0.6*0.6*0.62*2,3)&amp;"㎥"</f>
        <v>0.6*0.6*0.62*2ea = 0.446㎥</v>
      </c>
      <c r="C4" s="65" t="s">
        <v>274</v>
      </c>
      <c r="D4" s="66">
        <v>0.44600000000000001</v>
      </c>
      <c r="F4" s="99"/>
      <c r="G4" s="97"/>
      <c r="H4" s="97"/>
    </row>
    <row r="5" spans="1:8" s="63" customFormat="1" ht="15.75" customHeight="1">
      <c r="A5" s="64" t="s">
        <v>275</v>
      </c>
      <c r="B5" s="68"/>
      <c r="C5" s="69"/>
      <c r="D5" s="70"/>
      <c r="F5" s="101"/>
      <c r="G5" s="97"/>
      <c r="H5" s="97"/>
    </row>
    <row r="6" spans="1:8" s="63" customFormat="1" ht="15.75" customHeight="1">
      <c r="A6" s="71"/>
      <c r="B6" s="68"/>
      <c r="C6" s="69"/>
      <c r="D6" s="70"/>
      <c r="F6" s="101"/>
      <c r="G6" s="97"/>
      <c r="H6" s="97"/>
    </row>
    <row r="7" spans="1:8" s="63" customFormat="1" ht="15.75" customHeight="1">
      <c r="A7" s="64" t="s">
        <v>6</v>
      </c>
      <c r="B7" s="67" t="str">
        <f>"((0.4*0.4*0.4)+(3.14*0.07*0.07*0.1))*2ea = "&amp;ROUND((0.4*0.4*0.4+3.14*0.07*0.07*0.1)*2,3)&amp;"㎥"</f>
        <v>((0.4*0.4*0.4)+(3.14*0.07*0.07*0.1))*2ea = 0.131㎥</v>
      </c>
      <c r="C7" s="65" t="s">
        <v>274</v>
      </c>
      <c r="D7" s="66">
        <v>0.13100000000000001</v>
      </c>
      <c r="F7" s="99"/>
      <c r="G7" s="97"/>
      <c r="H7" s="97"/>
    </row>
    <row r="8" spans="1:8" s="63" customFormat="1" ht="15.75" customHeight="1">
      <c r="A8" s="64" t="s">
        <v>276</v>
      </c>
      <c r="B8" s="68"/>
      <c r="C8" s="69"/>
      <c r="D8" s="70"/>
      <c r="F8" s="101"/>
      <c r="G8" s="97"/>
      <c r="H8" s="97"/>
    </row>
    <row r="9" spans="1:8" s="63" customFormat="1" ht="15.75" customHeight="1">
      <c r="A9" s="71"/>
      <c r="B9" s="68"/>
      <c r="C9" s="69"/>
      <c r="D9" s="70"/>
      <c r="F9" s="101"/>
      <c r="G9" s="97"/>
      <c r="H9" s="97"/>
    </row>
    <row r="10" spans="1:8" s="63" customFormat="1" ht="15.75" customHeight="1">
      <c r="A10" s="64" t="s">
        <v>178</v>
      </c>
      <c r="B10" s="68" t="s">
        <v>176</v>
      </c>
      <c r="C10" s="69" t="s">
        <v>3</v>
      </c>
      <c r="D10" s="73">
        <f>D4-D7</f>
        <v>0.315</v>
      </c>
      <c r="F10" s="101"/>
      <c r="G10" s="97"/>
      <c r="H10" s="97"/>
    </row>
    <row r="11" spans="1:8" s="63" customFormat="1" ht="15.75" customHeight="1">
      <c r="A11" s="64"/>
      <c r="B11" s="68"/>
      <c r="C11" s="69"/>
      <c r="D11" s="70"/>
      <c r="F11" s="101"/>
      <c r="G11" s="97"/>
      <c r="H11" s="97"/>
    </row>
    <row r="12" spans="1:8" s="63" customFormat="1" ht="15.75" customHeight="1">
      <c r="A12" s="64" t="s">
        <v>277</v>
      </c>
      <c r="B12" s="67" t="str">
        <f>"((0.4*0.4*0.4)-(3.14*0.07*0.07*0.1))*2ea = "&amp;ROUND((0.4*0.4*0.4-3.14*0.07*0.07*0.1)*2,3)&amp;"㎥"</f>
        <v>((0.4*0.4*0.4)-(3.14*0.07*0.07*0.1))*2ea = 0.125㎥</v>
      </c>
      <c r="C12" s="69" t="s">
        <v>278</v>
      </c>
      <c r="D12" s="73">
        <v>0.125</v>
      </c>
      <c r="F12" s="101"/>
      <c r="G12" s="97"/>
      <c r="H12" s="97"/>
    </row>
    <row r="13" spans="1:8" s="63" customFormat="1" ht="15.75" customHeight="1">
      <c r="A13" s="64"/>
      <c r="B13" s="68"/>
      <c r="C13" s="69"/>
      <c r="D13" s="70"/>
      <c r="F13" s="101"/>
      <c r="G13" s="97"/>
      <c r="H13" s="97"/>
    </row>
    <row r="14" spans="1:8" s="63" customFormat="1" ht="15.75" customHeight="1">
      <c r="A14" s="64" t="s">
        <v>177</v>
      </c>
      <c r="B14" s="67" t="str">
        <f>"0.4*0.4*4면*2ea = "&amp;ROUND(0.4*0.4*4*2,3)&amp;"㎥"</f>
        <v>0.4*0.4*4면*2ea = 1.28㎥</v>
      </c>
      <c r="C14" s="69" t="s">
        <v>2</v>
      </c>
      <c r="D14" s="73">
        <v>1.28</v>
      </c>
      <c r="F14" s="101"/>
      <c r="G14" s="97"/>
      <c r="H14" s="97"/>
    </row>
    <row r="15" spans="1:8" s="63" customFormat="1" ht="15.75" customHeight="1">
      <c r="A15" s="64"/>
      <c r="B15" s="68"/>
      <c r="C15" s="69"/>
      <c r="D15" s="70"/>
      <c r="F15" s="101"/>
      <c r="G15" s="97"/>
      <c r="H15" s="97"/>
    </row>
    <row r="16" spans="1:8" s="63" customFormat="1" ht="15.75" customHeight="1">
      <c r="A16" s="74" t="s">
        <v>279</v>
      </c>
      <c r="B16" s="67" t="str">
        <f>"￠140: : 0.07*0.07*3.14*1.12m*2ea/0.00334*1.05(할증) = "&amp;ROUND(0.07*0.07*3.14*1.12*2/0.00334*1.05,3)&amp;"재"</f>
        <v>￠140: : 0.07*0.07*3.14*1.12m*2ea/0.00334*1.05(할증) = 10.835재</v>
      </c>
      <c r="C16" s="65" t="s">
        <v>9</v>
      </c>
      <c r="D16" s="66">
        <f>10.835+49.751</f>
        <v>60.585999999999999</v>
      </c>
      <c r="F16" s="101"/>
      <c r="G16" s="97"/>
      <c r="H16" s="97"/>
    </row>
    <row r="17" spans="1:8" s="63" customFormat="1" ht="15.75" customHeight="1">
      <c r="A17" s="74"/>
      <c r="B17" s="67" t="str">
        <f>"￠120: : 0.06*0.06*3.14*2.0m*7ea/0.00334*1.05(할증) = "&amp;ROUND(0.06*0.06*3.14*2*7/0.00334*1.05,3)&amp;"재"</f>
        <v>￠120: : 0.06*0.06*3.14*2.0m*7ea/0.00334*1.05(할증) = 49.751재</v>
      </c>
      <c r="C17" s="75"/>
      <c r="D17" s="76"/>
      <c r="F17" s="101"/>
      <c r="G17" s="97"/>
      <c r="H17" s="97"/>
    </row>
    <row r="18" spans="1:8" s="63" customFormat="1" ht="15.75" customHeight="1">
      <c r="A18" s="134"/>
      <c r="B18" s="68"/>
      <c r="C18" s="75"/>
      <c r="D18" s="76"/>
      <c r="F18" s="78"/>
    </row>
    <row r="19" spans="1:8" s="63" customFormat="1" ht="15.75" customHeight="1">
      <c r="A19" s="77" t="s">
        <v>280</v>
      </c>
      <c r="B19" s="67" t="str">
        <f>"￠140: : 0.07*0.07*3.14*1.12m*2ea = "&amp;ROUND(0.07*0.07*3.14*1.12*2,3)&amp;"㎥"</f>
        <v>￠140: : 0.07*0.07*3.14*1.12m*2ea = 0.034㎥</v>
      </c>
      <c r="C19" s="65" t="s">
        <v>281</v>
      </c>
      <c r="D19" s="66">
        <f>0.034+0.158</f>
        <v>0.192</v>
      </c>
      <c r="F19" s="104"/>
      <c r="H19" s="78"/>
    </row>
    <row r="20" spans="1:8" s="63" customFormat="1" ht="15.75" customHeight="1">
      <c r="A20" s="77"/>
      <c r="B20" s="67" t="str">
        <f>"￠120: : 0.06*0.06*3.14*2.0m*7ea = "&amp;ROUND(0.06*0.06*3.14*2*7,3)&amp;"㎥"</f>
        <v>￠120: : 0.06*0.06*3.14*2.0m*7ea = 0.158㎥</v>
      </c>
      <c r="C20" s="65"/>
      <c r="D20" s="70"/>
      <c r="F20" s="105"/>
      <c r="H20" s="106"/>
    </row>
    <row r="21" spans="1:8" s="63" customFormat="1" ht="15.75" customHeight="1">
      <c r="A21" s="80"/>
      <c r="B21" s="72"/>
      <c r="C21" s="65"/>
      <c r="D21" s="70"/>
    </row>
    <row r="22" spans="1:8" s="63" customFormat="1" ht="15.75" customHeight="1">
      <c r="A22" s="77" t="s">
        <v>455</v>
      </c>
      <c r="B22" s="332" t="str">
        <f>"￠140: : 0.07*2*3.14*1.12m*2ea = "&amp;ROUNDDOWN(0.07*2*3.14*1.12*2,3)&amp;"㎡"</f>
        <v>￠140: : 0.07*2*3.14*1.12m*2ea = 0.984㎡</v>
      </c>
      <c r="C22" s="65" t="s">
        <v>595</v>
      </c>
      <c r="D22" s="66">
        <f>0.984+5.275</f>
        <v>6.2590000000000003</v>
      </c>
    </row>
    <row r="23" spans="1:8" s="63" customFormat="1" ht="15.75" customHeight="1">
      <c r="A23" s="80" t="s">
        <v>406</v>
      </c>
      <c r="B23" s="332" t="str">
        <f>"￠120: : 0.06*2*3.14*2.0m*7ea = "&amp;ROUNDDOWN(0.06*2*3.14*2*7,3)&amp;"㎡"</f>
        <v>￠120: : 0.06*2*3.14*2.0m*7ea = 5.275㎡</v>
      </c>
      <c r="C23" s="65"/>
      <c r="D23" s="70"/>
    </row>
    <row r="24" spans="1:8" s="63" customFormat="1" ht="15.75" customHeight="1">
      <c r="A24" s="77"/>
      <c r="B24" s="72"/>
      <c r="C24" s="65"/>
      <c r="D24" s="73"/>
    </row>
    <row r="25" spans="1:8" s="63" customFormat="1" ht="15.75" customHeight="1">
      <c r="A25" s="77" t="s">
        <v>456</v>
      </c>
      <c r="B25" s="67" t="str">
        <f>"0.4m*2ea*1.05(할증) = "&amp;ROUND(0.4*2*1.05,3)&amp;"m"</f>
        <v>0.4m*2ea*1.05(할증) = 0.84m</v>
      </c>
      <c r="C25" s="65" t="s">
        <v>129</v>
      </c>
      <c r="D25" s="73">
        <v>0.84</v>
      </c>
    </row>
    <row r="26" spans="1:8" s="63" customFormat="1" ht="15.75" customHeight="1">
      <c r="A26" s="192" t="s">
        <v>179</v>
      </c>
      <c r="B26" s="72"/>
      <c r="C26" s="65"/>
      <c r="D26" s="73"/>
    </row>
    <row r="27" spans="1:8" s="63" customFormat="1" ht="15.75" customHeight="1">
      <c r="A27" s="77"/>
      <c r="B27" s="72"/>
      <c r="C27" s="65"/>
      <c r="D27" s="73"/>
    </row>
    <row r="28" spans="1:8" s="63" customFormat="1" ht="15.75" customHeight="1">
      <c r="A28" s="77" t="s">
        <v>459</v>
      </c>
      <c r="B28" s="67" t="str">
        <f>"0.4m*2ea*10.78kg/1000 = "&amp;ROUND(0.4*2*10.78/1000,4)&amp;"ton"</f>
        <v>0.4m*2ea*10.78kg/1000 = 0.0086ton</v>
      </c>
      <c r="C28" s="65" t="s">
        <v>282</v>
      </c>
      <c r="D28" s="137">
        <v>8.6E-3</v>
      </c>
    </row>
    <row r="29" spans="1:8" s="63" customFormat="1" ht="15.75" customHeight="1">
      <c r="A29" s="77"/>
      <c r="B29" s="72"/>
      <c r="C29" s="65"/>
      <c r="D29" s="73"/>
    </row>
    <row r="30" spans="1:8" s="63" customFormat="1" ht="15.75" customHeight="1">
      <c r="A30" s="77" t="s">
        <v>592</v>
      </c>
      <c r="B30" s="67" t="str">
        <f>"[(0.72m*1ea)+(0.26*7ea*2)]*1.05(할증) = "&amp;ROUNDDOWN(((0.72*1)+(0.26*7*2))*1.05,2)&amp;"m"</f>
        <v>[(0.72m*1ea)+(0.26*7ea*2)]*1.05(할증) = 4.57m</v>
      </c>
      <c r="C30" s="65" t="s">
        <v>1</v>
      </c>
      <c r="D30" s="73">
        <v>4.57</v>
      </c>
    </row>
    <row r="31" spans="1:8" s="63" customFormat="1" ht="15.75" customHeight="1">
      <c r="A31" s="77"/>
      <c r="B31" s="72"/>
      <c r="C31" s="65"/>
      <c r="D31" s="73"/>
    </row>
    <row r="32" spans="1:8" s="63" customFormat="1" ht="15.75" customHeight="1">
      <c r="A32" s="192" t="s">
        <v>593</v>
      </c>
      <c r="B32" s="72" t="s">
        <v>283</v>
      </c>
      <c r="C32" s="65" t="s">
        <v>284</v>
      </c>
      <c r="D32" s="73">
        <v>4.2</v>
      </c>
    </row>
    <row r="33" spans="1:8" s="63" customFormat="1" ht="15.75" customHeight="1">
      <c r="A33" s="77"/>
      <c r="B33" s="72" t="s">
        <v>285</v>
      </c>
      <c r="C33" s="65" t="s">
        <v>5</v>
      </c>
      <c r="D33" s="73">
        <v>4.2</v>
      </c>
    </row>
    <row r="34" spans="1:8" s="63" customFormat="1" ht="15.75" customHeight="1">
      <c r="A34" s="77"/>
      <c r="B34" s="72" t="s">
        <v>286</v>
      </c>
      <c r="C34" s="65" t="s">
        <v>284</v>
      </c>
      <c r="D34" s="73">
        <v>8.4</v>
      </c>
    </row>
    <row r="35" spans="1:8" s="63" customFormat="1" ht="15.75" customHeight="1">
      <c r="A35" s="77"/>
      <c r="B35" s="72"/>
      <c r="C35" s="65"/>
      <c r="D35" s="73"/>
      <c r="H35" s="78"/>
    </row>
    <row r="36" spans="1:8" ht="15.75" customHeight="1">
      <c r="A36" s="77" t="s">
        <v>594</v>
      </c>
      <c r="B36" s="135" t="str">
        <f>"(0.3m*2ea)*2ea*0.995kg*1.03(할증)="&amp;ROUNDDOWN((0.3*2)*2*0.995*1.03,6)&amp;"kg"</f>
        <v>(0.3m*2ea)*2ea*0.995kg*1.03(할증)=1.22982kg</v>
      </c>
      <c r="C36" s="65" t="s">
        <v>57</v>
      </c>
      <c r="D36" s="73">
        <v>1.2290000000000001</v>
      </c>
    </row>
    <row r="37" spans="1:8" ht="15.75" customHeight="1">
      <c r="A37" s="77" t="s">
        <v>288</v>
      </c>
      <c r="B37" s="334" t="str">
        <f>"(0.3m*2EA)*2EA*0.995kg="&amp;ROUNDDOWN((0.3*2)*2*0.995,3)&amp;"kg"</f>
        <v>(0.3m*2EA)*2EA*0.995kg=1.194kg</v>
      </c>
      <c r="C37" s="65" t="s">
        <v>282</v>
      </c>
      <c r="D37" s="136">
        <f>D36/1000</f>
        <v>1.2290000000000001E-3</v>
      </c>
    </row>
    <row r="38" spans="1:8" ht="15.75" customHeight="1">
      <c r="A38" s="77"/>
      <c r="B38" s="135"/>
      <c r="C38" s="65"/>
      <c r="D38" s="73"/>
      <c r="F38" s="67"/>
    </row>
    <row r="39" spans="1:8" ht="15.75" customHeight="1">
      <c r="A39" s="77" t="s">
        <v>469</v>
      </c>
      <c r="B39" s="135" t="str">
        <f>"(0.3m*2ea)*2ea*0.995kg/1000="&amp;ROUNDDOWN((0.3*2)*2*0.995/1000,6)&amp;"ton"</f>
        <v>(0.3m*2ea)*2ea*0.995kg/1000=0.001194ton</v>
      </c>
      <c r="C39" s="65" t="s">
        <v>82</v>
      </c>
      <c r="D39" s="136">
        <v>1.194E-3</v>
      </c>
    </row>
    <row r="40" spans="1:8" ht="15.75" customHeight="1">
      <c r="A40" s="77"/>
      <c r="B40" s="72"/>
      <c r="C40" s="65"/>
      <c r="D40" s="137"/>
    </row>
    <row r="41" spans="1:8" ht="15.75" customHeight="1">
      <c r="A41" s="77" t="s">
        <v>470</v>
      </c>
      <c r="B41" s="72"/>
      <c r="C41" s="81" t="s">
        <v>57</v>
      </c>
      <c r="D41" s="193">
        <f>ROUNDDOWN(115.2+9.8+287.5+36.7,1)</f>
        <v>449.2</v>
      </c>
    </row>
    <row r="42" spans="1:8" ht="15.75" customHeight="1">
      <c r="A42" s="77" t="s">
        <v>84</v>
      </c>
      <c r="B42" s="67" t="str">
        <f>"0.192㎥ * 600kg/㎥ = "&amp;ROUND(D19*600,3)&amp;"kg"</f>
        <v>0.192㎥ * 600kg/㎥ = 115.2kg</v>
      </c>
      <c r="C42" s="81"/>
      <c r="D42" s="138"/>
    </row>
    <row r="43" spans="1:8" ht="15.75" customHeight="1">
      <c r="A43" s="77" t="s">
        <v>472</v>
      </c>
      <c r="B43" s="332" t="str">
        <f>"8.6kg+1.229kg = "&amp;ROUND(D28*1000+D36,1)&amp;"kg"</f>
        <v>8.6kg+1.229kg = 9.8kg</v>
      </c>
      <c r="C43" s="81"/>
      <c r="D43" s="82"/>
    </row>
    <row r="44" spans="1:8" ht="15.75" customHeight="1">
      <c r="A44" s="84" t="s">
        <v>180</v>
      </c>
      <c r="B44" s="67" t="str">
        <f>"0.125*2300kg = "&amp;ROUNDDOWN(D12*2300,1)&amp;"kg"</f>
        <v>0.125*2300kg = 287.5kg</v>
      </c>
      <c r="C44" s="81"/>
      <c r="D44" s="82"/>
    </row>
    <row r="45" spans="1:8" ht="15.75" customHeight="1">
      <c r="A45" s="230" t="s">
        <v>135</v>
      </c>
      <c r="B45" s="186" t="str">
        <f>"1.28*28.69kg = "&amp;ROUNDDOWN(D14*28.69,1)&amp;"kg"</f>
        <v>1.28*28.69kg = 36.7kg</v>
      </c>
      <c r="C45" s="86"/>
      <c r="D45" s="87"/>
    </row>
    <row r="46" spans="1:8" ht="15" customHeight="1">
      <c r="A46" s="118"/>
      <c r="B46" s="108"/>
      <c r="C46" s="116"/>
      <c r="D46" s="119"/>
    </row>
    <row r="47" spans="1:8" ht="15" customHeight="1">
      <c r="A47" s="120"/>
      <c r="B47" s="121"/>
      <c r="C47" s="122"/>
      <c r="D4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92D050"/>
  </sheetPr>
  <dimension ref="A1:G45"/>
  <sheetViews>
    <sheetView view="pageBreakPreview" zoomScaleNormal="100" zoomScaleSheetLayoutView="100" workbookViewId="0">
      <selection activeCell="F17" sqref="F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7" width="8.21875" style="83" bestFit="1" customWidth="1"/>
    <col min="8" max="16384" width="8" style="83"/>
  </cols>
  <sheetData>
    <row r="1" spans="1:7" s="54" customFormat="1" ht="18" customHeight="1">
      <c r="A1" s="293" t="s">
        <v>373</v>
      </c>
      <c r="B1" s="294" t="s">
        <v>374</v>
      </c>
      <c r="C1" s="294" t="s">
        <v>375</v>
      </c>
      <c r="D1" s="295" t="s">
        <v>439</v>
      </c>
    </row>
    <row r="2" spans="1:7" s="59" customFormat="1" ht="15.95" customHeight="1">
      <c r="A2" s="296" t="s">
        <v>440</v>
      </c>
      <c r="B2" s="127"/>
      <c r="C2" s="128"/>
      <c r="D2" s="129" t="s">
        <v>441</v>
      </c>
      <c r="F2" s="94"/>
      <c r="G2" s="94"/>
    </row>
    <row r="3" spans="1:7" s="63" customFormat="1" ht="15.95" customHeight="1">
      <c r="A3" s="337"/>
      <c r="B3" s="338"/>
      <c r="C3" s="132"/>
      <c r="D3" s="133"/>
      <c r="F3" s="97"/>
      <c r="G3" s="97"/>
    </row>
    <row r="4" spans="1:7" s="63" customFormat="1" ht="15.95" customHeight="1">
      <c r="A4" s="340" t="s">
        <v>417</v>
      </c>
      <c r="B4" s="332" t="str">
        <f>"0.6*0.6*0.62*2EA = "&amp;ROUND(0.6*0.6*0.62*2,3)&amp;"㎥"</f>
        <v>0.6*0.6*0.62*2EA = 0.446㎥</v>
      </c>
      <c r="C4" s="65" t="s">
        <v>383</v>
      </c>
      <c r="D4" s="66">
        <f>0.446+0.026</f>
        <v>0.47200000000000003</v>
      </c>
      <c r="F4" s="97"/>
      <c r="G4" s="97"/>
    </row>
    <row r="5" spans="1:7" s="63" customFormat="1" ht="15.95" customHeight="1">
      <c r="A5" s="340" t="s">
        <v>442</v>
      </c>
      <c r="B5" s="332" t="str">
        <f>"(3.0-1.2)*0.12*0.12*1EA = "&amp;ROUND((3-1.2)*0.12*0.12*1,3)&amp;"㎥"</f>
        <v>(3.0-1.2)*0.12*0.12*1EA = 0.026㎥</v>
      </c>
      <c r="C5" s="301"/>
      <c r="D5" s="70"/>
      <c r="F5" s="97"/>
      <c r="G5" s="97"/>
    </row>
    <row r="6" spans="1:7" s="63" customFormat="1" ht="15.95" customHeight="1">
      <c r="A6" s="341"/>
      <c r="B6" s="342"/>
      <c r="C6" s="301"/>
      <c r="D6" s="70"/>
      <c r="F6" s="97"/>
      <c r="G6" s="97"/>
    </row>
    <row r="7" spans="1:7" s="63" customFormat="1" ht="15.95" customHeight="1">
      <c r="A7" s="340" t="s">
        <v>443</v>
      </c>
      <c r="B7" s="332" t="str">
        <f>"((0.4*0.4*0.4)+(3.14*0.07*0.07*0.1))*2EA = "&amp;ROUND((0.4*0.4*0.4+3.14*0.07*0.07*0.1)*2,3)&amp;"㎥"</f>
        <v>((0.4*0.4*0.4)+(3.14*0.07*0.07*0.1))*2EA = 0.131㎥</v>
      </c>
      <c r="C7" s="65" t="s">
        <v>383</v>
      </c>
      <c r="D7" s="66">
        <v>0.13100000000000001</v>
      </c>
      <c r="F7" s="97"/>
      <c r="G7" s="97"/>
    </row>
    <row r="8" spans="1:7" s="63" customFormat="1" ht="15.95" customHeight="1">
      <c r="A8" s="340" t="s">
        <v>444</v>
      </c>
      <c r="B8" s="342"/>
      <c r="C8" s="301"/>
      <c r="D8" s="70"/>
      <c r="F8" s="97"/>
      <c r="G8" s="97"/>
    </row>
    <row r="9" spans="1:7" s="63" customFormat="1" ht="15.95" customHeight="1">
      <c r="A9" s="341"/>
      <c r="B9" s="342"/>
      <c r="C9" s="301"/>
      <c r="D9" s="70"/>
      <c r="F9" s="97"/>
      <c r="G9" s="97"/>
    </row>
    <row r="10" spans="1:7" s="63" customFormat="1" ht="15.95" customHeight="1">
      <c r="A10" s="340" t="s">
        <v>445</v>
      </c>
      <c r="B10" s="342" t="s">
        <v>446</v>
      </c>
      <c r="C10" s="301" t="s">
        <v>447</v>
      </c>
      <c r="D10" s="73">
        <f>D4-D7</f>
        <v>0.34100000000000003</v>
      </c>
      <c r="F10" s="97"/>
      <c r="G10" s="97"/>
    </row>
    <row r="11" spans="1:7" s="63" customFormat="1" ht="15.95" customHeight="1">
      <c r="A11" s="340"/>
      <c r="B11" s="342"/>
      <c r="C11" s="301"/>
      <c r="D11" s="70"/>
      <c r="F11" s="97"/>
      <c r="G11" s="97"/>
    </row>
    <row r="12" spans="1:7" s="63" customFormat="1" ht="15.95" customHeight="1">
      <c r="A12" s="340" t="s">
        <v>448</v>
      </c>
      <c r="B12" s="332" t="str">
        <f>"((0.4*0.4*0.4)-(3.14*0.07*0.07*0.3))*2EA = "&amp;ROUND((0.4*0.4*0.4-3.14*0.07*0.07*0.3)*2,3)&amp;"㎥"</f>
        <v>((0.4*0.4*0.4)-(3.14*0.07*0.07*0.3))*2EA = 0.119㎥</v>
      </c>
      <c r="C12" s="301" t="s">
        <v>447</v>
      </c>
      <c r="D12" s="73">
        <v>0.11899999999999999</v>
      </c>
      <c r="F12" s="97"/>
      <c r="G12" s="97"/>
    </row>
    <row r="13" spans="1:7" s="63" customFormat="1" ht="15.95" customHeight="1">
      <c r="A13" s="340"/>
      <c r="B13" s="342"/>
      <c r="C13" s="301"/>
      <c r="D13" s="70"/>
      <c r="F13" s="97"/>
      <c r="G13" s="97"/>
    </row>
    <row r="14" spans="1:7" s="63" customFormat="1" ht="15.95" customHeight="1">
      <c r="A14" s="340" t="s">
        <v>449</v>
      </c>
      <c r="B14" s="332" t="str">
        <f>"0.4*0.4*4면*2EA = "&amp;ROUND(0.4*0.4*4*2,3)&amp;"㎥"</f>
        <v>0.4*0.4*4면*2EA = 1.28㎥</v>
      </c>
      <c r="C14" s="301" t="s">
        <v>450</v>
      </c>
      <c r="D14" s="73">
        <v>1.28</v>
      </c>
      <c r="F14" s="97"/>
      <c r="G14" s="97"/>
    </row>
    <row r="15" spans="1:7" s="63" customFormat="1" ht="15.95" customHeight="1">
      <c r="A15" s="340"/>
      <c r="B15" s="342"/>
      <c r="C15" s="301"/>
      <c r="D15" s="70"/>
      <c r="F15" s="97"/>
      <c r="G15" s="97"/>
    </row>
    <row r="16" spans="1:7" s="63" customFormat="1" ht="15.95" customHeight="1">
      <c r="A16" s="74" t="s">
        <v>451</v>
      </c>
      <c r="B16" s="332" t="str">
        <f>"￠140: : 0.07*0.07*3.14*0.92m*2ea/0.00334*1.05(할증) = "&amp;ROUNDDOWN(0.07*0.07*3.14*0.92*2/0.00334*1.05,3)&amp;"재"</f>
        <v>￠140: : 0.07*0.07*3.14*0.92m*2ea/0.00334*1.05(할증) = 8.899재</v>
      </c>
      <c r="C16" s="65" t="s">
        <v>453</v>
      </c>
      <c r="D16" s="66">
        <f>8.899+53.304</f>
        <v>62.203000000000003</v>
      </c>
      <c r="F16" s="97"/>
      <c r="G16" s="97"/>
    </row>
    <row r="17" spans="1:7" s="63" customFormat="1" ht="15.95" customHeight="1">
      <c r="A17" s="74"/>
      <c r="B17" s="332" t="str">
        <f>"￠120: : 0.06*0.06*3.14*3.0m*5ea/0.00334*1.05(할증) = "&amp;ROUNDDOWN(0.06*0.06*3.14*3*5/0.00334*1.05,3)&amp;"재"</f>
        <v>￠120: : 0.06*0.06*3.14*3.0m*5ea/0.00334*1.05(할증) = 53.304재</v>
      </c>
      <c r="C17" s="308"/>
      <c r="D17" s="76"/>
      <c r="F17" s="97"/>
      <c r="G17" s="97"/>
    </row>
    <row r="18" spans="1:7" s="63" customFormat="1" ht="15.95" customHeight="1">
      <c r="A18" s="134"/>
      <c r="B18" s="342"/>
      <c r="C18" s="308"/>
      <c r="D18" s="76"/>
    </row>
    <row r="19" spans="1:7" s="63" customFormat="1" ht="15.95" customHeight="1">
      <c r="A19" s="77" t="s">
        <v>454</v>
      </c>
      <c r="B19" s="332" t="str">
        <f>"￠140: : 0.07*0.07*3.14*0.92m*2ea = "&amp;ROUNDDOWN(0.07*0.07*3.14*0.92*2,3)&amp;"㎥"</f>
        <v>￠140: : 0.07*0.07*3.14*0.92m*2ea = 0.028㎥</v>
      </c>
      <c r="C19" s="65" t="s">
        <v>383</v>
      </c>
      <c r="D19" s="66">
        <f>0.028+0.169</f>
        <v>0.19700000000000001</v>
      </c>
      <c r="G19" s="78"/>
    </row>
    <row r="20" spans="1:7" s="63" customFormat="1" ht="15.95" customHeight="1">
      <c r="A20" s="77"/>
      <c r="B20" s="332" t="str">
        <f>"￠120: : 0.06*0.06*3.14*3.0m*5ea = "&amp;ROUNDDOWN(0.06*0.06*3.14*3*5,3)&amp;"㎥"</f>
        <v>￠120: : 0.06*0.06*3.14*3.0m*5ea = 0.169㎥</v>
      </c>
      <c r="C20" s="65"/>
      <c r="D20" s="70"/>
      <c r="G20" s="106"/>
    </row>
    <row r="21" spans="1:7" s="63" customFormat="1" ht="15.95" customHeight="1">
      <c r="A21" s="80"/>
      <c r="B21" s="339"/>
      <c r="C21" s="65"/>
      <c r="D21" s="70"/>
    </row>
    <row r="22" spans="1:7" s="63" customFormat="1" ht="15.95" customHeight="1">
      <c r="A22" s="77" t="s">
        <v>455</v>
      </c>
      <c r="B22" s="332" t="str">
        <f>"￠140: : 0.07*2*3.14*0.92m*2ea = "&amp;ROUNDDOWN(0.07*2*3.14*0.92*2,3)&amp;"㎡"</f>
        <v>￠140: : 0.07*2*3.14*0.92m*2ea = 0.808㎡</v>
      </c>
      <c r="C22" s="65" t="s">
        <v>595</v>
      </c>
      <c r="D22" s="66">
        <f>0.808+5.652</f>
        <v>6.46</v>
      </c>
      <c r="G22" s="78"/>
    </row>
    <row r="23" spans="1:7" s="63" customFormat="1" ht="15.95" customHeight="1">
      <c r="A23" s="80" t="s">
        <v>406</v>
      </c>
      <c r="B23" s="332" t="str">
        <f>"￠120: : 0.06*2*3.14*3.0m*5ea = "&amp;ROUNDDOWN(0.06*2*3.14*3*5,3)&amp;"㎡"</f>
        <v>￠120: : 0.06*2*3.14*3.0m*5ea = 5.652㎡</v>
      </c>
      <c r="C23" s="65"/>
      <c r="D23" s="70"/>
      <c r="G23" s="106"/>
    </row>
    <row r="24" spans="1:7" s="63" customFormat="1" ht="15.95" customHeight="1">
      <c r="A24" s="80"/>
      <c r="B24" s="339"/>
      <c r="C24" s="65"/>
      <c r="D24" s="70"/>
    </row>
    <row r="25" spans="1:7" s="63" customFormat="1" ht="15.95" customHeight="1">
      <c r="A25" s="77" t="s">
        <v>456</v>
      </c>
      <c r="B25" s="332" t="str">
        <f>"0.4m*2EA*1.05(할증) = "&amp;ROUND(0.4*2*1.05,3)&amp;"m"</f>
        <v>0.4m*2EA*1.05(할증) = 0.84m</v>
      </c>
      <c r="C25" s="65" t="s">
        <v>457</v>
      </c>
      <c r="D25" s="73">
        <v>0.84</v>
      </c>
    </row>
    <row r="26" spans="1:7" s="63" customFormat="1" ht="15.95" customHeight="1">
      <c r="A26" s="192" t="s">
        <v>458</v>
      </c>
      <c r="B26" s="339"/>
      <c r="C26" s="65"/>
      <c r="D26" s="73"/>
    </row>
    <row r="27" spans="1:7" s="63" customFormat="1" ht="15.95" customHeight="1">
      <c r="A27" s="77"/>
      <c r="B27" s="339"/>
      <c r="C27" s="65"/>
      <c r="D27" s="73"/>
    </row>
    <row r="28" spans="1:7" s="63" customFormat="1" ht="15.95" customHeight="1">
      <c r="A28" s="77" t="s">
        <v>459</v>
      </c>
      <c r="B28" s="332" t="str">
        <f>"0.4m*2EA*10.78kg/1000 = "&amp;ROUND(0.4*2*10.78/1000,4)&amp;"ton"</f>
        <v>0.4m*2EA*10.78kg/1000 = 0.0086ton</v>
      </c>
      <c r="C28" s="65" t="s">
        <v>460</v>
      </c>
      <c r="D28" s="137">
        <v>8.6E-3</v>
      </c>
    </row>
    <row r="29" spans="1:7" s="63" customFormat="1" ht="15.95" customHeight="1">
      <c r="A29" s="77"/>
      <c r="B29" s="339"/>
      <c r="C29" s="65"/>
      <c r="D29" s="73"/>
    </row>
    <row r="30" spans="1:7" s="63" customFormat="1" ht="15.95" customHeight="1">
      <c r="A30" s="77" t="s">
        <v>461</v>
      </c>
      <c r="B30" s="332" t="str">
        <f>"[(0.52m*1ea)+(0.26*5ea*2개소)]*1.05(할증) = "&amp;ROUNDDOWN(((0.52*1)+(0.26*5*2))*1.05,2)&amp;"m"</f>
        <v>[(0.52m*1ea)+(0.26*5ea*2개소)]*1.05(할증) = 3.27m</v>
      </c>
      <c r="C30" s="65" t="s">
        <v>457</v>
      </c>
      <c r="D30" s="73">
        <v>3.27</v>
      </c>
    </row>
    <row r="31" spans="1:7" s="63" customFormat="1" ht="15.95" customHeight="1">
      <c r="A31" s="77"/>
      <c r="B31" s="339"/>
      <c r="C31" s="65"/>
      <c r="D31" s="73"/>
    </row>
    <row r="32" spans="1:7" s="63" customFormat="1" ht="15.95" customHeight="1">
      <c r="A32" s="192" t="s">
        <v>463</v>
      </c>
      <c r="B32" s="339" t="s">
        <v>464</v>
      </c>
      <c r="C32" s="65" t="s">
        <v>370</v>
      </c>
      <c r="D32" s="73">
        <v>4.2</v>
      </c>
    </row>
    <row r="33" spans="1:7" s="63" customFormat="1" ht="15.95" customHeight="1">
      <c r="A33" s="77"/>
      <c r="B33" s="339" t="s">
        <v>465</v>
      </c>
      <c r="C33" s="65" t="s">
        <v>466</v>
      </c>
      <c r="D33" s="73">
        <v>4.2</v>
      </c>
    </row>
    <row r="34" spans="1:7" s="63" customFormat="1" ht="15.95" customHeight="1">
      <c r="A34" s="77"/>
      <c r="B34" s="339" t="s">
        <v>467</v>
      </c>
      <c r="C34" s="65" t="s">
        <v>466</v>
      </c>
      <c r="D34" s="73">
        <v>8.4</v>
      </c>
    </row>
    <row r="35" spans="1:7" s="63" customFormat="1" ht="15.95" customHeight="1">
      <c r="A35" s="77"/>
      <c r="B35" s="339"/>
      <c r="C35" s="65"/>
      <c r="D35" s="73"/>
    </row>
    <row r="36" spans="1:7" s="63" customFormat="1" ht="15.95" customHeight="1">
      <c r="A36" s="77" t="s">
        <v>401</v>
      </c>
      <c r="B36" s="334" t="str">
        <f>"(0.3m*2EA)*2EA*0.995kg*1.03(할증)="&amp;ROUNDDOWN((0.3*2)*2*0.995*1.03,3)&amp;"kg"</f>
        <v>(0.3m*2EA)*2EA*0.995kg*1.03(할증)=1.229kg</v>
      </c>
      <c r="C36" s="65" t="s">
        <v>435</v>
      </c>
      <c r="D36" s="73">
        <v>1.2290000000000001</v>
      </c>
    </row>
    <row r="37" spans="1:7" s="63" customFormat="1" ht="15.95" customHeight="1">
      <c r="A37" s="77" t="s">
        <v>468</v>
      </c>
      <c r="B37" s="334" t="str">
        <f>"(0.3m*2EA)*2EA*0.995kg="&amp;ROUNDDOWN((0.3*2)*2*0.995,3)&amp;"kg"</f>
        <v>(0.3m*2EA)*2EA*0.995kg=1.194kg</v>
      </c>
      <c r="C37" s="65" t="s">
        <v>460</v>
      </c>
      <c r="D37" s="136">
        <f>D36/1000</f>
        <v>1.2290000000000001E-3</v>
      </c>
    </row>
    <row r="38" spans="1:7" s="63" customFormat="1" ht="15.95" customHeight="1">
      <c r="A38" s="77"/>
      <c r="B38" s="334"/>
      <c r="C38" s="65"/>
      <c r="D38" s="136"/>
    </row>
    <row r="39" spans="1:7" s="63" customFormat="1" ht="15.95" customHeight="1">
      <c r="A39" s="77" t="s">
        <v>469</v>
      </c>
      <c r="B39" s="334" t="str">
        <f>"(0.3m*2EA)*2EA*0.995kg/1000="&amp;ROUNDDOWN((0.3*2)*2*0.995/1000,6)&amp;"ton"</f>
        <v>(0.3m*2EA)*2EA*0.995kg/1000=0.001194ton</v>
      </c>
      <c r="C39" s="65" t="s">
        <v>460</v>
      </c>
      <c r="D39" s="136">
        <v>1.194E-3</v>
      </c>
    </row>
    <row r="40" spans="1:7" s="63" customFormat="1" ht="15.95" customHeight="1">
      <c r="A40" s="77"/>
      <c r="B40" s="334"/>
      <c r="C40" s="65"/>
      <c r="D40" s="73"/>
      <c r="G40" s="78"/>
    </row>
    <row r="41" spans="1:7" ht="15.95" customHeight="1">
      <c r="A41" s="77" t="s">
        <v>470</v>
      </c>
      <c r="B41" s="339"/>
      <c r="C41" s="81" t="s">
        <v>435</v>
      </c>
      <c r="D41" s="193">
        <f>ROUNDDOWN(D19*600+D28*1000+D36+D12*2300+D14*28.69,1)</f>
        <v>438.4</v>
      </c>
    </row>
    <row r="42" spans="1:7" ht="15.95" customHeight="1">
      <c r="A42" s="77" t="s">
        <v>471</v>
      </c>
      <c r="B42" s="332" t="str">
        <f>"0.197㎥ * 600kg/㎥ = "&amp;ROUND(D19*600,3)&amp;"kg"</f>
        <v>0.197㎥ * 600kg/㎥ = 118.2kg</v>
      </c>
      <c r="C42" s="81"/>
      <c r="D42" s="138"/>
    </row>
    <row r="43" spans="1:7" ht="15.95" customHeight="1">
      <c r="A43" s="77" t="s">
        <v>472</v>
      </c>
      <c r="B43" s="332" t="str">
        <f>"8.6kg+1.229kg = "&amp;ROUND(D28*1000+D36,1)&amp;"kg"</f>
        <v>8.6kg+1.229kg = 9.8kg</v>
      </c>
      <c r="C43" s="81"/>
      <c r="D43" s="82"/>
    </row>
    <row r="44" spans="1:7" ht="15.95" customHeight="1">
      <c r="A44" s="84" t="s">
        <v>473</v>
      </c>
      <c r="B44" s="332" t="str">
        <f>"0.119*2300kg = "&amp;ROUNDDOWN(D12*2300,1)&amp;"kg"</f>
        <v>0.119*2300kg = 273.7kg</v>
      </c>
      <c r="C44" s="81"/>
      <c r="D44" s="82"/>
    </row>
    <row r="45" spans="1:7" ht="15.95" customHeight="1">
      <c r="A45" s="230" t="s">
        <v>474</v>
      </c>
      <c r="B45" s="343" t="str">
        <f>"1.28*28.69kg = "&amp;ROUNDDOWN(D14*28.69,1)&amp;"kg"</f>
        <v>1.28*28.69kg = 36.7kg</v>
      </c>
      <c r="C45" s="86"/>
      <c r="D45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92D050"/>
  </sheetPr>
  <dimension ref="A1:G45"/>
  <sheetViews>
    <sheetView view="pageBreakPreview" topLeftCell="A7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7" width="8.21875" style="83" bestFit="1" customWidth="1"/>
    <col min="8" max="16384" width="8" style="83"/>
  </cols>
  <sheetData>
    <row r="1" spans="1:7" s="54" customFormat="1" ht="18.95" customHeight="1">
      <c r="A1" s="293" t="s">
        <v>347</v>
      </c>
      <c r="B1" s="294" t="s">
        <v>475</v>
      </c>
      <c r="C1" s="294" t="s">
        <v>350</v>
      </c>
      <c r="D1" s="295" t="s">
        <v>352</v>
      </c>
    </row>
    <row r="2" spans="1:7" s="59" customFormat="1" ht="15.95" customHeight="1">
      <c r="A2" s="296" t="s">
        <v>476</v>
      </c>
      <c r="B2" s="127"/>
      <c r="C2" s="128"/>
      <c r="D2" s="129" t="s">
        <v>272</v>
      </c>
      <c r="F2" s="94"/>
      <c r="G2" s="94"/>
    </row>
    <row r="3" spans="1:7" s="63" customFormat="1" ht="15.95" customHeight="1">
      <c r="A3" s="337"/>
      <c r="B3" s="338"/>
      <c r="C3" s="132"/>
      <c r="D3" s="133"/>
      <c r="F3" s="97"/>
      <c r="G3" s="97"/>
    </row>
    <row r="4" spans="1:7" s="63" customFormat="1" ht="15.95" customHeight="1">
      <c r="A4" s="340" t="s">
        <v>477</v>
      </c>
      <c r="B4" s="332" t="str">
        <f>"0.6*0.6*0.62*2EA = "&amp;ROUND(0.6*0.6*0.62*2,3)&amp;"㎥"</f>
        <v>0.6*0.6*0.62*2EA = 0.446㎥</v>
      </c>
      <c r="C4" s="65" t="s">
        <v>478</v>
      </c>
      <c r="D4" s="66">
        <f>0.446+0.026</f>
        <v>0.47200000000000003</v>
      </c>
      <c r="F4" s="97"/>
      <c r="G4" s="97"/>
    </row>
    <row r="5" spans="1:7" s="63" customFormat="1" ht="15.95" customHeight="1">
      <c r="A5" s="340" t="s">
        <v>275</v>
      </c>
      <c r="B5" s="332" t="str">
        <f>"(3.0-1.2)*0.12*0.12*1EA = "&amp;ROUND((3-1.2)*0.12*0.12*1,3)&amp;"㎥"</f>
        <v>(3.0-1.2)*0.12*0.12*1EA = 0.026㎥</v>
      </c>
      <c r="C5" s="301"/>
      <c r="D5" s="70"/>
      <c r="F5" s="97"/>
      <c r="G5" s="97"/>
    </row>
    <row r="6" spans="1:7" s="63" customFormat="1" ht="15.95" customHeight="1">
      <c r="A6" s="341"/>
      <c r="B6" s="342"/>
      <c r="C6" s="301"/>
      <c r="D6" s="70"/>
      <c r="F6" s="97"/>
      <c r="G6" s="97"/>
    </row>
    <row r="7" spans="1:7" s="63" customFormat="1" ht="15.95" customHeight="1">
      <c r="A7" s="340" t="s">
        <v>293</v>
      </c>
      <c r="B7" s="332" t="str">
        <f>"((0.4*0.4*0.4)+(3.14*0.07*0.07*0.1))*2EA = "&amp;ROUND((0.4*0.4*0.4+3.14*0.07*0.07*0.1)*2,3)&amp;"㎥"</f>
        <v>((0.4*0.4*0.4)+(3.14*0.07*0.07*0.1))*2EA = 0.131㎥</v>
      </c>
      <c r="C7" s="65" t="s">
        <v>479</v>
      </c>
      <c r="D7" s="66">
        <v>0.13100000000000001</v>
      </c>
      <c r="F7" s="97"/>
      <c r="G7" s="97"/>
    </row>
    <row r="8" spans="1:7" s="63" customFormat="1" ht="15.95" customHeight="1">
      <c r="A8" s="340" t="s">
        <v>480</v>
      </c>
      <c r="B8" s="342"/>
      <c r="C8" s="301"/>
      <c r="D8" s="70"/>
      <c r="F8" s="97"/>
      <c r="G8" s="97"/>
    </row>
    <row r="9" spans="1:7" s="63" customFormat="1" ht="15.95" customHeight="1">
      <c r="A9" s="341"/>
      <c r="B9" s="342"/>
      <c r="C9" s="301"/>
      <c r="D9" s="70"/>
      <c r="F9" s="97"/>
      <c r="G9" s="97"/>
    </row>
    <row r="10" spans="1:7" s="63" customFormat="1" ht="15.95" customHeight="1">
      <c r="A10" s="340" t="s">
        <v>481</v>
      </c>
      <c r="B10" s="342" t="s">
        <v>482</v>
      </c>
      <c r="C10" s="301" t="s">
        <v>278</v>
      </c>
      <c r="D10" s="73">
        <f>D4-D7</f>
        <v>0.34100000000000003</v>
      </c>
      <c r="F10" s="97"/>
      <c r="G10" s="97"/>
    </row>
    <row r="11" spans="1:7" s="63" customFormat="1" ht="15.95" customHeight="1">
      <c r="A11" s="340"/>
      <c r="B11" s="342"/>
      <c r="C11" s="301"/>
      <c r="D11" s="70"/>
      <c r="F11" s="97"/>
      <c r="G11" s="97"/>
    </row>
    <row r="12" spans="1:7" s="63" customFormat="1" ht="15.95" customHeight="1">
      <c r="A12" s="340" t="s">
        <v>483</v>
      </c>
      <c r="B12" s="332" t="str">
        <f>"((0.4*0.4*0.4)-(3.14*0.07*0.07*0.3))*2EA = "&amp;ROUND((0.4*0.4*0.4-3.14*0.07*0.07*0.3)*2,3)&amp;"㎥"</f>
        <v>((0.4*0.4*0.4)-(3.14*0.07*0.07*0.3))*2EA = 0.119㎥</v>
      </c>
      <c r="C12" s="301" t="s">
        <v>484</v>
      </c>
      <c r="D12" s="73">
        <v>0.11899999999999999</v>
      </c>
      <c r="F12" s="97"/>
      <c r="G12" s="97"/>
    </row>
    <row r="13" spans="1:7" s="63" customFormat="1" ht="15.95" customHeight="1">
      <c r="A13" s="340"/>
      <c r="B13" s="342"/>
      <c r="C13" s="301"/>
      <c r="D13" s="70"/>
      <c r="F13" s="97"/>
      <c r="G13" s="97"/>
    </row>
    <row r="14" spans="1:7" s="63" customFormat="1" ht="15.95" customHeight="1">
      <c r="A14" s="340" t="s">
        <v>485</v>
      </c>
      <c r="B14" s="332" t="str">
        <f>"0.4*0.4*4면*2EA = "&amp;ROUND(0.4*0.4*4*2,3)&amp;"㎥"</f>
        <v>0.4*0.4*4면*2EA = 1.28㎥</v>
      </c>
      <c r="C14" s="301" t="s">
        <v>486</v>
      </c>
      <c r="D14" s="73">
        <v>1.28</v>
      </c>
      <c r="F14" s="97"/>
      <c r="G14" s="97"/>
    </row>
    <row r="15" spans="1:7" s="63" customFormat="1" ht="15.95" customHeight="1">
      <c r="A15" s="340"/>
      <c r="B15" s="342"/>
      <c r="C15" s="301"/>
      <c r="D15" s="70"/>
      <c r="F15" s="97"/>
      <c r="G15" s="97"/>
    </row>
    <row r="16" spans="1:7" s="63" customFormat="1" ht="15.95" customHeight="1">
      <c r="A16" s="74" t="s">
        <v>279</v>
      </c>
      <c r="B16" s="332" t="str">
        <f>"￠140: : 0.07*0.07*3.14*1.12m*2ea/0.00334*1.05(할증) = "&amp;ROUNDDOWN(0.07*0.07*3.14*1.12*2/0.00334*1.05,3)&amp;"재"</f>
        <v>￠140: : 0.07*0.07*3.14*1.12m*2ea/0.00334*1.05(할증) = 10.834재</v>
      </c>
      <c r="C16" s="65" t="s">
        <v>487</v>
      </c>
      <c r="D16" s="66">
        <f>10.834+74.626</f>
        <v>85.460000000000008</v>
      </c>
      <c r="F16" s="97"/>
      <c r="G16" s="97"/>
    </row>
    <row r="17" spans="1:7" s="63" customFormat="1" ht="15.95" customHeight="1">
      <c r="A17" s="74"/>
      <c r="B17" s="332" t="str">
        <f>"￠120: : 0.06*0.06*3.14*3.0m*7ea/0.00334*1.05(할증) = "&amp;ROUNDDOWN(0.06*0.06*3.14*3*7/0.00334*1.05,3)&amp;"재"</f>
        <v>￠120: : 0.06*0.06*3.14*3.0m*7ea/0.00334*1.05(할증) = 74.626재</v>
      </c>
      <c r="C17" s="308"/>
      <c r="D17" s="76"/>
      <c r="F17" s="97"/>
      <c r="G17" s="97"/>
    </row>
    <row r="18" spans="1:7" s="63" customFormat="1" ht="15.95" customHeight="1">
      <c r="A18" s="134"/>
      <c r="B18" s="342"/>
      <c r="C18" s="308"/>
      <c r="D18" s="76"/>
    </row>
    <row r="19" spans="1:7" s="63" customFormat="1" ht="15.95" customHeight="1">
      <c r="A19" s="77" t="s">
        <v>488</v>
      </c>
      <c r="B19" s="332" t="str">
        <f>"￠140: : 0.07*0.07*3.14*1.12m*2ea = "&amp;ROUNDDOWN(0.07*0.07*3.14*1.12*2,3)&amp;"㎥"</f>
        <v>￠140: : 0.07*0.07*3.14*1.12m*2ea = 0.034㎥</v>
      </c>
      <c r="C19" s="65" t="s">
        <v>274</v>
      </c>
      <c r="D19" s="66">
        <f>0.034+0.237</f>
        <v>0.27100000000000002</v>
      </c>
      <c r="G19" s="78"/>
    </row>
    <row r="20" spans="1:7" s="63" customFormat="1" ht="15.95" customHeight="1">
      <c r="A20" s="77"/>
      <c r="B20" s="332" t="str">
        <f>"￠120: : 0.06*0.06*3.14*3.0m*7ea = "&amp;ROUNDDOWN(0.06*0.06*3.14*3*7,3)&amp;"㎥"</f>
        <v>￠120: : 0.06*0.06*3.14*3.0m*7ea = 0.237㎥</v>
      </c>
      <c r="C20" s="65"/>
      <c r="D20" s="70"/>
      <c r="G20" s="106"/>
    </row>
    <row r="21" spans="1:7" s="63" customFormat="1" ht="15.95" customHeight="1">
      <c r="A21" s="80"/>
      <c r="B21" s="339"/>
      <c r="C21" s="65"/>
      <c r="D21" s="70"/>
    </row>
    <row r="22" spans="1:7" s="63" customFormat="1" ht="15.95" customHeight="1">
      <c r="A22" s="77" t="s">
        <v>489</v>
      </c>
      <c r="B22" s="332" t="str">
        <f>"￠140: : 0.07*2*3.14*1.12m*2ea = "&amp;ROUNDDOWN(0.07*2*3.14*1.12*2,3)&amp;"㎡"</f>
        <v>￠140: : 0.07*2*3.14*1.12m*2ea = 0.984㎡</v>
      </c>
      <c r="C22" s="65" t="s">
        <v>596</v>
      </c>
      <c r="D22" s="66">
        <f>0.984+7.912</f>
        <v>8.8960000000000008</v>
      </c>
      <c r="G22" s="78"/>
    </row>
    <row r="23" spans="1:7" s="63" customFormat="1" ht="15.95" customHeight="1">
      <c r="A23" s="80" t="s">
        <v>490</v>
      </c>
      <c r="B23" s="332" t="str">
        <f>"￠120: : 0.06*2*3.14*3.0m*7ea = "&amp;ROUNDDOWN(0.06*2*3.14*3*7,3)&amp;"㎡"</f>
        <v>￠120: : 0.06*2*3.14*3.0m*7ea = 7.912㎡</v>
      </c>
      <c r="C23" s="65"/>
      <c r="D23" s="70"/>
      <c r="G23" s="106"/>
    </row>
    <row r="24" spans="1:7" s="63" customFormat="1" ht="15.95" customHeight="1">
      <c r="A24" s="80"/>
      <c r="B24" s="339"/>
      <c r="C24" s="65"/>
      <c r="D24" s="70"/>
    </row>
    <row r="25" spans="1:7" s="63" customFormat="1" ht="15.95" customHeight="1">
      <c r="A25" s="77" t="s">
        <v>491</v>
      </c>
      <c r="B25" s="332" t="str">
        <f>"0.4m*2EA*1.05(할증) = "&amp;ROUND(0.4*2*1.05,3)&amp;"m"</f>
        <v>0.4m*2EA*1.05(할증) = 0.84m</v>
      </c>
      <c r="C25" s="65" t="s">
        <v>492</v>
      </c>
      <c r="D25" s="73">
        <v>0.84</v>
      </c>
    </row>
    <row r="26" spans="1:7" s="63" customFormat="1" ht="15.95" customHeight="1">
      <c r="A26" s="192" t="s">
        <v>179</v>
      </c>
      <c r="B26" s="339"/>
      <c r="C26" s="65"/>
      <c r="D26" s="73"/>
    </row>
    <row r="27" spans="1:7" s="63" customFormat="1" ht="15.95" customHeight="1">
      <c r="A27" s="77"/>
      <c r="B27" s="339"/>
      <c r="C27" s="65"/>
      <c r="D27" s="73"/>
    </row>
    <row r="28" spans="1:7" s="63" customFormat="1" ht="15.95" customHeight="1">
      <c r="A28" s="77" t="s">
        <v>493</v>
      </c>
      <c r="B28" s="332" t="str">
        <f>"0.4m*2EA*10.78kg/1000 = "&amp;ROUND(0.4*2*10.78/1000,4)&amp;"ton"</f>
        <v>0.4m*2EA*10.78kg/1000 = 0.0086ton</v>
      </c>
      <c r="C28" s="65" t="s">
        <v>282</v>
      </c>
      <c r="D28" s="137">
        <v>8.6E-3</v>
      </c>
    </row>
    <row r="29" spans="1:7" s="63" customFormat="1" ht="15.95" customHeight="1">
      <c r="A29" s="77"/>
      <c r="B29" s="339"/>
      <c r="C29" s="65"/>
      <c r="D29" s="73"/>
    </row>
    <row r="30" spans="1:7" s="63" customFormat="1" ht="15.95" customHeight="1">
      <c r="A30" s="77" t="s">
        <v>494</v>
      </c>
      <c r="B30" s="67" t="str">
        <f>"[(0.72m*1ea)+(0.26*7ea*2)]*1.05(할증) = "&amp;ROUNDDOWN(((0.72*1)+(0.26*7*2))*1.05,2)&amp;"m"</f>
        <v>[(0.72m*1ea)+(0.26*7ea*2)]*1.05(할증) = 4.57m</v>
      </c>
      <c r="C30" s="65" t="s">
        <v>495</v>
      </c>
      <c r="D30" s="73">
        <v>4.57</v>
      </c>
    </row>
    <row r="31" spans="1:7" s="63" customFormat="1" ht="15.95" customHeight="1">
      <c r="A31" s="77"/>
      <c r="B31" s="339"/>
      <c r="C31" s="65"/>
      <c r="D31" s="73"/>
    </row>
    <row r="32" spans="1:7" s="63" customFormat="1" ht="15.95" customHeight="1">
      <c r="A32" s="192" t="s">
        <v>462</v>
      </c>
      <c r="B32" s="339" t="s">
        <v>496</v>
      </c>
      <c r="C32" s="65" t="s">
        <v>497</v>
      </c>
      <c r="D32" s="73">
        <v>4.2</v>
      </c>
    </row>
    <row r="33" spans="1:7" s="63" customFormat="1" ht="15.95" customHeight="1">
      <c r="A33" s="77"/>
      <c r="B33" s="339" t="s">
        <v>498</v>
      </c>
      <c r="C33" s="65" t="s">
        <v>499</v>
      </c>
      <c r="D33" s="73">
        <v>4.2</v>
      </c>
    </row>
    <row r="34" spans="1:7" s="63" customFormat="1" ht="15.95" customHeight="1">
      <c r="A34" s="77"/>
      <c r="B34" s="339" t="s">
        <v>467</v>
      </c>
      <c r="C34" s="65" t="s">
        <v>370</v>
      </c>
      <c r="D34" s="73">
        <v>8.4</v>
      </c>
    </row>
    <row r="35" spans="1:7" s="63" customFormat="1" ht="15.95" customHeight="1">
      <c r="A35" s="77"/>
      <c r="B35" s="339"/>
      <c r="C35" s="65"/>
      <c r="D35" s="73"/>
    </row>
    <row r="36" spans="1:7" s="63" customFormat="1" ht="15.95" customHeight="1">
      <c r="A36" s="77" t="s">
        <v>500</v>
      </c>
      <c r="B36" s="334" t="str">
        <f>"(0.3m*2EA)*2EA*0.995kg*1.03(할증)="&amp;ROUNDDOWN((0.3*2)*2*0.995*1.03,3)&amp;"kg"</f>
        <v>(0.3m*2EA)*2EA*0.995kg*1.03(할증)=1.229kg</v>
      </c>
      <c r="C36" s="65" t="s">
        <v>363</v>
      </c>
      <c r="D36" s="73">
        <v>1.2290000000000001</v>
      </c>
    </row>
    <row r="37" spans="1:7" s="63" customFormat="1" ht="15.95" customHeight="1">
      <c r="A37" s="77" t="s">
        <v>501</v>
      </c>
      <c r="B37" s="334" t="str">
        <f>"(0.3m*2EA)*2EA*0.995kg="&amp;ROUNDDOWN((0.3*2)*2*0.995,3)&amp;"kg"</f>
        <v>(0.3m*2EA)*2EA*0.995kg=1.194kg</v>
      </c>
      <c r="C37" s="65" t="s">
        <v>502</v>
      </c>
      <c r="D37" s="136">
        <f>D36/1000</f>
        <v>1.2290000000000001E-3</v>
      </c>
    </row>
    <row r="38" spans="1:7" s="63" customFormat="1" ht="15.95" customHeight="1">
      <c r="A38" s="77"/>
      <c r="B38" s="334"/>
      <c r="C38" s="65"/>
      <c r="D38" s="136"/>
    </row>
    <row r="39" spans="1:7" s="63" customFormat="1" ht="15.95" customHeight="1">
      <c r="A39" s="77" t="s">
        <v>503</v>
      </c>
      <c r="B39" s="334" t="str">
        <f>"(0.3m*2EA)*2EA*0.995kg/1000="&amp;ROUNDDOWN((0.3*2)*2*0.995/1000,6)&amp;"ton"</f>
        <v>(0.3m*2EA)*2EA*0.995kg/1000=0.001194ton</v>
      </c>
      <c r="C39" s="65" t="s">
        <v>504</v>
      </c>
      <c r="D39" s="136">
        <v>1.194E-3</v>
      </c>
    </row>
    <row r="40" spans="1:7" s="63" customFormat="1" ht="15.95" customHeight="1">
      <c r="A40" s="77"/>
      <c r="B40" s="334"/>
      <c r="C40" s="65"/>
      <c r="D40" s="73"/>
      <c r="G40" s="78"/>
    </row>
    <row r="41" spans="1:7" ht="15.95" customHeight="1">
      <c r="A41" s="77" t="s">
        <v>505</v>
      </c>
      <c r="B41" s="339"/>
      <c r="C41" s="81" t="s">
        <v>363</v>
      </c>
      <c r="D41" s="193">
        <f>ROUNDDOWN(D19*600+D28*1000+D36+D12*2300+D14*28.69,1)</f>
        <v>482.8</v>
      </c>
    </row>
    <row r="42" spans="1:7" ht="15.95" customHeight="1">
      <c r="A42" s="77" t="s">
        <v>506</v>
      </c>
      <c r="B42" s="332" t="str">
        <f>"0.271㎥ * 600kg/㎥ = "&amp;ROUND(D19*600,3)&amp;"kg"</f>
        <v>0.271㎥ * 600kg/㎥ = 162.6kg</v>
      </c>
      <c r="C42" s="81"/>
      <c r="D42" s="138"/>
    </row>
    <row r="43" spans="1:7" ht="15.95" customHeight="1">
      <c r="A43" s="77" t="s">
        <v>507</v>
      </c>
      <c r="B43" s="332" t="str">
        <f>"8.6kg+1.229kg = "&amp;ROUND(D28*1000+D36,1)&amp;"kg"</f>
        <v>8.6kg+1.229kg = 9.8kg</v>
      </c>
      <c r="C43" s="81"/>
      <c r="D43" s="82"/>
    </row>
    <row r="44" spans="1:7" ht="15.95" customHeight="1">
      <c r="A44" s="84" t="s">
        <v>180</v>
      </c>
      <c r="B44" s="332" t="str">
        <f>"0.119*2300kg = "&amp;ROUNDDOWN(D12*2300,1)&amp;"kg"</f>
        <v>0.119*2300kg = 273.7kg</v>
      </c>
      <c r="C44" s="81"/>
      <c r="D44" s="82"/>
    </row>
    <row r="45" spans="1:7" ht="15.95" customHeight="1">
      <c r="A45" s="230" t="s">
        <v>411</v>
      </c>
      <c r="B45" s="343" t="str">
        <f>"1.28*28.69kg = "&amp;ROUNDDOWN(D14*28.69,1)&amp;"kg"</f>
        <v>1.28*28.69kg = 36.7kg</v>
      </c>
      <c r="C45" s="86"/>
      <c r="D45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92D050"/>
  </sheetPr>
  <dimension ref="A1:H38"/>
  <sheetViews>
    <sheetView view="pageBreakPreview" zoomScaleNormal="100" zoomScaleSheetLayoutView="100" workbookViewId="0">
      <selection activeCell="B18" sqref="B18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126" t="s">
        <v>167</v>
      </c>
      <c r="B2" s="127"/>
      <c r="C2" s="128"/>
      <c r="D2" s="129" t="s">
        <v>105</v>
      </c>
      <c r="F2" s="94"/>
      <c r="G2" s="94"/>
      <c r="H2" s="94"/>
    </row>
    <row r="3" spans="1:8" s="63" customFormat="1" ht="18.75" customHeight="1">
      <c r="A3" s="180"/>
      <c r="B3" s="124"/>
      <c r="C3" s="153"/>
      <c r="D3" s="181"/>
      <c r="F3" s="99"/>
      <c r="G3" s="97"/>
      <c r="H3" s="97"/>
    </row>
    <row r="4" spans="1:8" s="63" customFormat="1" ht="18.75" customHeight="1">
      <c r="A4" s="191" t="s">
        <v>186</v>
      </c>
      <c r="B4" s="182"/>
      <c r="C4" s="183"/>
      <c r="D4" s="184"/>
      <c r="F4" s="101"/>
      <c r="G4" s="97"/>
      <c r="H4" s="97"/>
    </row>
    <row r="5" spans="1:8" s="63" customFormat="1" ht="18.75" customHeight="1">
      <c r="A5" s="64" t="s">
        <v>187</v>
      </c>
      <c r="B5" s="179">
        <v>1</v>
      </c>
      <c r="C5" s="65" t="s">
        <v>168</v>
      </c>
      <c r="D5" s="79">
        <v>1</v>
      </c>
      <c r="F5" s="101"/>
      <c r="G5" s="97"/>
      <c r="H5" s="97"/>
    </row>
    <row r="6" spans="1:8" s="63" customFormat="1" ht="18.75" customHeight="1">
      <c r="A6" s="64"/>
      <c r="B6" s="67"/>
      <c r="C6" s="65"/>
      <c r="D6" s="79"/>
      <c r="F6" s="99"/>
      <c r="G6" s="97"/>
      <c r="H6" s="97"/>
    </row>
    <row r="7" spans="1:8" s="63" customFormat="1" ht="18.75" customHeight="1">
      <c r="A7" s="64" t="s">
        <v>169</v>
      </c>
      <c r="B7" s="67" t="s">
        <v>188</v>
      </c>
      <c r="C7" s="69" t="s">
        <v>170</v>
      </c>
      <c r="D7" s="70">
        <v>0.8</v>
      </c>
      <c r="F7" s="101"/>
      <c r="G7" s="97"/>
      <c r="H7" s="97"/>
    </row>
    <row r="8" spans="1:8" s="63" customFormat="1" ht="18.75" customHeight="1">
      <c r="A8" s="64"/>
      <c r="B8" s="67"/>
      <c r="C8" s="69"/>
      <c r="D8" s="70"/>
      <c r="F8" s="101"/>
      <c r="G8" s="97"/>
      <c r="H8" s="97"/>
    </row>
    <row r="9" spans="1:8" s="63" customFormat="1" ht="18.75" customHeight="1">
      <c r="A9" s="74" t="s">
        <v>171</v>
      </c>
      <c r="B9" s="67" t="s">
        <v>188</v>
      </c>
      <c r="C9" s="69" t="s">
        <v>170</v>
      </c>
      <c r="D9" s="70">
        <v>0.8</v>
      </c>
      <c r="F9" s="101"/>
      <c r="G9" s="97"/>
      <c r="H9" s="97"/>
    </row>
    <row r="10" spans="1:8" s="63" customFormat="1" ht="18.75" customHeight="1">
      <c r="A10" s="74"/>
      <c r="B10" s="67"/>
      <c r="C10" s="75"/>
      <c r="D10" s="79"/>
      <c r="F10" s="101"/>
      <c r="G10" s="97"/>
      <c r="H10" s="97"/>
    </row>
    <row r="11" spans="1:8" s="63" customFormat="1" ht="18.75" customHeight="1">
      <c r="A11" s="77" t="s">
        <v>172</v>
      </c>
      <c r="B11" s="179" t="s">
        <v>183</v>
      </c>
      <c r="C11" s="65" t="s">
        <v>5</v>
      </c>
      <c r="D11" s="79">
        <v>2.2000000000000002</v>
      </c>
      <c r="F11" s="78"/>
    </row>
    <row r="12" spans="1:8" s="63" customFormat="1" ht="18.75" customHeight="1">
      <c r="A12" s="185" t="s">
        <v>271</v>
      </c>
      <c r="B12" s="186"/>
      <c r="C12" s="187"/>
      <c r="D12" s="188"/>
      <c r="F12" s="104"/>
      <c r="H12" s="78"/>
    </row>
    <row r="13" spans="1:8" s="63" customFormat="1" ht="18.75" customHeight="1">
      <c r="A13" s="178"/>
      <c r="B13" s="108"/>
      <c r="C13" s="109"/>
      <c r="D13" s="177"/>
      <c r="F13" s="105"/>
      <c r="H13" s="106"/>
    </row>
    <row r="14" spans="1:8" s="63" customFormat="1" ht="18.75" customHeight="1">
      <c r="A14" s="189"/>
      <c r="B14" s="85"/>
      <c r="C14" s="153"/>
      <c r="D14" s="190"/>
    </row>
    <row r="15" spans="1:8" s="63" customFormat="1" ht="18.75" customHeight="1">
      <c r="A15" s="191" t="s">
        <v>173</v>
      </c>
      <c r="B15" s="182"/>
      <c r="C15" s="183"/>
      <c r="D15" s="184"/>
      <c r="F15" s="105"/>
      <c r="H15" s="106"/>
    </row>
    <row r="16" spans="1:8" s="63" customFormat="1" ht="18.75" customHeight="1">
      <c r="A16" s="64" t="s">
        <v>175</v>
      </c>
      <c r="B16" s="179">
        <v>1</v>
      </c>
      <c r="C16" s="65" t="s">
        <v>168</v>
      </c>
      <c r="D16" s="79">
        <v>1</v>
      </c>
    </row>
    <row r="17" spans="1:8" s="63" customFormat="1" ht="18.75" customHeight="1">
      <c r="A17" s="64"/>
      <c r="B17" s="67"/>
      <c r="C17" s="65"/>
      <c r="D17" s="79"/>
    </row>
    <row r="18" spans="1:8" s="63" customFormat="1" ht="18.75" customHeight="1">
      <c r="A18" s="64" t="s">
        <v>169</v>
      </c>
      <c r="B18" s="67" t="s">
        <v>174</v>
      </c>
      <c r="C18" s="69" t="s">
        <v>170</v>
      </c>
      <c r="D18" s="70">
        <v>1.2</v>
      </c>
    </row>
    <row r="19" spans="1:8" s="63" customFormat="1" ht="18.75" customHeight="1">
      <c r="A19" s="64"/>
      <c r="B19" s="67"/>
      <c r="C19" s="69"/>
      <c r="D19" s="70"/>
      <c r="H19" s="78"/>
    </row>
    <row r="20" spans="1:8" s="63" customFormat="1" ht="18.75" customHeight="1">
      <c r="A20" s="74" t="s">
        <v>171</v>
      </c>
      <c r="B20" s="67" t="s">
        <v>174</v>
      </c>
      <c r="C20" s="69" t="s">
        <v>170</v>
      </c>
      <c r="D20" s="70">
        <v>1.2</v>
      </c>
      <c r="F20" s="111"/>
      <c r="H20" s="111"/>
    </row>
    <row r="21" spans="1:8" s="63" customFormat="1" ht="18.95" customHeight="1">
      <c r="A21" s="74"/>
      <c r="B21" s="67"/>
      <c r="C21" s="75"/>
      <c r="D21" s="79"/>
    </row>
    <row r="22" spans="1:8" s="63" customFormat="1" ht="18.95" customHeight="1">
      <c r="A22" s="77" t="s">
        <v>172</v>
      </c>
      <c r="B22" s="179" t="s">
        <v>183</v>
      </c>
      <c r="C22" s="65" t="s">
        <v>5</v>
      </c>
      <c r="D22" s="79">
        <v>2.2000000000000002</v>
      </c>
    </row>
    <row r="23" spans="1:8" s="63" customFormat="1" ht="21.75" customHeight="1">
      <c r="A23" s="185" t="s">
        <v>271</v>
      </c>
      <c r="B23" s="186"/>
      <c r="C23" s="187"/>
      <c r="D23" s="188"/>
    </row>
    <row r="24" spans="1:8" s="63" customFormat="1" ht="18.75" customHeight="1">
      <c r="A24" s="189"/>
      <c r="B24" s="85"/>
      <c r="C24" s="153"/>
      <c r="D24" s="190"/>
    </row>
    <row r="25" spans="1:8" s="63" customFormat="1" ht="18.95" customHeight="1">
      <c r="A25" s="189"/>
      <c r="B25" s="85"/>
      <c r="C25" s="153"/>
      <c r="D25" s="190"/>
    </row>
    <row r="26" spans="1:8" s="63" customFormat="1" ht="18.75" customHeight="1">
      <c r="A26" s="191" t="s">
        <v>268</v>
      </c>
      <c r="B26" s="182"/>
      <c r="C26" s="183"/>
      <c r="D26" s="184"/>
      <c r="F26" s="101"/>
      <c r="G26" s="97"/>
      <c r="H26" s="97"/>
    </row>
    <row r="27" spans="1:8" s="63" customFormat="1" ht="18.75" customHeight="1">
      <c r="A27" s="64" t="s">
        <v>597</v>
      </c>
      <c r="B27" s="179">
        <v>1</v>
      </c>
      <c r="C27" s="65" t="s">
        <v>1</v>
      </c>
      <c r="D27" s="79">
        <v>1</v>
      </c>
      <c r="F27" s="101"/>
      <c r="G27" s="97"/>
      <c r="H27" s="97"/>
    </row>
    <row r="28" spans="1:8" s="63" customFormat="1" ht="18.75" customHeight="1">
      <c r="A28" s="64"/>
      <c r="B28" s="67"/>
      <c r="C28" s="65"/>
      <c r="D28" s="79"/>
      <c r="F28" s="99"/>
      <c r="G28" s="97"/>
      <c r="H28" s="97"/>
    </row>
    <row r="29" spans="1:8" s="63" customFormat="1" ht="18.75" customHeight="1">
      <c r="A29" s="64" t="s">
        <v>169</v>
      </c>
      <c r="B29" s="67" t="s">
        <v>339</v>
      </c>
      <c r="C29" s="69" t="s">
        <v>2</v>
      </c>
      <c r="D29" s="70">
        <v>1.5</v>
      </c>
      <c r="F29" s="101"/>
      <c r="G29" s="97"/>
      <c r="H29" s="97"/>
    </row>
    <row r="30" spans="1:8" s="63" customFormat="1" ht="18.75" customHeight="1">
      <c r="A30" s="64"/>
      <c r="B30" s="67"/>
      <c r="C30" s="69"/>
      <c r="D30" s="70"/>
      <c r="F30" s="101"/>
      <c r="G30" s="97"/>
      <c r="H30" s="97"/>
    </row>
    <row r="31" spans="1:8" s="63" customFormat="1" ht="18.75" customHeight="1">
      <c r="A31" s="74" t="s">
        <v>171</v>
      </c>
      <c r="B31" s="67" t="s">
        <v>269</v>
      </c>
      <c r="C31" s="69" t="s">
        <v>2</v>
      </c>
      <c r="D31" s="70">
        <v>1.5</v>
      </c>
      <c r="F31" s="101"/>
      <c r="G31" s="97"/>
      <c r="H31" s="97"/>
    </row>
    <row r="32" spans="1:8" s="63" customFormat="1" ht="18.75" customHeight="1">
      <c r="A32" s="74"/>
      <c r="B32" s="67"/>
      <c r="C32" s="75"/>
      <c r="D32" s="79"/>
      <c r="F32" s="101"/>
      <c r="G32" s="97"/>
      <c r="H32" s="97"/>
    </row>
    <row r="33" spans="1:8" s="63" customFormat="1" ht="18.75" customHeight="1">
      <c r="A33" s="77" t="s">
        <v>172</v>
      </c>
      <c r="B33" s="179" t="s">
        <v>270</v>
      </c>
      <c r="C33" s="65" t="s">
        <v>5</v>
      </c>
      <c r="D33" s="79">
        <v>2.2000000000000002</v>
      </c>
      <c r="F33" s="78"/>
    </row>
    <row r="34" spans="1:8" s="63" customFormat="1" ht="18.75" customHeight="1">
      <c r="A34" s="185" t="s">
        <v>271</v>
      </c>
      <c r="B34" s="186"/>
      <c r="C34" s="187"/>
      <c r="D34" s="188"/>
      <c r="F34" s="104"/>
      <c r="H34" s="78"/>
    </row>
    <row r="35" spans="1:8" s="63" customFormat="1" ht="18.95" customHeight="1">
      <c r="A35" s="208"/>
      <c r="B35" s="209"/>
      <c r="C35" s="210"/>
      <c r="D35" s="211"/>
      <c r="E35" s="83"/>
      <c r="F35" s="83"/>
      <c r="G35" s="83"/>
      <c r="H35" s="83"/>
    </row>
    <row r="36" spans="1:8" ht="18.75" customHeight="1">
      <c r="A36" s="80"/>
      <c r="B36" s="67"/>
      <c r="C36" s="65"/>
      <c r="D36" s="70"/>
    </row>
    <row r="37" spans="1:8" ht="18.75" customHeight="1">
      <c r="A37" s="84"/>
      <c r="B37" s="67"/>
      <c r="C37" s="81"/>
      <c r="D37" s="82"/>
    </row>
    <row r="38" spans="1:8" ht="18.75" customHeight="1">
      <c r="A38" s="120"/>
      <c r="B38" s="121"/>
      <c r="C38" s="122"/>
      <c r="D38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92D050"/>
  </sheetPr>
  <dimension ref="A1:H57"/>
  <sheetViews>
    <sheetView view="pageBreakPreview" zoomScaleNormal="100" zoomScaleSheetLayoutView="100" workbookViewId="0">
      <selection activeCell="B15" sqref="B15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8" s="59" customFormat="1" ht="20.45" customHeight="1">
      <c r="A2" s="296" t="s">
        <v>205</v>
      </c>
      <c r="B2" s="127"/>
      <c r="C2" s="128"/>
      <c r="D2" s="129" t="s">
        <v>508</v>
      </c>
      <c r="F2" s="94"/>
      <c r="G2" s="94"/>
      <c r="H2" s="94"/>
    </row>
    <row r="3" spans="1:8" s="63" customFormat="1" ht="18.75" customHeight="1">
      <c r="A3" s="337"/>
      <c r="B3" s="338"/>
      <c r="C3" s="132"/>
      <c r="D3" s="133"/>
      <c r="F3" s="97"/>
      <c r="G3" s="97"/>
      <c r="H3" s="97"/>
    </row>
    <row r="4" spans="1:8" s="63" customFormat="1" ht="18.75" customHeight="1">
      <c r="A4" s="340" t="s">
        <v>509</v>
      </c>
      <c r="B4" s="332" t="str">
        <f>"0.45*0.45*0.35*2ea = "&amp;ROUND(0.45*0.45*0.35*2,3)&amp;"㎥"</f>
        <v>0.45*0.45*0.35*2ea = 0.142㎥</v>
      </c>
      <c r="C4" s="65" t="s">
        <v>274</v>
      </c>
      <c r="D4" s="66">
        <v>0.14199999999999999</v>
      </c>
      <c r="F4" s="99"/>
      <c r="G4" s="97"/>
      <c r="H4" s="97"/>
    </row>
    <row r="5" spans="1:8" s="63" customFormat="1" ht="18.75" customHeight="1">
      <c r="A5" s="340" t="s">
        <v>275</v>
      </c>
      <c r="B5" s="342"/>
      <c r="C5" s="301"/>
      <c r="D5" s="70"/>
      <c r="F5" s="101"/>
      <c r="G5" s="97"/>
      <c r="H5" s="97"/>
    </row>
    <row r="6" spans="1:8" s="63" customFormat="1" ht="18.75" customHeight="1">
      <c r="A6" s="341"/>
      <c r="B6" s="342"/>
      <c r="C6" s="301"/>
      <c r="D6" s="70"/>
      <c r="F6" s="101"/>
      <c r="G6" s="97"/>
      <c r="H6" s="97"/>
    </row>
    <row r="7" spans="1:8" s="63" customFormat="1" ht="18.75" customHeight="1">
      <c r="A7" s="340" t="s">
        <v>206</v>
      </c>
      <c r="B7" s="332" t="str">
        <f>"0.142-(0.3*0.3*0.3*2ea)-(0.625*0.0625*3.14*0.05*2ea) = "&amp;ROUND(0.142-(0.3*0.3*0.3*2)-(0.0625*0.0625*3.14*0.05*2),3)&amp;"㎥"</f>
        <v>0.142-(0.3*0.3*0.3*2ea)-(0.625*0.0625*3.14*0.05*2ea) = 0.087㎥</v>
      </c>
      <c r="C7" s="65" t="s">
        <v>367</v>
      </c>
      <c r="D7" s="66">
        <v>8.6999999999999994E-2</v>
      </c>
      <c r="F7" s="99"/>
      <c r="G7" s="97"/>
      <c r="H7" s="97"/>
    </row>
    <row r="8" spans="1:8" s="63" customFormat="1" ht="18.75" customHeight="1">
      <c r="A8" s="340" t="s">
        <v>275</v>
      </c>
      <c r="B8" s="342"/>
      <c r="C8" s="301"/>
      <c r="D8" s="70"/>
      <c r="F8" s="101"/>
      <c r="G8" s="97"/>
      <c r="H8" s="97"/>
    </row>
    <row r="9" spans="1:8" s="63" customFormat="1" ht="18.75" customHeight="1">
      <c r="A9" s="341"/>
      <c r="B9" s="342"/>
      <c r="C9" s="301"/>
      <c r="D9" s="70"/>
      <c r="F9" s="101"/>
      <c r="G9" s="97"/>
      <c r="H9" s="97"/>
    </row>
    <row r="10" spans="1:8" s="63" customFormat="1" ht="18.75" customHeight="1">
      <c r="A10" s="340" t="s">
        <v>207</v>
      </c>
      <c r="B10" s="332" t="s">
        <v>176</v>
      </c>
      <c r="C10" s="65" t="s">
        <v>274</v>
      </c>
      <c r="D10" s="66">
        <f>D4-D7</f>
        <v>5.4999999999999993E-2</v>
      </c>
      <c r="F10" s="99"/>
      <c r="G10" s="97"/>
      <c r="H10" s="97"/>
    </row>
    <row r="11" spans="1:8" s="63" customFormat="1" ht="18.75" customHeight="1">
      <c r="A11" s="341"/>
      <c r="B11" s="342"/>
      <c r="C11" s="301"/>
      <c r="D11" s="70"/>
      <c r="F11" s="101"/>
      <c r="G11" s="97"/>
      <c r="H11" s="97"/>
    </row>
    <row r="12" spans="1:8" s="63" customFormat="1" ht="18.75" customHeight="1">
      <c r="A12" s="340" t="s">
        <v>208</v>
      </c>
      <c r="B12" s="332" t="str">
        <f>"0.3*0.3*4면*2ea = "&amp;ROUND(0.3*0.3*4*2,3)&amp;"㎥"</f>
        <v>0.3*0.3*4면*2ea = 0.72㎥</v>
      </c>
      <c r="C12" s="65" t="s">
        <v>274</v>
      </c>
      <c r="D12" s="66">
        <v>0.72</v>
      </c>
      <c r="F12" s="99"/>
      <c r="G12" s="97"/>
      <c r="H12" s="97"/>
    </row>
    <row r="13" spans="1:8" s="63" customFormat="1" ht="18.75" customHeight="1">
      <c r="A13" s="341"/>
      <c r="B13" s="342"/>
      <c r="C13" s="301"/>
      <c r="D13" s="70"/>
      <c r="F13" s="101"/>
      <c r="G13" s="97"/>
      <c r="H13" s="97"/>
    </row>
    <row r="14" spans="1:8" s="63" customFormat="1" ht="18.75" customHeight="1">
      <c r="A14" s="340" t="s">
        <v>209</v>
      </c>
      <c r="B14" s="332" t="str">
        <f>"0.3*0.3*0.3*2ea = "&amp;ROUND(0.3*0.3*0.3*2,3)&amp;"㎥"</f>
        <v>0.3*0.3*0.3*2ea = 0.054㎥</v>
      </c>
      <c r="C14" s="65" t="s">
        <v>274</v>
      </c>
      <c r="D14" s="66">
        <v>5.3999999999999999E-2</v>
      </c>
      <c r="F14" s="99"/>
      <c r="G14" s="97"/>
      <c r="H14" s="97"/>
    </row>
    <row r="15" spans="1:8" s="63" customFormat="1" ht="18.75" customHeight="1">
      <c r="A15" s="341"/>
      <c r="B15" s="342"/>
      <c r="C15" s="301"/>
      <c r="D15" s="70"/>
      <c r="F15" s="101"/>
      <c r="G15" s="97"/>
      <c r="H15" s="97"/>
    </row>
    <row r="16" spans="1:8" s="63" customFormat="1" ht="18.75" customHeight="1">
      <c r="A16" s="74" t="s">
        <v>210</v>
      </c>
      <c r="B16" s="332" t="str">
        <f>"0.09*0.06*1.8m*4ea/0.00334 = "&amp;ROUNDDOWN(0.09*0.06*1.8*4/0.00334,3)&amp;"재"</f>
        <v>0.09*0.06*1.8m*4ea/0.00334 = 11.64재</v>
      </c>
      <c r="C16" s="65" t="s">
        <v>452</v>
      </c>
      <c r="D16" s="66">
        <v>12.222</v>
      </c>
      <c r="F16" s="101"/>
      <c r="G16" s="97"/>
      <c r="H16" s="97"/>
    </row>
    <row r="17" spans="1:8" s="63" customFormat="1" ht="18.75" customHeight="1">
      <c r="A17" s="74" t="s">
        <v>211</v>
      </c>
      <c r="B17" s="332" t="str">
        <f>"11.64*1.05(할증) = "&amp;ROUNDDOWN(11.64*1.05,3)&amp;"재"</f>
        <v>11.64*1.05(할증) = 12.222재</v>
      </c>
      <c r="C17" s="308"/>
      <c r="D17" s="76"/>
      <c r="F17" s="101"/>
      <c r="G17" s="97"/>
      <c r="H17" s="97"/>
    </row>
    <row r="18" spans="1:8" s="63" customFormat="1" ht="18.75" customHeight="1">
      <c r="A18" s="134"/>
      <c r="B18" s="342"/>
      <c r="C18" s="308"/>
      <c r="D18" s="76"/>
      <c r="F18" s="78"/>
    </row>
    <row r="19" spans="1:8" s="63" customFormat="1" ht="18.75" customHeight="1">
      <c r="A19" s="77" t="s">
        <v>212</v>
      </c>
      <c r="B19" s="332" t="str">
        <f>"0.09*0.06*1.8m*4ea = "&amp;ROUNDDOWN(0.09*0.06*1.8*4,3)&amp;"㎥"</f>
        <v>0.09*0.06*1.8m*4ea = 0.038㎥</v>
      </c>
      <c r="C19" s="65" t="s">
        <v>274</v>
      </c>
      <c r="D19" s="66">
        <v>3.7999999999999999E-2</v>
      </c>
      <c r="F19" s="104"/>
      <c r="H19" s="78"/>
    </row>
    <row r="20" spans="1:8" s="63" customFormat="1" ht="18.75" customHeight="1">
      <c r="A20" s="77"/>
      <c r="B20" s="332"/>
      <c r="C20" s="65"/>
      <c r="D20" s="70"/>
      <c r="F20" s="105"/>
      <c r="H20" s="106"/>
    </row>
    <row r="21" spans="1:8" s="63" customFormat="1" ht="18.75" customHeight="1">
      <c r="A21" s="77" t="s">
        <v>213</v>
      </c>
      <c r="B21" s="334" t="str">
        <f>"0.39*0.18*2ea="&amp;ROUND(0.39*0.18*2,3)&amp;"㎡"</f>
        <v>0.39*0.18*2ea=0.14㎡</v>
      </c>
      <c r="C21" s="65" t="s">
        <v>287</v>
      </c>
      <c r="D21" s="73">
        <v>9.6890000000000001</v>
      </c>
    </row>
    <row r="22" spans="1:8" s="63" customFormat="1" ht="18.75" customHeight="1">
      <c r="A22" s="80" t="s">
        <v>214</v>
      </c>
      <c r="B22" s="334" t="str">
        <f>"강판무게 : 187kg*0.14㎡/(1.219*2.438)="&amp;ROUNDDOWN(187*0.14/(1.219*2.438),3)&amp;"kg"</f>
        <v>강판무게 : 187kg*0.14㎡/(1.219*2.438)=8.809kg</v>
      </c>
      <c r="C22" s="65" t="s">
        <v>282</v>
      </c>
      <c r="D22" s="137">
        <f>D21/1000</f>
        <v>9.6889999999999997E-3</v>
      </c>
    </row>
    <row r="23" spans="1:8" s="63" customFormat="1" ht="18.75" customHeight="1">
      <c r="A23" s="80" t="s">
        <v>215</v>
      </c>
      <c r="B23" s="332" t="str">
        <f>"8.809kg*1.10(할증) = "&amp;ROUNDDOWN(8.809*1.1,3)&amp;"kg"</f>
        <v>8.809kg*1.10(할증) = 9.689kg</v>
      </c>
      <c r="C23" s="65"/>
      <c r="D23" s="70"/>
    </row>
    <row r="24" spans="1:8" s="63" customFormat="1" ht="18.75" customHeight="1">
      <c r="A24" s="80"/>
      <c r="B24" s="339"/>
      <c r="C24" s="65"/>
      <c r="D24" s="70"/>
    </row>
    <row r="25" spans="1:8" s="63" customFormat="1" ht="18.75" customHeight="1">
      <c r="A25" s="77" t="s">
        <v>229</v>
      </c>
      <c r="B25" s="334" t="str">
        <f>"0.6m*2ea*1.05(할증)="&amp;ROUNDDOWN(0.6*2*1.05,3)&amp;"m"</f>
        <v>0.6m*2ea*1.05(할증)=1.26m</v>
      </c>
      <c r="C25" s="65" t="s">
        <v>105</v>
      </c>
      <c r="D25" s="73">
        <v>1.26</v>
      </c>
    </row>
    <row r="26" spans="1:8" s="63" customFormat="1" ht="18.75" customHeight="1">
      <c r="A26" s="80"/>
      <c r="B26" s="339"/>
      <c r="C26" s="65"/>
      <c r="D26" s="70"/>
    </row>
    <row r="27" spans="1:8" s="63" customFormat="1" ht="18.75" customHeight="1">
      <c r="A27" s="77" t="s">
        <v>217</v>
      </c>
      <c r="B27" s="334"/>
      <c r="C27" s="65"/>
      <c r="D27" s="73"/>
    </row>
    <row r="28" spans="1:8" s="63" customFormat="1" ht="18.75" customHeight="1">
      <c r="A28" s="80" t="s">
        <v>510</v>
      </c>
      <c r="B28" s="334" t="s">
        <v>511</v>
      </c>
      <c r="C28" s="65" t="s">
        <v>363</v>
      </c>
      <c r="D28" s="73">
        <f>D21</f>
        <v>9.6890000000000001</v>
      </c>
    </row>
    <row r="29" spans="1:8" s="63" customFormat="1" ht="18.75" customHeight="1">
      <c r="A29" s="80" t="s">
        <v>216</v>
      </c>
      <c r="B29" s="334" t="str">
        <f>"기둥 : (0.6m*2ea)*10.78kg="&amp;ROUND(0.6*2*10.78,3)&amp;"kg"</f>
        <v>기둥 : (0.6m*2ea)*10.78kg=12.936kg</v>
      </c>
      <c r="C29" s="65" t="s">
        <v>287</v>
      </c>
      <c r="D29" s="73">
        <v>12.936</v>
      </c>
    </row>
    <row r="30" spans="1:8" s="63" customFormat="1" ht="18.75" customHeight="1">
      <c r="A30" s="80"/>
      <c r="B30" s="332" t="s">
        <v>161</v>
      </c>
      <c r="C30" s="65" t="s">
        <v>225</v>
      </c>
      <c r="D30" s="70">
        <f>D28+D29</f>
        <v>22.625</v>
      </c>
    </row>
    <row r="31" spans="1:8" s="63" customFormat="1" ht="18.75" customHeight="1">
      <c r="A31" s="80"/>
      <c r="B31" s="339"/>
      <c r="C31" s="65" t="s">
        <v>282</v>
      </c>
      <c r="D31" s="73">
        <f>ROUNDDOWN(D30/1000,3)</f>
        <v>2.1999999999999999E-2</v>
      </c>
    </row>
    <row r="32" spans="1:8" s="63" customFormat="1" ht="18.75" customHeight="1">
      <c r="A32" s="80"/>
      <c r="B32" s="339"/>
      <c r="C32" s="65"/>
      <c r="D32" s="231"/>
    </row>
    <row r="33" spans="1:8" s="63" customFormat="1" ht="18.75" customHeight="1">
      <c r="A33" s="77" t="s">
        <v>512</v>
      </c>
      <c r="B33" s="334" t="str">
        <f>"016ea*1.05(할증)="&amp;ROUNDDOWN(16*1.05,3)&amp;"m"</f>
        <v>016ea*1.05(할증)=16.8m</v>
      </c>
      <c r="C33" s="65" t="s">
        <v>151</v>
      </c>
      <c r="D33" s="73">
        <v>16.8</v>
      </c>
    </row>
    <row r="34" spans="1:8" s="63" customFormat="1" ht="18.75" customHeight="1">
      <c r="A34" s="80" t="s">
        <v>218</v>
      </c>
      <c r="B34" s="339"/>
      <c r="C34" s="65"/>
      <c r="D34" s="70"/>
    </row>
    <row r="35" spans="1:8" s="63" customFormat="1" ht="18.75" customHeight="1">
      <c r="A35" s="80"/>
      <c r="B35" s="339"/>
      <c r="C35" s="65"/>
      <c r="D35" s="70"/>
    </row>
    <row r="36" spans="1:8" s="63" customFormat="1" ht="18.75" customHeight="1">
      <c r="A36" s="77" t="s">
        <v>513</v>
      </c>
      <c r="B36" s="334" t="str">
        <f>"(0.2m*4ea)*0.995kg*1.03(할증)="&amp;ROUNDDOWN((0.2*4)*0.995*1.03,3)&amp;"kg"</f>
        <v>(0.2m*4ea)*0.995kg*1.03(할증)=0.819kg</v>
      </c>
      <c r="C36" s="65" t="s">
        <v>287</v>
      </c>
      <c r="D36" s="73">
        <v>0.81899999999999995</v>
      </c>
    </row>
    <row r="37" spans="1:8" s="63" customFormat="1" ht="18.75" customHeight="1">
      <c r="A37" s="80" t="s">
        <v>219</v>
      </c>
      <c r="B37" s="334"/>
      <c r="C37" s="65" t="s">
        <v>282</v>
      </c>
      <c r="D37" s="136">
        <f>D36/1000</f>
        <v>8.1899999999999996E-4</v>
      </c>
    </row>
    <row r="38" spans="1:8" s="63" customFormat="1" ht="18.75" customHeight="1">
      <c r="A38" s="156"/>
      <c r="B38" s="336"/>
      <c r="C38" s="187"/>
      <c r="D38" s="274"/>
      <c r="H38" s="78"/>
    </row>
    <row r="39" spans="1:8" s="63" customFormat="1" ht="18.75" customHeight="1">
      <c r="A39" s="158" t="s">
        <v>220</v>
      </c>
      <c r="B39" s="335" t="str">
        <f>"{(0.09+0.06)*2면*1.8m+(0.09*0.06)*2ea}*4ea="&amp;ROUNDDOWN(((0.09+0.06)*2*1.8+(0.09*0.06)*2)*4,1)&amp;"㎡"</f>
        <v>{(0.09+0.06)*2면*1.8m+(0.09*0.06)*2ea}*4ea=2.2㎡</v>
      </c>
      <c r="C39" s="159" t="s">
        <v>102</v>
      </c>
      <c r="D39" s="279">
        <v>2.2000000000000002</v>
      </c>
      <c r="F39" s="111"/>
      <c r="H39" s="111"/>
    </row>
    <row r="40" spans="1:8" s="63" customFormat="1" ht="18.95" customHeight="1">
      <c r="A40" s="80" t="s">
        <v>221</v>
      </c>
      <c r="B40" s="334"/>
      <c r="C40" s="65"/>
      <c r="D40" s="73"/>
    </row>
    <row r="41" spans="1:8" s="63" customFormat="1" ht="18.95" customHeight="1">
      <c r="A41" s="77"/>
      <c r="B41" s="334"/>
      <c r="C41" s="65"/>
      <c r="D41" s="73"/>
    </row>
    <row r="42" spans="1:8" s="63" customFormat="1" ht="21.75" customHeight="1">
      <c r="A42" s="77" t="s">
        <v>222</v>
      </c>
      <c r="B42" s="334" t="str">
        <f>"(0.39m*0.18m*2ea*2면)+(0.0625*2*3.14*0.6m*2ea)="&amp;ROUND((0.39*0.18*2*2)+(0.0625*2*3.14*0.6*2),2)&amp;"㎡"</f>
        <v>(0.39m*0.18m*2ea*2면)+(0.0625*2*3.14*0.6m*2ea)=0.75㎡</v>
      </c>
      <c r="C42" s="65" t="s">
        <v>102</v>
      </c>
      <c r="D42" s="73">
        <v>0.75</v>
      </c>
    </row>
    <row r="43" spans="1:8" s="63" customFormat="1" ht="18.95" customHeight="1">
      <c r="A43" s="80" t="s">
        <v>223</v>
      </c>
      <c r="B43" s="339"/>
      <c r="C43" s="65"/>
      <c r="D43" s="137"/>
    </row>
    <row r="44" spans="1:8" s="63" customFormat="1" ht="18.95" customHeight="1">
      <c r="A44" s="77"/>
      <c r="B44" s="339"/>
      <c r="C44" s="65"/>
      <c r="D44" s="137"/>
      <c r="E44" s="83"/>
      <c r="F44" s="83"/>
      <c r="G44" s="83"/>
      <c r="H44" s="83"/>
    </row>
    <row r="45" spans="1:8" ht="18.75" customHeight="1">
      <c r="A45" s="77" t="s">
        <v>289</v>
      </c>
      <c r="B45" s="339"/>
      <c r="C45" s="81" t="s">
        <v>287</v>
      </c>
      <c r="D45" s="193">
        <f>22.8+23.4+124.2</f>
        <v>170.4</v>
      </c>
    </row>
    <row r="46" spans="1:8" ht="18.75" customHeight="1">
      <c r="A46" s="77" t="s">
        <v>224</v>
      </c>
      <c r="B46" s="332" t="str">
        <f>"0.038㎥ * 600kg/㎥ = "&amp;ROUND(D19*600,3)&amp;"kg"</f>
        <v>0.038㎥ * 600kg/㎥ = 22.8kg</v>
      </c>
      <c r="C46" s="81"/>
      <c r="D46" s="138"/>
    </row>
    <row r="47" spans="1:8" ht="18.75" customHeight="1">
      <c r="A47" s="77" t="s">
        <v>514</v>
      </c>
      <c r="B47" s="332" t="str">
        <f>"22.63+0.819 = "&amp;ROUND(D30+D36,1)&amp;"kg"</f>
        <v>22.63+0.819 = 23.4kg</v>
      </c>
      <c r="C47" s="81"/>
      <c r="D47" s="82"/>
      <c r="F47" s="67"/>
    </row>
    <row r="48" spans="1:8" ht="18.75" customHeight="1">
      <c r="A48" s="84" t="s">
        <v>180</v>
      </c>
      <c r="B48" s="332" t="str">
        <f>"0.054㎥ * 2300kg/㎥ = "&amp;ROUND(D14*2300,3)&amp;"kg"</f>
        <v>0.054㎥ * 2300kg/㎥ = 124.2kg</v>
      </c>
      <c r="C48" s="81"/>
      <c r="D48" s="82"/>
    </row>
    <row r="49" spans="1:4" ht="18.75" customHeight="1">
      <c r="A49" s="84"/>
      <c r="B49" s="332"/>
      <c r="C49" s="81"/>
      <c r="D49" s="82"/>
    </row>
    <row r="50" spans="1:4" ht="18.75" customHeight="1">
      <c r="A50" s="118"/>
      <c r="B50" s="344"/>
      <c r="C50" s="116"/>
      <c r="D50" s="119"/>
    </row>
    <row r="51" spans="1:4" ht="18.75" customHeight="1">
      <c r="A51" s="118"/>
      <c r="B51" s="344"/>
      <c r="C51" s="116"/>
      <c r="D51" s="119"/>
    </row>
    <row r="52" spans="1:4" ht="18.75" customHeight="1">
      <c r="A52" s="118"/>
      <c r="B52" s="344"/>
      <c r="C52" s="116"/>
      <c r="D52" s="119"/>
    </row>
    <row r="53" spans="1:4" ht="18.75" customHeight="1">
      <c r="A53" s="118"/>
      <c r="B53" s="108"/>
      <c r="C53" s="116"/>
      <c r="D53" s="119"/>
    </row>
    <row r="54" spans="1:4" ht="18.75" customHeight="1">
      <c r="A54" s="118"/>
      <c r="B54" s="108"/>
      <c r="C54" s="116"/>
      <c r="D54" s="119"/>
    </row>
    <row r="55" spans="1:4" ht="18.75" customHeight="1">
      <c r="A55" s="118"/>
      <c r="B55" s="108"/>
      <c r="C55" s="116"/>
      <c r="D55" s="119"/>
    </row>
    <row r="56" spans="1:4" ht="18.75" customHeight="1">
      <c r="A56" s="118"/>
      <c r="B56" s="108"/>
      <c r="C56" s="116"/>
      <c r="D56" s="119"/>
    </row>
    <row r="57" spans="1:4" ht="18.75" customHeight="1">
      <c r="A57" s="120"/>
      <c r="B57" s="121"/>
      <c r="C57" s="122"/>
      <c r="D5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92D050"/>
  </sheetPr>
  <dimension ref="A1:L46"/>
  <sheetViews>
    <sheetView view="pageBreakPreview" zoomScaleNormal="100" zoomScaleSheetLayoutView="100" workbookViewId="0">
      <selection activeCell="A17" sqref="A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6" width="8.21875" style="83" bestFit="1" customWidth="1"/>
    <col min="7" max="16384" width="8" style="83"/>
  </cols>
  <sheetData>
    <row r="1" spans="1:12" s="54" customFormat="1" ht="18.95" customHeight="1">
      <c r="A1" s="293" t="s">
        <v>598</v>
      </c>
      <c r="B1" s="294" t="s">
        <v>47</v>
      </c>
      <c r="C1" s="294" t="s">
        <v>599</v>
      </c>
      <c r="D1" s="295" t="s">
        <v>600</v>
      </c>
    </row>
    <row r="2" spans="1:12" s="59" customFormat="1" ht="15.6" customHeight="1">
      <c r="A2" s="296" t="s">
        <v>601</v>
      </c>
      <c r="B2" s="127"/>
      <c r="C2" s="128"/>
      <c r="D2" s="129" t="s">
        <v>602</v>
      </c>
      <c r="E2" s="94"/>
      <c r="F2" s="94"/>
    </row>
    <row r="3" spans="1:12" s="63" customFormat="1" ht="15.6" customHeight="1">
      <c r="A3" s="340"/>
      <c r="B3" s="371"/>
      <c r="C3" s="65"/>
      <c r="D3" s="372"/>
      <c r="E3" s="97"/>
      <c r="F3" s="97"/>
    </row>
    <row r="4" spans="1:12" s="63" customFormat="1" ht="15.6" customHeight="1">
      <c r="A4" s="340" t="s">
        <v>603</v>
      </c>
      <c r="B4" s="332" t="s">
        <v>604</v>
      </c>
      <c r="C4" s="65" t="s">
        <v>605</v>
      </c>
      <c r="D4" s="66">
        <f>L4</f>
        <v>18.106999999999999</v>
      </c>
      <c r="E4" s="97"/>
      <c r="F4" s="373">
        <v>0.1</v>
      </c>
      <c r="G4" s="374">
        <v>0.04</v>
      </c>
      <c r="H4" s="374">
        <v>1.8</v>
      </c>
      <c r="I4" s="89">
        <v>8</v>
      </c>
      <c r="J4" s="89">
        <v>3.3400000000000001E-3</v>
      </c>
      <c r="K4" s="89">
        <v>1.05</v>
      </c>
      <c r="L4" s="89">
        <f>ROUNDDOWN((F4*G4*H4*I4/J4*K4),3)</f>
        <v>18.106999999999999</v>
      </c>
    </row>
    <row r="5" spans="1:12" s="63" customFormat="1" ht="15.6" customHeight="1">
      <c r="A5" s="341" t="s">
        <v>606</v>
      </c>
      <c r="B5" s="332" t="s">
        <v>607</v>
      </c>
      <c r="C5" s="65" t="s">
        <v>605</v>
      </c>
      <c r="D5" s="66">
        <f t="shared" ref="D5:D10" si="0">L5</f>
        <v>19.013000000000002</v>
      </c>
      <c r="E5" s="97"/>
      <c r="F5" s="374">
        <v>0.12</v>
      </c>
      <c r="G5" s="374">
        <v>0.04</v>
      </c>
      <c r="H5" s="374">
        <v>1.8</v>
      </c>
      <c r="I5" s="89">
        <v>7</v>
      </c>
      <c r="J5" s="89">
        <v>3.3400000000000001E-3</v>
      </c>
      <c r="K5" s="89">
        <v>1.05</v>
      </c>
      <c r="L5" s="89">
        <f t="shared" ref="L5:L10" si="1">ROUNDDOWN((F5*G5*H5*I5/J5*K5),3)</f>
        <v>19.013000000000002</v>
      </c>
    </row>
    <row r="6" spans="1:12" s="63" customFormat="1" ht="15.6" customHeight="1">
      <c r="A6" s="341"/>
      <c r="B6" s="332" t="s">
        <v>608</v>
      </c>
      <c r="C6" s="65" t="s">
        <v>605</v>
      </c>
      <c r="D6" s="66">
        <f t="shared" si="0"/>
        <v>5.6580000000000004</v>
      </c>
      <c r="E6" s="97"/>
      <c r="F6" s="374">
        <v>0.1</v>
      </c>
      <c r="G6" s="374">
        <v>0.04</v>
      </c>
      <c r="H6" s="374">
        <v>0.9</v>
      </c>
      <c r="I6" s="89">
        <v>5</v>
      </c>
      <c r="J6" s="89">
        <v>3.3400000000000001E-3</v>
      </c>
      <c r="K6" s="89">
        <v>1.05</v>
      </c>
      <c r="L6" s="89">
        <f t="shared" si="1"/>
        <v>5.6580000000000004</v>
      </c>
    </row>
    <row r="7" spans="1:12" s="63" customFormat="1" ht="15.6" customHeight="1">
      <c r="A7" s="340"/>
      <c r="B7" s="332" t="s">
        <v>609</v>
      </c>
      <c r="C7" s="65" t="s">
        <v>605</v>
      </c>
      <c r="D7" s="66">
        <f t="shared" si="0"/>
        <v>9.5559999999999992</v>
      </c>
      <c r="E7" s="97"/>
      <c r="F7" s="373">
        <v>0.1</v>
      </c>
      <c r="G7" s="374">
        <v>0.04</v>
      </c>
      <c r="H7" s="374">
        <v>1.9</v>
      </c>
      <c r="I7" s="89">
        <v>4</v>
      </c>
      <c r="J7" s="89">
        <v>3.3400000000000001E-3</v>
      </c>
      <c r="K7" s="89">
        <v>1.05</v>
      </c>
      <c r="L7" s="89">
        <f t="shared" si="1"/>
        <v>9.5559999999999992</v>
      </c>
    </row>
    <row r="8" spans="1:12" s="63" customFormat="1" ht="15.6" customHeight="1">
      <c r="A8" s="340"/>
      <c r="B8" s="332" t="s">
        <v>610</v>
      </c>
      <c r="C8" s="65" t="s">
        <v>605</v>
      </c>
      <c r="D8" s="66">
        <f t="shared" si="0"/>
        <v>3.1179999999999999</v>
      </c>
      <c r="E8" s="97"/>
      <c r="F8" s="374">
        <v>0.1</v>
      </c>
      <c r="G8" s="374">
        <v>0.04</v>
      </c>
      <c r="H8" s="374">
        <v>1.24</v>
      </c>
      <c r="I8" s="89">
        <v>2</v>
      </c>
      <c r="J8" s="89">
        <v>3.3400000000000001E-3</v>
      </c>
      <c r="K8" s="89">
        <v>1.05</v>
      </c>
      <c r="L8" s="89">
        <f t="shared" si="1"/>
        <v>3.1179999999999999</v>
      </c>
    </row>
    <row r="9" spans="1:12" s="63" customFormat="1" ht="15.6" customHeight="1">
      <c r="A9" s="340"/>
      <c r="B9" s="332" t="s">
        <v>611</v>
      </c>
      <c r="C9" s="65" t="s">
        <v>605</v>
      </c>
      <c r="D9" s="66">
        <f t="shared" si="0"/>
        <v>1.861</v>
      </c>
      <c r="E9" s="97"/>
      <c r="F9" s="374">
        <v>0.1</v>
      </c>
      <c r="G9" s="374">
        <v>0.04</v>
      </c>
      <c r="H9" s="374">
        <v>1.48</v>
      </c>
      <c r="I9" s="89">
        <v>1</v>
      </c>
      <c r="J9" s="89">
        <v>3.3400000000000001E-3</v>
      </c>
      <c r="K9" s="89">
        <v>1.05</v>
      </c>
      <c r="L9" s="89">
        <f t="shared" si="1"/>
        <v>1.861</v>
      </c>
    </row>
    <row r="10" spans="1:12" s="63" customFormat="1" ht="15.6" customHeight="1">
      <c r="A10" s="340"/>
      <c r="B10" s="332" t="s">
        <v>612</v>
      </c>
      <c r="C10" s="65" t="s">
        <v>605</v>
      </c>
      <c r="D10" s="66">
        <f t="shared" si="0"/>
        <v>3.7719999999999998</v>
      </c>
      <c r="E10" s="97"/>
      <c r="F10" s="374">
        <v>0.1</v>
      </c>
      <c r="G10" s="374">
        <v>0.04</v>
      </c>
      <c r="H10" s="374">
        <v>0.75</v>
      </c>
      <c r="I10" s="89">
        <v>4</v>
      </c>
      <c r="J10" s="89">
        <v>3.3400000000000001E-3</v>
      </c>
      <c r="K10" s="89">
        <v>1.05</v>
      </c>
      <c r="L10" s="89">
        <f t="shared" si="1"/>
        <v>3.7719999999999998</v>
      </c>
    </row>
    <row r="11" spans="1:12" s="63" customFormat="1" ht="15.6" customHeight="1">
      <c r="A11" s="340"/>
      <c r="B11" s="332" t="s">
        <v>613</v>
      </c>
      <c r="C11" s="199" t="s">
        <v>605</v>
      </c>
      <c r="D11" s="285">
        <f>SUM(D4:D10)</f>
        <v>61.085000000000001</v>
      </c>
      <c r="E11" s="97"/>
      <c r="F11" s="97"/>
    </row>
    <row r="12" spans="1:12" s="63" customFormat="1" ht="15.6" customHeight="1">
      <c r="A12" s="340"/>
      <c r="B12" s="342"/>
      <c r="C12" s="301"/>
      <c r="D12" s="70"/>
      <c r="E12" s="97"/>
      <c r="F12" s="97"/>
    </row>
    <row r="13" spans="1:12" s="63" customFormat="1" ht="15.6" customHeight="1">
      <c r="A13" s="340" t="s">
        <v>614</v>
      </c>
      <c r="B13" s="332" t="str">
        <f>"① 0.10*0.04*1.8m*8ea= "&amp;ROUND(0.1*0.04*1.8*8,3)&amp;"㎥"</f>
        <v>① 0.10*0.04*1.8m*8ea= 0.058㎥</v>
      </c>
      <c r="C13" s="65" t="s">
        <v>8</v>
      </c>
      <c r="D13" s="66">
        <v>5.8000000000000003E-2</v>
      </c>
    </row>
    <row r="14" spans="1:12" s="63" customFormat="1" ht="15.6" customHeight="1">
      <c r="A14" s="77"/>
      <c r="B14" s="332" t="str">
        <f>"② 0.12*0.04*1.8m*7ea= "&amp;ROUND(0.12*0.04*1.8*7,3)&amp;"㎥"</f>
        <v>② 0.12*0.04*1.8m*7ea= 0.06㎥</v>
      </c>
      <c r="C14" s="65" t="s">
        <v>8</v>
      </c>
      <c r="D14" s="66">
        <v>0.06</v>
      </c>
      <c r="F14" s="78"/>
    </row>
    <row r="15" spans="1:12" s="63" customFormat="1" ht="15.6" customHeight="1">
      <c r="A15" s="77"/>
      <c r="B15" s="332" t="str">
        <f>"③ 0.10*0.04*0.9m*5ea= "&amp;ROUND(0.1*0.04*0.9*5,3)&amp;"㎥"</f>
        <v>③ 0.10*0.04*0.9m*5ea= 0.018㎥</v>
      </c>
      <c r="C15" s="65" t="s">
        <v>8</v>
      </c>
      <c r="D15" s="66">
        <v>1.7999999999999999E-2</v>
      </c>
      <c r="F15" s="106"/>
    </row>
    <row r="16" spans="1:12" s="63" customFormat="1" ht="15.6" customHeight="1">
      <c r="A16" s="77"/>
      <c r="B16" s="332" t="str">
        <f>"④ 0.10*0.04*1.9m*4ea= "&amp;ROUND(0.1*0.04*1.9*4,3)&amp;"㎥"</f>
        <v>④ 0.10*0.04*1.9m*4ea= 0.03㎥</v>
      </c>
      <c r="C16" s="65" t="s">
        <v>8</v>
      </c>
      <c r="D16" s="66">
        <v>0.03</v>
      </c>
    </row>
    <row r="17" spans="1:6" s="63" customFormat="1" ht="15.6" customHeight="1">
      <c r="A17" s="77"/>
      <c r="B17" s="332" t="str">
        <f>"⑤ 0.10*0.04*1.24m*2ea= "&amp;ROUND(0.1*0.04*1.24*2,3)&amp;"㎥"</f>
        <v>⑤ 0.10*0.04*1.24m*2ea= 0.01㎥</v>
      </c>
      <c r="C17" s="65" t="s">
        <v>8</v>
      </c>
      <c r="D17" s="66">
        <v>0.01</v>
      </c>
    </row>
    <row r="18" spans="1:6" s="63" customFormat="1" ht="15.6" customHeight="1">
      <c r="A18" s="77"/>
      <c r="B18" s="332" t="str">
        <f>"⑥ 0.10*0.04*1.48m*1ea= "&amp;ROUND(0.1*0.04*1.48*1,3)&amp;"㎥"</f>
        <v>⑥ 0.10*0.04*1.48m*1ea= 0.006㎥</v>
      </c>
      <c r="C18" s="65" t="s">
        <v>8</v>
      </c>
      <c r="D18" s="66">
        <v>6.0000000000000001E-3</v>
      </c>
    </row>
    <row r="19" spans="1:6" s="63" customFormat="1" ht="15.6" customHeight="1">
      <c r="A19" s="77"/>
      <c r="B19" s="332" t="str">
        <f>"⑦ 0.10*0.04*0.75m*4ea= "&amp;ROUND(0.1*0.04*0.75*4,3)&amp;"㎥"</f>
        <v>⑦ 0.10*0.04*0.75m*4ea= 0.012㎥</v>
      </c>
      <c r="C19" s="65" t="s">
        <v>8</v>
      </c>
      <c r="D19" s="66">
        <v>1.2E-2</v>
      </c>
      <c r="F19" s="78"/>
    </row>
    <row r="20" spans="1:6" s="63" customFormat="1" ht="15.6" customHeight="1">
      <c r="A20" s="77"/>
      <c r="B20" s="332" t="s">
        <v>613</v>
      </c>
      <c r="C20" s="65" t="s">
        <v>8</v>
      </c>
      <c r="D20" s="285">
        <f>SUM(D13:D19)</f>
        <v>0.19400000000000001</v>
      </c>
      <c r="F20" s="111"/>
    </row>
    <row r="21" spans="1:6" s="63" customFormat="1" ht="15.6" customHeight="1">
      <c r="A21" s="340"/>
      <c r="B21" s="342"/>
      <c r="C21" s="301"/>
      <c r="D21" s="70"/>
      <c r="F21" s="111"/>
    </row>
    <row r="22" spans="1:6" s="63" customFormat="1" ht="15.6" customHeight="1">
      <c r="A22" s="340" t="s">
        <v>615</v>
      </c>
      <c r="B22" s="332" t="str">
        <f>"0.5*0.5*0.45*4ea = "&amp;ROUND(0.5*0.5*0.45*4,3)&amp;"㎥"</f>
        <v>0.5*0.5*0.45*4ea = 0.45㎥</v>
      </c>
      <c r="C22" s="65" t="s">
        <v>616</v>
      </c>
      <c r="D22" s="66">
        <v>0.45</v>
      </c>
      <c r="F22" s="111"/>
    </row>
    <row r="23" spans="1:6" s="63" customFormat="1" ht="15.6" customHeight="1">
      <c r="A23" s="340" t="s">
        <v>617</v>
      </c>
      <c r="B23" s="342"/>
      <c r="C23" s="301"/>
      <c r="D23" s="70"/>
      <c r="F23" s="111"/>
    </row>
    <row r="24" spans="1:6" s="63" customFormat="1" ht="15.6" customHeight="1">
      <c r="A24" s="341"/>
      <c r="B24" s="342"/>
      <c r="C24" s="301"/>
      <c r="D24" s="70"/>
      <c r="F24" s="111"/>
    </row>
    <row r="25" spans="1:6" s="63" customFormat="1" ht="15.6" customHeight="1">
      <c r="A25" s="340" t="s">
        <v>618</v>
      </c>
      <c r="B25" s="332" t="str">
        <f>"{(0.5*0.5*0.45*4ea) - (0.3m*0.3m*0.3m)}*4ea= "&amp;ROUND((0.5*0.5*0.45-0.3*0.3*0.3)*4,3)&amp;"㎥"</f>
        <v>{(0.5*0.5*0.45*4ea) - (0.3m*0.3m*0.3m)}*4ea= 0.342㎥</v>
      </c>
      <c r="C25" s="65" t="s">
        <v>616</v>
      </c>
      <c r="D25" s="66">
        <v>0.34200000000000003</v>
      </c>
      <c r="F25" s="111"/>
    </row>
    <row r="26" spans="1:6" s="63" customFormat="1" ht="15.6" customHeight="1">
      <c r="A26" s="340" t="s">
        <v>619</v>
      </c>
      <c r="B26" s="342"/>
      <c r="C26" s="301"/>
      <c r="D26" s="70"/>
      <c r="F26" s="111"/>
    </row>
    <row r="27" spans="1:6" s="63" customFormat="1" ht="15.6" customHeight="1">
      <c r="A27" s="80"/>
      <c r="B27" s="334"/>
      <c r="C27" s="65"/>
      <c r="D27" s="73"/>
    </row>
    <row r="28" spans="1:6" s="63" customFormat="1" ht="15.6" customHeight="1">
      <c r="A28" s="340" t="s">
        <v>620</v>
      </c>
      <c r="B28" s="142" t="s">
        <v>621</v>
      </c>
      <c r="C28" s="65" t="s">
        <v>616</v>
      </c>
      <c r="D28" s="66">
        <f>D22-D25</f>
        <v>0.10799999999999998</v>
      </c>
    </row>
    <row r="29" spans="1:6" s="63" customFormat="1" ht="15.6" customHeight="1">
      <c r="A29" s="340" t="s">
        <v>619</v>
      </c>
      <c r="B29" s="342"/>
      <c r="C29" s="301"/>
      <c r="D29" s="70"/>
    </row>
    <row r="30" spans="1:6" s="63" customFormat="1" ht="15.6" customHeight="1">
      <c r="A30" s="80"/>
      <c r="B30" s="334"/>
      <c r="C30" s="65"/>
      <c r="D30" s="73"/>
    </row>
    <row r="31" spans="1:6" s="63" customFormat="1" ht="15.6" customHeight="1">
      <c r="A31" s="340" t="s">
        <v>622</v>
      </c>
      <c r="B31" s="332" t="str">
        <f>"0.3*0.3*4면*4ea = "&amp;ROUND(0.3*0.3*4*4,3)&amp;"㎥"</f>
        <v>0.3*0.3*4면*4ea = 1.44㎥</v>
      </c>
      <c r="C31" s="65" t="s">
        <v>616</v>
      </c>
      <c r="D31" s="66">
        <v>1.44</v>
      </c>
      <c r="E31" s="83"/>
      <c r="F31" s="83"/>
    </row>
    <row r="32" spans="1:6" ht="15.6" customHeight="1">
      <c r="A32" s="341"/>
      <c r="B32" s="342"/>
      <c r="C32" s="301"/>
      <c r="D32" s="70"/>
    </row>
    <row r="33" spans="1:4" ht="15.6" customHeight="1">
      <c r="A33" s="340" t="s">
        <v>623</v>
      </c>
      <c r="B33" s="332" t="str">
        <f>"0.3*0.3*0.3*4ea = "&amp;ROUND(0.3*0.3*0.3*4,3)&amp;"㎥"</f>
        <v>0.3*0.3*0.3*4ea = 0.108㎥</v>
      </c>
      <c r="C33" s="65" t="s">
        <v>616</v>
      </c>
      <c r="D33" s="66">
        <v>0.108</v>
      </c>
    </row>
    <row r="34" spans="1:4" ht="15.6" customHeight="1">
      <c r="A34" s="189"/>
      <c r="B34" s="375"/>
      <c r="C34" s="376"/>
      <c r="D34" s="377"/>
    </row>
    <row r="35" spans="1:4" ht="15.6" customHeight="1">
      <c r="A35" s="340" t="s">
        <v>624</v>
      </c>
      <c r="B35" s="332" t="str">
        <f>"① 1.8m * (0.10+0.04)m * 2면 * 8ea = "&amp;ROUND(1.8*(0.1+0.04)*2*8,1)&amp;"㎥"</f>
        <v>① 1.8m * (0.10+0.04)m * 2면 * 8ea = 4㎥</v>
      </c>
      <c r="C35" s="65" t="s">
        <v>625</v>
      </c>
      <c r="D35" s="79">
        <v>4</v>
      </c>
    </row>
    <row r="36" spans="1:4" ht="15.6" customHeight="1">
      <c r="A36" s="341" t="s">
        <v>626</v>
      </c>
      <c r="B36" s="332" t="str">
        <f>"② 1.8m * (0.12+0.04)m * 2면 * 7ea = "&amp;ROUND(1.8*(0.12+0.04)*2*7,1)&amp;"㎥"</f>
        <v>② 1.8m * (0.12+0.04)m * 2면 * 7ea = 4㎥</v>
      </c>
      <c r="C36" s="65" t="s">
        <v>625</v>
      </c>
      <c r="D36" s="70">
        <v>4</v>
      </c>
    </row>
    <row r="37" spans="1:4" ht="15.6" customHeight="1">
      <c r="A37" s="341"/>
      <c r="B37" s="332" t="str">
        <f>"③ 0.9m * (0.10+0.04)m * 2면 * 5ea = "&amp;ROUND(0.9*(0.1+0.04)*2*5,1)&amp;"㎥"</f>
        <v>③ 0.9m * (0.10+0.04)m * 2면 * 5ea = 1.3㎥</v>
      </c>
      <c r="C37" s="65" t="s">
        <v>102</v>
      </c>
      <c r="D37" s="70">
        <v>1.3</v>
      </c>
    </row>
    <row r="38" spans="1:4" ht="15.6" customHeight="1">
      <c r="A38" s="340"/>
      <c r="B38" s="332" t="str">
        <f>"④ 1.9m * (0.10+0.04)m * 2면 * 4ea = "&amp;ROUND(1.9*(0.1+0.04)*2*4,1)&amp;"㎥"</f>
        <v>④ 1.9m * (0.10+0.04)m * 2면 * 4ea = 2.1㎥</v>
      </c>
      <c r="C38" s="65" t="s">
        <v>625</v>
      </c>
      <c r="D38" s="70">
        <v>2.1</v>
      </c>
    </row>
    <row r="39" spans="1:4" ht="15.6" customHeight="1">
      <c r="A39" s="378"/>
      <c r="B39" s="344" t="str">
        <f>"⑤ 1.24m * (0.10+0.04)m * 2면 * 2ea = "&amp;ROUND(1.24*(0.1+0.04)*2*2,1)&amp;"㎥"</f>
        <v>⑤ 1.24m * (0.10+0.04)m * 2면 * 2ea = 0.7㎥</v>
      </c>
      <c r="C39" s="109" t="s">
        <v>625</v>
      </c>
      <c r="D39" s="114">
        <v>0.7</v>
      </c>
    </row>
    <row r="40" spans="1:4" ht="15.6" customHeight="1">
      <c r="A40" s="341"/>
      <c r="B40" s="332" t="str">
        <f>"⑥ 1.48m * (0.10+0.04)m * 2면 * 1ea  = "&amp;ROUND(1.48*(0.1+0.04)*2*1,1)&amp;"㎥"</f>
        <v>⑥ 1.48m * (0.10+0.04)m * 2면 * 1ea  = 0.4㎥</v>
      </c>
      <c r="C40" s="65" t="s">
        <v>625</v>
      </c>
      <c r="D40" s="70">
        <v>0.4</v>
      </c>
    </row>
    <row r="41" spans="1:4" ht="15.6" customHeight="1">
      <c r="A41" s="341"/>
      <c r="B41" s="332" t="str">
        <f>"⑦ 0.75m * (0.10+0.04)m * 2면 * 4ea  = "&amp;ROUND(0.75*(0.1+0.04)*2*4,1)&amp;"㎥"</f>
        <v>⑦ 0.75m * (0.10+0.04)m * 2면 * 4ea  = 0.8㎥</v>
      </c>
      <c r="C41" s="65" t="s">
        <v>625</v>
      </c>
      <c r="D41" s="70">
        <v>0.8</v>
      </c>
    </row>
    <row r="42" spans="1:4" ht="15.6" customHeight="1">
      <c r="A42" s="77"/>
      <c r="B42" s="332" t="s">
        <v>627</v>
      </c>
      <c r="C42" s="65" t="s">
        <v>625</v>
      </c>
      <c r="D42" s="365">
        <f>SUM(D35:D41)</f>
        <v>13.3</v>
      </c>
    </row>
    <row r="43" spans="1:4" ht="15.6" customHeight="1">
      <c r="A43" s="77"/>
      <c r="B43" s="339"/>
      <c r="C43" s="81"/>
      <c r="D43" s="82"/>
    </row>
    <row r="44" spans="1:4" ht="15.6" customHeight="1">
      <c r="A44" s="77" t="s">
        <v>628</v>
      </c>
      <c r="B44" s="339"/>
      <c r="C44" s="81" t="s">
        <v>629</v>
      </c>
      <c r="D44" s="193">
        <f>ROUND(D20*600+D33*2300,2)</f>
        <v>364.8</v>
      </c>
    </row>
    <row r="45" spans="1:4" ht="15.6" customHeight="1">
      <c r="A45" s="80" t="s">
        <v>630</v>
      </c>
      <c r="B45" s="332" t="str">
        <f>"0.194㎥ * 600kg/㎥  = "&amp;ROUND(D20*900,3)&amp;"kg"</f>
        <v>0.194㎥ * 600kg/㎥  = 174.6kg</v>
      </c>
      <c r="C45" s="81"/>
      <c r="D45" s="138"/>
    </row>
    <row r="46" spans="1:4" ht="15.6" customHeight="1">
      <c r="A46" s="379" t="s">
        <v>631</v>
      </c>
      <c r="B46" s="380" t="str">
        <f>"0.108㎥ * 2300kg/㎥  = "&amp;ROUND(D28*2300,3)&amp;"kg"</f>
        <v>0.108㎥ * 2300kg/㎥  = 248.4kg</v>
      </c>
      <c r="C46" s="122"/>
      <c r="D46" s="381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7030A0"/>
  </sheetPr>
  <dimension ref="A1:F38"/>
  <sheetViews>
    <sheetView view="pageBreakPreview" zoomScaleNormal="100" zoomScaleSheetLayoutView="100" workbookViewId="0">
      <selection activeCell="B17" sqref="B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6" width="8.21875" style="83" bestFit="1" customWidth="1"/>
    <col min="7" max="16384" width="8" style="83"/>
  </cols>
  <sheetData>
    <row r="1" spans="1:6" s="54" customFormat="1" ht="18.95" customHeight="1">
      <c r="A1" s="293" t="s">
        <v>598</v>
      </c>
      <c r="B1" s="294" t="s">
        <v>632</v>
      </c>
      <c r="C1" s="294" t="s">
        <v>599</v>
      </c>
      <c r="D1" s="295" t="s">
        <v>600</v>
      </c>
    </row>
    <row r="2" spans="1:6" s="59" customFormat="1" ht="20.45" customHeight="1">
      <c r="A2" s="296" t="s">
        <v>644</v>
      </c>
      <c r="B2" s="127"/>
      <c r="C2" s="128"/>
      <c r="D2" s="129" t="s">
        <v>602</v>
      </c>
      <c r="E2" s="94"/>
      <c r="F2" s="94"/>
    </row>
    <row r="3" spans="1:6" s="63" customFormat="1" ht="18.75" customHeight="1">
      <c r="A3" s="337"/>
      <c r="B3" s="338"/>
      <c r="C3" s="132"/>
      <c r="D3" s="133"/>
      <c r="E3" s="97"/>
      <c r="F3" s="97"/>
    </row>
    <row r="4" spans="1:6" s="63" customFormat="1" ht="18.75" customHeight="1">
      <c r="A4" s="74" t="s">
        <v>645</v>
      </c>
      <c r="B4" s="332" t="str">
        <f>"철거 : (0.5m*0.5m*0.45m - 0.3m*0.3m*0.3m) = "&amp;ROUND((0.5*0.5*0.45)-(0.3*0.3*0.3),3)&amp;"㎥"</f>
        <v>철거 : (0.5m*0.5m*0.45m - 0.3m*0.3m*0.3m) = 0.086㎥</v>
      </c>
      <c r="C4" s="65" t="s">
        <v>616</v>
      </c>
      <c r="D4" s="66">
        <v>8.5999999999999993E-2</v>
      </c>
      <c r="E4" s="97"/>
      <c r="F4" s="97"/>
    </row>
    <row r="5" spans="1:6" s="63" customFormat="1" ht="18.75" customHeight="1">
      <c r="A5" s="77"/>
      <c r="B5" s="332" t="str">
        <f>"재설치 : 0.5m*0.5m*0.45m = "&amp;ROUND(0.5*0.5*0.45,3)&amp;"㎥"</f>
        <v>재설치 : 0.5m*0.5m*0.45m = 0.113㎥</v>
      </c>
      <c r="C5" s="65" t="s">
        <v>616</v>
      </c>
      <c r="D5" s="66">
        <v>0.113</v>
      </c>
      <c r="F5" s="78"/>
    </row>
    <row r="6" spans="1:6" s="63" customFormat="1" ht="18.75" customHeight="1">
      <c r="A6" s="340"/>
      <c r="B6" s="387" t="s">
        <v>613</v>
      </c>
      <c r="C6" s="199" t="s">
        <v>616</v>
      </c>
      <c r="D6" s="285">
        <f>D4+D5</f>
        <v>0.19900000000000001</v>
      </c>
      <c r="E6" s="97"/>
      <c r="F6" s="97"/>
    </row>
    <row r="7" spans="1:6" s="63" customFormat="1" ht="18.75" customHeight="1">
      <c r="A7" s="74"/>
      <c r="B7" s="332"/>
      <c r="C7" s="65"/>
      <c r="D7" s="66"/>
      <c r="E7" s="97"/>
      <c r="F7" s="97"/>
    </row>
    <row r="8" spans="1:6" s="63" customFormat="1" ht="18.75" customHeight="1">
      <c r="A8" s="74" t="s">
        <v>646</v>
      </c>
      <c r="B8" s="332" t="str">
        <f>"철거 : (0.5m*0.5m*0.45m - 0.3m*0.3m*0.3m) = "&amp;ROUND((0.5*0.5*0.45)-(0.3*0.3*0.3),3)&amp;"㎥"</f>
        <v>철거 : (0.5m*0.5m*0.45m - 0.3m*0.3m*0.3m) = 0.086㎥</v>
      </c>
      <c r="C8" s="65" t="s">
        <v>616</v>
      </c>
      <c r="D8" s="66">
        <v>8.5999999999999993E-2</v>
      </c>
    </row>
    <row r="9" spans="1:6" s="63" customFormat="1" ht="18.75" customHeight="1">
      <c r="A9" s="80"/>
      <c r="B9" s="332" t="str">
        <f>"재설치 : 0.3m*0.3m*0.3m = "&amp;ROUND(0.3*0.3*0.3,3)&amp;"㎥"</f>
        <v>재설치 : 0.3m*0.3m*0.3m = 0.027㎥</v>
      </c>
      <c r="C9" s="65" t="s">
        <v>616</v>
      </c>
      <c r="D9" s="66">
        <v>2.7E-2</v>
      </c>
      <c r="F9" s="106"/>
    </row>
    <row r="10" spans="1:6" s="63" customFormat="1" ht="18.75" customHeight="1">
      <c r="A10" s="80"/>
      <c r="B10" s="387" t="s">
        <v>613</v>
      </c>
      <c r="C10" s="199" t="s">
        <v>639</v>
      </c>
      <c r="D10" s="285">
        <f>D8+D9</f>
        <v>0.11299999999999999</v>
      </c>
    </row>
    <row r="11" spans="1:6" s="63" customFormat="1" ht="18.75" customHeight="1">
      <c r="A11" s="77"/>
      <c r="B11" s="332"/>
      <c r="C11" s="65"/>
      <c r="D11" s="66"/>
    </row>
    <row r="12" spans="1:6" s="63" customFormat="1" ht="18.75" customHeight="1">
      <c r="A12" s="74" t="s">
        <v>647</v>
      </c>
      <c r="B12" s="332" t="str">
        <f>"재설치 터파기 - 재설치 되메우기 = "&amp;ROUND(D5-D9,3)&amp;"㎥"</f>
        <v>재설치 터파기 - 재설치 되메우기 = 0.086㎥</v>
      </c>
      <c r="C12" s="65" t="s">
        <v>616</v>
      </c>
      <c r="D12" s="66">
        <v>8.5999999999999993E-2</v>
      </c>
      <c r="E12" s="97"/>
      <c r="F12" s="97"/>
    </row>
    <row r="13" spans="1:6" s="63" customFormat="1" ht="18.75" customHeight="1">
      <c r="A13" s="340"/>
      <c r="B13" s="342"/>
      <c r="C13" s="301"/>
      <c r="D13" s="70"/>
      <c r="E13" s="97"/>
      <c r="F13" s="97"/>
    </row>
    <row r="14" spans="1:6" s="63" customFormat="1" ht="18.75" customHeight="1">
      <c r="A14" s="353" t="s">
        <v>648</v>
      </c>
      <c r="B14" s="343" t="s">
        <v>649</v>
      </c>
      <c r="C14" s="187" t="s">
        <v>602</v>
      </c>
      <c r="D14" s="290">
        <v>1</v>
      </c>
      <c r="E14" s="97"/>
      <c r="F14" s="97"/>
    </row>
    <row r="15" spans="1:6" s="63" customFormat="1" ht="18.75" customHeight="1">
      <c r="A15" s="378"/>
      <c r="B15" s="344"/>
      <c r="C15" s="109"/>
      <c r="D15" s="388"/>
      <c r="E15" s="97"/>
      <c r="F15" s="97"/>
    </row>
    <row r="16" spans="1:6" s="63" customFormat="1" ht="18.75" customHeight="1">
      <c r="A16" s="340"/>
      <c r="B16" s="342"/>
      <c r="C16" s="65"/>
      <c r="D16" s="66"/>
      <c r="E16" s="97"/>
      <c r="F16" s="97"/>
    </row>
    <row r="17" spans="1:6" s="63" customFormat="1" ht="18.75" customHeight="1">
      <c r="A17" s="74"/>
      <c r="B17" s="332"/>
      <c r="C17" s="65"/>
      <c r="D17" s="66"/>
      <c r="E17" s="97"/>
      <c r="F17" s="97"/>
    </row>
    <row r="18" spans="1:6" s="63" customFormat="1" ht="18.75" customHeight="1">
      <c r="A18" s="77"/>
      <c r="B18" s="334"/>
      <c r="C18" s="65"/>
      <c r="D18" s="73"/>
    </row>
    <row r="19" spans="1:6" s="63" customFormat="1" ht="18.75" customHeight="1">
      <c r="A19" s="77"/>
      <c r="B19" s="334"/>
      <c r="C19" s="65"/>
      <c r="D19" s="66"/>
      <c r="F19" s="78"/>
    </row>
    <row r="20" spans="1:6" s="63" customFormat="1" ht="18.75" customHeight="1">
      <c r="A20" s="77"/>
      <c r="B20" s="334"/>
      <c r="C20" s="65"/>
      <c r="D20" s="73"/>
      <c r="F20" s="111"/>
    </row>
    <row r="21" spans="1:6" s="63" customFormat="1" ht="18.75" customHeight="1">
      <c r="A21" s="77"/>
      <c r="B21" s="334"/>
      <c r="C21" s="81"/>
      <c r="D21" s="193"/>
      <c r="F21" s="111"/>
    </row>
    <row r="22" spans="1:6" s="63" customFormat="1" ht="18.75" customHeight="1">
      <c r="A22" s="77"/>
      <c r="B22" s="332"/>
      <c r="C22" s="65"/>
      <c r="D22" s="73"/>
      <c r="F22" s="111"/>
    </row>
    <row r="23" spans="1:6" s="63" customFormat="1" ht="18.75" customHeight="1">
      <c r="A23" s="77"/>
      <c r="B23" s="332"/>
      <c r="C23" s="65"/>
      <c r="D23" s="73"/>
      <c r="F23" s="111"/>
    </row>
    <row r="24" spans="1:6" s="63" customFormat="1" ht="18.75" customHeight="1">
      <c r="A24" s="84"/>
      <c r="B24" s="332"/>
      <c r="C24" s="65"/>
      <c r="D24" s="73"/>
      <c r="F24" s="111"/>
    </row>
    <row r="25" spans="1:6" s="63" customFormat="1" ht="18.75" customHeight="1">
      <c r="A25" s="84"/>
      <c r="B25" s="332"/>
      <c r="C25" s="65"/>
      <c r="D25" s="73"/>
      <c r="F25" s="111"/>
    </row>
    <row r="26" spans="1:6" s="63" customFormat="1" ht="18.75" customHeight="1">
      <c r="A26" s="77"/>
      <c r="B26" s="334"/>
      <c r="C26" s="65"/>
      <c r="D26" s="73"/>
      <c r="F26" s="111"/>
    </row>
    <row r="27" spans="1:6" s="63" customFormat="1" ht="18.95" customHeight="1">
      <c r="A27" s="77"/>
      <c r="B27" s="334"/>
      <c r="C27" s="65"/>
      <c r="D27" s="73"/>
    </row>
    <row r="28" spans="1:6" s="63" customFormat="1" ht="18.95" customHeight="1">
      <c r="A28" s="383"/>
      <c r="B28" s="384"/>
      <c r="C28" s="385"/>
      <c r="D28" s="324"/>
    </row>
    <row r="29" spans="1:6" s="63" customFormat="1" ht="18.95" customHeight="1">
      <c r="A29" s="77"/>
      <c r="B29" s="339"/>
      <c r="C29" s="65"/>
      <c r="D29" s="136"/>
    </row>
    <row r="30" spans="1:6" s="63" customFormat="1" ht="18.95" customHeight="1">
      <c r="A30" s="77"/>
      <c r="B30" s="332"/>
      <c r="C30" s="65"/>
      <c r="D30" s="73"/>
    </row>
    <row r="31" spans="1:6" s="63" customFormat="1" ht="18.95" customHeight="1">
      <c r="A31" s="77"/>
      <c r="B31" s="339"/>
      <c r="C31" s="65"/>
      <c r="D31" s="73"/>
      <c r="E31" s="83"/>
      <c r="F31" s="83"/>
    </row>
    <row r="32" spans="1:6" ht="18.75" customHeight="1">
      <c r="A32" s="77"/>
      <c r="B32" s="332"/>
      <c r="C32" s="81"/>
      <c r="D32" s="73"/>
    </row>
    <row r="33" spans="1:4" ht="18.75" customHeight="1">
      <c r="A33" s="77"/>
      <c r="B33" s="332"/>
      <c r="C33" s="81"/>
      <c r="D33" s="138"/>
    </row>
    <row r="34" spans="1:4" ht="18.75" customHeight="1">
      <c r="A34" s="77"/>
      <c r="B34" s="334"/>
      <c r="C34" s="81"/>
      <c r="D34" s="193"/>
    </row>
    <row r="35" spans="1:4" ht="18.75" customHeight="1">
      <c r="A35" s="77"/>
      <c r="B35" s="332"/>
      <c r="C35" s="81"/>
      <c r="D35" s="82"/>
    </row>
    <row r="36" spans="1:4" ht="18.75" customHeight="1">
      <c r="A36" s="84"/>
      <c r="B36" s="332"/>
      <c r="C36" s="81"/>
      <c r="D36" s="82"/>
    </row>
    <row r="37" spans="1:4" ht="18.75" customHeight="1">
      <c r="A37" s="84"/>
      <c r="B37" s="332"/>
      <c r="C37" s="81"/>
      <c r="D37" s="82"/>
    </row>
    <row r="38" spans="1:4" ht="18.75" customHeight="1">
      <c r="A38" s="230"/>
      <c r="B38" s="386"/>
      <c r="C38" s="86"/>
      <c r="D38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7030A0"/>
  </sheetPr>
  <dimension ref="A1:H40"/>
  <sheetViews>
    <sheetView view="pageBreakPreview" zoomScaleNormal="100" zoomScaleSheetLayoutView="100" workbookViewId="0">
      <selection activeCell="B17" sqref="B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8" s="54" customFormat="1" ht="18.95" customHeight="1">
      <c r="A1" s="293" t="s">
        <v>515</v>
      </c>
      <c r="B1" s="294" t="s">
        <v>516</v>
      </c>
      <c r="C1" s="294" t="s">
        <v>517</v>
      </c>
      <c r="D1" s="295" t="s">
        <v>518</v>
      </c>
    </row>
    <row r="2" spans="1:8" s="59" customFormat="1" ht="20.45" customHeight="1">
      <c r="A2" s="296" t="s">
        <v>586</v>
      </c>
      <c r="B2" s="127"/>
      <c r="C2" s="128"/>
      <c r="D2" s="129" t="s">
        <v>519</v>
      </c>
      <c r="F2" s="94"/>
      <c r="G2" s="94"/>
      <c r="H2" s="94"/>
    </row>
    <row r="3" spans="1:8" s="63" customFormat="1" ht="18.75" customHeight="1">
      <c r="A3" s="337"/>
      <c r="B3" s="338"/>
      <c r="C3" s="132"/>
      <c r="D3" s="133"/>
      <c r="F3" s="97"/>
      <c r="G3" s="97"/>
      <c r="H3" s="97"/>
    </row>
    <row r="4" spans="1:8" s="63" customFormat="1" ht="18.75" customHeight="1">
      <c r="A4" s="340" t="s">
        <v>520</v>
      </c>
      <c r="B4" s="332" t="str">
        <f>"0.4m*0.4m*0.5m = "&amp;ROUND(0.4*0.4*0.5,3)&amp;"㎥"</f>
        <v>0.4m*0.4m*0.5m = 0.08㎥</v>
      </c>
      <c r="C4" s="65" t="s">
        <v>521</v>
      </c>
      <c r="D4" s="66">
        <v>0.08</v>
      </c>
      <c r="F4" s="331"/>
      <c r="G4" s="97"/>
      <c r="H4" s="97"/>
    </row>
    <row r="5" spans="1:8" s="63" customFormat="1" ht="18.75" customHeight="1">
      <c r="A5" s="341"/>
      <c r="B5" s="342"/>
      <c r="C5" s="301"/>
      <c r="D5" s="70"/>
      <c r="F5" s="101"/>
      <c r="G5" s="97"/>
      <c r="H5" s="97"/>
    </row>
    <row r="6" spans="1:8" s="63" customFormat="1" ht="18.75" customHeight="1">
      <c r="A6" s="340" t="s">
        <v>522</v>
      </c>
      <c r="B6" s="332" t="str">
        <f>"(0.4m*0.4m*0.5m) - (0.3m*0.3m*0.3m) = "&amp;ROUND(0.4*0.4*0.5-0.3*0.3*0.3,3)&amp;"㎥"</f>
        <v>(0.4m*0.4m*0.5m) - (0.3m*0.3m*0.3m) = 0.053㎥</v>
      </c>
      <c r="C6" s="65" t="s">
        <v>521</v>
      </c>
      <c r="D6" s="66">
        <v>5.2999999999999999E-2</v>
      </c>
      <c r="F6" s="331"/>
      <c r="G6" s="97"/>
      <c r="H6" s="97"/>
    </row>
    <row r="7" spans="1:8" s="63" customFormat="1" ht="18.75" customHeight="1">
      <c r="A7" s="340"/>
      <c r="B7" s="342"/>
      <c r="C7" s="301"/>
      <c r="D7" s="70"/>
      <c r="F7" s="101"/>
      <c r="G7" s="97"/>
      <c r="H7" s="97"/>
    </row>
    <row r="8" spans="1:8" s="63" customFormat="1" ht="18.75" customHeight="1">
      <c r="A8" s="340" t="s">
        <v>523</v>
      </c>
      <c r="B8" s="332" t="s">
        <v>524</v>
      </c>
      <c r="C8" s="65" t="s">
        <v>521</v>
      </c>
      <c r="D8" s="66">
        <f>D4-D6</f>
        <v>2.7000000000000003E-2</v>
      </c>
      <c r="F8" s="331"/>
      <c r="G8" s="97"/>
      <c r="H8" s="97"/>
    </row>
    <row r="9" spans="1:8" s="63" customFormat="1" ht="18.75" customHeight="1">
      <c r="A9" s="341"/>
      <c r="B9" s="342"/>
      <c r="C9" s="301"/>
      <c r="D9" s="70"/>
      <c r="F9" s="101"/>
      <c r="G9" s="97"/>
      <c r="H9" s="97"/>
    </row>
    <row r="10" spans="1:8" s="63" customFormat="1" ht="18.75" customHeight="1">
      <c r="A10" s="74" t="s">
        <v>525</v>
      </c>
      <c r="B10" s="332" t="str">
        <f>"2인 20분 작업 : 20 / 480분 * 2인= "&amp;ROUND(20/480*2,3)&amp;"인"</f>
        <v>2인 20분 작업 : 20 / 480분 * 2인= 0.083인</v>
      </c>
      <c r="C10" s="65" t="s">
        <v>526</v>
      </c>
      <c r="D10" s="66">
        <v>8.3000000000000004E-2</v>
      </c>
      <c r="F10" s="101"/>
      <c r="G10" s="97"/>
      <c r="H10" s="97"/>
    </row>
    <row r="11" spans="1:8" s="63" customFormat="1" ht="18.75" customHeight="1">
      <c r="A11" s="345"/>
      <c r="B11" s="346"/>
      <c r="C11" s="347"/>
      <c r="D11" s="348"/>
      <c r="F11" s="78"/>
    </row>
    <row r="12" spans="1:8" s="63" customFormat="1" ht="18.95" customHeight="1">
      <c r="A12" s="296" t="s">
        <v>527</v>
      </c>
      <c r="B12" s="127"/>
      <c r="C12" s="128"/>
      <c r="D12" s="129" t="s">
        <v>528</v>
      </c>
    </row>
    <row r="13" spans="1:8" s="63" customFormat="1" ht="21.75" customHeight="1">
      <c r="A13" s="337"/>
      <c r="B13" s="338"/>
      <c r="C13" s="132"/>
      <c r="D13" s="133"/>
    </row>
    <row r="14" spans="1:8" s="63" customFormat="1" ht="18.95" customHeight="1">
      <c r="A14" s="74" t="s">
        <v>529</v>
      </c>
      <c r="B14" s="332" t="str">
        <f>"2*0.06*3.14*1.6m + 0.06*0.06*3.14 = "&amp;ROUND(2*0.06*3.14*1.6+0.06*0.06*3.14,2)&amp;"㎡"</f>
        <v>2*0.06*3.14*1.6m + 0.06*0.06*3.14 = 0.61㎡</v>
      </c>
      <c r="C14" s="65" t="s">
        <v>530</v>
      </c>
      <c r="D14" s="66">
        <v>0.61</v>
      </c>
    </row>
    <row r="15" spans="1:8" s="63" customFormat="1" ht="18.95" customHeight="1">
      <c r="A15" s="134" t="s">
        <v>531</v>
      </c>
      <c r="B15" s="332"/>
      <c r="C15" s="65"/>
      <c r="D15" s="66"/>
      <c r="E15" s="83"/>
      <c r="F15" s="83"/>
      <c r="G15" s="83"/>
      <c r="H15" s="83"/>
    </row>
    <row r="16" spans="1:8" ht="18.75" customHeight="1">
      <c r="A16" s="349"/>
      <c r="B16" s="350"/>
      <c r="C16" s="301"/>
      <c r="D16" s="70"/>
    </row>
    <row r="17" spans="1:8" ht="18.75" customHeight="1">
      <c r="A17" s="351" t="s">
        <v>532</v>
      </c>
      <c r="B17" s="352"/>
      <c r="C17" s="65" t="s">
        <v>530</v>
      </c>
      <c r="D17" s="171">
        <f>D14</f>
        <v>0.61</v>
      </c>
    </row>
    <row r="18" spans="1:8" ht="18.75" customHeight="1">
      <c r="A18" s="340" t="s">
        <v>533</v>
      </c>
      <c r="B18" s="342"/>
      <c r="C18" s="301"/>
      <c r="D18" s="70"/>
      <c r="F18" s="332"/>
    </row>
    <row r="19" spans="1:8" ht="18.75" customHeight="1">
      <c r="A19" s="355"/>
      <c r="B19" s="346"/>
      <c r="C19" s="356"/>
      <c r="D19" s="357"/>
      <c r="F19" s="331"/>
    </row>
    <row r="20" spans="1:8" s="63" customFormat="1" ht="18.75" customHeight="1">
      <c r="A20" s="296" t="s">
        <v>534</v>
      </c>
      <c r="B20" s="127"/>
      <c r="C20" s="128"/>
      <c r="D20" s="129" t="s">
        <v>535</v>
      </c>
      <c r="F20" s="104"/>
      <c r="H20" s="78"/>
    </row>
    <row r="21" spans="1:8" s="63" customFormat="1" ht="18.75" customHeight="1">
      <c r="A21" s="337"/>
      <c r="B21" s="338"/>
      <c r="C21" s="132"/>
      <c r="D21" s="133"/>
      <c r="F21" s="105"/>
      <c r="H21" s="106"/>
    </row>
    <row r="22" spans="1:8" s="63" customFormat="1" ht="18.75" customHeight="1">
      <c r="A22" s="340" t="s">
        <v>583</v>
      </c>
      <c r="B22" s="332" t="s">
        <v>536</v>
      </c>
      <c r="C22" s="65" t="s">
        <v>535</v>
      </c>
      <c r="D22" s="66">
        <v>1.05</v>
      </c>
    </row>
    <row r="23" spans="1:8" s="63" customFormat="1" ht="18.75" customHeight="1">
      <c r="A23" s="341"/>
      <c r="B23" s="342"/>
      <c r="C23" s="301"/>
      <c r="D23" s="70"/>
    </row>
    <row r="24" spans="1:8" s="63" customFormat="1" ht="18.75" customHeight="1">
      <c r="A24" s="170" t="s">
        <v>537</v>
      </c>
      <c r="B24" s="332" t="s">
        <v>584</v>
      </c>
      <c r="C24" s="153" t="s">
        <v>585</v>
      </c>
      <c r="D24" s="171">
        <v>4.1000000000000002E-2</v>
      </c>
    </row>
    <row r="25" spans="1:8" s="63" customFormat="1" ht="18.75" customHeight="1">
      <c r="A25" s="340"/>
      <c r="B25" s="342"/>
      <c r="C25" s="301"/>
      <c r="D25" s="70"/>
      <c r="H25" s="78"/>
    </row>
    <row r="26" spans="1:8" s="63" customFormat="1" ht="18.75" customHeight="1">
      <c r="A26" s="340" t="s">
        <v>650</v>
      </c>
      <c r="B26" s="332" t="s">
        <v>651</v>
      </c>
      <c r="C26" s="153" t="s">
        <v>652</v>
      </c>
      <c r="D26" s="390">
        <v>0.27</v>
      </c>
      <c r="F26" s="111"/>
      <c r="H26" s="111"/>
    </row>
    <row r="27" spans="1:8" ht="18.75" customHeight="1">
      <c r="A27" s="395" t="s">
        <v>658</v>
      </c>
      <c r="B27" s="343"/>
      <c r="C27" s="187" t="s">
        <v>653</v>
      </c>
      <c r="D27" s="392">
        <f>D26/1000</f>
        <v>2.7E-4</v>
      </c>
    </row>
    <row r="28" spans="1:8" ht="18.75" customHeight="1">
      <c r="A28" s="296" t="s">
        <v>538</v>
      </c>
      <c r="B28" s="127"/>
      <c r="C28" s="128"/>
      <c r="D28" s="129" t="s">
        <v>519</v>
      </c>
    </row>
    <row r="29" spans="1:8" s="63" customFormat="1" ht="18.95" customHeight="1">
      <c r="A29" s="337"/>
      <c r="B29" s="332" t="str">
        <f>"(0.013+0.006)*1.05(할증) = "&amp;ROUND((0.013+0.006)*1.05,3)&amp;"㎥"</f>
        <v>(0.013+0.006)*1.05(할증) = 0.02㎥</v>
      </c>
      <c r="C29" s="153" t="s">
        <v>521</v>
      </c>
      <c r="D29" s="359">
        <f>D30+D32</f>
        <v>1.9E-2</v>
      </c>
    </row>
    <row r="30" spans="1:8" ht="18.75" customHeight="1">
      <c r="A30" s="340" t="s">
        <v>539</v>
      </c>
      <c r="B30" s="332" t="str">
        <f>"1.2*0.09*0.04m*3ea = "&amp;ROUND(1.2*0.09*0.04*3,3)&amp;"㎥"</f>
        <v>1.2*0.09*0.04m*3ea = 0.013㎥</v>
      </c>
      <c r="C30" s="153" t="s">
        <v>367</v>
      </c>
      <c r="D30" s="66">
        <v>1.2999999999999999E-2</v>
      </c>
    </row>
    <row r="31" spans="1:8" ht="18.75" customHeight="1">
      <c r="A31" s="341" t="s">
        <v>540</v>
      </c>
      <c r="B31" s="342"/>
      <c r="C31" s="301"/>
      <c r="D31" s="70"/>
    </row>
    <row r="32" spans="1:8" ht="18.75" customHeight="1">
      <c r="A32" s="170" t="s">
        <v>541</v>
      </c>
      <c r="B32" s="332" t="str">
        <f>"0.9*0.04*0.04m*4ea = "&amp;ROUND(0.9*0.04*0.04*4,3)&amp;"㎥"</f>
        <v>0.9*0.04*0.04m*4ea = 0.006㎥</v>
      </c>
      <c r="C32" s="153" t="s">
        <v>521</v>
      </c>
      <c r="D32" s="171">
        <v>6.0000000000000001E-3</v>
      </c>
    </row>
    <row r="33" spans="1:8" ht="18.75" customHeight="1">
      <c r="A33" s="340" t="s">
        <v>542</v>
      </c>
      <c r="B33" s="342"/>
      <c r="C33" s="301"/>
      <c r="D33" s="70"/>
    </row>
    <row r="34" spans="1:8" s="63" customFormat="1" ht="18.95" customHeight="1">
      <c r="A34" s="351" t="s">
        <v>543</v>
      </c>
      <c r="B34" s="332" t="str">
        <f>"1.2*(0.09+0.04)m*2면*3ea = "&amp;ROUND(1.2*(0.09+0.04)*2*3,3)&amp;"㎥"</f>
        <v>1.2*(0.09+0.04)m*2면*3ea = 0.936㎥</v>
      </c>
      <c r="C34" s="153" t="s">
        <v>521</v>
      </c>
      <c r="D34" s="171">
        <f>0.936+0.576</f>
        <v>1.512</v>
      </c>
    </row>
    <row r="35" spans="1:8" s="63" customFormat="1" ht="18.95" customHeight="1">
      <c r="A35" s="353" t="s">
        <v>533</v>
      </c>
      <c r="B35" s="343" t="str">
        <f>"0.9*(0.04+0.04)m*2면*4ea = "&amp;ROUND(0.9*(0.04+0.04)*2*4,3)&amp;"㎥"</f>
        <v>0.9*(0.04+0.04)m*2면*4ea = 0.576㎥</v>
      </c>
      <c r="C35" s="354"/>
      <c r="D35" s="188"/>
      <c r="E35" s="83"/>
      <c r="F35" s="83"/>
      <c r="G35" s="83"/>
      <c r="H35" s="83"/>
    </row>
    <row r="36" spans="1:8" ht="18.75" customHeight="1">
      <c r="A36" s="360"/>
      <c r="B36" s="361"/>
      <c r="C36" s="362"/>
      <c r="D36" s="363"/>
    </row>
    <row r="37" spans="1:8" ht="18.75" customHeight="1">
      <c r="A37" s="353"/>
      <c r="B37" s="343"/>
      <c r="C37" s="187"/>
      <c r="D37" s="290"/>
    </row>
    <row r="38" spans="1:8" ht="18.75" customHeight="1">
      <c r="A38" s="77"/>
      <c r="B38" s="332"/>
      <c r="C38" s="301"/>
      <c r="D38" s="70"/>
    </row>
    <row r="39" spans="1:8" ht="18.75" customHeight="1">
      <c r="A39" s="340"/>
      <c r="B39" s="332"/>
      <c r="C39" s="65"/>
      <c r="D39" s="66"/>
    </row>
    <row r="40" spans="1:8" ht="20.45" customHeight="1">
      <c r="A40" s="223"/>
      <c r="B40" s="224"/>
      <c r="C40" s="225"/>
      <c r="D40" s="226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7030A0"/>
  </sheetPr>
  <dimension ref="A1:H37"/>
  <sheetViews>
    <sheetView view="pageBreakPreview" zoomScaleNormal="100" zoomScaleSheetLayoutView="100" workbookViewId="0">
      <selection activeCell="B17" sqref="B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6" width="8.21875" style="83" bestFit="1" customWidth="1"/>
    <col min="7" max="16384" width="8" style="83"/>
  </cols>
  <sheetData>
    <row r="1" spans="1:6" s="54" customFormat="1" ht="18.95" customHeight="1">
      <c r="A1" s="293" t="s">
        <v>348</v>
      </c>
      <c r="B1" s="294" t="s">
        <v>349</v>
      </c>
      <c r="C1" s="294" t="s">
        <v>351</v>
      </c>
      <c r="D1" s="295" t="s">
        <v>353</v>
      </c>
    </row>
    <row r="2" spans="1:6" s="59" customFormat="1" ht="20.45" customHeight="1">
      <c r="A2" s="296" t="s">
        <v>354</v>
      </c>
      <c r="B2" s="297"/>
      <c r="C2" s="298"/>
      <c r="D2" s="129" t="s">
        <v>355</v>
      </c>
    </row>
    <row r="3" spans="1:6" s="63" customFormat="1" ht="18.75" customHeight="1">
      <c r="A3" s="389" t="s">
        <v>654</v>
      </c>
      <c r="B3" s="300" t="s">
        <v>688</v>
      </c>
      <c r="C3" s="301"/>
      <c r="D3" s="70"/>
    </row>
    <row r="4" spans="1:6" s="63" customFormat="1" ht="18.75" customHeight="1">
      <c r="A4" s="299"/>
      <c r="B4" s="302"/>
      <c r="C4" s="303"/>
      <c r="D4" s="304"/>
    </row>
    <row r="5" spans="1:6" s="63" customFormat="1" ht="18.75" customHeight="1">
      <c r="A5" s="305" t="s">
        <v>356</v>
      </c>
      <c r="B5" s="306">
        <v>1</v>
      </c>
      <c r="C5" s="303" t="s">
        <v>355</v>
      </c>
      <c r="D5" s="307">
        <v>1</v>
      </c>
    </row>
    <row r="6" spans="1:6" s="63" customFormat="1" ht="18.75" customHeight="1">
      <c r="A6" s="305"/>
      <c r="B6" s="300"/>
      <c r="C6" s="308"/>
      <c r="D6" s="309"/>
    </row>
    <row r="7" spans="1:6" s="63" customFormat="1" ht="18.75" customHeight="1">
      <c r="A7" s="310" t="s">
        <v>357</v>
      </c>
      <c r="B7" s="311" t="str">
        <f>"1.0㎡ * 2면="&amp;ROUNDDOWN(1*2,1)&amp;"㎡"</f>
        <v>1.0㎡ * 2면=2㎡</v>
      </c>
      <c r="C7" s="312" t="s">
        <v>358</v>
      </c>
      <c r="D7" s="110">
        <v>2</v>
      </c>
    </row>
    <row r="8" spans="1:6" s="63" customFormat="1" ht="18.75" customHeight="1">
      <c r="A8" s="313" t="s">
        <v>359</v>
      </c>
      <c r="B8" s="314"/>
      <c r="C8" s="303"/>
      <c r="D8" s="73"/>
    </row>
    <row r="9" spans="1:6" s="63" customFormat="1" ht="18.75" customHeight="1">
      <c r="A9" s="315"/>
      <c r="B9" s="300"/>
      <c r="C9" s="308"/>
      <c r="D9" s="309"/>
    </row>
    <row r="10" spans="1:6" s="63" customFormat="1" ht="18.75" customHeight="1">
      <c r="A10" s="310" t="s">
        <v>360</v>
      </c>
      <c r="B10" s="311"/>
      <c r="C10" s="303" t="s">
        <v>358</v>
      </c>
      <c r="D10" s="307">
        <v>1.1000000000000001</v>
      </c>
    </row>
    <row r="11" spans="1:6" s="63" customFormat="1" ht="18.75" customHeight="1">
      <c r="A11" s="315"/>
      <c r="B11" s="300"/>
      <c r="C11" s="308"/>
      <c r="D11" s="309"/>
    </row>
    <row r="12" spans="1:6" s="63" customFormat="1" ht="18.75" customHeight="1">
      <c r="A12" s="316" t="s">
        <v>361</v>
      </c>
      <c r="B12" s="317"/>
      <c r="C12" s="303"/>
      <c r="D12" s="318"/>
    </row>
    <row r="13" spans="1:6" s="63" customFormat="1" ht="18.75" customHeight="1">
      <c r="A13" s="316" t="s">
        <v>362</v>
      </c>
      <c r="B13" s="319" t="str">
        <f>"1.1㎡ * 0.03 * 700kg/㎥ = "&amp;ROUND(1.1*0.03*700,0)&amp;"kg"</f>
        <v>1.1㎡ * 0.03 * 700kg/㎥ = 23kg</v>
      </c>
      <c r="C13" s="303" t="s">
        <v>363</v>
      </c>
      <c r="D13" s="318">
        <v>23</v>
      </c>
    </row>
    <row r="14" spans="1:6" s="63" customFormat="1" ht="18.75" customHeight="1">
      <c r="A14" s="310"/>
      <c r="B14" s="311"/>
      <c r="C14" s="312"/>
      <c r="D14" s="110"/>
    </row>
    <row r="15" spans="1:6" s="63" customFormat="1" ht="18.75" customHeight="1">
      <c r="A15" s="340"/>
      <c r="B15" s="319"/>
      <c r="C15" s="153"/>
      <c r="D15" s="390"/>
      <c r="F15" s="78"/>
    </row>
    <row r="16" spans="1:6" s="63" customFormat="1" ht="18.75" customHeight="1">
      <c r="A16" s="395"/>
      <c r="B16" s="358"/>
      <c r="C16" s="187"/>
      <c r="D16" s="391"/>
      <c r="F16" s="106"/>
    </row>
    <row r="17" spans="1:8" s="63" customFormat="1" ht="18.75" customHeight="1">
      <c r="A17" s="296" t="s">
        <v>364</v>
      </c>
      <c r="B17" s="297"/>
      <c r="C17" s="298"/>
      <c r="D17" s="129" t="s">
        <v>365</v>
      </c>
    </row>
    <row r="18" spans="1:8" s="63" customFormat="1" ht="18.75" customHeight="1">
      <c r="A18" s="299"/>
      <c r="B18" s="302"/>
      <c r="C18" s="303"/>
      <c r="D18" s="304"/>
    </row>
    <row r="19" spans="1:8" s="63" customFormat="1" ht="18.75" customHeight="1">
      <c r="A19" s="305" t="s">
        <v>366</v>
      </c>
      <c r="B19" s="319" t="str">
        <f>"가로재(난간) : 1.4 m * 0.026m * 0.09m * 2줄 = "&amp;ROUND(1.4*0.026*0.09*2,3)&amp;"㎥"</f>
        <v>가로재(난간) : 1.4 m * 0.026m * 0.09m * 2줄 = 0.007㎥</v>
      </c>
      <c r="C19" s="303" t="s">
        <v>367</v>
      </c>
      <c r="D19" s="307">
        <v>7.0000000000000001E-3</v>
      </c>
      <c r="F19" s="78"/>
    </row>
    <row r="20" spans="1:8" s="63" customFormat="1" ht="18.75" customHeight="1">
      <c r="A20" s="305"/>
      <c r="B20" s="300"/>
      <c r="C20" s="308"/>
      <c r="D20" s="309"/>
      <c r="F20" s="111"/>
    </row>
    <row r="21" spans="1:8" s="63" customFormat="1" ht="18.75" customHeight="1">
      <c r="A21" s="310" t="s">
        <v>357</v>
      </c>
      <c r="B21" s="311" t="str">
        <f>"1.4m * (0.026m + 0.09m) * 2면 * 2줄="&amp;ROUND(1.4*(0.026+0.09)*2*2,2)&amp;"㎡"</f>
        <v>1.4m * (0.026m + 0.09m) * 2면 * 2줄=0.65㎡</v>
      </c>
      <c r="C21" s="312" t="s">
        <v>358</v>
      </c>
      <c r="D21" s="110">
        <v>0.65</v>
      </c>
      <c r="F21" s="111"/>
    </row>
    <row r="22" spans="1:8" s="63" customFormat="1" ht="18.75" customHeight="1">
      <c r="A22" s="313" t="s">
        <v>359</v>
      </c>
      <c r="B22" s="314"/>
      <c r="C22" s="303"/>
      <c r="D22" s="73"/>
      <c r="F22" s="111"/>
    </row>
    <row r="23" spans="1:8" s="63" customFormat="1" ht="18.75" customHeight="1">
      <c r="A23" s="315"/>
      <c r="B23" s="300"/>
      <c r="C23" s="308"/>
      <c r="D23" s="309"/>
      <c r="F23" s="111"/>
    </row>
    <row r="24" spans="1:8" s="63" customFormat="1" ht="18.75" customHeight="1">
      <c r="A24" s="316" t="s">
        <v>368</v>
      </c>
      <c r="B24" s="317" t="s">
        <v>369</v>
      </c>
      <c r="C24" s="303" t="s">
        <v>370</v>
      </c>
      <c r="D24" s="320">
        <v>4</v>
      </c>
      <c r="F24" s="111"/>
    </row>
    <row r="25" spans="1:8" s="63" customFormat="1" ht="18.75" customHeight="1">
      <c r="A25" s="313" t="s">
        <v>371</v>
      </c>
      <c r="B25" s="319"/>
      <c r="C25" s="303"/>
      <c r="D25" s="318"/>
      <c r="F25" s="111"/>
    </row>
    <row r="26" spans="1:8" s="63" customFormat="1" ht="18.75" customHeight="1">
      <c r="A26" s="316"/>
      <c r="B26" s="314"/>
      <c r="C26" s="303"/>
      <c r="D26" s="73"/>
      <c r="F26" s="111"/>
    </row>
    <row r="27" spans="1:8" s="63" customFormat="1" ht="18.95" customHeight="1">
      <c r="A27" s="316" t="s">
        <v>372</v>
      </c>
      <c r="B27" s="311" t="str">
        <f>"(1.4m * 0.09m) * 2줄 * 1.1(할증)="&amp;ROUND(1.4*0.09*2*1.1,2)&amp;"㎡"</f>
        <v>(1.4m * 0.09m) * 2줄 * 1.1(할증)=0.28㎡</v>
      </c>
      <c r="C27" s="312" t="s">
        <v>102</v>
      </c>
      <c r="D27" s="73">
        <v>0.28000000000000003</v>
      </c>
      <c r="F27" s="311" t="str">
        <f>"(1.4m * 0.026m * 0.09m) * 2줄 / 0.00334 * 1.1(할증)="&amp;ROUND(1.4*0.026*0.09*2/0.00334*1.1,2)&amp;"재"</f>
        <v>(1.4m * 0.026m * 0.09m) * 2줄 / 0.00334 * 1.1(할증)=2.16재</v>
      </c>
      <c r="G27" s="303" t="s">
        <v>115</v>
      </c>
      <c r="H27" s="73">
        <v>2.16</v>
      </c>
    </row>
    <row r="28" spans="1:8" s="63" customFormat="1" ht="18.95" customHeight="1">
      <c r="A28" s="321"/>
      <c r="B28" s="322"/>
      <c r="C28" s="323"/>
      <c r="D28" s="324"/>
    </row>
    <row r="29" spans="1:8" s="63" customFormat="1" ht="18.95" customHeight="1">
      <c r="A29" s="340" t="s">
        <v>655</v>
      </c>
      <c r="B29" s="319" t="str">
        <f>"0.007㎥ * 700kg/㎥ = "&amp;ROUND(D19*700,2)&amp;"kg"</f>
        <v>0.007㎥ * 700kg/㎥ = 4.9kg</v>
      </c>
      <c r="C29" s="153" t="s">
        <v>652</v>
      </c>
      <c r="D29" s="390">
        <f>D19*700</f>
        <v>4.9000000000000004</v>
      </c>
    </row>
    <row r="30" spans="1:8" s="63" customFormat="1" ht="18.95" customHeight="1">
      <c r="A30" s="394" t="s">
        <v>659</v>
      </c>
      <c r="B30" s="358"/>
      <c r="C30" s="65" t="s">
        <v>653</v>
      </c>
      <c r="D30" s="393">
        <f>D29/1000</f>
        <v>4.9000000000000007E-3</v>
      </c>
    </row>
    <row r="31" spans="1:8" s="63" customFormat="1" ht="18.95" customHeight="1">
      <c r="A31" s="316"/>
      <c r="B31" s="317"/>
      <c r="C31" s="312"/>
      <c r="D31" s="110"/>
      <c r="E31" s="83"/>
      <c r="F31" s="83"/>
    </row>
    <row r="32" spans="1:8" s="63" customFormat="1" ht="18.75" customHeight="1">
      <c r="A32" s="299"/>
      <c r="B32" s="300"/>
      <c r="C32" s="301"/>
      <c r="D32" s="70"/>
    </row>
    <row r="33" spans="1:4" ht="18.75" customHeight="1">
      <c r="A33" s="316"/>
      <c r="B33" s="319"/>
      <c r="C33" s="303"/>
      <c r="D33" s="73"/>
    </row>
    <row r="34" spans="1:4" ht="18.75" customHeight="1">
      <c r="A34" s="316"/>
      <c r="B34" s="319"/>
      <c r="C34" s="303"/>
      <c r="D34" s="325"/>
    </row>
    <row r="35" spans="1:4" ht="18.75" customHeight="1">
      <c r="A35" s="316"/>
      <c r="B35" s="314"/>
      <c r="C35" s="303"/>
      <c r="D35" s="318"/>
    </row>
    <row r="36" spans="1:4" ht="18.75" customHeight="1">
      <c r="A36" s="316"/>
      <c r="B36" s="319"/>
      <c r="C36" s="303"/>
      <c r="D36" s="326"/>
    </row>
    <row r="37" spans="1:4" ht="18.75" customHeight="1">
      <c r="A37" s="327"/>
      <c r="B37" s="328"/>
      <c r="C37" s="329"/>
      <c r="D37" s="330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FFC000"/>
  </sheetPr>
  <dimension ref="A1:F37"/>
  <sheetViews>
    <sheetView view="pageBreakPreview" zoomScaleNormal="100" zoomScaleSheetLayoutView="100" workbookViewId="0">
      <selection activeCell="B17" sqref="B1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6" width="8.21875" style="83" bestFit="1" customWidth="1"/>
    <col min="7" max="16384" width="8" style="83"/>
  </cols>
  <sheetData>
    <row r="1" spans="1:6" s="54" customFormat="1" ht="18.95" customHeight="1">
      <c r="A1" s="293" t="s">
        <v>598</v>
      </c>
      <c r="B1" s="294" t="s">
        <v>632</v>
      </c>
      <c r="C1" s="294" t="s">
        <v>599</v>
      </c>
      <c r="D1" s="295" t="s">
        <v>600</v>
      </c>
    </row>
    <row r="2" spans="1:6" s="59" customFormat="1" ht="20.45" customHeight="1">
      <c r="A2" s="296" t="s">
        <v>633</v>
      </c>
      <c r="B2" s="127"/>
      <c r="C2" s="128"/>
      <c r="D2" s="129" t="s">
        <v>602</v>
      </c>
      <c r="E2" s="94"/>
      <c r="F2" s="94"/>
    </row>
    <row r="3" spans="1:6" s="63" customFormat="1" ht="18.75" customHeight="1">
      <c r="A3" s="340"/>
      <c r="B3" s="342" t="s">
        <v>634</v>
      </c>
      <c r="C3" s="301"/>
      <c r="D3" s="70"/>
      <c r="E3" s="97"/>
      <c r="F3" s="97"/>
    </row>
    <row r="4" spans="1:6" s="63" customFormat="1" ht="18.75" customHeight="1">
      <c r="A4" s="337"/>
      <c r="B4" s="338"/>
      <c r="C4" s="132"/>
      <c r="D4" s="133"/>
      <c r="E4" s="97"/>
      <c r="F4" s="97"/>
    </row>
    <row r="5" spans="1:6" s="63" customFormat="1" ht="18.75" customHeight="1">
      <c r="A5" s="74" t="s">
        <v>657</v>
      </c>
      <c r="B5" s="332" t="str">
        <f>"0.09*0.06*1.8m*4ea = "&amp;ROUNDDOWN(0.09*0.06*1.8*4,3)&amp;"㎥"</f>
        <v>0.09*0.06*1.8m*4ea = 0.038㎥</v>
      </c>
      <c r="C5" s="65" t="s">
        <v>616</v>
      </c>
      <c r="D5" s="66">
        <v>3.7999999999999999E-2</v>
      </c>
      <c r="E5" s="97"/>
      <c r="F5" s="97"/>
    </row>
    <row r="6" spans="1:6" s="63" customFormat="1" ht="18.75" customHeight="1">
      <c r="A6" s="74"/>
      <c r="B6" s="342"/>
      <c r="C6" s="308"/>
      <c r="D6" s="76"/>
    </row>
    <row r="7" spans="1:6" s="63" customFormat="1" ht="18.75" customHeight="1">
      <c r="A7" s="74" t="s">
        <v>635</v>
      </c>
      <c r="B7" s="332" t="str">
        <f>"0.09*0.06*1.8m*4ea/0.00334 = "&amp;ROUNDDOWN(0.09*0.06*1.8*4/0.00334,3)&amp;"재"</f>
        <v>0.09*0.06*1.8m*4ea/0.00334 = 11.64재</v>
      </c>
      <c r="C7" s="65" t="s">
        <v>636</v>
      </c>
      <c r="D7" s="66">
        <v>12.222</v>
      </c>
      <c r="E7" s="97"/>
      <c r="F7" s="97"/>
    </row>
    <row r="8" spans="1:6" s="63" customFormat="1" ht="18.75" customHeight="1">
      <c r="A8" s="74" t="s">
        <v>637</v>
      </c>
      <c r="B8" s="332" t="str">
        <f>"11.64*1.05(할증) = "&amp;ROUNDDOWN(11.64*1.05,3)&amp;"재"</f>
        <v>11.64*1.05(할증) = 12.222재</v>
      </c>
      <c r="C8" s="308"/>
      <c r="D8" s="76"/>
      <c r="E8" s="97"/>
      <c r="F8" s="97"/>
    </row>
    <row r="9" spans="1:6" s="63" customFormat="1" ht="18.75" customHeight="1">
      <c r="A9" s="134"/>
      <c r="B9" s="342"/>
      <c r="C9" s="308"/>
      <c r="D9" s="76"/>
      <c r="E9" s="97"/>
      <c r="F9" s="97"/>
    </row>
    <row r="10" spans="1:6" s="63" customFormat="1" ht="18.75" customHeight="1">
      <c r="A10" s="77" t="s">
        <v>638</v>
      </c>
      <c r="B10" s="332" t="str">
        <f>"0.09*0.06*1.8m*4ea = "&amp;ROUNDDOWN(0.09*0.06*1.8*4,3)&amp;"㎥"</f>
        <v>0.09*0.06*1.8m*4ea = 0.038㎥</v>
      </c>
      <c r="C10" s="65" t="s">
        <v>639</v>
      </c>
      <c r="D10" s="66">
        <v>3.7999999999999999E-2</v>
      </c>
      <c r="E10" s="97"/>
      <c r="F10" s="97"/>
    </row>
    <row r="11" spans="1:6" s="63" customFormat="1" ht="18.75" customHeight="1">
      <c r="A11" s="340"/>
      <c r="B11" s="332"/>
      <c r="C11" s="65"/>
      <c r="D11" s="66"/>
      <c r="E11" s="97"/>
      <c r="F11" s="97"/>
    </row>
    <row r="12" spans="1:6" s="63" customFormat="1" ht="18.75" customHeight="1">
      <c r="A12" s="107" t="s">
        <v>640</v>
      </c>
      <c r="B12" s="382" t="str">
        <f>"{(0.09+0.06)*2면*1.8m+(0.09*0.06)*2ea}*4ea="&amp;ROUNDDOWN(((0.09+0.06)*2*1.8+(0.09*0.06)*2)*4,1)&amp;"㎡"</f>
        <v>{(0.09+0.06)*2면*1.8m+(0.09*0.06)*2ea}*4ea=2.2㎡</v>
      </c>
      <c r="C12" s="109" t="s">
        <v>625</v>
      </c>
      <c r="D12" s="110">
        <v>2.2000000000000002</v>
      </c>
      <c r="E12" s="97"/>
      <c r="F12" s="97"/>
    </row>
    <row r="13" spans="1:6" s="63" customFormat="1" ht="18.75" customHeight="1">
      <c r="A13" s="80" t="s">
        <v>641</v>
      </c>
      <c r="B13" s="334"/>
      <c r="C13" s="65"/>
      <c r="D13" s="73"/>
      <c r="F13" s="78"/>
    </row>
    <row r="14" spans="1:6" s="63" customFormat="1" ht="18.75" customHeight="1">
      <c r="A14" s="80"/>
      <c r="B14" s="332"/>
      <c r="C14" s="65"/>
      <c r="D14" s="70"/>
      <c r="F14" s="106"/>
    </row>
    <row r="15" spans="1:6" s="63" customFormat="1" ht="18.75" customHeight="1">
      <c r="A15" s="77" t="s">
        <v>642</v>
      </c>
      <c r="B15" s="339"/>
      <c r="C15" s="81" t="s">
        <v>629</v>
      </c>
      <c r="D15" s="193">
        <v>22.8</v>
      </c>
    </row>
    <row r="16" spans="1:6" s="63" customFormat="1" ht="18.75" customHeight="1">
      <c r="A16" s="77" t="s">
        <v>643</v>
      </c>
      <c r="B16" s="332" t="str">
        <f>"0.038㎥ * 600kg/㎥ = "&amp;ROUND(D10*600,3)&amp;"kg"</f>
        <v>0.038㎥ * 600kg/㎥ = 22.8kg</v>
      </c>
      <c r="C16" s="81"/>
      <c r="D16" s="138"/>
    </row>
    <row r="17" spans="1:6" s="63" customFormat="1" ht="18.75" customHeight="1">
      <c r="A17" s="77"/>
      <c r="B17" s="334"/>
      <c r="C17" s="65"/>
      <c r="D17" s="73"/>
    </row>
    <row r="18" spans="1:6" s="63" customFormat="1" ht="18.75" customHeight="1">
      <c r="A18" s="340" t="s">
        <v>656</v>
      </c>
      <c r="B18" s="319" t="str">
        <f>"0.038㎥ * 600kg/㎥ = "&amp;ROUND(D5*600,2)&amp;"kg"</f>
        <v>0.038㎥ * 600kg/㎥ = 22.8kg</v>
      </c>
      <c r="C18" s="153" t="s">
        <v>652</v>
      </c>
      <c r="D18" s="390">
        <f>D5*600</f>
        <v>22.8</v>
      </c>
      <c r="F18" s="78"/>
    </row>
    <row r="19" spans="1:6" s="63" customFormat="1" ht="18.75" customHeight="1">
      <c r="A19" s="394" t="s">
        <v>659</v>
      </c>
      <c r="B19" s="358"/>
      <c r="C19" s="65" t="s">
        <v>653</v>
      </c>
      <c r="D19" s="393">
        <f>D18/1000</f>
        <v>2.2800000000000001E-2</v>
      </c>
      <c r="F19" s="111"/>
    </row>
    <row r="20" spans="1:6" s="63" customFormat="1" ht="18.75" customHeight="1">
      <c r="A20" s="77"/>
      <c r="B20" s="334"/>
      <c r="C20" s="81"/>
      <c r="D20" s="193"/>
      <c r="F20" s="111"/>
    </row>
    <row r="21" spans="1:6" s="63" customFormat="1" ht="18.75" customHeight="1">
      <c r="A21" s="77"/>
      <c r="B21" s="332"/>
      <c r="C21" s="65"/>
      <c r="D21" s="73"/>
      <c r="F21" s="111"/>
    </row>
    <row r="22" spans="1:6" s="63" customFormat="1" ht="18.75" customHeight="1">
      <c r="A22" s="77"/>
      <c r="B22" s="332"/>
      <c r="C22" s="65"/>
      <c r="D22" s="73"/>
      <c r="F22" s="111"/>
    </row>
    <row r="23" spans="1:6" s="63" customFormat="1" ht="18.75" customHeight="1">
      <c r="A23" s="84"/>
      <c r="B23" s="332"/>
      <c r="C23" s="65"/>
      <c r="D23" s="73"/>
      <c r="F23" s="111"/>
    </row>
    <row r="24" spans="1:6" s="63" customFormat="1" ht="18.75" customHeight="1">
      <c r="A24" s="84"/>
      <c r="B24" s="332"/>
      <c r="C24" s="65"/>
      <c r="D24" s="73"/>
      <c r="F24" s="111"/>
    </row>
    <row r="25" spans="1:6" s="63" customFormat="1" ht="18.75" customHeight="1">
      <c r="A25" s="77"/>
      <c r="B25" s="334"/>
      <c r="C25" s="65"/>
      <c r="D25" s="73"/>
      <c r="F25" s="111"/>
    </row>
    <row r="26" spans="1:6" s="63" customFormat="1" ht="18.95" customHeight="1">
      <c r="A26" s="77"/>
      <c r="B26" s="334"/>
      <c r="C26" s="65"/>
      <c r="D26" s="73"/>
    </row>
    <row r="27" spans="1:6" s="63" customFormat="1" ht="18.95" customHeight="1">
      <c r="A27" s="383"/>
      <c r="B27" s="384"/>
      <c r="C27" s="385"/>
      <c r="D27" s="324"/>
    </row>
    <row r="28" spans="1:6" s="63" customFormat="1" ht="18.95" customHeight="1">
      <c r="A28" s="77"/>
      <c r="B28" s="339"/>
      <c r="C28" s="65"/>
      <c r="D28" s="136"/>
    </row>
    <row r="29" spans="1:6" s="63" customFormat="1" ht="18.95" customHeight="1">
      <c r="A29" s="77"/>
      <c r="B29" s="332"/>
      <c r="C29" s="65"/>
      <c r="D29" s="73"/>
    </row>
    <row r="30" spans="1:6" s="63" customFormat="1" ht="18.95" customHeight="1">
      <c r="A30" s="77"/>
      <c r="B30" s="339"/>
      <c r="C30" s="65"/>
      <c r="D30" s="73"/>
      <c r="E30" s="83"/>
      <c r="F30" s="83"/>
    </row>
    <row r="31" spans="1:6" ht="18.75" customHeight="1">
      <c r="A31" s="77"/>
      <c r="B31" s="332"/>
      <c r="C31" s="81"/>
      <c r="D31" s="73"/>
    </row>
    <row r="32" spans="1:6" ht="18.75" customHeight="1">
      <c r="A32" s="77"/>
      <c r="B32" s="332"/>
      <c r="C32" s="81"/>
      <c r="D32" s="138"/>
    </row>
    <row r="33" spans="1:4" ht="18.75" customHeight="1">
      <c r="A33" s="77"/>
      <c r="B33" s="334"/>
      <c r="C33" s="81"/>
      <c r="D33" s="193"/>
    </row>
    <row r="34" spans="1:4" ht="18.75" customHeight="1">
      <c r="A34" s="77"/>
      <c r="B34" s="332"/>
      <c r="C34" s="81"/>
      <c r="D34" s="82"/>
    </row>
    <row r="35" spans="1:4" ht="18.75" customHeight="1">
      <c r="A35" s="84"/>
      <c r="B35" s="332"/>
      <c r="C35" s="81"/>
      <c r="D35" s="82"/>
    </row>
    <row r="36" spans="1:4" ht="18.75" customHeight="1">
      <c r="A36" s="84"/>
      <c r="B36" s="332"/>
      <c r="C36" s="81"/>
      <c r="D36" s="82"/>
    </row>
    <row r="37" spans="1:4" ht="18.75" customHeight="1">
      <c r="A37" s="230"/>
      <c r="B37" s="386"/>
      <c r="C37" s="86"/>
      <c r="D37" s="87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0070C0"/>
  </sheetPr>
  <dimension ref="A1:J37"/>
  <sheetViews>
    <sheetView view="pageBreakPreview" zoomScaleNormal="100" zoomScaleSheetLayoutView="100" workbookViewId="0">
      <selection activeCell="C14" sqref="C14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7" width="8.21875" style="83" bestFit="1" customWidth="1"/>
    <col min="8" max="8" width="43.6640625" style="83" bestFit="1" customWidth="1"/>
    <col min="9" max="16384" width="8" style="83"/>
  </cols>
  <sheetData>
    <row r="1" spans="1:10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</row>
    <row r="2" spans="1:10" s="59" customFormat="1" ht="20.45" customHeight="1">
      <c r="A2" s="126" t="s">
        <v>664</v>
      </c>
      <c r="B2" s="127"/>
      <c r="C2" s="128"/>
      <c r="D2" s="129" t="s">
        <v>105</v>
      </c>
      <c r="F2" s="94"/>
      <c r="G2" s="396" t="s">
        <v>666</v>
      </c>
      <c r="H2" s="397"/>
      <c r="I2" s="267"/>
      <c r="J2" s="398" t="s">
        <v>667</v>
      </c>
    </row>
    <row r="3" spans="1:10" s="63" customFormat="1" ht="18.75" customHeight="1">
      <c r="A3" s="246" t="s">
        <v>665</v>
      </c>
      <c r="B3" s="124"/>
      <c r="C3" s="153"/>
      <c r="D3" s="181"/>
      <c r="F3" s="99"/>
      <c r="G3" s="134" t="s">
        <v>668</v>
      </c>
      <c r="H3" s="332"/>
      <c r="I3" s="65"/>
      <c r="J3" s="66"/>
    </row>
    <row r="4" spans="1:10" s="63" customFormat="1" ht="18.75" customHeight="1">
      <c r="A4" s="191" t="s">
        <v>661</v>
      </c>
      <c r="B4" s="182"/>
      <c r="C4" s="183"/>
      <c r="D4" s="184"/>
      <c r="F4" s="101"/>
      <c r="G4" s="74" t="s">
        <v>669</v>
      </c>
      <c r="H4" s="332" t="str">
        <f>"0.055*0.055*3.14*1.2m*2ea + 0.04*0.04*3.14*0.6m*2ea = "&amp;ROUND((0.055*0.055*3.14*1.2*2)+(0.04*0.04*3.14*0.6*2),3)&amp;"㎥"</f>
        <v>0.055*0.055*3.14*1.2m*2ea + 0.04*0.04*3.14*0.6m*2ea = 0.029㎥</v>
      </c>
      <c r="I4" s="199" t="s">
        <v>670</v>
      </c>
      <c r="J4" s="285">
        <v>2.9000000000000001E-2</v>
      </c>
    </row>
    <row r="5" spans="1:10" s="63" customFormat="1" ht="18.75" customHeight="1">
      <c r="A5" s="64" t="s">
        <v>660</v>
      </c>
      <c r="B5" s="334" t="str">
        <f>"4.0kg * 1.0m = "&amp;ROUND(4*1,0)&amp;"kg"</f>
        <v>4.0kg * 1.0m = 4kg</v>
      </c>
      <c r="C5" s="65" t="s">
        <v>225</v>
      </c>
      <c r="D5" s="79">
        <f>ROUND(4*1,0)</f>
        <v>4</v>
      </c>
      <c r="F5" s="101"/>
      <c r="G5" s="74"/>
      <c r="H5" s="332"/>
      <c r="I5" s="65"/>
      <c r="J5" s="66"/>
    </row>
    <row r="6" spans="1:10" s="63" customFormat="1" ht="18.75" customHeight="1">
      <c r="A6" s="64"/>
      <c r="B6" s="67"/>
      <c r="C6" s="65"/>
      <c r="D6" s="79"/>
      <c r="F6" s="99"/>
      <c r="G6" s="396" t="s">
        <v>671</v>
      </c>
      <c r="H6" s="397"/>
      <c r="I6" s="267"/>
      <c r="J6" s="398" t="s">
        <v>667</v>
      </c>
    </row>
    <row r="7" spans="1:10" s="63" customFormat="1" ht="18.75" customHeight="1">
      <c r="A7" s="191" t="s">
        <v>186</v>
      </c>
      <c r="B7" s="182"/>
      <c r="C7" s="183"/>
      <c r="D7" s="184"/>
      <c r="F7" s="101"/>
      <c r="G7" s="134" t="s">
        <v>672</v>
      </c>
      <c r="H7" s="332"/>
      <c r="I7" s="65"/>
      <c r="J7" s="66"/>
    </row>
    <row r="8" spans="1:10" s="63" customFormat="1" ht="18.75" customHeight="1">
      <c r="A8" s="64" t="s">
        <v>660</v>
      </c>
      <c r="B8" s="334" t="str">
        <f>"5.3kg * 1.0m = "&amp;ROUND(5.3*1,0)&amp;"kg"</f>
        <v>5.3kg * 1.0m = 5kg</v>
      </c>
      <c r="C8" s="65" t="s">
        <v>225</v>
      </c>
      <c r="D8" s="79">
        <f>ROUND(5.3*1,0)</f>
        <v>5</v>
      </c>
      <c r="F8" s="101"/>
      <c r="G8" s="74" t="s">
        <v>669</v>
      </c>
      <c r="H8" s="332" t="str">
        <f>"0.055*0.055*3.14*1.5m*2ea + 0.04*0.04*3.14*0.6m*2ea = "&amp;ROUND((0.055*0.055*3.14*1.5*2)+(0.04*0.04*3.14*0.6*2),3)&amp;"㎥"</f>
        <v>0.055*0.055*3.14*1.5m*2ea + 0.04*0.04*3.14*0.6m*2ea = 0.035㎥</v>
      </c>
      <c r="I8" s="199" t="s">
        <v>639</v>
      </c>
      <c r="J8" s="285">
        <v>3.5000000000000003E-2</v>
      </c>
    </row>
    <row r="9" spans="1:10" s="63" customFormat="1" ht="18.75" customHeight="1">
      <c r="A9" s="74"/>
      <c r="B9" s="67"/>
      <c r="C9" s="69"/>
      <c r="D9" s="70"/>
      <c r="F9" s="101"/>
      <c r="G9" s="74"/>
      <c r="H9" s="332"/>
      <c r="I9" s="65"/>
      <c r="J9" s="66"/>
    </row>
    <row r="10" spans="1:10" s="63" customFormat="1" ht="18.75" customHeight="1">
      <c r="A10" s="191" t="s">
        <v>662</v>
      </c>
      <c r="B10" s="182"/>
      <c r="C10" s="183"/>
      <c r="D10" s="184"/>
      <c r="F10" s="101"/>
      <c r="G10" s="396" t="s">
        <v>673</v>
      </c>
      <c r="H10" s="397"/>
      <c r="I10" s="267"/>
      <c r="J10" s="398" t="s">
        <v>674</v>
      </c>
    </row>
    <row r="11" spans="1:10" s="63" customFormat="1" ht="18.75" customHeight="1">
      <c r="A11" s="64" t="s">
        <v>660</v>
      </c>
      <c r="B11" s="334" t="str">
        <f>"6.7kg * 1.0m = "&amp;ROUND(6.7*1,0)&amp;"kg"</f>
        <v>6.7kg * 1.0m = 7kg</v>
      </c>
      <c r="C11" s="65" t="s">
        <v>225</v>
      </c>
      <c r="D11" s="79">
        <f>ROUND(6.7*1,0)</f>
        <v>7</v>
      </c>
      <c r="F11" s="78"/>
      <c r="G11" s="134" t="s">
        <v>675</v>
      </c>
      <c r="H11" s="332"/>
      <c r="I11" s="65"/>
      <c r="J11" s="66"/>
    </row>
    <row r="12" spans="1:10" s="63" customFormat="1" ht="18.75" customHeight="1">
      <c r="A12" s="80"/>
      <c r="B12" s="67"/>
      <c r="C12" s="65"/>
      <c r="D12" s="70"/>
      <c r="F12" s="104"/>
      <c r="G12" s="74" t="s">
        <v>676</v>
      </c>
      <c r="H12" s="332" t="str">
        <f>"0.055*0.055*3.14*1.8m*2ea + 0.04*0.04*3.14*0.6m*2ea = "&amp;ROUND((0.055*0.055*3.14*1.8*2)+(0.04*0.04*3.14*0.6*2),3)&amp;"㎥"</f>
        <v>0.055*0.055*3.14*1.8m*2ea + 0.04*0.04*3.14*0.6m*2ea = 0.04㎥</v>
      </c>
      <c r="I12" s="199" t="s">
        <v>639</v>
      </c>
      <c r="J12" s="285">
        <v>0.04</v>
      </c>
    </row>
    <row r="13" spans="1:10" s="63" customFormat="1" ht="18.75" customHeight="1">
      <c r="A13" s="191" t="s">
        <v>173</v>
      </c>
      <c r="B13" s="182"/>
      <c r="C13" s="183"/>
      <c r="D13" s="184"/>
      <c r="F13" s="105"/>
      <c r="G13" s="74"/>
      <c r="H13" s="332"/>
      <c r="I13" s="65"/>
      <c r="J13" s="66"/>
    </row>
    <row r="14" spans="1:10" s="63" customFormat="1" ht="18.75" customHeight="1">
      <c r="A14" s="64" t="s">
        <v>660</v>
      </c>
      <c r="B14" s="334" t="str">
        <f>"8.0kg * 1.0m = "&amp;ROUND(8*1,0)&amp;"kg"</f>
        <v>8.0kg * 1.0m = 8kg</v>
      </c>
      <c r="C14" s="65" t="s">
        <v>225</v>
      </c>
      <c r="D14" s="79">
        <f>ROUND(8*1,0)</f>
        <v>8</v>
      </c>
      <c r="G14" s="396" t="s">
        <v>677</v>
      </c>
      <c r="H14" s="397"/>
      <c r="I14" s="267"/>
      <c r="J14" s="398" t="s">
        <v>678</v>
      </c>
    </row>
    <row r="15" spans="1:10" s="63" customFormat="1" ht="18.75" customHeight="1">
      <c r="A15" s="253"/>
      <c r="B15" s="68"/>
      <c r="C15" s="69"/>
      <c r="D15" s="70"/>
      <c r="F15" s="105"/>
      <c r="G15" s="134" t="s">
        <v>679</v>
      </c>
      <c r="H15" s="332"/>
      <c r="I15" s="65"/>
      <c r="J15" s="66"/>
    </row>
    <row r="16" spans="1:10" s="63" customFormat="1" ht="18.75" customHeight="1">
      <c r="A16" s="191" t="s">
        <v>268</v>
      </c>
      <c r="B16" s="182"/>
      <c r="C16" s="183"/>
      <c r="D16" s="184"/>
      <c r="G16" s="74" t="s">
        <v>680</v>
      </c>
      <c r="H16" s="332" t="str">
        <f>"0.06*0.06*3.14*1.13m*1ea = "&amp;ROUND(0.06*0.06*3.14*1.13*1,3)&amp;"㎥"</f>
        <v>0.06*0.06*3.14*1.13m*1ea = 0.013㎥</v>
      </c>
      <c r="I16" s="199" t="s">
        <v>639</v>
      </c>
      <c r="J16" s="285">
        <v>1.2999999999999999E-2</v>
      </c>
    </row>
    <row r="17" spans="1:10" s="63" customFormat="1" ht="18.75" customHeight="1">
      <c r="A17" s="64" t="s">
        <v>660</v>
      </c>
      <c r="B17" s="334" t="str">
        <f>"10.0kg * 1.0m = "&amp;ROUND(10*1,0)&amp;"kg"</f>
        <v>10.0kg * 1.0m = 10kg</v>
      </c>
      <c r="C17" s="65" t="s">
        <v>225</v>
      </c>
      <c r="D17" s="79">
        <f>ROUND(10*1,0)</f>
        <v>10</v>
      </c>
      <c r="G17" s="74"/>
      <c r="H17" s="332"/>
      <c r="I17" s="65"/>
      <c r="J17" s="66"/>
    </row>
    <row r="18" spans="1:10" s="63" customFormat="1" ht="18.75" customHeight="1">
      <c r="A18" s="64"/>
      <c r="B18" s="67"/>
      <c r="C18" s="69"/>
      <c r="D18" s="70"/>
      <c r="G18" s="396" t="s">
        <v>681</v>
      </c>
      <c r="H18" s="397"/>
      <c r="I18" s="267"/>
      <c r="J18" s="398" t="s">
        <v>682</v>
      </c>
    </row>
    <row r="19" spans="1:10" s="63" customFormat="1" ht="18.75" customHeight="1">
      <c r="A19" s="191" t="s">
        <v>663</v>
      </c>
      <c r="B19" s="182"/>
      <c r="C19" s="183"/>
      <c r="D19" s="184"/>
      <c r="G19" s="134" t="s">
        <v>683</v>
      </c>
      <c r="H19" s="332"/>
      <c r="I19" s="65"/>
      <c r="J19" s="66"/>
    </row>
    <row r="20" spans="1:10" s="63" customFormat="1" ht="18.75" customHeight="1">
      <c r="A20" s="64" t="s">
        <v>660</v>
      </c>
      <c r="B20" s="334" t="str">
        <f>"13.3kg * 1.0m = "&amp;ROUND(13.3*1,0)&amp;"kg"</f>
        <v>13.3kg * 1.0m = 13kg</v>
      </c>
      <c r="C20" s="65" t="s">
        <v>225</v>
      </c>
      <c r="D20" s="79">
        <f>ROUND(13.3*1,0)</f>
        <v>13</v>
      </c>
      <c r="F20" s="111"/>
      <c r="G20" s="74" t="s">
        <v>684</v>
      </c>
      <c r="H20" s="332" t="str">
        <f>"0.3m*0.3m*0.3m = "&amp;ROUND(0.3*0.3*0.3,3)&amp;"㎥"</f>
        <v>0.3m*0.3m*0.3m = 0.027㎥</v>
      </c>
      <c r="I20" s="199" t="s">
        <v>639</v>
      </c>
      <c r="J20" s="285">
        <v>2.7E-2</v>
      </c>
    </row>
    <row r="21" spans="1:10" s="63" customFormat="1" ht="18.95" customHeight="1">
      <c r="A21" s="74"/>
      <c r="B21" s="67"/>
      <c r="C21" s="75"/>
      <c r="D21" s="79"/>
      <c r="G21" s="74" t="s">
        <v>680</v>
      </c>
      <c r="H21" s="332" t="str">
        <f>"0.05*0.05*3.14*1.3m*1ea = "&amp;ROUND(0.05*0.05*3.14*1.3*1,3)&amp;"㎥"</f>
        <v>0.05*0.05*3.14*1.3m*1ea = 0.01㎥</v>
      </c>
      <c r="I21" s="199" t="s">
        <v>639</v>
      </c>
      <c r="J21" s="285">
        <v>0.01</v>
      </c>
    </row>
    <row r="22" spans="1:10" s="63" customFormat="1" ht="18.95" customHeight="1">
      <c r="A22" s="253"/>
      <c r="B22" s="68"/>
      <c r="C22" s="69"/>
      <c r="D22" s="70"/>
      <c r="G22" s="74"/>
      <c r="H22" s="332"/>
      <c r="I22" s="65"/>
      <c r="J22" s="66"/>
    </row>
    <row r="23" spans="1:10" s="63" customFormat="1" ht="21.75" customHeight="1">
      <c r="A23" s="64"/>
      <c r="B23" s="179"/>
      <c r="C23" s="65"/>
      <c r="D23" s="79"/>
      <c r="G23" s="396" t="s">
        <v>685</v>
      </c>
      <c r="H23" s="397"/>
      <c r="I23" s="267"/>
      <c r="J23" s="398" t="s">
        <v>686</v>
      </c>
    </row>
    <row r="24" spans="1:10" s="63" customFormat="1" ht="18.95" customHeight="1">
      <c r="A24" s="64"/>
      <c r="B24" s="67"/>
      <c r="C24" s="65"/>
      <c r="D24" s="79"/>
      <c r="G24" s="74" t="s">
        <v>687</v>
      </c>
      <c r="H24" s="332"/>
      <c r="I24" s="65"/>
      <c r="J24" s="66"/>
    </row>
    <row r="25" spans="1:10" s="63" customFormat="1" ht="18.75" customHeight="1">
      <c r="A25" s="64"/>
      <c r="B25" s="67"/>
      <c r="C25" s="69"/>
      <c r="D25" s="70"/>
      <c r="F25" s="101"/>
      <c r="G25" s="74" t="s">
        <v>684</v>
      </c>
      <c r="H25" s="332" t="str">
        <f>"0.3m*0.3m*1.0m = "&amp;ROUND(0.3*0.3*1,3)&amp;"㎥"</f>
        <v>0.3m*0.3m*1.0m = 0.09㎥</v>
      </c>
      <c r="I25" s="199" t="s">
        <v>639</v>
      </c>
      <c r="J25" s="285">
        <v>0.09</v>
      </c>
    </row>
    <row r="26" spans="1:10" s="63" customFormat="1" ht="18.75" customHeight="1">
      <c r="A26" s="64"/>
      <c r="B26" s="67"/>
      <c r="C26" s="69"/>
      <c r="D26" s="70"/>
      <c r="F26" s="101"/>
      <c r="G26" s="74" t="s">
        <v>680</v>
      </c>
      <c r="H26" s="332" t="str">
        <f>"0.06*0.06*3.14*0.9m*7ea = "&amp;ROUND(0.06*0.06*3.14*0.9*7,3)&amp;"㎥"</f>
        <v>0.06*0.06*3.14*0.9m*7ea = 0.071㎥</v>
      </c>
      <c r="I26" s="199" t="s">
        <v>639</v>
      </c>
      <c r="J26" s="285">
        <v>7.0999999999999994E-2</v>
      </c>
    </row>
    <row r="27" spans="1:10" s="63" customFormat="1" ht="18.75" customHeight="1">
      <c r="A27" s="64"/>
      <c r="B27" s="67"/>
      <c r="C27" s="65"/>
      <c r="D27" s="79"/>
      <c r="F27" s="99"/>
      <c r="G27" s="97"/>
      <c r="H27" s="97"/>
    </row>
    <row r="28" spans="1:10" s="63" customFormat="1" ht="18.75" customHeight="1">
      <c r="A28" s="64"/>
      <c r="B28" s="67"/>
      <c r="C28" s="69"/>
      <c r="D28" s="70"/>
      <c r="F28" s="101"/>
      <c r="G28" s="97"/>
      <c r="H28" s="97"/>
    </row>
    <row r="29" spans="1:10" s="63" customFormat="1" ht="18.75" customHeight="1">
      <c r="A29" s="64"/>
      <c r="B29" s="67"/>
      <c r="C29" s="69"/>
      <c r="D29" s="70"/>
      <c r="F29" s="101"/>
      <c r="G29" s="97"/>
      <c r="H29" s="97"/>
    </row>
    <row r="30" spans="1:10" s="63" customFormat="1" ht="18.75" customHeight="1">
      <c r="A30" s="74"/>
      <c r="B30" s="67"/>
      <c r="C30" s="69"/>
      <c r="D30" s="70"/>
      <c r="F30" s="101"/>
      <c r="G30" s="97"/>
      <c r="H30" s="97"/>
    </row>
    <row r="31" spans="1:10" s="63" customFormat="1" ht="18.75" customHeight="1">
      <c r="A31" s="74"/>
      <c r="B31" s="67"/>
      <c r="C31" s="75"/>
      <c r="D31" s="79"/>
      <c r="F31" s="101"/>
      <c r="G31" s="97"/>
      <c r="H31" s="97"/>
    </row>
    <row r="32" spans="1:10" s="63" customFormat="1" ht="18.75" customHeight="1">
      <c r="A32" s="77"/>
      <c r="B32" s="179"/>
      <c r="C32" s="65"/>
      <c r="D32" s="79"/>
      <c r="F32" s="78"/>
    </row>
    <row r="33" spans="1:8" s="63" customFormat="1" ht="18.75" customHeight="1">
      <c r="A33" s="185"/>
      <c r="B33" s="186"/>
      <c r="C33" s="187"/>
      <c r="D33" s="188"/>
      <c r="F33" s="104"/>
      <c r="H33" s="78"/>
    </row>
    <row r="34" spans="1:8" s="63" customFormat="1" ht="18.95" customHeight="1">
      <c r="A34" s="208"/>
      <c r="B34" s="209"/>
      <c r="C34" s="210"/>
      <c r="D34" s="211"/>
      <c r="E34" s="83"/>
      <c r="F34" s="83"/>
      <c r="G34" s="83"/>
      <c r="H34" s="83"/>
    </row>
    <row r="35" spans="1:8" ht="18.75" customHeight="1">
      <c r="A35" s="80"/>
      <c r="B35" s="67"/>
      <c r="C35" s="65"/>
      <c r="D35" s="70"/>
    </row>
    <row r="36" spans="1:8" ht="18.75" customHeight="1">
      <c r="A36" s="84"/>
      <c r="B36" s="67"/>
      <c r="C36" s="81"/>
      <c r="D36" s="82"/>
    </row>
    <row r="37" spans="1:8" ht="18.75" customHeight="1">
      <c r="A37" s="120"/>
      <c r="B37" s="121"/>
      <c r="C37" s="122"/>
      <c r="D37" s="123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FFFF00"/>
  </sheetPr>
  <dimension ref="A1:D54"/>
  <sheetViews>
    <sheetView showZeros="0" view="pageBreakPreview" zoomScaleNormal="100" zoomScaleSheetLayoutView="100" workbookViewId="0">
      <selection activeCell="B47" sqref="B47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16384" width="8" style="83"/>
  </cols>
  <sheetData>
    <row r="1" spans="1:4" s="54" customFormat="1" ht="18.95" customHeight="1">
      <c r="A1" s="51" t="s">
        <v>46</v>
      </c>
      <c r="B1" s="52" t="s">
        <v>47</v>
      </c>
      <c r="C1" s="52" t="s">
        <v>48</v>
      </c>
      <c r="D1" s="53" t="s">
        <v>49</v>
      </c>
    </row>
    <row r="2" spans="1:4" s="63" customFormat="1" ht="18.75" customHeight="1">
      <c r="A2" s="55" t="s">
        <v>308</v>
      </c>
      <c r="B2" s="56"/>
      <c r="C2" s="57"/>
      <c r="D2" s="58"/>
    </row>
    <row r="3" spans="1:4" s="63" customFormat="1" ht="18.75" customHeight="1">
      <c r="A3" s="227" t="s">
        <v>309</v>
      </c>
      <c r="B3" s="60"/>
      <c r="C3" s="61"/>
      <c r="D3" s="62"/>
    </row>
    <row r="4" spans="1:4" s="63" customFormat="1" ht="18.75" customHeight="1">
      <c r="A4" s="74" t="s">
        <v>310</v>
      </c>
      <c r="B4" s="67" t="str">
        <f>"1.5m*1.0m = "&amp;ROUND(1.5*1,3)&amp;"㎡"</f>
        <v>1.5m*1.0m = 1.5㎡</v>
      </c>
      <c r="C4" s="65" t="s">
        <v>2</v>
      </c>
      <c r="D4" s="66">
        <v>1.5</v>
      </c>
    </row>
    <row r="5" spans="1:4" s="63" customFormat="1" ht="18.75" customHeight="1">
      <c r="A5" s="74"/>
      <c r="B5" s="67"/>
      <c r="C5" s="65"/>
      <c r="D5" s="66"/>
    </row>
    <row r="6" spans="1:4" s="63" customFormat="1" ht="18.75" customHeight="1">
      <c r="A6" s="74" t="s">
        <v>311</v>
      </c>
      <c r="B6" s="67" t="str">
        <f>"1.5m*0.15m*3.3단 = "&amp;ROUND(1.5*0.15*3.3,2)&amp;"㎡"</f>
        <v>1.5m*0.15m*3.3단 = 0.74㎡</v>
      </c>
      <c r="C6" s="65" t="s">
        <v>2</v>
      </c>
      <c r="D6" s="66">
        <v>0.74</v>
      </c>
    </row>
    <row r="7" spans="1:4" s="63" customFormat="1" ht="18.75" customHeight="1">
      <c r="A7" s="74"/>
      <c r="B7" s="67"/>
      <c r="C7" s="65"/>
      <c r="D7" s="66"/>
    </row>
    <row r="8" spans="1:4" s="63" customFormat="1" ht="18.75" customHeight="1">
      <c r="A8" s="74" t="s">
        <v>312</v>
      </c>
      <c r="B8" s="67" t="str">
        <f>"1.0m*0.3m*2개소 = "&amp;ROUND(1*0.3*2,2)&amp;"㎡"</f>
        <v>1.0m*0.3m*2개소 = 0.6㎡</v>
      </c>
      <c r="C8" s="65" t="s">
        <v>2</v>
      </c>
      <c r="D8" s="66">
        <v>0.6</v>
      </c>
    </row>
    <row r="9" spans="1:4" s="63" customFormat="1" ht="18.75" customHeight="1">
      <c r="A9" s="74"/>
      <c r="B9" s="67"/>
      <c r="C9" s="65"/>
      <c r="D9" s="66"/>
    </row>
    <row r="10" spans="1:4" s="63" customFormat="1" ht="18.75" customHeight="1">
      <c r="A10" s="74" t="s">
        <v>313</v>
      </c>
      <c r="B10" s="67"/>
      <c r="C10" s="65"/>
      <c r="D10" s="66"/>
    </row>
    <row r="11" spans="1:4" s="63" customFormat="1" ht="18.75" customHeight="1">
      <c r="A11" s="134" t="s">
        <v>314</v>
      </c>
      <c r="B11" s="67" t="str">
        <f>"(0.15+0.04)*2*1.0m*3ea = "&amp;ROUND((0.15+0.04)*2*1*3,2)&amp;"㎡"</f>
        <v>(0.15+0.04)*2*1.0m*3ea = 1.14㎡</v>
      </c>
      <c r="C11" s="65" t="s">
        <v>2</v>
      </c>
      <c r="D11" s="66">
        <v>1.1399999999999999</v>
      </c>
    </row>
    <row r="12" spans="1:4" s="63" customFormat="1" ht="18.75" customHeight="1">
      <c r="A12" s="134" t="s">
        <v>315</v>
      </c>
      <c r="B12" s="67" t="str">
        <f>"(0.15+0.06)*2*0.5m*2ea = "&amp;ROUND((0.15+0.06)*2*0.5*2,2)&amp;"㎡"</f>
        <v>(0.15+0.06)*2*0.5m*2ea = 0.42㎡</v>
      </c>
      <c r="C12" s="65" t="s">
        <v>2</v>
      </c>
      <c r="D12" s="66">
        <v>0.42</v>
      </c>
    </row>
    <row r="13" spans="1:4" s="63" customFormat="1" ht="18.75" customHeight="1">
      <c r="A13" s="134" t="s">
        <v>316</v>
      </c>
      <c r="B13" s="67" t="str">
        <f>"(0.15+0.2)*2*1.2m = "&amp;ROUND((0.15+0.2)*2*1.2,2)&amp;"㎡"</f>
        <v>(0.15+0.2)*2*1.2m = 0.84㎡</v>
      </c>
      <c r="C13" s="65" t="s">
        <v>2</v>
      </c>
      <c r="D13" s="66">
        <v>0.84</v>
      </c>
    </row>
    <row r="14" spans="1:4" s="63" customFormat="1" ht="18.75" customHeight="1">
      <c r="A14" s="134" t="s">
        <v>161</v>
      </c>
      <c r="B14" s="67"/>
      <c r="C14" s="65" t="s">
        <v>2</v>
      </c>
      <c r="D14" s="66">
        <f>SUM(D11:D13)</f>
        <v>2.4</v>
      </c>
    </row>
    <row r="15" spans="1:4" s="63" customFormat="1" ht="18.75" customHeight="1">
      <c r="A15" s="134"/>
      <c r="B15" s="67"/>
      <c r="C15" s="65"/>
      <c r="D15" s="66"/>
    </row>
    <row r="16" spans="1:4" s="63" customFormat="1" ht="18.75" customHeight="1">
      <c r="A16" s="286" t="s">
        <v>318</v>
      </c>
      <c r="B16" s="287" t="s">
        <v>317</v>
      </c>
      <c r="C16" s="199"/>
      <c r="D16" s="285">
        <f>D4+D6+D8+D14</f>
        <v>5.24</v>
      </c>
    </row>
    <row r="17" spans="1:4" s="63" customFormat="1" ht="18.75" customHeight="1">
      <c r="A17" s="286"/>
      <c r="B17" s="287"/>
      <c r="C17" s="199"/>
      <c r="D17" s="285"/>
    </row>
    <row r="18" spans="1:4" s="63" customFormat="1" ht="18.75" hidden="1" customHeight="1">
      <c r="A18" s="55" t="s">
        <v>332</v>
      </c>
      <c r="B18" s="56"/>
      <c r="C18" s="57"/>
      <c r="D18" s="58"/>
    </row>
    <row r="19" spans="1:4" s="63" customFormat="1" ht="18.75" hidden="1" customHeight="1">
      <c r="A19" s="289" t="s">
        <v>333</v>
      </c>
      <c r="B19" s="288"/>
      <c r="C19" s="61"/>
      <c r="D19" s="62"/>
    </row>
    <row r="20" spans="1:4" s="63" customFormat="1" ht="18.75" hidden="1" customHeight="1">
      <c r="A20" s="74" t="s">
        <v>325</v>
      </c>
      <c r="B20" s="67" t="str">
        <f>"(6.0m*6.0m)-(1.5m*1.5m/2*4) = "&amp;ROUND((6*6)-1.5*1.5/2*4,3)&amp;"㎡"</f>
        <v>(6.0m*6.0m)-(1.5m*1.5m/2*4) = 31.5㎡</v>
      </c>
      <c r="C20" s="65" t="s">
        <v>2</v>
      </c>
      <c r="D20" s="66">
        <v>31.5</v>
      </c>
    </row>
    <row r="21" spans="1:4" s="63" customFormat="1" ht="18.75" hidden="1" customHeight="1">
      <c r="A21" s="74"/>
      <c r="B21" s="67"/>
      <c r="C21" s="65"/>
      <c r="D21" s="66"/>
    </row>
    <row r="22" spans="1:4" s="63" customFormat="1" ht="18.75" hidden="1" customHeight="1">
      <c r="A22" s="74" t="s">
        <v>326</v>
      </c>
      <c r="B22" s="67" t="str">
        <f>"2.0m*0.3m*8ea = "&amp;ROUND(2*0.3*8,2)&amp;"㎡"</f>
        <v>2.0m*0.3m*8ea = 4.8㎡</v>
      </c>
      <c r="C22" s="65" t="s">
        <v>2</v>
      </c>
      <c r="D22" s="66">
        <v>4.8</v>
      </c>
    </row>
    <row r="23" spans="1:4" s="63" customFormat="1" ht="18.75" hidden="1" customHeight="1">
      <c r="A23" s="74"/>
      <c r="B23" s="67"/>
      <c r="C23" s="65"/>
      <c r="D23" s="66"/>
    </row>
    <row r="24" spans="1:4" s="63" customFormat="1" ht="18.75" hidden="1" customHeight="1">
      <c r="A24" s="74" t="s">
        <v>327</v>
      </c>
      <c r="B24" s="67" t="str">
        <f>"2*0.12m*3.14*3.0m*8ea = "&amp;ROUND(2*0.12*3.14*3*8,2)&amp;"㎡"</f>
        <v>2*0.12m*3.14*3.0m*8ea = 18.09㎡</v>
      </c>
      <c r="C24" s="65" t="s">
        <v>2</v>
      </c>
      <c r="D24" s="66">
        <v>18.09</v>
      </c>
    </row>
    <row r="25" spans="1:4" s="63" customFormat="1" ht="18.75" hidden="1" customHeight="1">
      <c r="A25" s="74"/>
      <c r="B25" s="67"/>
      <c r="C25" s="65"/>
      <c r="D25" s="66"/>
    </row>
    <row r="26" spans="1:4" s="63" customFormat="1" ht="18.75" hidden="1" customHeight="1">
      <c r="A26" s="74" t="s">
        <v>328</v>
      </c>
      <c r="B26" s="67" t="str">
        <f>"2m*0.4*7ea = "&amp;ROUND(2*0.4*7,2)&amp;"㎡"</f>
        <v>2m*0.4*7ea = 5.6㎡</v>
      </c>
      <c r="C26" s="65" t="s">
        <v>2</v>
      </c>
      <c r="D26" s="66">
        <v>5.6</v>
      </c>
    </row>
    <row r="27" spans="1:4" s="63" customFormat="1" ht="18.75" hidden="1" customHeight="1">
      <c r="A27" s="74"/>
      <c r="B27" s="67"/>
      <c r="C27" s="65"/>
      <c r="D27" s="66"/>
    </row>
    <row r="28" spans="1:4" s="63" customFormat="1" ht="18.75" hidden="1" customHeight="1">
      <c r="A28" s="74" t="s">
        <v>330</v>
      </c>
      <c r="B28" s="67"/>
      <c r="C28" s="65"/>
      <c r="D28" s="66"/>
    </row>
    <row r="29" spans="1:4" s="63" customFormat="1" ht="18.75" hidden="1" customHeight="1">
      <c r="A29" s="134" t="s">
        <v>314</v>
      </c>
      <c r="B29" s="67" t="str">
        <f>"(0.15+0.06)*2m*1ea*7ea = "&amp;ROUND((0.15+0.06)*2*1*7,2)&amp;"㎡"</f>
        <v>(0.15+0.06)*2m*1ea*7ea = 2.94㎡</v>
      </c>
      <c r="C29" s="65" t="s">
        <v>2</v>
      </c>
      <c r="D29" s="66">
        <v>2.94</v>
      </c>
    </row>
    <row r="30" spans="1:4" s="63" customFormat="1" ht="18.75" hidden="1" customHeight="1">
      <c r="A30" s="134" t="s">
        <v>315</v>
      </c>
      <c r="B30" s="67" t="str">
        <f>"0.04*4*0.4m*3ea*7ea = "&amp;ROUND(0.04*4*0.4*3*7,2)&amp;"㎡"</f>
        <v>0.04*4*0.4m*3ea*7ea = 1.34㎡</v>
      </c>
      <c r="C30" s="65" t="s">
        <v>2</v>
      </c>
      <c r="D30" s="66">
        <v>1.34</v>
      </c>
    </row>
    <row r="31" spans="1:4" s="63" customFormat="1" ht="18.75" hidden="1" customHeight="1">
      <c r="A31" s="134" t="s">
        <v>161</v>
      </c>
      <c r="B31" s="67"/>
      <c r="C31" s="65" t="s">
        <v>2</v>
      </c>
      <c r="D31" s="66">
        <f>SUM(D29:D30)</f>
        <v>4.28</v>
      </c>
    </row>
    <row r="32" spans="1:4" s="63" customFormat="1" ht="18.75" hidden="1" customHeight="1">
      <c r="A32" s="134"/>
      <c r="B32" s="67"/>
      <c r="C32" s="65"/>
      <c r="D32" s="66"/>
    </row>
    <row r="33" spans="1:4" s="63" customFormat="1" ht="18.75" hidden="1" customHeight="1">
      <c r="A33" s="74" t="s">
        <v>329</v>
      </c>
      <c r="B33" s="67" t="str">
        <f>"(6.7m*7.0m)-(1.6m*1.6m/2*4) = "&amp;ROUND((6.7*6.7)-1.6*1.6/2*4,3)&amp;"㎡"</f>
        <v>(6.7m*7.0m)-(1.6m*1.6m/2*4) = 39.77㎡</v>
      </c>
      <c r="C33" s="65" t="s">
        <v>2</v>
      </c>
      <c r="D33" s="66">
        <v>39.770000000000003</v>
      </c>
    </row>
    <row r="34" spans="1:4" s="63" customFormat="1" ht="18.75" hidden="1" customHeight="1">
      <c r="A34" s="134"/>
      <c r="B34" s="67"/>
      <c r="C34" s="65"/>
      <c r="D34" s="66"/>
    </row>
    <row r="35" spans="1:4" s="63" customFormat="1" ht="18.75" hidden="1" customHeight="1">
      <c r="A35" s="286" t="s">
        <v>318</v>
      </c>
      <c r="B35" s="287" t="s">
        <v>317</v>
      </c>
      <c r="C35" s="199"/>
      <c r="D35" s="285">
        <f>D20+D22+D24+D26+D31+D33</f>
        <v>104.03999999999999</v>
      </c>
    </row>
    <row r="36" spans="1:4" s="243" customFormat="1" ht="18.75" hidden="1" customHeight="1">
      <c r="A36" s="281"/>
      <c r="B36" s="282"/>
      <c r="C36" s="283"/>
      <c r="D36" s="284"/>
    </row>
    <row r="37" spans="1:4" s="243" customFormat="1" ht="18.75" hidden="1" customHeight="1">
      <c r="A37" s="64" t="s">
        <v>331</v>
      </c>
      <c r="B37" s="67" t="str">
        <f>"3.0m*0.2m*4ea = "&amp;ROUND(3*0.2*4,3)&amp;"㎡"</f>
        <v>3.0m*0.2m*4ea = 2.4㎡</v>
      </c>
      <c r="C37" s="65" t="s">
        <v>2</v>
      </c>
      <c r="D37" s="66">
        <v>2.4</v>
      </c>
    </row>
    <row r="38" spans="1:4" s="243" customFormat="1" ht="18.75" hidden="1" customHeight="1">
      <c r="A38" s="245"/>
      <c r="B38" s="186"/>
      <c r="C38" s="187"/>
      <c r="D38" s="290"/>
    </row>
    <row r="39" spans="1:4" s="243" customFormat="1" ht="18.75" customHeight="1">
      <c r="A39" s="55" t="s">
        <v>319</v>
      </c>
      <c r="B39" s="56"/>
      <c r="C39" s="57"/>
      <c r="D39" s="58"/>
    </row>
    <row r="40" spans="1:4" s="243" customFormat="1" ht="18.75" customHeight="1">
      <c r="A40" s="227" t="s">
        <v>320</v>
      </c>
      <c r="B40" s="60"/>
      <c r="C40" s="61"/>
      <c r="D40" s="62"/>
    </row>
    <row r="41" spans="1:4" s="243" customFormat="1" ht="18.75" customHeight="1">
      <c r="A41" s="74" t="s">
        <v>323</v>
      </c>
      <c r="B41" s="67"/>
      <c r="C41" s="65"/>
      <c r="D41" s="66"/>
    </row>
    <row r="42" spans="1:4" s="243" customFormat="1" ht="18.75" customHeight="1">
      <c r="A42" s="134" t="s">
        <v>321</v>
      </c>
      <c r="B42" s="67" t="str">
        <f>"2.5m*2.5m*0.06 = "&amp;ROUND(2.5*2.5*0.06,3)&amp;"㎥"</f>
        <v>2.5m*2.5m*0.06 = 0.375㎥</v>
      </c>
      <c r="C42" s="65" t="s">
        <v>3</v>
      </c>
      <c r="D42" s="66">
        <v>0.375</v>
      </c>
    </row>
    <row r="43" spans="1:4" s="243" customFormat="1" ht="18.75" customHeight="1">
      <c r="A43" s="134" t="s">
        <v>316</v>
      </c>
      <c r="B43" s="67" t="str">
        <f>"0.2*0.2*0.6m*6ea = "&amp;ROUND(0.2*0.2*0.6*6,2)&amp;"㎥"</f>
        <v>0.2*0.2*0.6m*6ea = 0.14㎥</v>
      </c>
      <c r="C43" s="65" t="s">
        <v>3</v>
      </c>
      <c r="D43" s="66">
        <v>0.14000000000000001</v>
      </c>
    </row>
    <row r="44" spans="1:4" s="243" customFormat="1" ht="18.75" customHeight="1">
      <c r="A44" s="134" t="s">
        <v>322</v>
      </c>
      <c r="B44" s="67" t="str">
        <f>"2.5m*0.2m*0.06*4ea = "&amp;ROUND(2.5*0.2*0.06*4,2)&amp;"㎥"</f>
        <v>2.5m*0.2m*0.06*4ea = 0.12㎥</v>
      </c>
      <c r="C44" s="65" t="s">
        <v>3</v>
      </c>
      <c r="D44" s="66">
        <v>0.12</v>
      </c>
    </row>
    <row r="45" spans="1:4" s="243" customFormat="1" ht="18.75" customHeight="1">
      <c r="A45" s="286" t="s">
        <v>161</v>
      </c>
      <c r="B45" s="287"/>
      <c r="C45" s="199" t="s">
        <v>3</v>
      </c>
      <c r="D45" s="285">
        <f>SUM(D42:D44)</f>
        <v>0.63500000000000001</v>
      </c>
    </row>
    <row r="46" spans="1:4" s="243" customFormat="1" ht="18.75" customHeight="1">
      <c r="A46" s="134"/>
      <c r="B46" s="67"/>
      <c r="C46" s="65"/>
      <c r="D46" s="66"/>
    </row>
    <row r="47" spans="1:4" s="243" customFormat="1" ht="18.75" customHeight="1">
      <c r="A47" s="74" t="s">
        <v>324</v>
      </c>
      <c r="B47" s="67" t="str">
        <f>"0.5m*0.5m*0.5*6ea = "&amp;ROUND(0.5*0.5*0.5*6,2)&amp;"㎥"</f>
        <v>0.5m*0.5m*0.5*6ea = 0.75㎥</v>
      </c>
      <c r="C47" s="199" t="s">
        <v>3</v>
      </c>
      <c r="D47" s="285">
        <v>0.75</v>
      </c>
    </row>
    <row r="48" spans="1:4" s="243" customFormat="1" ht="18.75" customHeight="1">
      <c r="A48" s="134"/>
      <c r="B48" s="67"/>
      <c r="C48" s="65"/>
      <c r="D48" s="66"/>
    </row>
    <row r="49" spans="1:4" s="243" customFormat="1" ht="18.75" customHeight="1">
      <c r="A49" s="74" t="s">
        <v>334</v>
      </c>
      <c r="B49" s="67" t="str">
        <f>"0.3m*0.3m*0.3*4ea = "&amp;ROUND(0.3*0.3*0.3*4,2)&amp;"㎥"</f>
        <v>0.3m*0.3m*0.3*4ea = 0.11㎥</v>
      </c>
      <c r="C49" s="199" t="s">
        <v>3</v>
      </c>
      <c r="D49" s="285">
        <v>0.11</v>
      </c>
    </row>
    <row r="50" spans="1:4" s="243" customFormat="1" ht="18.75" customHeight="1">
      <c r="A50" s="134"/>
      <c r="B50" s="67"/>
      <c r="C50" s="65"/>
      <c r="D50" s="66"/>
    </row>
    <row r="51" spans="1:4" s="243" customFormat="1" ht="18.75" customHeight="1">
      <c r="A51" s="286"/>
      <c r="B51" s="287"/>
      <c r="C51" s="199"/>
      <c r="D51" s="285"/>
    </row>
    <row r="52" spans="1:4" s="243" customFormat="1" ht="18.75" customHeight="1">
      <c r="A52" s="134"/>
      <c r="B52" s="67"/>
      <c r="C52" s="65"/>
      <c r="D52" s="66"/>
    </row>
    <row r="53" spans="1:4" s="243" customFormat="1" ht="18.75" customHeight="1">
      <c r="A53" s="74"/>
      <c r="B53" s="67"/>
      <c r="C53" s="65"/>
      <c r="D53" s="66"/>
    </row>
    <row r="54" spans="1:4" ht="18.75" customHeight="1">
      <c r="A54" s="245"/>
      <c r="B54" s="186"/>
      <c r="C54" s="273"/>
      <c r="D54" s="274"/>
    </row>
  </sheetData>
  <phoneticPr fontId="13" type="noConversion"/>
  <printOptions horizontalCentered="1" gridLinesSet="0"/>
  <pageMargins left="0.39370078740157483" right="0.39370078740157483" top="1.1811023622047245" bottom="0.82677165354330717" header="0.78740157480314965" footer="0"/>
  <pageSetup paperSize="9" scale="97" orientation="portrait" blackAndWhite="1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C000"/>
  </sheetPr>
  <dimension ref="A1:H111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5" width="12.21875" style="428" customWidth="1"/>
    <col min="6" max="6" width="8.88671875" style="428" customWidth="1"/>
    <col min="7" max="7" width="8.109375" style="455" hidden="1" customWidth="1"/>
    <col min="8" max="8" width="8.109375" style="432" customWidth="1"/>
    <col min="9" max="16384" width="8.109375" style="428"/>
  </cols>
  <sheetData>
    <row r="1" spans="1:8" ht="24.95" customHeight="1">
      <c r="A1" s="597" t="s">
        <v>4621</v>
      </c>
      <c r="B1" s="598"/>
      <c r="C1" s="598"/>
      <c r="D1" s="598"/>
      <c r="E1" s="598"/>
      <c r="F1" s="598"/>
      <c r="G1" s="426" t="s">
        <v>807</v>
      </c>
      <c r="H1" s="427" t="s">
        <v>807</v>
      </c>
    </row>
    <row r="2" spans="1:8" ht="17.45" customHeight="1">
      <c r="A2" s="429" t="s">
        <v>5654</v>
      </c>
      <c r="G2" s="431" t="str">
        <f ca="1">MID(CELL("filename",$A$1),FIND("]",CELL("filename",$A$1))+1,LEN(CELL("filename",$A$1)))</f>
        <v>재료비목록표</v>
      </c>
    </row>
    <row r="3" spans="1:8" ht="17.45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906</v>
      </c>
      <c r="F3" s="440" t="s">
        <v>905</v>
      </c>
      <c r="H3" s="433" t="str">
        <f>HYPERLINK("#'〓 목 차 〓'!B2","목차 →")</f>
        <v>목차 →</v>
      </c>
    </row>
    <row r="4" spans="1:8" ht="17.45" customHeight="1">
      <c r="A4" s="460" t="s">
        <v>4622</v>
      </c>
      <c r="B4" s="452" t="s">
        <v>2948</v>
      </c>
      <c r="C4" s="452" t="s">
        <v>2949</v>
      </c>
      <c r="D4" s="460" t="s">
        <v>911</v>
      </c>
      <c r="E4" s="525">
        <f>자재단가대비표!O5</f>
        <v>735</v>
      </c>
      <c r="F4" s="463"/>
      <c r="G4" s="451" t="str">
        <f>"_x0007_`COD|M00666_x0005_`QTY1|1_x0005_`BQC|_x0005_`EQC|_x0005_`JDC|_x0005_`WQC|_x0005_`EDT|2026.01_x0005_`DET|"&amp;ROW(자재단가대비표!A5)&amp;"_x0005_`"</f>
        <v>_x0007_`COD|M00666_x0005_`QTY1|1_x0005_`BQC|_x0005_`EQC|_x0005_`JDC|_x0005_`WQC|_x0005_`EDT|2026.01_x0005_`DET|5_x0005_`</v>
      </c>
      <c r="H4" s="433" t="str">
        <f ca="1">HYPERLINK("#"&amp;자재단가대비표!R2&amp;"!A"&amp;ROW(자재단가대비표!A5),"M00666 →")</f>
        <v>M00666 →</v>
      </c>
    </row>
    <row r="5" spans="1:8" ht="17.45" customHeight="1">
      <c r="A5" s="460" t="s">
        <v>4623</v>
      </c>
      <c r="B5" s="452" t="s">
        <v>3258</v>
      </c>
      <c r="C5" s="452" t="s">
        <v>3259</v>
      </c>
      <c r="D5" s="460" t="s">
        <v>911</v>
      </c>
      <c r="E5" s="525">
        <f>자재단가대비표!O6</f>
        <v>1977</v>
      </c>
      <c r="F5" s="463"/>
      <c r="G5" s="451" t="str">
        <f>"_x0007_`COD|M00912_x0005_`QTY1|1_x0005_`BQC|_x0005_`EQC|_x0005_`JDC|_x0005_`WQC|_x0005_`EDT|2026.01_x0005_`DET|"&amp;ROW(자재단가대비표!A6)&amp;"_x0005_`"</f>
        <v>_x0007_`COD|M00912_x0005_`QTY1|1_x0005_`BQC|_x0005_`EQC|_x0005_`JDC|_x0005_`WQC|_x0005_`EDT|2026.01_x0005_`DET|6_x0005_`</v>
      </c>
      <c r="H5" s="433" t="str">
        <f ca="1">HYPERLINK("#"&amp;자재단가대비표!R2&amp;"!A"&amp;ROW(자재단가대비표!A6),"M00912 →")</f>
        <v>M00912 →</v>
      </c>
    </row>
    <row r="6" spans="1:8" ht="17.45" customHeight="1">
      <c r="A6" s="460" t="s">
        <v>4624</v>
      </c>
      <c r="B6" s="452" t="s">
        <v>2966</v>
      </c>
      <c r="C6" s="452" t="s">
        <v>2967</v>
      </c>
      <c r="D6" s="460" t="s">
        <v>2377</v>
      </c>
      <c r="E6" s="525">
        <f>자재단가대비표!O7</f>
        <v>1309</v>
      </c>
      <c r="F6" s="463"/>
      <c r="G6" s="451" t="str">
        <f>"_x0007_`COD|M00795_x0005_`QTY1|1_x0005_`BQC|_x0005_`EQC|_x0005_`JDC|_x0005_`WQC|_x0005_`EDT|2026.01_x0005_`DET|"&amp;ROW(자재단가대비표!A7)&amp;"_x0005_`"</f>
        <v>_x0007_`COD|M00795_x0005_`QTY1|1_x0005_`BQC|_x0005_`EQC|_x0005_`JDC|_x0005_`WQC|_x0005_`EDT|2026.01_x0005_`DET|7_x0005_`</v>
      </c>
      <c r="H6" s="433" t="str">
        <f ca="1">HYPERLINK("#"&amp;자재단가대비표!R2&amp;"!A"&amp;ROW(자재단가대비표!A7),"M00795 →")</f>
        <v>M00795 →</v>
      </c>
    </row>
    <row r="7" spans="1:8" ht="17.45" customHeight="1">
      <c r="A7" s="460" t="s">
        <v>4431</v>
      </c>
      <c r="B7" s="452" t="s">
        <v>4625</v>
      </c>
      <c r="C7" s="452" t="s">
        <v>4626</v>
      </c>
      <c r="D7" s="460" t="s">
        <v>8</v>
      </c>
      <c r="E7" s="525">
        <f>자재단가대비표!O8</f>
        <v>511929</v>
      </c>
      <c r="F7" s="463"/>
      <c r="G7" s="451" t="str">
        <f>"_x0007_`COD|M02431_x0005_`QTY1|1_x0005_`BQC|_x0005_`EQC|_x0005_`JDC|3010369820141038_x0005_`WQC|_x0005_`EDT|_x0005_`DET|"&amp;ROW(자재단가대비표!A8)&amp;"_x0005_`"</f>
        <v>_x0007_`COD|M02431_x0005_`QTY1|1_x0005_`BQC|_x0005_`EQC|_x0005_`JDC|3010369820141038_x0005_`WQC|_x0005_`EDT|_x0005_`DET|8_x0005_`</v>
      </c>
      <c r="H7" s="433" t="str">
        <f ca="1">HYPERLINK("#"&amp;자재단가대비표!R2&amp;"!A"&amp;ROW(자재단가대비표!A8),"M02431 →")</f>
        <v>M02431 →</v>
      </c>
    </row>
    <row r="8" spans="1:8" ht="17.45" customHeight="1">
      <c r="A8" s="460" t="s">
        <v>4627</v>
      </c>
      <c r="B8" s="452" t="s">
        <v>2627</v>
      </c>
      <c r="C8" s="452" t="s">
        <v>2628</v>
      </c>
      <c r="D8" s="460" t="s">
        <v>605</v>
      </c>
      <c r="E8" s="525">
        <f>자재단가대비표!O9</f>
        <v>6200</v>
      </c>
      <c r="F8" s="463"/>
      <c r="G8" s="451" t="str">
        <f>"_x0007_`COD|M00950_x0005_`QTY1|1_x0005_`BQC|_x0005_`EQC|_x0005_`JDC|_x0005_`WQC|_x0005_`EDT|2026.01_x0005_`DET|"&amp;ROW(자재단가대비표!A9)&amp;"_x0005_`"</f>
        <v>_x0007_`COD|M00950_x0005_`QTY1|1_x0005_`BQC|_x0005_`EQC|_x0005_`JDC|_x0005_`WQC|_x0005_`EDT|2026.01_x0005_`DET|9_x0005_`</v>
      </c>
      <c r="H8" s="433" t="str">
        <f ca="1">HYPERLINK("#"&amp;자재단가대비표!R2&amp;"!A"&amp;ROW(자재단가대비표!A9),"M00950 →")</f>
        <v>M00950 →</v>
      </c>
    </row>
    <row r="9" spans="1:8" ht="17.45" customHeight="1">
      <c r="A9" s="460" t="s">
        <v>4628</v>
      </c>
      <c r="B9" s="452" t="s">
        <v>3054</v>
      </c>
      <c r="C9" s="452" t="s">
        <v>3055</v>
      </c>
      <c r="D9" s="460" t="s">
        <v>2576</v>
      </c>
      <c r="E9" s="525">
        <f>자재단가대비표!O10</f>
        <v>925000</v>
      </c>
      <c r="F9" s="463"/>
      <c r="G9" s="451" t="str">
        <f>"_x0007_`COD|M01271_x0005_`QTY1|1_x0005_`BQC|_x0005_`EQC|_x0005_`JDC|_x0005_`WQC|_x0005_`EDT|2026.01_x0005_`DET|"&amp;ROW(자재단가대비표!A10)&amp;"_x0005_`"</f>
        <v>_x0007_`COD|M01271_x0005_`QTY1|1_x0005_`BQC|_x0005_`EQC|_x0005_`JDC|_x0005_`WQC|_x0005_`EDT|2026.01_x0005_`DET|10_x0005_`</v>
      </c>
      <c r="H9" s="433" t="str">
        <f ca="1">HYPERLINK("#"&amp;자재단가대비표!R2&amp;"!A"&amp;ROW(자재단가대비표!A10),"M01271 →")</f>
        <v>M01271 →</v>
      </c>
    </row>
    <row r="10" spans="1:8" ht="17.45" customHeight="1">
      <c r="A10" s="460" t="s">
        <v>4487</v>
      </c>
      <c r="B10" s="452" t="s">
        <v>4485</v>
      </c>
      <c r="C10" s="452" t="s">
        <v>4486</v>
      </c>
      <c r="D10" s="460" t="s">
        <v>2840</v>
      </c>
      <c r="E10" s="525">
        <f>자재단가대비표!O11</f>
        <v>1379</v>
      </c>
      <c r="F10" s="463"/>
      <c r="G10" s="451" t="str">
        <f>"_x0007_`COD|M00874_x0005_`QTY1|1_x0005_`BQC|_x0005_`EQC|_x0005_`JDC|1510150520282163_x0005_`WQC|_x0005_`EDT|2025.12.30_x0005_`DET|"&amp;ROW(자재단가대비표!A11)&amp;"_x0005_`"</f>
        <v>_x0007_`COD|M00874_x0005_`QTY1|1_x0005_`BQC|_x0005_`EQC|_x0005_`JDC|1510150520282163_x0005_`WQC|_x0005_`EDT|2025.12.30_x0005_`DET|11_x0005_`</v>
      </c>
      <c r="H10" s="433" t="str">
        <f ca="1">HYPERLINK("#"&amp;자재단가대비표!R2&amp;"!A"&amp;ROW(자재단가대비표!A11),"M00874 →")</f>
        <v>M00874 →</v>
      </c>
    </row>
    <row r="11" spans="1:8" ht="17.45" customHeight="1">
      <c r="A11" s="460" t="s">
        <v>4629</v>
      </c>
      <c r="B11" s="452" t="s">
        <v>2364</v>
      </c>
      <c r="C11" s="452" t="s">
        <v>2750</v>
      </c>
      <c r="D11" s="460" t="s">
        <v>1589</v>
      </c>
      <c r="E11" s="525">
        <f>자재단가대비표!O12</f>
        <v>850</v>
      </c>
      <c r="F11" s="463"/>
      <c r="G11" s="451" t="str">
        <f>"_x0007_`COD|M01205_x0005_`QTY1|1_x0005_`BQC|_x0005_`EQC|_x0005_`JDC|_x0005_`WQC|_x0005_`EDT|2026.01_x0005_`DET|"&amp;ROW(자재단가대비표!A12)&amp;"_x0005_`"</f>
        <v>_x0007_`COD|M01205_x0005_`QTY1|1_x0005_`BQC|_x0005_`EQC|_x0005_`JDC|_x0005_`WQC|_x0005_`EDT|2026.01_x0005_`DET|12_x0005_`</v>
      </c>
      <c r="H11" s="433" t="str">
        <f ca="1">HYPERLINK("#"&amp;자재단가대비표!R2&amp;"!A"&amp;ROW(자재단가대비표!A12),"M01205 →")</f>
        <v>M01205 →</v>
      </c>
    </row>
    <row r="12" spans="1:8" ht="17.45" customHeight="1">
      <c r="A12" s="460" t="s">
        <v>4630</v>
      </c>
      <c r="B12" s="452" t="s">
        <v>2364</v>
      </c>
      <c r="C12" s="452" t="s">
        <v>2365</v>
      </c>
      <c r="D12" s="460" t="s">
        <v>1589</v>
      </c>
      <c r="E12" s="525">
        <f>자재단가대비표!O13</f>
        <v>1000</v>
      </c>
      <c r="F12" s="463"/>
      <c r="G12" s="451" t="str">
        <f>"_x0007_`COD|M08843_x0005_`QTY1|1_x0005_`BQC|_x0005_`EQC|_x0005_`JDC|_x0005_`WQC|_x0005_`EDT|2026.01_x0005_`DET|"&amp;ROW(자재단가대비표!A13)&amp;"_x0005_`"</f>
        <v>_x0007_`COD|M08843_x0005_`QTY1|1_x0005_`BQC|_x0005_`EQC|_x0005_`JDC|_x0005_`WQC|_x0005_`EDT|2026.01_x0005_`DET|13_x0005_`</v>
      </c>
      <c r="H12" s="433" t="str">
        <f ca="1">HYPERLINK("#"&amp;자재단가대비표!R2&amp;"!A"&amp;ROW(자재단가대비표!A13),"M08843 →")</f>
        <v>M08843 →</v>
      </c>
    </row>
    <row r="13" spans="1:8" ht="17.45" customHeight="1">
      <c r="A13" s="460" t="s">
        <v>4631</v>
      </c>
      <c r="B13" s="452" t="s">
        <v>2375</v>
      </c>
      <c r="C13" s="452" t="s">
        <v>2376</v>
      </c>
      <c r="D13" s="460" t="s">
        <v>2377</v>
      </c>
      <c r="E13" s="525">
        <f>자재단가대비표!O14</f>
        <v>2376000</v>
      </c>
      <c r="F13" s="463"/>
      <c r="G13" s="451" t="str">
        <f>"_x0007_`COD|M01608_x0005_`QTY1|1_x0005_`BQC|_x0005_`EQC|_x0005_`JDC|_x0005_`WQC|_x0005_`EDT|2026.01_x0005_`DET|"&amp;ROW(자재단가대비표!A14)&amp;"_x0005_`"</f>
        <v>_x0007_`COD|M01608_x0005_`QTY1|1_x0005_`BQC|_x0005_`EQC|_x0005_`JDC|_x0005_`WQC|_x0005_`EDT|2026.01_x0005_`DET|14_x0005_`</v>
      </c>
      <c r="H13" s="433" t="str">
        <f ca="1">HYPERLINK("#"&amp;자재단가대비표!R2&amp;"!A"&amp;ROW(자재단가대비표!A14),"M01608 →")</f>
        <v>M01608 →</v>
      </c>
    </row>
    <row r="14" spans="1:8" ht="17.45" customHeight="1">
      <c r="A14" s="460" t="s">
        <v>4632</v>
      </c>
      <c r="B14" s="452" t="s">
        <v>2382</v>
      </c>
      <c r="C14" s="452" t="s">
        <v>2383</v>
      </c>
      <c r="D14" s="460" t="s">
        <v>2377</v>
      </c>
      <c r="E14" s="525">
        <f>자재단가대비표!O15</f>
        <v>6648000</v>
      </c>
      <c r="F14" s="463"/>
      <c r="G14" s="451" t="str">
        <f>"_x0007_`COD|M01609_x0005_`QTY1|1_x0005_`BQC|_x0005_`EQC|_x0005_`JDC|_x0005_`WQC|_x0005_`EDT|2026.01_x0005_`DET|"&amp;ROW(자재단가대비표!A15)&amp;"_x0005_`"</f>
        <v>_x0007_`COD|M01609_x0005_`QTY1|1_x0005_`BQC|_x0005_`EQC|_x0005_`JDC|_x0005_`WQC|_x0005_`EDT|2026.01_x0005_`DET|15_x0005_`</v>
      </c>
      <c r="H14" s="433" t="str">
        <f ca="1">HYPERLINK("#"&amp;자재단가대비표!R2&amp;"!A"&amp;ROW(자재단가대비표!A15),"M01609 →")</f>
        <v>M01609 →</v>
      </c>
    </row>
    <row r="15" spans="1:8" ht="17.45" customHeight="1">
      <c r="A15" s="460" t="s">
        <v>4633</v>
      </c>
      <c r="B15" s="452" t="s">
        <v>1326</v>
      </c>
      <c r="C15" s="452" t="s">
        <v>2396</v>
      </c>
      <c r="D15" s="460" t="s">
        <v>1589</v>
      </c>
      <c r="E15" s="525">
        <f>자재단가대비표!O16</f>
        <v>3950000</v>
      </c>
      <c r="F15" s="463"/>
      <c r="G15" s="451" t="str">
        <f>"_x0007_`COD|M01612_x0005_`QTY1|1_x0005_`BQC|_x0005_`EQC|_x0005_`JDC|_x0005_`WQC|_x0005_`EDT|2026.01_x0005_`DET|"&amp;ROW(자재단가대비표!A16)&amp;"_x0005_`"</f>
        <v>_x0007_`COD|M01612_x0005_`QTY1|1_x0005_`BQC|_x0005_`EQC|_x0005_`JDC|_x0005_`WQC|_x0005_`EDT|2026.01_x0005_`DET|16_x0005_`</v>
      </c>
      <c r="H15" s="433" t="str">
        <f ca="1">HYPERLINK("#"&amp;자재단가대비표!R2&amp;"!A"&amp;ROW(자재단가대비표!A16),"M01612 →")</f>
        <v>M01612 →</v>
      </c>
    </row>
    <row r="16" spans="1:8" ht="17.45" customHeight="1">
      <c r="A16" s="460" t="s">
        <v>4634</v>
      </c>
      <c r="B16" s="452" t="s">
        <v>3197</v>
      </c>
      <c r="C16" s="452" t="s">
        <v>3198</v>
      </c>
      <c r="D16" s="460" t="s">
        <v>911</v>
      </c>
      <c r="E16" s="525">
        <f>자재단가대비표!O17</f>
        <v>7340</v>
      </c>
      <c r="F16" s="463"/>
      <c r="G16" s="451" t="str">
        <f>"_x0007_`COD|M01585_x0005_`QTY1|1_x0005_`BQC|_x0005_`EQC|_x0005_`JDC|_x0005_`WQC|_x0005_`EDT|2026.01_x0005_`DET|"&amp;ROW(자재단가대비표!A17)&amp;"_x0005_`"</f>
        <v>_x0007_`COD|M01585_x0005_`QTY1|1_x0005_`BQC|_x0005_`EQC|_x0005_`JDC|_x0005_`WQC|_x0005_`EDT|2026.01_x0005_`DET|17_x0005_`</v>
      </c>
      <c r="H16" s="433" t="str">
        <f ca="1">HYPERLINK("#"&amp;자재단가대비표!R2&amp;"!A"&amp;ROW(자재단가대비표!A17),"M01585 →")</f>
        <v>M01585 →</v>
      </c>
    </row>
    <row r="17" spans="1:8" ht="17.45" customHeight="1">
      <c r="A17" s="460" t="s">
        <v>4635</v>
      </c>
      <c r="B17" s="452" t="s">
        <v>3197</v>
      </c>
      <c r="C17" s="452" t="s">
        <v>3203</v>
      </c>
      <c r="D17" s="460" t="s">
        <v>911</v>
      </c>
      <c r="E17" s="525">
        <f>자재단가대비표!O18</f>
        <v>11200</v>
      </c>
      <c r="F17" s="463"/>
      <c r="G17" s="451" t="str">
        <f>"_x0007_`COD|M01586_x0005_`QTY1|1_x0005_`BQC|_x0005_`EQC|_x0005_`JDC|_x0005_`WQC|_x0005_`EDT|2026.01_x0005_`DET|"&amp;ROW(자재단가대비표!A18)&amp;"_x0005_`"</f>
        <v>_x0007_`COD|M01586_x0005_`QTY1|1_x0005_`BQC|_x0005_`EQC|_x0005_`JDC|_x0005_`WQC|_x0005_`EDT|2026.01_x0005_`DET|18_x0005_`</v>
      </c>
      <c r="H17" s="433" t="str">
        <f ca="1">HYPERLINK("#"&amp;자재단가대비표!R2&amp;"!A"&amp;ROW(자재단가대비표!A18),"M01586 →")</f>
        <v>M01586 →</v>
      </c>
    </row>
    <row r="18" spans="1:8" ht="17.45" customHeight="1">
      <c r="A18" s="460" t="s">
        <v>4636</v>
      </c>
      <c r="B18" s="452" t="s">
        <v>3197</v>
      </c>
      <c r="C18" s="452" t="s">
        <v>3208</v>
      </c>
      <c r="D18" s="460" t="s">
        <v>911</v>
      </c>
      <c r="E18" s="525">
        <f>자재단가대비표!O19</f>
        <v>14960</v>
      </c>
      <c r="F18" s="463"/>
      <c r="G18" s="451" t="str">
        <f>"_x0007_`COD|M01587_x0005_`QTY1|1_x0005_`BQC|_x0005_`EQC|_x0005_`JDC|_x0005_`WQC|_x0005_`EDT|2026.01_x0005_`DET|"&amp;ROW(자재단가대비표!A19)&amp;"_x0005_`"</f>
        <v>_x0007_`COD|M01587_x0005_`QTY1|1_x0005_`BQC|_x0005_`EQC|_x0005_`JDC|_x0005_`WQC|_x0005_`EDT|2026.01_x0005_`DET|19_x0005_`</v>
      </c>
      <c r="H18" s="433" t="str">
        <f ca="1">HYPERLINK("#"&amp;자재단가대비표!R2&amp;"!A"&amp;ROW(자재단가대비표!A19),"M01587 →")</f>
        <v>M01587 →</v>
      </c>
    </row>
    <row r="19" spans="1:8" ht="17.45" customHeight="1">
      <c r="A19" s="460" t="s">
        <v>4637</v>
      </c>
      <c r="B19" s="452" t="s">
        <v>3197</v>
      </c>
      <c r="C19" s="452" t="s">
        <v>3213</v>
      </c>
      <c r="D19" s="460" t="s">
        <v>911</v>
      </c>
      <c r="E19" s="525">
        <f>자재단가대비표!O20</f>
        <v>26920</v>
      </c>
      <c r="F19" s="463"/>
      <c r="G19" s="451" t="str">
        <f>"_x0007_`COD|M01588_x0005_`QTY1|1_x0005_`BQC|_x0005_`EQC|_x0005_`JDC|_x0005_`WQC|_x0005_`EDT|2026.01_x0005_`DET|"&amp;ROW(자재단가대비표!A20)&amp;"_x0005_`"</f>
        <v>_x0007_`COD|M01588_x0005_`QTY1|1_x0005_`BQC|_x0005_`EQC|_x0005_`JDC|_x0005_`WQC|_x0005_`EDT|2026.01_x0005_`DET|20_x0005_`</v>
      </c>
      <c r="H19" s="433" t="str">
        <f ca="1">HYPERLINK("#"&amp;자재단가대비표!R2&amp;"!A"&amp;ROW(자재단가대비표!A20),"M01588 →")</f>
        <v>M01588 →</v>
      </c>
    </row>
    <row r="20" spans="1:8" ht="17.45" customHeight="1">
      <c r="A20" s="460" t="s">
        <v>4638</v>
      </c>
      <c r="B20" s="452" t="s">
        <v>3059</v>
      </c>
      <c r="C20" s="452" t="s">
        <v>3060</v>
      </c>
      <c r="D20" s="460" t="s">
        <v>911</v>
      </c>
      <c r="E20" s="525">
        <f>자재단가대비표!O21</f>
        <v>8010</v>
      </c>
      <c r="F20" s="463"/>
      <c r="G20" s="451" t="str">
        <f>"_x0007_`COD|M01613_x0005_`QTY1|1_x0005_`BQC|_x0005_`EQC|_x0005_`JDC|_x0005_`WQC|_x0005_`EDT|2026.01_x0005_`DET|"&amp;ROW(자재단가대비표!A21)&amp;"_x0005_`"</f>
        <v>_x0007_`COD|M01613_x0005_`QTY1|1_x0005_`BQC|_x0005_`EQC|_x0005_`JDC|_x0005_`WQC|_x0005_`EDT|2026.01_x0005_`DET|21_x0005_`</v>
      </c>
      <c r="H20" s="433" t="str">
        <f ca="1">HYPERLINK("#"&amp;자재단가대비표!R2&amp;"!A"&amp;ROW(자재단가대비표!A21),"M01613 →")</f>
        <v>M01613 →</v>
      </c>
    </row>
    <row r="21" spans="1:8" ht="17.45" customHeight="1">
      <c r="A21" s="460" t="s">
        <v>4639</v>
      </c>
      <c r="B21" s="452" t="s">
        <v>2911</v>
      </c>
      <c r="C21" s="452" t="s">
        <v>2912</v>
      </c>
      <c r="D21" s="460" t="s">
        <v>911</v>
      </c>
      <c r="E21" s="525">
        <f>자재단가대비표!O22</f>
        <v>14910</v>
      </c>
      <c r="F21" s="463"/>
      <c r="G21" s="451" t="str">
        <f>"_x0007_`COD|M08805_x0005_`QTY1|1_x0005_`BQC|_x0005_`EQC|_x0005_`JDC|_x0005_`WQC|_x0005_`EDT|2026.01_x0005_`DET|"&amp;ROW(자재단가대비표!A22)&amp;"_x0005_`"</f>
        <v>_x0007_`COD|M08805_x0005_`QTY1|1_x0005_`BQC|_x0005_`EQC|_x0005_`JDC|_x0005_`WQC|_x0005_`EDT|2026.01_x0005_`DET|22_x0005_`</v>
      </c>
      <c r="H21" s="433" t="str">
        <f ca="1">HYPERLINK("#"&amp;자재단가대비표!R2&amp;"!A"&amp;ROW(자재단가대비표!A22),"M08805 →")</f>
        <v>M08805 →</v>
      </c>
    </row>
    <row r="22" spans="1:8" ht="17.45" customHeight="1">
      <c r="A22" s="460" t="s">
        <v>4640</v>
      </c>
      <c r="B22" s="452" t="s">
        <v>2911</v>
      </c>
      <c r="C22" s="452" t="s">
        <v>3264</v>
      </c>
      <c r="D22" s="460" t="s">
        <v>911</v>
      </c>
      <c r="E22" s="525">
        <f>자재단가대비표!O23</f>
        <v>18310</v>
      </c>
      <c r="F22" s="463"/>
      <c r="G22" s="451" t="str">
        <f>"_x0007_`COD|M01578_x0005_`QTY1|1_x0005_`BQC|_x0005_`EQC|_x0005_`JDC|_x0005_`WQC|_x0005_`EDT|2026.01_x0005_`DET|"&amp;ROW(자재단가대비표!A23)&amp;"_x0005_`"</f>
        <v>_x0007_`COD|M01578_x0005_`QTY1|1_x0005_`BQC|_x0005_`EQC|_x0005_`JDC|_x0005_`WQC|_x0005_`EDT|2026.01_x0005_`DET|23_x0005_`</v>
      </c>
      <c r="H22" s="433" t="str">
        <f ca="1">HYPERLINK("#"&amp;자재단가대비표!R2&amp;"!A"&amp;ROW(자재단가대비표!A23),"M01578 →")</f>
        <v>M01578 →</v>
      </c>
    </row>
    <row r="23" spans="1:8" ht="17.45" customHeight="1">
      <c r="A23" s="460" t="s">
        <v>4641</v>
      </c>
      <c r="B23" s="452" t="s">
        <v>3171</v>
      </c>
      <c r="C23" s="452" t="s">
        <v>3172</v>
      </c>
      <c r="D23" s="460" t="s">
        <v>2576</v>
      </c>
      <c r="E23" s="525">
        <f>자재단가대비표!O24</f>
        <v>45000</v>
      </c>
      <c r="F23" s="463"/>
      <c r="G23" s="451" t="str">
        <f>"_x0007_`COD|M01053_x0005_`QTY1|1_x0005_`BQC|_x0005_`EQC|_x0005_`JDC|_x0005_`WQC|_x0005_`EDT|2026.01_x0005_`DET|"&amp;ROW(자재단가대비표!A24)&amp;"_x0005_`"</f>
        <v>_x0007_`COD|M01053_x0005_`QTY1|1_x0005_`BQC|_x0005_`EQC|_x0005_`JDC|_x0005_`WQC|_x0005_`EDT|2026.01_x0005_`DET|24_x0005_`</v>
      </c>
      <c r="H23" s="433" t="str">
        <f ca="1">HYPERLINK("#"&amp;자재단가대비표!R2&amp;"!A"&amp;ROW(자재단가대비표!A24),"M01053 →")</f>
        <v>M01053 →</v>
      </c>
    </row>
    <row r="24" spans="1:8" ht="17.45" customHeight="1">
      <c r="A24" s="460" t="s">
        <v>4642</v>
      </c>
      <c r="B24" s="452" t="s">
        <v>2401</v>
      </c>
      <c r="C24" s="452" t="s">
        <v>2402</v>
      </c>
      <c r="D24" s="460" t="s">
        <v>2377</v>
      </c>
      <c r="E24" s="525">
        <f>자재단가대비표!O25</f>
        <v>2004000</v>
      </c>
      <c r="F24" s="463"/>
      <c r="G24" s="451" t="str">
        <f>"_x0007_`COD|M01605_x0005_`QTY1|1_x0005_`BQC|_x0005_`EQC|_x0005_`JDC|_x0005_`WQC|_x0005_`EDT|2026.01_x0005_`DET|"&amp;ROW(자재단가대비표!A25)&amp;"_x0005_`"</f>
        <v>_x0007_`COD|M01605_x0005_`QTY1|1_x0005_`BQC|_x0005_`EQC|_x0005_`JDC|_x0005_`WQC|_x0005_`EDT|2026.01_x0005_`DET|25_x0005_`</v>
      </c>
      <c r="H24" s="433" t="str">
        <f ca="1">HYPERLINK("#"&amp;자재단가대비표!R2&amp;"!A"&amp;ROW(자재단가대비표!A25),"M01605 →")</f>
        <v>M01605 →</v>
      </c>
    </row>
    <row r="25" spans="1:8" ht="17.45" customHeight="1">
      <c r="A25" s="460" t="s">
        <v>4428</v>
      </c>
      <c r="B25" s="452" t="s">
        <v>4643</v>
      </c>
      <c r="C25" s="452" t="s">
        <v>4644</v>
      </c>
      <c r="D25" s="460" t="s">
        <v>595</v>
      </c>
      <c r="E25" s="525">
        <f>자재단가대비표!O26</f>
        <v>12485</v>
      </c>
      <c r="F25" s="463"/>
      <c r="G25" s="451" t="str">
        <f>"_x0007_`COD|M02446_x0005_`QTY1|1_x0005_`BQC|_x0005_`EQC|_x0005_`JDC|1112200120142452_x0005_`WQC|_x0005_`EDT|_x0005_`DET|"&amp;ROW(자재단가대비표!A26)&amp;"_x0005_`"</f>
        <v>_x0007_`COD|M02446_x0005_`QTY1|1_x0005_`BQC|_x0005_`EQC|_x0005_`JDC|1112200120142452_x0005_`WQC|_x0005_`EDT|_x0005_`DET|26_x0005_`</v>
      </c>
      <c r="H25" s="433" t="str">
        <f ca="1">HYPERLINK("#"&amp;자재단가대비표!R2&amp;"!A"&amp;ROW(자재단가대비표!A26),"M02446 →")</f>
        <v>M02446 →</v>
      </c>
    </row>
    <row r="26" spans="1:8" ht="17.45" customHeight="1">
      <c r="A26" s="460" t="s">
        <v>4645</v>
      </c>
      <c r="B26" s="452" t="s">
        <v>2932</v>
      </c>
      <c r="C26" s="452" t="s">
        <v>2933</v>
      </c>
      <c r="D26" s="460" t="s">
        <v>2377</v>
      </c>
      <c r="E26" s="525">
        <f>자재단가대비표!O27</f>
        <v>157.30000000000001</v>
      </c>
      <c r="F26" s="463"/>
      <c r="G26" s="451" t="str">
        <f>"_x0007_`COD|M00958_x0005_`QTY1|1_x0005_`BQC|_x0005_`EQC|_x0005_`JDC|_x0005_`WQC|_x0005_`EDT|2026.01_x0005_`DET|"&amp;ROW(자재단가대비표!A27)&amp;"_x0005_`"</f>
        <v>_x0007_`COD|M00958_x0005_`QTY1|1_x0005_`BQC|_x0005_`EQC|_x0005_`JDC|_x0005_`WQC|_x0005_`EDT|2026.01_x0005_`DET|27_x0005_`</v>
      </c>
      <c r="H26" s="433" t="str">
        <f ca="1">HYPERLINK("#"&amp;자재단가대비표!R2&amp;"!A"&amp;ROW(자재단가대비표!A27),"M00958 →")</f>
        <v>M00958 →</v>
      </c>
    </row>
    <row r="27" spans="1:8" ht="17.45" customHeight="1">
      <c r="A27" s="460" t="s">
        <v>4646</v>
      </c>
      <c r="B27" s="452" t="s">
        <v>2429</v>
      </c>
      <c r="C27" s="452" t="s">
        <v>2430</v>
      </c>
      <c r="D27" s="460" t="s">
        <v>2431</v>
      </c>
      <c r="E27" s="525">
        <f>자재단가대비표!O28</f>
        <v>7027</v>
      </c>
      <c r="F27" s="463"/>
      <c r="G27" s="451" t="str">
        <f>"_x0007_`COD|M00990_x0005_`QTY1|1_x0005_`BQC|_x0005_`EQC|_x0005_`JDC|_x0005_`WQC|_x0005_`EDT|2026.01_x0005_`DET|"&amp;ROW(자재단가대비표!A28)&amp;"_x0005_`"</f>
        <v>_x0007_`COD|M00990_x0005_`QTY1|1_x0005_`BQC|_x0005_`EQC|_x0005_`JDC|_x0005_`WQC|_x0005_`EDT|2026.01_x0005_`DET|28_x0005_`</v>
      </c>
      <c r="H27" s="433" t="str">
        <f ca="1">HYPERLINK("#"&amp;자재단가대비표!R2&amp;"!A"&amp;ROW(자재단가대비표!A28),"M00990 →")</f>
        <v>M00990 →</v>
      </c>
    </row>
    <row r="28" spans="1:8" ht="17.45" customHeight="1">
      <c r="A28" s="460" t="s">
        <v>4647</v>
      </c>
      <c r="B28" s="452" t="s">
        <v>1331</v>
      </c>
      <c r="C28" s="452" t="s">
        <v>2445</v>
      </c>
      <c r="D28" s="460" t="s">
        <v>1589</v>
      </c>
      <c r="E28" s="525">
        <f>자재단가대비표!O29</f>
        <v>5450000</v>
      </c>
      <c r="F28" s="463"/>
      <c r="G28" s="451" t="str">
        <f>"_x0007_`COD|M01538_x0005_`QTY1|1_x0005_`BQC|_x0005_`EQC|_x0005_`JDC|_x0005_`WQC|_x0005_`EDT|2026.01_x0005_`DET|"&amp;ROW(자재단가대비표!A29)&amp;"_x0005_`"</f>
        <v>_x0007_`COD|M01538_x0005_`QTY1|1_x0005_`BQC|_x0005_`EQC|_x0005_`JDC|_x0005_`WQC|_x0005_`EDT|2026.01_x0005_`DET|29_x0005_`</v>
      </c>
      <c r="H28" s="433" t="str">
        <f ca="1">HYPERLINK("#"&amp;자재단가대비표!R2&amp;"!A"&amp;ROW(자재단가대비표!A29),"M01538 →")</f>
        <v>M01538 →</v>
      </c>
    </row>
    <row r="29" spans="1:8" ht="17.45" customHeight="1">
      <c r="A29" s="460" t="s">
        <v>4648</v>
      </c>
      <c r="B29" s="452" t="s">
        <v>1336</v>
      </c>
      <c r="C29" s="452" t="s">
        <v>2450</v>
      </c>
      <c r="D29" s="460" t="s">
        <v>1589</v>
      </c>
      <c r="E29" s="525">
        <f>자재단가대비표!O30</f>
        <v>6110000</v>
      </c>
      <c r="F29" s="463"/>
      <c r="G29" s="451" t="str">
        <f>"_x0007_`COD|M01543_x0005_`QTY1|1_x0005_`BQC|_x0005_`EQC|_x0005_`JDC|_x0005_`WQC|_x0005_`EDT|2026.01_x0005_`DET|"&amp;ROW(자재단가대비표!A30)&amp;"_x0005_`"</f>
        <v>_x0007_`COD|M01543_x0005_`QTY1|1_x0005_`BQC|_x0005_`EQC|_x0005_`JDC|_x0005_`WQC|_x0005_`EDT|2026.01_x0005_`DET|30_x0005_`</v>
      </c>
      <c r="H29" s="433" t="str">
        <f ca="1">HYPERLINK("#"&amp;자재단가대비표!R2&amp;"!A"&amp;ROW(자재단가대비표!A30),"M01543 →")</f>
        <v>M01543 →</v>
      </c>
    </row>
    <row r="30" spans="1:8" ht="17.45" customHeight="1">
      <c r="A30" s="460" t="s">
        <v>4649</v>
      </c>
      <c r="B30" s="452" t="s">
        <v>1341</v>
      </c>
      <c r="C30" s="452" t="s">
        <v>2455</v>
      </c>
      <c r="D30" s="460" t="s">
        <v>1589</v>
      </c>
      <c r="E30" s="525">
        <f>자재단가대비표!O31</f>
        <v>4335000</v>
      </c>
      <c r="F30" s="463"/>
      <c r="G30" s="451" t="str">
        <f>"_x0007_`COD|M01540_x0005_`QTY1|1_x0005_`BQC|_x0005_`EQC|_x0005_`JDC|_x0005_`WQC|_x0005_`EDT|2026.01_x0005_`DET|"&amp;ROW(자재단가대비표!A31)&amp;"_x0005_`"</f>
        <v>_x0007_`COD|M01540_x0005_`QTY1|1_x0005_`BQC|_x0005_`EQC|_x0005_`JDC|_x0005_`WQC|_x0005_`EDT|2026.01_x0005_`DET|31_x0005_`</v>
      </c>
      <c r="H30" s="433" t="str">
        <f ca="1">HYPERLINK("#"&amp;자재단가대비표!R2&amp;"!A"&amp;ROW(자재단가대비표!A31),"M01540 →")</f>
        <v>M01540 →</v>
      </c>
    </row>
    <row r="31" spans="1:8" ht="17.45" customHeight="1">
      <c r="A31" s="460" t="s">
        <v>4650</v>
      </c>
      <c r="B31" s="452" t="s">
        <v>2569</v>
      </c>
      <c r="C31" s="452" t="s">
        <v>2570</v>
      </c>
      <c r="D31" s="460" t="s">
        <v>1589</v>
      </c>
      <c r="E31" s="525">
        <f>자재단가대비표!O32</f>
        <v>432545</v>
      </c>
      <c r="F31" s="463"/>
      <c r="G31" s="451" t="str">
        <f>"_x0007_`COD|M01611_x0005_`QTY1|1_x0005_`BQC|_x0005_`EQC|_x0005_`JDC|_x0005_`WQC|_x0005_`EDT|2026.01_x0005_`DET|"&amp;ROW(자재단가대비표!A32)&amp;"_x0005_`"</f>
        <v>_x0007_`COD|M01611_x0005_`QTY1|1_x0005_`BQC|_x0005_`EQC|_x0005_`JDC|_x0005_`WQC|_x0005_`EDT|2026.01_x0005_`DET|32_x0005_`</v>
      </c>
      <c r="H31" s="433" t="str">
        <f ca="1">HYPERLINK("#"&amp;자재단가대비표!R2&amp;"!A"&amp;ROW(자재단가대비표!A32),"M01611 →")</f>
        <v>M01611 →</v>
      </c>
    </row>
    <row r="32" spans="1:8" ht="17.45" customHeight="1">
      <c r="A32" s="460" t="s">
        <v>4651</v>
      </c>
      <c r="B32" s="452" t="s">
        <v>1346</v>
      </c>
      <c r="C32" s="452" t="s">
        <v>2604</v>
      </c>
      <c r="D32" s="460" t="s">
        <v>1589</v>
      </c>
      <c r="E32" s="525">
        <f>자재단가대비표!O33</f>
        <v>3415000</v>
      </c>
      <c r="F32" s="463"/>
      <c r="G32" s="451" t="str">
        <f>"_x0007_`COD|M01539_x0005_`QTY1|1_x0005_`BQC|_x0005_`EQC|_x0005_`JDC|_x0005_`WQC|_x0005_`EDT|2026.01_x0005_`DET|"&amp;ROW(자재단가대비표!A33)&amp;"_x0005_`"</f>
        <v>_x0007_`COD|M01539_x0005_`QTY1|1_x0005_`BQC|_x0005_`EQC|_x0005_`JDC|_x0005_`WQC|_x0005_`EDT|2026.01_x0005_`DET|33_x0005_`</v>
      </c>
      <c r="H32" s="433" t="str">
        <f ca="1">HYPERLINK("#"&amp;자재단가대비표!R2&amp;"!A"&amp;ROW(자재단가대비표!A33),"M01539 →")</f>
        <v>M01539 →</v>
      </c>
    </row>
    <row r="33" spans="1:8" ht="17.45" customHeight="1">
      <c r="A33" s="460" t="s">
        <v>4652</v>
      </c>
      <c r="B33" s="452" t="s">
        <v>2615</v>
      </c>
      <c r="C33" s="452" t="s">
        <v>2616</v>
      </c>
      <c r="D33" s="460" t="s">
        <v>8</v>
      </c>
      <c r="E33" s="525">
        <f>자재단가대비표!O34</f>
        <v>37000</v>
      </c>
      <c r="F33" s="463"/>
      <c r="G33" s="451" t="str">
        <f>"_x0007_`COD|M00956_x0005_`QTY1|1_x0005_`BQC|_x0005_`EQC|_x0005_`JDC|_x0005_`WQC|_x0005_`EDT|2026.01_x0005_`DET|"&amp;ROW(자재단가대비표!A34)&amp;"_x0005_`"</f>
        <v>_x0007_`COD|M00956_x0005_`QTY1|1_x0005_`BQC|_x0005_`EQC|_x0005_`JDC|_x0005_`WQC|_x0005_`EDT|2026.01_x0005_`DET|34_x0005_`</v>
      </c>
      <c r="H33" s="433" t="str">
        <f ca="1">HYPERLINK("#"&amp;자재단가대비표!R2&amp;"!A"&amp;ROW(자재단가대비표!A34),"M00956 →")</f>
        <v>M00956 →</v>
      </c>
    </row>
    <row r="34" spans="1:8" ht="17.45" customHeight="1">
      <c r="A34" s="460" t="s">
        <v>4653</v>
      </c>
      <c r="B34" s="452" t="s">
        <v>4654</v>
      </c>
      <c r="C34" s="452" t="s">
        <v>4655</v>
      </c>
      <c r="D34" s="460" t="s">
        <v>595</v>
      </c>
      <c r="E34" s="525">
        <f>자재단가대비표!O35</f>
        <v>124200</v>
      </c>
      <c r="F34" s="463"/>
      <c r="G34" s="451" t="str">
        <f>"_x0007_`COD|M08816_x0005_`QTY1|1_x0005_`BQC|_x0005_`EQC|_x0005_`JDC|_x0005_`WQC|_x0005_`EDT|2026.01_x0005_`DET|"&amp;ROW(자재단가대비표!A35)&amp;"_x0005_`"</f>
        <v>_x0007_`COD|M08816_x0005_`QTY1|1_x0005_`BQC|_x0005_`EQC|_x0005_`JDC|_x0005_`WQC|_x0005_`EDT|2026.01_x0005_`DET|35_x0005_`</v>
      </c>
      <c r="H34" s="433" t="str">
        <f ca="1">HYPERLINK("#"&amp;자재단가대비표!R2&amp;"!A"&amp;ROW(자재단가대비표!A35),"M08816 →")</f>
        <v>M08816 →</v>
      </c>
    </row>
    <row r="35" spans="1:8" ht="17.45" customHeight="1">
      <c r="A35" s="460" t="s">
        <v>4656</v>
      </c>
      <c r="B35" s="452" t="s">
        <v>2676</v>
      </c>
      <c r="C35" s="452" t="s">
        <v>2677</v>
      </c>
      <c r="D35" s="460" t="s">
        <v>1589</v>
      </c>
      <c r="E35" s="525">
        <f>자재단가대비표!O36</f>
        <v>1584000</v>
      </c>
      <c r="F35" s="463"/>
      <c r="G35" s="451" t="str">
        <f>"_x0007_`COD|M01513_x0005_`QTY1|1_x0005_`BQC|_x0005_`EQC|_x0005_`JDC|_x0005_`WQC|_x0005_`EDT|2026.01_x0005_`DET|"&amp;ROW(자재단가대비표!A36)&amp;"_x0005_`"</f>
        <v>_x0007_`COD|M01513_x0005_`QTY1|1_x0005_`BQC|_x0005_`EQC|_x0005_`JDC|_x0005_`WQC|_x0005_`EDT|2026.01_x0005_`DET|36_x0005_`</v>
      </c>
      <c r="H35" s="433" t="str">
        <f ca="1">HYPERLINK("#"&amp;자재단가대비표!R2&amp;"!A"&amp;ROW(자재단가대비표!A36),"M01513 →")</f>
        <v>M01513 →</v>
      </c>
    </row>
    <row r="36" spans="1:8" ht="17.45" customHeight="1">
      <c r="A36" s="460" t="s">
        <v>4657</v>
      </c>
      <c r="B36" s="452" t="s">
        <v>2682</v>
      </c>
      <c r="C36" s="452" t="s">
        <v>2677</v>
      </c>
      <c r="D36" s="460" t="s">
        <v>1589</v>
      </c>
      <c r="E36" s="525">
        <f>자재단가대비표!O37</f>
        <v>1932000</v>
      </c>
      <c r="F36" s="463"/>
      <c r="G36" s="451" t="str">
        <f>"_x0007_`COD|M01408_x0005_`QTY1|1_x0005_`BQC|_x0005_`EQC|_x0005_`JDC|_x0005_`WQC|_x0005_`EDT|2026.01_x0005_`DET|"&amp;ROW(자재단가대비표!A37)&amp;"_x0005_`"</f>
        <v>_x0007_`COD|M01408_x0005_`QTY1|1_x0005_`BQC|_x0005_`EQC|_x0005_`JDC|_x0005_`WQC|_x0005_`EDT|2026.01_x0005_`DET|37_x0005_`</v>
      </c>
      <c r="H36" s="433" t="str">
        <f ca="1">HYPERLINK("#"&amp;자재단가대비표!R2&amp;"!A"&amp;ROW(자재단가대비표!A37),"M01408 →")</f>
        <v>M01408 →</v>
      </c>
    </row>
    <row r="37" spans="1:8" ht="17.45" customHeight="1">
      <c r="A37" s="460" t="s">
        <v>4658</v>
      </c>
      <c r="B37" s="452" t="s">
        <v>2687</v>
      </c>
      <c r="C37" s="452" t="s">
        <v>2677</v>
      </c>
      <c r="D37" s="460" t="s">
        <v>1589</v>
      </c>
      <c r="E37" s="525">
        <f>자재단가대비표!O38</f>
        <v>2136000</v>
      </c>
      <c r="F37" s="463"/>
      <c r="G37" s="451" t="str">
        <f>"_x0007_`COD|M01524_x0005_`QTY1|1_x0005_`BQC|_x0005_`EQC|_x0005_`JDC|_x0005_`WQC|_x0005_`EDT|2026.01_x0005_`DET|"&amp;ROW(자재단가대비표!A38)&amp;"_x0005_`"</f>
        <v>_x0007_`COD|M01524_x0005_`QTY1|1_x0005_`BQC|_x0005_`EQC|_x0005_`JDC|_x0005_`WQC|_x0005_`EDT|2026.01_x0005_`DET|38_x0005_`</v>
      </c>
      <c r="H37" s="433" t="str">
        <f ca="1">HYPERLINK("#"&amp;자재단가대비표!R2&amp;"!A"&amp;ROW(자재단가대비표!A38),"M01524 →")</f>
        <v>M01524 →</v>
      </c>
    </row>
    <row r="38" spans="1:8" ht="17.45" customHeight="1">
      <c r="A38" s="460" t="s">
        <v>4659</v>
      </c>
      <c r="B38" s="452" t="s">
        <v>2695</v>
      </c>
      <c r="C38" s="452" t="s">
        <v>2677</v>
      </c>
      <c r="D38" s="460" t="s">
        <v>1589</v>
      </c>
      <c r="E38" s="525">
        <f>자재단가대비표!O39</f>
        <v>264000</v>
      </c>
      <c r="F38" s="463"/>
      <c r="G38" s="451" t="str">
        <f>"_x0007_`COD|M01461_x0005_`QTY1|1_x0005_`BQC|_x0005_`EQC|_x0005_`JDC|_x0005_`WQC|_x0005_`EDT|2026.01_x0005_`DET|"&amp;ROW(자재단가대비표!A39)&amp;"_x0005_`"</f>
        <v>_x0007_`COD|M01461_x0005_`QTY1|1_x0005_`BQC|_x0005_`EQC|_x0005_`JDC|_x0005_`WQC|_x0005_`EDT|2026.01_x0005_`DET|39_x0005_`</v>
      </c>
      <c r="H38" s="433" t="str">
        <f ca="1">HYPERLINK("#"&amp;자재단가대비표!R2&amp;"!A"&amp;ROW(자재단가대비표!A39),"M01461 →")</f>
        <v>M01461 →</v>
      </c>
    </row>
    <row r="39" spans="1:8" ht="17.45" customHeight="1">
      <c r="A39" s="460" t="s">
        <v>4660</v>
      </c>
      <c r="B39" s="452" t="s">
        <v>2349</v>
      </c>
      <c r="C39" s="452" t="s">
        <v>2350</v>
      </c>
      <c r="D39" s="460" t="s">
        <v>595</v>
      </c>
      <c r="E39" s="525">
        <f>자재단가대비표!O40</f>
        <v>600</v>
      </c>
      <c r="F39" s="463"/>
      <c r="G39" s="451" t="str">
        <f>"_x0007_`COD|M08845_x0005_`QTY1|1_x0005_`BQC|_x0005_`EQC|_x0005_`JDC|_x0005_`WQC|_x0005_`EDT|2026.01_x0005_`DET|"&amp;ROW(자재단가대비표!A40)&amp;"_x0005_`"</f>
        <v>_x0007_`COD|M08845_x0005_`QTY1|1_x0005_`BQC|_x0005_`EQC|_x0005_`JDC|_x0005_`WQC|_x0005_`EDT|2026.01_x0005_`DET|40_x0005_`</v>
      </c>
      <c r="H39" s="433" t="str">
        <f ca="1">HYPERLINK("#"&amp;자재단가대비표!R2&amp;"!A"&amp;ROW(자재단가대비표!A40),"M08845 →")</f>
        <v>M08845 →</v>
      </c>
    </row>
    <row r="40" spans="1:8" ht="17.45" customHeight="1">
      <c r="A40" s="460" t="s">
        <v>4253</v>
      </c>
      <c r="B40" s="452" t="s">
        <v>4661</v>
      </c>
      <c r="C40" s="452" t="s">
        <v>4662</v>
      </c>
      <c r="D40" s="460" t="s">
        <v>3038</v>
      </c>
      <c r="E40" s="525">
        <f>자재단가대비표!O41</f>
        <v>1690</v>
      </c>
      <c r="F40" s="463"/>
      <c r="G40" s="451" t="str">
        <f>"_x0007_`COD|M00875_x0005_`QTY1|1_x0005_`BQC|_x0005_`EQC|_x0005_`JDC|_x0005_`WQC|_x0005_`EDT|2026.01_x0005_`DET|"&amp;ROW(자재단가대비표!A41)&amp;"_x0005_`"</f>
        <v>_x0007_`COD|M00875_x0005_`QTY1|1_x0005_`BQC|_x0005_`EQC|_x0005_`JDC|_x0005_`WQC|_x0005_`EDT|2026.01_x0005_`DET|41_x0005_`</v>
      </c>
      <c r="H40" s="433" t="str">
        <f ca="1">HYPERLINK("#"&amp;자재단가대비표!R2&amp;"!A"&amp;ROW(자재단가대비표!A41),"M00875 →")</f>
        <v>M00875 →</v>
      </c>
    </row>
    <row r="41" spans="1:8" ht="17.45" customHeight="1">
      <c r="A41" s="460" t="s">
        <v>4663</v>
      </c>
      <c r="B41" s="452" t="s">
        <v>2745</v>
      </c>
      <c r="C41" s="452" t="s">
        <v>2746</v>
      </c>
      <c r="D41" s="460" t="s">
        <v>911</v>
      </c>
      <c r="E41" s="525">
        <f>자재단가대비표!O42</f>
        <v>28000</v>
      </c>
      <c r="F41" s="463"/>
      <c r="G41" s="451" t="str">
        <f>"_x0007_`COD|M01442_x0005_`QTY1|1_x0005_`BQC|_x0005_`EQC|_x0005_`JDC|_x0005_`WQC|_x0005_`EDT|2026.01_x0005_`DET|"&amp;ROW(자재단가대비표!A42)&amp;"_x0005_`"</f>
        <v>_x0007_`COD|M01442_x0005_`QTY1|1_x0005_`BQC|_x0005_`EQC|_x0005_`JDC|_x0005_`WQC|_x0005_`EDT|2026.01_x0005_`DET|42_x0005_`</v>
      </c>
      <c r="H41" s="433" t="str">
        <f ca="1">HYPERLINK("#"&amp;자재단가대비표!R2&amp;"!A"&amp;ROW(자재단가대비표!A42),"M01442 →")</f>
        <v>M01442 →</v>
      </c>
    </row>
    <row r="42" spans="1:8" ht="17.45" customHeight="1">
      <c r="A42" s="460" t="s">
        <v>4664</v>
      </c>
      <c r="B42" s="452" t="s">
        <v>2745</v>
      </c>
      <c r="C42" s="452" t="s">
        <v>2760</v>
      </c>
      <c r="D42" s="460" t="s">
        <v>911</v>
      </c>
      <c r="E42" s="525">
        <f>자재단가대비표!O43</f>
        <v>33500</v>
      </c>
      <c r="F42" s="463"/>
      <c r="G42" s="451" t="str">
        <f>"_x0007_`COD|M01479_x0005_`QTY1|1_x0005_`BQC|_x0005_`EQC|_x0005_`JDC|_x0005_`WQC|_x0005_`EDT|2026.01_x0005_`DET|"&amp;ROW(자재단가대비표!A43)&amp;"_x0005_`"</f>
        <v>_x0007_`COD|M01479_x0005_`QTY1|1_x0005_`BQC|_x0005_`EQC|_x0005_`JDC|_x0005_`WQC|_x0005_`EDT|2026.01_x0005_`DET|43_x0005_`</v>
      </c>
      <c r="H42" s="433" t="str">
        <f ca="1">HYPERLINK("#"&amp;자재단가대비표!R2&amp;"!A"&amp;ROW(자재단가대비표!A43),"M01479 →")</f>
        <v>M01479 →</v>
      </c>
    </row>
    <row r="43" spans="1:8" ht="17.45" customHeight="1">
      <c r="A43" s="460" t="s">
        <v>4665</v>
      </c>
      <c r="B43" s="452" t="s">
        <v>2745</v>
      </c>
      <c r="C43" s="452" t="s">
        <v>2769</v>
      </c>
      <c r="D43" s="460" t="s">
        <v>911</v>
      </c>
      <c r="E43" s="525">
        <f>자재단가대비표!O44</f>
        <v>41000</v>
      </c>
      <c r="F43" s="463"/>
      <c r="G43" s="451" t="str">
        <f>"_x0007_`COD|M01474_x0005_`QTY1|1_x0005_`BQC|_x0005_`EQC|_x0005_`JDC|_x0005_`WQC|_x0005_`EDT|2026.01_x0005_`DET|"&amp;ROW(자재단가대비표!A44)&amp;"_x0005_`"</f>
        <v>_x0007_`COD|M01474_x0005_`QTY1|1_x0005_`BQC|_x0005_`EQC|_x0005_`JDC|_x0005_`WQC|_x0005_`EDT|2026.01_x0005_`DET|44_x0005_`</v>
      </c>
      <c r="H43" s="433" t="str">
        <f ca="1">HYPERLINK("#"&amp;자재단가대비표!R2&amp;"!A"&amp;ROW(자재단가대비표!A44),"M01474 →")</f>
        <v>M01474 →</v>
      </c>
    </row>
    <row r="44" spans="1:8" ht="17.45" customHeight="1">
      <c r="A44" s="460" t="s">
        <v>4666</v>
      </c>
      <c r="B44" s="452" t="s">
        <v>2745</v>
      </c>
      <c r="C44" s="452" t="s">
        <v>2783</v>
      </c>
      <c r="D44" s="460" t="s">
        <v>911</v>
      </c>
      <c r="E44" s="525">
        <f>자재단가대비표!O45</f>
        <v>55000</v>
      </c>
      <c r="F44" s="463"/>
      <c r="G44" s="451" t="str">
        <f>"_x0007_`COD|M08777_x0005_`QTY1|1_x0005_`BQC|_x0005_`EQC|_x0005_`JDC|_x0005_`WQC|_x0005_`EDT|2026.01_x0005_`DET|"&amp;ROW(자재단가대비표!A45)&amp;"_x0005_`"</f>
        <v>_x0007_`COD|M08777_x0005_`QTY1|1_x0005_`BQC|_x0005_`EQC|_x0005_`JDC|_x0005_`WQC|_x0005_`EDT|2026.01_x0005_`DET|45_x0005_`</v>
      </c>
      <c r="H44" s="433" t="str">
        <f ca="1">HYPERLINK("#"&amp;자재단가대비표!R2&amp;"!A"&amp;ROW(자재단가대비표!A45),"M08777 →")</f>
        <v>M08777 →</v>
      </c>
    </row>
    <row r="45" spans="1:8" ht="17.45" customHeight="1">
      <c r="A45" s="460" t="s">
        <v>4667</v>
      </c>
      <c r="B45" s="452" t="s">
        <v>2745</v>
      </c>
      <c r="C45" s="452" t="s">
        <v>2792</v>
      </c>
      <c r="D45" s="460" t="s">
        <v>911</v>
      </c>
      <c r="E45" s="525">
        <f>자재단가대비표!O46</f>
        <v>21000</v>
      </c>
      <c r="F45" s="463"/>
      <c r="G45" s="451" t="str">
        <f>"_x0007_`COD|M01440_x0005_`QTY1|1_x0005_`BQC|_x0005_`EQC|_x0005_`JDC|_x0005_`WQC|_x0005_`EDT|2026.01_x0005_`DET|"&amp;ROW(자재단가대비표!A46)&amp;"_x0005_`"</f>
        <v>_x0007_`COD|M01440_x0005_`QTY1|1_x0005_`BQC|_x0005_`EQC|_x0005_`JDC|_x0005_`WQC|_x0005_`EDT|2026.01_x0005_`DET|46_x0005_`</v>
      </c>
      <c r="H45" s="433" t="str">
        <f ca="1">HYPERLINK("#"&amp;자재단가대비표!R2&amp;"!A"&amp;ROW(자재단가대비표!A46),"M01440 →")</f>
        <v>M01440 →</v>
      </c>
    </row>
    <row r="46" spans="1:8" ht="17.45" customHeight="1">
      <c r="A46" s="460" t="s">
        <v>4668</v>
      </c>
      <c r="B46" s="452" t="s">
        <v>2745</v>
      </c>
      <c r="C46" s="452" t="s">
        <v>2797</v>
      </c>
      <c r="D46" s="460" t="s">
        <v>911</v>
      </c>
      <c r="E46" s="525">
        <f>자재단가대비표!O47</f>
        <v>23000</v>
      </c>
      <c r="F46" s="463"/>
      <c r="G46" s="451" t="str">
        <f>"_x0007_`COD|M01441_x0005_`QTY1|1_x0005_`BQC|_x0005_`EQC|_x0005_`JDC|_x0005_`WQC|_x0005_`EDT|2026.01_x0005_`DET|"&amp;ROW(자재단가대비표!A47)&amp;"_x0005_`"</f>
        <v>_x0007_`COD|M01441_x0005_`QTY1|1_x0005_`BQC|_x0005_`EQC|_x0005_`JDC|_x0005_`WQC|_x0005_`EDT|2026.01_x0005_`DET|47_x0005_`</v>
      </c>
      <c r="H46" s="433" t="str">
        <f ca="1">HYPERLINK("#"&amp;자재단가대비표!R2&amp;"!A"&amp;ROW(자재단가대비표!A47),"M01441 →")</f>
        <v>M01441 →</v>
      </c>
    </row>
    <row r="47" spans="1:8" ht="17.45" customHeight="1">
      <c r="A47" s="460" t="s">
        <v>4669</v>
      </c>
      <c r="B47" s="452" t="s">
        <v>2755</v>
      </c>
      <c r="C47" s="452" t="s">
        <v>2746</v>
      </c>
      <c r="D47" s="460" t="s">
        <v>911</v>
      </c>
      <c r="E47" s="525">
        <f>자재단가대비표!O48</f>
        <v>52500</v>
      </c>
      <c r="F47" s="463"/>
      <c r="G47" s="451" t="str">
        <f>"_x0007_`COD|M01602_x0005_`QTY1|1_x0005_`BQC|_x0005_`EQC|_x0005_`JDC|_x0005_`WQC|_x0005_`EDT|2026.01_x0005_`DET|"&amp;ROW(자재단가대비표!A48)&amp;"_x0005_`"</f>
        <v>_x0007_`COD|M01602_x0005_`QTY1|1_x0005_`BQC|_x0005_`EQC|_x0005_`JDC|_x0005_`WQC|_x0005_`EDT|2026.01_x0005_`DET|48_x0005_`</v>
      </c>
      <c r="H47" s="433" t="str">
        <f ca="1">HYPERLINK("#"&amp;자재단가대비표!R2&amp;"!A"&amp;ROW(자재단가대비표!A48),"M01602 →")</f>
        <v>M01602 →</v>
      </c>
    </row>
    <row r="48" spans="1:8" ht="17.45" customHeight="1">
      <c r="A48" s="460" t="s">
        <v>4670</v>
      </c>
      <c r="B48" s="452" t="s">
        <v>2755</v>
      </c>
      <c r="C48" s="452" t="s">
        <v>2760</v>
      </c>
      <c r="D48" s="460" t="s">
        <v>911</v>
      </c>
      <c r="E48" s="525">
        <f>자재단가대비표!O49</f>
        <v>61500</v>
      </c>
      <c r="F48" s="463"/>
      <c r="G48" s="451" t="str">
        <f>"_x0007_`COD|M01603_x0005_`QTY1|1_x0005_`BQC|_x0005_`EQC|_x0005_`JDC|_x0005_`WQC|_x0005_`EDT|2026.01_x0005_`DET|"&amp;ROW(자재단가대비표!A49)&amp;"_x0005_`"</f>
        <v>_x0007_`COD|M01603_x0005_`QTY1|1_x0005_`BQC|_x0005_`EQC|_x0005_`JDC|_x0005_`WQC|_x0005_`EDT|2026.01_x0005_`DET|49_x0005_`</v>
      </c>
      <c r="H48" s="433" t="str">
        <f ca="1">HYPERLINK("#"&amp;자재단가대비표!R2&amp;"!A"&amp;ROW(자재단가대비표!A49),"M01603 →")</f>
        <v>M01603 →</v>
      </c>
    </row>
    <row r="49" spans="1:8" ht="17.45" customHeight="1">
      <c r="A49" s="460" t="s">
        <v>4671</v>
      </c>
      <c r="B49" s="452" t="s">
        <v>2755</v>
      </c>
      <c r="C49" s="452" t="s">
        <v>2769</v>
      </c>
      <c r="D49" s="460" t="s">
        <v>911</v>
      </c>
      <c r="E49" s="525">
        <f>자재단가대비표!O50</f>
        <v>72000</v>
      </c>
      <c r="F49" s="463"/>
      <c r="G49" s="451" t="str">
        <f>"_x0007_`COD|M01604_x0005_`QTY1|1_x0005_`BQC|_x0005_`EQC|_x0005_`JDC|_x0005_`WQC|_x0005_`EDT|2026.01_x0005_`DET|"&amp;ROW(자재단가대비표!A50)&amp;"_x0005_`"</f>
        <v>_x0007_`COD|M01604_x0005_`QTY1|1_x0005_`BQC|_x0005_`EQC|_x0005_`JDC|_x0005_`WQC|_x0005_`EDT|2026.01_x0005_`DET|50_x0005_`</v>
      </c>
      <c r="H49" s="433" t="str">
        <f ca="1">HYPERLINK("#"&amp;자재단가대비표!R2&amp;"!A"&amp;ROW(자재단가대비표!A50),"M01604 →")</f>
        <v>M01604 →</v>
      </c>
    </row>
    <row r="50" spans="1:8" ht="17.45" customHeight="1">
      <c r="A50" s="460" t="s">
        <v>4672</v>
      </c>
      <c r="B50" s="452" t="s">
        <v>2755</v>
      </c>
      <c r="C50" s="452" t="s">
        <v>2783</v>
      </c>
      <c r="D50" s="460" t="s">
        <v>911</v>
      </c>
      <c r="E50" s="525">
        <f>자재단가대비표!O51</f>
        <v>97500</v>
      </c>
      <c r="F50" s="463"/>
      <c r="G50" s="451" t="str">
        <f>"_x0007_`COD|M08778_x0005_`QTY1|1_x0005_`BQC|_x0005_`EQC|_x0005_`JDC|_x0005_`WQC|_x0005_`EDT|2026.01_x0005_`DET|"&amp;ROW(자재단가대비표!A51)&amp;"_x0005_`"</f>
        <v>_x0007_`COD|M08778_x0005_`QTY1|1_x0005_`BQC|_x0005_`EQC|_x0005_`JDC|_x0005_`WQC|_x0005_`EDT|2026.01_x0005_`DET|51_x0005_`</v>
      </c>
      <c r="H50" s="433" t="str">
        <f ca="1">HYPERLINK("#"&amp;자재단가대비표!R2&amp;"!A"&amp;ROW(자재단가대비표!A51),"M08778 →")</f>
        <v>M08778 →</v>
      </c>
    </row>
    <row r="51" spans="1:8" ht="17.45" customHeight="1">
      <c r="A51" s="460" t="s">
        <v>4673</v>
      </c>
      <c r="B51" s="452" t="s">
        <v>3185</v>
      </c>
      <c r="C51" s="452" t="s">
        <v>3186</v>
      </c>
      <c r="D51" s="460" t="s">
        <v>595</v>
      </c>
      <c r="E51" s="525">
        <f>자재단가대비표!O52</f>
        <v>1250</v>
      </c>
      <c r="F51" s="463"/>
      <c r="G51" s="451" t="str">
        <f>"_x0007_`COD|M08846_x0005_`QTY1|1_x0005_`BQC|_x0005_`EQC|_x0005_`JDC|_x0005_`WQC|_x0005_`EDT|2026.01_x0005_`DET|"&amp;ROW(자재단가대비표!A52)&amp;"_x0005_`"</f>
        <v>_x0007_`COD|M08846_x0005_`QTY1|1_x0005_`BQC|_x0005_`EQC|_x0005_`JDC|_x0005_`WQC|_x0005_`EDT|2026.01_x0005_`DET|52_x0005_`</v>
      </c>
      <c r="H51" s="433" t="str">
        <f ca="1">HYPERLINK("#"&amp;자재단가대비표!R2&amp;"!A"&amp;ROW(자재단가대비표!A52),"M08846 →")</f>
        <v>M08846 →</v>
      </c>
    </row>
    <row r="52" spans="1:8" ht="17.45" customHeight="1">
      <c r="A52" s="460" t="s">
        <v>4674</v>
      </c>
      <c r="B52" s="452" t="s">
        <v>2819</v>
      </c>
      <c r="C52" s="452" t="s">
        <v>2820</v>
      </c>
      <c r="D52" s="460" t="s">
        <v>1799</v>
      </c>
      <c r="E52" s="525">
        <f>자재단가대비표!O53</f>
        <v>160000</v>
      </c>
      <c r="F52" s="463"/>
      <c r="G52" s="451" t="str">
        <f>"_x0007_`COD|M08852_x0005_`QTY1|1_x0005_`BQC|_x0005_`EQC|_x0005_`JDC|_x0005_`WQC|_x0005_`EDT|2026.01_x0005_`DET|"&amp;ROW(자재단가대비표!A53)&amp;"_x0005_`"</f>
        <v>_x0007_`COD|M08852_x0005_`QTY1|1_x0005_`BQC|_x0005_`EQC|_x0005_`JDC|_x0005_`WQC|_x0005_`EDT|2026.01_x0005_`DET|53_x0005_`</v>
      </c>
      <c r="H52" s="433" t="str">
        <f ca="1">HYPERLINK("#"&amp;자재단가대비표!R2&amp;"!A"&amp;ROW(자재단가대비표!A53),"M08852 →")</f>
        <v>M08852 →</v>
      </c>
    </row>
    <row r="53" spans="1:8" ht="17.45" customHeight="1">
      <c r="A53" s="460" t="s">
        <v>4675</v>
      </c>
      <c r="B53" s="452" t="s">
        <v>2927</v>
      </c>
      <c r="C53" s="452" t="s">
        <v>2988</v>
      </c>
      <c r="D53" s="460" t="s">
        <v>2377</v>
      </c>
      <c r="E53" s="525">
        <f>자재단가대비표!O54</f>
        <v>1129</v>
      </c>
      <c r="F53" s="463"/>
      <c r="G53" s="451" t="str">
        <f>"_x0007_`COD|M00667_x0005_`QTY1|1_x0005_`BQC|_x0005_`EQC|_x0005_`JDC|_x0005_`WQC|_x0005_`EDT|2026.01_x0005_`DET|"&amp;ROW(자재단가대비표!A54)&amp;"_x0005_`"</f>
        <v>_x0007_`COD|M00667_x0005_`QTY1|1_x0005_`BQC|_x0005_`EQC|_x0005_`JDC|_x0005_`WQC|_x0005_`EDT|2026.01_x0005_`DET|54_x0005_`</v>
      </c>
      <c r="H53" s="433" t="str">
        <f ca="1">HYPERLINK("#"&amp;자재단가대비표!R2&amp;"!A"&amp;ROW(자재단가대비표!A54),"M00667 →")</f>
        <v>M00667 →</v>
      </c>
    </row>
    <row r="54" spans="1:8" ht="17.45" customHeight="1">
      <c r="A54" s="460" t="s">
        <v>4676</v>
      </c>
      <c r="B54" s="452" t="s">
        <v>2927</v>
      </c>
      <c r="C54" s="452" t="s">
        <v>2928</v>
      </c>
      <c r="D54" s="460" t="s">
        <v>2377</v>
      </c>
      <c r="E54" s="525">
        <f>자재단가대비표!O55</f>
        <v>1293</v>
      </c>
      <c r="F54" s="463"/>
      <c r="G54" s="451" t="str">
        <f>"_x0007_`COD|M08813_x0005_`QTY1|1_x0005_`BQC|_x0005_`EQC|_x0005_`JDC|_x0005_`WQC|_x0005_`EDT|2026.01_x0005_`DET|"&amp;ROW(자재단가대비표!A55)&amp;"_x0005_`"</f>
        <v>_x0007_`COD|M08813_x0005_`QTY1|1_x0005_`BQC|_x0005_`EQC|_x0005_`JDC|_x0005_`WQC|_x0005_`EDT|2026.01_x0005_`DET|55_x0005_`</v>
      </c>
      <c r="H54" s="433" t="str">
        <f ca="1">HYPERLINK("#"&amp;자재단가대비표!R2&amp;"!A"&amp;ROW(자재단가대비표!A55),"M08813 →")</f>
        <v>M08813 →</v>
      </c>
    </row>
    <row r="55" spans="1:8" ht="17.45" customHeight="1">
      <c r="A55" s="460" t="s">
        <v>4677</v>
      </c>
      <c r="B55" s="452" t="s">
        <v>2927</v>
      </c>
      <c r="C55" s="452" t="s">
        <v>3276</v>
      </c>
      <c r="D55" s="460" t="s">
        <v>2377</v>
      </c>
      <c r="E55" s="525">
        <f>자재단가대비표!O56</f>
        <v>1246</v>
      </c>
      <c r="F55" s="463"/>
      <c r="G55" s="451" t="str">
        <f>"_x0007_`COD|M01455_x0005_`QTY1|1_x0005_`BQC|_x0005_`EQC|_x0005_`JDC|_x0005_`WQC|_x0005_`EDT|2026.01_x0005_`DET|"&amp;ROW(자재단가대비표!A56)&amp;"_x0005_`"</f>
        <v>_x0007_`COD|M01455_x0005_`QTY1|1_x0005_`BQC|_x0005_`EQC|_x0005_`JDC|_x0005_`WQC|_x0005_`EDT|2026.01_x0005_`DET|56_x0005_`</v>
      </c>
      <c r="H55" s="433" t="str">
        <f ca="1">HYPERLINK("#"&amp;자재단가대비표!R2&amp;"!A"&amp;ROW(자재단가대비표!A56),"M01455 →")</f>
        <v>M01455 →</v>
      </c>
    </row>
    <row r="56" spans="1:8" ht="17.45" customHeight="1">
      <c r="A56" s="460" t="s">
        <v>4678</v>
      </c>
      <c r="B56" s="452" t="s">
        <v>2927</v>
      </c>
      <c r="C56" s="452" t="s">
        <v>3076</v>
      </c>
      <c r="D56" s="460" t="s">
        <v>2377</v>
      </c>
      <c r="E56" s="525">
        <f>자재단가대비표!O57</f>
        <v>2049</v>
      </c>
      <c r="F56" s="463"/>
      <c r="G56" s="451" t="str">
        <f>"_x0007_`COD|M00955_x0005_`QTY1|1_x0005_`BQC|_x0005_`EQC|_x0005_`JDC|_x0005_`WQC|_x0005_`EDT|2026.01_x0005_`DET|"&amp;ROW(자재단가대비표!A57)&amp;"_x0005_`"</f>
        <v>_x0007_`COD|M00955_x0005_`QTY1|1_x0005_`BQC|_x0005_`EQC|_x0005_`JDC|_x0005_`WQC|_x0005_`EDT|2026.01_x0005_`DET|57_x0005_`</v>
      </c>
      <c r="H56" s="433" t="str">
        <f ca="1">HYPERLINK("#"&amp;자재단가대비표!R2&amp;"!A"&amp;ROW(자재단가대비표!A57),"M00955 →")</f>
        <v>M00955 →</v>
      </c>
    </row>
    <row r="57" spans="1:8" ht="17.45" customHeight="1">
      <c r="A57" s="460" t="s">
        <v>4679</v>
      </c>
      <c r="B57" s="452" t="s">
        <v>2609</v>
      </c>
      <c r="C57" s="452" t="s">
        <v>2610</v>
      </c>
      <c r="D57" s="460" t="s">
        <v>2611</v>
      </c>
      <c r="E57" s="525">
        <f>자재단가대비표!O58</f>
        <v>208</v>
      </c>
      <c r="F57" s="463"/>
      <c r="G57" s="451" t="str">
        <f>"_x0007_`COD|M00634_x0005_`QTY1|1_x0005_`BQC|_x0005_`EQC|_x0005_`JDC|_x0005_`WQC|_x0005_`EDT|2026.01_x0005_`DET|"&amp;ROW(자재단가대비표!A58)&amp;"_x0005_`"</f>
        <v>_x0007_`COD|M00634_x0005_`QTY1|1_x0005_`BQC|_x0005_`EQC|_x0005_`JDC|_x0005_`WQC|_x0005_`EDT|2026.01_x0005_`DET|58_x0005_`</v>
      </c>
      <c r="H57" s="433" t="str">
        <f ca="1">HYPERLINK("#"&amp;자재단가대비표!R2&amp;"!A"&amp;ROW(자재단가대비표!A58),"M00634 →")</f>
        <v>M00634 →</v>
      </c>
    </row>
    <row r="58" spans="1:8" ht="17.45" customHeight="1">
      <c r="A58" s="460" t="s">
        <v>4680</v>
      </c>
      <c r="B58" s="452" t="s">
        <v>2868</v>
      </c>
      <c r="C58" s="452" t="s">
        <v>2869</v>
      </c>
      <c r="D58" s="460" t="s">
        <v>2377</v>
      </c>
      <c r="E58" s="525">
        <f>자재단가대비표!O59</f>
        <v>2436000</v>
      </c>
      <c r="F58" s="463"/>
      <c r="G58" s="451" t="str">
        <f>"_x0007_`COD|M01606_x0005_`QTY1|1_x0005_`BQC|_x0005_`EQC|_x0005_`JDC|_x0005_`WQC|_x0005_`EDT|2026.01_x0005_`DET|"&amp;ROW(자재단가대비표!A59)&amp;"_x0005_`"</f>
        <v>_x0007_`COD|M01606_x0005_`QTY1|1_x0005_`BQC|_x0005_`EQC|_x0005_`JDC|_x0005_`WQC|_x0005_`EDT|2026.01_x0005_`DET|59_x0005_`</v>
      </c>
      <c r="H58" s="433" t="str">
        <f ca="1">HYPERLINK("#"&amp;자재단가대비표!R2&amp;"!A"&amp;ROW(자재단가대비표!A59),"M01606 →")</f>
        <v>M01606 →</v>
      </c>
    </row>
    <row r="59" spans="1:8" ht="17.45" customHeight="1">
      <c r="A59" s="460" t="s">
        <v>4681</v>
      </c>
      <c r="B59" s="452" t="s">
        <v>2878</v>
      </c>
      <c r="C59" s="452" t="s">
        <v>1283</v>
      </c>
      <c r="D59" s="460" t="s">
        <v>595</v>
      </c>
      <c r="E59" s="525">
        <f>자재단가대비표!O60</f>
        <v>8250</v>
      </c>
      <c r="F59" s="463"/>
      <c r="G59" s="451" t="str">
        <f>"_x0007_`COD|M08844_x0005_`QTY1|1_x0005_`BQC|_x0005_`EQC|_x0005_`JDC|_x0005_`WQC|_x0005_`EDT|2026.01_x0005_`DET|"&amp;ROW(자재단가대비표!A60)&amp;"_x0005_`"</f>
        <v>_x0007_`COD|M08844_x0005_`QTY1|1_x0005_`BQC|_x0005_`EQC|_x0005_`JDC|_x0005_`WQC|_x0005_`EDT|2026.01_x0005_`DET|60_x0005_`</v>
      </c>
      <c r="H59" s="433" t="str">
        <f ca="1">HYPERLINK("#"&amp;자재단가대비표!R2&amp;"!A"&amp;ROW(자재단가대비표!A60),"M08844 →")</f>
        <v>M08844 →</v>
      </c>
    </row>
    <row r="60" spans="1:8" ht="17.45" customHeight="1">
      <c r="A60" s="460" t="s">
        <v>4682</v>
      </c>
      <c r="B60" s="452" t="s">
        <v>1144</v>
      </c>
      <c r="C60" s="452" t="s">
        <v>2888</v>
      </c>
      <c r="D60" s="460" t="s">
        <v>2889</v>
      </c>
      <c r="E60" s="525">
        <f>자재단가대비표!O61</f>
        <v>9900</v>
      </c>
      <c r="F60" s="463"/>
      <c r="G60" s="451" t="str">
        <f>"_x0007_`COD|M00801_x0005_`QTY1|1_x0005_`BQC|_x0005_`EQC|_x0005_`JDC|_x0005_`WQC|_x0005_`EDT|2026.01_x0005_`DET|"&amp;ROW(자재단가대비표!A61)&amp;"_x0005_`"</f>
        <v>_x0007_`COD|M00801_x0005_`QTY1|1_x0005_`BQC|_x0005_`EQC|_x0005_`JDC|_x0005_`WQC|_x0005_`EDT|2026.01_x0005_`DET|61_x0005_`</v>
      </c>
      <c r="H60" s="433" t="str">
        <f ca="1">HYPERLINK("#"&amp;자재단가대비표!R2&amp;"!A"&amp;ROW(자재단가대비표!A61),"M00801 →")</f>
        <v>M00801 →</v>
      </c>
    </row>
    <row r="61" spans="1:8" ht="17.45" customHeight="1">
      <c r="A61" s="460" t="s">
        <v>4683</v>
      </c>
      <c r="B61" s="452" t="s">
        <v>2435</v>
      </c>
      <c r="C61" s="452" t="s">
        <v>2436</v>
      </c>
      <c r="D61" s="460" t="s">
        <v>2431</v>
      </c>
      <c r="E61" s="525">
        <f>자재단가대비표!O62</f>
        <v>2500</v>
      </c>
      <c r="F61" s="463"/>
      <c r="G61" s="451" t="str">
        <f>"_x0007_`COD|M00167_x0005_`QTY1|1_x0005_`BQC|_x0005_`EQC|_x0005_`JDC|_x0005_`WQC|_x0005_`EDT|2026.01_x0005_`DET|"&amp;ROW(자재단가대비표!A62)&amp;"_x0005_`"</f>
        <v>_x0007_`COD|M00167_x0005_`QTY1|1_x0005_`BQC|_x0005_`EQC|_x0005_`JDC|_x0005_`WQC|_x0005_`EDT|2026.01_x0005_`DET|62_x0005_`</v>
      </c>
      <c r="H61" s="433" t="str">
        <f ca="1">HYPERLINK("#"&amp;자재단가대비표!R2&amp;"!A"&amp;ROW(자재단가대비표!A62),"M00167 →")</f>
        <v>M00167 →</v>
      </c>
    </row>
    <row r="62" spans="1:8" ht="17.45" customHeight="1">
      <c r="A62" s="460" t="s">
        <v>4684</v>
      </c>
      <c r="B62" s="452" t="s">
        <v>1351</v>
      </c>
      <c r="C62" s="452" t="s">
        <v>2316</v>
      </c>
      <c r="D62" s="460" t="s">
        <v>1589</v>
      </c>
      <c r="E62" s="525">
        <f>자재단가대비표!O63</f>
        <v>4470000</v>
      </c>
      <c r="F62" s="463"/>
      <c r="G62" s="451" t="str">
        <f>"_x0007_`COD|M01542_x0005_`QTY1|1_x0005_`BQC|_x0005_`EQC|_x0005_`JDC|_x0005_`WQC|_x0005_`EDT|2026.01_x0005_`DET|"&amp;ROW(자재단가대비표!A63)&amp;"_x0005_`"</f>
        <v>_x0007_`COD|M01542_x0005_`QTY1|1_x0005_`BQC|_x0005_`EQC|_x0005_`JDC|_x0005_`WQC|_x0005_`EDT|2026.01_x0005_`DET|63_x0005_`</v>
      </c>
      <c r="H62" s="433" t="str">
        <f ca="1">HYPERLINK("#"&amp;자재단가대비표!R2&amp;"!A"&amp;ROW(자재단가대비표!A63),"M01542 →")</f>
        <v>M01542 →</v>
      </c>
    </row>
    <row r="63" spans="1:8" ht="17.45" customHeight="1">
      <c r="A63" s="460" t="s">
        <v>4685</v>
      </c>
      <c r="B63" s="452" t="s">
        <v>1359</v>
      </c>
      <c r="C63" s="452" t="s">
        <v>2999</v>
      </c>
      <c r="D63" s="460" t="s">
        <v>1589</v>
      </c>
      <c r="E63" s="525">
        <f>자재단가대비표!O64</f>
        <v>4335000</v>
      </c>
      <c r="F63" s="463"/>
      <c r="G63" s="451" t="str">
        <f>"_x0007_`COD|M01544_x0005_`QTY1|1_x0005_`BQC|_x0005_`EQC|_x0005_`JDC|_x0005_`WQC|_x0005_`EDT|2026.01_x0005_`DET|"&amp;ROW(자재단가대비표!A64)&amp;"_x0005_`"</f>
        <v>_x0007_`COD|M01544_x0005_`QTY1|1_x0005_`BQC|_x0005_`EQC|_x0005_`JDC|_x0005_`WQC|_x0005_`EDT|2026.01_x0005_`DET|64_x0005_`</v>
      </c>
      <c r="H63" s="433" t="str">
        <f ca="1">HYPERLINK("#"&amp;자재단가대비표!R2&amp;"!A"&amp;ROW(자재단가대비표!A64),"M01544 →")</f>
        <v>M01544 →</v>
      </c>
    </row>
    <row r="64" spans="1:8" ht="17.45" customHeight="1">
      <c r="A64" s="460" t="s">
        <v>4686</v>
      </c>
      <c r="B64" s="452" t="s">
        <v>1354</v>
      </c>
      <c r="C64" s="452" t="s">
        <v>3004</v>
      </c>
      <c r="D64" s="460" t="s">
        <v>1589</v>
      </c>
      <c r="E64" s="525">
        <f>자재단가대비표!O65</f>
        <v>4335000</v>
      </c>
      <c r="F64" s="463"/>
      <c r="G64" s="451" t="str">
        <f>"_x0007_`COD|M01536_x0005_`QTY1|1_x0005_`BQC|_x0005_`EQC|_x0005_`JDC|_x0005_`WQC|_x0005_`EDT|2026.01_x0005_`DET|"&amp;ROW(자재단가대비표!A65)&amp;"_x0005_`"</f>
        <v>_x0007_`COD|M01536_x0005_`QTY1|1_x0005_`BQC|_x0005_`EQC|_x0005_`JDC|_x0005_`WQC|_x0005_`EDT|2026.01_x0005_`DET|65_x0005_`</v>
      </c>
      <c r="H64" s="433" t="str">
        <f ca="1">HYPERLINK("#"&amp;자재단가대비표!R2&amp;"!A"&amp;ROW(자재단가대비표!A65),"M01536 →")</f>
        <v>M01536 →</v>
      </c>
    </row>
    <row r="65" spans="1:8" ht="17.45" customHeight="1">
      <c r="A65" s="460" t="s">
        <v>4687</v>
      </c>
      <c r="B65" s="452" t="s">
        <v>1364</v>
      </c>
      <c r="C65" s="452" t="s">
        <v>3009</v>
      </c>
      <c r="D65" s="460" t="s">
        <v>1589</v>
      </c>
      <c r="E65" s="525">
        <f>자재단가대비표!O66</f>
        <v>5540000</v>
      </c>
      <c r="F65" s="463"/>
      <c r="G65" s="451" t="str">
        <f>"_x0007_`COD|M01530_x0005_`QTY1|1_x0005_`BQC|_x0005_`EQC|_x0005_`JDC|_x0005_`WQC|_x0005_`EDT|2026.01_x0005_`DET|"&amp;ROW(자재단가대비표!A66)&amp;"_x0005_`"</f>
        <v>_x0007_`COD|M01530_x0005_`QTY1|1_x0005_`BQC|_x0005_`EQC|_x0005_`JDC|_x0005_`WQC|_x0005_`EDT|2026.01_x0005_`DET|66_x0005_`</v>
      </c>
      <c r="H65" s="433" t="str">
        <f ca="1">HYPERLINK("#"&amp;자재단가대비표!R2&amp;"!A"&amp;ROW(자재단가대비표!A66),"M01530 →")</f>
        <v>M01530 →</v>
      </c>
    </row>
    <row r="66" spans="1:8" ht="17.45" customHeight="1">
      <c r="A66" s="460" t="s">
        <v>4688</v>
      </c>
      <c r="B66" s="452" t="s">
        <v>1369</v>
      </c>
      <c r="C66" s="452" t="s">
        <v>3014</v>
      </c>
      <c r="D66" s="460" t="s">
        <v>1589</v>
      </c>
      <c r="E66" s="525">
        <f>자재단가대비표!O67</f>
        <v>5850000</v>
      </c>
      <c r="F66" s="463"/>
      <c r="G66" s="451" t="str">
        <f>"_x0007_`COD|M01531_x0005_`QTY1|1_x0005_`BQC|_x0005_`EQC|_x0005_`JDC|_x0005_`WQC|_x0005_`EDT|2026.01_x0005_`DET|"&amp;ROW(자재단가대비표!A67)&amp;"_x0005_`"</f>
        <v>_x0007_`COD|M01531_x0005_`QTY1|1_x0005_`BQC|_x0005_`EQC|_x0005_`JDC|_x0005_`WQC|_x0005_`EDT|2026.01_x0005_`DET|67_x0005_`</v>
      </c>
      <c r="H66" s="433" t="str">
        <f ca="1">HYPERLINK("#"&amp;자재단가대비표!R2&amp;"!A"&amp;ROW(자재단가대비표!A67),"M01531 →")</f>
        <v>M01531 →</v>
      </c>
    </row>
    <row r="67" spans="1:8" ht="17.45" customHeight="1">
      <c r="A67" s="460" t="s">
        <v>4689</v>
      </c>
      <c r="B67" s="452" t="s">
        <v>2844</v>
      </c>
      <c r="C67" s="452" t="s">
        <v>2845</v>
      </c>
      <c r="D67" s="460" t="s">
        <v>2840</v>
      </c>
      <c r="E67" s="525">
        <f>자재단가대비표!O68</f>
        <v>5141</v>
      </c>
      <c r="F67" s="463"/>
      <c r="G67" s="451" t="str">
        <f>"_x0007_`COD|M08793_x0005_`QTY1|1_x0005_`BQC|_x0005_`EQC|_x0005_`JDC|_x0005_`WQC|_x0005_`EDT|2025.12_x0005_`DET|"&amp;ROW(자재단가대비표!A68)&amp;"_x0005_`"</f>
        <v>_x0007_`COD|M08793_x0005_`QTY1|1_x0005_`BQC|_x0005_`EQC|_x0005_`JDC|_x0005_`WQC|_x0005_`EDT|2025.12_x0005_`DET|68_x0005_`</v>
      </c>
      <c r="H67" s="433" t="str">
        <f ca="1">HYPERLINK("#"&amp;자재단가대비표!R2&amp;"!A"&amp;ROW(자재단가대비표!A68),"M08793 →")</f>
        <v>M08793 →</v>
      </c>
    </row>
    <row r="68" spans="1:8" ht="17.45" customHeight="1">
      <c r="A68" s="460" t="s">
        <v>4690</v>
      </c>
      <c r="B68" s="452" t="s">
        <v>3019</v>
      </c>
      <c r="C68" s="452" t="s">
        <v>3020</v>
      </c>
      <c r="D68" s="460" t="s">
        <v>1799</v>
      </c>
      <c r="E68" s="525">
        <f>자재단가대비표!O69</f>
        <v>1900</v>
      </c>
      <c r="F68" s="463" t="s">
        <v>4691</v>
      </c>
      <c r="G68" s="451" t="str">
        <f>"_x0007_`COD|M01589_x0005_`QTY1|1_x0005_`BQC|조경수목_x0005_`EQC|_x0005_`JDC|1016159920281583_x0005_`WQC|_x0005_`EDT|2026.01_x0005_`DET|"&amp;ROW(자재단가대비표!A69)&amp;"_x0005_`"</f>
        <v>_x0007_`COD|M01589_x0005_`QTY1|1_x0005_`BQC|조경수목_x0005_`EQC|_x0005_`JDC|1016159920281583_x0005_`WQC|_x0005_`EDT|2026.01_x0005_`DET|69_x0005_`</v>
      </c>
      <c r="H68" s="433" t="str">
        <f ca="1">HYPERLINK("#"&amp;자재단가대비표!R2&amp;"!A"&amp;ROW(자재단가대비표!A69),"M01589 →")</f>
        <v>M01589 →</v>
      </c>
    </row>
    <row r="69" spans="1:8" ht="17.45" customHeight="1">
      <c r="A69" s="460" t="s">
        <v>4692</v>
      </c>
      <c r="B69" s="452" t="s">
        <v>1379</v>
      </c>
      <c r="C69" s="452" t="s">
        <v>3027</v>
      </c>
      <c r="D69" s="460" t="s">
        <v>1589</v>
      </c>
      <c r="E69" s="525">
        <f>자재단가대비표!O70</f>
        <v>4880000</v>
      </c>
      <c r="F69" s="463"/>
      <c r="G69" s="451" t="str">
        <f>"_x0007_`COD|M01527_x0005_`QTY1|1_x0005_`BQC|_x0005_`EQC|_x0005_`JDC|_x0005_`WQC|_x0005_`EDT|2026.01_x0005_`DET|"&amp;ROW(자재단가대비표!A70)&amp;"_x0005_`"</f>
        <v>_x0007_`COD|M01527_x0005_`QTY1|1_x0005_`BQC|_x0005_`EQC|_x0005_`JDC|_x0005_`WQC|_x0005_`EDT|2026.01_x0005_`DET|70_x0005_`</v>
      </c>
      <c r="H69" s="433" t="str">
        <f ca="1">HYPERLINK("#"&amp;자재단가대비표!R2&amp;"!A"&amp;ROW(자재단가대비표!A70),"M01527 →")</f>
        <v>M01527 →</v>
      </c>
    </row>
    <row r="70" spans="1:8" ht="17.45" customHeight="1">
      <c r="A70" s="460" t="s">
        <v>4693</v>
      </c>
      <c r="B70" s="452" t="s">
        <v>1384</v>
      </c>
      <c r="C70" s="452" t="s">
        <v>3032</v>
      </c>
      <c r="D70" s="460" t="s">
        <v>1589</v>
      </c>
      <c r="E70" s="525">
        <f>자재단가대비표!O71</f>
        <v>4810000</v>
      </c>
      <c r="F70" s="463"/>
      <c r="G70" s="451" t="str">
        <f>"_x0007_`COD|M01534_x0005_`QTY1|1_x0005_`BQC|_x0005_`EQC|_x0005_`JDC|_x0005_`WQC|_x0005_`EDT|2026.01_x0005_`DET|"&amp;ROW(자재단가대비표!A71)&amp;"_x0005_`"</f>
        <v>_x0007_`COD|M01534_x0005_`QTY1|1_x0005_`BQC|_x0005_`EQC|_x0005_`JDC|_x0005_`WQC|_x0005_`EDT|2026.01_x0005_`DET|71_x0005_`</v>
      </c>
      <c r="H70" s="433" t="str">
        <f ca="1">HYPERLINK("#"&amp;자재단가대비표!R2&amp;"!A"&amp;ROW(자재단가대비표!A71),"M01534 →")</f>
        <v>M01534 →</v>
      </c>
    </row>
    <row r="71" spans="1:8" ht="17.45" customHeight="1">
      <c r="A71" s="460" t="s">
        <v>4694</v>
      </c>
      <c r="B71" s="452" t="s">
        <v>3037</v>
      </c>
      <c r="C71" s="452" t="s">
        <v>1503</v>
      </c>
      <c r="D71" s="460" t="s">
        <v>3038</v>
      </c>
      <c r="E71" s="525">
        <f>자재단가대비표!O72</f>
        <v>8943</v>
      </c>
      <c r="F71" s="463"/>
      <c r="G71" s="451" t="str">
        <f>"_x0007_`COD|M01004_x0005_`QTY1|1_x0005_`BQC|_x0005_`EQC|_x0005_`JDC|_x0005_`WQC|_x0005_`EDT|2026.01_x0005_`DET|"&amp;ROW(자재단가대비표!A72)&amp;"_x0005_`"</f>
        <v>_x0007_`COD|M01004_x0005_`QTY1|1_x0005_`BQC|_x0005_`EQC|_x0005_`JDC|_x0005_`WQC|_x0005_`EDT|2026.01_x0005_`DET|72_x0005_`</v>
      </c>
      <c r="H71" s="433" t="str">
        <f ca="1">HYPERLINK("#"&amp;자재단가대비표!R2&amp;"!A"&amp;ROW(자재단가대비표!A72),"M01004 →")</f>
        <v>M01004 →</v>
      </c>
    </row>
    <row r="72" spans="1:8" ht="17.45" customHeight="1">
      <c r="A72" s="460" t="s">
        <v>4695</v>
      </c>
      <c r="B72" s="452" t="s">
        <v>1389</v>
      </c>
      <c r="C72" s="452" t="s">
        <v>3044</v>
      </c>
      <c r="D72" s="460" t="s">
        <v>1589</v>
      </c>
      <c r="E72" s="525">
        <f>자재단가대비표!O73</f>
        <v>3290000</v>
      </c>
      <c r="F72" s="463"/>
      <c r="G72" s="451" t="str">
        <f>"_x0007_`COD|M01528_x0005_`QTY1|1_x0005_`BQC|_x0005_`EQC|_x0005_`JDC|_x0005_`WQC|_x0005_`EDT|2026.01_x0005_`DET|"&amp;ROW(자재단가대비표!A73)&amp;"_x0005_`"</f>
        <v>_x0007_`COD|M01528_x0005_`QTY1|1_x0005_`BQC|_x0005_`EQC|_x0005_`JDC|_x0005_`WQC|_x0005_`EDT|2026.01_x0005_`DET|73_x0005_`</v>
      </c>
      <c r="H72" s="433" t="str">
        <f ca="1">HYPERLINK("#"&amp;자재단가대비표!R2&amp;"!A"&amp;ROW(자재단가대비표!A73),"M01528 →")</f>
        <v>M01528 →</v>
      </c>
    </row>
    <row r="73" spans="1:8" ht="17.45" customHeight="1">
      <c r="A73" s="460" t="s">
        <v>4696</v>
      </c>
      <c r="B73" s="452" t="s">
        <v>1374</v>
      </c>
      <c r="C73" s="452" t="s">
        <v>3049</v>
      </c>
      <c r="D73" s="460" t="s">
        <v>1589</v>
      </c>
      <c r="E73" s="525">
        <f>자재단가대비표!O74</f>
        <v>6040000</v>
      </c>
      <c r="F73" s="463"/>
      <c r="G73" s="451" t="str">
        <f>"_x0007_`COD|M01525_x0005_`QTY1|1_x0005_`BQC|_x0005_`EQC|_x0005_`JDC|_x0005_`WQC|_x0005_`EDT|2026.01_x0005_`DET|"&amp;ROW(자재단가대비표!A74)&amp;"_x0005_`"</f>
        <v>_x0007_`COD|M01525_x0005_`QTY1|1_x0005_`BQC|_x0005_`EQC|_x0005_`JDC|_x0005_`WQC|_x0005_`EDT|2026.01_x0005_`DET|74_x0005_`</v>
      </c>
      <c r="H73" s="433" t="str">
        <f ca="1">HYPERLINK("#"&amp;자재단가대비표!R2&amp;"!A"&amp;ROW(자재단가대비표!A74),"M01525 →")</f>
        <v>M01525 →</v>
      </c>
    </row>
    <row r="74" spans="1:8" ht="17.45" customHeight="1">
      <c r="A74" s="460" t="s">
        <v>4697</v>
      </c>
      <c r="B74" s="452" t="s">
        <v>2937</v>
      </c>
      <c r="C74" s="452" t="s">
        <v>2933</v>
      </c>
      <c r="D74" s="460" t="s">
        <v>2377</v>
      </c>
      <c r="E74" s="525">
        <f>자재단가대비표!O75</f>
        <v>53.7</v>
      </c>
      <c r="F74" s="463"/>
      <c r="G74" s="451" t="str">
        <f>"_x0007_`COD|M00648_x0005_`QTY1|1_x0005_`BQC|_x0005_`EQC|_x0005_`JDC|_x0005_`WQC|_x0005_`EDT|2026.01_x0005_`DET|"&amp;ROW(자재단가대비표!A75)&amp;"_x0005_`"</f>
        <v>_x0007_`COD|M00648_x0005_`QTY1|1_x0005_`BQC|_x0005_`EQC|_x0005_`JDC|_x0005_`WQC|_x0005_`EDT|2026.01_x0005_`DET|75_x0005_`</v>
      </c>
      <c r="H74" s="433" t="str">
        <f ca="1">HYPERLINK("#"&amp;자재단가대비표!R2&amp;"!A"&amp;ROW(자재단가대비표!A75),"M00648 →")</f>
        <v>M00648 →</v>
      </c>
    </row>
    <row r="75" spans="1:8" ht="17.45" customHeight="1">
      <c r="A75" s="460" t="s">
        <v>4698</v>
      </c>
      <c r="B75" s="452" t="s">
        <v>3313</v>
      </c>
      <c r="C75" s="452"/>
      <c r="D75" s="460" t="s">
        <v>2431</v>
      </c>
      <c r="E75" s="525">
        <f>자재단가대비표!O76</f>
        <v>6200</v>
      </c>
      <c r="F75" s="463"/>
      <c r="G75" s="451" t="str">
        <f>"_x0007_`COD|M00743_x0005_`QTY1|1_x0005_`BQC|_x0005_`EQC|_x0005_`JDC|_x0005_`WQC|_x0005_`EDT|2026.01_x0005_`DET|"&amp;ROW(자재단가대비표!A76)&amp;"_x0005_`"</f>
        <v>_x0007_`COD|M00743_x0005_`QTY1|1_x0005_`BQC|_x0005_`EQC|_x0005_`JDC|_x0005_`WQC|_x0005_`EDT|2026.01_x0005_`DET|76_x0005_`</v>
      </c>
      <c r="H75" s="433" t="str">
        <f ca="1">HYPERLINK("#"&amp;자재단가대비표!R2&amp;"!A"&amp;ROW(자재단가대비표!A76),"M00743 →")</f>
        <v>M00743 →</v>
      </c>
    </row>
    <row r="76" spans="1:8" ht="17.45" customHeight="1">
      <c r="A76" s="460" t="s">
        <v>4699</v>
      </c>
      <c r="B76" s="452" t="s">
        <v>2922</v>
      </c>
      <c r="C76" s="452" t="s">
        <v>2923</v>
      </c>
      <c r="D76" s="460" t="s">
        <v>605</v>
      </c>
      <c r="E76" s="525">
        <f>자재단가대비표!O77</f>
        <v>7400</v>
      </c>
      <c r="F76" s="463"/>
      <c r="G76" s="451" t="str">
        <f>"_x0007_`COD|M00960_x0005_`QTY1|1_x0005_`BQC|_x0005_`EQC|_x0005_`JDC|_x0005_`WQC|_x0005_`EDT|2026.01_x0005_`DET|"&amp;ROW(자재단가대비표!A77)&amp;"_x0005_`"</f>
        <v>_x0007_`COD|M00960_x0005_`QTY1|1_x0005_`BQC|_x0005_`EQC|_x0005_`JDC|_x0005_`WQC|_x0005_`EDT|2026.01_x0005_`DET|77_x0005_`</v>
      </c>
      <c r="H76" s="433" t="str">
        <f ca="1">HYPERLINK("#"&amp;자재단가대비표!R2&amp;"!A"&amp;ROW(자재단가대비표!A77),"M00960 →")</f>
        <v>M00960 →</v>
      </c>
    </row>
    <row r="77" spans="1:8" ht="17.45" customHeight="1">
      <c r="A77" s="460" t="s">
        <v>4700</v>
      </c>
      <c r="B77" s="452" t="s">
        <v>1394</v>
      </c>
      <c r="C77" s="452" t="s">
        <v>3094</v>
      </c>
      <c r="D77" s="460" t="s">
        <v>1589</v>
      </c>
      <c r="E77" s="525">
        <f>자재단가대비표!O78</f>
        <v>3290000</v>
      </c>
      <c r="F77" s="463"/>
      <c r="G77" s="451" t="str">
        <f>"_x0007_`COD|M01529_x0005_`QTY1|1_x0005_`BQC|_x0005_`EQC|_x0005_`JDC|_x0005_`WQC|_x0005_`EDT|2026.01_x0005_`DET|"&amp;ROW(자재단가대비표!A78)&amp;"_x0005_`"</f>
        <v>_x0007_`COD|M01529_x0005_`QTY1|1_x0005_`BQC|_x0005_`EQC|_x0005_`JDC|_x0005_`WQC|_x0005_`EDT|2026.01_x0005_`DET|78_x0005_`</v>
      </c>
      <c r="H77" s="433" t="str">
        <f ca="1">HYPERLINK("#"&amp;자재단가대비표!R2&amp;"!A"&amp;ROW(자재단가대비표!A78),"M01529 →")</f>
        <v>M01529 →</v>
      </c>
    </row>
    <row r="78" spans="1:8" ht="17.45" customHeight="1">
      <c r="A78" s="460" t="s">
        <v>3504</v>
      </c>
      <c r="B78" s="452" t="s">
        <v>4701</v>
      </c>
      <c r="C78" s="452" t="s">
        <v>4702</v>
      </c>
      <c r="D78" s="460" t="s">
        <v>4703</v>
      </c>
      <c r="E78" s="525">
        <f>자재단가대비표!O79</f>
        <v>500</v>
      </c>
      <c r="F78" s="463"/>
      <c r="G78" s="451" t="str">
        <f>"_x0007_`COD|M01159_x0005_`QTY1|1_x0005_`BQC|_x0005_`EQC|_x0005_`JDC|_x0005_`WQC|_x0005_`EDT|2026.01_x0005_`DET|"&amp;ROW(자재단가대비표!A79)&amp;"_x0005_`"</f>
        <v>_x0007_`COD|M01159_x0005_`QTY1|1_x0005_`BQC|_x0005_`EQC|_x0005_`JDC|_x0005_`WQC|_x0005_`EDT|2026.01_x0005_`DET|79_x0005_`</v>
      </c>
      <c r="H78" s="433" t="str">
        <f ca="1">HYPERLINK("#"&amp;자재단가대비표!R2&amp;"!A"&amp;ROW(자재단가대비표!A79),"M01159 →")</f>
        <v>M01159 →</v>
      </c>
    </row>
    <row r="79" spans="1:8" ht="17.45" customHeight="1">
      <c r="A79" s="460" t="s">
        <v>4704</v>
      </c>
      <c r="B79" s="452" t="s">
        <v>2475</v>
      </c>
      <c r="C79" s="452"/>
      <c r="D79" s="460" t="s">
        <v>2476</v>
      </c>
      <c r="E79" s="525">
        <f>자재단가대비표!O80</f>
        <v>21850</v>
      </c>
      <c r="F79" s="463"/>
      <c r="G79" s="451" t="str">
        <f>"_x0007_`COD|M08803_x0005_`QTY1|1_x0005_`BQC|_x0005_`EQC|_x0005_`JDC|_x0005_`WQC|_x0005_`EDT|2026.01_x0005_`DET|"&amp;ROW(자재단가대비표!A80)&amp;"_x0005_`"</f>
        <v>_x0007_`COD|M08803_x0005_`QTY1|1_x0005_`BQC|_x0005_`EQC|_x0005_`JDC|_x0005_`WQC|_x0005_`EDT|2026.01_x0005_`DET|80_x0005_`</v>
      </c>
      <c r="H79" s="433" t="str">
        <f ca="1">HYPERLINK("#"&amp;자재단가대비표!R2&amp;"!A"&amp;ROW(자재단가대비표!A80),"M08803 →")</f>
        <v>M08803 →</v>
      </c>
    </row>
    <row r="80" spans="1:8" ht="17.45" customHeight="1">
      <c r="A80" s="460" t="s">
        <v>4705</v>
      </c>
      <c r="B80" s="452" t="s">
        <v>2574</v>
      </c>
      <c r="C80" s="452" t="s">
        <v>2632</v>
      </c>
      <c r="D80" s="460" t="s">
        <v>2576</v>
      </c>
      <c r="E80" s="525">
        <f>자재단가대비표!O81</f>
        <v>775000</v>
      </c>
      <c r="F80" s="463"/>
      <c r="G80" s="451" t="str">
        <f>"_x0007_`COD|M01265_x0005_`QTY1|1_x0005_`BQC|_x0005_`EQC|_x0005_`JDC|_x0005_`WQC|_x0005_`EDT|2026.01_x0005_`DET|"&amp;ROW(자재단가대비표!A81)&amp;"_x0005_`"</f>
        <v>_x0007_`COD|M01265_x0005_`QTY1|1_x0005_`BQC|_x0005_`EQC|_x0005_`JDC|_x0005_`WQC|_x0005_`EDT|2026.01_x0005_`DET|81_x0005_`</v>
      </c>
      <c r="H80" s="433" t="str">
        <f ca="1">HYPERLINK("#"&amp;자재단가대비표!R2&amp;"!A"&amp;ROW(자재단가대비표!A81),"M01265 →")</f>
        <v>M01265 →</v>
      </c>
    </row>
    <row r="81" spans="1:8" ht="17.45" customHeight="1">
      <c r="A81" s="460" t="s">
        <v>4706</v>
      </c>
      <c r="B81" s="452" t="s">
        <v>2574</v>
      </c>
      <c r="C81" s="452" t="s">
        <v>2575</v>
      </c>
      <c r="D81" s="460" t="s">
        <v>2576</v>
      </c>
      <c r="E81" s="525">
        <f>자재단가대비표!O82</f>
        <v>765000</v>
      </c>
      <c r="F81" s="463"/>
      <c r="G81" s="451" t="str">
        <f>"_x0007_`COD|M00150_x0005_`QTY1|1_x0005_`BQC|_x0005_`EQC|_x0005_`JDC|_x0005_`WQC|_x0005_`EDT|2026.01_x0005_`DET|"&amp;ROW(자재단가대비표!A82)&amp;"_x0005_`"</f>
        <v>_x0007_`COD|M00150_x0005_`QTY1|1_x0005_`BQC|_x0005_`EQC|_x0005_`JDC|_x0005_`WQC|_x0005_`EDT|2026.01_x0005_`DET|82_x0005_`</v>
      </c>
      <c r="H81" s="433" t="str">
        <f ca="1">HYPERLINK("#"&amp;자재단가대비표!R2&amp;"!A"&amp;ROW(자재단가대비표!A82),"M00150 →")</f>
        <v>M00150 →</v>
      </c>
    </row>
    <row r="82" spans="1:8" ht="17.45" customHeight="1">
      <c r="A82" s="460" t="s">
        <v>4707</v>
      </c>
      <c r="B82" s="452" t="s">
        <v>2574</v>
      </c>
      <c r="C82" s="452" t="s">
        <v>3287</v>
      </c>
      <c r="D82" s="460" t="s">
        <v>2576</v>
      </c>
      <c r="E82" s="525">
        <f>자재단가대비표!O83</f>
        <v>760000</v>
      </c>
      <c r="F82" s="463"/>
      <c r="G82" s="451" t="str">
        <f>"_x0007_`COD|M00691_x0005_`QTY1|1_x0005_`BQC|_x0005_`EQC|_x0005_`JDC|_x0005_`WQC|_x0005_`EDT|2026.01_x0005_`DET|"&amp;ROW(자재단가대비표!A83)&amp;"_x0005_`"</f>
        <v>_x0007_`COD|M00691_x0005_`QTY1|1_x0005_`BQC|_x0005_`EQC|_x0005_`JDC|_x0005_`WQC|_x0005_`EDT|2026.01_x0005_`DET|83_x0005_`</v>
      </c>
      <c r="H82" s="433" t="str">
        <f ca="1">HYPERLINK("#"&amp;자재단가대비표!R2&amp;"!A"&amp;ROW(자재단가대비표!A83),"M00691 →")</f>
        <v>M00691 →</v>
      </c>
    </row>
    <row r="83" spans="1:8" ht="17.45" customHeight="1">
      <c r="A83" s="460" t="s">
        <v>4708</v>
      </c>
      <c r="B83" s="452" t="s">
        <v>3324</v>
      </c>
      <c r="C83" s="452" t="s">
        <v>3325</v>
      </c>
      <c r="D83" s="460" t="s">
        <v>8</v>
      </c>
      <c r="E83" s="525">
        <f>자재단가대비표!O84</f>
        <v>25000</v>
      </c>
      <c r="F83" s="463"/>
      <c r="G83" s="451" t="str">
        <f>"_x0007_`COD|M00957_x0005_`QTY1|1_x0005_`BQC|_x0005_`EQC|_x0005_`JDC|_x0005_`WQC|_x0005_`EDT|2026.01_x0005_`DET|"&amp;ROW(자재단가대비표!A84)&amp;"_x0005_`"</f>
        <v>_x0007_`COD|M00957_x0005_`QTY1|1_x0005_`BQC|_x0005_`EQC|_x0005_`JDC|_x0005_`WQC|_x0005_`EDT|2026.01_x0005_`DET|84_x0005_`</v>
      </c>
      <c r="H83" s="433" t="str">
        <f ca="1">HYPERLINK("#"&amp;자재단가대비표!R2&amp;"!A"&amp;ROW(자재단가대비표!A84),"M00957 →")</f>
        <v>M00957 →</v>
      </c>
    </row>
    <row r="84" spans="1:8" ht="17.45" customHeight="1">
      <c r="A84" s="460" t="s">
        <v>4709</v>
      </c>
      <c r="B84" s="452" t="s">
        <v>1399</v>
      </c>
      <c r="C84" s="452" t="s">
        <v>3117</v>
      </c>
      <c r="D84" s="460" t="s">
        <v>1589</v>
      </c>
      <c r="E84" s="525">
        <f>자재단가대비표!O85</f>
        <v>4600000</v>
      </c>
      <c r="F84" s="463"/>
      <c r="G84" s="451" t="str">
        <f>"_x0007_`COD|M01526_x0005_`QTY1|1_x0005_`BQC|_x0005_`EQC|_x0005_`JDC|_x0005_`WQC|_x0005_`EDT|2026.01_x0005_`DET|"&amp;ROW(자재단가대비표!A85)&amp;"_x0005_`"</f>
        <v>_x0007_`COD|M01526_x0005_`QTY1|1_x0005_`BQC|_x0005_`EQC|_x0005_`JDC|_x0005_`WQC|_x0005_`EDT|2026.01_x0005_`DET|85_x0005_`</v>
      </c>
      <c r="H84" s="433" t="str">
        <f ca="1">HYPERLINK("#"&amp;자재단가대비표!R2&amp;"!A"&amp;ROW(자재단가대비표!A85),"M01526 →")</f>
        <v>M01526 →</v>
      </c>
    </row>
    <row r="85" spans="1:8" ht="17.45" customHeight="1">
      <c r="A85" s="460" t="s">
        <v>4710</v>
      </c>
      <c r="B85" s="452" t="s">
        <v>4711</v>
      </c>
      <c r="C85" s="452" t="s">
        <v>3122</v>
      </c>
      <c r="D85" s="460" t="s">
        <v>1589</v>
      </c>
      <c r="E85" s="525">
        <f>자재단가대비표!O86</f>
        <v>5180000</v>
      </c>
      <c r="F85" s="463"/>
      <c r="G85" s="451" t="str">
        <f>"_x0007_`COD|M01545_x0005_`QTY1|1_x0005_`BQC|_x0005_`EQC|_x0005_`JDC|_x0005_`WQC|_x0005_`EDT|2026.01_x0005_`DET|"&amp;ROW(자재단가대비표!A86)&amp;"_x0005_`"</f>
        <v>_x0007_`COD|M01545_x0005_`QTY1|1_x0005_`BQC|_x0005_`EQC|_x0005_`JDC|_x0005_`WQC|_x0005_`EDT|2026.01_x0005_`DET|86_x0005_`</v>
      </c>
      <c r="H85" s="433" t="str">
        <f ca="1">HYPERLINK("#"&amp;자재단가대비표!R2&amp;"!A"&amp;ROW(자재단가대비표!A86),"M01545 →")</f>
        <v>M01545 →</v>
      </c>
    </row>
    <row r="86" spans="1:8" ht="17.45" customHeight="1">
      <c r="A86" s="460" t="s">
        <v>4712</v>
      </c>
      <c r="B86" s="452" t="s">
        <v>3127</v>
      </c>
      <c r="C86" s="452" t="s">
        <v>3128</v>
      </c>
      <c r="D86" s="460" t="s">
        <v>3129</v>
      </c>
      <c r="E86" s="525">
        <f>자재단가대비표!O87</f>
        <v>270</v>
      </c>
      <c r="F86" s="463"/>
      <c r="G86" s="451" t="str">
        <f>"_x0007_`COD|M00982_x0005_`QTY1|1_x0005_`BQC|_x0005_`EQC|_x0005_`JDC|_x0005_`WQC|_x0005_`EDT|2026.01_x0005_`DET|"&amp;ROW(자재단가대비표!A87)&amp;"_x0005_`"</f>
        <v>_x0007_`COD|M00982_x0005_`QTY1|1_x0005_`BQC|_x0005_`EQC|_x0005_`JDC|_x0005_`WQC|_x0005_`EDT|2026.01_x0005_`DET|87_x0005_`</v>
      </c>
      <c r="H86" s="433" t="str">
        <f ca="1">HYPERLINK("#"&amp;자재단가대비표!R2&amp;"!A"&amp;ROW(자재단가대비표!A87),"M00982 →")</f>
        <v>M00982 →</v>
      </c>
    </row>
    <row r="87" spans="1:8" ht="17.45" customHeight="1">
      <c r="A87" s="460" t="s">
        <v>4713</v>
      </c>
      <c r="B87" s="452" t="s">
        <v>3239</v>
      </c>
      <c r="C87" s="452" t="s">
        <v>3240</v>
      </c>
      <c r="D87" s="460" t="s">
        <v>8</v>
      </c>
      <c r="E87" s="525">
        <f>자재단가대비표!O88</f>
        <v>25000</v>
      </c>
      <c r="F87" s="463"/>
      <c r="G87" s="451" t="str">
        <f>"_x0007_`COD|M01154_x0005_`QTY1|1_x0005_`BQC|_x0005_`EQC|_x0005_`JDC|_x0005_`WQC|_x0005_`EDT|2026.01_x0005_`DET|"&amp;ROW(자재단가대비표!A88)&amp;"_x0005_`"</f>
        <v>_x0007_`COD|M01154_x0005_`QTY1|1_x0005_`BQC|_x0005_`EQC|_x0005_`JDC|_x0005_`WQC|_x0005_`EDT|2026.01_x0005_`DET|88_x0005_`</v>
      </c>
      <c r="H87" s="433" t="str">
        <f ca="1">HYPERLINK("#"&amp;자재단가대비표!R2&amp;"!A"&amp;ROW(자재단가대비표!A88),"M01154 →")</f>
        <v>M01154 →</v>
      </c>
    </row>
    <row r="88" spans="1:8" ht="17.45" customHeight="1">
      <c r="A88" s="460" t="s">
        <v>4714</v>
      </c>
      <c r="B88" s="452" t="s">
        <v>3271</v>
      </c>
      <c r="C88" s="452" t="s">
        <v>3272</v>
      </c>
      <c r="D88" s="460" t="s">
        <v>911</v>
      </c>
      <c r="E88" s="525">
        <f>자재단가대비표!O89</f>
        <v>5990</v>
      </c>
      <c r="F88" s="463"/>
      <c r="G88" s="451" t="str">
        <f>"_x0007_`COD|M01158_x0005_`QTY1|1_x0005_`BQC|_x0005_`EQC|_x0005_`JDC|_x0005_`WQC|_x0005_`EDT|2026.01_x0005_`DET|"&amp;ROW(자재단가대비표!A89)&amp;"_x0005_`"</f>
        <v>_x0007_`COD|M01158_x0005_`QTY1|1_x0005_`BQC|_x0005_`EQC|_x0005_`JDC|_x0005_`WQC|_x0005_`EDT|2026.01_x0005_`DET|89_x0005_`</v>
      </c>
      <c r="H88" s="433" t="str">
        <f ca="1">HYPERLINK("#"&amp;자재단가대비표!R2&amp;"!A"&amp;ROW(자재단가대비표!A89),"M01158 →")</f>
        <v>M01158 →</v>
      </c>
    </row>
    <row r="89" spans="1:8" ht="17.45" customHeight="1">
      <c r="A89" s="460" t="s">
        <v>4715</v>
      </c>
      <c r="B89" s="452" t="s">
        <v>3102</v>
      </c>
      <c r="C89" s="452" t="s">
        <v>3103</v>
      </c>
      <c r="D89" s="460" t="s">
        <v>2431</v>
      </c>
      <c r="E89" s="525">
        <f>자재단가대비표!O90</f>
        <v>5888</v>
      </c>
      <c r="F89" s="463"/>
      <c r="G89" s="451" t="str">
        <f>"_x0007_`COD|M08804_x0005_`QTY1|1_x0005_`BQC|_x0005_`EQC|_x0005_`JDC|_x0005_`WQC|_x0005_`EDT|2026.01_x0005_`DET|"&amp;ROW(자재단가대비표!A90)&amp;"_x0005_`"</f>
        <v>_x0007_`COD|M08804_x0005_`QTY1|1_x0005_`BQC|_x0005_`EQC|_x0005_`JDC|_x0005_`WQC|_x0005_`EDT|2026.01_x0005_`DET|90_x0005_`</v>
      </c>
      <c r="H89" s="433" t="str">
        <f ca="1">HYPERLINK("#"&amp;자재단가대비표!R2&amp;"!A"&amp;ROW(자재단가대비표!A90),"M08804 →")</f>
        <v>M08804 →</v>
      </c>
    </row>
    <row r="90" spans="1:8" ht="17.45" customHeight="1">
      <c r="A90" s="460" t="s">
        <v>4716</v>
      </c>
      <c r="B90" s="452" t="s">
        <v>3191</v>
      </c>
      <c r="C90" s="452" t="s">
        <v>3192</v>
      </c>
      <c r="D90" s="460" t="s">
        <v>2377</v>
      </c>
      <c r="E90" s="525">
        <f>자재단가대비표!O91</f>
        <v>2508000</v>
      </c>
      <c r="F90" s="463"/>
      <c r="G90" s="451" t="str">
        <f>"_x0007_`COD|M01607_x0005_`QTY1|1_x0005_`BQC|_x0005_`EQC|_x0005_`JDC|_x0005_`WQC|_x0005_`EDT|2026.01_x0005_`DET|"&amp;ROW(자재단가대비표!A91)&amp;"_x0005_`"</f>
        <v>_x0007_`COD|M01607_x0005_`QTY1|1_x0005_`BQC|_x0005_`EQC|_x0005_`JDC|_x0005_`WQC|_x0005_`EDT|2026.01_x0005_`DET|91_x0005_`</v>
      </c>
      <c r="H90" s="433" t="str">
        <f ca="1">HYPERLINK("#"&amp;자재단가대비표!R2&amp;"!A"&amp;ROW(자재단가대비표!A91),"M01607 →")</f>
        <v>M01607 →</v>
      </c>
    </row>
    <row r="91" spans="1:8" ht="17.45" customHeight="1">
      <c r="A91" s="460" t="s">
        <v>3634</v>
      </c>
      <c r="B91" s="452" t="s">
        <v>4717</v>
      </c>
      <c r="C91" s="452" t="s">
        <v>4718</v>
      </c>
      <c r="D91" s="460" t="s">
        <v>4719</v>
      </c>
      <c r="E91" s="525">
        <f>자재단가대비표!O92</f>
        <v>11000</v>
      </c>
      <c r="F91" s="463"/>
      <c r="G91" s="451" t="str">
        <f>"_x0007_`COD|M08849_x0005_`QTY1|1_x0005_`BQC|_x0005_`EQC|_x0005_`JDC|_x0005_`WQC|_x0005_`EDT|2026.01_x0005_`DET|"&amp;ROW(자재단가대비표!A92)&amp;"_x0005_`"</f>
        <v>_x0007_`COD|M08849_x0005_`QTY1|1_x0005_`BQC|_x0005_`EQC|_x0005_`JDC|_x0005_`WQC|_x0005_`EDT|2026.01_x0005_`DET|92_x0005_`</v>
      </c>
      <c r="H91" s="433" t="str">
        <f ca="1">HYPERLINK("#"&amp;자재단가대비표!R2&amp;"!A"&amp;ROW(자재단가대비표!A92),"M08849 →")</f>
        <v>M08849 →</v>
      </c>
    </row>
    <row r="92" spans="1:8" ht="17.45" customHeight="1">
      <c r="A92" s="460" t="s">
        <v>3564</v>
      </c>
      <c r="B92" s="452" t="s">
        <v>4717</v>
      </c>
      <c r="C92" s="452" t="s">
        <v>4720</v>
      </c>
      <c r="D92" s="460" t="s">
        <v>4719</v>
      </c>
      <c r="E92" s="525">
        <f>자재단가대비표!O93</f>
        <v>13400</v>
      </c>
      <c r="F92" s="463"/>
      <c r="G92" s="451" t="str">
        <f>"_x0007_`COD|M08850_x0005_`QTY1|1_x0005_`BQC|_x0005_`EQC|_x0005_`JDC|_x0005_`WQC|_x0005_`EDT|2026.01_x0005_`DET|"&amp;ROW(자재단가대비표!A93)&amp;"_x0005_`"</f>
        <v>_x0007_`COD|M08850_x0005_`QTY1|1_x0005_`BQC|_x0005_`EQC|_x0005_`JDC|_x0005_`WQC|_x0005_`EDT|2026.01_x0005_`DET|93_x0005_`</v>
      </c>
      <c r="H92" s="433" t="str">
        <f ca="1">HYPERLINK("#"&amp;자재단가대비표!R2&amp;"!A"&amp;ROW(자재단가대비표!A93),"M08850 →")</f>
        <v>M08850 →</v>
      </c>
    </row>
    <row r="93" spans="1:8" ht="17.45" customHeight="1">
      <c r="A93" s="460" t="s">
        <v>3605</v>
      </c>
      <c r="B93" s="452" t="s">
        <v>4717</v>
      </c>
      <c r="C93" s="452" t="s">
        <v>4721</v>
      </c>
      <c r="D93" s="460" t="s">
        <v>4719</v>
      </c>
      <c r="E93" s="525">
        <f>자재단가대비표!O94</f>
        <v>32000</v>
      </c>
      <c r="F93" s="463"/>
      <c r="G93" s="451" t="str">
        <f>"_x0007_`COD|M08851_x0005_`QTY1|1_x0005_`BQC|_x0005_`EQC|_x0005_`JDC|_x0005_`WQC|_x0005_`EDT|2026.01_x0005_`DET|"&amp;ROW(자재단가대비표!A94)&amp;"_x0005_`"</f>
        <v>_x0007_`COD|M08851_x0005_`QTY1|1_x0005_`BQC|_x0005_`EQC|_x0005_`JDC|_x0005_`WQC|_x0005_`EDT|2026.01_x0005_`DET|94_x0005_`</v>
      </c>
      <c r="H93" s="433" t="str">
        <f ca="1">HYPERLINK("#"&amp;자재단가대비표!R2&amp;"!A"&amp;ROW(자재단가대비표!A94),"M08851 →")</f>
        <v>M08851 →</v>
      </c>
    </row>
    <row r="94" spans="1:8" ht="17.45" customHeight="1">
      <c r="A94" s="460" t="s">
        <v>3628</v>
      </c>
      <c r="B94" s="452" t="s">
        <v>4717</v>
      </c>
      <c r="C94" s="452" t="s">
        <v>4722</v>
      </c>
      <c r="D94" s="460" t="s">
        <v>4719</v>
      </c>
      <c r="E94" s="525">
        <f>자재단가대비표!O95</f>
        <v>7300</v>
      </c>
      <c r="F94" s="463"/>
      <c r="G94" s="451" t="str">
        <f>"_x0007_`COD|M08848_x0005_`QTY1|1_x0005_`BQC|_x0005_`EQC|_x0005_`JDC|_x0005_`WQC|_x0005_`EDT|2026.01_x0005_`DET|"&amp;ROW(자재단가대비표!A95)&amp;"_x0005_`"</f>
        <v>_x0007_`COD|M08848_x0005_`QTY1|1_x0005_`BQC|_x0005_`EQC|_x0005_`JDC|_x0005_`WQC|_x0005_`EDT|2026.01_x0005_`DET|95_x0005_`</v>
      </c>
      <c r="H94" s="433" t="str">
        <f ca="1">HYPERLINK("#"&amp;자재단가대비표!R2&amp;"!A"&amp;ROW(자재단가대비표!A95),"M08848 →")</f>
        <v>M08848 →</v>
      </c>
    </row>
    <row r="95" spans="1:8" ht="17.45" customHeight="1">
      <c r="A95" s="460" t="s">
        <v>4723</v>
      </c>
      <c r="B95" s="452" t="s">
        <v>2811</v>
      </c>
      <c r="C95" s="452" t="s">
        <v>2812</v>
      </c>
      <c r="D95" s="460" t="s">
        <v>2377</v>
      </c>
      <c r="E95" s="525">
        <f>자재단가대비표!O96</f>
        <v>141000</v>
      </c>
      <c r="F95" s="463"/>
      <c r="G95" s="451" t="str">
        <f>"_x0007_`COD|M08791_x0005_`QTY1|1_x0005_`BQC|_x0005_`EQC|_x0005_`JDC|_x0005_`WQC|_x0005_`EDT|2026.01_x0005_`DET|"&amp;ROW(자재단가대비표!A96)&amp;"_x0005_`"</f>
        <v>_x0007_`COD|M08791_x0005_`QTY1|1_x0005_`BQC|_x0005_`EQC|_x0005_`JDC|_x0005_`WQC|_x0005_`EDT|2026.01_x0005_`DET|96_x0005_`</v>
      </c>
      <c r="H95" s="433" t="str">
        <f ca="1">HYPERLINK("#"&amp;자재단가대비표!R2&amp;"!A"&amp;ROW(자재단가대비표!A96),"M08791 →")</f>
        <v>M08791 →</v>
      </c>
    </row>
    <row r="96" spans="1:8" ht="17.45" customHeight="1">
      <c r="A96" s="460" t="s">
        <v>4724</v>
      </c>
      <c r="B96" s="452" t="s">
        <v>2466</v>
      </c>
      <c r="C96" s="452" t="s">
        <v>2467</v>
      </c>
      <c r="D96" s="460" t="s">
        <v>595</v>
      </c>
      <c r="E96" s="525">
        <f>자재단가대비표!O97</f>
        <v>50600</v>
      </c>
      <c r="F96" s="463"/>
      <c r="G96" s="451" t="str">
        <f>"_x0007_`COD|M08842_x0005_`QTY1|1_x0005_`BQC|_x0005_`EQC|_x0005_`JDC|_x0005_`WQC|_x0005_`EDT|2026.01_x0005_`DET|"&amp;ROW(자재단가대비표!A97)&amp;"_x0005_`"</f>
        <v>_x0007_`COD|M08842_x0005_`QTY1|1_x0005_`BQC|_x0005_`EQC|_x0005_`JDC|_x0005_`WQC|_x0005_`EDT|2026.01_x0005_`DET|97_x0005_`</v>
      </c>
      <c r="H96" s="433" t="str">
        <f ca="1">HYPERLINK("#"&amp;자재단가대비표!R2&amp;"!A"&amp;ROW(자재단가대비표!A97),"M08842 →")</f>
        <v>M08842 →</v>
      </c>
    </row>
    <row r="97" spans="1:8" ht="17.45" customHeight="1">
      <c r="A97" s="460" t="s">
        <v>4725</v>
      </c>
      <c r="B97" s="452" t="s">
        <v>2975</v>
      </c>
      <c r="C97" s="452" t="s">
        <v>2976</v>
      </c>
      <c r="D97" s="460" t="s">
        <v>2377</v>
      </c>
      <c r="E97" s="525">
        <f>자재단가대비표!O98</f>
        <v>62400</v>
      </c>
      <c r="F97" s="463"/>
      <c r="G97" s="451" t="str">
        <f>"_x0007_`COD|M01306_x0005_`QTY1|1_x0005_`BQC|_x0005_`EQC|_x0005_`JDC|_x0005_`WQC|_x0005_`EDT|2026.01_x0005_`DET|"&amp;ROW(자재단가대비표!A98)&amp;"_x0005_`"</f>
        <v>_x0007_`COD|M01306_x0005_`QTY1|1_x0005_`BQC|_x0005_`EQC|_x0005_`JDC|_x0005_`WQC|_x0005_`EDT|2026.01_x0005_`DET|98_x0005_`</v>
      </c>
      <c r="H97" s="433" t="str">
        <f ca="1">HYPERLINK("#"&amp;자재단가대비표!R2&amp;"!A"&amp;ROW(자재단가대비표!A98),"M01306 →")</f>
        <v>M01306 →</v>
      </c>
    </row>
    <row r="98" spans="1:8" ht="17.45" customHeight="1">
      <c r="A98" s="460" t="s">
        <v>4726</v>
      </c>
      <c r="B98" s="452" t="s">
        <v>2700</v>
      </c>
      <c r="C98" s="452" t="s">
        <v>2701</v>
      </c>
      <c r="D98" s="460" t="s">
        <v>911</v>
      </c>
      <c r="E98" s="525">
        <f>자재단가대비표!O99</f>
        <v>33900</v>
      </c>
      <c r="F98" s="463"/>
      <c r="G98" s="451" t="str">
        <f>"_x0007_`COD|M01082_x0005_`QTY1|1_x0005_`BQC|_x0005_`EQC|_x0005_`JDC|_x0005_`WQC|_x0005_`EDT|2026.01_x0005_`DET|"&amp;ROW(자재단가대비표!A99)&amp;"_x0005_`"</f>
        <v>_x0007_`COD|M01082_x0005_`QTY1|1_x0005_`BQC|_x0005_`EQC|_x0005_`JDC|_x0005_`WQC|_x0005_`EDT|2026.01_x0005_`DET|99_x0005_`</v>
      </c>
      <c r="H98" s="433" t="str">
        <f ca="1">HYPERLINK("#"&amp;자재단가대비표!R2&amp;"!A"&amp;ROW(자재단가대비표!A99),"M01082 →")</f>
        <v>M01082 →</v>
      </c>
    </row>
    <row r="99" spans="1:8" ht="17.45" customHeight="1">
      <c r="A99" s="460" t="s">
        <v>4727</v>
      </c>
      <c r="B99" s="452" t="s">
        <v>2700</v>
      </c>
      <c r="C99" s="452" t="s">
        <v>2726</v>
      </c>
      <c r="D99" s="460" t="s">
        <v>911</v>
      </c>
      <c r="E99" s="525">
        <f>자재단가대비표!O100</f>
        <v>77500</v>
      </c>
      <c r="F99" s="463"/>
      <c r="G99" s="451" t="str">
        <f>"_x0007_`COD|M01081_x0005_`QTY1|1_x0005_`BQC|_x0005_`EQC|_x0005_`JDC|_x0005_`WQC|_x0005_`EDT|2026.01_x0005_`DET|"&amp;ROW(자재단가대비표!A100)&amp;"_x0005_`"</f>
        <v>_x0007_`COD|M01081_x0005_`QTY1|1_x0005_`BQC|_x0005_`EQC|_x0005_`JDC|_x0005_`WQC|_x0005_`EDT|2026.01_x0005_`DET|100_x0005_`</v>
      </c>
      <c r="H99" s="433" t="str">
        <f ca="1">HYPERLINK("#"&amp;자재단가대비표!R2&amp;"!A"&amp;ROW(자재단가대비표!A100),"M01081 →")</f>
        <v>M01081 →</v>
      </c>
    </row>
    <row r="100" spans="1:8" ht="17.45" customHeight="1">
      <c r="A100" s="460" t="s">
        <v>4728</v>
      </c>
      <c r="B100" s="452" t="s">
        <v>2666</v>
      </c>
      <c r="C100" s="452"/>
      <c r="D100" s="460" t="s">
        <v>2611</v>
      </c>
      <c r="E100" s="525">
        <f>자재단가대비표!O101</f>
        <v>1460</v>
      </c>
      <c r="F100" s="463"/>
      <c r="G100" s="451" t="str">
        <f>"_x0007_`COD|M00993_x0005_`QTY1|1_x0005_`BQC|_x0005_`EQC|_x0005_`JDC|_x0005_`WQC|_x0005_`EDT|2026.01_x0005_`DET|"&amp;ROW(자재단가대비표!A101)&amp;"_x0005_`"</f>
        <v>_x0007_`COD|M00993_x0005_`QTY1|1_x0005_`BQC|_x0005_`EQC|_x0005_`JDC|_x0005_`WQC|_x0005_`EDT|2026.01_x0005_`DET|101_x0005_`</v>
      </c>
      <c r="H100" s="433" t="str">
        <f ca="1">HYPERLINK("#"&amp;자재단가대비표!R2&amp;"!A"&amp;ROW(자재단가대비표!A101),"M00993 →")</f>
        <v>M00993 →</v>
      </c>
    </row>
    <row r="101" spans="1:8" ht="17.45" customHeight="1">
      <c r="A101" s="460" t="s">
        <v>4729</v>
      </c>
      <c r="B101" s="452" t="s">
        <v>3302</v>
      </c>
      <c r="C101" s="452" t="s">
        <v>3303</v>
      </c>
      <c r="D101" s="460" t="s">
        <v>1589</v>
      </c>
      <c r="E101" s="525">
        <f>자재단가대비표!O102</f>
        <v>338000</v>
      </c>
      <c r="F101" s="463"/>
      <c r="G101" s="451" t="str">
        <f>"_x0007_`COD|M01055_x0005_`QTY1|1_x0005_`BQC|_x0005_`EQC|_x0005_`JDC|_x0005_`WQC|_x0005_`EDT|2026.01_x0005_`DET|"&amp;ROW(자재단가대비표!A102)&amp;"_x0005_`"</f>
        <v>_x0007_`COD|M01055_x0005_`QTY1|1_x0005_`BQC|_x0005_`EQC|_x0005_`JDC|_x0005_`WQC|_x0005_`EDT|2026.01_x0005_`DET|102_x0005_`</v>
      </c>
      <c r="H101" s="433" t="str">
        <f ca="1">HYPERLINK("#"&amp;자재단가대비표!R2&amp;"!A"&amp;ROW(자재단가대비표!A102),"M01055 →")</f>
        <v>M01055 →</v>
      </c>
    </row>
    <row r="102" spans="1:8" ht="17.45" customHeight="1">
      <c r="A102" s="460" t="s">
        <v>4393</v>
      </c>
      <c r="B102" s="452" t="s">
        <v>2246</v>
      </c>
      <c r="C102" s="452" t="s">
        <v>2247</v>
      </c>
      <c r="D102" s="460" t="s">
        <v>2132</v>
      </c>
      <c r="E102" s="525">
        <f>자재단가대비표!O103</f>
        <v>23590</v>
      </c>
      <c r="F102" s="463"/>
      <c r="G102" s="451" t="str">
        <f>"_x0007_`COD|M08786_x0005_`QTY1|1_x0005_`BQC|_x0005_`EQC|_x0005_`JDC|_x0005_`WQC|_x0005_`EDT|2026.01_x0005_`DET|"&amp;ROW(자재단가대비표!A103)&amp;"_x0005_`"</f>
        <v>_x0007_`COD|M08786_x0005_`QTY1|1_x0005_`BQC|_x0005_`EQC|_x0005_`JDC|_x0005_`WQC|_x0005_`EDT|2026.01_x0005_`DET|103_x0005_`</v>
      </c>
      <c r="H102" s="433" t="str">
        <f ca="1">HYPERLINK("#"&amp;자재단가대비표!R2&amp;"!A"&amp;ROW(자재단가대비표!A103),"M08786 →")</f>
        <v>M08786 →</v>
      </c>
    </row>
    <row r="103" spans="1:8" ht="17.45" customHeight="1">
      <c r="A103" s="460" t="s">
        <v>4398</v>
      </c>
      <c r="B103" s="452" t="s">
        <v>2246</v>
      </c>
      <c r="C103" s="452" t="s">
        <v>2255</v>
      </c>
      <c r="D103" s="460" t="s">
        <v>2132</v>
      </c>
      <c r="E103" s="525">
        <f>자재단가대비표!O104</f>
        <v>23590</v>
      </c>
      <c r="F103" s="463"/>
      <c r="G103" s="451" t="str">
        <f>"_x0007_`COD|M08782_x0005_`QTY1|1_x0005_`BQC|_x0005_`EQC|_x0005_`JDC|_x0005_`WQC|_x0005_`EDT|2026.01_x0005_`DET|"&amp;ROW(자재단가대비표!A104)&amp;"_x0005_`"</f>
        <v>_x0007_`COD|M08782_x0005_`QTY1|1_x0005_`BQC|_x0005_`EQC|_x0005_`JDC|_x0005_`WQC|_x0005_`EDT|2026.01_x0005_`DET|104_x0005_`</v>
      </c>
      <c r="H103" s="433" t="str">
        <f ca="1">HYPERLINK("#"&amp;자재단가대비표!R2&amp;"!A"&amp;ROW(자재단가대비표!A104),"M08782 →")</f>
        <v>M08782 →</v>
      </c>
    </row>
    <row r="104" spans="1:8" ht="17.45" customHeight="1">
      <c r="A104" s="460" t="s">
        <v>4402</v>
      </c>
      <c r="B104" s="452" t="s">
        <v>2246</v>
      </c>
      <c r="C104" s="452" t="s">
        <v>4730</v>
      </c>
      <c r="D104" s="460" t="s">
        <v>2132</v>
      </c>
      <c r="E104" s="525">
        <f>자재단가대비표!O105</f>
        <v>81350</v>
      </c>
      <c r="F104" s="463"/>
      <c r="G104" s="451" t="str">
        <f>"_x0007_`COD|M08787_x0005_`QTY1|1_x0005_`BQC|_x0005_`EQC|_x0005_`JDC|_x0005_`WQC|_x0005_`EDT|2026.01_x0005_`DET|"&amp;ROW(자재단가대비표!A105)&amp;"_x0005_`"</f>
        <v>_x0007_`COD|M08787_x0005_`QTY1|1_x0005_`BQC|_x0005_`EQC|_x0005_`JDC|_x0005_`WQC|_x0005_`EDT|2026.01_x0005_`DET|105_x0005_`</v>
      </c>
      <c r="H104" s="433" t="str">
        <f ca="1">HYPERLINK("#"&amp;자재단가대비표!R2&amp;"!A"&amp;ROW(자재단가대비표!A105),"M08787 →")</f>
        <v>M08787 →</v>
      </c>
    </row>
    <row r="105" spans="1:8" ht="17.45" customHeight="1">
      <c r="A105" s="460" t="s">
        <v>4406</v>
      </c>
      <c r="B105" s="452" t="s">
        <v>2246</v>
      </c>
      <c r="C105" s="452" t="s">
        <v>2259</v>
      </c>
      <c r="D105" s="460" t="s">
        <v>2132</v>
      </c>
      <c r="E105" s="525">
        <f>자재단가대비표!O106</f>
        <v>14991</v>
      </c>
      <c r="F105" s="463"/>
      <c r="G105" s="451" t="str">
        <f>"_x0007_`COD|M08780_x0005_`QTY1|1_x0005_`BQC|_x0005_`EQC|_x0005_`JDC|_x0005_`WQC|_x0005_`EDT|2026.01_x0005_`DET|"&amp;ROW(자재단가대비표!A106)&amp;"_x0005_`"</f>
        <v>_x0007_`COD|M08780_x0005_`QTY1|1_x0005_`BQC|_x0005_`EQC|_x0005_`JDC|_x0005_`WQC|_x0005_`EDT|2026.01_x0005_`DET|106_x0005_`</v>
      </c>
      <c r="H105" s="433" t="str">
        <f ca="1">HYPERLINK("#"&amp;자재단가대비표!R2&amp;"!A"&amp;ROW(자재단가대비표!A106),"M08780 →")</f>
        <v>M08780 →</v>
      </c>
    </row>
    <row r="106" spans="1:8" ht="17.45" customHeight="1">
      <c r="A106" s="460" t="s">
        <v>4410</v>
      </c>
      <c r="B106" s="452" t="s">
        <v>2263</v>
      </c>
      <c r="C106" s="452" t="s">
        <v>2264</v>
      </c>
      <c r="D106" s="460" t="s">
        <v>2132</v>
      </c>
      <c r="E106" s="525">
        <f>자재단가대비표!O107</f>
        <v>62000</v>
      </c>
      <c r="F106" s="463"/>
      <c r="G106" s="451" t="str">
        <f>"_x0007_`COD|M08785_x0005_`QTY1|1_x0005_`BQC|_x0005_`EQC|_x0005_`JDC|_x0005_`WQC|_x0005_`EDT|2026.01_x0005_`DET|"&amp;ROW(자재단가대비표!A107)&amp;"_x0005_`"</f>
        <v>_x0007_`COD|M08785_x0005_`QTY1|1_x0005_`BQC|_x0005_`EQC|_x0005_`JDC|_x0005_`WQC|_x0005_`EDT|2026.01_x0005_`DET|107_x0005_`</v>
      </c>
      <c r="H106" s="433" t="str">
        <f ca="1">HYPERLINK("#"&amp;자재단가대비표!R2&amp;"!A"&amp;ROW(자재단가대비표!A107),"M08785 →")</f>
        <v>M08785 →</v>
      </c>
    </row>
    <row r="107" spans="1:8" ht="17.45" customHeight="1">
      <c r="A107" s="460" t="s">
        <v>4414</v>
      </c>
      <c r="B107" s="452" t="s">
        <v>2263</v>
      </c>
      <c r="C107" s="452" t="s">
        <v>2272</v>
      </c>
      <c r="D107" s="460" t="s">
        <v>2132</v>
      </c>
      <c r="E107" s="525">
        <f>자재단가대비표!O108</f>
        <v>40910</v>
      </c>
      <c r="F107" s="463"/>
      <c r="G107" s="451" t="str">
        <f>"_x0007_`COD|M01268_x0005_`QTY1|1_x0005_`BQC|_x0005_`EQC|_x0005_`JDC|_x0005_`WQC|_x0005_`EDT|2026.01_x0005_`DET|"&amp;ROW(자재단가대비표!A108)&amp;"_x0005_`"</f>
        <v>_x0007_`COD|M01268_x0005_`QTY1|1_x0005_`BQC|_x0005_`EQC|_x0005_`JDC|_x0005_`WQC|_x0005_`EDT|2026.01_x0005_`DET|108_x0005_`</v>
      </c>
      <c r="H107" s="433" t="str">
        <f ca="1">HYPERLINK("#"&amp;자재단가대비표!R2&amp;"!A"&amp;ROW(자재단가대비표!A108),"M01268 →")</f>
        <v>M01268 →</v>
      </c>
    </row>
    <row r="108" spans="1:8" ht="17.45" customHeight="1">
      <c r="A108" s="460" t="s">
        <v>4418</v>
      </c>
      <c r="B108" s="452" t="s">
        <v>2263</v>
      </c>
      <c r="C108" s="452" t="s">
        <v>2268</v>
      </c>
      <c r="D108" s="460" t="s">
        <v>2132</v>
      </c>
      <c r="E108" s="525">
        <f>자재단가대비표!O109</f>
        <v>31142</v>
      </c>
      <c r="F108" s="463"/>
      <c r="G108" s="451" t="str">
        <f>"_x0007_`COD|M08781_x0005_`QTY1|1_x0005_`BQC|_x0005_`EQC|_x0005_`JDC|_x0005_`WQC|_x0005_`EDT|2026.01_x0005_`DET|"&amp;ROW(자재단가대비표!A109)&amp;"_x0005_`"</f>
        <v>_x0007_`COD|M08781_x0005_`QTY1|1_x0005_`BQC|_x0005_`EQC|_x0005_`JDC|_x0005_`WQC|_x0005_`EDT|2026.01_x0005_`DET|109_x0005_`</v>
      </c>
      <c r="H108" s="433" t="str">
        <f ca="1">HYPERLINK("#"&amp;자재단가대비표!R2&amp;"!A"&amp;ROW(자재단가대비표!A109),"M08781 →")</f>
        <v>M08781 →</v>
      </c>
    </row>
    <row r="109" spans="1:8" ht="17.45" customHeight="1">
      <c r="A109" s="460" t="s">
        <v>4731</v>
      </c>
      <c r="B109" s="452" t="s">
        <v>1409</v>
      </c>
      <c r="C109" s="452" t="s">
        <v>3319</v>
      </c>
      <c r="D109" s="460" t="s">
        <v>1589</v>
      </c>
      <c r="E109" s="525">
        <f>자재단가대비표!O110</f>
        <v>3415000</v>
      </c>
      <c r="F109" s="463"/>
      <c r="G109" s="451" t="str">
        <f>"_x0007_`COD|M01532_x0005_`QTY1|1_x0005_`BQC|_x0005_`EQC|_x0005_`JDC|_x0005_`WQC|_x0005_`EDT|2026.01_x0005_`DET|"&amp;ROW(자재단가대비표!A110)&amp;"_x0005_`"</f>
        <v>_x0007_`COD|M01532_x0005_`QTY1|1_x0005_`BQC|_x0005_`EQC|_x0005_`JDC|_x0005_`WQC|_x0005_`EDT|2026.01_x0005_`DET|110_x0005_`</v>
      </c>
      <c r="H109" s="433" t="str">
        <f ca="1">HYPERLINK("#"&amp;자재단가대비표!R2&amp;"!A"&amp;ROW(자재단가대비표!A110),"M01532 →")</f>
        <v>M01532 →</v>
      </c>
    </row>
    <row r="110" spans="1:8" ht="17.45" customHeight="1">
      <c r="A110" s="460" t="s">
        <v>4489</v>
      </c>
      <c r="B110" s="452" t="s">
        <v>2838</v>
      </c>
      <c r="C110" s="452" t="s">
        <v>2839</v>
      </c>
      <c r="D110" s="460" t="s">
        <v>2840</v>
      </c>
      <c r="E110" s="525">
        <f>자재단가대비표!O111</f>
        <v>1472</v>
      </c>
      <c r="F110" s="463"/>
      <c r="G110" s="451" t="str">
        <f>"_x0007_`COD|M00927_x0005_`QTY1|1_x0005_`BQC|_x0005_`EQC|_x0005_`JDC|1510150620282203_x0005_`WQC|_x0005_`EDT|2025.12.30_x0005_`DET|"&amp;ROW(자재단가대비표!A111)&amp;"_x0005_`"</f>
        <v>_x0007_`COD|M00927_x0005_`QTY1|1_x0005_`BQC|_x0005_`EQC|_x0005_`JDC|1510150620282203_x0005_`WQC|_x0005_`EDT|2025.12.30_x0005_`DET|111_x0005_`</v>
      </c>
      <c r="H110" s="433" t="str">
        <f ca="1">HYPERLINK("#"&amp;자재단가대비표!R2&amp;"!A"&amp;ROW(자재단가대비표!A111),"M00927 →")</f>
        <v>M00927 →</v>
      </c>
    </row>
    <row r="111" spans="1:8" ht="17.45" customHeight="1">
      <c r="A111" s="460" t="s">
        <v>4732</v>
      </c>
      <c r="B111" s="452" t="s">
        <v>1321</v>
      </c>
      <c r="C111" s="452" t="s">
        <v>3343</v>
      </c>
      <c r="D111" s="460" t="s">
        <v>1589</v>
      </c>
      <c r="E111" s="525">
        <f>자재단가대비표!O112</f>
        <v>34540000</v>
      </c>
      <c r="F111" s="463"/>
      <c r="G111" s="451" t="str">
        <f>"_x0007_`COD|M01535_x0005_`QTY1|1_x0005_`BQC|_x0005_`EQC|_x0005_`JDC|_x0005_`WQC|_x0005_`EDT|2026.01_x0005_`DET|"&amp;ROW(자재단가대비표!A112)&amp;"_x0005_`"</f>
        <v>_x0007_`COD|M01535_x0005_`QTY1|1_x0005_`BQC|_x0005_`EQC|_x0005_`JDC|_x0005_`WQC|_x0005_`EDT|2026.01_x0005_`DET|112_x0005_`</v>
      </c>
      <c r="H111" s="433" t="str">
        <f ca="1">HYPERLINK("#"&amp;자재단가대비표!R2&amp;"!A"&amp;ROW(자재단가대비표!A112),"M01535 →")</f>
        <v>M01535 →</v>
      </c>
    </row>
  </sheetData>
  <mergeCells count="1">
    <mergeCell ref="A1:F1"/>
  </mergeCells>
  <phoneticPr fontId="13" type="noConversion"/>
  <hyperlinks>
    <hyperlink ref="H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3300-000000000000}"/>
    <hyperlink ref="G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3300-000001000000}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/>
  <legacyDrawing r:id="rId4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FFC000"/>
  </sheetPr>
  <dimension ref="A1:H23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5" width="12.21875" style="428" customWidth="1"/>
    <col min="6" max="6" width="8.88671875" style="428" customWidth="1"/>
    <col min="7" max="7" width="8.109375" style="455" hidden="1" customWidth="1"/>
    <col min="8" max="8" width="8.109375" style="432" customWidth="1"/>
    <col min="9" max="16384" width="8.109375" style="428"/>
  </cols>
  <sheetData>
    <row r="1" spans="1:8" ht="24.95" customHeight="1">
      <c r="A1" s="597" t="s">
        <v>4733</v>
      </c>
      <c r="B1" s="598"/>
      <c r="C1" s="598"/>
      <c r="D1" s="598"/>
      <c r="E1" s="598"/>
      <c r="F1" s="598"/>
      <c r="G1" s="426" t="s">
        <v>807</v>
      </c>
      <c r="H1" s="427" t="s">
        <v>807</v>
      </c>
    </row>
    <row r="2" spans="1:8" ht="17.45" customHeight="1">
      <c r="A2" s="429" t="s">
        <v>5654</v>
      </c>
      <c r="G2" s="431" t="str">
        <f ca="1">MID(CELL("filename",$A$1),FIND("]",CELL("filename",$A$1))+1,LEN(CELL("filename",$A$1)))</f>
        <v>노무비목록표</v>
      </c>
    </row>
    <row r="3" spans="1:8" ht="17.45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906</v>
      </c>
      <c r="F3" s="440" t="s">
        <v>905</v>
      </c>
      <c r="H3" s="433" t="str">
        <f>HYPERLINK("#'〓 목 차 〓'!B2","목차 →")</f>
        <v>목차 →</v>
      </c>
    </row>
    <row r="4" spans="1:8" ht="17.45" customHeight="1">
      <c r="A4" s="460" t="s">
        <v>4472</v>
      </c>
      <c r="B4" s="452" t="s">
        <v>4470</v>
      </c>
      <c r="C4" s="452"/>
      <c r="D4" s="460" t="s">
        <v>585</v>
      </c>
      <c r="E4" s="526">
        <v>283297</v>
      </c>
      <c r="F4" s="463" t="s">
        <v>4734</v>
      </c>
      <c r="G4" s="451" t="s">
        <v>4735</v>
      </c>
    </row>
    <row r="5" spans="1:8" ht="17.45" customHeight="1">
      <c r="A5" s="460" t="s">
        <v>3750</v>
      </c>
      <c r="B5" s="452" t="s">
        <v>2621</v>
      </c>
      <c r="C5" s="452"/>
      <c r="D5" s="460" t="s">
        <v>585</v>
      </c>
      <c r="E5" s="526">
        <v>277642</v>
      </c>
      <c r="F5" s="463" t="s">
        <v>4736</v>
      </c>
      <c r="G5" s="451" t="s">
        <v>4737</v>
      </c>
    </row>
    <row r="6" spans="1:8" ht="17.45" customHeight="1">
      <c r="A6" s="460" t="s">
        <v>4216</v>
      </c>
      <c r="B6" s="452" t="s">
        <v>4738</v>
      </c>
      <c r="C6" s="452" t="s">
        <v>4739</v>
      </c>
      <c r="D6" s="460" t="s">
        <v>2371</v>
      </c>
      <c r="E6" s="467">
        <v>0</v>
      </c>
      <c r="F6" s="463"/>
      <c r="G6" s="451" t="s">
        <v>4740</v>
      </c>
    </row>
    <row r="7" spans="1:8" ht="17.45" customHeight="1">
      <c r="A7" s="460" t="s">
        <v>4117</v>
      </c>
      <c r="B7" s="452" t="s">
        <v>2424</v>
      </c>
      <c r="C7" s="452"/>
      <c r="D7" s="460" t="s">
        <v>585</v>
      </c>
      <c r="E7" s="526">
        <v>263017</v>
      </c>
      <c r="F7" s="463" t="s">
        <v>4741</v>
      </c>
      <c r="G7" s="451" t="s">
        <v>4742</v>
      </c>
    </row>
    <row r="8" spans="1:8" ht="17.45" customHeight="1">
      <c r="A8" s="460" t="s">
        <v>4364</v>
      </c>
      <c r="B8" s="452" t="s">
        <v>4743</v>
      </c>
      <c r="C8" s="452"/>
      <c r="D8" s="460" t="s">
        <v>585</v>
      </c>
      <c r="E8" s="526">
        <v>262580</v>
      </c>
      <c r="F8" s="463" t="s">
        <v>4744</v>
      </c>
      <c r="G8" s="451" t="s">
        <v>4745</v>
      </c>
    </row>
    <row r="9" spans="1:8" ht="17.45" customHeight="1">
      <c r="A9" s="460" t="s">
        <v>4191</v>
      </c>
      <c r="B9" s="452" t="s">
        <v>2829</v>
      </c>
      <c r="C9" s="452"/>
      <c r="D9" s="460" t="s">
        <v>585</v>
      </c>
      <c r="E9" s="526">
        <v>253243</v>
      </c>
      <c r="F9" s="463" t="s">
        <v>4746</v>
      </c>
      <c r="G9" s="451" t="s">
        <v>4747</v>
      </c>
    </row>
    <row r="10" spans="1:8" ht="17.45" customHeight="1">
      <c r="A10" s="460" t="s">
        <v>3414</v>
      </c>
      <c r="B10" s="452" t="s">
        <v>2360</v>
      </c>
      <c r="C10" s="452"/>
      <c r="D10" s="460" t="s">
        <v>585</v>
      </c>
      <c r="E10" s="526">
        <v>172068</v>
      </c>
      <c r="F10" s="463" t="s">
        <v>4748</v>
      </c>
      <c r="G10" s="451" t="s">
        <v>4749</v>
      </c>
    </row>
    <row r="11" spans="1:8" ht="17.45" customHeight="1">
      <c r="A11" s="460" t="s">
        <v>4148</v>
      </c>
      <c r="B11" s="452" t="s">
        <v>4750</v>
      </c>
      <c r="C11" s="452"/>
      <c r="D11" s="460" t="s">
        <v>585</v>
      </c>
      <c r="E11" s="526">
        <v>268908</v>
      </c>
      <c r="F11" s="463" t="s">
        <v>4751</v>
      </c>
      <c r="G11" s="451" t="s">
        <v>4752</v>
      </c>
    </row>
    <row r="12" spans="1:8" ht="17.45" customHeight="1">
      <c r="A12" s="460" t="s">
        <v>4753</v>
      </c>
      <c r="B12" s="452" t="s">
        <v>3148</v>
      </c>
      <c r="C12" s="452"/>
      <c r="D12" s="460" t="s">
        <v>585</v>
      </c>
      <c r="E12" s="526">
        <v>282536</v>
      </c>
      <c r="F12" s="463" t="s">
        <v>4754</v>
      </c>
      <c r="G12" s="451" t="s">
        <v>4755</v>
      </c>
    </row>
    <row r="13" spans="1:8" ht="17.45" customHeight="1">
      <c r="A13" s="460" t="s">
        <v>4476</v>
      </c>
      <c r="B13" s="452" t="s">
        <v>4475</v>
      </c>
      <c r="C13" s="452"/>
      <c r="D13" s="460" t="s">
        <v>585</v>
      </c>
      <c r="E13" s="526">
        <v>173995</v>
      </c>
      <c r="F13" s="463" t="s">
        <v>4756</v>
      </c>
      <c r="G13" s="451" t="s">
        <v>4757</v>
      </c>
    </row>
    <row r="14" spans="1:8" ht="17.45" customHeight="1">
      <c r="A14" s="460" t="s">
        <v>4758</v>
      </c>
      <c r="B14" s="452" t="s">
        <v>2512</v>
      </c>
      <c r="C14" s="452"/>
      <c r="D14" s="460" t="s">
        <v>585</v>
      </c>
      <c r="E14" s="526">
        <v>215907</v>
      </c>
      <c r="F14" s="463" t="s">
        <v>4759</v>
      </c>
      <c r="G14" s="451" t="s">
        <v>4760</v>
      </c>
    </row>
    <row r="15" spans="1:8" ht="17.45" customHeight="1">
      <c r="A15" s="460" t="s">
        <v>3498</v>
      </c>
      <c r="B15" s="452" t="s">
        <v>2356</v>
      </c>
      <c r="C15" s="452"/>
      <c r="D15" s="460" t="s">
        <v>585</v>
      </c>
      <c r="E15" s="526">
        <v>235204</v>
      </c>
      <c r="F15" s="463" t="s">
        <v>4761</v>
      </c>
      <c r="G15" s="451" t="s">
        <v>4762</v>
      </c>
    </row>
    <row r="16" spans="1:8" ht="17.45" customHeight="1">
      <c r="A16" s="460" t="s">
        <v>4315</v>
      </c>
      <c r="B16" s="452" t="s">
        <v>4763</v>
      </c>
      <c r="C16" s="452"/>
      <c r="D16" s="460" t="s">
        <v>585</v>
      </c>
      <c r="E16" s="526">
        <v>222306</v>
      </c>
      <c r="F16" s="463" t="s">
        <v>4764</v>
      </c>
      <c r="G16" s="451" t="s">
        <v>4765</v>
      </c>
    </row>
    <row r="17" spans="1:7" ht="17.45" customHeight="1">
      <c r="A17" s="460" t="s">
        <v>4766</v>
      </c>
      <c r="B17" s="452" t="s">
        <v>2807</v>
      </c>
      <c r="C17" s="452"/>
      <c r="D17" s="460" t="s">
        <v>585</v>
      </c>
      <c r="E17" s="526">
        <v>252641</v>
      </c>
      <c r="F17" s="463" t="s">
        <v>4767</v>
      </c>
      <c r="G17" s="451" t="s">
        <v>4768</v>
      </c>
    </row>
    <row r="18" spans="1:7" ht="17.45" customHeight="1">
      <c r="A18" s="460" t="s">
        <v>4769</v>
      </c>
      <c r="B18" s="452" t="s">
        <v>3144</v>
      </c>
      <c r="C18" s="452"/>
      <c r="D18" s="460" t="s">
        <v>585</v>
      </c>
      <c r="E18" s="526">
        <v>239808</v>
      </c>
      <c r="F18" s="463" t="s">
        <v>4770</v>
      </c>
      <c r="G18" s="451" t="s">
        <v>4771</v>
      </c>
    </row>
    <row r="19" spans="1:7" ht="17.45" customHeight="1">
      <c r="A19" s="460" t="s">
        <v>4260</v>
      </c>
      <c r="B19" s="452" t="s">
        <v>4772</v>
      </c>
      <c r="C19" s="452"/>
      <c r="D19" s="460" t="s">
        <v>585</v>
      </c>
      <c r="E19" s="526">
        <v>268187</v>
      </c>
      <c r="F19" s="463" t="s">
        <v>4773</v>
      </c>
      <c r="G19" s="451" t="s">
        <v>4774</v>
      </c>
    </row>
    <row r="20" spans="1:7" ht="17.45" customHeight="1">
      <c r="A20" s="460" t="s">
        <v>4775</v>
      </c>
      <c r="B20" s="452" t="s">
        <v>3329</v>
      </c>
      <c r="C20" s="452"/>
      <c r="D20" s="460" t="s">
        <v>585</v>
      </c>
      <c r="E20" s="526">
        <v>273540</v>
      </c>
      <c r="F20" s="463" t="s">
        <v>4776</v>
      </c>
      <c r="G20" s="451" t="s">
        <v>4777</v>
      </c>
    </row>
    <row r="21" spans="1:7" ht="17.45" customHeight="1">
      <c r="A21" s="460" t="s">
        <v>3821</v>
      </c>
      <c r="B21" s="452" t="s">
        <v>2516</v>
      </c>
      <c r="C21" s="452"/>
      <c r="D21" s="460" t="s">
        <v>585</v>
      </c>
      <c r="E21" s="526">
        <v>226122</v>
      </c>
      <c r="F21" s="463" t="s">
        <v>4778</v>
      </c>
      <c r="G21" s="451" t="s">
        <v>4779</v>
      </c>
    </row>
    <row r="22" spans="1:7" ht="17.45" customHeight="1">
      <c r="A22" s="460" t="s">
        <v>4439</v>
      </c>
      <c r="B22" s="452" t="s">
        <v>4780</v>
      </c>
      <c r="C22" s="452"/>
      <c r="D22" s="460" t="s">
        <v>585</v>
      </c>
      <c r="E22" s="526">
        <v>275790</v>
      </c>
      <c r="F22" s="463" t="s">
        <v>4781</v>
      </c>
      <c r="G22" s="451" t="s">
        <v>4782</v>
      </c>
    </row>
    <row r="23" spans="1:7" ht="17.45" customHeight="1">
      <c r="A23" s="460" t="s">
        <v>4474</v>
      </c>
      <c r="B23" s="452" t="s">
        <v>4473</v>
      </c>
      <c r="C23" s="452"/>
      <c r="D23" s="460" t="s">
        <v>585</v>
      </c>
      <c r="E23" s="526">
        <v>238936</v>
      </c>
      <c r="F23" s="463" t="s">
        <v>4783</v>
      </c>
      <c r="G23" s="451" t="s">
        <v>4784</v>
      </c>
    </row>
  </sheetData>
  <mergeCells count="1">
    <mergeCell ref="A1:F1"/>
  </mergeCells>
  <phoneticPr fontId="13" type="noConversion"/>
  <hyperlinks>
    <hyperlink ref="H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3400-000000000000}"/>
    <hyperlink ref="G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3400-000001000000}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/>
  <legacyDrawing r:id="rId4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C000"/>
  </sheetPr>
  <dimension ref="A1:H24"/>
  <sheetViews>
    <sheetView workbookViewId="0">
      <pane ySplit="3" topLeftCell="A4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5" width="12.21875" style="428" customWidth="1"/>
    <col min="6" max="6" width="8.88671875" style="428" customWidth="1"/>
    <col min="7" max="7" width="8.109375" style="455" hidden="1" customWidth="1"/>
    <col min="8" max="8" width="8.109375" style="432" customWidth="1"/>
    <col min="9" max="16384" width="8.109375" style="428"/>
  </cols>
  <sheetData>
    <row r="1" spans="1:8" ht="24.95" customHeight="1">
      <c r="A1" s="597" t="s">
        <v>4785</v>
      </c>
      <c r="B1" s="598"/>
      <c r="C1" s="598"/>
      <c r="D1" s="598"/>
      <c r="E1" s="598"/>
      <c r="F1" s="598"/>
      <c r="G1" s="426" t="s">
        <v>807</v>
      </c>
      <c r="H1" s="427" t="s">
        <v>807</v>
      </c>
    </row>
    <row r="2" spans="1:8" ht="17.45" customHeight="1">
      <c r="A2" s="429" t="s">
        <v>5654</v>
      </c>
      <c r="G2" s="431" t="str">
        <f ca="1">MID(CELL("filename",$A$1),FIND("]",CELL("filename",$A$1))+1,LEN(CELL("filename",$A$1)))</f>
        <v>경비목록표</v>
      </c>
    </row>
    <row r="3" spans="1:8" ht="17.45" customHeight="1">
      <c r="A3" s="450" t="s">
        <v>2278</v>
      </c>
      <c r="B3" s="450" t="s">
        <v>840</v>
      </c>
      <c r="C3" s="450" t="s">
        <v>841</v>
      </c>
      <c r="D3" s="450" t="s">
        <v>904</v>
      </c>
      <c r="E3" s="450" t="s">
        <v>906</v>
      </c>
      <c r="F3" s="440" t="s">
        <v>905</v>
      </c>
      <c r="H3" s="433" t="str">
        <f>HYPERLINK("#'〓 목 차 〓'!B2","목차 →")</f>
        <v>목차 →</v>
      </c>
    </row>
    <row r="4" spans="1:8" ht="17.45" customHeight="1">
      <c r="A4" s="460" t="s">
        <v>3997</v>
      </c>
      <c r="B4" s="452" t="s">
        <v>4786</v>
      </c>
      <c r="C4" s="452" t="s">
        <v>4787</v>
      </c>
      <c r="D4" s="460" t="s">
        <v>2371</v>
      </c>
      <c r="E4" s="467">
        <v>0</v>
      </c>
      <c r="F4" s="463"/>
      <c r="G4" s="451" t="s">
        <v>4788</v>
      </c>
    </row>
    <row r="5" spans="1:8" ht="17.45" customHeight="1">
      <c r="A5" s="460" t="s">
        <v>4789</v>
      </c>
      <c r="B5" s="452" t="s">
        <v>4492</v>
      </c>
      <c r="C5" s="452" t="s">
        <v>4493</v>
      </c>
      <c r="D5" s="460" t="s">
        <v>4531</v>
      </c>
      <c r="E5" s="526">
        <v>66960</v>
      </c>
      <c r="F5" s="463" t="s">
        <v>4494</v>
      </c>
      <c r="G5" s="451" t="s">
        <v>4790</v>
      </c>
    </row>
    <row r="6" spans="1:8" ht="17.45" customHeight="1">
      <c r="A6" s="460" t="s">
        <v>4791</v>
      </c>
      <c r="B6" s="452" t="s">
        <v>2407</v>
      </c>
      <c r="C6" s="452" t="s">
        <v>2408</v>
      </c>
      <c r="D6" s="460" t="s">
        <v>4531</v>
      </c>
      <c r="E6" s="526">
        <v>66538</v>
      </c>
      <c r="F6" s="463"/>
      <c r="G6" s="451" t="s">
        <v>4792</v>
      </c>
    </row>
    <row r="7" spans="1:8" ht="17.45" customHeight="1">
      <c r="A7" s="460" t="s">
        <v>4793</v>
      </c>
      <c r="B7" s="452" t="s">
        <v>2407</v>
      </c>
      <c r="C7" s="452" t="s">
        <v>4499</v>
      </c>
      <c r="D7" s="460" t="s">
        <v>4531</v>
      </c>
      <c r="E7" s="526">
        <v>84000</v>
      </c>
      <c r="F7" s="463"/>
      <c r="G7" s="451" t="s">
        <v>4794</v>
      </c>
    </row>
    <row r="8" spans="1:8" ht="17.45" customHeight="1">
      <c r="A8" s="460" t="s">
        <v>4795</v>
      </c>
      <c r="B8" s="452" t="s">
        <v>2407</v>
      </c>
      <c r="C8" s="452" t="s">
        <v>3156</v>
      </c>
      <c r="D8" s="460" t="s">
        <v>4531</v>
      </c>
      <c r="E8" s="526">
        <v>112342</v>
      </c>
      <c r="F8" s="463"/>
      <c r="G8" s="451" t="s">
        <v>4796</v>
      </c>
    </row>
    <row r="9" spans="1:8" ht="17.45" customHeight="1">
      <c r="A9" s="460" t="s">
        <v>4797</v>
      </c>
      <c r="B9" s="452" t="s">
        <v>2407</v>
      </c>
      <c r="C9" s="452" t="s">
        <v>3161</v>
      </c>
      <c r="D9" s="460" t="s">
        <v>4531</v>
      </c>
      <c r="E9" s="526">
        <v>117766</v>
      </c>
      <c r="F9" s="463"/>
      <c r="G9" s="451" t="s">
        <v>4798</v>
      </c>
    </row>
    <row r="10" spans="1:8" ht="17.45" customHeight="1">
      <c r="A10" s="460" t="s">
        <v>4799</v>
      </c>
      <c r="B10" s="452" t="s">
        <v>2407</v>
      </c>
      <c r="C10" s="452" t="s">
        <v>2520</v>
      </c>
      <c r="D10" s="460" t="s">
        <v>4531</v>
      </c>
      <c r="E10" s="526">
        <v>129586</v>
      </c>
      <c r="F10" s="463"/>
      <c r="G10" s="451" t="s">
        <v>4800</v>
      </c>
    </row>
    <row r="11" spans="1:8" ht="17.45" customHeight="1">
      <c r="A11" s="460" t="s">
        <v>4801</v>
      </c>
      <c r="B11" s="452" t="s">
        <v>2407</v>
      </c>
      <c r="C11" s="452" t="s">
        <v>4507</v>
      </c>
      <c r="D11" s="460" t="s">
        <v>4531</v>
      </c>
      <c r="E11" s="526">
        <v>142069</v>
      </c>
      <c r="F11" s="463"/>
      <c r="G11" s="451" t="s">
        <v>4802</v>
      </c>
    </row>
    <row r="12" spans="1:8" ht="17.45" customHeight="1">
      <c r="A12" s="460" t="s">
        <v>4238</v>
      </c>
      <c r="B12" s="452" t="s">
        <v>4803</v>
      </c>
      <c r="C12" s="452" t="s">
        <v>2441</v>
      </c>
      <c r="D12" s="460" t="s">
        <v>2371</v>
      </c>
      <c r="E12" s="467">
        <v>0</v>
      </c>
      <c r="F12" s="463"/>
      <c r="G12" s="451" t="s">
        <v>4804</v>
      </c>
    </row>
    <row r="13" spans="1:8" ht="17.45" customHeight="1">
      <c r="A13" s="460" t="s">
        <v>4805</v>
      </c>
      <c r="B13" s="452" t="s">
        <v>2833</v>
      </c>
      <c r="C13" s="452"/>
      <c r="D13" s="460" t="s">
        <v>2834</v>
      </c>
      <c r="E13" s="526">
        <v>607</v>
      </c>
      <c r="F13" s="463"/>
      <c r="G13" s="451" t="s">
        <v>4806</v>
      </c>
    </row>
    <row r="14" spans="1:8" ht="17.45" customHeight="1">
      <c r="A14" s="460" t="s">
        <v>4807</v>
      </c>
      <c r="B14" s="452" t="s">
        <v>4509</v>
      </c>
      <c r="C14" s="452" t="s">
        <v>4510</v>
      </c>
      <c r="D14" s="460" t="s">
        <v>4531</v>
      </c>
      <c r="E14" s="526">
        <v>90653</v>
      </c>
      <c r="F14" s="463"/>
      <c r="G14" s="451" t="s">
        <v>4808</v>
      </c>
    </row>
    <row r="15" spans="1:8" ht="17.45" customHeight="1">
      <c r="A15" s="460" t="s">
        <v>4809</v>
      </c>
      <c r="B15" s="452" t="s">
        <v>4512</v>
      </c>
      <c r="C15" s="452" t="s">
        <v>4513</v>
      </c>
      <c r="D15" s="460" t="s">
        <v>4531</v>
      </c>
      <c r="E15" s="526">
        <v>1418</v>
      </c>
      <c r="F15" s="463"/>
      <c r="G15" s="451" t="s">
        <v>4810</v>
      </c>
    </row>
    <row r="16" spans="1:8" ht="17.45" customHeight="1">
      <c r="A16" s="460" t="s">
        <v>4811</v>
      </c>
      <c r="B16" s="452" t="s">
        <v>2413</v>
      </c>
      <c r="C16" s="452" t="s">
        <v>2414</v>
      </c>
      <c r="D16" s="460" t="s">
        <v>4531</v>
      </c>
      <c r="E16" s="526">
        <v>47263</v>
      </c>
      <c r="F16" s="463"/>
      <c r="G16" s="451" t="s">
        <v>4812</v>
      </c>
    </row>
    <row r="17" spans="1:7" ht="17.45" customHeight="1">
      <c r="A17" s="460" t="s">
        <v>4813</v>
      </c>
      <c r="B17" s="452" t="s">
        <v>4552</v>
      </c>
      <c r="C17" s="452" t="s">
        <v>2408</v>
      </c>
      <c r="D17" s="460" t="s">
        <v>4531</v>
      </c>
      <c r="E17" s="526">
        <v>4942</v>
      </c>
      <c r="F17" s="463" t="s">
        <v>4814</v>
      </c>
      <c r="G17" s="451" t="s">
        <v>4815</v>
      </c>
    </row>
    <row r="18" spans="1:7" ht="17.45" customHeight="1">
      <c r="A18" s="460" t="s">
        <v>4816</v>
      </c>
      <c r="B18" s="452" t="s">
        <v>4552</v>
      </c>
      <c r="C18" s="452" t="s">
        <v>4565</v>
      </c>
      <c r="D18" s="460" t="s">
        <v>4531</v>
      </c>
      <c r="E18" s="526">
        <v>7783</v>
      </c>
      <c r="F18" s="463"/>
      <c r="G18" s="451" t="s">
        <v>4817</v>
      </c>
    </row>
    <row r="19" spans="1:7" ht="17.45" customHeight="1">
      <c r="A19" s="460" t="s">
        <v>4818</v>
      </c>
      <c r="B19" s="452" t="s">
        <v>4516</v>
      </c>
      <c r="C19" s="452" t="s">
        <v>4517</v>
      </c>
      <c r="D19" s="460" t="s">
        <v>4531</v>
      </c>
      <c r="E19" s="526">
        <v>1976</v>
      </c>
      <c r="F19" s="463" t="s">
        <v>4518</v>
      </c>
      <c r="G19" s="451" t="s">
        <v>4819</v>
      </c>
    </row>
    <row r="20" spans="1:7" ht="17.45" customHeight="1">
      <c r="A20" s="460" t="s">
        <v>4820</v>
      </c>
      <c r="B20" s="452" t="s">
        <v>4520</v>
      </c>
      <c r="C20" s="452" t="s">
        <v>4521</v>
      </c>
      <c r="D20" s="460" t="s">
        <v>4531</v>
      </c>
      <c r="E20" s="526">
        <v>290480</v>
      </c>
      <c r="F20" s="463"/>
      <c r="G20" s="451" t="s">
        <v>4821</v>
      </c>
    </row>
    <row r="21" spans="1:7" ht="17.45" customHeight="1">
      <c r="A21" s="460" t="s">
        <v>4822</v>
      </c>
      <c r="B21" s="452" t="s">
        <v>4523</v>
      </c>
      <c r="C21" s="452" t="s">
        <v>4524</v>
      </c>
      <c r="D21" s="460" t="s">
        <v>4531</v>
      </c>
      <c r="E21" s="526">
        <v>91593</v>
      </c>
      <c r="F21" s="463"/>
      <c r="G21" s="451" t="s">
        <v>4823</v>
      </c>
    </row>
    <row r="22" spans="1:7" ht="17.45" customHeight="1">
      <c r="A22" s="460" t="s">
        <v>4824</v>
      </c>
      <c r="B22" s="452" t="s">
        <v>4523</v>
      </c>
      <c r="C22" s="452" t="s">
        <v>4510</v>
      </c>
      <c r="D22" s="460" t="s">
        <v>4531</v>
      </c>
      <c r="E22" s="526">
        <v>120584</v>
      </c>
      <c r="F22" s="463"/>
      <c r="G22" s="451" t="s">
        <v>4825</v>
      </c>
    </row>
    <row r="23" spans="1:7" ht="17.45" customHeight="1">
      <c r="A23" s="460" t="s">
        <v>4826</v>
      </c>
      <c r="B23" s="452" t="s">
        <v>4523</v>
      </c>
      <c r="C23" s="452" t="s">
        <v>4527</v>
      </c>
      <c r="D23" s="460" t="s">
        <v>4531</v>
      </c>
      <c r="E23" s="526">
        <v>42791</v>
      </c>
      <c r="F23" s="463"/>
      <c r="G23" s="451" t="s">
        <v>4827</v>
      </c>
    </row>
    <row r="24" spans="1:7" ht="17.45" customHeight="1">
      <c r="A24" s="460" t="s">
        <v>4828</v>
      </c>
      <c r="B24" s="452" t="s">
        <v>2418</v>
      </c>
      <c r="C24" s="452" t="s">
        <v>2419</v>
      </c>
      <c r="D24" s="460" t="s">
        <v>4531</v>
      </c>
      <c r="E24" s="526">
        <v>1673</v>
      </c>
      <c r="F24" s="463"/>
      <c r="G24" s="451" t="s">
        <v>4829</v>
      </c>
    </row>
  </sheetData>
  <mergeCells count="1">
    <mergeCell ref="A1:F1"/>
  </mergeCells>
  <phoneticPr fontId="13" type="noConversion"/>
  <hyperlinks>
    <hyperlink ref="H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3500-000000000000}"/>
    <hyperlink ref="G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3500-000001000000}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/>
  <legacyDrawing r:id="rId4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C000"/>
  </sheetPr>
  <dimension ref="A1:Y112"/>
  <sheetViews>
    <sheetView workbookViewId="0">
      <pane ySplit="4" topLeftCell="A5" activePane="bottomLeft" state="frozenSplit"/>
      <selection activeCell="D13" sqref="D13"/>
      <selection pane="bottomLeft" activeCell="A2" sqref="A2"/>
    </sheetView>
  </sheetViews>
  <sheetFormatPr defaultColWidth="8.109375" defaultRowHeight="13.5"/>
  <cols>
    <col min="1" max="1" width="8.88671875" style="428" customWidth="1"/>
    <col min="2" max="3" width="21.5546875" style="428" customWidth="1"/>
    <col min="4" max="4" width="4.88671875" style="428" customWidth="1"/>
    <col min="5" max="17" width="8.88671875" style="428" customWidth="1"/>
    <col min="18" max="18" width="8.109375" style="455" hidden="1" customWidth="1"/>
    <col min="19" max="19" width="8.109375" style="432" customWidth="1"/>
    <col min="20" max="20" width="8.88671875" style="428" customWidth="1"/>
    <col min="21" max="21" width="2.21875" style="428" customWidth="1"/>
    <col min="22" max="22" width="8.88671875" style="428" customWidth="1"/>
    <col min="23" max="23" width="7.5546875" style="428" customWidth="1"/>
    <col min="24" max="16384" width="8.109375" style="428"/>
  </cols>
  <sheetData>
    <row r="1" spans="1:25" ht="24.95" customHeight="1">
      <c r="A1" s="597" t="s">
        <v>4830</v>
      </c>
      <c r="B1" s="598"/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598"/>
      <c r="P1" s="598"/>
      <c r="Q1" s="598"/>
      <c r="R1" s="426" t="s">
        <v>807</v>
      </c>
      <c r="S1" s="427" t="s">
        <v>807</v>
      </c>
    </row>
    <row r="2" spans="1:25" ht="39.950000000000003" customHeight="1">
      <c r="A2" s="429" t="s">
        <v>5654</v>
      </c>
      <c r="R2" s="431" t="str">
        <f ca="1">MID(CELL("filename",$A$1),FIND("]",CELL("filename",$A$1))+1,LEN(CELL("filename",$A$1)))</f>
        <v>자재단가대비표</v>
      </c>
    </row>
    <row r="3" spans="1:25" ht="39.950000000000003" customHeight="1">
      <c r="A3" s="613" t="s">
        <v>2278</v>
      </c>
      <c r="B3" s="613" t="s">
        <v>840</v>
      </c>
      <c r="C3" s="613" t="s">
        <v>841</v>
      </c>
      <c r="D3" s="613" t="s">
        <v>904</v>
      </c>
      <c r="E3" s="601" t="s">
        <v>4831</v>
      </c>
      <c r="F3" s="614"/>
      <c r="G3" s="601" t="s">
        <v>4832</v>
      </c>
      <c r="H3" s="614"/>
      <c r="I3" s="601" t="s">
        <v>4833</v>
      </c>
      <c r="J3" s="614"/>
      <c r="K3" s="601" t="s">
        <v>4834</v>
      </c>
      <c r="L3" s="614"/>
      <c r="M3" s="601" t="s">
        <v>4835</v>
      </c>
      <c r="N3" s="614"/>
      <c r="O3" s="601" t="s">
        <v>4836</v>
      </c>
      <c r="P3" s="614"/>
      <c r="Q3" s="601" t="s">
        <v>905</v>
      </c>
      <c r="U3" s="624" t="s">
        <v>4837</v>
      </c>
      <c r="V3" s="598"/>
      <c r="W3" s="598"/>
    </row>
    <row r="4" spans="1:25" ht="39.950000000000003" customHeight="1">
      <c r="A4" s="614"/>
      <c r="B4" s="614"/>
      <c r="C4" s="614"/>
      <c r="D4" s="614"/>
      <c r="E4" s="460" t="s">
        <v>906</v>
      </c>
      <c r="F4" s="460" t="s">
        <v>4838</v>
      </c>
      <c r="G4" s="460" t="s">
        <v>906</v>
      </c>
      <c r="H4" s="460" t="s">
        <v>4838</v>
      </c>
      <c r="I4" s="460" t="s">
        <v>906</v>
      </c>
      <c r="J4" s="460" t="s">
        <v>4838</v>
      </c>
      <c r="K4" s="460" t="s">
        <v>906</v>
      </c>
      <c r="L4" s="460" t="s">
        <v>4838</v>
      </c>
      <c r="M4" s="460" t="s">
        <v>906</v>
      </c>
      <c r="N4" s="460" t="s">
        <v>4838</v>
      </c>
      <c r="O4" s="460" t="s">
        <v>906</v>
      </c>
      <c r="P4" s="460" t="s">
        <v>4838</v>
      </c>
      <c r="Q4" s="602"/>
      <c r="S4" s="433" t="str">
        <f>HYPERLINK("#'〓 목 차 〓'!B2","목차 →")</f>
        <v>목차 →</v>
      </c>
      <c r="T4" s="501" t="s">
        <v>4839</v>
      </c>
      <c r="U4" s="501" t="s">
        <v>4840</v>
      </c>
      <c r="V4" s="501" t="s">
        <v>906</v>
      </c>
      <c r="W4" s="501" t="s">
        <v>4838</v>
      </c>
      <c r="X4" s="501" t="s">
        <v>4841</v>
      </c>
      <c r="Y4" s="501" t="s">
        <v>4842</v>
      </c>
    </row>
    <row r="5" spans="1:25" ht="39.950000000000003" customHeight="1">
      <c r="A5" s="460" t="s">
        <v>4622</v>
      </c>
      <c r="B5" s="452" t="s">
        <v>2948</v>
      </c>
      <c r="C5" s="452" t="s">
        <v>2949</v>
      </c>
      <c r="D5" s="460" t="s">
        <v>911</v>
      </c>
      <c r="E5" s="467">
        <v>0</v>
      </c>
      <c r="F5" s="460"/>
      <c r="G5" s="467">
        <v>735</v>
      </c>
      <c r="H5" s="460" t="s">
        <v>4843</v>
      </c>
      <c r="I5" s="467">
        <v>0</v>
      </c>
      <c r="J5" s="460"/>
      <c r="K5" s="467">
        <v>0</v>
      </c>
      <c r="L5" s="460"/>
      <c r="M5" s="467">
        <v>0</v>
      </c>
      <c r="N5" s="460"/>
      <c r="O5" s="467">
        <v>735</v>
      </c>
      <c r="P5" s="463" t="s">
        <v>4844</v>
      </c>
      <c r="Q5" s="482"/>
      <c r="R5" s="451" t="s">
        <v>4845</v>
      </c>
      <c r="S5" s="433" t="str">
        <f ca="1">HYPERLINK("#"&amp;재료비목록표!G2&amp;"!A"&amp;ROW(재료비목록표!A4),"M00666 →")</f>
        <v>M00666 →</v>
      </c>
      <c r="T5" s="456">
        <v>735</v>
      </c>
      <c r="U5" s="527">
        <f t="shared" ref="U5:U68" si="0">IF(OR(V5=0,ISERROR(MATCH(V5,E5:M5,0))),"",CHOOSE(TRUNC((MATCH(V5,E5:M5,0)/2+1)),1,2,3,4,5))</f>
        <v>2</v>
      </c>
      <c r="V5" s="509">
        <f t="shared" ref="V5:V68" si="1">IF(AND(E5=0,G5=0,I5=0,K5=0,M5=0),T5,MIN(IF(E5=0,MAX(E5:M5),E5),IF(G5=0,MAX(E5:M5),G5),IF(I5=0,MAX(E5:M5),I5),IF(K5=0,MAX(E5:M5),K5),IF(M5=0,MAX(E5:M5),M5)))</f>
        <v>735</v>
      </c>
      <c r="W5" s="528" t="str">
        <f t="shared" ref="W5:W68" si="2">IF(OR(O5=0,U5=""),"",CHOOSE(U5,Y$5,Y$6,Y$7,Y$8,Y$9))</f>
        <v>물.자</v>
      </c>
      <c r="X5" s="501" t="s">
        <v>4831</v>
      </c>
      <c r="Y5" s="501" t="s">
        <v>4846</v>
      </c>
    </row>
    <row r="6" spans="1:25" ht="39.950000000000003" customHeight="1">
      <c r="A6" s="460" t="s">
        <v>4623</v>
      </c>
      <c r="B6" s="452" t="s">
        <v>3258</v>
      </c>
      <c r="C6" s="452" t="s">
        <v>3259</v>
      </c>
      <c r="D6" s="460" t="s">
        <v>911</v>
      </c>
      <c r="E6" s="467">
        <v>0</v>
      </c>
      <c r="F6" s="460"/>
      <c r="G6" s="467">
        <v>4290</v>
      </c>
      <c r="H6" s="460" t="s">
        <v>4847</v>
      </c>
      <c r="I6" s="467">
        <v>1977</v>
      </c>
      <c r="J6" s="460" t="s">
        <v>4848</v>
      </c>
      <c r="K6" s="467">
        <v>0</v>
      </c>
      <c r="L6" s="460"/>
      <c r="M6" s="467">
        <v>0</v>
      </c>
      <c r="N6" s="460"/>
      <c r="O6" s="467">
        <v>1977</v>
      </c>
      <c r="P6" s="463" t="s">
        <v>4849</v>
      </c>
      <c r="Q6" s="482"/>
      <c r="R6" s="451" t="s">
        <v>4850</v>
      </c>
      <c r="S6" s="433" t="str">
        <f ca="1">HYPERLINK("#"&amp;재료비목록표!G2&amp;"!A"&amp;ROW(재료비목록표!A5),"M00912 →")</f>
        <v>M00912 →</v>
      </c>
      <c r="T6" s="456">
        <v>1977</v>
      </c>
      <c r="U6" s="527">
        <f t="shared" si="0"/>
        <v>3</v>
      </c>
      <c r="V6" s="509">
        <f t="shared" si="1"/>
        <v>1977</v>
      </c>
      <c r="W6" s="528" t="str">
        <f t="shared" si="2"/>
        <v>물.정</v>
      </c>
      <c r="X6" s="501" t="s">
        <v>4832</v>
      </c>
      <c r="Y6" s="501" t="s">
        <v>4844</v>
      </c>
    </row>
    <row r="7" spans="1:25" ht="39.950000000000003" customHeight="1">
      <c r="A7" s="460" t="s">
        <v>4624</v>
      </c>
      <c r="B7" s="452" t="s">
        <v>2966</v>
      </c>
      <c r="C7" s="452" t="s">
        <v>2967</v>
      </c>
      <c r="D7" s="460" t="s">
        <v>2377</v>
      </c>
      <c r="E7" s="467">
        <v>0</v>
      </c>
      <c r="F7" s="460"/>
      <c r="G7" s="467">
        <v>0</v>
      </c>
      <c r="H7" s="460"/>
      <c r="I7" s="467">
        <v>1309</v>
      </c>
      <c r="J7" s="460" t="s">
        <v>4851</v>
      </c>
      <c r="K7" s="467">
        <v>0</v>
      </c>
      <c r="L7" s="460"/>
      <c r="M7" s="467">
        <v>0</v>
      </c>
      <c r="N7" s="460"/>
      <c r="O7" s="467">
        <v>1309</v>
      </c>
      <c r="P7" s="463" t="s">
        <v>4849</v>
      </c>
      <c r="Q7" s="482"/>
      <c r="R7" s="451" t="s">
        <v>4852</v>
      </c>
      <c r="S7" s="433" t="str">
        <f ca="1">HYPERLINK("#"&amp;재료비목록표!G2&amp;"!A"&amp;ROW(재료비목록표!A6),"M00795 →")</f>
        <v>M00795 →</v>
      </c>
      <c r="T7" s="456">
        <v>1309</v>
      </c>
      <c r="U7" s="527">
        <f t="shared" si="0"/>
        <v>3</v>
      </c>
      <c r="V7" s="509">
        <f t="shared" si="1"/>
        <v>1309</v>
      </c>
      <c r="W7" s="528" t="str">
        <f t="shared" si="2"/>
        <v>물.정</v>
      </c>
      <c r="X7" s="501" t="s">
        <v>4833</v>
      </c>
      <c r="Y7" s="501" t="s">
        <v>4849</v>
      </c>
    </row>
    <row r="8" spans="1:25" ht="39.950000000000003" customHeight="1">
      <c r="A8" s="460" t="s">
        <v>4431</v>
      </c>
      <c r="B8" s="452" t="s">
        <v>4625</v>
      </c>
      <c r="C8" s="452" t="s">
        <v>4626</v>
      </c>
      <c r="D8" s="460" t="s">
        <v>8</v>
      </c>
      <c r="E8" s="467">
        <v>546058</v>
      </c>
      <c r="F8" s="460" t="s">
        <v>4853</v>
      </c>
      <c r="G8" s="467">
        <v>0</v>
      </c>
      <c r="H8" s="460"/>
      <c r="I8" s="467">
        <v>0</v>
      </c>
      <c r="J8" s="460"/>
      <c r="K8" s="467">
        <v>511929</v>
      </c>
      <c r="L8" s="460" t="s">
        <v>4854</v>
      </c>
      <c r="M8" s="467">
        <v>0</v>
      </c>
      <c r="N8" s="460"/>
      <c r="O8" s="467">
        <v>511929</v>
      </c>
      <c r="P8" s="463" t="s">
        <v>4855</v>
      </c>
      <c r="Q8" s="482"/>
      <c r="R8" s="451" t="s">
        <v>4856</v>
      </c>
      <c r="S8" s="433" t="str">
        <f ca="1">HYPERLINK("#"&amp;재료비목록표!G2&amp;"!A"&amp;ROW(재료비목록표!A7),"M02431 →")</f>
        <v>M02431 →</v>
      </c>
      <c r="T8" s="456">
        <v>511929</v>
      </c>
      <c r="U8" s="527">
        <f t="shared" si="0"/>
        <v>4</v>
      </c>
      <c r="V8" s="509">
        <f t="shared" si="1"/>
        <v>511929</v>
      </c>
      <c r="W8" s="528" t="str">
        <f t="shared" si="2"/>
        <v>가.정</v>
      </c>
      <c r="X8" s="501" t="s">
        <v>4834</v>
      </c>
      <c r="Y8" s="501" t="s">
        <v>4855</v>
      </c>
    </row>
    <row r="9" spans="1:25" ht="39.950000000000003" customHeight="1">
      <c r="A9" s="460" t="s">
        <v>4627</v>
      </c>
      <c r="B9" s="452" t="s">
        <v>2627</v>
      </c>
      <c r="C9" s="452" t="s">
        <v>2628</v>
      </c>
      <c r="D9" s="460" t="s">
        <v>605</v>
      </c>
      <c r="E9" s="467">
        <v>0</v>
      </c>
      <c r="F9" s="460"/>
      <c r="G9" s="467">
        <v>6200</v>
      </c>
      <c r="H9" s="460" t="s">
        <v>4857</v>
      </c>
      <c r="I9" s="467">
        <v>0</v>
      </c>
      <c r="J9" s="460"/>
      <c r="K9" s="467">
        <v>0</v>
      </c>
      <c r="L9" s="460"/>
      <c r="M9" s="467">
        <v>0</v>
      </c>
      <c r="N9" s="460"/>
      <c r="O9" s="467">
        <v>6200</v>
      </c>
      <c r="P9" s="463" t="s">
        <v>4844</v>
      </c>
      <c r="Q9" s="482"/>
      <c r="R9" s="451" t="s">
        <v>4858</v>
      </c>
      <c r="S9" s="433" t="str">
        <f ca="1">HYPERLINK("#"&amp;재료비목록표!G2&amp;"!A"&amp;ROW(재료비목록표!A8),"M00950 →")</f>
        <v>M00950 →</v>
      </c>
      <c r="T9" s="456">
        <v>6200</v>
      </c>
      <c r="U9" s="527">
        <f t="shared" si="0"/>
        <v>2</v>
      </c>
      <c r="V9" s="509">
        <f t="shared" si="1"/>
        <v>6200</v>
      </c>
      <c r="W9" s="528" t="str">
        <f t="shared" si="2"/>
        <v>물.자</v>
      </c>
      <c r="X9" s="501" t="s">
        <v>4835</v>
      </c>
      <c r="Y9" s="501" t="s">
        <v>4859</v>
      </c>
    </row>
    <row r="10" spans="1:25" ht="39.950000000000003" customHeight="1">
      <c r="A10" s="460" t="s">
        <v>4628</v>
      </c>
      <c r="B10" s="452" t="s">
        <v>3054</v>
      </c>
      <c r="C10" s="452" t="s">
        <v>3055</v>
      </c>
      <c r="D10" s="460" t="s">
        <v>2576</v>
      </c>
      <c r="E10" s="467">
        <v>0</v>
      </c>
      <c r="F10" s="460"/>
      <c r="G10" s="467">
        <v>970000</v>
      </c>
      <c r="H10" s="460" t="s">
        <v>4860</v>
      </c>
      <c r="I10" s="467">
        <v>925000</v>
      </c>
      <c r="J10" s="460" t="s">
        <v>4861</v>
      </c>
      <c r="K10" s="467">
        <v>0</v>
      </c>
      <c r="L10" s="460"/>
      <c r="M10" s="467">
        <v>0</v>
      </c>
      <c r="N10" s="460"/>
      <c r="O10" s="467">
        <v>925000</v>
      </c>
      <c r="P10" s="463" t="s">
        <v>4849</v>
      </c>
      <c r="Q10" s="482"/>
      <c r="R10" s="451" t="s">
        <v>4862</v>
      </c>
      <c r="S10" s="433" t="str">
        <f ca="1">HYPERLINK("#"&amp;재료비목록표!G2&amp;"!A"&amp;ROW(재료비목록표!A9),"M01271 →")</f>
        <v>M01271 →</v>
      </c>
      <c r="T10" s="456">
        <v>925000</v>
      </c>
      <c r="U10" s="527">
        <f t="shared" si="0"/>
        <v>3</v>
      </c>
      <c r="V10" s="509">
        <f t="shared" si="1"/>
        <v>925000</v>
      </c>
      <c r="W10" s="528" t="str">
        <f t="shared" si="2"/>
        <v>물.정</v>
      </c>
      <c r="X10" s="501" t="s">
        <v>4836</v>
      </c>
      <c r="Y10" s="501"/>
    </row>
    <row r="11" spans="1:25" ht="39.950000000000003" customHeight="1">
      <c r="A11" s="460" t="s">
        <v>4487</v>
      </c>
      <c r="B11" s="452" t="s">
        <v>4485</v>
      </c>
      <c r="C11" s="452" t="s">
        <v>4486</v>
      </c>
      <c r="D11" s="460" t="s">
        <v>2840</v>
      </c>
      <c r="E11" s="467">
        <v>0</v>
      </c>
      <c r="F11" s="460"/>
      <c r="G11" s="467">
        <v>0</v>
      </c>
      <c r="H11" s="460"/>
      <c r="I11" s="467">
        <v>0</v>
      </c>
      <c r="J11" s="460"/>
      <c r="K11" s="467">
        <v>0</v>
      </c>
      <c r="L11" s="460"/>
      <c r="M11" s="467">
        <v>0</v>
      </c>
      <c r="N11" s="460"/>
      <c r="O11" s="467">
        <v>1379</v>
      </c>
      <c r="P11" s="463"/>
      <c r="Q11" s="482"/>
      <c r="R11" s="451" t="s">
        <v>4863</v>
      </c>
      <c r="S11" s="433" t="str">
        <f ca="1">HYPERLINK("#"&amp;재료비목록표!G2&amp;"!A"&amp;ROW(재료비목록표!A10),"M00874 →")</f>
        <v>M00874 →</v>
      </c>
      <c r="T11" s="456">
        <v>1379</v>
      </c>
      <c r="U11" s="527" t="str">
        <f t="shared" si="0"/>
        <v/>
      </c>
      <c r="V11" s="509">
        <f t="shared" si="1"/>
        <v>1379</v>
      </c>
      <c r="W11" s="528" t="str">
        <f t="shared" si="2"/>
        <v/>
      </c>
    </row>
    <row r="12" spans="1:25" ht="39.950000000000003" customHeight="1">
      <c r="A12" s="460" t="s">
        <v>4629</v>
      </c>
      <c r="B12" s="452" t="s">
        <v>2364</v>
      </c>
      <c r="C12" s="452" t="s">
        <v>2750</v>
      </c>
      <c r="D12" s="460" t="s">
        <v>1589</v>
      </c>
      <c r="E12" s="467">
        <v>0</v>
      </c>
      <c r="F12" s="460"/>
      <c r="G12" s="467">
        <v>0</v>
      </c>
      <c r="H12" s="460" t="s">
        <v>4864</v>
      </c>
      <c r="I12" s="467">
        <v>850</v>
      </c>
      <c r="J12" s="460" t="s">
        <v>4865</v>
      </c>
      <c r="K12" s="467">
        <v>0</v>
      </c>
      <c r="L12" s="460"/>
      <c r="M12" s="467">
        <v>0</v>
      </c>
      <c r="N12" s="460"/>
      <c r="O12" s="467">
        <v>850</v>
      </c>
      <c r="P12" s="463" t="s">
        <v>4849</v>
      </c>
      <c r="Q12" s="482"/>
      <c r="R12" s="451" t="s">
        <v>4866</v>
      </c>
      <c r="S12" s="433" t="str">
        <f ca="1">HYPERLINK("#"&amp;재료비목록표!G2&amp;"!A"&amp;ROW(재료비목록표!A11),"M01205 →")</f>
        <v>M01205 →</v>
      </c>
      <c r="T12" s="456">
        <v>850</v>
      </c>
      <c r="U12" s="527">
        <f t="shared" si="0"/>
        <v>3</v>
      </c>
      <c r="V12" s="509">
        <f t="shared" si="1"/>
        <v>850</v>
      </c>
      <c r="W12" s="528" t="str">
        <f t="shared" si="2"/>
        <v>물.정</v>
      </c>
    </row>
    <row r="13" spans="1:25" ht="39.950000000000003" customHeight="1">
      <c r="A13" s="460" t="s">
        <v>4630</v>
      </c>
      <c r="B13" s="452" t="s">
        <v>2364</v>
      </c>
      <c r="C13" s="452" t="s">
        <v>2365</v>
      </c>
      <c r="D13" s="460" t="s">
        <v>1589</v>
      </c>
      <c r="E13" s="467">
        <v>0</v>
      </c>
      <c r="F13" s="460"/>
      <c r="G13" s="467">
        <v>1000</v>
      </c>
      <c r="H13" s="460" t="s">
        <v>4867</v>
      </c>
      <c r="I13" s="467">
        <v>1100</v>
      </c>
      <c r="J13" s="460" t="s">
        <v>4865</v>
      </c>
      <c r="K13" s="467">
        <v>0</v>
      </c>
      <c r="L13" s="460"/>
      <c r="M13" s="467">
        <v>0</v>
      </c>
      <c r="N13" s="460"/>
      <c r="O13" s="467">
        <v>1000</v>
      </c>
      <c r="P13" s="463" t="s">
        <v>4844</v>
      </c>
      <c r="Q13" s="482"/>
      <c r="R13" s="451" t="s">
        <v>4868</v>
      </c>
      <c r="S13" s="433" t="str">
        <f ca="1">HYPERLINK("#"&amp;재료비목록표!G2&amp;"!A"&amp;ROW(재료비목록표!A12),"M08843 →")</f>
        <v>M08843 →</v>
      </c>
      <c r="T13" s="456">
        <v>1000</v>
      </c>
      <c r="U13" s="527">
        <f t="shared" si="0"/>
        <v>2</v>
      </c>
      <c r="V13" s="509">
        <f t="shared" si="1"/>
        <v>1000</v>
      </c>
      <c r="W13" s="528" t="str">
        <f t="shared" si="2"/>
        <v>물.자</v>
      </c>
    </row>
    <row r="14" spans="1:25" ht="39.950000000000003" customHeight="1">
      <c r="A14" s="460" t="s">
        <v>4631</v>
      </c>
      <c r="B14" s="452" t="s">
        <v>2375</v>
      </c>
      <c r="C14" s="452" t="s">
        <v>2376</v>
      </c>
      <c r="D14" s="460" t="s">
        <v>2377</v>
      </c>
      <c r="E14" s="467">
        <v>0</v>
      </c>
      <c r="F14" s="460"/>
      <c r="G14" s="467">
        <v>2376000</v>
      </c>
      <c r="H14" s="460" t="s">
        <v>4869</v>
      </c>
      <c r="I14" s="467">
        <v>0</v>
      </c>
      <c r="J14" s="460"/>
      <c r="K14" s="467">
        <v>0</v>
      </c>
      <c r="L14" s="460"/>
      <c r="M14" s="467">
        <v>5000000</v>
      </c>
      <c r="N14" s="460"/>
      <c r="O14" s="467">
        <v>2376000</v>
      </c>
      <c r="P14" s="463" t="s">
        <v>4844</v>
      </c>
      <c r="Q14" s="482"/>
      <c r="R14" s="451" t="s">
        <v>4870</v>
      </c>
      <c r="S14" s="433" t="str">
        <f ca="1">HYPERLINK("#"&amp;재료비목록표!G2&amp;"!A"&amp;ROW(재료비목록표!A13),"M01608 →")</f>
        <v>M01608 →</v>
      </c>
      <c r="T14" s="456">
        <v>2376000</v>
      </c>
      <c r="U14" s="527">
        <f t="shared" si="0"/>
        <v>2</v>
      </c>
      <c r="V14" s="509">
        <f t="shared" si="1"/>
        <v>2376000</v>
      </c>
      <c r="W14" s="528" t="str">
        <f t="shared" si="2"/>
        <v>물.자</v>
      </c>
    </row>
    <row r="15" spans="1:25" ht="39.950000000000003" customHeight="1">
      <c r="A15" s="460" t="s">
        <v>4632</v>
      </c>
      <c r="B15" s="452" t="s">
        <v>2382</v>
      </c>
      <c r="C15" s="452" t="s">
        <v>2383</v>
      </c>
      <c r="D15" s="460" t="s">
        <v>2377</v>
      </c>
      <c r="E15" s="467">
        <v>0</v>
      </c>
      <c r="F15" s="460"/>
      <c r="G15" s="467">
        <v>6648000</v>
      </c>
      <c r="H15" s="460" t="s">
        <v>4869</v>
      </c>
      <c r="I15" s="467">
        <v>0</v>
      </c>
      <c r="J15" s="460"/>
      <c r="K15" s="467">
        <v>0</v>
      </c>
      <c r="L15" s="460"/>
      <c r="M15" s="467">
        <v>0</v>
      </c>
      <c r="N15" s="460"/>
      <c r="O15" s="467">
        <v>6648000</v>
      </c>
      <c r="P15" s="463" t="s">
        <v>4844</v>
      </c>
      <c r="Q15" s="482"/>
      <c r="R15" s="451" t="s">
        <v>4871</v>
      </c>
      <c r="S15" s="433" t="str">
        <f ca="1">HYPERLINK("#"&amp;재료비목록표!G2&amp;"!A"&amp;ROW(재료비목록표!A14),"M01609 →")</f>
        <v>M01609 →</v>
      </c>
      <c r="T15" s="456">
        <v>6648000</v>
      </c>
      <c r="U15" s="527">
        <f t="shared" si="0"/>
        <v>2</v>
      </c>
      <c r="V15" s="509">
        <f t="shared" si="1"/>
        <v>6648000</v>
      </c>
      <c r="W15" s="528" t="str">
        <f t="shared" si="2"/>
        <v>물.자</v>
      </c>
    </row>
    <row r="16" spans="1:25" ht="39.950000000000003" customHeight="1">
      <c r="A16" s="460" t="s">
        <v>4633</v>
      </c>
      <c r="B16" s="452" t="s">
        <v>1326</v>
      </c>
      <c r="C16" s="452" t="s">
        <v>2396</v>
      </c>
      <c r="D16" s="460" t="s">
        <v>1589</v>
      </c>
      <c r="E16" s="467">
        <v>0</v>
      </c>
      <c r="F16" s="460"/>
      <c r="G16" s="467">
        <v>3950000</v>
      </c>
      <c r="H16" s="460" t="s">
        <v>4872</v>
      </c>
      <c r="I16" s="467">
        <v>5850000</v>
      </c>
      <c r="J16" s="460" t="s">
        <v>4873</v>
      </c>
      <c r="K16" s="467">
        <v>0</v>
      </c>
      <c r="L16" s="460"/>
      <c r="M16" s="467">
        <v>0</v>
      </c>
      <c r="N16" s="460"/>
      <c r="O16" s="467">
        <v>3950000</v>
      </c>
      <c r="P16" s="463" t="s">
        <v>4844</v>
      </c>
      <c r="Q16" s="482"/>
      <c r="R16" s="451" t="s">
        <v>4874</v>
      </c>
      <c r="S16" s="433" t="str">
        <f ca="1">HYPERLINK("#"&amp;재료비목록표!G2&amp;"!A"&amp;ROW(재료비목록표!A15),"M01612 →")</f>
        <v>M01612 →</v>
      </c>
      <c r="T16" s="456">
        <v>3950000</v>
      </c>
      <c r="U16" s="527">
        <f t="shared" si="0"/>
        <v>2</v>
      </c>
      <c r="V16" s="509">
        <f t="shared" si="1"/>
        <v>3950000</v>
      </c>
      <c r="W16" s="528" t="str">
        <f t="shared" si="2"/>
        <v>물.자</v>
      </c>
    </row>
    <row r="17" spans="1:23" ht="39.950000000000003" customHeight="1">
      <c r="A17" s="460" t="s">
        <v>4634</v>
      </c>
      <c r="B17" s="452" t="s">
        <v>3197</v>
      </c>
      <c r="C17" s="452" t="s">
        <v>3198</v>
      </c>
      <c r="D17" s="460" t="s">
        <v>911</v>
      </c>
      <c r="E17" s="467">
        <v>0</v>
      </c>
      <c r="F17" s="460"/>
      <c r="G17" s="467">
        <v>7340</v>
      </c>
      <c r="H17" s="460" t="s">
        <v>4875</v>
      </c>
      <c r="I17" s="467">
        <v>8530</v>
      </c>
      <c r="J17" s="460" t="s">
        <v>4876</v>
      </c>
      <c r="K17" s="467">
        <v>0</v>
      </c>
      <c r="L17" s="460"/>
      <c r="M17" s="467">
        <v>0</v>
      </c>
      <c r="N17" s="460"/>
      <c r="O17" s="467">
        <v>7340</v>
      </c>
      <c r="P17" s="463" t="s">
        <v>4844</v>
      </c>
      <c r="Q17" s="482"/>
      <c r="R17" s="451" t="s">
        <v>4877</v>
      </c>
      <c r="S17" s="433" t="str">
        <f ca="1">HYPERLINK("#"&amp;재료비목록표!G2&amp;"!A"&amp;ROW(재료비목록표!A16),"M01585 →")</f>
        <v>M01585 →</v>
      </c>
      <c r="T17" s="456">
        <v>7340</v>
      </c>
      <c r="U17" s="527">
        <f t="shared" si="0"/>
        <v>2</v>
      </c>
      <c r="V17" s="509">
        <f t="shared" si="1"/>
        <v>7340</v>
      </c>
      <c r="W17" s="528" t="str">
        <f t="shared" si="2"/>
        <v>물.자</v>
      </c>
    </row>
    <row r="18" spans="1:23" ht="39.950000000000003" customHeight="1">
      <c r="A18" s="460" t="s">
        <v>4635</v>
      </c>
      <c r="B18" s="452" t="s">
        <v>3197</v>
      </c>
      <c r="C18" s="452" t="s">
        <v>3203</v>
      </c>
      <c r="D18" s="460" t="s">
        <v>911</v>
      </c>
      <c r="E18" s="467">
        <v>0</v>
      </c>
      <c r="F18" s="460"/>
      <c r="G18" s="467">
        <v>11200</v>
      </c>
      <c r="H18" s="460" t="s">
        <v>4875</v>
      </c>
      <c r="I18" s="467">
        <v>11990</v>
      </c>
      <c r="J18" s="460" t="s">
        <v>4878</v>
      </c>
      <c r="K18" s="467">
        <v>0</v>
      </c>
      <c r="L18" s="460"/>
      <c r="M18" s="467">
        <v>0</v>
      </c>
      <c r="N18" s="460"/>
      <c r="O18" s="467">
        <v>11200</v>
      </c>
      <c r="P18" s="463" t="s">
        <v>4844</v>
      </c>
      <c r="Q18" s="482"/>
      <c r="R18" s="451" t="s">
        <v>4879</v>
      </c>
      <c r="S18" s="433" t="str">
        <f ca="1">HYPERLINK("#"&amp;재료비목록표!G2&amp;"!A"&amp;ROW(재료비목록표!A17),"M01586 →")</f>
        <v>M01586 →</v>
      </c>
      <c r="T18" s="456">
        <v>11200</v>
      </c>
      <c r="U18" s="527">
        <f t="shared" si="0"/>
        <v>2</v>
      </c>
      <c r="V18" s="509">
        <f t="shared" si="1"/>
        <v>11200</v>
      </c>
      <c r="W18" s="528" t="str">
        <f t="shared" si="2"/>
        <v>물.자</v>
      </c>
    </row>
    <row r="19" spans="1:23" ht="39.950000000000003" customHeight="1">
      <c r="A19" s="460" t="s">
        <v>4636</v>
      </c>
      <c r="B19" s="452" t="s">
        <v>3197</v>
      </c>
      <c r="C19" s="452" t="s">
        <v>3208</v>
      </c>
      <c r="D19" s="460" t="s">
        <v>911</v>
      </c>
      <c r="E19" s="467">
        <v>0</v>
      </c>
      <c r="F19" s="460"/>
      <c r="G19" s="467">
        <v>14960</v>
      </c>
      <c r="H19" s="460" t="s">
        <v>4875</v>
      </c>
      <c r="I19" s="467">
        <v>15140</v>
      </c>
      <c r="J19" s="460" t="s">
        <v>4878</v>
      </c>
      <c r="K19" s="467">
        <v>0</v>
      </c>
      <c r="L19" s="460"/>
      <c r="M19" s="467">
        <v>0</v>
      </c>
      <c r="N19" s="460"/>
      <c r="O19" s="467">
        <v>14960</v>
      </c>
      <c r="P19" s="463" t="s">
        <v>4844</v>
      </c>
      <c r="Q19" s="482"/>
      <c r="R19" s="451" t="s">
        <v>4880</v>
      </c>
      <c r="S19" s="433" t="str">
        <f ca="1">HYPERLINK("#"&amp;재료비목록표!G2&amp;"!A"&amp;ROW(재료비목록표!A18),"M01587 →")</f>
        <v>M01587 →</v>
      </c>
      <c r="T19" s="456">
        <v>14960</v>
      </c>
      <c r="U19" s="527">
        <f t="shared" si="0"/>
        <v>2</v>
      </c>
      <c r="V19" s="509">
        <f t="shared" si="1"/>
        <v>14960</v>
      </c>
      <c r="W19" s="528" t="str">
        <f t="shared" si="2"/>
        <v>물.자</v>
      </c>
    </row>
    <row r="20" spans="1:23" ht="39.950000000000003" customHeight="1">
      <c r="A20" s="460" t="s">
        <v>4637</v>
      </c>
      <c r="B20" s="452" t="s">
        <v>3197</v>
      </c>
      <c r="C20" s="452" t="s">
        <v>3213</v>
      </c>
      <c r="D20" s="460" t="s">
        <v>911</v>
      </c>
      <c r="E20" s="467">
        <v>0</v>
      </c>
      <c r="F20" s="460"/>
      <c r="G20" s="467">
        <v>27320</v>
      </c>
      <c r="H20" s="460" t="s">
        <v>4875</v>
      </c>
      <c r="I20" s="467">
        <v>26920</v>
      </c>
      <c r="J20" s="460" t="s">
        <v>4878</v>
      </c>
      <c r="K20" s="467">
        <v>0</v>
      </c>
      <c r="L20" s="460"/>
      <c r="M20" s="467">
        <v>0</v>
      </c>
      <c r="N20" s="460"/>
      <c r="O20" s="467">
        <v>26920</v>
      </c>
      <c r="P20" s="463" t="s">
        <v>4849</v>
      </c>
      <c r="Q20" s="482"/>
      <c r="R20" s="451" t="s">
        <v>4881</v>
      </c>
      <c r="S20" s="433" t="str">
        <f ca="1">HYPERLINK("#"&amp;재료비목록표!G2&amp;"!A"&amp;ROW(재료비목록표!A19),"M01588 →")</f>
        <v>M01588 →</v>
      </c>
      <c r="T20" s="456">
        <v>26920</v>
      </c>
      <c r="U20" s="527">
        <f t="shared" si="0"/>
        <v>3</v>
      </c>
      <c r="V20" s="509">
        <f t="shared" si="1"/>
        <v>26920</v>
      </c>
      <c r="W20" s="528" t="str">
        <f t="shared" si="2"/>
        <v>물.정</v>
      </c>
    </row>
    <row r="21" spans="1:23" ht="39.950000000000003" customHeight="1">
      <c r="A21" s="460" t="s">
        <v>4638</v>
      </c>
      <c r="B21" s="452" t="s">
        <v>3059</v>
      </c>
      <c r="C21" s="452" t="s">
        <v>3060</v>
      </c>
      <c r="D21" s="460" t="s">
        <v>911</v>
      </c>
      <c r="E21" s="467">
        <v>0</v>
      </c>
      <c r="F21" s="460"/>
      <c r="G21" s="467">
        <v>8010</v>
      </c>
      <c r="H21" s="460" t="s">
        <v>4882</v>
      </c>
      <c r="I21" s="467">
        <v>0</v>
      </c>
      <c r="J21" s="460"/>
      <c r="K21" s="467">
        <v>0</v>
      </c>
      <c r="L21" s="460"/>
      <c r="M21" s="467">
        <v>0</v>
      </c>
      <c r="N21" s="460"/>
      <c r="O21" s="467">
        <v>8010</v>
      </c>
      <c r="P21" s="463" t="s">
        <v>4844</v>
      </c>
      <c r="Q21" s="482"/>
      <c r="R21" s="451" t="s">
        <v>4883</v>
      </c>
      <c r="S21" s="433" t="str">
        <f ca="1">HYPERLINK("#"&amp;재료비목록표!G2&amp;"!A"&amp;ROW(재료비목록표!A20),"M01613 →")</f>
        <v>M01613 →</v>
      </c>
      <c r="T21" s="456">
        <v>8010</v>
      </c>
      <c r="U21" s="527">
        <f t="shared" si="0"/>
        <v>2</v>
      </c>
      <c r="V21" s="509">
        <f t="shared" si="1"/>
        <v>8010</v>
      </c>
      <c r="W21" s="528" t="str">
        <f t="shared" si="2"/>
        <v>물.자</v>
      </c>
    </row>
    <row r="22" spans="1:23" ht="39.950000000000003" customHeight="1">
      <c r="A22" s="460" t="s">
        <v>4639</v>
      </c>
      <c r="B22" s="452" t="s">
        <v>2911</v>
      </c>
      <c r="C22" s="452" t="s">
        <v>2912</v>
      </c>
      <c r="D22" s="460" t="s">
        <v>911</v>
      </c>
      <c r="E22" s="467">
        <v>0</v>
      </c>
      <c r="F22" s="460"/>
      <c r="G22" s="467">
        <v>14910</v>
      </c>
      <c r="H22" s="460" t="s">
        <v>4882</v>
      </c>
      <c r="I22" s="467">
        <v>0</v>
      </c>
      <c r="J22" s="460" t="s">
        <v>4884</v>
      </c>
      <c r="K22" s="467">
        <v>0</v>
      </c>
      <c r="L22" s="460"/>
      <c r="M22" s="467">
        <v>0</v>
      </c>
      <c r="N22" s="460"/>
      <c r="O22" s="467">
        <v>14910</v>
      </c>
      <c r="P22" s="463" t="s">
        <v>4844</v>
      </c>
      <c r="Q22" s="482"/>
      <c r="R22" s="451" t="s">
        <v>4885</v>
      </c>
      <c r="S22" s="433" t="str">
        <f ca="1">HYPERLINK("#"&amp;재료비목록표!G2&amp;"!A"&amp;ROW(재료비목록표!A21),"M08805 →")</f>
        <v>M08805 →</v>
      </c>
      <c r="T22" s="456">
        <v>14910</v>
      </c>
      <c r="U22" s="527">
        <f t="shared" si="0"/>
        <v>2</v>
      </c>
      <c r="V22" s="509">
        <f t="shared" si="1"/>
        <v>14910</v>
      </c>
      <c r="W22" s="528" t="str">
        <f t="shared" si="2"/>
        <v>물.자</v>
      </c>
    </row>
    <row r="23" spans="1:23" ht="39.950000000000003" customHeight="1">
      <c r="A23" s="460" t="s">
        <v>4640</v>
      </c>
      <c r="B23" s="452" t="s">
        <v>2911</v>
      </c>
      <c r="C23" s="452" t="s">
        <v>3264</v>
      </c>
      <c r="D23" s="460" t="s">
        <v>911</v>
      </c>
      <c r="E23" s="467">
        <v>0</v>
      </c>
      <c r="F23" s="460"/>
      <c r="G23" s="467">
        <v>18310</v>
      </c>
      <c r="H23" s="460" t="s">
        <v>4882</v>
      </c>
      <c r="I23" s="467">
        <v>0</v>
      </c>
      <c r="J23" s="460" t="s">
        <v>4884</v>
      </c>
      <c r="K23" s="467">
        <v>0</v>
      </c>
      <c r="L23" s="460"/>
      <c r="M23" s="467">
        <v>0</v>
      </c>
      <c r="N23" s="460"/>
      <c r="O23" s="467">
        <v>18310</v>
      </c>
      <c r="P23" s="463" t="s">
        <v>4844</v>
      </c>
      <c r="Q23" s="482"/>
      <c r="R23" s="451" t="s">
        <v>4886</v>
      </c>
      <c r="S23" s="433" t="str">
        <f ca="1">HYPERLINK("#"&amp;재료비목록표!G2&amp;"!A"&amp;ROW(재료비목록표!A22),"M01578 →")</f>
        <v>M01578 →</v>
      </c>
      <c r="T23" s="456">
        <v>18310</v>
      </c>
      <c r="U23" s="527">
        <f t="shared" si="0"/>
        <v>2</v>
      </c>
      <c r="V23" s="509">
        <f t="shared" si="1"/>
        <v>18310</v>
      </c>
      <c r="W23" s="528" t="str">
        <f t="shared" si="2"/>
        <v>물.자</v>
      </c>
    </row>
    <row r="24" spans="1:23" ht="39.950000000000003" customHeight="1">
      <c r="A24" s="460" t="s">
        <v>4641</v>
      </c>
      <c r="B24" s="452" t="s">
        <v>3171</v>
      </c>
      <c r="C24" s="452" t="s">
        <v>3172</v>
      </c>
      <c r="D24" s="460" t="s">
        <v>2576</v>
      </c>
      <c r="E24" s="467">
        <v>0</v>
      </c>
      <c r="F24" s="460"/>
      <c r="G24" s="467">
        <v>45000</v>
      </c>
      <c r="H24" s="460" t="s">
        <v>4887</v>
      </c>
      <c r="I24" s="467">
        <v>45000</v>
      </c>
      <c r="J24" s="460" t="s">
        <v>4888</v>
      </c>
      <c r="K24" s="467">
        <v>0</v>
      </c>
      <c r="L24" s="460"/>
      <c r="M24" s="467">
        <v>0</v>
      </c>
      <c r="N24" s="460"/>
      <c r="O24" s="467">
        <v>45000</v>
      </c>
      <c r="P24" s="463" t="s">
        <v>4844</v>
      </c>
      <c r="Q24" s="482"/>
      <c r="R24" s="451" t="s">
        <v>4889</v>
      </c>
      <c r="S24" s="433" t="str">
        <f ca="1">HYPERLINK("#"&amp;재료비목록표!G2&amp;"!A"&amp;ROW(재료비목록표!A23),"M01053 →")</f>
        <v>M01053 →</v>
      </c>
      <c r="T24" s="456">
        <v>45000</v>
      </c>
      <c r="U24" s="527">
        <f t="shared" si="0"/>
        <v>2</v>
      </c>
      <c r="V24" s="509">
        <f t="shared" si="1"/>
        <v>45000</v>
      </c>
      <c r="W24" s="528" t="str">
        <f t="shared" si="2"/>
        <v>물.자</v>
      </c>
    </row>
    <row r="25" spans="1:23" ht="39.950000000000003" customHeight="1">
      <c r="A25" s="460" t="s">
        <v>4642</v>
      </c>
      <c r="B25" s="452" t="s">
        <v>2401</v>
      </c>
      <c r="C25" s="452" t="s">
        <v>2402</v>
      </c>
      <c r="D25" s="460" t="s">
        <v>2377</v>
      </c>
      <c r="E25" s="467">
        <v>0</v>
      </c>
      <c r="F25" s="460"/>
      <c r="G25" s="467">
        <v>2004000</v>
      </c>
      <c r="H25" s="460" t="s">
        <v>4869</v>
      </c>
      <c r="I25" s="467">
        <v>0</v>
      </c>
      <c r="J25" s="460"/>
      <c r="K25" s="467">
        <v>0</v>
      </c>
      <c r="L25" s="460"/>
      <c r="M25" s="467">
        <v>0</v>
      </c>
      <c r="N25" s="460"/>
      <c r="O25" s="467">
        <v>2004000</v>
      </c>
      <c r="P25" s="463" t="s">
        <v>4844</v>
      </c>
      <c r="Q25" s="482"/>
      <c r="R25" s="451" t="s">
        <v>4890</v>
      </c>
      <c r="S25" s="433" t="str">
        <f ca="1">HYPERLINK("#"&amp;재료비목록표!G2&amp;"!A"&amp;ROW(재료비목록표!A24),"M01605 →")</f>
        <v>M01605 →</v>
      </c>
      <c r="T25" s="456">
        <v>2004000</v>
      </c>
      <c r="U25" s="527">
        <f t="shared" si="0"/>
        <v>2</v>
      </c>
      <c r="V25" s="509">
        <f t="shared" si="1"/>
        <v>2004000</v>
      </c>
      <c r="W25" s="528" t="str">
        <f t="shared" si="2"/>
        <v>물.자</v>
      </c>
    </row>
    <row r="26" spans="1:23" ht="39.950000000000003" customHeight="1">
      <c r="A26" s="460" t="s">
        <v>4428</v>
      </c>
      <c r="B26" s="452" t="s">
        <v>4643</v>
      </c>
      <c r="C26" s="452" t="s">
        <v>4644</v>
      </c>
      <c r="D26" s="460" t="s">
        <v>595</v>
      </c>
      <c r="E26" s="467">
        <v>12111</v>
      </c>
      <c r="F26" s="460" t="s">
        <v>4853</v>
      </c>
      <c r="G26" s="467">
        <v>0</v>
      </c>
      <c r="H26" s="460"/>
      <c r="I26" s="467">
        <v>0</v>
      </c>
      <c r="J26" s="460"/>
      <c r="K26" s="467">
        <v>12485</v>
      </c>
      <c r="L26" s="460" t="s">
        <v>4854</v>
      </c>
      <c r="M26" s="467">
        <v>0</v>
      </c>
      <c r="N26" s="460"/>
      <c r="O26" s="467">
        <v>12485</v>
      </c>
      <c r="P26" s="463" t="s">
        <v>4855</v>
      </c>
      <c r="Q26" s="482"/>
      <c r="R26" s="451" t="s">
        <v>4891</v>
      </c>
      <c r="S26" s="433" t="str">
        <f ca="1">HYPERLINK("#"&amp;재료비목록표!G2&amp;"!A"&amp;ROW(재료비목록표!A25),"M02446 →")</f>
        <v>M02446 →</v>
      </c>
      <c r="T26" s="456">
        <v>12485</v>
      </c>
      <c r="U26" s="527">
        <f t="shared" si="0"/>
        <v>1</v>
      </c>
      <c r="V26" s="509">
        <f t="shared" si="1"/>
        <v>12111</v>
      </c>
      <c r="W26" s="528" t="str">
        <f t="shared" si="2"/>
        <v>조달</v>
      </c>
    </row>
    <row r="27" spans="1:23" ht="39.950000000000003" customHeight="1">
      <c r="A27" s="460" t="s">
        <v>4645</v>
      </c>
      <c r="B27" s="452" t="s">
        <v>2932</v>
      </c>
      <c r="C27" s="452" t="s">
        <v>2933</v>
      </c>
      <c r="D27" s="460" t="s">
        <v>2377</v>
      </c>
      <c r="E27" s="467">
        <v>0</v>
      </c>
      <c r="F27" s="460"/>
      <c r="G27" s="467">
        <v>224</v>
      </c>
      <c r="H27" s="460" t="s">
        <v>4892</v>
      </c>
      <c r="I27" s="529">
        <v>157.30000000000001</v>
      </c>
      <c r="J27" s="460" t="s">
        <v>4893</v>
      </c>
      <c r="K27" s="467">
        <v>0</v>
      </c>
      <c r="L27" s="460"/>
      <c r="M27" s="467">
        <v>0</v>
      </c>
      <c r="N27" s="460"/>
      <c r="O27" s="529">
        <v>157.30000000000001</v>
      </c>
      <c r="P27" s="463" t="s">
        <v>4849</v>
      </c>
      <c r="Q27" s="482"/>
      <c r="R27" s="451" t="s">
        <v>4894</v>
      </c>
      <c r="S27" s="433" t="str">
        <f ca="1">HYPERLINK("#"&amp;재료비목록표!G2&amp;"!A"&amp;ROW(재료비목록표!A26),"M00958 →")</f>
        <v>M00958 →</v>
      </c>
      <c r="T27" s="518">
        <v>157.30000000000001</v>
      </c>
      <c r="U27" s="527">
        <f t="shared" si="0"/>
        <v>3</v>
      </c>
      <c r="V27" s="509">
        <f t="shared" si="1"/>
        <v>157.30000000000001</v>
      </c>
      <c r="W27" s="528" t="str">
        <f t="shared" si="2"/>
        <v>물.정</v>
      </c>
    </row>
    <row r="28" spans="1:23" ht="39.950000000000003" customHeight="1">
      <c r="A28" s="460" t="s">
        <v>4646</v>
      </c>
      <c r="B28" s="452" t="s">
        <v>2429</v>
      </c>
      <c r="C28" s="452" t="s">
        <v>2430</v>
      </c>
      <c r="D28" s="460" t="s">
        <v>2431</v>
      </c>
      <c r="E28" s="467">
        <v>0</v>
      </c>
      <c r="F28" s="460"/>
      <c r="G28" s="467">
        <v>7098</v>
      </c>
      <c r="H28" s="460" t="s">
        <v>4895</v>
      </c>
      <c r="I28" s="467">
        <v>7027</v>
      </c>
      <c r="J28" s="460" t="s">
        <v>4896</v>
      </c>
      <c r="K28" s="467">
        <v>0</v>
      </c>
      <c r="L28" s="460"/>
      <c r="M28" s="467">
        <v>0</v>
      </c>
      <c r="N28" s="460"/>
      <c r="O28" s="467">
        <v>7027</v>
      </c>
      <c r="P28" s="463" t="s">
        <v>4849</v>
      </c>
      <c r="Q28" s="482"/>
      <c r="R28" s="451" t="s">
        <v>4897</v>
      </c>
      <c r="S28" s="433" t="str">
        <f ca="1">HYPERLINK("#"&amp;재료비목록표!G2&amp;"!A"&amp;ROW(재료비목록표!A27),"M00990 →")</f>
        <v>M00990 →</v>
      </c>
      <c r="T28" s="456">
        <v>7027</v>
      </c>
      <c r="U28" s="527">
        <f t="shared" si="0"/>
        <v>3</v>
      </c>
      <c r="V28" s="509">
        <f t="shared" si="1"/>
        <v>7027</v>
      </c>
      <c r="W28" s="528" t="str">
        <f t="shared" si="2"/>
        <v>물.정</v>
      </c>
    </row>
    <row r="29" spans="1:23" ht="39.950000000000003" customHeight="1">
      <c r="A29" s="460" t="s">
        <v>4647</v>
      </c>
      <c r="B29" s="452" t="s">
        <v>1331</v>
      </c>
      <c r="C29" s="452" t="s">
        <v>2445</v>
      </c>
      <c r="D29" s="460" t="s">
        <v>1589</v>
      </c>
      <c r="E29" s="467">
        <v>0</v>
      </c>
      <c r="F29" s="460"/>
      <c r="G29" s="467">
        <v>0</v>
      </c>
      <c r="H29" s="460"/>
      <c r="I29" s="467">
        <v>5450000</v>
      </c>
      <c r="J29" s="460" t="s">
        <v>4873</v>
      </c>
      <c r="K29" s="467">
        <v>0</v>
      </c>
      <c r="L29" s="460"/>
      <c r="M29" s="467">
        <v>0</v>
      </c>
      <c r="N29" s="460"/>
      <c r="O29" s="467">
        <v>5450000</v>
      </c>
      <c r="P29" s="463" t="s">
        <v>4849</v>
      </c>
      <c r="Q29" s="482"/>
      <c r="R29" s="451" t="s">
        <v>4898</v>
      </c>
      <c r="S29" s="433" t="str">
        <f ca="1">HYPERLINK("#"&amp;재료비목록표!G2&amp;"!A"&amp;ROW(재료비목록표!A28),"M01538 →")</f>
        <v>M01538 →</v>
      </c>
      <c r="T29" s="456">
        <v>5450000</v>
      </c>
      <c r="U29" s="527">
        <f t="shared" si="0"/>
        <v>3</v>
      </c>
      <c r="V29" s="509">
        <f t="shared" si="1"/>
        <v>5450000</v>
      </c>
      <c r="W29" s="528" t="str">
        <f t="shared" si="2"/>
        <v>물.정</v>
      </c>
    </row>
    <row r="30" spans="1:23" ht="39.950000000000003" customHeight="1">
      <c r="A30" s="460" t="s">
        <v>4648</v>
      </c>
      <c r="B30" s="452" t="s">
        <v>1336</v>
      </c>
      <c r="C30" s="452" t="s">
        <v>2450</v>
      </c>
      <c r="D30" s="460" t="s">
        <v>1589</v>
      </c>
      <c r="E30" s="467">
        <v>0</v>
      </c>
      <c r="F30" s="460"/>
      <c r="G30" s="467">
        <v>0</v>
      </c>
      <c r="H30" s="460"/>
      <c r="I30" s="467">
        <v>6110000</v>
      </c>
      <c r="J30" s="460" t="s">
        <v>4873</v>
      </c>
      <c r="K30" s="467">
        <v>0</v>
      </c>
      <c r="L30" s="460"/>
      <c r="M30" s="467">
        <v>0</v>
      </c>
      <c r="N30" s="460"/>
      <c r="O30" s="467">
        <v>6110000</v>
      </c>
      <c r="P30" s="463" t="s">
        <v>4849</v>
      </c>
      <c r="Q30" s="482"/>
      <c r="R30" s="451" t="s">
        <v>4899</v>
      </c>
      <c r="S30" s="433" t="str">
        <f ca="1">HYPERLINK("#"&amp;재료비목록표!G2&amp;"!A"&amp;ROW(재료비목록표!A29),"M01543 →")</f>
        <v>M01543 →</v>
      </c>
      <c r="T30" s="456">
        <v>6110000</v>
      </c>
      <c r="U30" s="527">
        <f t="shared" si="0"/>
        <v>3</v>
      </c>
      <c r="V30" s="509">
        <f t="shared" si="1"/>
        <v>6110000</v>
      </c>
      <c r="W30" s="528" t="str">
        <f t="shared" si="2"/>
        <v>물.정</v>
      </c>
    </row>
    <row r="31" spans="1:23" ht="39.950000000000003" customHeight="1">
      <c r="A31" s="460" t="s">
        <v>4649</v>
      </c>
      <c r="B31" s="452" t="s">
        <v>1341</v>
      </c>
      <c r="C31" s="452" t="s">
        <v>2455</v>
      </c>
      <c r="D31" s="460" t="s">
        <v>1589</v>
      </c>
      <c r="E31" s="467">
        <v>0</v>
      </c>
      <c r="F31" s="460"/>
      <c r="G31" s="467">
        <v>4335000</v>
      </c>
      <c r="H31" s="460" t="s">
        <v>4872</v>
      </c>
      <c r="I31" s="467">
        <v>0</v>
      </c>
      <c r="J31" s="460"/>
      <c r="K31" s="467">
        <v>0</v>
      </c>
      <c r="L31" s="460"/>
      <c r="M31" s="467">
        <v>0</v>
      </c>
      <c r="N31" s="460"/>
      <c r="O31" s="467">
        <v>4335000</v>
      </c>
      <c r="P31" s="463" t="s">
        <v>4844</v>
      </c>
      <c r="Q31" s="482"/>
      <c r="R31" s="451" t="s">
        <v>4900</v>
      </c>
      <c r="S31" s="433" t="str">
        <f ca="1">HYPERLINK("#"&amp;재료비목록표!G2&amp;"!A"&amp;ROW(재료비목록표!A30),"M01540 →")</f>
        <v>M01540 →</v>
      </c>
      <c r="T31" s="456">
        <v>4335000</v>
      </c>
      <c r="U31" s="527">
        <f t="shared" si="0"/>
        <v>2</v>
      </c>
      <c r="V31" s="509">
        <f t="shared" si="1"/>
        <v>4335000</v>
      </c>
      <c r="W31" s="528" t="str">
        <f t="shared" si="2"/>
        <v>물.자</v>
      </c>
    </row>
    <row r="32" spans="1:23" ht="39.950000000000003" customHeight="1">
      <c r="A32" s="460" t="s">
        <v>4650</v>
      </c>
      <c r="B32" s="452" t="s">
        <v>2569</v>
      </c>
      <c r="C32" s="452" t="s">
        <v>2570</v>
      </c>
      <c r="D32" s="460" t="s">
        <v>1589</v>
      </c>
      <c r="E32" s="467">
        <v>0</v>
      </c>
      <c r="F32" s="460"/>
      <c r="G32" s="467">
        <v>432545</v>
      </c>
      <c r="H32" s="460" t="s">
        <v>4901</v>
      </c>
      <c r="I32" s="467">
        <v>570000</v>
      </c>
      <c r="J32" s="460" t="s">
        <v>4902</v>
      </c>
      <c r="K32" s="467">
        <v>0</v>
      </c>
      <c r="L32" s="460"/>
      <c r="M32" s="467">
        <v>0</v>
      </c>
      <c r="N32" s="460"/>
      <c r="O32" s="467">
        <v>432545</v>
      </c>
      <c r="P32" s="463" t="s">
        <v>4844</v>
      </c>
      <c r="Q32" s="482"/>
      <c r="R32" s="451" t="s">
        <v>4903</v>
      </c>
      <c r="S32" s="433" t="str">
        <f ca="1">HYPERLINK("#"&amp;재료비목록표!G2&amp;"!A"&amp;ROW(재료비목록표!A31),"M01611 →")</f>
        <v>M01611 →</v>
      </c>
      <c r="T32" s="456">
        <v>432545</v>
      </c>
      <c r="U32" s="527">
        <f t="shared" si="0"/>
        <v>2</v>
      </c>
      <c r="V32" s="509">
        <f t="shared" si="1"/>
        <v>432545</v>
      </c>
      <c r="W32" s="528" t="str">
        <f t="shared" si="2"/>
        <v>물.자</v>
      </c>
    </row>
    <row r="33" spans="1:23" ht="39.950000000000003" customHeight="1">
      <c r="A33" s="460" t="s">
        <v>4651</v>
      </c>
      <c r="B33" s="452" t="s">
        <v>1346</v>
      </c>
      <c r="C33" s="452" t="s">
        <v>2604</v>
      </c>
      <c r="D33" s="460" t="s">
        <v>1589</v>
      </c>
      <c r="E33" s="467">
        <v>0</v>
      </c>
      <c r="F33" s="460"/>
      <c r="G33" s="467">
        <v>3415000</v>
      </c>
      <c r="H33" s="460" t="s">
        <v>4872</v>
      </c>
      <c r="I33" s="467">
        <v>0</v>
      </c>
      <c r="J33" s="460"/>
      <c r="K33" s="467">
        <v>0</v>
      </c>
      <c r="L33" s="460"/>
      <c r="M33" s="467">
        <v>0</v>
      </c>
      <c r="N33" s="460"/>
      <c r="O33" s="467">
        <v>3415000</v>
      </c>
      <c r="P33" s="463" t="s">
        <v>4844</v>
      </c>
      <c r="Q33" s="482"/>
      <c r="R33" s="451" t="s">
        <v>4904</v>
      </c>
      <c r="S33" s="433" t="str">
        <f ca="1">HYPERLINK("#"&amp;재료비목록표!G2&amp;"!A"&amp;ROW(재료비목록표!A32),"M01539 →")</f>
        <v>M01539 →</v>
      </c>
      <c r="T33" s="456">
        <v>3415000</v>
      </c>
      <c r="U33" s="527">
        <f t="shared" si="0"/>
        <v>2</v>
      </c>
      <c r="V33" s="509">
        <f t="shared" si="1"/>
        <v>3415000</v>
      </c>
      <c r="W33" s="528" t="str">
        <f t="shared" si="2"/>
        <v>물.자</v>
      </c>
    </row>
    <row r="34" spans="1:23" ht="39.950000000000003" customHeight="1">
      <c r="A34" s="460" t="s">
        <v>4652</v>
      </c>
      <c r="B34" s="452" t="s">
        <v>2615</v>
      </c>
      <c r="C34" s="452" t="s">
        <v>2616</v>
      </c>
      <c r="D34" s="460" t="s">
        <v>8</v>
      </c>
      <c r="E34" s="467">
        <v>0</v>
      </c>
      <c r="F34" s="460"/>
      <c r="G34" s="467">
        <v>40000</v>
      </c>
      <c r="H34" s="460" t="s">
        <v>4905</v>
      </c>
      <c r="I34" s="467">
        <v>37000</v>
      </c>
      <c r="J34" s="460" t="s">
        <v>4906</v>
      </c>
      <c r="K34" s="467">
        <v>0</v>
      </c>
      <c r="L34" s="460"/>
      <c r="M34" s="467">
        <v>0</v>
      </c>
      <c r="N34" s="460"/>
      <c r="O34" s="467">
        <v>37000</v>
      </c>
      <c r="P34" s="463" t="s">
        <v>4849</v>
      </c>
      <c r="Q34" s="482"/>
      <c r="R34" s="451" t="s">
        <v>4907</v>
      </c>
      <c r="S34" s="433" t="str">
        <f ca="1">HYPERLINK("#"&amp;재료비목록표!G2&amp;"!A"&amp;ROW(재료비목록표!A33),"M00956 →")</f>
        <v>M00956 →</v>
      </c>
      <c r="T34" s="456">
        <v>37000</v>
      </c>
      <c r="U34" s="527">
        <f t="shared" si="0"/>
        <v>3</v>
      </c>
      <c r="V34" s="509">
        <f t="shared" si="1"/>
        <v>37000</v>
      </c>
      <c r="W34" s="528" t="str">
        <f t="shared" si="2"/>
        <v>물.정</v>
      </c>
    </row>
    <row r="35" spans="1:23" ht="39.950000000000003" customHeight="1">
      <c r="A35" s="460" t="s">
        <v>4653</v>
      </c>
      <c r="B35" s="452" t="s">
        <v>4654</v>
      </c>
      <c r="C35" s="452" t="s">
        <v>4655</v>
      </c>
      <c r="D35" s="460" t="s">
        <v>595</v>
      </c>
      <c r="E35" s="467">
        <v>0</v>
      </c>
      <c r="F35" s="460"/>
      <c r="G35" s="467">
        <v>124200</v>
      </c>
      <c r="H35" s="460" t="s">
        <v>4908</v>
      </c>
      <c r="I35" s="467">
        <v>0</v>
      </c>
      <c r="J35" s="460"/>
      <c r="K35" s="467">
        <v>0</v>
      </c>
      <c r="L35" s="460"/>
      <c r="M35" s="467">
        <v>0</v>
      </c>
      <c r="N35" s="460"/>
      <c r="O35" s="467">
        <v>124200</v>
      </c>
      <c r="P35" s="463" t="s">
        <v>4844</v>
      </c>
      <c r="Q35" s="482"/>
      <c r="R35" s="451" t="s">
        <v>4909</v>
      </c>
      <c r="S35" s="433" t="str">
        <f ca="1">HYPERLINK("#"&amp;재료비목록표!G2&amp;"!A"&amp;ROW(재료비목록표!A34),"M08816 →")</f>
        <v>M08816 →</v>
      </c>
      <c r="T35" s="456">
        <v>124200</v>
      </c>
      <c r="U35" s="527">
        <f t="shared" si="0"/>
        <v>2</v>
      </c>
      <c r="V35" s="509">
        <f t="shared" si="1"/>
        <v>124200</v>
      </c>
      <c r="W35" s="528" t="str">
        <f t="shared" si="2"/>
        <v>물.자</v>
      </c>
    </row>
    <row r="36" spans="1:23" ht="39.950000000000003" customHeight="1">
      <c r="A36" s="460" t="s">
        <v>4656</v>
      </c>
      <c r="B36" s="452" t="s">
        <v>2676</v>
      </c>
      <c r="C36" s="452" t="s">
        <v>2677</v>
      </c>
      <c r="D36" s="460" t="s">
        <v>1589</v>
      </c>
      <c r="E36" s="467">
        <v>0</v>
      </c>
      <c r="F36" s="460"/>
      <c r="G36" s="467">
        <v>1584000</v>
      </c>
      <c r="H36" s="460" t="s">
        <v>4869</v>
      </c>
      <c r="I36" s="467">
        <v>0</v>
      </c>
      <c r="J36" s="460"/>
      <c r="K36" s="467">
        <v>0</v>
      </c>
      <c r="L36" s="460"/>
      <c r="M36" s="467">
        <v>0</v>
      </c>
      <c r="N36" s="460"/>
      <c r="O36" s="467">
        <v>1584000</v>
      </c>
      <c r="P36" s="463" t="s">
        <v>4844</v>
      </c>
      <c r="Q36" s="482"/>
      <c r="R36" s="451" t="s">
        <v>4910</v>
      </c>
      <c r="S36" s="433" t="str">
        <f ca="1">HYPERLINK("#"&amp;재료비목록표!G2&amp;"!A"&amp;ROW(재료비목록표!A35),"M01513 →")</f>
        <v>M01513 →</v>
      </c>
      <c r="T36" s="456">
        <v>1584000</v>
      </c>
      <c r="U36" s="527">
        <f t="shared" si="0"/>
        <v>2</v>
      </c>
      <c r="V36" s="509">
        <f t="shared" si="1"/>
        <v>1584000</v>
      </c>
      <c r="W36" s="528" t="str">
        <f t="shared" si="2"/>
        <v>물.자</v>
      </c>
    </row>
    <row r="37" spans="1:23" ht="39.950000000000003" customHeight="1">
      <c r="A37" s="460" t="s">
        <v>4657</v>
      </c>
      <c r="B37" s="452" t="s">
        <v>2682</v>
      </c>
      <c r="C37" s="452" t="s">
        <v>2677</v>
      </c>
      <c r="D37" s="460" t="s">
        <v>1589</v>
      </c>
      <c r="E37" s="467">
        <v>0</v>
      </c>
      <c r="F37" s="460"/>
      <c r="G37" s="467">
        <v>1932000</v>
      </c>
      <c r="H37" s="460" t="s">
        <v>4911</v>
      </c>
      <c r="I37" s="467">
        <v>0</v>
      </c>
      <c r="J37" s="460"/>
      <c r="K37" s="467">
        <v>0</v>
      </c>
      <c r="L37" s="460"/>
      <c r="M37" s="467">
        <v>0</v>
      </c>
      <c r="N37" s="460"/>
      <c r="O37" s="467">
        <v>1932000</v>
      </c>
      <c r="P37" s="463" t="s">
        <v>4844</v>
      </c>
      <c r="Q37" s="482"/>
      <c r="R37" s="451" t="s">
        <v>4912</v>
      </c>
      <c r="S37" s="433" t="str">
        <f ca="1">HYPERLINK("#"&amp;재료비목록표!G2&amp;"!A"&amp;ROW(재료비목록표!A36),"M01408 →")</f>
        <v>M01408 →</v>
      </c>
      <c r="T37" s="456">
        <v>1932000</v>
      </c>
      <c r="U37" s="527">
        <f t="shared" si="0"/>
        <v>2</v>
      </c>
      <c r="V37" s="509">
        <f t="shared" si="1"/>
        <v>1932000</v>
      </c>
      <c r="W37" s="528" t="str">
        <f t="shared" si="2"/>
        <v>물.자</v>
      </c>
    </row>
    <row r="38" spans="1:23" ht="39.950000000000003" customHeight="1">
      <c r="A38" s="460" t="s">
        <v>4658</v>
      </c>
      <c r="B38" s="452" t="s">
        <v>2687</v>
      </c>
      <c r="C38" s="452" t="s">
        <v>2677</v>
      </c>
      <c r="D38" s="460" t="s">
        <v>1589</v>
      </c>
      <c r="E38" s="467">
        <v>0</v>
      </c>
      <c r="F38" s="460"/>
      <c r="G38" s="467">
        <v>2136000</v>
      </c>
      <c r="H38" s="460" t="s">
        <v>4869</v>
      </c>
      <c r="I38" s="467">
        <v>0</v>
      </c>
      <c r="J38" s="460"/>
      <c r="K38" s="467">
        <v>0</v>
      </c>
      <c r="L38" s="460"/>
      <c r="M38" s="467">
        <v>0</v>
      </c>
      <c r="N38" s="460"/>
      <c r="O38" s="467">
        <v>2136000</v>
      </c>
      <c r="P38" s="463" t="s">
        <v>4844</v>
      </c>
      <c r="Q38" s="482"/>
      <c r="R38" s="451" t="s">
        <v>4913</v>
      </c>
      <c r="S38" s="433" t="str">
        <f ca="1">HYPERLINK("#"&amp;재료비목록표!G2&amp;"!A"&amp;ROW(재료비목록표!A37),"M01524 →")</f>
        <v>M01524 →</v>
      </c>
      <c r="T38" s="456">
        <v>2136000</v>
      </c>
      <c r="U38" s="527">
        <f t="shared" si="0"/>
        <v>2</v>
      </c>
      <c r="V38" s="509">
        <f t="shared" si="1"/>
        <v>2136000</v>
      </c>
      <c r="W38" s="528" t="str">
        <f t="shared" si="2"/>
        <v>물.자</v>
      </c>
    </row>
    <row r="39" spans="1:23" ht="39.950000000000003" customHeight="1">
      <c r="A39" s="460" t="s">
        <v>4659</v>
      </c>
      <c r="B39" s="452" t="s">
        <v>2695</v>
      </c>
      <c r="C39" s="452" t="s">
        <v>2677</v>
      </c>
      <c r="D39" s="460" t="s">
        <v>1589</v>
      </c>
      <c r="E39" s="467">
        <v>0</v>
      </c>
      <c r="F39" s="460"/>
      <c r="G39" s="467">
        <v>264000</v>
      </c>
      <c r="H39" s="460" t="s">
        <v>4869</v>
      </c>
      <c r="I39" s="467">
        <v>0</v>
      </c>
      <c r="J39" s="460"/>
      <c r="K39" s="467">
        <v>0</v>
      </c>
      <c r="L39" s="460"/>
      <c r="M39" s="467">
        <v>0</v>
      </c>
      <c r="N39" s="460"/>
      <c r="O39" s="467">
        <v>264000</v>
      </c>
      <c r="P39" s="463" t="s">
        <v>4844</v>
      </c>
      <c r="Q39" s="482"/>
      <c r="R39" s="451" t="s">
        <v>4914</v>
      </c>
      <c r="S39" s="433" t="str">
        <f ca="1">HYPERLINK("#"&amp;재료비목록표!G2&amp;"!A"&amp;ROW(재료비목록표!A38),"M01461 →")</f>
        <v>M01461 →</v>
      </c>
      <c r="T39" s="456">
        <v>264000</v>
      </c>
      <c r="U39" s="527">
        <f t="shared" si="0"/>
        <v>2</v>
      </c>
      <c r="V39" s="509">
        <f t="shared" si="1"/>
        <v>264000</v>
      </c>
      <c r="W39" s="528" t="str">
        <f t="shared" si="2"/>
        <v>물.자</v>
      </c>
    </row>
    <row r="40" spans="1:23" ht="39.950000000000003" customHeight="1">
      <c r="A40" s="460" t="s">
        <v>4660</v>
      </c>
      <c r="B40" s="452" t="s">
        <v>2349</v>
      </c>
      <c r="C40" s="452" t="s">
        <v>2350</v>
      </c>
      <c r="D40" s="460" t="s">
        <v>595</v>
      </c>
      <c r="E40" s="467">
        <v>0</v>
      </c>
      <c r="F40" s="460"/>
      <c r="G40" s="467">
        <v>2500</v>
      </c>
      <c r="H40" s="460" t="s">
        <v>4915</v>
      </c>
      <c r="I40" s="467">
        <v>600</v>
      </c>
      <c r="J40" s="460" t="s">
        <v>4916</v>
      </c>
      <c r="K40" s="467">
        <v>0</v>
      </c>
      <c r="L40" s="460"/>
      <c r="M40" s="467">
        <v>0</v>
      </c>
      <c r="N40" s="460"/>
      <c r="O40" s="467">
        <v>600</v>
      </c>
      <c r="P40" s="463" t="s">
        <v>4849</v>
      </c>
      <c r="Q40" s="482"/>
      <c r="R40" s="451" t="s">
        <v>4917</v>
      </c>
      <c r="S40" s="433" t="str">
        <f ca="1">HYPERLINK("#"&amp;재료비목록표!G2&amp;"!A"&amp;ROW(재료비목록표!A39),"M08845 →")</f>
        <v>M08845 →</v>
      </c>
      <c r="T40" s="456">
        <v>600</v>
      </c>
      <c r="U40" s="527">
        <f t="shared" si="0"/>
        <v>3</v>
      </c>
      <c r="V40" s="509">
        <f t="shared" si="1"/>
        <v>600</v>
      </c>
      <c r="W40" s="528" t="str">
        <f t="shared" si="2"/>
        <v>물.정</v>
      </c>
    </row>
    <row r="41" spans="1:23" ht="39.950000000000003" customHeight="1">
      <c r="A41" s="460" t="s">
        <v>4253</v>
      </c>
      <c r="B41" s="452" t="s">
        <v>4661</v>
      </c>
      <c r="C41" s="452" t="s">
        <v>4662</v>
      </c>
      <c r="D41" s="460" t="s">
        <v>3038</v>
      </c>
      <c r="E41" s="467">
        <v>0</v>
      </c>
      <c r="F41" s="460"/>
      <c r="G41" s="467">
        <v>1690</v>
      </c>
      <c r="H41" s="460" t="s">
        <v>4918</v>
      </c>
      <c r="I41" s="467">
        <v>2310</v>
      </c>
      <c r="J41" s="460" t="s">
        <v>4919</v>
      </c>
      <c r="K41" s="467">
        <v>0</v>
      </c>
      <c r="L41" s="460"/>
      <c r="M41" s="467">
        <v>0</v>
      </c>
      <c r="N41" s="460"/>
      <c r="O41" s="467">
        <v>1690</v>
      </c>
      <c r="P41" s="463" t="s">
        <v>4844</v>
      </c>
      <c r="Q41" s="482"/>
      <c r="R41" s="451" t="s">
        <v>4920</v>
      </c>
      <c r="S41" s="433" t="str">
        <f ca="1">HYPERLINK("#"&amp;재료비목록표!G2&amp;"!A"&amp;ROW(재료비목록표!A40),"M00875 →")</f>
        <v>M00875 →</v>
      </c>
      <c r="T41" s="456">
        <v>1690</v>
      </c>
      <c r="U41" s="527">
        <f t="shared" si="0"/>
        <v>2</v>
      </c>
      <c r="V41" s="509">
        <f t="shared" si="1"/>
        <v>1690</v>
      </c>
      <c r="W41" s="528" t="str">
        <f t="shared" si="2"/>
        <v>물.자</v>
      </c>
    </row>
    <row r="42" spans="1:23" ht="39.950000000000003" customHeight="1">
      <c r="A42" s="460" t="s">
        <v>4663</v>
      </c>
      <c r="B42" s="452" t="s">
        <v>2745</v>
      </c>
      <c r="C42" s="452" t="s">
        <v>2746</v>
      </c>
      <c r="D42" s="460" t="s">
        <v>911</v>
      </c>
      <c r="E42" s="467">
        <v>0</v>
      </c>
      <c r="F42" s="460"/>
      <c r="G42" s="467">
        <v>31500</v>
      </c>
      <c r="H42" s="460" t="s">
        <v>4867</v>
      </c>
      <c r="I42" s="467">
        <v>28000</v>
      </c>
      <c r="J42" s="460" t="s">
        <v>4865</v>
      </c>
      <c r="K42" s="467">
        <v>0</v>
      </c>
      <c r="L42" s="460"/>
      <c r="M42" s="467">
        <v>0</v>
      </c>
      <c r="N42" s="460"/>
      <c r="O42" s="467">
        <v>28000</v>
      </c>
      <c r="P42" s="463" t="s">
        <v>4849</v>
      </c>
      <c r="Q42" s="482"/>
      <c r="R42" s="451" t="s">
        <v>4921</v>
      </c>
      <c r="S42" s="433" t="str">
        <f ca="1">HYPERLINK("#"&amp;재료비목록표!G2&amp;"!A"&amp;ROW(재료비목록표!A41),"M01442 →")</f>
        <v>M01442 →</v>
      </c>
      <c r="T42" s="456">
        <v>28000</v>
      </c>
      <c r="U42" s="527">
        <f t="shared" si="0"/>
        <v>3</v>
      </c>
      <c r="V42" s="509">
        <f t="shared" si="1"/>
        <v>28000</v>
      </c>
      <c r="W42" s="528" t="str">
        <f t="shared" si="2"/>
        <v>물.정</v>
      </c>
    </row>
    <row r="43" spans="1:23" ht="39.950000000000003" customHeight="1">
      <c r="A43" s="460" t="s">
        <v>4664</v>
      </c>
      <c r="B43" s="452" t="s">
        <v>2745</v>
      </c>
      <c r="C43" s="452" t="s">
        <v>2760</v>
      </c>
      <c r="D43" s="460" t="s">
        <v>911</v>
      </c>
      <c r="E43" s="467">
        <v>0</v>
      </c>
      <c r="F43" s="460"/>
      <c r="G43" s="467">
        <v>38000</v>
      </c>
      <c r="H43" s="460" t="s">
        <v>4867</v>
      </c>
      <c r="I43" s="467">
        <v>33500</v>
      </c>
      <c r="J43" s="460" t="s">
        <v>4865</v>
      </c>
      <c r="K43" s="467">
        <v>0</v>
      </c>
      <c r="L43" s="460"/>
      <c r="M43" s="467">
        <v>0</v>
      </c>
      <c r="N43" s="460"/>
      <c r="O43" s="467">
        <v>33500</v>
      </c>
      <c r="P43" s="463" t="s">
        <v>4849</v>
      </c>
      <c r="Q43" s="482"/>
      <c r="R43" s="451" t="s">
        <v>4922</v>
      </c>
      <c r="S43" s="433" t="str">
        <f ca="1">HYPERLINK("#"&amp;재료비목록표!G2&amp;"!A"&amp;ROW(재료비목록표!A42),"M01479 →")</f>
        <v>M01479 →</v>
      </c>
      <c r="T43" s="456">
        <v>33500</v>
      </c>
      <c r="U43" s="527">
        <f t="shared" si="0"/>
        <v>3</v>
      </c>
      <c r="V43" s="509">
        <f t="shared" si="1"/>
        <v>33500</v>
      </c>
      <c r="W43" s="528" t="str">
        <f t="shared" si="2"/>
        <v>물.정</v>
      </c>
    </row>
    <row r="44" spans="1:23" ht="39.950000000000003" customHeight="1">
      <c r="A44" s="460" t="s">
        <v>4665</v>
      </c>
      <c r="B44" s="452" t="s">
        <v>2745</v>
      </c>
      <c r="C44" s="452" t="s">
        <v>2769</v>
      </c>
      <c r="D44" s="460" t="s">
        <v>911</v>
      </c>
      <c r="E44" s="467">
        <v>0</v>
      </c>
      <c r="F44" s="460"/>
      <c r="G44" s="467">
        <v>48100</v>
      </c>
      <c r="H44" s="460" t="s">
        <v>4867</v>
      </c>
      <c r="I44" s="467">
        <v>41000</v>
      </c>
      <c r="J44" s="460" t="s">
        <v>4865</v>
      </c>
      <c r="K44" s="467">
        <v>0</v>
      </c>
      <c r="L44" s="460"/>
      <c r="M44" s="467">
        <v>0</v>
      </c>
      <c r="N44" s="460"/>
      <c r="O44" s="467">
        <v>41000</v>
      </c>
      <c r="P44" s="463" t="s">
        <v>4849</v>
      </c>
      <c r="Q44" s="482"/>
      <c r="R44" s="451" t="s">
        <v>4923</v>
      </c>
      <c r="S44" s="433" t="str">
        <f ca="1">HYPERLINK("#"&amp;재료비목록표!G2&amp;"!A"&amp;ROW(재료비목록표!A43),"M01474 →")</f>
        <v>M01474 →</v>
      </c>
      <c r="T44" s="456">
        <v>41000</v>
      </c>
      <c r="U44" s="527">
        <f t="shared" si="0"/>
        <v>3</v>
      </c>
      <c r="V44" s="509">
        <f t="shared" si="1"/>
        <v>41000</v>
      </c>
      <c r="W44" s="528" t="str">
        <f t="shared" si="2"/>
        <v>물.정</v>
      </c>
    </row>
    <row r="45" spans="1:23" ht="39.950000000000003" customHeight="1">
      <c r="A45" s="460" t="s">
        <v>4666</v>
      </c>
      <c r="B45" s="452" t="s">
        <v>2745</v>
      </c>
      <c r="C45" s="452" t="s">
        <v>2783</v>
      </c>
      <c r="D45" s="460" t="s">
        <v>911</v>
      </c>
      <c r="E45" s="467">
        <v>0</v>
      </c>
      <c r="F45" s="460"/>
      <c r="G45" s="467">
        <v>65000</v>
      </c>
      <c r="H45" s="460" t="s">
        <v>4867</v>
      </c>
      <c r="I45" s="467">
        <v>55000</v>
      </c>
      <c r="J45" s="460" t="s">
        <v>4865</v>
      </c>
      <c r="K45" s="467">
        <v>0</v>
      </c>
      <c r="L45" s="460"/>
      <c r="M45" s="467">
        <v>0</v>
      </c>
      <c r="N45" s="460"/>
      <c r="O45" s="467">
        <v>55000</v>
      </c>
      <c r="P45" s="463" t="s">
        <v>4849</v>
      </c>
      <c r="Q45" s="482"/>
      <c r="R45" s="451" t="s">
        <v>4924</v>
      </c>
      <c r="S45" s="433" t="str">
        <f ca="1">HYPERLINK("#"&amp;재료비목록표!G2&amp;"!A"&amp;ROW(재료비목록표!A44),"M08777 →")</f>
        <v>M08777 →</v>
      </c>
      <c r="T45" s="456">
        <v>55000</v>
      </c>
      <c r="U45" s="527">
        <f t="shared" si="0"/>
        <v>3</v>
      </c>
      <c r="V45" s="509">
        <f t="shared" si="1"/>
        <v>55000</v>
      </c>
      <c r="W45" s="528" t="str">
        <f t="shared" si="2"/>
        <v>물.정</v>
      </c>
    </row>
    <row r="46" spans="1:23" ht="39.950000000000003" customHeight="1">
      <c r="A46" s="460" t="s">
        <v>4667</v>
      </c>
      <c r="B46" s="452" t="s">
        <v>2745</v>
      </c>
      <c r="C46" s="452" t="s">
        <v>2792</v>
      </c>
      <c r="D46" s="460" t="s">
        <v>911</v>
      </c>
      <c r="E46" s="467">
        <v>0</v>
      </c>
      <c r="F46" s="460"/>
      <c r="G46" s="467">
        <v>21000</v>
      </c>
      <c r="H46" s="460" t="s">
        <v>4867</v>
      </c>
      <c r="I46" s="467">
        <v>24750</v>
      </c>
      <c r="J46" s="460" t="s">
        <v>4865</v>
      </c>
      <c r="K46" s="467">
        <v>0</v>
      </c>
      <c r="L46" s="460"/>
      <c r="M46" s="467">
        <v>0</v>
      </c>
      <c r="N46" s="460"/>
      <c r="O46" s="467">
        <v>21000</v>
      </c>
      <c r="P46" s="463" t="s">
        <v>4844</v>
      </c>
      <c r="Q46" s="482"/>
      <c r="R46" s="451" t="s">
        <v>4925</v>
      </c>
      <c r="S46" s="433" t="str">
        <f ca="1">HYPERLINK("#"&amp;재료비목록표!G2&amp;"!A"&amp;ROW(재료비목록표!A45),"M01440 →")</f>
        <v>M01440 →</v>
      </c>
      <c r="T46" s="456">
        <v>21000</v>
      </c>
      <c r="U46" s="527">
        <f t="shared" si="0"/>
        <v>2</v>
      </c>
      <c r="V46" s="509">
        <f t="shared" si="1"/>
        <v>21000</v>
      </c>
      <c r="W46" s="528" t="str">
        <f t="shared" si="2"/>
        <v>물.자</v>
      </c>
    </row>
    <row r="47" spans="1:23" ht="39.950000000000003" customHeight="1">
      <c r="A47" s="460" t="s">
        <v>4668</v>
      </c>
      <c r="B47" s="452" t="s">
        <v>2745</v>
      </c>
      <c r="C47" s="452" t="s">
        <v>2797</v>
      </c>
      <c r="D47" s="460" t="s">
        <v>911</v>
      </c>
      <c r="E47" s="467">
        <v>0</v>
      </c>
      <c r="F47" s="460"/>
      <c r="G47" s="467">
        <v>29000</v>
      </c>
      <c r="H47" s="460" t="s">
        <v>4867</v>
      </c>
      <c r="I47" s="467">
        <v>23000</v>
      </c>
      <c r="J47" s="460" t="s">
        <v>4865</v>
      </c>
      <c r="K47" s="467">
        <v>0</v>
      </c>
      <c r="L47" s="460"/>
      <c r="M47" s="467">
        <v>0</v>
      </c>
      <c r="N47" s="460"/>
      <c r="O47" s="467">
        <v>23000</v>
      </c>
      <c r="P47" s="463" t="s">
        <v>4849</v>
      </c>
      <c r="Q47" s="482"/>
      <c r="R47" s="451" t="s">
        <v>4926</v>
      </c>
      <c r="S47" s="433" t="str">
        <f ca="1">HYPERLINK("#"&amp;재료비목록표!G2&amp;"!A"&amp;ROW(재료비목록표!A46),"M01441 →")</f>
        <v>M01441 →</v>
      </c>
      <c r="T47" s="456">
        <v>23000</v>
      </c>
      <c r="U47" s="527">
        <f t="shared" si="0"/>
        <v>3</v>
      </c>
      <c r="V47" s="509">
        <f t="shared" si="1"/>
        <v>23000</v>
      </c>
      <c r="W47" s="528" t="str">
        <f t="shared" si="2"/>
        <v>물.정</v>
      </c>
    </row>
    <row r="48" spans="1:23" ht="39.950000000000003" customHeight="1">
      <c r="A48" s="460" t="s">
        <v>4669</v>
      </c>
      <c r="B48" s="452" t="s">
        <v>2755</v>
      </c>
      <c r="C48" s="452" t="s">
        <v>2746</v>
      </c>
      <c r="D48" s="460" t="s">
        <v>911</v>
      </c>
      <c r="E48" s="467">
        <v>0</v>
      </c>
      <c r="F48" s="460"/>
      <c r="G48" s="467">
        <v>0</v>
      </c>
      <c r="H48" s="460" t="s">
        <v>4867</v>
      </c>
      <c r="I48" s="467">
        <v>52500</v>
      </c>
      <c r="J48" s="460" t="s">
        <v>4865</v>
      </c>
      <c r="K48" s="467">
        <v>0</v>
      </c>
      <c r="L48" s="460"/>
      <c r="M48" s="467">
        <v>0</v>
      </c>
      <c r="N48" s="460"/>
      <c r="O48" s="467">
        <v>52500</v>
      </c>
      <c r="P48" s="463" t="s">
        <v>4849</v>
      </c>
      <c r="Q48" s="482"/>
      <c r="R48" s="451" t="s">
        <v>4927</v>
      </c>
      <c r="S48" s="433" t="str">
        <f ca="1">HYPERLINK("#"&amp;재료비목록표!G2&amp;"!A"&amp;ROW(재료비목록표!A47),"M01602 →")</f>
        <v>M01602 →</v>
      </c>
      <c r="T48" s="456">
        <v>52500</v>
      </c>
      <c r="U48" s="527">
        <f t="shared" si="0"/>
        <v>3</v>
      </c>
      <c r="V48" s="509">
        <f t="shared" si="1"/>
        <v>52500</v>
      </c>
      <c r="W48" s="528" t="str">
        <f t="shared" si="2"/>
        <v>물.정</v>
      </c>
    </row>
    <row r="49" spans="1:23" ht="39.950000000000003" customHeight="1">
      <c r="A49" s="460" t="s">
        <v>4670</v>
      </c>
      <c r="B49" s="452" t="s">
        <v>2755</v>
      </c>
      <c r="C49" s="452" t="s">
        <v>2760</v>
      </c>
      <c r="D49" s="460" t="s">
        <v>911</v>
      </c>
      <c r="E49" s="467">
        <v>0</v>
      </c>
      <c r="F49" s="460"/>
      <c r="G49" s="467">
        <v>0</v>
      </c>
      <c r="H49" s="460" t="s">
        <v>4867</v>
      </c>
      <c r="I49" s="467">
        <v>61500</v>
      </c>
      <c r="J49" s="460" t="s">
        <v>4865</v>
      </c>
      <c r="K49" s="467">
        <v>0</v>
      </c>
      <c r="L49" s="460"/>
      <c r="M49" s="467">
        <v>0</v>
      </c>
      <c r="N49" s="460"/>
      <c r="O49" s="467">
        <v>61500</v>
      </c>
      <c r="P49" s="463" t="s">
        <v>4849</v>
      </c>
      <c r="Q49" s="482"/>
      <c r="R49" s="451" t="s">
        <v>4928</v>
      </c>
      <c r="S49" s="433" t="str">
        <f ca="1">HYPERLINK("#"&amp;재료비목록표!G2&amp;"!A"&amp;ROW(재료비목록표!A48),"M01603 →")</f>
        <v>M01603 →</v>
      </c>
      <c r="T49" s="456">
        <v>61500</v>
      </c>
      <c r="U49" s="527">
        <f t="shared" si="0"/>
        <v>3</v>
      </c>
      <c r="V49" s="509">
        <f t="shared" si="1"/>
        <v>61500</v>
      </c>
      <c r="W49" s="528" t="str">
        <f t="shared" si="2"/>
        <v>물.정</v>
      </c>
    </row>
    <row r="50" spans="1:23" ht="39.950000000000003" customHeight="1">
      <c r="A50" s="460" t="s">
        <v>4671</v>
      </c>
      <c r="B50" s="452" t="s">
        <v>2755</v>
      </c>
      <c r="C50" s="452" t="s">
        <v>2769</v>
      </c>
      <c r="D50" s="460" t="s">
        <v>911</v>
      </c>
      <c r="E50" s="467">
        <v>0</v>
      </c>
      <c r="F50" s="460"/>
      <c r="G50" s="467">
        <v>0</v>
      </c>
      <c r="H50" s="460" t="s">
        <v>4867</v>
      </c>
      <c r="I50" s="467">
        <v>72000</v>
      </c>
      <c r="J50" s="460" t="s">
        <v>4865</v>
      </c>
      <c r="K50" s="467">
        <v>0</v>
      </c>
      <c r="L50" s="460"/>
      <c r="M50" s="467">
        <v>0</v>
      </c>
      <c r="N50" s="460"/>
      <c r="O50" s="467">
        <v>72000</v>
      </c>
      <c r="P50" s="463" t="s">
        <v>4849</v>
      </c>
      <c r="Q50" s="482"/>
      <c r="R50" s="451" t="s">
        <v>4929</v>
      </c>
      <c r="S50" s="433" t="str">
        <f ca="1">HYPERLINK("#"&amp;재료비목록표!G2&amp;"!A"&amp;ROW(재료비목록표!A49),"M01604 →")</f>
        <v>M01604 →</v>
      </c>
      <c r="T50" s="456">
        <v>72000</v>
      </c>
      <c r="U50" s="527">
        <f t="shared" si="0"/>
        <v>3</v>
      </c>
      <c r="V50" s="509">
        <f t="shared" si="1"/>
        <v>72000</v>
      </c>
      <c r="W50" s="528" t="str">
        <f t="shared" si="2"/>
        <v>물.정</v>
      </c>
    </row>
    <row r="51" spans="1:23" ht="39.950000000000003" customHeight="1">
      <c r="A51" s="460" t="s">
        <v>4672</v>
      </c>
      <c r="B51" s="452" t="s">
        <v>2755</v>
      </c>
      <c r="C51" s="452" t="s">
        <v>2783</v>
      </c>
      <c r="D51" s="460" t="s">
        <v>911</v>
      </c>
      <c r="E51" s="467">
        <v>0</v>
      </c>
      <c r="F51" s="460"/>
      <c r="G51" s="467">
        <v>0</v>
      </c>
      <c r="H51" s="460" t="s">
        <v>4867</v>
      </c>
      <c r="I51" s="467">
        <v>97500</v>
      </c>
      <c r="J51" s="460" t="s">
        <v>4865</v>
      </c>
      <c r="K51" s="467">
        <v>0</v>
      </c>
      <c r="L51" s="460"/>
      <c r="M51" s="467">
        <v>0</v>
      </c>
      <c r="N51" s="460"/>
      <c r="O51" s="467">
        <v>97500</v>
      </c>
      <c r="P51" s="463" t="s">
        <v>4849</v>
      </c>
      <c r="Q51" s="482"/>
      <c r="R51" s="451" t="s">
        <v>4930</v>
      </c>
      <c r="S51" s="433" t="str">
        <f ca="1">HYPERLINK("#"&amp;재료비목록표!G2&amp;"!A"&amp;ROW(재료비목록표!A50),"M08778 →")</f>
        <v>M08778 →</v>
      </c>
      <c r="T51" s="456">
        <v>97500</v>
      </c>
      <c r="U51" s="527">
        <f t="shared" si="0"/>
        <v>3</v>
      </c>
      <c r="V51" s="509">
        <f t="shared" si="1"/>
        <v>97500</v>
      </c>
      <c r="W51" s="528" t="str">
        <f t="shared" si="2"/>
        <v>물.정</v>
      </c>
    </row>
    <row r="52" spans="1:23" ht="39.950000000000003" customHeight="1">
      <c r="A52" s="460" t="s">
        <v>4673</v>
      </c>
      <c r="B52" s="452" t="s">
        <v>3185</v>
      </c>
      <c r="C52" s="452" t="s">
        <v>3186</v>
      </c>
      <c r="D52" s="460" t="s">
        <v>595</v>
      </c>
      <c r="E52" s="467">
        <v>0</v>
      </c>
      <c r="F52" s="460"/>
      <c r="G52" s="467">
        <v>1380</v>
      </c>
      <c r="H52" s="460" t="s">
        <v>4931</v>
      </c>
      <c r="I52" s="467">
        <v>1250</v>
      </c>
      <c r="J52" s="460" t="s">
        <v>4932</v>
      </c>
      <c r="K52" s="467">
        <v>0</v>
      </c>
      <c r="L52" s="460"/>
      <c r="M52" s="467">
        <v>0</v>
      </c>
      <c r="N52" s="460"/>
      <c r="O52" s="467">
        <v>1250</v>
      </c>
      <c r="P52" s="463" t="s">
        <v>4849</v>
      </c>
      <c r="Q52" s="482"/>
      <c r="R52" s="451" t="s">
        <v>4933</v>
      </c>
      <c r="S52" s="433" t="str">
        <f ca="1">HYPERLINK("#"&amp;재료비목록표!G2&amp;"!A"&amp;ROW(재료비목록표!A51),"M08846 →")</f>
        <v>M08846 →</v>
      </c>
      <c r="T52" s="456">
        <v>1250</v>
      </c>
      <c r="U52" s="527">
        <f t="shared" si="0"/>
        <v>3</v>
      </c>
      <c r="V52" s="509">
        <f t="shared" si="1"/>
        <v>1250</v>
      </c>
      <c r="W52" s="528" t="str">
        <f t="shared" si="2"/>
        <v>물.정</v>
      </c>
    </row>
    <row r="53" spans="1:23" ht="39.950000000000003" customHeight="1">
      <c r="A53" s="460" t="s">
        <v>4674</v>
      </c>
      <c r="B53" s="452" t="s">
        <v>2819</v>
      </c>
      <c r="C53" s="452" t="s">
        <v>2820</v>
      </c>
      <c r="D53" s="460" t="s">
        <v>1799</v>
      </c>
      <c r="E53" s="467">
        <v>0</v>
      </c>
      <c r="F53" s="460"/>
      <c r="G53" s="467">
        <v>0</v>
      </c>
      <c r="H53" s="460"/>
      <c r="I53" s="467">
        <v>160000</v>
      </c>
      <c r="J53" s="460" t="s">
        <v>4934</v>
      </c>
      <c r="K53" s="467">
        <v>0</v>
      </c>
      <c r="L53" s="460"/>
      <c r="M53" s="467">
        <v>0</v>
      </c>
      <c r="N53" s="460"/>
      <c r="O53" s="467">
        <v>160000</v>
      </c>
      <c r="P53" s="463" t="s">
        <v>4849</v>
      </c>
      <c r="Q53" s="482"/>
      <c r="R53" s="451" t="s">
        <v>4935</v>
      </c>
      <c r="S53" s="433" t="str">
        <f ca="1">HYPERLINK("#"&amp;재료비목록표!G2&amp;"!A"&amp;ROW(재료비목록표!A52),"M08852 →")</f>
        <v>M08852 →</v>
      </c>
      <c r="T53" s="456">
        <v>160000</v>
      </c>
      <c r="U53" s="527">
        <f t="shared" si="0"/>
        <v>3</v>
      </c>
      <c r="V53" s="509">
        <f t="shared" si="1"/>
        <v>160000</v>
      </c>
      <c r="W53" s="528" t="str">
        <f t="shared" si="2"/>
        <v>물.정</v>
      </c>
    </row>
    <row r="54" spans="1:23" ht="39.950000000000003" customHeight="1">
      <c r="A54" s="460" t="s">
        <v>4675</v>
      </c>
      <c r="B54" s="452" t="s">
        <v>2927</v>
      </c>
      <c r="C54" s="452" t="s">
        <v>2988</v>
      </c>
      <c r="D54" s="460" t="s">
        <v>2377</v>
      </c>
      <c r="E54" s="467">
        <v>0</v>
      </c>
      <c r="F54" s="460"/>
      <c r="G54" s="467">
        <v>1129</v>
      </c>
      <c r="H54" s="460" t="s">
        <v>4936</v>
      </c>
      <c r="I54" s="467">
        <v>1221</v>
      </c>
      <c r="J54" s="460" t="s">
        <v>4937</v>
      </c>
      <c r="K54" s="467">
        <v>0</v>
      </c>
      <c r="L54" s="460"/>
      <c r="M54" s="467">
        <v>0</v>
      </c>
      <c r="N54" s="460"/>
      <c r="O54" s="467">
        <v>1129</v>
      </c>
      <c r="P54" s="463" t="s">
        <v>4844</v>
      </c>
      <c r="Q54" s="482"/>
      <c r="R54" s="451" t="s">
        <v>4938</v>
      </c>
      <c r="S54" s="433" t="str">
        <f ca="1">HYPERLINK("#"&amp;재료비목록표!G2&amp;"!A"&amp;ROW(재료비목록표!A53),"M00667 →")</f>
        <v>M00667 →</v>
      </c>
      <c r="T54" s="456">
        <v>1129</v>
      </c>
      <c r="U54" s="527">
        <f t="shared" si="0"/>
        <v>2</v>
      </c>
      <c r="V54" s="509">
        <f t="shared" si="1"/>
        <v>1129</v>
      </c>
      <c r="W54" s="528" t="str">
        <f t="shared" si="2"/>
        <v>물.자</v>
      </c>
    </row>
    <row r="55" spans="1:23" ht="39.950000000000003" customHeight="1">
      <c r="A55" s="460" t="s">
        <v>4676</v>
      </c>
      <c r="B55" s="452" t="s">
        <v>2927</v>
      </c>
      <c r="C55" s="452" t="s">
        <v>2928</v>
      </c>
      <c r="D55" s="460" t="s">
        <v>2377</v>
      </c>
      <c r="E55" s="467">
        <v>0</v>
      </c>
      <c r="F55" s="460"/>
      <c r="G55" s="467">
        <v>0</v>
      </c>
      <c r="H55" s="460"/>
      <c r="I55" s="467">
        <v>1293</v>
      </c>
      <c r="J55" s="460" t="s">
        <v>4937</v>
      </c>
      <c r="K55" s="467">
        <v>0</v>
      </c>
      <c r="L55" s="460"/>
      <c r="M55" s="467">
        <v>0</v>
      </c>
      <c r="N55" s="460"/>
      <c r="O55" s="467">
        <v>1293</v>
      </c>
      <c r="P55" s="463" t="s">
        <v>4849</v>
      </c>
      <c r="Q55" s="482"/>
      <c r="R55" s="451" t="s">
        <v>4939</v>
      </c>
      <c r="S55" s="433" t="str">
        <f ca="1">HYPERLINK("#"&amp;재료비목록표!G2&amp;"!A"&amp;ROW(재료비목록표!A54),"M08813 →")</f>
        <v>M08813 →</v>
      </c>
      <c r="T55" s="456">
        <v>1293</v>
      </c>
      <c r="U55" s="527">
        <f t="shared" si="0"/>
        <v>3</v>
      </c>
      <c r="V55" s="509">
        <f t="shared" si="1"/>
        <v>1293</v>
      </c>
      <c r="W55" s="528" t="str">
        <f t="shared" si="2"/>
        <v>물.정</v>
      </c>
    </row>
    <row r="56" spans="1:23" ht="39.950000000000003" customHeight="1">
      <c r="A56" s="460" t="s">
        <v>4677</v>
      </c>
      <c r="B56" s="452" t="s">
        <v>2927</v>
      </c>
      <c r="C56" s="452" t="s">
        <v>3276</v>
      </c>
      <c r="D56" s="460" t="s">
        <v>2377</v>
      </c>
      <c r="E56" s="467">
        <v>0</v>
      </c>
      <c r="F56" s="460"/>
      <c r="G56" s="467">
        <v>1246</v>
      </c>
      <c r="H56" s="460" t="s">
        <v>4936</v>
      </c>
      <c r="I56" s="467">
        <v>1383</v>
      </c>
      <c r="J56" s="460" t="s">
        <v>4937</v>
      </c>
      <c r="K56" s="467">
        <v>0</v>
      </c>
      <c r="L56" s="460"/>
      <c r="M56" s="467">
        <v>0</v>
      </c>
      <c r="N56" s="460"/>
      <c r="O56" s="467">
        <v>1246</v>
      </c>
      <c r="P56" s="463" t="s">
        <v>4844</v>
      </c>
      <c r="Q56" s="482"/>
      <c r="R56" s="451" t="s">
        <v>4940</v>
      </c>
      <c r="S56" s="433" t="str">
        <f ca="1">HYPERLINK("#"&amp;재료비목록표!G2&amp;"!A"&amp;ROW(재료비목록표!A55),"M01455 →")</f>
        <v>M01455 →</v>
      </c>
      <c r="T56" s="456">
        <v>1246</v>
      </c>
      <c r="U56" s="527">
        <f t="shared" si="0"/>
        <v>2</v>
      </c>
      <c r="V56" s="509">
        <f t="shared" si="1"/>
        <v>1246</v>
      </c>
      <c r="W56" s="528" t="str">
        <f t="shared" si="2"/>
        <v>물.자</v>
      </c>
    </row>
    <row r="57" spans="1:23" ht="39.950000000000003" customHeight="1">
      <c r="A57" s="460" t="s">
        <v>4678</v>
      </c>
      <c r="B57" s="452" t="s">
        <v>2927</v>
      </c>
      <c r="C57" s="452" t="s">
        <v>3076</v>
      </c>
      <c r="D57" s="460" t="s">
        <v>2377</v>
      </c>
      <c r="E57" s="467">
        <v>0</v>
      </c>
      <c r="F57" s="460"/>
      <c r="G57" s="467">
        <v>0</v>
      </c>
      <c r="H57" s="460"/>
      <c r="I57" s="467">
        <v>2049</v>
      </c>
      <c r="J57" s="460" t="s">
        <v>4937</v>
      </c>
      <c r="K57" s="467">
        <v>0</v>
      </c>
      <c r="L57" s="460"/>
      <c r="M57" s="467">
        <v>0</v>
      </c>
      <c r="N57" s="460"/>
      <c r="O57" s="467">
        <v>2049</v>
      </c>
      <c r="P57" s="463" t="s">
        <v>4849</v>
      </c>
      <c r="Q57" s="482"/>
      <c r="R57" s="451" t="s">
        <v>4941</v>
      </c>
      <c r="S57" s="433" t="str">
        <f ca="1">HYPERLINK("#"&amp;재료비목록표!G2&amp;"!A"&amp;ROW(재료비목록표!A56),"M00955 →")</f>
        <v>M00955 →</v>
      </c>
      <c r="T57" s="456">
        <v>2049</v>
      </c>
      <c r="U57" s="527">
        <f t="shared" si="0"/>
        <v>3</v>
      </c>
      <c r="V57" s="509">
        <f t="shared" si="1"/>
        <v>2049</v>
      </c>
      <c r="W57" s="528" t="str">
        <f t="shared" si="2"/>
        <v>물.정</v>
      </c>
    </row>
    <row r="58" spans="1:23" ht="39.950000000000003" customHeight="1">
      <c r="A58" s="460" t="s">
        <v>4679</v>
      </c>
      <c r="B58" s="452" t="s">
        <v>2609</v>
      </c>
      <c r="C58" s="452" t="s">
        <v>2610</v>
      </c>
      <c r="D58" s="460" t="s">
        <v>2611</v>
      </c>
      <c r="E58" s="467">
        <v>0</v>
      </c>
      <c r="F58" s="460"/>
      <c r="G58" s="467">
        <v>210</v>
      </c>
      <c r="H58" s="460" t="s">
        <v>4942</v>
      </c>
      <c r="I58" s="467">
        <v>208</v>
      </c>
      <c r="J58" s="460" t="s">
        <v>4943</v>
      </c>
      <c r="K58" s="467">
        <v>0</v>
      </c>
      <c r="L58" s="460"/>
      <c r="M58" s="467">
        <v>0</v>
      </c>
      <c r="N58" s="460"/>
      <c r="O58" s="467">
        <v>208</v>
      </c>
      <c r="P58" s="463" t="s">
        <v>4849</v>
      </c>
      <c r="Q58" s="482"/>
      <c r="R58" s="451" t="s">
        <v>4944</v>
      </c>
      <c r="S58" s="433" t="str">
        <f ca="1">HYPERLINK("#"&amp;재료비목록표!G2&amp;"!A"&amp;ROW(재료비목록표!A57),"M00634 →")</f>
        <v>M00634 →</v>
      </c>
      <c r="T58" s="456">
        <v>208</v>
      </c>
      <c r="U58" s="527">
        <f t="shared" si="0"/>
        <v>3</v>
      </c>
      <c r="V58" s="509">
        <f t="shared" si="1"/>
        <v>208</v>
      </c>
      <c r="W58" s="528" t="str">
        <f t="shared" si="2"/>
        <v>물.정</v>
      </c>
    </row>
    <row r="59" spans="1:23" ht="39.950000000000003" customHeight="1">
      <c r="A59" s="460" t="s">
        <v>4680</v>
      </c>
      <c r="B59" s="452" t="s">
        <v>2868</v>
      </c>
      <c r="C59" s="452" t="s">
        <v>2869</v>
      </c>
      <c r="D59" s="460" t="s">
        <v>2377</v>
      </c>
      <c r="E59" s="467">
        <v>0</v>
      </c>
      <c r="F59" s="460"/>
      <c r="G59" s="467">
        <v>2436000</v>
      </c>
      <c r="H59" s="460" t="s">
        <v>4869</v>
      </c>
      <c r="I59" s="467">
        <v>0</v>
      </c>
      <c r="J59" s="460"/>
      <c r="K59" s="467">
        <v>0</v>
      </c>
      <c r="L59" s="460"/>
      <c r="M59" s="467">
        <v>0</v>
      </c>
      <c r="N59" s="460"/>
      <c r="O59" s="467">
        <v>2436000</v>
      </c>
      <c r="P59" s="463" t="s">
        <v>4844</v>
      </c>
      <c r="Q59" s="482"/>
      <c r="R59" s="451" t="s">
        <v>4945</v>
      </c>
      <c r="S59" s="433" t="str">
        <f ca="1">HYPERLINK("#"&amp;재료비목록표!G2&amp;"!A"&amp;ROW(재료비목록표!A58),"M01606 →")</f>
        <v>M01606 →</v>
      </c>
      <c r="T59" s="456">
        <v>2436000</v>
      </c>
      <c r="U59" s="527">
        <f t="shared" si="0"/>
        <v>2</v>
      </c>
      <c r="V59" s="509">
        <f t="shared" si="1"/>
        <v>2436000</v>
      </c>
      <c r="W59" s="528" t="str">
        <f t="shared" si="2"/>
        <v>물.자</v>
      </c>
    </row>
    <row r="60" spans="1:23" ht="39.950000000000003" customHeight="1">
      <c r="A60" s="460" t="s">
        <v>4681</v>
      </c>
      <c r="B60" s="452" t="s">
        <v>2878</v>
      </c>
      <c r="C60" s="452" t="s">
        <v>1283</v>
      </c>
      <c r="D60" s="460" t="s">
        <v>595</v>
      </c>
      <c r="E60" s="467">
        <v>0</v>
      </c>
      <c r="F60" s="460"/>
      <c r="G60" s="467">
        <v>8500</v>
      </c>
      <c r="H60" s="460" t="s">
        <v>4946</v>
      </c>
      <c r="I60" s="467">
        <v>8250</v>
      </c>
      <c r="J60" s="460" t="s">
        <v>4916</v>
      </c>
      <c r="K60" s="467">
        <v>0</v>
      </c>
      <c r="L60" s="460"/>
      <c r="M60" s="467">
        <v>0</v>
      </c>
      <c r="N60" s="460"/>
      <c r="O60" s="467">
        <v>8250</v>
      </c>
      <c r="P60" s="463" t="s">
        <v>4849</v>
      </c>
      <c r="Q60" s="482"/>
      <c r="R60" s="451" t="s">
        <v>4947</v>
      </c>
      <c r="S60" s="433" t="str">
        <f ca="1">HYPERLINK("#"&amp;재료비목록표!G2&amp;"!A"&amp;ROW(재료비목록표!A59),"M08844 →")</f>
        <v>M08844 →</v>
      </c>
      <c r="T60" s="456">
        <v>8250</v>
      </c>
      <c r="U60" s="527">
        <f t="shared" si="0"/>
        <v>3</v>
      </c>
      <c r="V60" s="509">
        <f t="shared" si="1"/>
        <v>8250</v>
      </c>
      <c r="W60" s="528" t="str">
        <f t="shared" si="2"/>
        <v>물.정</v>
      </c>
    </row>
    <row r="61" spans="1:23" ht="39.950000000000003" customHeight="1">
      <c r="A61" s="460" t="s">
        <v>4682</v>
      </c>
      <c r="B61" s="452" t="s">
        <v>1144</v>
      </c>
      <c r="C61" s="452" t="s">
        <v>2888</v>
      </c>
      <c r="D61" s="460" t="s">
        <v>2889</v>
      </c>
      <c r="E61" s="467">
        <v>0</v>
      </c>
      <c r="F61" s="460"/>
      <c r="G61" s="467">
        <v>11400</v>
      </c>
      <c r="H61" s="460" t="s">
        <v>4948</v>
      </c>
      <c r="I61" s="467">
        <v>9900</v>
      </c>
      <c r="J61" s="460" t="s">
        <v>4857</v>
      </c>
      <c r="K61" s="467">
        <v>0</v>
      </c>
      <c r="L61" s="460"/>
      <c r="M61" s="467">
        <v>0</v>
      </c>
      <c r="N61" s="460"/>
      <c r="O61" s="467">
        <v>9900</v>
      </c>
      <c r="P61" s="463" t="s">
        <v>4849</v>
      </c>
      <c r="Q61" s="482"/>
      <c r="R61" s="451" t="s">
        <v>4949</v>
      </c>
      <c r="S61" s="433" t="str">
        <f ca="1">HYPERLINK("#"&amp;재료비목록표!G2&amp;"!A"&amp;ROW(재료비목록표!A60),"M00801 →")</f>
        <v>M00801 →</v>
      </c>
      <c r="T61" s="456">
        <v>9900</v>
      </c>
      <c r="U61" s="527">
        <f t="shared" si="0"/>
        <v>3</v>
      </c>
      <c r="V61" s="509">
        <f t="shared" si="1"/>
        <v>9900</v>
      </c>
      <c r="W61" s="528" t="str">
        <f t="shared" si="2"/>
        <v>물.정</v>
      </c>
    </row>
    <row r="62" spans="1:23" ht="39.950000000000003" customHeight="1">
      <c r="A62" s="460" t="s">
        <v>4683</v>
      </c>
      <c r="B62" s="452" t="s">
        <v>2435</v>
      </c>
      <c r="C62" s="452" t="s">
        <v>2436</v>
      </c>
      <c r="D62" s="460" t="s">
        <v>2431</v>
      </c>
      <c r="E62" s="467">
        <v>0</v>
      </c>
      <c r="F62" s="460"/>
      <c r="G62" s="467">
        <v>2500</v>
      </c>
      <c r="H62" s="460" t="s">
        <v>4950</v>
      </c>
      <c r="I62" s="467">
        <v>3888</v>
      </c>
      <c r="J62" s="460" t="s">
        <v>4951</v>
      </c>
      <c r="K62" s="467">
        <v>0</v>
      </c>
      <c r="L62" s="460"/>
      <c r="M62" s="467">
        <v>0</v>
      </c>
      <c r="N62" s="460"/>
      <c r="O62" s="467">
        <v>2500</v>
      </c>
      <c r="P62" s="463" t="s">
        <v>4844</v>
      </c>
      <c r="Q62" s="482"/>
      <c r="R62" s="451" t="s">
        <v>4952</v>
      </c>
      <c r="S62" s="433" t="str">
        <f ca="1">HYPERLINK("#"&amp;재료비목록표!G2&amp;"!A"&amp;ROW(재료비목록표!A61),"M00167 →")</f>
        <v>M00167 →</v>
      </c>
      <c r="T62" s="456">
        <v>2500</v>
      </c>
      <c r="U62" s="527">
        <f t="shared" si="0"/>
        <v>2</v>
      </c>
      <c r="V62" s="509">
        <f t="shared" si="1"/>
        <v>2500</v>
      </c>
      <c r="W62" s="528" t="str">
        <f t="shared" si="2"/>
        <v>물.자</v>
      </c>
    </row>
    <row r="63" spans="1:23" ht="39.950000000000003" customHeight="1">
      <c r="A63" s="460" t="s">
        <v>4684</v>
      </c>
      <c r="B63" s="452" t="s">
        <v>1351</v>
      </c>
      <c r="C63" s="452" t="s">
        <v>2316</v>
      </c>
      <c r="D63" s="460" t="s">
        <v>1589</v>
      </c>
      <c r="E63" s="467">
        <v>0</v>
      </c>
      <c r="F63" s="460"/>
      <c r="G63" s="467">
        <v>4470000</v>
      </c>
      <c r="H63" s="460" t="s">
        <v>4872</v>
      </c>
      <c r="I63" s="467">
        <v>6280000</v>
      </c>
      <c r="J63" s="460" t="s">
        <v>4873</v>
      </c>
      <c r="K63" s="467">
        <v>0</v>
      </c>
      <c r="L63" s="460"/>
      <c r="M63" s="467">
        <v>0</v>
      </c>
      <c r="N63" s="460"/>
      <c r="O63" s="467">
        <v>4470000</v>
      </c>
      <c r="P63" s="463" t="s">
        <v>4844</v>
      </c>
      <c r="Q63" s="482"/>
      <c r="R63" s="451" t="s">
        <v>4953</v>
      </c>
      <c r="S63" s="433" t="str">
        <f ca="1">HYPERLINK("#"&amp;재료비목록표!G2&amp;"!A"&amp;ROW(재료비목록표!A62),"M01542 →")</f>
        <v>M01542 →</v>
      </c>
      <c r="T63" s="456">
        <v>4470000</v>
      </c>
      <c r="U63" s="527">
        <f t="shared" si="0"/>
        <v>2</v>
      </c>
      <c r="V63" s="509">
        <f t="shared" si="1"/>
        <v>4470000</v>
      </c>
      <c r="W63" s="528" t="str">
        <f t="shared" si="2"/>
        <v>물.자</v>
      </c>
    </row>
    <row r="64" spans="1:23" ht="39.950000000000003" customHeight="1">
      <c r="A64" s="460" t="s">
        <v>4685</v>
      </c>
      <c r="B64" s="452" t="s">
        <v>1359</v>
      </c>
      <c r="C64" s="452" t="s">
        <v>2999</v>
      </c>
      <c r="D64" s="460" t="s">
        <v>1589</v>
      </c>
      <c r="E64" s="467">
        <v>0</v>
      </c>
      <c r="F64" s="460"/>
      <c r="G64" s="467">
        <v>4335000</v>
      </c>
      <c r="H64" s="460" t="s">
        <v>4872</v>
      </c>
      <c r="I64" s="467">
        <v>5790000</v>
      </c>
      <c r="J64" s="460" t="s">
        <v>4873</v>
      </c>
      <c r="K64" s="467">
        <v>0</v>
      </c>
      <c r="L64" s="460"/>
      <c r="M64" s="467">
        <v>0</v>
      </c>
      <c r="N64" s="460"/>
      <c r="O64" s="467">
        <v>4335000</v>
      </c>
      <c r="P64" s="463" t="s">
        <v>4844</v>
      </c>
      <c r="Q64" s="482"/>
      <c r="R64" s="451" t="s">
        <v>4954</v>
      </c>
      <c r="S64" s="433" t="str">
        <f ca="1">HYPERLINK("#"&amp;재료비목록표!G2&amp;"!A"&amp;ROW(재료비목록표!A63),"M01544 →")</f>
        <v>M01544 →</v>
      </c>
      <c r="T64" s="456">
        <v>4335000</v>
      </c>
      <c r="U64" s="527">
        <f t="shared" si="0"/>
        <v>2</v>
      </c>
      <c r="V64" s="509">
        <f t="shared" si="1"/>
        <v>4335000</v>
      </c>
      <c r="W64" s="528" t="str">
        <f t="shared" si="2"/>
        <v>물.자</v>
      </c>
    </row>
    <row r="65" spans="1:23" ht="39.950000000000003" customHeight="1">
      <c r="A65" s="460" t="s">
        <v>4686</v>
      </c>
      <c r="B65" s="452" t="s">
        <v>1354</v>
      </c>
      <c r="C65" s="452" t="s">
        <v>3004</v>
      </c>
      <c r="D65" s="460" t="s">
        <v>1589</v>
      </c>
      <c r="E65" s="467">
        <v>0</v>
      </c>
      <c r="F65" s="460"/>
      <c r="G65" s="467">
        <v>4335000</v>
      </c>
      <c r="H65" s="460" t="s">
        <v>4872</v>
      </c>
      <c r="I65" s="467">
        <v>0</v>
      </c>
      <c r="J65" s="460"/>
      <c r="K65" s="467">
        <v>0</v>
      </c>
      <c r="L65" s="460"/>
      <c r="M65" s="467">
        <v>0</v>
      </c>
      <c r="N65" s="460"/>
      <c r="O65" s="467">
        <v>4335000</v>
      </c>
      <c r="P65" s="463" t="s">
        <v>4844</v>
      </c>
      <c r="Q65" s="482"/>
      <c r="R65" s="451" t="s">
        <v>4955</v>
      </c>
      <c r="S65" s="433" t="str">
        <f ca="1">HYPERLINK("#"&amp;재료비목록표!G2&amp;"!A"&amp;ROW(재료비목록표!A64),"M01536 →")</f>
        <v>M01536 →</v>
      </c>
      <c r="T65" s="456">
        <v>4335000</v>
      </c>
      <c r="U65" s="527">
        <f t="shared" si="0"/>
        <v>2</v>
      </c>
      <c r="V65" s="509">
        <f t="shared" si="1"/>
        <v>4335000</v>
      </c>
      <c r="W65" s="528" t="str">
        <f t="shared" si="2"/>
        <v>물.자</v>
      </c>
    </row>
    <row r="66" spans="1:23" ht="39.950000000000003" customHeight="1">
      <c r="A66" s="460" t="s">
        <v>4687</v>
      </c>
      <c r="B66" s="452" t="s">
        <v>1364</v>
      </c>
      <c r="C66" s="452" t="s">
        <v>3009</v>
      </c>
      <c r="D66" s="460" t="s">
        <v>1589</v>
      </c>
      <c r="E66" s="467">
        <v>0</v>
      </c>
      <c r="F66" s="460"/>
      <c r="G66" s="467">
        <v>0</v>
      </c>
      <c r="H66" s="460"/>
      <c r="I66" s="467">
        <v>5540000</v>
      </c>
      <c r="J66" s="460" t="s">
        <v>4873</v>
      </c>
      <c r="K66" s="467">
        <v>0</v>
      </c>
      <c r="L66" s="460"/>
      <c r="M66" s="467">
        <v>0</v>
      </c>
      <c r="N66" s="460"/>
      <c r="O66" s="467">
        <v>5540000</v>
      </c>
      <c r="P66" s="463" t="s">
        <v>4849</v>
      </c>
      <c r="Q66" s="482"/>
      <c r="R66" s="451" t="s">
        <v>4956</v>
      </c>
      <c r="S66" s="433" t="str">
        <f ca="1">HYPERLINK("#"&amp;재료비목록표!G2&amp;"!A"&amp;ROW(재료비목록표!A65),"M01530 →")</f>
        <v>M01530 →</v>
      </c>
      <c r="T66" s="456">
        <v>5540000</v>
      </c>
      <c r="U66" s="527">
        <f t="shared" si="0"/>
        <v>3</v>
      </c>
      <c r="V66" s="509">
        <f t="shared" si="1"/>
        <v>5540000</v>
      </c>
      <c r="W66" s="528" t="str">
        <f t="shared" si="2"/>
        <v>물.정</v>
      </c>
    </row>
    <row r="67" spans="1:23" ht="39.950000000000003" customHeight="1">
      <c r="A67" s="460" t="s">
        <v>4688</v>
      </c>
      <c r="B67" s="452" t="s">
        <v>1369</v>
      </c>
      <c r="C67" s="452" t="s">
        <v>3014</v>
      </c>
      <c r="D67" s="460" t="s">
        <v>1589</v>
      </c>
      <c r="E67" s="467">
        <v>0</v>
      </c>
      <c r="F67" s="460"/>
      <c r="G67" s="467">
        <v>0</v>
      </c>
      <c r="H67" s="460"/>
      <c r="I67" s="467">
        <v>5850000</v>
      </c>
      <c r="J67" s="460" t="s">
        <v>4873</v>
      </c>
      <c r="K67" s="467">
        <v>0</v>
      </c>
      <c r="L67" s="460"/>
      <c r="M67" s="467">
        <v>0</v>
      </c>
      <c r="N67" s="460"/>
      <c r="O67" s="467">
        <v>5850000</v>
      </c>
      <c r="P67" s="463" t="s">
        <v>4849</v>
      </c>
      <c r="Q67" s="482"/>
      <c r="R67" s="451" t="s">
        <v>4957</v>
      </c>
      <c r="S67" s="433" t="str">
        <f ca="1">HYPERLINK("#"&amp;재료비목록표!G2&amp;"!A"&amp;ROW(재료비목록표!A66),"M01531 →")</f>
        <v>M01531 →</v>
      </c>
      <c r="T67" s="456">
        <v>5850000</v>
      </c>
      <c r="U67" s="527">
        <f t="shared" si="0"/>
        <v>3</v>
      </c>
      <c r="V67" s="509">
        <f t="shared" si="1"/>
        <v>5850000</v>
      </c>
      <c r="W67" s="528" t="str">
        <f t="shared" si="2"/>
        <v>물.정</v>
      </c>
    </row>
    <row r="68" spans="1:23" ht="39.950000000000003" customHeight="1">
      <c r="A68" s="460" t="s">
        <v>4689</v>
      </c>
      <c r="B68" s="452" t="s">
        <v>2844</v>
      </c>
      <c r="C68" s="452" t="s">
        <v>2845</v>
      </c>
      <c r="D68" s="460" t="s">
        <v>2840</v>
      </c>
      <c r="E68" s="467">
        <v>0</v>
      </c>
      <c r="F68" s="460"/>
      <c r="G68" s="467">
        <v>0</v>
      </c>
      <c r="H68" s="460"/>
      <c r="I68" s="467">
        <v>0</v>
      </c>
      <c r="J68" s="460"/>
      <c r="K68" s="467">
        <v>0</v>
      </c>
      <c r="L68" s="460"/>
      <c r="M68" s="467">
        <v>5141</v>
      </c>
      <c r="N68" s="460"/>
      <c r="O68" s="467">
        <v>5141</v>
      </c>
      <c r="P68" s="463" t="s">
        <v>4859</v>
      </c>
      <c r="Q68" s="482"/>
      <c r="R68" s="451" t="s">
        <v>4958</v>
      </c>
      <c r="S68" s="433" t="str">
        <f ca="1">HYPERLINK("#"&amp;재료비목록표!G2&amp;"!A"&amp;ROW(재료비목록표!A67),"M08793 →")</f>
        <v>M08793 →</v>
      </c>
      <c r="T68" s="456">
        <v>5141</v>
      </c>
      <c r="U68" s="527">
        <f t="shared" si="0"/>
        <v>5</v>
      </c>
      <c r="V68" s="509">
        <f t="shared" si="1"/>
        <v>5141</v>
      </c>
      <c r="W68" s="528" t="str">
        <f t="shared" si="2"/>
        <v>견적</v>
      </c>
    </row>
    <row r="69" spans="1:23" ht="39.950000000000003" customHeight="1">
      <c r="A69" s="460" t="s">
        <v>4690</v>
      </c>
      <c r="B69" s="452" t="s">
        <v>3019</v>
      </c>
      <c r="C69" s="452" t="s">
        <v>3020</v>
      </c>
      <c r="D69" s="460" t="s">
        <v>1799</v>
      </c>
      <c r="E69" s="467">
        <v>0</v>
      </c>
      <c r="F69" s="460"/>
      <c r="G69" s="467">
        <v>0</v>
      </c>
      <c r="H69" s="460"/>
      <c r="I69" s="467">
        <v>1900</v>
      </c>
      <c r="J69" s="460" t="s">
        <v>4959</v>
      </c>
      <c r="K69" s="467">
        <v>0</v>
      </c>
      <c r="L69" s="460"/>
      <c r="M69" s="467">
        <v>0</v>
      </c>
      <c r="N69" s="460"/>
      <c r="O69" s="467">
        <v>1900</v>
      </c>
      <c r="P69" s="463" t="s">
        <v>4849</v>
      </c>
      <c r="Q69" s="482" t="s">
        <v>4691</v>
      </c>
      <c r="R69" s="451" t="s">
        <v>4960</v>
      </c>
      <c r="S69" s="433" t="str">
        <f ca="1">HYPERLINK("#"&amp;재료비목록표!G2&amp;"!A"&amp;ROW(재료비목록표!A68),"M01589 →")</f>
        <v>M01589 →</v>
      </c>
      <c r="T69" s="456">
        <v>1900</v>
      </c>
      <c r="U69" s="527">
        <f t="shared" ref="U69:U112" si="3">IF(OR(V69=0,ISERROR(MATCH(V69,E69:M69,0))),"",CHOOSE(TRUNC((MATCH(V69,E69:M69,0)/2+1)),1,2,3,4,5))</f>
        <v>3</v>
      </c>
      <c r="V69" s="509">
        <f t="shared" ref="V69:V112" si="4">IF(AND(E69=0,G69=0,I69=0,K69=0,M69=0),T69,MIN(IF(E69=0,MAX(E69:M69),E69),IF(G69=0,MAX(E69:M69),G69),IF(I69=0,MAX(E69:M69),I69),IF(K69=0,MAX(E69:M69),K69),IF(M69=0,MAX(E69:M69),M69)))</f>
        <v>1900</v>
      </c>
      <c r="W69" s="528" t="str">
        <f t="shared" ref="W69:W112" si="5">IF(OR(O69=0,U69=""),"",CHOOSE(U69,Y$5,Y$6,Y$7,Y$8,Y$9))</f>
        <v>물.정</v>
      </c>
    </row>
    <row r="70" spans="1:23" ht="39.950000000000003" customHeight="1">
      <c r="A70" s="460" t="s">
        <v>4692</v>
      </c>
      <c r="B70" s="452" t="s">
        <v>1379</v>
      </c>
      <c r="C70" s="452" t="s">
        <v>3027</v>
      </c>
      <c r="D70" s="460" t="s">
        <v>1589</v>
      </c>
      <c r="E70" s="467">
        <v>0</v>
      </c>
      <c r="F70" s="460"/>
      <c r="G70" s="467">
        <v>0</v>
      </c>
      <c r="H70" s="460"/>
      <c r="I70" s="467">
        <v>4880000</v>
      </c>
      <c r="J70" s="460" t="s">
        <v>4873</v>
      </c>
      <c r="K70" s="467">
        <v>0</v>
      </c>
      <c r="L70" s="460"/>
      <c r="M70" s="467">
        <v>0</v>
      </c>
      <c r="N70" s="460"/>
      <c r="O70" s="467">
        <v>4880000</v>
      </c>
      <c r="P70" s="463" t="s">
        <v>4849</v>
      </c>
      <c r="Q70" s="482"/>
      <c r="R70" s="451" t="s">
        <v>4961</v>
      </c>
      <c r="S70" s="433" t="str">
        <f ca="1">HYPERLINK("#"&amp;재료비목록표!G2&amp;"!A"&amp;ROW(재료비목록표!A69),"M01527 →")</f>
        <v>M01527 →</v>
      </c>
      <c r="T70" s="456">
        <v>4880000</v>
      </c>
      <c r="U70" s="527">
        <f t="shared" si="3"/>
        <v>3</v>
      </c>
      <c r="V70" s="509">
        <f t="shared" si="4"/>
        <v>4880000</v>
      </c>
      <c r="W70" s="528" t="str">
        <f t="shared" si="5"/>
        <v>물.정</v>
      </c>
    </row>
    <row r="71" spans="1:23" ht="39.950000000000003" customHeight="1">
      <c r="A71" s="460" t="s">
        <v>4693</v>
      </c>
      <c r="B71" s="452" t="s">
        <v>1384</v>
      </c>
      <c r="C71" s="452" t="s">
        <v>3032</v>
      </c>
      <c r="D71" s="460" t="s">
        <v>1589</v>
      </c>
      <c r="E71" s="467">
        <v>0</v>
      </c>
      <c r="F71" s="460"/>
      <c r="G71" s="467">
        <v>0</v>
      </c>
      <c r="H71" s="460"/>
      <c r="I71" s="467">
        <v>4810000</v>
      </c>
      <c r="J71" s="460" t="s">
        <v>4902</v>
      </c>
      <c r="K71" s="467">
        <v>0</v>
      </c>
      <c r="L71" s="460"/>
      <c r="M71" s="467">
        <v>0</v>
      </c>
      <c r="N71" s="460"/>
      <c r="O71" s="467">
        <v>4810000</v>
      </c>
      <c r="P71" s="463" t="s">
        <v>4849</v>
      </c>
      <c r="Q71" s="482"/>
      <c r="R71" s="451" t="s">
        <v>4962</v>
      </c>
      <c r="S71" s="433" t="str">
        <f ca="1">HYPERLINK("#"&amp;재료비목록표!G2&amp;"!A"&amp;ROW(재료비목록표!A70),"M01534 →")</f>
        <v>M01534 →</v>
      </c>
      <c r="T71" s="456">
        <v>4810000</v>
      </c>
      <c r="U71" s="527">
        <f t="shared" si="3"/>
        <v>3</v>
      </c>
      <c r="V71" s="509">
        <f t="shared" si="4"/>
        <v>4810000</v>
      </c>
      <c r="W71" s="528" t="str">
        <f t="shared" si="5"/>
        <v>물.정</v>
      </c>
    </row>
    <row r="72" spans="1:23" ht="39.950000000000003" customHeight="1">
      <c r="A72" s="460" t="s">
        <v>4694</v>
      </c>
      <c r="B72" s="452" t="s">
        <v>3037</v>
      </c>
      <c r="C72" s="452" t="s">
        <v>1503</v>
      </c>
      <c r="D72" s="460" t="s">
        <v>3038</v>
      </c>
      <c r="E72" s="467">
        <v>0</v>
      </c>
      <c r="F72" s="460"/>
      <c r="G72" s="467">
        <v>10000</v>
      </c>
      <c r="H72" s="460" t="s">
        <v>4963</v>
      </c>
      <c r="I72" s="467">
        <v>8943</v>
      </c>
      <c r="J72" s="460" t="s">
        <v>4964</v>
      </c>
      <c r="K72" s="467">
        <v>0</v>
      </c>
      <c r="L72" s="460"/>
      <c r="M72" s="467">
        <v>0</v>
      </c>
      <c r="N72" s="460"/>
      <c r="O72" s="467">
        <v>8943</v>
      </c>
      <c r="P72" s="463" t="s">
        <v>4849</v>
      </c>
      <c r="Q72" s="482"/>
      <c r="R72" s="451" t="s">
        <v>4965</v>
      </c>
      <c r="S72" s="433" t="str">
        <f ca="1">HYPERLINK("#"&amp;재료비목록표!G2&amp;"!A"&amp;ROW(재료비목록표!A71),"M01004 →")</f>
        <v>M01004 →</v>
      </c>
      <c r="T72" s="456">
        <v>8943</v>
      </c>
      <c r="U72" s="527">
        <f t="shared" si="3"/>
        <v>3</v>
      </c>
      <c r="V72" s="509">
        <f t="shared" si="4"/>
        <v>8943</v>
      </c>
      <c r="W72" s="528" t="str">
        <f t="shared" si="5"/>
        <v>물.정</v>
      </c>
    </row>
    <row r="73" spans="1:23" ht="39.950000000000003" customHeight="1">
      <c r="A73" s="460" t="s">
        <v>4695</v>
      </c>
      <c r="B73" s="452" t="s">
        <v>1389</v>
      </c>
      <c r="C73" s="452" t="s">
        <v>3044</v>
      </c>
      <c r="D73" s="460" t="s">
        <v>1589</v>
      </c>
      <c r="E73" s="467">
        <v>0</v>
      </c>
      <c r="F73" s="460"/>
      <c r="G73" s="467">
        <v>3290000</v>
      </c>
      <c r="H73" s="460" t="s">
        <v>4872</v>
      </c>
      <c r="I73" s="467">
        <v>0</v>
      </c>
      <c r="J73" s="460"/>
      <c r="K73" s="467">
        <v>0</v>
      </c>
      <c r="L73" s="460"/>
      <c r="M73" s="467">
        <v>0</v>
      </c>
      <c r="N73" s="460"/>
      <c r="O73" s="467">
        <v>3290000</v>
      </c>
      <c r="P73" s="463" t="s">
        <v>4844</v>
      </c>
      <c r="Q73" s="482"/>
      <c r="R73" s="451" t="s">
        <v>4966</v>
      </c>
      <c r="S73" s="433" t="str">
        <f ca="1">HYPERLINK("#"&amp;재료비목록표!G2&amp;"!A"&amp;ROW(재료비목록표!A72),"M01528 →")</f>
        <v>M01528 →</v>
      </c>
      <c r="T73" s="456">
        <v>3290000</v>
      </c>
      <c r="U73" s="527">
        <f t="shared" si="3"/>
        <v>2</v>
      </c>
      <c r="V73" s="509">
        <f t="shared" si="4"/>
        <v>3290000</v>
      </c>
      <c r="W73" s="528" t="str">
        <f t="shared" si="5"/>
        <v>물.자</v>
      </c>
    </row>
    <row r="74" spans="1:23" ht="39.950000000000003" customHeight="1">
      <c r="A74" s="460" t="s">
        <v>4696</v>
      </c>
      <c r="B74" s="452" t="s">
        <v>1374</v>
      </c>
      <c r="C74" s="452" t="s">
        <v>3049</v>
      </c>
      <c r="D74" s="460" t="s">
        <v>1589</v>
      </c>
      <c r="E74" s="467">
        <v>0</v>
      </c>
      <c r="F74" s="460"/>
      <c r="G74" s="467">
        <v>0</v>
      </c>
      <c r="H74" s="460"/>
      <c r="I74" s="467">
        <v>6040000</v>
      </c>
      <c r="J74" s="460" t="s">
        <v>4873</v>
      </c>
      <c r="K74" s="467">
        <v>0</v>
      </c>
      <c r="L74" s="460"/>
      <c r="M74" s="467">
        <v>0</v>
      </c>
      <c r="N74" s="460"/>
      <c r="O74" s="467">
        <v>6040000</v>
      </c>
      <c r="P74" s="463" t="s">
        <v>4849</v>
      </c>
      <c r="Q74" s="482"/>
      <c r="R74" s="451" t="s">
        <v>4967</v>
      </c>
      <c r="S74" s="433" t="str">
        <f ca="1">HYPERLINK("#"&amp;재료비목록표!G2&amp;"!A"&amp;ROW(재료비목록표!A73),"M01525 →")</f>
        <v>M01525 →</v>
      </c>
      <c r="T74" s="456">
        <v>6040000</v>
      </c>
      <c r="U74" s="527">
        <f t="shared" si="3"/>
        <v>3</v>
      </c>
      <c r="V74" s="509">
        <f t="shared" si="4"/>
        <v>6040000</v>
      </c>
      <c r="W74" s="528" t="str">
        <f t="shared" si="5"/>
        <v>물.정</v>
      </c>
    </row>
    <row r="75" spans="1:23" ht="39.950000000000003" customHeight="1">
      <c r="A75" s="460" t="s">
        <v>4697</v>
      </c>
      <c r="B75" s="452" t="s">
        <v>2937</v>
      </c>
      <c r="C75" s="452" t="s">
        <v>2933</v>
      </c>
      <c r="D75" s="460" t="s">
        <v>2377</v>
      </c>
      <c r="E75" s="467">
        <v>0</v>
      </c>
      <c r="F75" s="460"/>
      <c r="G75" s="529">
        <v>61.92</v>
      </c>
      <c r="H75" s="460" t="s">
        <v>4936</v>
      </c>
      <c r="I75" s="529">
        <v>53.7</v>
      </c>
      <c r="J75" s="460" t="s">
        <v>4968</v>
      </c>
      <c r="K75" s="467">
        <v>0</v>
      </c>
      <c r="L75" s="460"/>
      <c r="M75" s="467">
        <v>0</v>
      </c>
      <c r="N75" s="460"/>
      <c r="O75" s="529">
        <v>53.7</v>
      </c>
      <c r="P75" s="463" t="s">
        <v>4849</v>
      </c>
      <c r="Q75" s="482"/>
      <c r="R75" s="451" t="s">
        <v>4969</v>
      </c>
      <c r="S75" s="433" t="str">
        <f ca="1">HYPERLINK("#"&amp;재료비목록표!G2&amp;"!A"&amp;ROW(재료비목록표!A74),"M00648 →")</f>
        <v>M00648 →</v>
      </c>
      <c r="T75" s="518">
        <v>53.7</v>
      </c>
      <c r="U75" s="527">
        <f t="shared" si="3"/>
        <v>3</v>
      </c>
      <c r="V75" s="509">
        <f t="shared" si="4"/>
        <v>53.7</v>
      </c>
      <c r="W75" s="528" t="str">
        <f t="shared" si="5"/>
        <v>물.정</v>
      </c>
    </row>
    <row r="76" spans="1:23" ht="39.950000000000003" customHeight="1">
      <c r="A76" s="460" t="s">
        <v>4698</v>
      </c>
      <c r="B76" s="452" t="s">
        <v>3313</v>
      </c>
      <c r="C76" s="452"/>
      <c r="D76" s="460" t="s">
        <v>2431</v>
      </c>
      <c r="E76" s="467">
        <v>0</v>
      </c>
      <c r="F76" s="460"/>
      <c r="G76" s="467">
        <v>7653</v>
      </c>
      <c r="H76" s="460" t="s">
        <v>4895</v>
      </c>
      <c r="I76" s="467">
        <v>6200</v>
      </c>
      <c r="J76" s="460" t="s">
        <v>4970</v>
      </c>
      <c r="K76" s="467">
        <v>0</v>
      </c>
      <c r="L76" s="460"/>
      <c r="M76" s="467">
        <v>0</v>
      </c>
      <c r="N76" s="460"/>
      <c r="O76" s="467">
        <v>6200</v>
      </c>
      <c r="P76" s="463" t="s">
        <v>4849</v>
      </c>
      <c r="Q76" s="482"/>
      <c r="R76" s="451" t="s">
        <v>4971</v>
      </c>
      <c r="S76" s="433" t="str">
        <f ca="1">HYPERLINK("#"&amp;재료비목록표!G2&amp;"!A"&amp;ROW(재료비목록표!A75),"M00743 →")</f>
        <v>M00743 →</v>
      </c>
      <c r="T76" s="456">
        <v>6200</v>
      </c>
      <c r="U76" s="527">
        <f t="shared" si="3"/>
        <v>3</v>
      </c>
      <c r="V76" s="509">
        <f t="shared" si="4"/>
        <v>6200</v>
      </c>
      <c r="W76" s="528" t="str">
        <f t="shared" si="5"/>
        <v>물.정</v>
      </c>
    </row>
    <row r="77" spans="1:23" ht="39.950000000000003" customHeight="1">
      <c r="A77" s="460" t="s">
        <v>4699</v>
      </c>
      <c r="B77" s="452" t="s">
        <v>2922</v>
      </c>
      <c r="C77" s="452" t="s">
        <v>2923</v>
      </c>
      <c r="D77" s="460" t="s">
        <v>605</v>
      </c>
      <c r="E77" s="467">
        <v>0</v>
      </c>
      <c r="F77" s="460"/>
      <c r="G77" s="467">
        <v>7400</v>
      </c>
      <c r="H77" s="460" t="s">
        <v>4857</v>
      </c>
      <c r="I77" s="467">
        <v>0</v>
      </c>
      <c r="J77" s="460"/>
      <c r="K77" s="467">
        <v>0</v>
      </c>
      <c r="L77" s="460"/>
      <c r="M77" s="467">
        <v>0</v>
      </c>
      <c r="N77" s="460"/>
      <c r="O77" s="467">
        <v>7400</v>
      </c>
      <c r="P77" s="463" t="s">
        <v>4844</v>
      </c>
      <c r="Q77" s="482"/>
      <c r="R77" s="451" t="s">
        <v>4972</v>
      </c>
      <c r="S77" s="433" t="str">
        <f ca="1">HYPERLINK("#"&amp;재료비목록표!G2&amp;"!A"&amp;ROW(재료비목록표!A76),"M00960 →")</f>
        <v>M00960 →</v>
      </c>
      <c r="T77" s="456">
        <v>7400</v>
      </c>
      <c r="U77" s="527">
        <f t="shared" si="3"/>
        <v>2</v>
      </c>
      <c r="V77" s="509">
        <f t="shared" si="4"/>
        <v>7400</v>
      </c>
      <c r="W77" s="528" t="str">
        <f t="shared" si="5"/>
        <v>물.자</v>
      </c>
    </row>
    <row r="78" spans="1:23" ht="39.950000000000003" customHeight="1">
      <c r="A78" s="460" t="s">
        <v>4700</v>
      </c>
      <c r="B78" s="452" t="s">
        <v>1394</v>
      </c>
      <c r="C78" s="452" t="s">
        <v>3094</v>
      </c>
      <c r="D78" s="460" t="s">
        <v>1589</v>
      </c>
      <c r="E78" s="467">
        <v>0</v>
      </c>
      <c r="F78" s="460"/>
      <c r="G78" s="467">
        <v>3290000</v>
      </c>
      <c r="H78" s="460" t="s">
        <v>4872</v>
      </c>
      <c r="I78" s="467">
        <v>4900000</v>
      </c>
      <c r="J78" s="460" t="s">
        <v>4873</v>
      </c>
      <c r="K78" s="467">
        <v>0</v>
      </c>
      <c r="L78" s="460"/>
      <c r="M78" s="467">
        <v>0</v>
      </c>
      <c r="N78" s="460"/>
      <c r="O78" s="467">
        <v>3290000</v>
      </c>
      <c r="P78" s="463" t="s">
        <v>4844</v>
      </c>
      <c r="Q78" s="482"/>
      <c r="R78" s="451" t="s">
        <v>4973</v>
      </c>
      <c r="S78" s="433" t="str">
        <f ca="1">HYPERLINK("#"&amp;재료비목록표!G2&amp;"!A"&amp;ROW(재료비목록표!A77),"M01529 →")</f>
        <v>M01529 →</v>
      </c>
      <c r="T78" s="456">
        <v>3290000</v>
      </c>
      <c r="U78" s="527">
        <f t="shared" si="3"/>
        <v>2</v>
      </c>
      <c r="V78" s="509">
        <f t="shared" si="4"/>
        <v>3290000</v>
      </c>
      <c r="W78" s="528" t="str">
        <f t="shared" si="5"/>
        <v>물.자</v>
      </c>
    </row>
    <row r="79" spans="1:23" ht="39.950000000000003" customHeight="1">
      <c r="A79" s="460" t="s">
        <v>3504</v>
      </c>
      <c r="B79" s="452" t="s">
        <v>4701</v>
      </c>
      <c r="C79" s="452" t="s">
        <v>4702</v>
      </c>
      <c r="D79" s="460" t="s">
        <v>4703</v>
      </c>
      <c r="E79" s="467">
        <v>0</v>
      </c>
      <c r="F79" s="460"/>
      <c r="G79" s="467">
        <v>500</v>
      </c>
      <c r="H79" s="460" t="s">
        <v>4974</v>
      </c>
      <c r="I79" s="467">
        <v>675</v>
      </c>
      <c r="J79" s="460" t="s">
        <v>4887</v>
      </c>
      <c r="K79" s="467">
        <v>0</v>
      </c>
      <c r="L79" s="460"/>
      <c r="M79" s="467">
        <v>0</v>
      </c>
      <c r="N79" s="460"/>
      <c r="O79" s="467">
        <v>500</v>
      </c>
      <c r="P79" s="463" t="s">
        <v>4844</v>
      </c>
      <c r="Q79" s="482"/>
      <c r="R79" s="451" t="s">
        <v>4975</v>
      </c>
      <c r="S79" s="433" t="str">
        <f ca="1">HYPERLINK("#"&amp;재료비목록표!G2&amp;"!A"&amp;ROW(재료비목록표!A78),"M01159 →")</f>
        <v>M01159 →</v>
      </c>
      <c r="T79" s="456">
        <v>500</v>
      </c>
      <c r="U79" s="527">
        <f t="shared" si="3"/>
        <v>2</v>
      </c>
      <c r="V79" s="509">
        <f t="shared" si="4"/>
        <v>500</v>
      </c>
      <c r="W79" s="528" t="str">
        <f t="shared" si="5"/>
        <v>물.자</v>
      </c>
    </row>
    <row r="80" spans="1:23" ht="39.950000000000003" customHeight="1">
      <c r="A80" s="460" t="s">
        <v>4704</v>
      </c>
      <c r="B80" s="452" t="s">
        <v>2475</v>
      </c>
      <c r="C80" s="452"/>
      <c r="D80" s="460" t="s">
        <v>2476</v>
      </c>
      <c r="E80" s="467">
        <v>0</v>
      </c>
      <c r="F80" s="460"/>
      <c r="G80" s="467">
        <v>21850</v>
      </c>
      <c r="H80" s="460" t="s">
        <v>4976</v>
      </c>
      <c r="I80" s="467">
        <v>0</v>
      </c>
      <c r="J80" s="460"/>
      <c r="K80" s="467">
        <v>0</v>
      </c>
      <c r="L80" s="460"/>
      <c r="M80" s="467">
        <v>0</v>
      </c>
      <c r="N80" s="460"/>
      <c r="O80" s="467">
        <v>21850</v>
      </c>
      <c r="P80" s="463" t="s">
        <v>4844</v>
      </c>
      <c r="Q80" s="482"/>
      <c r="R80" s="451" t="s">
        <v>4977</v>
      </c>
      <c r="S80" s="433" t="str">
        <f ca="1">HYPERLINK("#"&amp;재료비목록표!G2&amp;"!A"&amp;ROW(재료비목록표!A79),"M08803 →")</f>
        <v>M08803 →</v>
      </c>
      <c r="T80" s="456">
        <v>21850</v>
      </c>
      <c r="U80" s="527">
        <f t="shared" si="3"/>
        <v>2</v>
      </c>
      <c r="V80" s="509">
        <f t="shared" si="4"/>
        <v>21850</v>
      </c>
      <c r="W80" s="528" t="str">
        <f t="shared" si="5"/>
        <v>물.자</v>
      </c>
    </row>
    <row r="81" spans="1:23" ht="39.950000000000003" customHeight="1">
      <c r="A81" s="460" t="s">
        <v>4705</v>
      </c>
      <c r="B81" s="452" t="s">
        <v>2574</v>
      </c>
      <c r="C81" s="452" t="s">
        <v>2632</v>
      </c>
      <c r="D81" s="460" t="s">
        <v>2576</v>
      </c>
      <c r="E81" s="467">
        <v>0</v>
      </c>
      <c r="F81" s="460"/>
      <c r="G81" s="467">
        <v>780000</v>
      </c>
      <c r="H81" s="460" t="s">
        <v>4482</v>
      </c>
      <c r="I81" s="467">
        <v>775000</v>
      </c>
      <c r="J81" s="460" t="s">
        <v>4482</v>
      </c>
      <c r="K81" s="467">
        <v>0</v>
      </c>
      <c r="L81" s="460"/>
      <c r="M81" s="467">
        <v>0</v>
      </c>
      <c r="N81" s="460"/>
      <c r="O81" s="467">
        <v>775000</v>
      </c>
      <c r="P81" s="463" t="s">
        <v>4849</v>
      </c>
      <c r="Q81" s="482"/>
      <c r="R81" s="451" t="s">
        <v>4978</v>
      </c>
      <c r="S81" s="433" t="str">
        <f ca="1">HYPERLINK("#"&amp;재료비목록표!G2&amp;"!A"&amp;ROW(재료비목록표!A80),"M01265 →")</f>
        <v>M01265 →</v>
      </c>
      <c r="T81" s="456">
        <v>775000</v>
      </c>
      <c r="U81" s="527">
        <f t="shared" si="3"/>
        <v>3</v>
      </c>
      <c r="V81" s="509">
        <f t="shared" si="4"/>
        <v>775000</v>
      </c>
      <c r="W81" s="528" t="str">
        <f t="shared" si="5"/>
        <v>물.정</v>
      </c>
    </row>
    <row r="82" spans="1:23" ht="39.950000000000003" customHeight="1">
      <c r="A82" s="460" t="s">
        <v>4706</v>
      </c>
      <c r="B82" s="452" t="s">
        <v>2574</v>
      </c>
      <c r="C82" s="452" t="s">
        <v>2575</v>
      </c>
      <c r="D82" s="460" t="s">
        <v>2576</v>
      </c>
      <c r="E82" s="467">
        <v>0</v>
      </c>
      <c r="F82" s="460"/>
      <c r="G82" s="467">
        <v>775000</v>
      </c>
      <c r="H82" s="460" t="s">
        <v>4482</v>
      </c>
      <c r="I82" s="467">
        <v>765000</v>
      </c>
      <c r="J82" s="460" t="s">
        <v>4482</v>
      </c>
      <c r="K82" s="467">
        <v>0</v>
      </c>
      <c r="L82" s="460"/>
      <c r="M82" s="467">
        <v>0</v>
      </c>
      <c r="N82" s="460"/>
      <c r="O82" s="467">
        <v>765000</v>
      </c>
      <c r="P82" s="463" t="s">
        <v>4849</v>
      </c>
      <c r="Q82" s="482"/>
      <c r="R82" s="451" t="s">
        <v>4979</v>
      </c>
      <c r="S82" s="433" t="str">
        <f ca="1">HYPERLINK("#"&amp;재료비목록표!G2&amp;"!A"&amp;ROW(재료비목록표!A81),"M00150 →")</f>
        <v>M00150 →</v>
      </c>
      <c r="T82" s="456">
        <v>765000</v>
      </c>
      <c r="U82" s="527">
        <f t="shared" si="3"/>
        <v>3</v>
      </c>
      <c r="V82" s="509">
        <f t="shared" si="4"/>
        <v>765000</v>
      </c>
      <c r="W82" s="528" t="str">
        <f t="shared" si="5"/>
        <v>물.정</v>
      </c>
    </row>
    <row r="83" spans="1:23" ht="39.950000000000003" customHeight="1">
      <c r="A83" s="460" t="s">
        <v>4707</v>
      </c>
      <c r="B83" s="452" t="s">
        <v>2574</v>
      </c>
      <c r="C83" s="452" t="s">
        <v>3287</v>
      </c>
      <c r="D83" s="460" t="s">
        <v>2576</v>
      </c>
      <c r="E83" s="467">
        <v>0</v>
      </c>
      <c r="F83" s="460"/>
      <c r="G83" s="467">
        <v>775000</v>
      </c>
      <c r="H83" s="460" t="s">
        <v>4482</v>
      </c>
      <c r="I83" s="467">
        <v>760000</v>
      </c>
      <c r="J83" s="460" t="s">
        <v>4482</v>
      </c>
      <c r="K83" s="467">
        <v>0</v>
      </c>
      <c r="L83" s="460"/>
      <c r="M83" s="467">
        <v>0</v>
      </c>
      <c r="N83" s="460"/>
      <c r="O83" s="467">
        <v>760000</v>
      </c>
      <c r="P83" s="463" t="s">
        <v>4849</v>
      </c>
      <c r="Q83" s="482"/>
      <c r="R83" s="451" t="s">
        <v>4980</v>
      </c>
      <c r="S83" s="433" t="str">
        <f ca="1">HYPERLINK("#"&amp;재료비목록표!G2&amp;"!A"&amp;ROW(재료비목록표!A82),"M00691 →")</f>
        <v>M00691 →</v>
      </c>
      <c r="T83" s="456">
        <v>760000</v>
      </c>
      <c r="U83" s="527">
        <f t="shared" si="3"/>
        <v>3</v>
      </c>
      <c r="V83" s="509">
        <f t="shared" si="4"/>
        <v>760000</v>
      </c>
      <c r="W83" s="528" t="str">
        <f t="shared" si="5"/>
        <v>물.정</v>
      </c>
    </row>
    <row r="84" spans="1:23" ht="39.950000000000003" customHeight="1">
      <c r="A84" s="460" t="s">
        <v>4708</v>
      </c>
      <c r="B84" s="452" t="s">
        <v>3324</v>
      </c>
      <c r="C84" s="452" t="s">
        <v>3325</v>
      </c>
      <c r="D84" s="460" t="s">
        <v>8</v>
      </c>
      <c r="E84" s="467">
        <v>0</v>
      </c>
      <c r="F84" s="460"/>
      <c r="G84" s="467">
        <v>25000</v>
      </c>
      <c r="H84" s="460" t="s">
        <v>4905</v>
      </c>
      <c r="I84" s="467">
        <v>0</v>
      </c>
      <c r="J84" s="460"/>
      <c r="K84" s="467">
        <v>0</v>
      </c>
      <c r="L84" s="460"/>
      <c r="M84" s="467">
        <v>0</v>
      </c>
      <c r="N84" s="460"/>
      <c r="O84" s="467">
        <v>25000</v>
      </c>
      <c r="P84" s="463" t="s">
        <v>4844</v>
      </c>
      <c r="Q84" s="482"/>
      <c r="R84" s="451" t="s">
        <v>4981</v>
      </c>
      <c r="S84" s="433" t="str">
        <f ca="1">HYPERLINK("#"&amp;재료비목록표!G2&amp;"!A"&amp;ROW(재료비목록표!A83),"M00957 →")</f>
        <v>M00957 →</v>
      </c>
      <c r="T84" s="456">
        <v>25000</v>
      </c>
      <c r="U84" s="527">
        <f t="shared" si="3"/>
        <v>2</v>
      </c>
      <c r="V84" s="509">
        <f t="shared" si="4"/>
        <v>25000</v>
      </c>
      <c r="W84" s="528" t="str">
        <f t="shared" si="5"/>
        <v>물.자</v>
      </c>
    </row>
    <row r="85" spans="1:23" ht="39.950000000000003" customHeight="1">
      <c r="A85" s="460" t="s">
        <v>4709</v>
      </c>
      <c r="B85" s="452" t="s">
        <v>1399</v>
      </c>
      <c r="C85" s="452" t="s">
        <v>3117</v>
      </c>
      <c r="D85" s="460" t="s">
        <v>1589</v>
      </c>
      <c r="E85" s="467">
        <v>0</v>
      </c>
      <c r="F85" s="460"/>
      <c r="G85" s="467">
        <v>4600000</v>
      </c>
      <c r="H85" s="460" t="s">
        <v>4872</v>
      </c>
      <c r="I85" s="467">
        <v>6210000</v>
      </c>
      <c r="J85" s="460" t="s">
        <v>4873</v>
      </c>
      <c r="K85" s="467">
        <v>0</v>
      </c>
      <c r="L85" s="460"/>
      <c r="M85" s="467">
        <v>0</v>
      </c>
      <c r="N85" s="460"/>
      <c r="O85" s="467">
        <v>4600000</v>
      </c>
      <c r="P85" s="463" t="s">
        <v>4844</v>
      </c>
      <c r="Q85" s="482"/>
      <c r="R85" s="451" t="s">
        <v>4982</v>
      </c>
      <c r="S85" s="433" t="str">
        <f ca="1">HYPERLINK("#"&amp;재료비목록표!G2&amp;"!A"&amp;ROW(재료비목록표!A84),"M01526 →")</f>
        <v>M01526 →</v>
      </c>
      <c r="T85" s="456">
        <v>4600000</v>
      </c>
      <c r="U85" s="527">
        <f t="shared" si="3"/>
        <v>2</v>
      </c>
      <c r="V85" s="509">
        <f t="shared" si="4"/>
        <v>4600000</v>
      </c>
      <c r="W85" s="528" t="str">
        <f t="shared" si="5"/>
        <v>물.자</v>
      </c>
    </row>
    <row r="86" spans="1:23" ht="39.950000000000003" customHeight="1">
      <c r="A86" s="460" t="s">
        <v>4710</v>
      </c>
      <c r="B86" s="452" t="s">
        <v>4711</v>
      </c>
      <c r="C86" s="452" t="s">
        <v>3122</v>
      </c>
      <c r="D86" s="460" t="s">
        <v>1589</v>
      </c>
      <c r="E86" s="467">
        <v>0</v>
      </c>
      <c r="F86" s="460"/>
      <c r="G86" s="467">
        <v>0</v>
      </c>
      <c r="H86" s="460"/>
      <c r="I86" s="467">
        <v>5180000</v>
      </c>
      <c r="J86" s="460" t="s">
        <v>4873</v>
      </c>
      <c r="K86" s="467">
        <v>0</v>
      </c>
      <c r="L86" s="460"/>
      <c r="M86" s="467">
        <v>0</v>
      </c>
      <c r="N86" s="460"/>
      <c r="O86" s="467">
        <v>5180000</v>
      </c>
      <c r="P86" s="463" t="s">
        <v>4849</v>
      </c>
      <c r="Q86" s="482"/>
      <c r="R86" s="451" t="s">
        <v>4983</v>
      </c>
      <c r="S86" s="433" t="str">
        <f ca="1">HYPERLINK("#"&amp;재료비목록표!G2&amp;"!A"&amp;ROW(재료비목록표!A85),"M01545 →")</f>
        <v>M01545 →</v>
      </c>
      <c r="T86" s="456">
        <v>5180000</v>
      </c>
      <c r="U86" s="527">
        <f t="shared" si="3"/>
        <v>3</v>
      </c>
      <c r="V86" s="509">
        <f t="shared" si="4"/>
        <v>5180000</v>
      </c>
      <c r="W86" s="528" t="str">
        <f t="shared" si="5"/>
        <v>물.정</v>
      </c>
    </row>
    <row r="87" spans="1:23" ht="39.950000000000003" customHeight="1">
      <c r="A87" s="460" t="s">
        <v>4712</v>
      </c>
      <c r="B87" s="452" t="s">
        <v>3127</v>
      </c>
      <c r="C87" s="452" t="s">
        <v>3128</v>
      </c>
      <c r="D87" s="460" t="s">
        <v>3129</v>
      </c>
      <c r="E87" s="467">
        <v>0</v>
      </c>
      <c r="F87" s="460"/>
      <c r="G87" s="467">
        <v>0</v>
      </c>
      <c r="H87" s="460" t="s">
        <v>4984</v>
      </c>
      <c r="I87" s="467">
        <v>270</v>
      </c>
      <c r="J87" s="460" t="s">
        <v>4985</v>
      </c>
      <c r="K87" s="467">
        <v>0</v>
      </c>
      <c r="L87" s="460"/>
      <c r="M87" s="467">
        <v>0</v>
      </c>
      <c r="N87" s="460"/>
      <c r="O87" s="467">
        <v>270</v>
      </c>
      <c r="P87" s="463" t="s">
        <v>4849</v>
      </c>
      <c r="Q87" s="482"/>
      <c r="R87" s="451" t="s">
        <v>4986</v>
      </c>
      <c r="S87" s="433" t="str">
        <f ca="1">HYPERLINK("#"&amp;재료비목록표!G2&amp;"!A"&amp;ROW(재료비목록표!A86),"M00982 →")</f>
        <v>M00982 →</v>
      </c>
      <c r="T87" s="456">
        <v>270</v>
      </c>
      <c r="U87" s="527">
        <f t="shared" si="3"/>
        <v>3</v>
      </c>
      <c r="V87" s="509">
        <f t="shared" si="4"/>
        <v>270</v>
      </c>
      <c r="W87" s="528" t="str">
        <f t="shared" si="5"/>
        <v>물.정</v>
      </c>
    </row>
    <row r="88" spans="1:23" ht="39.950000000000003" customHeight="1">
      <c r="A88" s="460" t="s">
        <v>4713</v>
      </c>
      <c r="B88" s="452" t="s">
        <v>3239</v>
      </c>
      <c r="C88" s="452" t="s">
        <v>3240</v>
      </c>
      <c r="D88" s="460" t="s">
        <v>8</v>
      </c>
      <c r="E88" s="467">
        <v>0</v>
      </c>
      <c r="F88" s="460"/>
      <c r="G88" s="467">
        <v>25000</v>
      </c>
      <c r="H88" s="460" t="s">
        <v>4905</v>
      </c>
      <c r="I88" s="467">
        <v>0</v>
      </c>
      <c r="J88" s="460" t="s">
        <v>4906</v>
      </c>
      <c r="K88" s="467">
        <v>0</v>
      </c>
      <c r="L88" s="460"/>
      <c r="M88" s="467">
        <v>0</v>
      </c>
      <c r="N88" s="460"/>
      <c r="O88" s="467">
        <v>25000</v>
      </c>
      <c r="P88" s="463" t="s">
        <v>4844</v>
      </c>
      <c r="Q88" s="482"/>
      <c r="R88" s="451" t="s">
        <v>4987</v>
      </c>
      <c r="S88" s="433" t="str">
        <f ca="1">HYPERLINK("#"&amp;재료비목록표!G2&amp;"!A"&amp;ROW(재료비목록표!A87),"M01154 →")</f>
        <v>M01154 →</v>
      </c>
      <c r="T88" s="456">
        <v>25000</v>
      </c>
      <c r="U88" s="527">
        <f t="shared" si="3"/>
        <v>2</v>
      </c>
      <c r="V88" s="509">
        <f t="shared" si="4"/>
        <v>25000</v>
      </c>
      <c r="W88" s="528" t="str">
        <f t="shared" si="5"/>
        <v>물.자</v>
      </c>
    </row>
    <row r="89" spans="1:23" ht="39.950000000000003" customHeight="1">
      <c r="A89" s="460" t="s">
        <v>4714</v>
      </c>
      <c r="B89" s="452" t="s">
        <v>3271</v>
      </c>
      <c r="C89" s="452" t="s">
        <v>3272</v>
      </c>
      <c r="D89" s="460" t="s">
        <v>911</v>
      </c>
      <c r="E89" s="467">
        <v>0</v>
      </c>
      <c r="F89" s="460"/>
      <c r="G89" s="467">
        <v>5990</v>
      </c>
      <c r="H89" s="460" t="s">
        <v>4988</v>
      </c>
      <c r="I89" s="467">
        <v>6128</v>
      </c>
      <c r="J89" s="460" t="s">
        <v>4968</v>
      </c>
      <c r="K89" s="467">
        <v>0</v>
      </c>
      <c r="L89" s="460"/>
      <c r="M89" s="467">
        <v>0</v>
      </c>
      <c r="N89" s="460"/>
      <c r="O89" s="467">
        <v>5990</v>
      </c>
      <c r="P89" s="463" t="s">
        <v>4844</v>
      </c>
      <c r="Q89" s="482"/>
      <c r="R89" s="451" t="s">
        <v>4989</v>
      </c>
      <c r="S89" s="433" t="str">
        <f ca="1">HYPERLINK("#"&amp;재료비목록표!G2&amp;"!A"&amp;ROW(재료비목록표!A88),"M01158 →")</f>
        <v>M01158 →</v>
      </c>
      <c r="T89" s="456">
        <v>5990</v>
      </c>
      <c r="U89" s="527">
        <f t="shared" si="3"/>
        <v>2</v>
      </c>
      <c r="V89" s="509">
        <f t="shared" si="4"/>
        <v>5990</v>
      </c>
      <c r="W89" s="528" t="str">
        <f t="shared" si="5"/>
        <v>물.자</v>
      </c>
    </row>
    <row r="90" spans="1:23" ht="39.950000000000003" customHeight="1">
      <c r="A90" s="460" t="s">
        <v>4715</v>
      </c>
      <c r="B90" s="452" t="s">
        <v>3102</v>
      </c>
      <c r="C90" s="452" t="s">
        <v>3103</v>
      </c>
      <c r="D90" s="460" t="s">
        <v>2431</v>
      </c>
      <c r="E90" s="467">
        <v>0</v>
      </c>
      <c r="F90" s="460"/>
      <c r="G90" s="467">
        <v>5888</v>
      </c>
      <c r="H90" s="460" t="s">
        <v>4990</v>
      </c>
      <c r="I90" s="467">
        <v>5888</v>
      </c>
      <c r="J90" s="460" t="s">
        <v>4991</v>
      </c>
      <c r="K90" s="467">
        <v>0</v>
      </c>
      <c r="L90" s="460"/>
      <c r="M90" s="467">
        <v>0</v>
      </c>
      <c r="N90" s="460"/>
      <c r="O90" s="467">
        <v>5888</v>
      </c>
      <c r="P90" s="463" t="s">
        <v>4844</v>
      </c>
      <c r="Q90" s="482"/>
      <c r="R90" s="451" t="s">
        <v>4992</v>
      </c>
      <c r="S90" s="433" t="str">
        <f ca="1">HYPERLINK("#"&amp;재료비목록표!G2&amp;"!A"&amp;ROW(재료비목록표!A89),"M08804 →")</f>
        <v>M08804 →</v>
      </c>
      <c r="T90" s="456">
        <v>5888</v>
      </c>
      <c r="U90" s="527">
        <f t="shared" si="3"/>
        <v>2</v>
      </c>
      <c r="V90" s="509">
        <f t="shared" si="4"/>
        <v>5888</v>
      </c>
      <c r="W90" s="528" t="str">
        <f t="shared" si="5"/>
        <v>물.자</v>
      </c>
    </row>
    <row r="91" spans="1:23" ht="39.950000000000003" customHeight="1">
      <c r="A91" s="460" t="s">
        <v>4716</v>
      </c>
      <c r="B91" s="452" t="s">
        <v>3191</v>
      </c>
      <c r="C91" s="452" t="s">
        <v>3192</v>
      </c>
      <c r="D91" s="460" t="s">
        <v>2377</v>
      </c>
      <c r="E91" s="467">
        <v>0</v>
      </c>
      <c r="F91" s="460"/>
      <c r="G91" s="467">
        <v>2508000</v>
      </c>
      <c r="H91" s="460" t="s">
        <v>4869</v>
      </c>
      <c r="I91" s="467">
        <v>0</v>
      </c>
      <c r="J91" s="460"/>
      <c r="K91" s="467">
        <v>0</v>
      </c>
      <c r="L91" s="460"/>
      <c r="M91" s="467">
        <v>0</v>
      </c>
      <c r="N91" s="460"/>
      <c r="O91" s="467">
        <v>2508000</v>
      </c>
      <c r="P91" s="463" t="s">
        <v>4844</v>
      </c>
      <c r="Q91" s="482"/>
      <c r="R91" s="451" t="s">
        <v>4993</v>
      </c>
      <c r="S91" s="433" t="str">
        <f ca="1">HYPERLINK("#"&amp;재료비목록표!G2&amp;"!A"&amp;ROW(재료비목록표!A90),"M01607 →")</f>
        <v>M01607 →</v>
      </c>
      <c r="T91" s="456">
        <v>2508000</v>
      </c>
      <c r="U91" s="527">
        <f t="shared" si="3"/>
        <v>2</v>
      </c>
      <c r="V91" s="509">
        <f t="shared" si="4"/>
        <v>2508000</v>
      </c>
      <c r="W91" s="528" t="str">
        <f t="shared" si="5"/>
        <v>물.자</v>
      </c>
    </row>
    <row r="92" spans="1:23" ht="39.950000000000003" customHeight="1">
      <c r="A92" s="460" t="s">
        <v>3634</v>
      </c>
      <c r="B92" s="452" t="s">
        <v>4717</v>
      </c>
      <c r="C92" s="452" t="s">
        <v>4718</v>
      </c>
      <c r="D92" s="460" t="s">
        <v>4719</v>
      </c>
      <c r="E92" s="467">
        <v>0</v>
      </c>
      <c r="F92" s="460"/>
      <c r="G92" s="467">
        <v>11000</v>
      </c>
      <c r="H92" s="460" t="s">
        <v>4994</v>
      </c>
      <c r="I92" s="467">
        <v>11000</v>
      </c>
      <c r="J92" s="460" t="s">
        <v>4995</v>
      </c>
      <c r="K92" s="467">
        <v>0</v>
      </c>
      <c r="L92" s="460"/>
      <c r="M92" s="467">
        <v>0</v>
      </c>
      <c r="N92" s="460"/>
      <c r="O92" s="467">
        <v>11000</v>
      </c>
      <c r="P92" s="463" t="s">
        <v>4844</v>
      </c>
      <c r="Q92" s="482"/>
      <c r="R92" s="451" t="s">
        <v>4996</v>
      </c>
      <c r="S92" s="433" t="str">
        <f ca="1">HYPERLINK("#"&amp;재료비목록표!G2&amp;"!A"&amp;ROW(재료비목록표!A91),"M08849 →")</f>
        <v>M08849 →</v>
      </c>
      <c r="T92" s="456">
        <v>11000</v>
      </c>
      <c r="U92" s="527">
        <f t="shared" si="3"/>
        <v>2</v>
      </c>
      <c r="V92" s="509">
        <f t="shared" si="4"/>
        <v>11000</v>
      </c>
      <c r="W92" s="528" t="str">
        <f t="shared" si="5"/>
        <v>물.자</v>
      </c>
    </row>
    <row r="93" spans="1:23" ht="39.950000000000003" customHeight="1">
      <c r="A93" s="460" t="s">
        <v>3564</v>
      </c>
      <c r="B93" s="452" t="s">
        <v>4717</v>
      </c>
      <c r="C93" s="452" t="s">
        <v>4720</v>
      </c>
      <c r="D93" s="460" t="s">
        <v>4719</v>
      </c>
      <c r="E93" s="467">
        <v>0</v>
      </c>
      <c r="F93" s="460"/>
      <c r="G93" s="467">
        <v>13400</v>
      </c>
      <c r="H93" s="460" t="s">
        <v>4994</v>
      </c>
      <c r="I93" s="467">
        <v>13400</v>
      </c>
      <c r="J93" s="460" t="s">
        <v>4995</v>
      </c>
      <c r="K93" s="467">
        <v>0</v>
      </c>
      <c r="L93" s="460"/>
      <c r="M93" s="467">
        <v>0</v>
      </c>
      <c r="N93" s="460"/>
      <c r="O93" s="467">
        <v>13400</v>
      </c>
      <c r="P93" s="463" t="s">
        <v>4844</v>
      </c>
      <c r="Q93" s="482"/>
      <c r="R93" s="451" t="s">
        <v>4997</v>
      </c>
      <c r="S93" s="433" t="str">
        <f ca="1">HYPERLINK("#"&amp;재료비목록표!G2&amp;"!A"&amp;ROW(재료비목록표!A92),"M08850 →")</f>
        <v>M08850 →</v>
      </c>
      <c r="T93" s="456">
        <v>13400</v>
      </c>
      <c r="U93" s="527">
        <f t="shared" si="3"/>
        <v>2</v>
      </c>
      <c r="V93" s="509">
        <f t="shared" si="4"/>
        <v>13400</v>
      </c>
      <c r="W93" s="528" t="str">
        <f t="shared" si="5"/>
        <v>물.자</v>
      </c>
    </row>
    <row r="94" spans="1:23" ht="39.950000000000003" customHeight="1">
      <c r="A94" s="460" t="s">
        <v>3605</v>
      </c>
      <c r="B94" s="452" t="s">
        <v>4717</v>
      </c>
      <c r="C94" s="452" t="s">
        <v>4721</v>
      </c>
      <c r="D94" s="460" t="s">
        <v>4719</v>
      </c>
      <c r="E94" s="467">
        <v>0</v>
      </c>
      <c r="F94" s="460"/>
      <c r="G94" s="467">
        <v>32000</v>
      </c>
      <c r="H94" s="460" t="s">
        <v>4994</v>
      </c>
      <c r="I94" s="467">
        <v>32000</v>
      </c>
      <c r="J94" s="460" t="s">
        <v>4995</v>
      </c>
      <c r="K94" s="467">
        <v>0</v>
      </c>
      <c r="L94" s="460"/>
      <c r="M94" s="467">
        <v>0</v>
      </c>
      <c r="N94" s="460"/>
      <c r="O94" s="467">
        <v>32000</v>
      </c>
      <c r="P94" s="463" t="s">
        <v>4844</v>
      </c>
      <c r="Q94" s="482"/>
      <c r="R94" s="451" t="s">
        <v>4998</v>
      </c>
      <c r="S94" s="433" t="str">
        <f ca="1">HYPERLINK("#"&amp;재료비목록표!G2&amp;"!A"&amp;ROW(재료비목록표!A93),"M08851 →")</f>
        <v>M08851 →</v>
      </c>
      <c r="T94" s="456">
        <v>32000</v>
      </c>
      <c r="U94" s="527">
        <f t="shared" si="3"/>
        <v>2</v>
      </c>
      <c r="V94" s="509">
        <f t="shared" si="4"/>
        <v>32000</v>
      </c>
      <c r="W94" s="528" t="str">
        <f t="shared" si="5"/>
        <v>물.자</v>
      </c>
    </row>
    <row r="95" spans="1:23" ht="39.950000000000003" customHeight="1">
      <c r="A95" s="460" t="s">
        <v>3628</v>
      </c>
      <c r="B95" s="452" t="s">
        <v>4717</v>
      </c>
      <c r="C95" s="452" t="s">
        <v>4722</v>
      </c>
      <c r="D95" s="460" t="s">
        <v>4719</v>
      </c>
      <c r="E95" s="467">
        <v>0</v>
      </c>
      <c r="F95" s="460"/>
      <c r="G95" s="467">
        <v>7300</v>
      </c>
      <c r="H95" s="460" t="s">
        <v>4994</v>
      </c>
      <c r="I95" s="467">
        <v>7300</v>
      </c>
      <c r="J95" s="460" t="s">
        <v>4995</v>
      </c>
      <c r="K95" s="467">
        <v>0</v>
      </c>
      <c r="L95" s="460"/>
      <c r="M95" s="467">
        <v>0</v>
      </c>
      <c r="N95" s="460"/>
      <c r="O95" s="467">
        <v>7300</v>
      </c>
      <c r="P95" s="463" t="s">
        <v>4844</v>
      </c>
      <c r="Q95" s="482"/>
      <c r="R95" s="451" t="s">
        <v>4999</v>
      </c>
      <c r="S95" s="433" t="str">
        <f ca="1">HYPERLINK("#"&amp;재료비목록표!G2&amp;"!A"&amp;ROW(재료비목록표!A94),"M08848 →")</f>
        <v>M08848 →</v>
      </c>
      <c r="T95" s="456">
        <v>7300</v>
      </c>
      <c r="U95" s="527">
        <f t="shared" si="3"/>
        <v>2</v>
      </c>
      <c r="V95" s="509">
        <f t="shared" si="4"/>
        <v>7300</v>
      </c>
      <c r="W95" s="528" t="str">
        <f t="shared" si="5"/>
        <v>물.자</v>
      </c>
    </row>
    <row r="96" spans="1:23" ht="39.950000000000003" customHeight="1">
      <c r="A96" s="460" t="s">
        <v>4723</v>
      </c>
      <c r="B96" s="452" t="s">
        <v>2811</v>
      </c>
      <c r="C96" s="452" t="s">
        <v>2812</v>
      </c>
      <c r="D96" s="460" t="s">
        <v>2377</v>
      </c>
      <c r="E96" s="467">
        <v>0</v>
      </c>
      <c r="F96" s="460"/>
      <c r="G96" s="467">
        <v>0</v>
      </c>
      <c r="H96" s="460"/>
      <c r="I96" s="467">
        <v>141000</v>
      </c>
      <c r="J96" s="460" t="s">
        <v>5000</v>
      </c>
      <c r="K96" s="467">
        <v>0</v>
      </c>
      <c r="L96" s="460"/>
      <c r="M96" s="467">
        <v>0</v>
      </c>
      <c r="N96" s="460"/>
      <c r="O96" s="467">
        <v>141000</v>
      </c>
      <c r="P96" s="463" t="s">
        <v>4849</v>
      </c>
      <c r="Q96" s="482"/>
      <c r="R96" s="451" t="s">
        <v>5001</v>
      </c>
      <c r="S96" s="433" t="str">
        <f ca="1">HYPERLINK("#"&amp;재료비목록표!G2&amp;"!A"&amp;ROW(재료비목록표!A95),"M08791 →")</f>
        <v>M08791 →</v>
      </c>
      <c r="T96" s="456">
        <v>141000</v>
      </c>
      <c r="U96" s="527">
        <f t="shared" si="3"/>
        <v>3</v>
      </c>
      <c r="V96" s="509">
        <f t="shared" si="4"/>
        <v>141000</v>
      </c>
      <c r="W96" s="528" t="str">
        <f t="shared" si="5"/>
        <v>물.정</v>
      </c>
    </row>
    <row r="97" spans="1:23" ht="39.950000000000003" customHeight="1">
      <c r="A97" s="460" t="s">
        <v>4724</v>
      </c>
      <c r="B97" s="452" t="s">
        <v>2466</v>
      </c>
      <c r="C97" s="452" t="s">
        <v>2467</v>
      </c>
      <c r="D97" s="460" t="s">
        <v>595</v>
      </c>
      <c r="E97" s="467">
        <v>0</v>
      </c>
      <c r="F97" s="460"/>
      <c r="G97" s="467">
        <v>50600</v>
      </c>
      <c r="H97" s="460" t="s">
        <v>4908</v>
      </c>
      <c r="I97" s="467">
        <v>112000</v>
      </c>
      <c r="J97" s="460" t="s">
        <v>5002</v>
      </c>
      <c r="K97" s="467">
        <v>0</v>
      </c>
      <c r="L97" s="460"/>
      <c r="M97" s="467">
        <v>0</v>
      </c>
      <c r="N97" s="460"/>
      <c r="O97" s="467">
        <v>50600</v>
      </c>
      <c r="P97" s="463" t="s">
        <v>4844</v>
      </c>
      <c r="Q97" s="482"/>
      <c r="R97" s="451" t="s">
        <v>5003</v>
      </c>
      <c r="S97" s="433" t="str">
        <f ca="1">HYPERLINK("#"&amp;재료비목록표!G2&amp;"!A"&amp;ROW(재료비목록표!A96),"M08842 →")</f>
        <v>M08842 →</v>
      </c>
      <c r="T97" s="456">
        <v>50600</v>
      </c>
      <c r="U97" s="527">
        <f t="shared" si="3"/>
        <v>2</v>
      </c>
      <c r="V97" s="509">
        <f t="shared" si="4"/>
        <v>50600</v>
      </c>
      <c r="W97" s="528" t="str">
        <f t="shared" si="5"/>
        <v>물.자</v>
      </c>
    </row>
    <row r="98" spans="1:23" ht="39.950000000000003" customHeight="1">
      <c r="A98" s="460" t="s">
        <v>4725</v>
      </c>
      <c r="B98" s="452" t="s">
        <v>2975</v>
      </c>
      <c r="C98" s="452" t="s">
        <v>2976</v>
      </c>
      <c r="D98" s="460" t="s">
        <v>2377</v>
      </c>
      <c r="E98" s="467">
        <v>0</v>
      </c>
      <c r="F98" s="460"/>
      <c r="G98" s="467">
        <v>62400</v>
      </c>
      <c r="H98" s="460" t="s">
        <v>4988</v>
      </c>
      <c r="I98" s="467">
        <v>0</v>
      </c>
      <c r="J98" s="460"/>
      <c r="K98" s="467">
        <v>0</v>
      </c>
      <c r="L98" s="460"/>
      <c r="M98" s="467">
        <v>0</v>
      </c>
      <c r="N98" s="460"/>
      <c r="O98" s="467">
        <v>62400</v>
      </c>
      <c r="P98" s="463" t="s">
        <v>4844</v>
      </c>
      <c r="Q98" s="482"/>
      <c r="R98" s="451" t="s">
        <v>5004</v>
      </c>
      <c r="S98" s="433" t="str">
        <f ca="1">HYPERLINK("#"&amp;재료비목록표!G2&amp;"!A"&amp;ROW(재료비목록표!A97),"M01306 →")</f>
        <v>M01306 →</v>
      </c>
      <c r="T98" s="456">
        <v>62400</v>
      </c>
      <c r="U98" s="527">
        <f t="shared" si="3"/>
        <v>2</v>
      </c>
      <c r="V98" s="509">
        <f t="shared" si="4"/>
        <v>62400</v>
      </c>
      <c r="W98" s="528" t="str">
        <f t="shared" si="5"/>
        <v>물.자</v>
      </c>
    </row>
    <row r="99" spans="1:23" ht="39.950000000000003" customHeight="1">
      <c r="A99" s="460" t="s">
        <v>4726</v>
      </c>
      <c r="B99" s="452" t="s">
        <v>2700</v>
      </c>
      <c r="C99" s="452" t="s">
        <v>2701</v>
      </c>
      <c r="D99" s="460" t="s">
        <v>911</v>
      </c>
      <c r="E99" s="467">
        <v>0</v>
      </c>
      <c r="F99" s="460"/>
      <c r="G99" s="467">
        <v>33900</v>
      </c>
      <c r="H99" s="460" t="s">
        <v>5005</v>
      </c>
      <c r="I99" s="467">
        <v>39390</v>
      </c>
      <c r="J99" s="460" t="s">
        <v>4931</v>
      </c>
      <c r="K99" s="467">
        <v>0</v>
      </c>
      <c r="L99" s="460"/>
      <c r="M99" s="467">
        <v>0</v>
      </c>
      <c r="N99" s="460"/>
      <c r="O99" s="467">
        <v>33900</v>
      </c>
      <c r="P99" s="463" t="s">
        <v>4844</v>
      </c>
      <c r="Q99" s="482"/>
      <c r="R99" s="451" t="s">
        <v>5006</v>
      </c>
      <c r="S99" s="433" t="str">
        <f ca="1">HYPERLINK("#"&amp;재료비목록표!G2&amp;"!A"&amp;ROW(재료비목록표!A98),"M01082 →")</f>
        <v>M01082 →</v>
      </c>
      <c r="T99" s="456">
        <v>33900</v>
      </c>
      <c r="U99" s="527">
        <f t="shared" si="3"/>
        <v>2</v>
      </c>
      <c r="V99" s="509">
        <f t="shared" si="4"/>
        <v>33900</v>
      </c>
      <c r="W99" s="528" t="str">
        <f t="shared" si="5"/>
        <v>물.자</v>
      </c>
    </row>
    <row r="100" spans="1:23" ht="39.950000000000003" customHeight="1">
      <c r="A100" s="460" t="s">
        <v>4727</v>
      </c>
      <c r="B100" s="452" t="s">
        <v>2700</v>
      </c>
      <c r="C100" s="452" t="s">
        <v>2726</v>
      </c>
      <c r="D100" s="460" t="s">
        <v>911</v>
      </c>
      <c r="E100" s="467">
        <v>0</v>
      </c>
      <c r="F100" s="460"/>
      <c r="G100" s="467">
        <v>77500</v>
      </c>
      <c r="H100" s="460" t="s">
        <v>5005</v>
      </c>
      <c r="I100" s="467">
        <v>95150</v>
      </c>
      <c r="J100" s="460" t="s">
        <v>4931</v>
      </c>
      <c r="K100" s="467">
        <v>0</v>
      </c>
      <c r="L100" s="460"/>
      <c r="M100" s="467">
        <v>0</v>
      </c>
      <c r="N100" s="460"/>
      <c r="O100" s="467">
        <v>77500</v>
      </c>
      <c r="P100" s="463" t="s">
        <v>4844</v>
      </c>
      <c r="Q100" s="482"/>
      <c r="R100" s="451" t="s">
        <v>5007</v>
      </c>
      <c r="S100" s="433" t="str">
        <f ca="1">HYPERLINK("#"&amp;재료비목록표!G2&amp;"!A"&amp;ROW(재료비목록표!A99),"M01081 →")</f>
        <v>M01081 →</v>
      </c>
      <c r="T100" s="456">
        <v>77500</v>
      </c>
      <c r="U100" s="527">
        <f t="shared" si="3"/>
        <v>2</v>
      </c>
      <c r="V100" s="509">
        <f t="shared" si="4"/>
        <v>77500</v>
      </c>
      <c r="W100" s="528" t="str">
        <f t="shared" si="5"/>
        <v>물.자</v>
      </c>
    </row>
    <row r="101" spans="1:23" ht="39.950000000000003" customHeight="1">
      <c r="A101" s="460" t="s">
        <v>4728</v>
      </c>
      <c r="B101" s="452" t="s">
        <v>2666</v>
      </c>
      <c r="C101" s="452"/>
      <c r="D101" s="460" t="s">
        <v>2611</v>
      </c>
      <c r="E101" s="467">
        <v>0</v>
      </c>
      <c r="F101" s="460"/>
      <c r="G101" s="467">
        <v>1460</v>
      </c>
      <c r="H101" s="460" t="s">
        <v>5008</v>
      </c>
      <c r="I101" s="467">
        <v>1496</v>
      </c>
      <c r="J101" s="460" t="s">
        <v>4951</v>
      </c>
      <c r="K101" s="467">
        <v>0</v>
      </c>
      <c r="L101" s="460"/>
      <c r="M101" s="467">
        <v>0</v>
      </c>
      <c r="N101" s="460"/>
      <c r="O101" s="467">
        <v>1460</v>
      </c>
      <c r="P101" s="463" t="s">
        <v>4844</v>
      </c>
      <c r="Q101" s="482"/>
      <c r="R101" s="451" t="s">
        <v>5009</v>
      </c>
      <c r="S101" s="433" t="str">
        <f ca="1">HYPERLINK("#"&amp;재료비목록표!G2&amp;"!A"&amp;ROW(재료비목록표!A100),"M00993 →")</f>
        <v>M00993 →</v>
      </c>
      <c r="T101" s="456">
        <v>1460</v>
      </c>
      <c r="U101" s="527">
        <f t="shared" si="3"/>
        <v>2</v>
      </c>
      <c r="V101" s="509">
        <f t="shared" si="4"/>
        <v>1460</v>
      </c>
      <c r="W101" s="528" t="str">
        <f t="shared" si="5"/>
        <v>물.자</v>
      </c>
    </row>
    <row r="102" spans="1:23" ht="39.950000000000003" customHeight="1">
      <c r="A102" s="460" t="s">
        <v>4729</v>
      </c>
      <c r="B102" s="452" t="s">
        <v>3302</v>
      </c>
      <c r="C102" s="452" t="s">
        <v>3303</v>
      </c>
      <c r="D102" s="460" t="s">
        <v>1589</v>
      </c>
      <c r="E102" s="467">
        <v>0</v>
      </c>
      <c r="F102" s="460"/>
      <c r="G102" s="467">
        <v>338000</v>
      </c>
      <c r="H102" s="460" t="s">
        <v>4901</v>
      </c>
      <c r="I102" s="467">
        <v>440000</v>
      </c>
      <c r="J102" s="460" t="s">
        <v>4902</v>
      </c>
      <c r="K102" s="467">
        <v>0</v>
      </c>
      <c r="L102" s="460"/>
      <c r="M102" s="467">
        <v>0</v>
      </c>
      <c r="N102" s="460"/>
      <c r="O102" s="467">
        <v>338000</v>
      </c>
      <c r="P102" s="463" t="s">
        <v>4844</v>
      </c>
      <c r="Q102" s="482"/>
      <c r="R102" s="451" t="s">
        <v>5010</v>
      </c>
      <c r="S102" s="433" t="str">
        <f ca="1">HYPERLINK("#"&amp;재료비목록표!G2&amp;"!A"&amp;ROW(재료비목록표!A101),"M01055 →")</f>
        <v>M01055 →</v>
      </c>
      <c r="T102" s="456">
        <v>338000</v>
      </c>
      <c r="U102" s="527">
        <f t="shared" si="3"/>
        <v>2</v>
      </c>
      <c r="V102" s="509">
        <f t="shared" si="4"/>
        <v>338000</v>
      </c>
      <c r="W102" s="528" t="str">
        <f t="shared" si="5"/>
        <v>물.자</v>
      </c>
    </row>
    <row r="103" spans="1:23" ht="39.950000000000003" customHeight="1">
      <c r="A103" s="460" t="s">
        <v>4393</v>
      </c>
      <c r="B103" s="452" t="s">
        <v>2246</v>
      </c>
      <c r="C103" s="452" t="s">
        <v>2247</v>
      </c>
      <c r="D103" s="460" t="s">
        <v>2132</v>
      </c>
      <c r="E103" s="467">
        <v>0</v>
      </c>
      <c r="F103" s="460"/>
      <c r="G103" s="467">
        <v>23590</v>
      </c>
      <c r="H103" s="460" t="s">
        <v>5011</v>
      </c>
      <c r="I103" s="467">
        <v>0</v>
      </c>
      <c r="J103" s="460" t="s">
        <v>5012</v>
      </c>
      <c r="K103" s="467">
        <v>0</v>
      </c>
      <c r="L103" s="460"/>
      <c r="M103" s="467">
        <v>0</v>
      </c>
      <c r="N103" s="460"/>
      <c r="O103" s="467">
        <v>23590</v>
      </c>
      <c r="P103" s="463" t="s">
        <v>4844</v>
      </c>
      <c r="Q103" s="482"/>
      <c r="R103" s="451" t="s">
        <v>5013</v>
      </c>
      <c r="S103" s="433" t="str">
        <f ca="1">HYPERLINK("#"&amp;재료비목록표!G2&amp;"!A"&amp;ROW(재료비목록표!A102),"M08786 →")</f>
        <v>M08786 →</v>
      </c>
      <c r="T103" s="456">
        <v>23590</v>
      </c>
      <c r="U103" s="527">
        <f t="shared" si="3"/>
        <v>2</v>
      </c>
      <c r="V103" s="509">
        <f t="shared" si="4"/>
        <v>23590</v>
      </c>
      <c r="W103" s="528" t="str">
        <f t="shared" si="5"/>
        <v>물.자</v>
      </c>
    </row>
    <row r="104" spans="1:23" ht="39.950000000000003" customHeight="1">
      <c r="A104" s="460" t="s">
        <v>4398</v>
      </c>
      <c r="B104" s="452" t="s">
        <v>2246</v>
      </c>
      <c r="C104" s="452" t="s">
        <v>2255</v>
      </c>
      <c r="D104" s="460" t="s">
        <v>2132</v>
      </c>
      <c r="E104" s="467">
        <v>0</v>
      </c>
      <c r="F104" s="460"/>
      <c r="G104" s="467">
        <v>23590</v>
      </c>
      <c r="H104" s="460" t="s">
        <v>5011</v>
      </c>
      <c r="I104" s="467">
        <v>0</v>
      </c>
      <c r="J104" s="460"/>
      <c r="K104" s="467">
        <v>0</v>
      </c>
      <c r="L104" s="460"/>
      <c r="M104" s="467">
        <v>0</v>
      </c>
      <c r="N104" s="460"/>
      <c r="O104" s="467">
        <v>23590</v>
      </c>
      <c r="P104" s="463" t="s">
        <v>4844</v>
      </c>
      <c r="Q104" s="482"/>
      <c r="R104" s="451" t="s">
        <v>5014</v>
      </c>
      <c r="S104" s="433" t="str">
        <f ca="1">HYPERLINK("#"&amp;재료비목록표!G2&amp;"!A"&amp;ROW(재료비목록표!A103),"M08782 →")</f>
        <v>M08782 →</v>
      </c>
      <c r="T104" s="456">
        <v>23590</v>
      </c>
      <c r="U104" s="527">
        <f t="shared" si="3"/>
        <v>2</v>
      </c>
      <c r="V104" s="509">
        <f t="shared" si="4"/>
        <v>23590</v>
      </c>
      <c r="W104" s="528" t="str">
        <f t="shared" si="5"/>
        <v>물.자</v>
      </c>
    </row>
    <row r="105" spans="1:23" ht="39.950000000000003" customHeight="1">
      <c r="A105" s="460" t="s">
        <v>4402</v>
      </c>
      <c r="B105" s="452" t="s">
        <v>2246</v>
      </c>
      <c r="C105" s="452" t="s">
        <v>4730</v>
      </c>
      <c r="D105" s="460" t="s">
        <v>2132</v>
      </c>
      <c r="E105" s="467">
        <v>0</v>
      </c>
      <c r="F105" s="460"/>
      <c r="G105" s="467">
        <v>81350</v>
      </c>
      <c r="H105" s="460" t="s">
        <v>5011</v>
      </c>
      <c r="I105" s="467">
        <v>0</v>
      </c>
      <c r="J105" s="460"/>
      <c r="K105" s="467">
        <v>0</v>
      </c>
      <c r="L105" s="460"/>
      <c r="M105" s="467">
        <v>0</v>
      </c>
      <c r="N105" s="460"/>
      <c r="O105" s="467">
        <v>81350</v>
      </c>
      <c r="P105" s="463" t="s">
        <v>4844</v>
      </c>
      <c r="Q105" s="482"/>
      <c r="R105" s="451" t="s">
        <v>5015</v>
      </c>
      <c r="S105" s="433" t="str">
        <f ca="1">HYPERLINK("#"&amp;재료비목록표!G2&amp;"!A"&amp;ROW(재료비목록표!A104),"M08787 →")</f>
        <v>M08787 →</v>
      </c>
      <c r="T105" s="456">
        <v>81350</v>
      </c>
      <c r="U105" s="527">
        <f t="shared" si="3"/>
        <v>2</v>
      </c>
      <c r="V105" s="509">
        <f t="shared" si="4"/>
        <v>81350</v>
      </c>
      <c r="W105" s="528" t="str">
        <f t="shared" si="5"/>
        <v>물.자</v>
      </c>
    </row>
    <row r="106" spans="1:23" ht="39.950000000000003" customHeight="1">
      <c r="A106" s="460" t="s">
        <v>4406</v>
      </c>
      <c r="B106" s="452" t="s">
        <v>2246</v>
      </c>
      <c r="C106" s="452" t="s">
        <v>2259</v>
      </c>
      <c r="D106" s="460" t="s">
        <v>2132</v>
      </c>
      <c r="E106" s="467">
        <v>0</v>
      </c>
      <c r="F106" s="460"/>
      <c r="G106" s="467">
        <v>14991</v>
      </c>
      <c r="H106" s="460" t="s">
        <v>5016</v>
      </c>
      <c r="I106" s="467">
        <v>0</v>
      </c>
      <c r="J106" s="460"/>
      <c r="K106" s="467">
        <v>0</v>
      </c>
      <c r="L106" s="460"/>
      <c r="M106" s="467">
        <v>0</v>
      </c>
      <c r="N106" s="460"/>
      <c r="O106" s="467">
        <v>14991</v>
      </c>
      <c r="P106" s="463" t="s">
        <v>4844</v>
      </c>
      <c r="Q106" s="482"/>
      <c r="R106" s="451" t="s">
        <v>5017</v>
      </c>
      <c r="S106" s="433" t="str">
        <f ca="1">HYPERLINK("#"&amp;재료비목록표!G2&amp;"!A"&amp;ROW(재료비목록표!A105),"M08780 →")</f>
        <v>M08780 →</v>
      </c>
      <c r="T106" s="456">
        <v>14991</v>
      </c>
      <c r="U106" s="527">
        <f t="shared" si="3"/>
        <v>2</v>
      </c>
      <c r="V106" s="509">
        <f t="shared" si="4"/>
        <v>14991</v>
      </c>
      <c r="W106" s="528" t="str">
        <f t="shared" si="5"/>
        <v>물.자</v>
      </c>
    </row>
    <row r="107" spans="1:23" ht="39.950000000000003" customHeight="1">
      <c r="A107" s="460" t="s">
        <v>4410</v>
      </c>
      <c r="B107" s="452" t="s">
        <v>2263</v>
      </c>
      <c r="C107" s="452" t="s">
        <v>2264</v>
      </c>
      <c r="D107" s="460" t="s">
        <v>2132</v>
      </c>
      <c r="E107" s="467">
        <v>0</v>
      </c>
      <c r="F107" s="460"/>
      <c r="G107" s="467">
        <v>0</v>
      </c>
      <c r="H107" s="460"/>
      <c r="I107" s="467">
        <v>62000</v>
      </c>
      <c r="J107" s="460" t="s">
        <v>5018</v>
      </c>
      <c r="K107" s="467">
        <v>0</v>
      </c>
      <c r="L107" s="460"/>
      <c r="M107" s="467">
        <v>0</v>
      </c>
      <c r="N107" s="460"/>
      <c r="O107" s="467">
        <v>62000</v>
      </c>
      <c r="P107" s="463" t="s">
        <v>4849</v>
      </c>
      <c r="Q107" s="482"/>
      <c r="R107" s="451" t="s">
        <v>5019</v>
      </c>
      <c r="S107" s="433" t="str">
        <f ca="1">HYPERLINK("#"&amp;재료비목록표!G2&amp;"!A"&amp;ROW(재료비목록표!A106),"M08785 →")</f>
        <v>M08785 →</v>
      </c>
      <c r="T107" s="456">
        <v>62000</v>
      </c>
      <c r="U107" s="527">
        <f t="shared" si="3"/>
        <v>3</v>
      </c>
      <c r="V107" s="509">
        <f t="shared" si="4"/>
        <v>62000</v>
      </c>
      <c r="W107" s="528" t="str">
        <f t="shared" si="5"/>
        <v>물.정</v>
      </c>
    </row>
    <row r="108" spans="1:23" ht="39.950000000000003" customHeight="1">
      <c r="A108" s="460" t="s">
        <v>4414</v>
      </c>
      <c r="B108" s="452" t="s">
        <v>2263</v>
      </c>
      <c r="C108" s="452" t="s">
        <v>2272</v>
      </c>
      <c r="D108" s="460" t="s">
        <v>2132</v>
      </c>
      <c r="E108" s="467">
        <v>0</v>
      </c>
      <c r="F108" s="460"/>
      <c r="G108" s="467">
        <v>40910</v>
      </c>
      <c r="H108" s="460" t="s">
        <v>5016</v>
      </c>
      <c r="I108" s="467">
        <v>75000</v>
      </c>
      <c r="J108" s="460" t="s">
        <v>5018</v>
      </c>
      <c r="K108" s="467">
        <v>0</v>
      </c>
      <c r="L108" s="460"/>
      <c r="M108" s="467">
        <v>0</v>
      </c>
      <c r="N108" s="460"/>
      <c r="O108" s="467">
        <v>40910</v>
      </c>
      <c r="P108" s="463" t="s">
        <v>4844</v>
      </c>
      <c r="Q108" s="482"/>
      <c r="R108" s="451" t="s">
        <v>5020</v>
      </c>
      <c r="S108" s="433" t="str">
        <f ca="1">HYPERLINK("#"&amp;재료비목록표!G2&amp;"!A"&amp;ROW(재료비목록표!A107),"M01268 →")</f>
        <v>M01268 →</v>
      </c>
      <c r="T108" s="456">
        <v>40910</v>
      </c>
      <c r="U108" s="527">
        <f t="shared" si="3"/>
        <v>2</v>
      </c>
      <c r="V108" s="509">
        <f t="shared" si="4"/>
        <v>40910</v>
      </c>
      <c r="W108" s="528" t="str">
        <f t="shared" si="5"/>
        <v>물.자</v>
      </c>
    </row>
    <row r="109" spans="1:23" ht="39.950000000000003" customHeight="1">
      <c r="A109" s="460" t="s">
        <v>4418</v>
      </c>
      <c r="B109" s="452" t="s">
        <v>2263</v>
      </c>
      <c r="C109" s="452" t="s">
        <v>2268</v>
      </c>
      <c r="D109" s="460" t="s">
        <v>2132</v>
      </c>
      <c r="E109" s="467">
        <v>0</v>
      </c>
      <c r="F109" s="460"/>
      <c r="G109" s="467">
        <v>31142</v>
      </c>
      <c r="H109" s="460" t="s">
        <v>5021</v>
      </c>
      <c r="I109" s="467">
        <v>0</v>
      </c>
      <c r="J109" s="460"/>
      <c r="K109" s="467">
        <v>0</v>
      </c>
      <c r="L109" s="460"/>
      <c r="M109" s="467">
        <v>0</v>
      </c>
      <c r="N109" s="460"/>
      <c r="O109" s="467">
        <v>31142</v>
      </c>
      <c r="P109" s="463" t="s">
        <v>4844</v>
      </c>
      <c r="Q109" s="482"/>
      <c r="R109" s="451" t="s">
        <v>5022</v>
      </c>
      <c r="S109" s="433" t="str">
        <f ca="1">HYPERLINK("#"&amp;재료비목록표!G2&amp;"!A"&amp;ROW(재료비목록표!A108),"M08781 →")</f>
        <v>M08781 →</v>
      </c>
      <c r="T109" s="456">
        <v>31142</v>
      </c>
      <c r="U109" s="527">
        <f t="shared" si="3"/>
        <v>2</v>
      </c>
      <c r="V109" s="509">
        <f t="shared" si="4"/>
        <v>31142</v>
      </c>
      <c r="W109" s="528" t="str">
        <f t="shared" si="5"/>
        <v>물.자</v>
      </c>
    </row>
    <row r="110" spans="1:23" ht="39.950000000000003" customHeight="1">
      <c r="A110" s="460" t="s">
        <v>4731</v>
      </c>
      <c r="B110" s="452" t="s">
        <v>1409</v>
      </c>
      <c r="C110" s="452" t="s">
        <v>3319</v>
      </c>
      <c r="D110" s="460" t="s">
        <v>1589</v>
      </c>
      <c r="E110" s="467">
        <v>0</v>
      </c>
      <c r="F110" s="460"/>
      <c r="G110" s="467">
        <v>3415000</v>
      </c>
      <c r="H110" s="460" t="s">
        <v>4872</v>
      </c>
      <c r="I110" s="467">
        <v>4220000</v>
      </c>
      <c r="J110" s="460" t="s">
        <v>4873</v>
      </c>
      <c r="K110" s="467">
        <v>0</v>
      </c>
      <c r="L110" s="460"/>
      <c r="M110" s="467">
        <v>0</v>
      </c>
      <c r="N110" s="460"/>
      <c r="O110" s="467">
        <v>3415000</v>
      </c>
      <c r="P110" s="463" t="s">
        <v>4844</v>
      </c>
      <c r="Q110" s="482"/>
      <c r="R110" s="451" t="s">
        <v>5023</v>
      </c>
      <c r="S110" s="433" t="str">
        <f ca="1">HYPERLINK("#"&amp;재료비목록표!G2&amp;"!A"&amp;ROW(재료비목록표!A109),"M01532 →")</f>
        <v>M01532 →</v>
      </c>
      <c r="T110" s="456">
        <v>3415000</v>
      </c>
      <c r="U110" s="527">
        <f t="shared" si="3"/>
        <v>2</v>
      </c>
      <c r="V110" s="509">
        <f t="shared" si="4"/>
        <v>3415000</v>
      </c>
      <c r="W110" s="528" t="str">
        <f t="shared" si="5"/>
        <v>물.자</v>
      </c>
    </row>
    <row r="111" spans="1:23" ht="39.950000000000003" customHeight="1">
      <c r="A111" s="460" t="s">
        <v>4489</v>
      </c>
      <c r="B111" s="452" t="s">
        <v>2838</v>
      </c>
      <c r="C111" s="452" t="s">
        <v>2839</v>
      </c>
      <c r="D111" s="460" t="s">
        <v>2840</v>
      </c>
      <c r="E111" s="467">
        <v>0</v>
      </c>
      <c r="F111" s="460"/>
      <c r="G111" s="467">
        <v>0</v>
      </c>
      <c r="H111" s="460"/>
      <c r="I111" s="467">
        <v>0</v>
      </c>
      <c r="J111" s="460"/>
      <c r="K111" s="467">
        <v>0</v>
      </c>
      <c r="L111" s="460"/>
      <c r="M111" s="467">
        <v>0</v>
      </c>
      <c r="N111" s="460"/>
      <c r="O111" s="467">
        <v>1472</v>
      </c>
      <c r="P111" s="463"/>
      <c r="Q111" s="482"/>
      <c r="R111" s="451" t="s">
        <v>5024</v>
      </c>
      <c r="S111" s="433" t="str">
        <f ca="1">HYPERLINK("#"&amp;재료비목록표!G2&amp;"!A"&amp;ROW(재료비목록표!A110),"M00927 →")</f>
        <v>M00927 →</v>
      </c>
      <c r="T111" s="456">
        <v>1472</v>
      </c>
      <c r="U111" s="527" t="str">
        <f t="shared" si="3"/>
        <v/>
      </c>
      <c r="V111" s="509">
        <f t="shared" si="4"/>
        <v>1472</v>
      </c>
      <c r="W111" s="528" t="str">
        <f t="shared" si="5"/>
        <v/>
      </c>
    </row>
    <row r="112" spans="1:23" ht="39.950000000000003" customHeight="1">
      <c r="A112" s="460" t="s">
        <v>4732</v>
      </c>
      <c r="B112" s="452" t="s">
        <v>1321</v>
      </c>
      <c r="C112" s="452" t="s">
        <v>3343</v>
      </c>
      <c r="D112" s="460" t="s">
        <v>1589</v>
      </c>
      <c r="E112" s="467">
        <v>0</v>
      </c>
      <c r="F112" s="460"/>
      <c r="G112" s="467">
        <v>0</v>
      </c>
      <c r="H112" s="460"/>
      <c r="I112" s="467">
        <v>34540000</v>
      </c>
      <c r="J112" s="460" t="s">
        <v>5025</v>
      </c>
      <c r="K112" s="467">
        <v>0</v>
      </c>
      <c r="L112" s="460"/>
      <c r="M112" s="467">
        <v>0</v>
      </c>
      <c r="N112" s="460"/>
      <c r="O112" s="467">
        <v>34540000</v>
      </c>
      <c r="P112" s="463" t="s">
        <v>4849</v>
      </c>
      <c r="Q112" s="482"/>
      <c r="R112" s="451" t="s">
        <v>5026</v>
      </c>
      <c r="S112" s="433" t="str">
        <f ca="1">HYPERLINK("#"&amp;재료비목록표!G2&amp;"!A"&amp;ROW(재료비목록표!A111),"M01535 →")</f>
        <v>M01535 →</v>
      </c>
      <c r="T112" s="456">
        <v>34540000</v>
      </c>
      <c r="U112" s="527">
        <f t="shared" si="3"/>
        <v>3</v>
      </c>
      <c r="V112" s="509">
        <f t="shared" si="4"/>
        <v>34540000</v>
      </c>
      <c r="W112" s="528" t="str">
        <f t="shared" si="5"/>
        <v>물.정</v>
      </c>
    </row>
  </sheetData>
  <mergeCells count="13">
    <mergeCell ref="O3:P3"/>
    <mergeCell ref="Q3:Q4"/>
    <mergeCell ref="U3:W3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13" type="noConversion"/>
  <conditionalFormatting sqref="V5:V112">
    <cfRule type="expression" dxfId="0" priority="1" stopIfTrue="1">
      <formula>$O5&lt;&gt;$V5</formula>
    </cfRule>
  </conditionalFormatting>
  <hyperlinks>
    <hyperlink ref="S1" r:id="rId1" tooltip="설계예산시스템(STmate w26.01)으로 작성 하였으며,_x000a_엑셀 인쇄품질 600 dpi에 최적화 되어 있습니다._x000a_경영정보(주) http://www.stma.co.kr_x000a_Tel) 070-4350-0040_x000a_Fax) 0505-300-3948" xr:uid="{00000000-0004-0000-3600-000000000000}"/>
    <hyperlink ref="R1" r:id="rId2" tooltip="설계예산시스템(STmate w26.01)으로 작성 하였으며,_x000a_엑셀 인쇄품질 600 dpi에 최적화 되어 있습니다._x000a_경영정보(주) http://www.stma.co.kr_x000a_Tel) 070-4350-0040_x000a_Fax) 0505-300-3948" xr:uid="{00000000-0004-0000-3600-000001000000}"/>
  </hyperlinks>
  <printOptions horizontalCentered="1"/>
  <pageMargins left="0.78740157480314965" right="0.78740157480314965" top="0.59055118110236215" bottom="0.55118110236220474" header="0" footer="0.35433070866141736"/>
  <pageSetup paperSize="9" scale="61" fitToWidth="0" fitToHeight="0" orientation="landscape" r:id="rId3"/>
  <headerFooter alignWithMargins="0"/>
  <legacyDrawing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FFFF00"/>
  </sheetPr>
  <dimension ref="A1:L36"/>
  <sheetViews>
    <sheetView view="pageBreakPreview" zoomScaleNormal="100" zoomScaleSheetLayoutView="100" workbookViewId="0">
      <selection activeCell="B13" sqref="B13"/>
    </sheetView>
  </sheetViews>
  <sheetFormatPr defaultColWidth="8" defaultRowHeight="20.45" customHeight="1"/>
  <cols>
    <col min="1" max="1" width="14.109375" style="83" customWidth="1"/>
    <col min="2" max="2" width="54.109375" style="83" customWidth="1"/>
    <col min="3" max="3" width="3.77734375" style="88" customWidth="1"/>
    <col min="4" max="4" width="9.77734375" style="89" customWidth="1"/>
    <col min="5" max="5" width="10" style="83" customWidth="1"/>
    <col min="6" max="6" width="9.6640625" style="83" bestFit="1" customWidth="1"/>
    <col min="7" max="8" width="8.21875" style="83" bestFit="1" customWidth="1"/>
    <col min="9" max="16384" width="8" style="83"/>
  </cols>
  <sheetData>
    <row r="1" spans="1:12" s="54" customFormat="1" ht="18.95" customHeight="1">
      <c r="A1" s="293" t="s">
        <v>544</v>
      </c>
      <c r="B1" s="294" t="s">
        <v>516</v>
      </c>
      <c r="C1" s="294" t="s">
        <v>517</v>
      </c>
      <c r="D1" s="295" t="s">
        <v>376</v>
      </c>
    </row>
    <row r="2" spans="1:12" s="59" customFormat="1" ht="20.45" customHeight="1">
      <c r="A2" s="296" t="s">
        <v>545</v>
      </c>
      <c r="B2" s="127"/>
      <c r="C2" s="128"/>
      <c r="D2" s="129" t="s">
        <v>519</v>
      </c>
      <c r="F2" s="296" t="s">
        <v>546</v>
      </c>
      <c r="G2" s="127"/>
      <c r="H2" s="94"/>
    </row>
    <row r="3" spans="1:12" s="63" customFormat="1" ht="18.75" customHeight="1">
      <c r="A3" s="364" t="s">
        <v>547</v>
      </c>
      <c r="B3" s="332"/>
      <c r="C3" s="199" t="s">
        <v>530</v>
      </c>
      <c r="D3" s="365">
        <f>ROUND(SUM(D4:D13),1)</f>
        <v>16.100000000000001</v>
      </c>
      <c r="F3" s="364" t="s">
        <v>548</v>
      </c>
      <c r="G3" s="332"/>
      <c r="H3" s="97"/>
    </row>
    <row r="4" spans="1:12" s="63" customFormat="1" ht="18.75" customHeight="1">
      <c r="A4" s="134" t="s">
        <v>549</v>
      </c>
      <c r="B4" s="332" t="str">
        <f>"150*75 : 3.4*0.15*2면*2ea = "&amp;ROUND(3.4*0.15*2*2,2)&amp;"㎡"</f>
        <v>150*75 : 3.4*0.15*2면*2ea = 2.04㎡</v>
      </c>
      <c r="C4" s="65" t="s">
        <v>530</v>
      </c>
      <c r="D4" s="79">
        <v>2.04</v>
      </c>
      <c r="E4" s="366"/>
      <c r="F4" s="134" t="s">
        <v>550</v>
      </c>
      <c r="G4" s="332" t="str">
        <f>"2m당 1ea : 0.025*2*3.14*0.5열*28.8m = "&amp;ROUND(0.025*2*3.14*0.5*28.8,2)&amp;"㎡"</f>
        <v>2m당 1ea : 0.025*2*3.14*0.5열*28.8m = 2.26㎡</v>
      </c>
      <c r="H4" s="97"/>
      <c r="L4" s="332" t="str">
        <f>"150*75 : 3.4*0.15*0.075*2ea = "&amp;ROUND(3.4*0.15*0.075*2,2)&amp;"㎡"</f>
        <v>150*75 : 3.4*0.15*0.075*2ea = 0.08㎡</v>
      </c>
    </row>
    <row r="5" spans="1:12" s="63" customFormat="1" ht="18.75" customHeight="1">
      <c r="A5" s="134"/>
      <c r="B5" s="332" t="str">
        <f>"100*50(가로) : 1.1*0.1*2면*13ea = "&amp;ROUND(1.1*0.1*2*13,2)&amp;"㎡"</f>
        <v>100*50(가로) : 1.1*0.1*2면*13ea = 2.86㎡</v>
      </c>
      <c r="C5" s="65" t="s">
        <v>530</v>
      </c>
      <c r="D5" s="79">
        <v>2.86</v>
      </c>
      <c r="F5" s="134" t="s">
        <v>551</v>
      </c>
      <c r="G5" s="332" t="str">
        <f>"2m당 6ea : 0.015*2*3.14*3열*28.8m = "&amp;ROUND(0.015*2*3.14*3*28.8,2)&amp;"㎡"</f>
        <v>2m당 6ea : 0.015*2*3.14*3열*28.8m = 8.14㎡</v>
      </c>
      <c r="H5" s="97"/>
      <c r="L5" s="332" t="str">
        <f>"100*50 : 1.1*0.1*0.05*13ea = "&amp;ROUND(1.1*0.1*0.05*13,2)&amp;"㎡"</f>
        <v>100*50 : 1.1*0.1*0.05*13ea = 0.07㎡</v>
      </c>
    </row>
    <row r="6" spans="1:12" s="63" customFormat="1" ht="18.75" customHeight="1">
      <c r="A6" s="134"/>
      <c r="B6" s="332" t="str">
        <f>"100*50(가로) : 1.1*0.05*2면*13ea = "&amp;ROUND(1.1*0.05*2*13,2)&amp;"㎡"</f>
        <v>100*50(가로) : 1.1*0.05*2면*13ea = 1.43㎡</v>
      </c>
      <c r="C6" s="65" t="s">
        <v>530</v>
      </c>
      <c r="D6" s="79">
        <v>1.43</v>
      </c>
      <c r="F6" s="134" t="s">
        <v>552</v>
      </c>
      <c r="G6" s="332" t="str">
        <f>"28.8m : 0.025*2*3.14*28.8m = "&amp;ROUND(0.025*2*3.14*28.8,2)&amp;"㎡"</f>
        <v>28.8m : 0.025*2*3.14*28.8m = 4.52㎡</v>
      </c>
      <c r="H6" s="97"/>
      <c r="L6" s="332"/>
    </row>
    <row r="7" spans="1:12" s="63" customFormat="1" ht="18.75" customHeight="1">
      <c r="A7" s="134"/>
      <c r="B7" s="332" t="str">
        <f>"100*50(세로) : 0.1*0.05*2면*13ea = "&amp;ROUND(0.1*0.05*2*13,2)&amp;"㎡"</f>
        <v>100*50(세로) : 0.1*0.05*2면*13ea = 0.13㎡</v>
      </c>
      <c r="C7" s="65" t="s">
        <v>530</v>
      </c>
      <c r="D7" s="79">
        <v>0.13</v>
      </c>
      <c r="F7" s="134" t="s">
        <v>553</v>
      </c>
      <c r="G7" s="332" t="str">
        <f>"28.8m : 0.015*2*3.14*28.8m = "&amp;ROUND(0.015*2*3.14*28.8,2)&amp;"㎡"</f>
        <v>28.8m : 0.015*2*3.14*28.8m = 2.71㎡</v>
      </c>
      <c r="H7" s="97"/>
      <c r="L7" s="332" t="str">
        <f>"2.2*0.12*0.12*4ea = "&amp;ROUND(2.2*0.12*0.12*4,2)&amp;"㎡"</f>
        <v>2.2*0.12*0.12*4ea = 0.13㎡</v>
      </c>
    </row>
    <row r="8" spans="1:12" s="63" customFormat="1" ht="18.75" customHeight="1">
      <c r="A8" s="134"/>
      <c r="B8" s="332"/>
      <c r="C8" s="65"/>
      <c r="D8" s="66"/>
      <c r="F8" s="101"/>
      <c r="G8" s="97"/>
      <c r="H8" s="97"/>
      <c r="L8" s="332"/>
    </row>
    <row r="9" spans="1:12" s="63" customFormat="1" ht="18.75" customHeight="1">
      <c r="A9" s="134" t="s">
        <v>554</v>
      </c>
      <c r="B9" s="332" t="str">
        <f>"2.2*0.12*4면*4ea = "&amp;ROUND(2.2*0.12*4*4,2)&amp;"㎡"</f>
        <v>2.2*0.12*4면*4ea = 4.22㎡</v>
      </c>
      <c r="C9" s="65" t="s">
        <v>530</v>
      </c>
      <c r="D9" s="79">
        <v>4.22</v>
      </c>
      <c r="F9" s="78"/>
      <c r="L9" s="332" t="str">
        <f>"60*40 : 0.76*0.06*0.04*2ea = "&amp;ROUND(0.76*0.06*0.04*2,3)&amp;"㎡"</f>
        <v>60*40 : 0.76*0.06*0.04*2ea = 0.004㎡</v>
      </c>
    </row>
    <row r="10" spans="1:12" s="63" customFormat="1" ht="18.75" customHeight="1">
      <c r="A10" s="74"/>
      <c r="B10" s="332"/>
      <c r="C10" s="65"/>
      <c r="D10" s="66"/>
      <c r="F10" s="104"/>
      <c r="H10" s="78"/>
      <c r="L10" s="332" t="str">
        <f>"60*40 : 1.85*0.06*0.04*2ea = "&amp;ROUND(1.85*0.06*0.04*2,3)&amp;"㎡"</f>
        <v>60*40 : 1.85*0.06*0.04*2ea = 0.009㎡</v>
      </c>
    </row>
    <row r="11" spans="1:12" s="63" customFormat="1" ht="18.75" customHeight="1">
      <c r="A11" s="134" t="s">
        <v>555</v>
      </c>
      <c r="B11" s="332" t="str">
        <f>"60*40 : (0.76*0.06*1면+0.76*0.04*2면)*4ea = "&amp;ROUND((0.76*0.06+0.76*0.04*2)*4,2)&amp;"㎡"</f>
        <v>60*40 : (0.76*0.06*1면+0.76*0.04*2면)*4ea = 0.43㎡</v>
      </c>
      <c r="C11" s="65" t="s">
        <v>530</v>
      </c>
      <c r="D11" s="79">
        <v>0.43</v>
      </c>
      <c r="F11" s="104"/>
      <c r="H11" s="78"/>
      <c r="L11" s="332" t="str">
        <f>"30*15 : 0.76*1.85 - (0.1*0.05*84ea) = "&amp;ROUND((0.76*1.85-(0.1*0.05*84))*2,2)&amp;"㎡"</f>
        <v>30*15 : 0.76*1.85 - (0.1*0.05*84ea) = 1.97㎡</v>
      </c>
    </row>
    <row r="12" spans="1:12" s="63" customFormat="1" ht="18.75" customHeight="1">
      <c r="A12" s="74"/>
      <c r="B12" s="332" t="str">
        <f>"60*40 : (1.85*0.06*1면+1.85*0.04*2면)*4ea = "&amp;ROUND((1.85*0.06+1.85*0.04*2)*4,2)&amp;"㎡"</f>
        <v>60*40 : (1.85*0.06*1면+1.85*0.04*2면)*4ea = 1.04㎡</v>
      </c>
      <c r="C12" s="65" t="s">
        <v>530</v>
      </c>
      <c r="D12" s="79">
        <v>1.04</v>
      </c>
      <c r="F12" s="105"/>
      <c r="H12" s="106"/>
    </row>
    <row r="13" spans="1:12" s="63" customFormat="1" ht="18.75" customHeight="1">
      <c r="A13" s="364"/>
      <c r="B13" s="332" t="str">
        <f>"30*15 : (0.76*1.85 - (0.1*0.05*84ea))*2면*2ea = "&amp;ROUND((0.76*1.85-(0.1*0.05*84))*2*2,2)&amp;"㎡"</f>
        <v>30*15 : (0.76*1.85 - (0.1*0.05*84ea))*2면*2ea = 3.94㎡</v>
      </c>
      <c r="C13" s="65" t="s">
        <v>530</v>
      </c>
      <c r="D13" s="79">
        <v>3.94</v>
      </c>
      <c r="F13" s="105"/>
      <c r="H13" s="106"/>
    </row>
    <row r="14" spans="1:12" s="63" customFormat="1" ht="18.75" customHeight="1">
      <c r="A14" s="74"/>
      <c r="B14" s="332"/>
      <c r="C14" s="65"/>
      <c r="D14" s="79"/>
    </row>
    <row r="15" spans="1:12" s="63" customFormat="1" ht="18.75" customHeight="1">
      <c r="A15" s="367" t="s">
        <v>556</v>
      </c>
      <c r="B15" s="339"/>
      <c r="C15" s="65"/>
      <c r="D15" s="70" t="s">
        <v>557</v>
      </c>
    </row>
    <row r="16" spans="1:12" s="63" customFormat="1" ht="18.75" customHeight="1">
      <c r="A16" s="364" t="s">
        <v>547</v>
      </c>
      <c r="B16" s="332"/>
      <c r="C16" s="199" t="s">
        <v>358</v>
      </c>
      <c r="D16" s="365">
        <f>ROUND(D17+D18,1)</f>
        <v>23.9</v>
      </c>
      <c r="H16" s="78"/>
    </row>
    <row r="17" spans="1:8" s="63" customFormat="1" ht="18.75" customHeight="1">
      <c r="A17" s="80" t="s">
        <v>558</v>
      </c>
      <c r="B17" s="332" t="str">
        <f>"6.0*1.8*2면 = "&amp;ROUND(6*1.8*2,3)&amp;"㎡"</f>
        <v>6.0*1.8*2면 = 21.6㎡</v>
      </c>
      <c r="C17" s="65" t="s">
        <v>530</v>
      </c>
      <c r="D17" s="79">
        <v>21.6</v>
      </c>
    </row>
    <row r="18" spans="1:8" s="63" customFormat="1" ht="18.75" customHeight="1">
      <c r="A18" s="80" t="s">
        <v>559</v>
      </c>
      <c r="B18" s="332" t="str">
        <f>"1.9*0.6*2면 = "&amp;ROUND(1.9*0.6*2,3)&amp;"㎡"</f>
        <v>1.9*0.6*2면 = 2.28㎡</v>
      </c>
      <c r="C18" s="65" t="s">
        <v>358</v>
      </c>
      <c r="D18" s="79">
        <v>2.2799999999999998</v>
      </c>
    </row>
    <row r="19" spans="1:8" s="63" customFormat="1" ht="18.75" customHeight="1">
      <c r="A19" s="162"/>
      <c r="B19" s="332"/>
      <c r="C19" s="81"/>
      <c r="D19" s="82"/>
      <c r="F19" s="111"/>
      <c r="H19" s="111"/>
    </row>
    <row r="20" spans="1:8" s="63" customFormat="1" ht="18.75" customHeight="1">
      <c r="A20" s="80"/>
      <c r="B20" s="332"/>
      <c r="C20" s="65"/>
      <c r="D20" s="66"/>
    </row>
    <row r="21" spans="1:8" s="63" customFormat="1" ht="18.75" customHeight="1">
      <c r="A21" s="367" t="s">
        <v>560</v>
      </c>
      <c r="B21" s="339"/>
      <c r="C21" s="65"/>
      <c r="D21" s="70" t="s">
        <v>561</v>
      </c>
    </row>
    <row r="22" spans="1:8" s="63" customFormat="1" ht="18.75" customHeight="1">
      <c r="A22" s="364" t="s">
        <v>547</v>
      </c>
      <c r="B22" s="332"/>
      <c r="C22" s="199" t="s">
        <v>530</v>
      </c>
      <c r="D22" s="365">
        <f>ROUND(D23+D24,1)</f>
        <v>11.8</v>
      </c>
    </row>
    <row r="23" spans="1:8" ht="18.75" customHeight="1">
      <c r="A23" s="80" t="s">
        <v>562</v>
      </c>
      <c r="B23" s="332" t="str">
        <f>"3.0*3.0*1면 = "&amp;ROUND(3*3*1,3)&amp;"㎡"</f>
        <v>3.0*3.0*1면 = 9㎡</v>
      </c>
      <c r="C23" s="65" t="s">
        <v>530</v>
      </c>
      <c r="D23" s="79">
        <v>9</v>
      </c>
    </row>
    <row r="24" spans="1:8" ht="18.75" customHeight="1">
      <c r="A24" s="80" t="s">
        <v>563</v>
      </c>
      <c r="B24" s="332" t="str">
        <f>"3.0*0.23*4면 = "&amp;ROUND(3*0.23*4,3)&amp;"㎡"</f>
        <v>3.0*0.23*4면 = 2.76㎡</v>
      </c>
      <c r="C24" s="65" t="s">
        <v>530</v>
      </c>
      <c r="D24" s="79">
        <v>2.76</v>
      </c>
      <c r="F24" s="368"/>
    </row>
    <row r="25" spans="1:8" ht="18.75" customHeight="1">
      <c r="A25" s="80"/>
      <c r="B25" s="332"/>
      <c r="C25" s="65"/>
      <c r="D25" s="79"/>
      <c r="F25" s="369"/>
    </row>
    <row r="26" spans="1:8" ht="18.75" customHeight="1">
      <c r="A26" s="367" t="s">
        <v>564</v>
      </c>
      <c r="B26" s="339"/>
      <c r="C26" s="65"/>
      <c r="D26" s="70" t="s">
        <v>565</v>
      </c>
      <c r="F26" s="368"/>
    </row>
    <row r="27" spans="1:8" ht="18.75" customHeight="1">
      <c r="A27" s="364" t="s">
        <v>566</v>
      </c>
      <c r="B27" s="332"/>
      <c r="C27" s="199" t="s">
        <v>530</v>
      </c>
      <c r="D27" s="365">
        <f>ROUND(D28+D29+D30,1)</f>
        <v>1.9</v>
      </c>
      <c r="F27" s="368"/>
    </row>
    <row r="28" spans="1:8" ht="18.75" customHeight="1">
      <c r="A28" s="80" t="s">
        <v>567</v>
      </c>
      <c r="B28" s="332" t="str">
        <f>"((0.1*H1.2m)*4면 + (0.1*0.1)) *1.5ea = "&amp;ROUND((0.1*1.2*4+0.1*0.1)*1.5,3)&amp;"㎡"</f>
        <v>((0.1*H1.2m)*4면 + (0.1*0.1)) *1.5ea = 0.735㎡</v>
      </c>
      <c r="C28" s="65" t="s">
        <v>358</v>
      </c>
      <c r="D28" s="79">
        <v>0.73499999999999999</v>
      </c>
      <c r="F28" s="368"/>
    </row>
    <row r="29" spans="1:8" ht="18.75" customHeight="1">
      <c r="A29" s="80" t="s">
        <v>568</v>
      </c>
      <c r="B29" s="332" t="str">
        <f>"((0.09*1.32m) + (0.04*1.32)) *2면 *3ea = "&amp;ROUND((0.09*1.32+0.04*1.32)*2*3,3)&amp;"㎡"</f>
        <v>((0.09*1.32m) + (0.04*1.32)) *2면 *3ea = 1.03㎡</v>
      </c>
      <c r="C29" s="65" t="s">
        <v>358</v>
      </c>
      <c r="D29" s="79">
        <v>1.03</v>
      </c>
    </row>
    <row r="30" spans="1:8" ht="18.75" customHeight="1">
      <c r="A30" s="370" t="s">
        <v>569</v>
      </c>
      <c r="B30" s="332" t="str">
        <f>"((0.04*H0.9m) + (0.04*0.04)) *2면 *2ea = "&amp;ROUND((0.04*0.9+0.04*0.04)*2*2,3)&amp;"㎡"</f>
        <v>((0.04*H0.9m) + (0.04*0.04)) *2면 *2ea = 0.15㎡</v>
      </c>
      <c r="C30" s="65" t="s">
        <v>358</v>
      </c>
      <c r="D30" s="79">
        <v>0.15</v>
      </c>
    </row>
    <row r="31" spans="1:8" ht="18.75" customHeight="1">
      <c r="A31" s="118"/>
      <c r="B31" s="344"/>
      <c r="C31" s="116"/>
      <c r="D31" s="119"/>
    </row>
    <row r="32" spans="1:8" ht="18.75" customHeight="1">
      <c r="A32" s="367" t="s">
        <v>570</v>
      </c>
      <c r="B32" s="339"/>
      <c r="C32" s="65"/>
      <c r="D32" s="70" t="s">
        <v>561</v>
      </c>
    </row>
    <row r="33" spans="1:4" ht="18.75" customHeight="1">
      <c r="A33" s="364" t="s">
        <v>566</v>
      </c>
      <c r="B33" s="332"/>
      <c r="C33" s="199" t="s">
        <v>358</v>
      </c>
      <c r="D33" s="365">
        <f>ROUND(D34+D35+D36,1)</f>
        <v>1.2</v>
      </c>
    </row>
    <row r="34" spans="1:4" ht="18.75" customHeight="1">
      <c r="A34" s="80" t="s">
        <v>571</v>
      </c>
      <c r="B34" s="332" t="str">
        <f>"0.78*0.06*15ea = "&amp;ROUND(0.78*0.06*15,3)&amp;"㎡"</f>
        <v>0.78*0.06*15ea = 0.702㎡</v>
      </c>
      <c r="C34" s="65" t="s">
        <v>530</v>
      </c>
      <c r="D34" s="79">
        <v>0.70199999999999996</v>
      </c>
    </row>
    <row r="35" spans="1:4" ht="20.45" customHeight="1">
      <c r="A35" s="80" t="s">
        <v>572</v>
      </c>
      <c r="B35" s="332" t="str">
        <f>"0.56*0.06*13ea = "&amp;ROUND(0.56*0.06*13,3)&amp;"㎡"</f>
        <v>0.56*0.06*13ea = 0.437㎡</v>
      </c>
      <c r="C35" s="65" t="s">
        <v>530</v>
      </c>
      <c r="D35" s="79">
        <v>0.437</v>
      </c>
    </row>
    <row r="36" spans="1:4" ht="20.45" customHeight="1">
      <c r="A36" s="370" t="s">
        <v>573</v>
      </c>
      <c r="B36" s="332" t="str">
        <f>"0.2*0.06*4ea = "&amp;ROUND(0.2*0.06*4,3)&amp;"㎡"</f>
        <v>0.2*0.06*4ea = 0.048㎡</v>
      </c>
      <c r="C36" s="65" t="s">
        <v>358</v>
      </c>
      <c r="D36" s="79">
        <v>4.8000000000000001E-2</v>
      </c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"/>
  <sheetViews>
    <sheetView workbookViewId="0">
      <selection activeCell="E13" sqref="E13"/>
    </sheetView>
  </sheetViews>
  <sheetFormatPr defaultRowHeight="13.5"/>
  <sheetData/>
  <phoneticPr fontId="13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G102"/>
  <sheetViews>
    <sheetView view="pageBreakPreview" topLeftCell="A43" zoomScaleNormal="100" zoomScaleSheetLayoutView="100" workbookViewId="0">
      <selection activeCell="J14" sqref="J14"/>
    </sheetView>
  </sheetViews>
  <sheetFormatPr defaultColWidth="8" defaultRowHeight="20.45" customHeight="1"/>
  <cols>
    <col min="1" max="1" width="17.109375" style="83" customWidth="1"/>
    <col min="2" max="2" width="51.109375" style="83" customWidth="1"/>
    <col min="3" max="3" width="3.77734375" style="88" customWidth="1"/>
    <col min="4" max="4" width="9.77734375" style="89" customWidth="1"/>
    <col min="5" max="5" width="10" style="63" customWidth="1"/>
    <col min="6" max="6" width="12.33203125" style="207" customWidth="1"/>
    <col min="7" max="7" width="8.21875" style="83" bestFit="1" customWidth="1"/>
    <col min="8" max="16384" width="8" style="83"/>
  </cols>
  <sheetData>
    <row r="1" spans="1:7" s="54" customFormat="1" ht="18.95" customHeight="1">
      <c r="A1" s="90" t="s">
        <v>46</v>
      </c>
      <c r="B1" s="91" t="s">
        <v>47</v>
      </c>
      <c r="C1" s="91" t="s">
        <v>0</v>
      </c>
      <c r="D1" s="92" t="s">
        <v>49</v>
      </c>
      <c r="F1" s="203"/>
    </row>
    <row r="2" spans="1:7" s="59" customFormat="1" ht="20.45" customHeight="1">
      <c r="A2" s="126" t="s">
        <v>204</v>
      </c>
      <c r="B2" s="127"/>
      <c r="C2" s="128"/>
      <c r="D2" s="129"/>
      <c r="E2" s="54"/>
      <c r="F2" s="204"/>
      <c r="G2" s="94"/>
    </row>
    <row r="3" spans="1:7" ht="20.45" customHeight="1">
      <c r="A3" s="198" t="s">
        <v>249</v>
      </c>
      <c r="B3" s="135" t="str">
        <f>"운반거리 : 300m + (330-265)*6m = "&amp;ROUNDDOWN(300+(330-265)*6,1)&amp;"m"</f>
        <v>운반거리 : 300m + (330-265)*6m = 690m</v>
      </c>
      <c r="C3" s="199" t="s">
        <v>1</v>
      </c>
      <c r="D3" s="233">
        <v>690</v>
      </c>
    </row>
    <row r="4" spans="1:7" ht="20.45" customHeight="1">
      <c r="A4" s="71"/>
      <c r="B4" s="135" t="str">
        <f>"목재계단 89단 : 34.09kg * 89 = "&amp;ROUNDDOWN(34.09*89,1)&amp;"kg"</f>
        <v>목재계단 89단 : 34.09kg * 89 = 3034kg</v>
      </c>
      <c r="C4" s="65" t="s">
        <v>4</v>
      </c>
      <c r="D4" s="194">
        <v>3034</v>
      </c>
    </row>
    <row r="5" spans="1:7" ht="20.45" customHeight="1">
      <c r="A5" s="71"/>
      <c r="B5" s="135" t="str">
        <f>"안전로프 17경간 : 81.13kg * 17 = "&amp;ROUNDDOWN(81.13*17,1)&amp;"kg"</f>
        <v>안전로프 17경간 : 81.13kg * 17 = 1379.2kg</v>
      </c>
      <c r="C5" s="65" t="s">
        <v>4</v>
      </c>
      <c r="D5" s="194">
        <v>1379.2</v>
      </c>
    </row>
    <row r="6" spans="1:7" ht="20.45" customHeight="1">
      <c r="A6" s="71"/>
      <c r="B6" s="135" t="str">
        <f>"안전로프 시종점부 2개소 : 345.35kg * 2 = "&amp;ROUNDDOWN(345.45*2,1)&amp;"kg"</f>
        <v>안전로프 시종점부 2개소 : 345.35kg * 2 = 690.9kg</v>
      </c>
      <c r="C6" s="65" t="s">
        <v>4</v>
      </c>
      <c r="D6" s="194">
        <v>690.9</v>
      </c>
    </row>
    <row r="7" spans="1:7" ht="20.45" customHeight="1">
      <c r="A7" s="71"/>
      <c r="B7" s="135" t="str">
        <f>"안내판 1개소 : 80kg * 1 = "&amp;ROUNDDOWN(80*1,1)&amp;"kg"</f>
        <v>안내판 1개소 : 80kg * 1 = 80kg</v>
      </c>
      <c r="C7" s="65" t="s">
        <v>4</v>
      </c>
      <c r="D7" s="194">
        <v>80</v>
      </c>
    </row>
    <row r="8" spans="1:7" ht="20.45" customHeight="1">
      <c r="A8" s="246"/>
      <c r="B8" s="135" t="s">
        <v>250</v>
      </c>
      <c r="C8" s="65" t="s">
        <v>4</v>
      </c>
      <c r="D8" s="194" t="e">
        <f>'오일스테인칠 등'!#REF!</f>
        <v>#REF!</v>
      </c>
    </row>
    <row r="9" spans="1:7" ht="20.45" customHeight="1">
      <c r="A9" s="200" t="s">
        <v>161</v>
      </c>
      <c r="B9" s="201"/>
      <c r="C9" s="202" t="s">
        <v>4</v>
      </c>
      <c r="D9" s="232" t="e">
        <f>ROUNDDOWN(D4+D5+D6+D7+D8,0)</f>
        <v>#REF!</v>
      </c>
    </row>
    <row r="10" spans="1:7" ht="20.45" customHeight="1">
      <c r="A10" s="198" t="s">
        <v>251</v>
      </c>
      <c r="B10" s="135" t="str">
        <f>"운반거리 : 170m + (300-265)*6m = "&amp;ROUNDDOWN(170+(300-265)*6,1)&amp;"m"</f>
        <v>운반거리 : 170m + (300-265)*6m = 380m</v>
      </c>
      <c r="C10" s="199" t="s">
        <v>1</v>
      </c>
      <c r="D10" s="233">
        <v>380</v>
      </c>
    </row>
    <row r="11" spans="1:7" ht="20.45" customHeight="1">
      <c r="A11" s="71"/>
      <c r="B11" s="135" t="str">
        <f>"차단로프 9경간 : 81.13kg * 9 = "&amp;ROUNDDOWN(81.13*9,1)&amp;"kg"</f>
        <v>차단로프 9경간 : 81.13kg * 9 = 730.1kg</v>
      </c>
      <c r="C11" s="65" t="s">
        <v>4</v>
      </c>
      <c r="D11" s="194">
        <v>730.1</v>
      </c>
    </row>
    <row r="12" spans="1:7" ht="20.45" customHeight="1">
      <c r="A12" s="71"/>
      <c r="B12" s="135" t="str">
        <f>"차단로프 시종점부 2개소 : 345.35kg * 2 = "&amp;ROUNDDOWN(345.45*2,1)&amp;"kg"</f>
        <v>차단로프 시종점부 2개소 : 345.35kg * 2 = 690.9kg</v>
      </c>
      <c r="C12" s="65" t="s">
        <v>4</v>
      </c>
      <c r="D12" s="194">
        <v>690.9</v>
      </c>
    </row>
    <row r="13" spans="1:7" ht="20.45" customHeight="1">
      <c r="A13" s="200" t="s">
        <v>161</v>
      </c>
      <c r="B13" s="201"/>
      <c r="C13" s="202" t="s">
        <v>4</v>
      </c>
      <c r="D13" s="232">
        <f>ROUNDDOWN(D11+D12,0)</f>
        <v>1421</v>
      </c>
    </row>
    <row r="14" spans="1:7" ht="20.45" customHeight="1">
      <c r="A14" s="198" t="s">
        <v>230</v>
      </c>
      <c r="B14" s="135" t="str">
        <f>"운반거리 : 110m + (150-140)*6m = "&amp;ROUNDDOWN(110+(150-140)*6,1)&amp;"m"</f>
        <v>운반거리 : 110m + (150-140)*6m = 170m</v>
      </c>
      <c r="C14" s="199" t="s">
        <v>1</v>
      </c>
      <c r="D14" s="233">
        <v>170</v>
      </c>
    </row>
    <row r="15" spans="1:7" ht="20.45" customHeight="1">
      <c r="A15" s="71"/>
      <c r="B15" s="135" t="str">
        <f>"목재계단 68단 : 34.09kg * 68 = "&amp;ROUNDDOWN(34.09*68,1)&amp;"kg"</f>
        <v>목재계단 68단 : 34.09kg * 68 = 2318.1kg</v>
      </c>
      <c r="C15" s="65" t="s">
        <v>4</v>
      </c>
      <c r="D15" s="194">
        <v>2318.1</v>
      </c>
    </row>
    <row r="16" spans="1:7" ht="20.45" customHeight="1">
      <c r="A16" s="71"/>
      <c r="B16" s="135" t="str">
        <f>"안전로프 9경간 : 81.13kg * 9 = "&amp;ROUNDDOWN(81.13*9,1)&amp;"kg"</f>
        <v>안전로프 9경간 : 81.13kg * 9 = 730.1kg</v>
      </c>
      <c r="C16" s="65" t="s">
        <v>4</v>
      </c>
      <c r="D16" s="194">
        <v>730.1</v>
      </c>
    </row>
    <row r="17" spans="1:7" ht="20.45" customHeight="1">
      <c r="A17" s="71"/>
      <c r="B17" s="135" t="str">
        <f>"안전로프 시종점부 2개소 : 345.35kg * 2 = "&amp;ROUNDDOWN(345.45*2,1)&amp;"kg"</f>
        <v>안전로프 시종점부 2개소 : 345.35kg * 2 = 690.9kg</v>
      </c>
      <c r="C17" s="65" t="s">
        <v>4</v>
      </c>
      <c r="D17" s="194">
        <v>690.9</v>
      </c>
    </row>
    <row r="18" spans="1:7" ht="20.45" customHeight="1">
      <c r="A18" s="200" t="s">
        <v>161</v>
      </c>
      <c r="B18" s="201"/>
      <c r="C18" s="202" t="s">
        <v>4</v>
      </c>
      <c r="D18" s="232">
        <f>ROUNDDOWN(D15+D16+D17,0)</f>
        <v>3739</v>
      </c>
    </row>
    <row r="19" spans="1:7" s="63" customFormat="1" ht="18.75" customHeight="1">
      <c r="A19" s="130"/>
      <c r="B19" s="131"/>
      <c r="C19" s="132"/>
      <c r="D19" s="133"/>
      <c r="F19" s="205"/>
      <c r="G19" s="97"/>
    </row>
    <row r="20" spans="1:7" ht="20.45" customHeight="1">
      <c r="A20" s="198" t="s">
        <v>233</v>
      </c>
      <c r="B20" s="135" t="str">
        <f>"운반거리 : 180m + (120-100)*6m = "&amp;ROUNDDOWN(180+(120-100)*6,1)&amp;"m"</f>
        <v>운반거리 : 180m + (120-100)*6m = 300m</v>
      </c>
      <c r="C20" s="199" t="s">
        <v>1</v>
      </c>
      <c r="D20" s="233">
        <v>300</v>
      </c>
    </row>
    <row r="21" spans="1:7" ht="20.45" customHeight="1">
      <c r="A21" s="71"/>
      <c r="B21" s="135" t="str">
        <f>"목재계단 39단 : 34.09kg * 39 = "&amp;ROUNDDOWN(34.09*39,1)&amp;"kg"</f>
        <v>목재계단 39단 : 34.09kg * 39 = 1329.5kg</v>
      </c>
      <c r="C21" s="65" t="s">
        <v>4</v>
      </c>
      <c r="D21" s="194">
        <v>1329</v>
      </c>
    </row>
    <row r="22" spans="1:7" ht="20.45" customHeight="1">
      <c r="A22" s="71"/>
      <c r="B22" s="135" t="str">
        <f>"보행매트 20m : 6kg * 20 = "&amp;ROUNDDOWN(6*20,1)&amp;"kg"</f>
        <v>보행매트 20m : 6kg * 20 = 120kg</v>
      </c>
      <c r="C22" s="65" t="s">
        <v>4</v>
      </c>
      <c r="D22" s="194">
        <v>120</v>
      </c>
    </row>
    <row r="23" spans="1:7" ht="20.45" customHeight="1">
      <c r="A23" s="71"/>
      <c r="B23" s="135" t="s">
        <v>237</v>
      </c>
      <c r="C23" s="65" t="s">
        <v>4</v>
      </c>
      <c r="D23" s="194" t="e">
        <f>'오일스테인칠 등'!#REF!</f>
        <v>#REF!</v>
      </c>
    </row>
    <row r="24" spans="1:7" ht="20.45" customHeight="1">
      <c r="A24" s="200" t="s">
        <v>161</v>
      </c>
      <c r="B24" s="201"/>
      <c r="C24" s="202" t="s">
        <v>4</v>
      </c>
      <c r="D24" s="232" t="e">
        <f>ROUNDDOWN(D21+D22+D23,0)</f>
        <v>#REF!</v>
      </c>
    </row>
    <row r="25" spans="1:7" s="63" customFormat="1" ht="18.75" customHeight="1">
      <c r="A25" s="198" t="s">
        <v>234</v>
      </c>
      <c r="B25" s="135" t="str">
        <f>"운반거리 : 380m + (155-100)*6m = "&amp;ROUNDDOWN(380+(155-100)*6,1)&amp;"m"</f>
        <v>운반거리 : 380m + (155-100)*6m = 710m</v>
      </c>
      <c r="C25" s="199" t="s">
        <v>1</v>
      </c>
      <c r="D25" s="233">
        <v>710</v>
      </c>
      <c r="F25" s="206"/>
      <c r="G25" s="97"/>
    </row>
    <row r="26" spans="1:7" s="63" customFormat="1" ht="18.75" customHeight="1">
      <c r="A26" s="71"/>
      <c r="B26" s="135" t="str">
        <f>"보행매트 : 6kg * 70m = "&amp;ROUNDDOWN(6*70,1)&amp;"kg"</f>
        <v>보행매트 : 6kg * 70m = 420kg</v>
      </c>
      <c r="C26" s="65" t="s">
        <v>4</v>
      </c>
      <c r="D26" s="194">
        <v>420</v>
      </c>
      <c r="F26" s="205"/>
      <c r="G26" s="97"/>
    </row>
    <row r="27" spans="1:7" s="63" customFormat="1" ht="18.75" customHeight="1">
      <c r="A27" s="200" t="s">
        <v>161</v>
      </c>
      <c r="B27" s="201"/>
      <c r="C27" s="202" t="s">
        <v>4</v>
      </c>
      <c r="D27" s="232">
        <f>ROUNDDOWN(D26,0)</f>
        <v>420</v>
      </c>
      <c r="F27" s="205"/>
      <c r="G27" s="97"/>
    </row>
    <row r="28" spans="1:7" s="63" customFormat="1" ht="18.75" customHeight="1">
      <c r="A28" s="198" t="s">
        <v>231</v>
      </c>
      <c r="B28" s="135" t="str">
        <f>"운반거리 : 370m + (165-135)*6m = "&amp;ROUNDDOWN(370+(165-135)*6,1)&amp;"m"</f>
        <v>운반거리 : 370m + (165-135)*6m = 550m</v>
      </c>
      <c r="C28" s="199" t="s">
        <v>1</v>
      </c>
      <c r="D28" s="233">
        <v>550</v>
      </c>
      <c r="F28" s="206"/>
      <c r="G28" s="97"/>
    </row>
    <row r="29" spans="1:7" s="63" customFormat="1" ht="18.75" customHeight="1">
      <c r="A29" s="71"/>
      <c r="B29" s="135" t="str">
        <f>"보행매트 220m : 6kg * 220 = "&amp;ROUNDDOWN(6*220,1)&amp;"kg"</f>
        <v>보행매트 220m : 6kg * 220 = 1320kg</v>
      </c>
      <c r="C29" s="65" t="s">
        <v>4</v>
      </c>
      <c r="D29" s="194">
        <v>1320</v>
      </c>
      <c r="F29" s="205"/>
      <c r="G29" s="97"/>
    </row>
    <row r="30" spans="1:7" s="63" customFormat="1" ht="18.75" customHeight="1">
      <c r="A30" s="200" t="s">
        <v>161</v>
      </c>
      <c r="B30" s="201"/>
      <c r="C30" s="202" t="s">
        <v>4</v>
      </c>
      <c r="D30" s="232">
        <f>ROUNDDOWN(D29,0)</f>
        <v>1320</v>
      </c>
      <c r="F30" s="205"/>
      <c r="G30" s="97"/>
    </row>
    <row r="31" spans="1:7" ht="20.45" customHeight="1">
      <c r="A31" s="247" t="s">
        <v>235</v>
      </c>
      <c r="B31" s="248" t="str">
        <f>"운반거리 : 100m + (170-135)*6m = "&amp;ROUNDDOWN(100+(170-135)*6,1)&amp;"m"</f>
        <v>운반거리 : 100m + (170-135)*6m = 310m</v>
      </c>
      <c r="C31" s="249" t="s">
        <v>1</v>
      </c>
      <c r="D31" s="250">
        <v>310</v>
      </c>
    </row>
    <row r="32" spans="1:7" ht="20.45" customHeight="1">
      <c r="A32" s="71"/>
      <c r="B32" s="135" t="str">
        <f>"평의자 2개소 : 167.6kg * 2 = "&amp;ROUNDDOWN(167.6*2,1)&amp;"kg"</f>
        <v>평의자 2개소 : 167.6kg * 2 = 335.2kg</v>
      </c>
      <c r="C32" s="65" t="s">
        <v>4</v>
      </c>
      <c r="D32" s="194">
        <v>335.2</v>
      </c>
    </row>
    <row r="33" spans="1:7" ht="20.45" customHeight="1">
      <c r="A33" s="71"/>
      <c r="B33" s="135" t="s">
        <v>238</v>
      </c>
      <c r="C33" s="65" t="s">
        <v>4</v>
      </c>
      <c r="D33" s="194" t="e">
        <f>'오일스테인칠 등'!#REF!</f>
        <v>#REF!</v>
      </c>
    </row>
    <row r="34" spans="1:7" ht="20.45" customHeight="1">
      <c r="A34" s="200" t="s">
        <v>161</v>
      </c>
      <c r="B34" s="201"/>
      <c r="C34" s="202" t="s">
        <v>4</v>
      </c>
      <c r="D34" s="232" t="e">
        <f>ROUNDDOWN(D32+D33,0)</f>
        <v>#REF!</v>
      </c>
    </row>
    <row r="35" spans="1:7" ht="20.45" customHeight="1">
      <c r="A35" s="247" t="s">
        <v>239</v>
      </c>
      <c r="B35" s="248" t="str">
        <f>"운반거리 : 310m + (190-135)*6m = "&amp;ROUNDDOWN(310+(190-135)*6,0)&amp;"m"</f>
        <v>운반거리 : 310m + (190-135)*6m = 640m</v>
      </c>
      <c r="C35" s="249" t="s">
        <v>226</v>
      </c>
      <c r="D35" s="250">
        <v>640</v>
      </c>
    </row>
    <row r="36" spans="1:7" ht="20.45" customHeight="1">
      <c r="A36" s="71"/>
      <c r="B36" s="135" t="s">
        <v>236</v>
      </c>
      <c r="C36" s="65" t="s">
        <v>4</v>
      </c>
      <c r="D36" s="194" t="e">
        <f>#REF!</f>
        <v>#REF!</v>
      </c>
    </row>
    <row r="37" spans="1:7" s="63" customFormat="1" ht="18.75" customHeight="1">
      <c r="A37" s="71"/>
      <c r="B37" s="135" t="str">
        <f>"보행매트 : 6kg * 30m = "&amp;ROUNDDOWN(6*30,1)&amp;"kg"</f>
        <v>보행매트 : 6kg * 30m = 180kg</v>
      </c>
      <c r="C37" s="65" t="s">
        <v>4</v>
      </c>
      <c r="D37" s="194">
        <v>180</v>
      </c>
      <c r="F37" s="205"/>
      <c r="G37" s="97"/>
    </row>
    <row r="38" spans="1:7" ht="20.45" customHeight="1">
      <c r="A38" s="71"/>
      <c r="B38" s="135" t="s">
        <v>250</v>
      </c>
      <c r="C38" s="65" t="s">
        <v>4</v>
      </c>
      <c r="D38" s="194" t="e">
        <f>'오일스테인칠 등'!#REF!</f>
        <v>#REF!</v>
      </c>
    </row>
    <row r="39" spans="1:7" ht="20.45" customHeight="1">
      <c r="A39" s="200" t="s">
        <v>161</v>
      </c>
      <c r="B39" s="201"/>
      <c r="C39" s="202" t="s">
        <v>225</v>
      </c>
      <c r="D39" s="232" t="e">
        <f>ROUNDDOWN(D36+D37+D38,0)</f>
        <v>#REF!</v>
      </c>
    </row>
    <row r="40" spans="1:7" ht="20.45" customHeight="1">
      <c r="A40" s="198" t="s">
        <v>241</v>
      </c>
      <c r="B40" s="135" t="str">
        <f>"운반거리 : 520m + (205-135)*6m = "&amp;ROUNDDOWN(520+(205-135)*6,0)&amp;"m"</f>
        <v>운반거리 : 520m + (205-135)*6m = 940m</v>
      </c>
      <c r="C40" s="199" t="s">
        <v>1</v>
      </c>
      <c r="D40" s="233">
        <v>940</v>
      </c>
    </row>
    <row r="41" spans="1:7" ht="20.45" customHeight="1">
      <c r="A41" s="71"/>
      <c r="B41" s="135" t="str">
        <f>"목재계단 10단 : 34.09kg * 10 = "&amp;ROUNDDOWN(34.09*10,1)&amp;"kg"</f>
        <v>목재계단 10단 : 34.09kg * 10 = 340.9kg</v>
      </c>
      <c r="C41" s="65" t="s">
        <v>4</v>
      </c>
      <c r="D41" s="194">
        <v>340.9</v>
      </c>
    </row>
    <row r="42" spans="1:7" ht="20.45" customHeight="1">
      <c r="A42" s="71"/>
      <c r="B42" s="135" t="s">
        <v>240</v>
      </c>
      <c r="C42" s="65" t="s">
        <v>4</v>
      </c>
      <c r="D42" s="194" t="e">
        <f>'오일스테인칠 등'!#REF!</f>
        <v>#REF!</v>
      </c>
    </row>
    <row r="43" spans="1:7" ht="20.45" customHeight="1">
      <c r="A43" s="200" t="s">
        <v>161</v>
      </c>
      <c r="B43" s="201"/>
      <c r="C43" s="202" t="s">
        <v>4</v>
      </c>
      <c r="D43" s="232" t="e">
        <f>ROUNDDOWN(D41+D42,0)</f>
        <v>#REF!</v>
      </c>
    </row>
    <row r="44" spans="1:7" ht="20.45" customHeight="1">
      <c r="A44" s="198" t="s">
        <v>244</v>
      </c>
      <c r="B44" s="135" t="str">
        <f>"운반거리 : 370m + (230-205)*6m = "&amp;ROUNDDOWN(370+(230-205)*6,0)&amp;"m"</f>
        <v>운반거리 : 370m + (230-205)*6m = 520m</v>
      </c>
      <c r="C44" s="199" t="s">
        <v>1</v>
      </c>
      <c r="D44" s="233">
        <v>520</v>
      </c>
    </row>
    <row r="45" spans="1:7" ht="20.45" customHeight="1">
      <c r="A45" s="71"/>
      <c r="B45" s="135" t="s">
        <v>243</v>
      </c>
      <c r="C45" s="65" t="s">
        <v>4</v>
      </c>
      <c r="D45" s="194" t="e">
        <f>'오일스테인칠 등'!#REF!</f>
        <v>#REF!</v>
      </c>
    </row>
    <row r="46" spans="1:7" ht="20.45" customHeight="1">
      <c r="A46" s="200" t="s">
        <v>161</v>
      </c>
      <c r="B46" s="201"/>
      <c r="C46" s="202" t="s">
        <v>4</v>
      </c>
      <c r="D46" s="232" t="e">
        <f>ROUNDDOWN(D45,0)</f>
        <v>#REF!</v>
      </c>
    </row>
    <row r="47" spans="1:7" ht="20.45" customHeight="1">
      <c r="A47" s="198" t="s">
        <v>245</v>
      </c>
      <c r="B47" s="135" t="str">
        <f>"운반거리 : 250m + (235-205)*6m = "&amp;ROUNDDOWN(250+(235-205)*6,0)&amp;"m"</f>
        <v>운반거리 : 250m + (235-205)*6m = 430m</v>
      </c>
      <c r="C47" s="199" t="s">
        <v>1</v>
      </c>
      <c r="D47" s="233">
        <v>430</v>
      </c>
    </row>
    <row r="48" spans="1:7" ht="20.45" customHeight="1">
      <c r="A48" s="71"/>
      <c r="B48" s="135" t="s">
        <v>238</v>
      </c>
      <c r="C48" s="65" t="s">
        <v>4</v>
      </c>
      <c r="D48" s="194" t="e">
        <f>'오일스테인칠 등'!#REF!</f>
        <v>#REF!</v>
      </c>
    </row>
    <row r="49" spans="1:7" ht="20.45" customHeight="1">
      <c r="A49" s="200" t="s">
        <v>161</v>
      </c>
      <c r="B49" s="201"/>
      <c r="C49" s="202" t="s">
        <v>4</v>
      </c>
      <c r="D49" s="232" t="e">
        <f>ROUNDDOWN(D48,0)</f>
        <v>#REF!</v>
      </c>
    </row>
    <row r="50" spans="1:7" s="63" customFormat="1" ht="18.75" customHeight="1">
      <c r="A50" s="198" t="s">
        <v>246</v>
      </c>
      <c r="B50" s="135" t="str">
        <f>"운반거리 : 100m + (215-205)*6m = "&amp;ROUNDDOWN(100+(215-205)*6,0)&amp;"m"</f>
        <v>운반거리 : 100m + (215-205)*6m = 160m</v>
      </c>
      <c r="C50" s="199" t="s">
        <v>1</v>
      </c>
      <c r="D50" s="233">
        <v>160</v>
      </c>
      <c r="F50" s="206"/>
      <c r="G50" s="97"/>
    </row>
    <row r="51" spans="1:7" s="63" customFormat="1" ht="18.75" customHeight="1">
      <c r="A51" s="71"/>
      <c r="B51" s="135" t="str">
        <f>"보행매트 : 6kg * 320m = "&amp;ROUNDDOWN(6*320,1)&amp;"kg"</f>
        <v>보행매트 : 6kg * 320m = 1920kg</v>
      </c>
      <c r="C51" s="65" t="s">
        <v>4</v>
      </c>
      <c r="D51" s="194">
        <v>1920</v>
      </c>
      <c r="F51" s="205"/>
      <c r="G51" s="97"/>
    </row>
    <row r="52" spans="1:7" s="63" customFormat="1" ht="18.75" customHeight="1">
      <c r="A52" s="200" t="s">
        <v>161</v>
      </c>
      <c r="B52" s="201"/>
      <c r="C52" s="202" t="s">
        <v>4</v>
      </c>
      <c r="D52" s="232">
        <f>ROUNDDOWN(D51,0)</f>
        <v>1920</v>
      </c>
      <c r="F52" s="205"/>
      <c r="G52" s="97"/>
    </row>
    <row r="53" spans="1:7" s="63" customFormat="1" ht="18.75" customHeight="1">
      <c r="A53" s="198" t="s">
        <v>247</v>
      </c>
      <c r="B53" s="135" t="str">
        <f>"운반거리 : 570m + (285-205)*6m = "&amp;ROUNDDOWN(570+(285-205)*6,0)&amp;"m"</f>
        <v>운반거리 : 570m + (285-205)*6m = 1050m</v>
      </c>
      <c r="C53" s="199" t="s">
        <v>1</v>
      </c>
      <c r="D53" s="233">
        <v>1050</v>
      </c>
      <c r="F53" s="206"/>
      <c r="G53" s="97"/>
    </row>
    <row r="54" spans="1:7" s="63" customFormat="1" ht="18.75" customHeight="1">
      <c r="A54" s="71"/>
      <c r="B54" s="135" t="str">
        <f>"보행매트 : 6kg * 170m = "&amp;ROUNDDOWN(6*170,1)&amp;"kg"</f>
        <v>보행매트 : 6kg * 170m = 1020kg</v>
      </c>
      <c r="C54" s="65" t="s">
        <v>4</v>
      </c>
      <c r="D54" s="194">
        <v>1020</v>
      </c>
      <c r="F54" s="205"/>
      <c r="G54" s="97"/>
    </row>
    <row r="55" spans="1:7" s="63" customFormat="1" ht="18.75" customHeight="1">
      <c r="A55" s="200" t="s">
        <v>161</v>
      </c>
      <c r="B55" s="201"/>
      <c r="C55" s="202" t="s">
        <v>4</v>
      </c>
      <c r="D55" s="232">
        <f>ROUNDDOWN(D54,0)</f>
        <v>1020</v>
      </c>
      <c r="F55" s="205"/>
      <c r="G55" s="97"/>
    </row>
    <row r="56" spans="1:7" ht="20.45" customHeight="1">
      <c r="A56" s="198" t="s">
        <v>248</v>
      </c>
      <c r="B56" s="135" t="str">
        <f>"운반거리 : 790m + (315-205)*6m = "&amp;ROUNDDOWN(790+(315-205)*6,0)&amp;"m"</f>
        <v>운반거리 : 790m + (315-205)*6m = 1450m</v>
      </c>
      <c r="C56" s="199" t="s">
        <v>1</v>
      </c>
      <c r="D56" s="233">
        <v>1450</v>
      </c>
    </row>
    <row r="57" spans="1:7" ht="20.45" customHeight="1">
      <c r="A57" s="71"/>
      <c r="B57" s="135" t="str">
        <f>"기초 및 턴버클 4개소 : 167.54kg * 4 = "&amp;ROUNDDOWN(167.54*4,1)&amp;"kg"</f>
        <v>기초 및 턴버클 4개소 : 167.54kg * 4 = 670.1kg</v>
      </c>
      <c r="C57" s="65" t="s">
        <v>4</v>
      </c>
      <c r="D57" s="194">
        <v>670.1</v>
      </c>
    </row>
    <row r="58" spans="1:7" ht="20.45" customHeight="1">
      <c r="A58" s="246"/>
      <c r="B58" s="135" t="s">
        <v>242</v>
      </c>
      <c r="C58" s="65" t="s">
        <v>4</v>
      </c>
      <c r="D58" s="194" t="e">
        <f>'오일스테인칠 등'!#REF!</f>
        <v>#REF!</v>
      </c>
    </row>
    <row r="59" spans="1:7" ht="20.45" customHeight="1">
      <c r="A59" s="200" t="s">
        <v>161</v>
      </c>
      <c r="B59" s="201"/>
      <c r="C59" s="202" t="s">
        <v>4</v>
      </c>
      <c r="D59" s="232" t="e">
        <f>ROUNDDOWN(D57+D58,0)</f>
        <v>#REF!</v>
      </c>
    </row>
    <row r="60" spans="1:7" ht="20.45" customHeight="1">
      <c r="A60" s="198" t="s">
        <v>248</v>
      </c>
      <c r="B60" s="135" t="str">
        <f>"운반거리 : 790m + (315-205)*6m = "&amp;ROUNDDOWN(790+(315-205)*6,0)&amp;"m"</f>
        <v>운반거리 : 790m + (315-205)*6m = 1450m</v>
      </c>
      <c r="C60" s="199" t="s">
        <v>1</v>
      </c>
      <c r="D60" s="233">
        <v>1450</v>
      </c>
    </row>
    <row r="61" spans="1:7" ht="20.45" customHeight="1">
      <c r="A61" s="71"/>
      <c r="B61" s="135" t="str">
        <f>"기초 및 턴버클 4개소 : 167.54kg * 4 = "&amp;ROUNDDOWN(167.54*4,1)&amp;"kg"</f>
        <v>기초 및 턴버클 4개소 : 167.54kg * 4 = 670.1kg</v>
      </c>
      <c r="C61" s="65" t="s">
        <v>4</v>
      </c>
      <c r="D61" s="194">
        <v>670.1</v>
      </c>
    </row>
    <row r="62" spans="1:7" ht="20.45" customHeight="1">
      <c r="A62" s="71"/>
      <c r="B62" s="135" t="str">
        <f>"방향안내이정표 1개소 : 92.1kg * 1 = "&amp;ROUNDDOWN(92.1,1)&amp;"kg"</f>
        <v>방향안내이정표 1개소 : 92.1kg * 1 = 92.1kg</v>
      </c>
      <c r="C62" s="65" t="s">
        <v>4</v>
      </c>
      <c r="D62" s="194">
        <v>92.1</v>
      </c>
    </row>
    <row r="63" spans="1:7" ht="20.45" customHeight="1">
      <c r="A63" s="246"/>
      <c r="B63" s="135" t="s">
        <v>242</v>
      </c>
      <c r="C63" s="65" t="s">
        <v>4</v>
      </c>
      <c r="D63" s="194" t="e">
        <f>'오일스테인칠 등'!#REF!</f>
        <v>#REF!</v>
      </c>
    </row>
    <row r="64" spans="1:7" ht="20.45" customHeight="1">
      <c r="A64" s="200" t="s">
        <v>161</v>
      </c>
      <c r="B64" s="201"/>
      <c r="C64" s="202" t="s">
        <v>4</v>
      </c>
      <c r="D64" s="232" t="e">
        <f>ROUNDDOWN(D61+D62+D63,0)</f>
        <v>#REF!</v>
      </c>
    </row>
    <row r="65" spans="1:4" ht="20.45" customHeight="1">
      <c r="A65" s="198" t="s">
        <v>259</v>
      </c>
      <c r="B65" s="135" t="str">
        <f>"운반거리 : 120m + (110-105)*6m = "&amp;ROUNDDOWN(120+(110-105)*6,1)&amp;"m"</f>
        <v>운반거리 : 120m + (110-105)*6m = 150m</v>
      </c>
      <c r="C65" s="199" t="s">
        <v>1</v>
      </c>
      <c r="D65" s="233">
        <v>150</v>
      </c>
    </row>
    <row r="66" spans="1:4" ht="20.45" customHeight="1">
      <c r="A66" s="259"/>
      <c r="B66" s="260" t="str">
        <f>"목재계단 96단 : 34.09kg * 96 = "&amp;ROUNDDOWN(34.09*96,1)&amp;"kg"</f>
        <v>목재계단 96단 : 34.09kg * 96 = 3272.6kg</v>
      </c>
      <c r="C66" s="187" t="s">
        <v>4</v>
      </c>
      <c r="D66" s="261">
        <v>3272</v>
      </c>
    </row>
    <row r="67" spans="1:4" ht="20.45" customHeight="1">
      <c r="A67" s="266" t="s">
        <v>260</v>
      </c>
      <c r="B67" s="257" t="str">
        <f>"운반거리 : 490m + (170-105)*6m = "&amp;ROUNDDOWN(490+(170-105)*6,1)&amp;"m"</f>
        <v>운반거리 : 490m + (170-105)*6m = 880m</v>
      </c>
      <c r="C67" s="267" t="s">
        <v>1</v>
      </c>
      <c r="D67" s="268">
        <v>880</v>
      </c>
    </row>
    <row r="68" spans="1:4" ht="20.45" customHeight="1">
      <c r="A68" s="259"/>
      <c r="B68" s="260" t="s">
        <v>261</v>
      </c>
      <c r="C68" s="187" t="s">
        <v>4</v>
      </c>
      <c r="D68" s="261" t="e">
        <f>'오일스테인칠 등'!#REF!</f>
        <v>#REF!</v>
      </c>
    </row>
    <row r="69" spans="1:4" ht="20.45" customHeight="1">
      <c r="A69" s="255" t="s">
        <v>257</v>
      </c>
      <c r="B69" s="251"/>
      <c r="C69" s="252"/>
      <c r="D69" s="254"/>
    </row>
    <row r="70" spans="1:4" ht="20.25" customHeight="1">
      <c r="A70" s="269"/>
      <c r="B70" s="270"/>
      <c r="C70" s="271"/>
      <c r="D70" s="272"/>
    </row>
    <row r="71" spans="1:4" ht="20.25" customHeight="1">
      <c r="A71" s="266" t="s">
        <v>249</v>
      </c>
      <c r="B71" s="257" t="str">
        <f>"운반거리 : 300m + (330-265)*6m = "&amp;ROUNDDOWN(300+(330-265)*6,1)&amp;"m"</f>
        <v>운반거리 : 300m + (330-265)*6m = 690m</v>
      </c>
      <c r="C71" s="267" t="s">
        <v>1</v>
      </c>
      <c r="D71" s="268">
        <v>690</v>
      </c>
    </row>
    <row r="72" spans="1:4" ht="20.25" customHeight="1">
      <c r="A72" s="259"/>
      <c r="B72" s="260" t="str">
        <f>"방향안내이정표 2개소 : 92.1kg * 2 = "&amp;ROUNDDOWN(92.1*2,2)&amp;"kg"</f>
        <v>방향안내이정표 2개소 : 92.1kg * 2 = 184.2kg</v>
      </c>
      <c r="C72" s="187" t="s">
        <v>4</v>
      </c>
      <c r="D72" s="261">
        <v>184</v>
      </c>
    </row>
    <row r="73" spans="1:4" ht="20.45" customHeight="1">
      <c r="A73" s="256"/>
      <c r="B73" s="257"/>
      <c r="C73" s="109"/>
      <c r="D73" s="258"/>
    </row>
    <row r="74" spans="1:4" ht="20.45" customHeight="1">
      <c r="A74" s="198" t="s">
        <v>251</v>
      </c>
      <c r="B74" s="135" t="str">
        <f>"운반거리 : 170m + (300-265)*6m = "&amp;ROUNDDOWN(170+(300-265)*6,1)&amp;"m"</f>
        <v>운반거리 : 170m + (300-265)*6m = 380m</v>
      </c>
      <c r="C74" s="199" t="s">
        <v>1</v>
      </c>
      <c r="D74" s="233">
        <v>380</v>
      </c>
    </row>
    <row r="75" spans="1:4" ht="20.45" customHeight="1">
      <c r="A75" s="253"/>
      <c r="B75" s="135" t="str">
        <f>"방향안내이정표 1개소 : 92.1kg * 1 = "&amp;ROUNDDOWN(92.1,1)&amp;"kg"</f>
        <v>방향안내이정표 1개소 : 92.1kg * 1 = 92.1kg</v>
      </c>
      <c r="C75" s="65" t="s">
        <v>4</v>
      </c>
      <c r="D75" s="194">
        <v>92.1</v>
      </c>
    </row>
    <row r="76" spans="1:4" ht="20.45" customHeight="1">
      <c r="A76" s="222"/>
      <c r="B76" s="135" t="str">
        <f>"안내판 1개소 : 80kg * 1 = "&amp;ROUNDDOWN(80*1,1)&amp;"kg"</f>
        <v>안내판 1개소 : 80kg * 1 = 80kg</v>
      </c>
      <c r="C76" s="65" t="s">
        <v>4</v>
      </c>
      <c r="D76" s="194">
        <v>80</v>
      </c>
    </row>
    <row r="77" spans="1:4" ht="20.45" customHeight="1">
      <c r="A77" s="200" t="s">
        <v>161</v>
      </c>
      <c r="B77" s="201"/>
      <c r="C77" s="202" t="s">
        <v>4</v>
      </c>
      <c r="D77" s="232">
        <f>ROUNDDOWN(D75+D76,0)</f>
        <v>172</v>
      </c>
    </row>
    <row r="78" spans="1:4" ht="20.45" customHeight="1">
      <c r="A78" s="222"/>
      <c r="B78" s="195"/>
      <c r="C78" s="196"/>
      <c r="D78" s="197"/>
    </row>
    <row r="79" spans="1:4" ht="20.45" customHeight="1">
      <c r="A79" s="198" t="s">
        <v>248</v>
      </c>
      <c r="B79" s="135" t="str">
        <f>"운반거리 : 790m + (315-205)*6m = "&amp;ROUNDDOWN(790+(315-205)*6,0)&amp;"m"</f>
        <v>운반거리 : 790m + (315-205)*6m = 1450m</v>
      </c>
      <c r="C79" s="199" t="s">
        <v>1</v>
      </c>
      <c r="D79" s="233">
        <v>1450</v>
      </c>
    </row>
    <row r="80" spans="1:4" ht="20.45" customHeight="1">
      <c r="A80" s="223"/>
      <c r="B80" s="260" t="str">
        <f>"방향안내이정표 1개소 : 92.1kg * 1 = "&amp;ROUNDDOWN(92.1,1)&amp;"kg"</f>
        <v>방향안내이정표 1개소 : 92.1kg * 1 = 92.1kg</v>
      </c>
      <c r="C80" s="187" t="s">
        <v>4</v>
      </c>
      <c r="D80" s="261">
        <v>92</v>
      </c>
    </row>
    <row r="81" spans="1:4" ht="20.45" customHeight="1">
      <c r="A81" s="262"/>
      <c r="B81" s="263"/>
      <c r="C81" s="264"/>
      <c r="D81" s="265"/>
    </row>
    <row r="82" spans="1:4" ht="20.45" customHeight="1">
      <c r="A82" s="198" t="s">
        <v>259</v>
      </c>
      <c r="B82" s="135" t="str">
        <f>"운반거리 : 120m + (110-105)*6m = "&amp;ROUNDDOWN(120+(110-105)*6,1)&amp;"m"</f>
        <v>운반거리 : 120m + (110-105)*6m = 150m</v>
      </c>
      <c r="C82" s="199" t="s">
        <v>1</v>
      </c>
      <c r="D82" s="233">
        <v>150</v>
      </c>
    </row>
    <row r="83" spans="1:4" ht="20.45" customHeight="1">
      <c r="A83" s="259"/>
      <c r="B83" s="260" t="str">
        <f>"방향안내이정표 1개소 : 92.1kg * 1 = "&amp;ROUNDDOWN(92.1,1)&amp;"kg"</f>
        <v>방향안내이정표 1개소 : 92.1kg * 1 = 92.1kg</v>
      </c>
      <c r="C83" s="187" t="s">
        <v>4</v>
      </c>
      <c r="D83" s="261">
        <v>92</v>
      </c>
    </row>
    <row r="84" spans="1:4" ht="20.45" customHeight="1">
      <c r="A84" s="222"/>
      <c r="B84" s="195"/>
      <c r="C84" s="196"/>
      <c r="D84" s="197"/>
    </row>
    <row r="85" spans="1:4" ht="20.45" customHeight="1">
      <c r="A85" s="198" t="s">
        <v>262</v>
      </c>
      <c r="B85" s="257" t="str">
        <f>"운반거리 : 340m + (170-105)*6m = "&amp;ROUNDDOWN(340+(170-105)*6,1)&amp;"m"</f>
        <v>운반거리 : 340m + (170-105)*6m = 730m</v>
      </c>
      <c r="C85" s="199" t="s">
        <v>1</v>
      </c>
      <c r="D85" s="233">
        <v>730</v>
      </c>
    </row>
    <row r="86" spans="1:4" ht="20.45" customHeight="1">
      <c r="A86" s="259"/>
      <c r="B86" s="260" t="str">
        <f>"방향안내이정표 1개소 : 92.1kg * 1 = "&amp;ROUNDDOWN(92.1,1)&amp;"kg"</f>
        <v>방향안내이정표 1개소 : 92.1kg * 1 = 92.1kg</v>
      </c>
      <c r="C86" s="187" t="s">
        <v>4</v>
      </c>
      <c r="D86" s="261">
        <v>92</v>
      </c>
    </row>
    <row r="87" spans="1:4" ht="20.45" customHeight="1">
      <c r="A87" s="222"/>
      <c r="B87" s="195"/>
      <c r="C87" s="196"/>
      <c r="D87" s="197"/>
    </row>
    <row r="88" spans="1:4" ht="20.45" customHeight="1">
      <c r="A88" s="222"/>
      <c r="B88" s="195"/>
      <c r="C88" s="196"/>
      <c r="D88" s="197"/>
    </row>
    <row r="89" spans="1:4" ht="20.45" customHeight="1">
      <c r="A89" s="222"/>
      <c r="B89" s="195"/>
      <c r="C89" s="196"/>
      <c r="D89" s="197"/>
    </row>
    <row r="90" spans="1:4" ht="20.45" customHeight="1">
      <c r="A90" s="222"/>
      <c r="B90" s="195"/>
      <c r="C90" s="196"/>
      <c r="D90" s="197"/>
    </row>
    <row r="91" spans="1:4" ht="20.45" customHeight="1">
      <c r="A91" s="222"/>
      <c r="B91" s="195"/>
      <c r="C91" s="196"/>
      <c r="D91" s="197"/>
    </row>
    <row r="92" spans="1:4" ht="20.45" customHeight="1">
      <c r="A92" s="222"/>
      <c r="B92" s="195"/>
      <c r="C92" s="196"/>
      <c r="D92" s="197"/>
    </row>
    <row r="93" spans="1:4" ht="20.45" customHeight="1">
      <c r="A93" s="222"/>
      <c r="B93" s="195"/>
      <c r="C93" s="196"/>
      <c r="D93" s="197"/>
    </row>
    <row r="94" spans="1:4" ht="20.45" customHeight="1">
      <c r="A94" s="222"/>
      <c r="B94" s="195"/>
      <c r="C94" s="196"/>
      <c r="D94" s="197"/>
    </row>
    <row r="95" spans="1:4" ht="20.45" customHeight="1">
      <c r="A95" s="222"/>
      <c r="B95" s="195"/>
      <c r="C95" s="196"/>
      <c r="D95" s="197"/>
    </row>
    <row r="96" spans="1:4" ht="20.45" customHeight="1">
      <c r="A96" s="222"/>
      <c r="B96" s="195"/>
      <c r="C96" s="196"/>
      <c r="D96" s="197"/>
    </row>
    <row r="97" spans="1:4" ht="20.45" customHeight="1">
      <c r="A97" s="222"/>
      <c r="B97" s="195"/>
      <c r="C97" s="196"/>
      <c r="D97" s="197"/>
    </row>
    <row r="98" spans="1:4" ht="20.45" customHeight="1">
      <c r="A98" s="222"/>
      <c r="B98" s="195"/>
      <c r="C98" s="196"/>
      <c r="D98" s="197"/>
    </row>
    <row r="99" spans="1:4" ht="20.45" customHeight="1">
      <c r="A99" s="222"/>
      <c r="B99" s="195"/>
      <c r="C99" s="196"/>
      <c r="D99" s="197"/>
    </row>
    <row r="100" spans="1:4" ht="20.45" customHeight="1">
      <c r="A100" s="222"/>
      <c r="B100" s="195"/>
      <c r="C100" s="196"/>
      <c r="D100" s="197"/>
    </row>
    <row r="101" spans="1:4" ht="20.45" customHeight="1">
      <c r="A101" s="223"/>
      <c r="B101" s="224"/>
      <c r="C101" s="225"/>
      <c r="D101" s="226"/>
    </row>
    <row r="102" spans="1:4" ht="20.45" customHeight="1">
      <c r="A102" s="275"/>
      <c r="B102" s="276"/>
      <c r="C102" s="277"/>
      <c r="D102" s="278"/>
    </row>
  </sheetData>
  <phoneticPr fontId="13" type="noConversion"/>
  <printOptions horizontalCentered="1"/>
  <pageMargins left="0.39370078740157483" right="0.39370078740157483" top="1.1811023622047245" bottom="0.47244094488188981" header="0.78740157480314965" footer="0"/>
  <pageSetup paperSize="9" orientation="portrait" blackAndWhite="1" r:id="rId1"/>
  <headerFooter alignWithMargins="0">
    <oddHeader>&amp;C수 량 산 출 서 (자 재 운 반)</oddHeader>
  </headerFooter>
  <rowBreaks count="1" manualBreakCount="1">
    <brk id="3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57</vt:i4>
      </vt:variant>
      <vt:variant>
        <vt:lpstr>이름 지정된 범위</vt:lpstr>
      </vt:variant>
      <vt:variant>
        <vt:i4>60</vt:i4>
      </vt:variant>
    </vt:vector>
  </HeadingPairs>
  <TitlesOfParts>
    <vt:vector size="117" baseType="lpstr">
      <vt:lpstr>설계서표지</vt:lpstr>
      <vt:lpstr>설계갑지</vt:lpstr>
      <vt:lpstr>목 차</vt:lpstr>
      <vt:lpstr>설계설명서</vt:lpstr>
      <vt:lpstr>예정공정표</vt:lpstr>
      <vt:lpstr>〓 목 차 〓</vt:lpstr>
      <vt:lpstr>※※안내※※</vt:lpstr>
      <vt:lpstr>공사원가계산서</vt:lpstr>
      <vt:lpstr>총괄내역서</vt:lpstr>
      <vt:lpstr>설계내역서</vt:lpstr>
      <vt:lpstr>일위대가목록표</vt:lpstr>
      <vt:lpstr>일위대가표</vt:lpstr>
      <vt:lpstr>단가산출근거목록표</vt:lpstr>
      <vt:lpstr>단가산출근거</vt:lpstr>
      <vt:lpstr>환율및기초자료</vt:lpstr>
      <vt:lpstr>중기목록표</vt:lpstr>
      <vt:lpstr>중기사용료</vt:lpstr>
      <vt:lpstr>안전로프(H1200,오일)</vt:lpstr>
      <vt:lpstr>안전로프시종점(기초&amp;턴버클)</vt:lpstr>
      <vt:lpstr>안전로프(H1200)</vt:lpstr>
      <vt:lpstr>로프시종점</vt:lpstr>
      <vt:lpstr>목재계단(800)</vt:lpstr>
      <vt:lpstr>목재계단(1000)</vt:lpstr>
      <vt:lpstr>목재계단(1200)</vt:lpstr>
      <vt:lpstr>목재계단(1500)</vt:lpstr>
      <vt:lpstr>목재계단(2000)</vt:lpstr>
      <vt:lpstr>원주목계단(1000)</vt:lpstr>
      <vt:lpstr>원주목계단(1200)</vt:lpstr>
      <vt:lpstr>통나무횡배수대(1.5)</vt:lpstr>
      <vt:lpstr>통나무횡배수대(1.8)</vt:lpstr>
      <vt:lpstr>통나무횡배수대(2.4)</vt:lpstr>
      <vt:lpstr>통나무횡배수대(3.0)</vt:lpstr>
      <vt:lpstr>통나무횡배수대(3.6)</vt:lpstr>
      <vt:lpstr>횡단개거1500</vt:lpstr>
      <vt:lpstr>횡단개거2000</vt:lpstr>
      <vt:lpstr>횡단개거2500</vt:lpstr>
      <vt:lpstr>횡단개거3000</vt:lpstr>
      <vt:lpstr>식생토낭</vt:lpstr>
      <vt:lpstr>통나무편책(W2000xH600)</vt:lpstr>
      <vt:lpstr>통나무편책(W3000XH400)</vt:lpstr>
      <vt:lpstr>통나무편책(W3000XH600)</vt:lpstr>
      <vt:lpstr>보행매트</vt:lpstr>
      <vt:lpstr>평의자 설치</vt:lpstr>
      <vt:lpstr>피크닉테이블</vt:lpstr>
      <vt:lpstr>방향안내이정표 이설</vt:lpstr>
      <vt:lpstr>안전로프보수</vt:lpstr>
      <vt:lpstr>데크보수</vt:lpstr>
      <vt:lpstr>등의자보수</vt:lpstr>
      <vt:lpstr>보행매트 철거</vt:lpstr>
      <vt:lpstr>오일스테인칠 등</vt:lpstr>
      <vt:lpstr>재료비목록표</vt:lpstr>
      <vt:lpstr>노무비목록표</vt:lpstr>
      <vt:lpstr>경비목록표</vt:lpstr>
      <vt:lpstr>자재단가대비표</vt:lpstr>
      <vt:lpstr>오일스테인칠 (2)</vt:lpstr>
      <vt:lpstr>Sheet1</vt:lpstr>
      <vt:lpstr>자재소운반</vt:lpstr>
      <vt:lpstr>'〓 목 차 〓'!Print_Area</vt:lpstr>
      <vt:lpstr>경비목록표!Print_Area</vt:lpstr>
      <vt:lpstr>공사원가계산서!Print_Area</vt:lpstr>
      <vt:lpstr>노무비목록표!Print_Area</vt:lpstr>
      <vt:lpstr>단가산출근거!Print_Area</vt:lpstr>
      <vt:lpstr>단가산출근거목록표!Print_Area</vt:lpstr>
      <vt:lpstr>데크보수!Print_Area</vt:lpstr>
      <vt:lpstr>로프시종점!Print_Area</vt:lpstr>
      <vt:lpstr>'목재계단(1000)'!Print_Area</vt:lpstr>
      <vt:lpstr>'목재계단(1200)'!Print_Area</vt:lpstr>
      <vt:lpstr>'목재계단(1500)'!Print_Area</vt:lpstr>
      <vt:lpstr>'목재계단(2000)'!Print_Area</vt:lpstr>
      <vt:lpstr>'목재계단(800)'!Print_Area</vt:lpstr>
      <vt:lpstr>'방향안내이정표 이설'!Print_Area</vt:lpstr>
      <vt:lpstr>보행매트!Print_Area</vt:lpstr>
      <vt:lpstr>'보행매트 철거'!Print_Area</vt:lpstr>
      <vt:lpstr>설계내역서!Print_Area</vt:lpstr>
      <vt:lpstr>'안전로프(H1200)'!Print_Area</vt:lpstr>
      <vt:lpstr>안전로프보수!Print_Area</vt:lpstr>
      <vt:lpstr>'안전로프시종점(기초&amp;턴버클)'!Print_Area</vt:lpstr>
      <vt:lpstr>예정공정표!Print_Area</vt:lpstr>
      <vt:lpstr>'오일스테인칠 (2)'!Print_Area</vt:lpstr>
      <vt:lpstr>'원주목계단(1000)'!Print_Area</vt:lpstr>
      <vt:lpstr>'원주목계단(1200)'!Print_Area</vt:lpstr>
      <vt:lpstr>일위대가목록표!Print_Area</vt:lpstr>
      <vt:lpstr>일위대가표!Print_Area</vt:lpstr>
      <vt:lpstr>자재단가대비표!Print_Area</vt:lpstr>
      <vt:lpstr>재료비목록표!Print_Area</vt:lpstr>
      <vt:lpstr>중기목록표!Print_Area</vt:lpstr>
      <vt:lpstr>중기사용료!Print_Area</vt:lpstr>
      <vt:lpstr>총괄내역서!Print_Area</vt:lpstr>
      <vt:lpstr>'통나무편책(W2000xH600)'!Print_Area</vt:lpstr>
      <vt:lpstr>'통나무편책(W3000XH400)'!Print_Area</vt:lpstr>
      <vt:lpstr>'통나무편책(W3000XH600)'!Print_Area</vt:lpstr>
      <vt:lpstr>'통나무횡배수대(1.5)'!Print_Area</vt:lpstr>
      <vt:lpstr>'통나무횡배수대(1.8)'!Print_Area</vt:lpstr>
      <vt:lpstr>'통나무횡배수대(2.4)'!Print_Area</vt:lpstr>
      <vt:lpstr>'통나무횡배수대(3.0)'!Print_Area</vt:lpstr>
      <vt:lpstr>'통나무횡배수대(3.6)'!Print_Area</vt:lpstr>
      <vt:lpstr>'평의자 설치'!Print_Area</vt:lpstr>
      <vt:lpstr>피크닉테이블!Print_Area</vt:lpstr>
      <vt:lpstr>환율및기초자료!Print_Area</vt:lpstr>
      <vt:lpstr>횡단개거1500!Print_Area</vt:lpstr>
      <vt:lpstr>경비목록표!Print_Titles</vt:lpstr>
      <vt:lpstr>공사원가계산서!Print_Titles</vt:lpstr>
      <vt:lpstr>노무비목록표!Print_Titles</vt:lpstr>
      <vt:lpstr>단가산출근거!Print_Titles</vt:lpstr>
      <vt:lpstr>단가산출근거목록표!Print_Titles</vt:lpstr>
      <vt:lpstr>로프시종점!Print_Titles</vt:lpstr>
      <vt:lpstr>설계내역서!Print_Titles</vt:lpstr>
      <vt:lpstr>'안전로프(H1200)'!Print_Titles</vt:lpstr>
      <vt:lpstr>'안전로프(H1200,오일)'!Print_Titles</vt:lpstr>
      <vt:lpstr>일위대가목록표!Print_Titles</vt:lpstr>
      <vt:lpstr>일위대가표!Print_Titles</vt:lpstr>
      <vt:lpstr>자재단가대비표!Print_Titles</vt:lpstr>
      <vt:lpstr>재료비목록표!Print_Titles</vt:lpstr>
      <vt:lpstr>중기목록표!Print_Titles</vt:lpstr>
      <vt:lpstr>중기사용료!Print_Titles</vt:lpstr>
      <vt:lpstr>총괄내역서!Print_Titles</vt:lpstr>
      <vt:lpstr>피크닉테이블!Print_Titles</vt:lpstr>
    </vt:vector>
  </TitlesOfParts>
  <Company>한수설계실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pc01</dc:creator>
  <cp:lastModifiedBy>Administrator</cp:lastModifiedBy>
  <cp:lastPrinted>2026-01-16T05:22:24Z</cp:lastPrinted>
  <dcterms:created xsi:type="dcterms:W3CDTF">2001-07-19T04:36:15Z</dcterms:created>
  <dcterms:modified xsi:type="dcterms:W3CDTF">2026-08-31T00:54:33Z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43B14E9">
    <vt:lpwstr/>
  </property>
  <property fmtid="{D5CDD505-2E9C-101B-9397-08002B2CF9AE}" pid="24" name="IVID173E1206">
    <vt:lpwstr/>
  </property>
  <property fmtid="{D5CDD505-2E9C-101B-9397-08002B2CF9AE}" pid="25" name="IVID232310EC">
    <vt:lpwstr/>
  </property>
  <property fmtid="{D5CDD505-2E9C-101B-9397-08002B2CF9AE}" pid="26" name="IVID133D1AE5">
    <vt:lpwstr/>
  </property>
  <property fmtid="{D5CDD505-2E9C-101B-9397-08002B2CF9AE}" pid="27" name="IVIDE0715F1">
    <vt:lpwstr/>
  </property>
  <property fmtid="{D5CDD505-2E9C-101B-9397-08002B2CF9AE}" pid="28" name="IVID35371B06">
    <vt:lpwstr/>
  </property>
  <property fmtid="{D5CDD505-2E9C-101B-9397-08002B2CF9AE}" pid="29" name="IVID474A12E4">
    <vt:lpwstr/>
  </property>
  <property fmtid="{D5CDD505-2E9C-101B-9397-08002B2CF9AE}" pid="30" name="IVID306310DF">
    <vt:lpwstr/>
  </property>
  <property fmtid="{D5CDD505-2E9C-101B-9397-08002B2CF9AE}" pid="31" name="IVID3D1916E9">
    <vt:lpwstr/>
  </property>
  <property fmtid="{D5CDD505-2E9C-101B-9397-08002B2CF9AE}" pid="32" name="IVID3A5E19D0">
    <vt:lpwstr/>
  </property>
  <property fmtid="{D5CDD505-2E9C-101B-9397-08002B2CF9AE}" pid="33" name="IVID3B3616E1">
    <vt:lpwstr/>
  </property>
  <property fmtid="{D5CDD505-2E9C-101B-9397-08002B2CF9AE}" pid="34" name="IVID3E5613DE">
    <vt:lpwstr/>
  </property>
  <property fmtid="{D5CDD505-2E9C-101B-9397-08002B2CF9AE}" pid="35" name="IVID216C18E4">
    <vt:lpwstr/>
  </property>
  <property fmtid="{D5CDD505-2E9C-101B-9397-08002B2CF9AE}" pid="36" name="IVID50">
    <vt:lpwstr/>
  </property>
  <property fmtid="{D5CDD505-2E9C-101B-9397-08002B2CF9AE}" pid="37" name="IVID354B1EEB">
    <vt:lpwstr/>
  </property>
  <property fmtid="{D5CDD505-2E9C-101B-9397-08002B2CF9AE}" pid="38" name="IVID252E3105">
    <vt:lpwstr/>
  </property>
  <property fmtid="{D5CDD505-2E9C-101B-9397-08002B2CF9AE}" pid="39" name="IVID446614EA">
    <vt:lpwstr/>
  </property>
  <property fmtid="{D5CDD505-2E9C-101B-9397-08002B2CF9AE}" pid="40" name="IVID201119E6">
    <vt:lpwstr/>
  </property>
  <property fmtid="{D5CDD505-2E9C-101B-9397-08002B2CF9AE}" pid="41" name="IVID1C461903">
    <vt:lpwstr/>
  </property>
  <property fmtid="{D5CDD505-2E9C-101B-9397-08002B2CF9AE}" pid="42" name="IVID98BCEF63">
    <vt:lpwstr/>
  </property>
</Properties>
</file>